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2.xml" ContentType="application/vnd.openxmlformats-officedocument.drawing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ukeenergy-my.sharepoint.com/personal/minna_sunderman_duke-energy_com/Documents/Desktop/2024-00354 Electric Rate Case Application/STAFF 1st Set/Excels/"/>
    </mc:Choice>
  </mc:AlternateContent>
  <xr:revisionPtr revIDLastSave="0" documentId="8_{578BEA92-A0D9-4A67-B778-FDC43260846F}" xr6:coauthVersionLast="47" xr6:coauthVersionMax="47" xr10:uidLastSave="{00000000-0000-0000-0000-000000000000}"/>
  <bookViews>
    <workbookView xWindow="-108" yWindow="-108" windowWidth="23256" windowHeight="13896" tabRatio="876" activeTab="8" xr2:uid="{00000000-000D-0000-FFFF-FFFF00000000}"/>
  </bookViews>
  <sheets>
    <sheet name="LOGO" sheetId="1" r:id="rId1"/>
    <sheet name="ALLOCTABLE" sheetId="7" r:id="rId2"/>
    <sheet name="GOTO" sheetId="2" r:id="rId3"/>
    <sheet name="PRINT" sheetId="3" r:id="rId4"/>
    <sheet name="BASE PERIOD" sheetId="5" r:id="rId5"/>
    <sheet name="BP Rev by Product" sheetId="148" r:id="rId6"/>
    <sheet name="FORECASTED PERIOD" sheetId="6" r:id="rId7"/>
    <sheet name="FP Rev by Product" sheetId="149" r:id="rId8"/>
    <sheet name="SCH A Rate Base" sheetId="185" r:id="rId9"/>
    <sheet name="SCH_B1" sheetId="170" r:id="rId10"/>
    <sheet name="WPB-1" sheetId="196" r:id="rId11"/>
    <sheet name="SCH B-2" sheetId="171" r:id="rId12"/>
    <sheet name="SCH B-2.1" sheetId="172" r:id="rId13"/>
    <sheet name="SCH B-2.2" sheetId="173" r:id="rId14"/>
    <sheet name="SCH B-2.3" sheetId="174" r:id="rId15"/>
    <sheet name="SCH B-2.4" sheetId="175" r:id="rId16"/>
    <sheet name="SCH B-2.5" sheetId="176" r:id="rId17"/>
    <sheet name="SCH B-2.6" sheetId="177" r:id="rId18"/>
    <sheet name="SCH B-2.7" sheetId="178" r:id="rId19"/>
    <sheet name="SCH B-3" sheetId="179" r:id="rId20"/>
    <sheet name="SCH B-3.1" sheetId="180" r:id="rId21"/>
    <sheet name="SCH B-3.2 - Proposed" sheetId="181" r:id="rId22"/>
    <sheet name="SCH B-4" sheetId="182" r:id="rId23"/>
    <sheet name="SCH_B5s" sheetId="12" r:id="rId24"/>
    <sheet name="WPB-5's" sheetId="13" r:id="rId25"/>
    <sheet name="SCH_B6" sheetId="14" r:id="rId26"/>
    <sheet name="WPB-6's" sheetId="15" r:id="rId27"/>
    <sheet name="SCH_B7s" sheetId="16" r:id="rId28"/>
    <sheet name="SCH_B8" sheetId="164" r:id="rId29"/>
    <sheet name="SCH_C1" sheetId="18" r:id="rId30"/>
    <sheet name="SCH_C2" sheetId="19" r:id="rId31"/>
    <sheet name="WPC_2" sheetId="20" r:id="rId32"/>
    <sheet name="WPC-2e - Adj Summary" sheetId="163" r:id="rId33"/>
    <sheet name="SCH_C2.1 - Base Period" sheetId="21" r:id="rId34"/>
    <sheet name="SCH_C2.1 - Forecasted Period" sheetId="22" r:id="rId35"/>
    <sheet name="SCH_D1" sheetId="24" r:id="rId36"/>
    <sheet name="SCH_D2.1" sheetId="25" r:id="rId37"/>
    <sheet name="SCH_D2.2" sheetId="26" r:id="rId38"/>
    <sheet name="SCH_D2.3" sheetId="27" r:id="rId39"/>
    <sheet name="SCH_D2.4" sheetId="28" r:id="rId40"/>
    <sheet name="SCH_D2.5" sheetId="107" r:id="rId41"/>
    <sheet name="SCH_D2.6" sheetId="151" r:id="rId42"/>
    <sheet name="SCH_D2.7" sheetId="29" r:id="rId43"/>
    <sheet name="SCH_D2.8" sheetId="30" r:id="rId44"/>
    <sheet name="SCH_D2.9" sheetId="31" r:id="rId45"/>
    <sheet name="SCH_D2.10" sheetId="32" r:id="rId46"/>
    <sheet name="SCH_D2.11" sheetId="33" r:id="rId47"/>
    <sheet name="SCH_D2.12" sheetId="84" r:id="rId48"/>
    <sheet name="SCH_D2.13" sheetId="34" r:id="rId49"/>
    <sheet name="SCH_D2.14" sheetId="35" r:id="rId50"/>
    <sheet name="SCH_D2.15" sheetId="108" r:id="rId51"/>
    <sheet name="SCH_D2.16" sheetId="154" r:id="rId52"/>
    <sheet name="SCH_D2.17" sheetId="37" r:id="rId53"/>
    <sheet name="SCH_D2.18" sheetId="38" r:id="rId54"/>
    <sheet name="SCH_D2.19" sheetId="115" r:id="rId55"/>
    <sheet name="SCH_D2.20" sheetId="40" r:id="rId56"/>
    <sheet name="SCH_D2.21" sheetId="162" r:id="rId57"/>
    <sheet name="SCH_D2.22" sheetId="42" r:id="rId58"/>
    <sheet name="SCH_D2.23" sheetId="109" r:id="rId59"/>
    <sheet name="SCH_D2.24" sheetId="111" r:id="rId60"/>
    <sheet name="SCH_D2.25" sheetId="112" r:id="rId61"/>
    <sheet name="SCH_D2.26" sheetId="165" r:id="rId62"/>
    <sheet name="SCH_D2.27" sheetId="130" r:id="rId63"/>
    <sheet name="SCH_D2.28" sheetId="131" r:id="rId64"/>
    <sheet name="SCH_D2.29" sheetId="140" r:id="rId65"/>
    <sheet name="SCH_D2.30" sheetId="161" r:id="rId66"/>
    <sheet name="SCH_D2.31" sheetId="41" r:id="rId67"/>
    <sheet name="SCH_D2.32" sheetId="142" r:id="rId68"/>
    <sheet name="SCH_D2.33" sheetId="141" r:id="rId69"/>
    <sheet name="SCH_D2.34" sheetId="143" r:id="rId70"/>
    <sheet name="SCH_D2.35" sheetId="145" r:id="rId71"/>
    <sheet name="SCH_D2.36" sheetId="146" r:id="rId72"/>
    <sheet name="SCH_D2.37" sheetId="152" r:id="rId73"/>
    <sheet name="SCH_D2.38" sheetId="153" r:id="rId74"/>
    <sheet name="SCH_D3" sheetId="43" r:id="rId75"/>
    <sheet name="SCH_D4" sheetId="44" r:id="rId76"/>
    <sheet name="SCH_D5" sheetId="45" r:id="rId77"/>
    <sheet name="SCH_E1" sheetId="46" r:id="rId78"/>
    <sheet name="SCH_E2" sheetId="48" r:id="rId79"/>
    <sheet name="SCH_F1" sheetId="49" r:id="rId80"/>
    <sheet name="SCH_F2.1" sheetId="50" r:id="rId81"/>
    <sheet name="SCH_F2.2" sheetId="51" r:id="rId82"/>
    <sheet name="SCH_F2.3" sheetId="52" r:id="rId83"/>
    <sheet name="SCH_F3" sheetId="53" r:id="rId84"/>
    <sheet name="SCH_F4" sheetId="54" r:id="rId85"/>
    <sheet name="SCH_F5" sheetId="55" r:id="rId86"/>
    <sheet name="SCH_F6" sheetId="56" r:id="rId87"/>
    <sheet name="SCH_F7" sheetId="57" r:id="rId88"/>
    <sheet name="SCH_G1" sheetId="58" r:id="rId89"/>
    <sheet name="SCH_G2" sheetId="59" r:id="rId90"/>
    <sheet name="SCH_G3" sheetId="60" r:id="rId91"/>
    <sheet name="SCH_H" sheetId="61" r:id="rId92"/>
    <sheet name="SCH_I1 - Total Co" sheetId="159" r:id="rId93"/>
    <sheet name="SCH_I1 - Elec Only" sheetId="62" r:id="rId94"/>
    <sheet name="SCH_I2.1" sheetId="63" r:id="rId95"/>
    <sheet name="Base Period Cust" sheetId="64" r:id="rId96"/>
    <sheet name="KWH Sales" sheetId="124" r:id="rId97"/>
    <sheet name="SCH_I3" sheetId="65" r:id="rId98"/>
    <sheet name="SCH_I4" sheetId="66" r:id="rId99"/>
    <sheet name="SCH_I5" sheetId="67" r:id="rId100"/>
    <sheet name="SCH_J1 - Base" sheetId="76" r:id="rId101"/>
    <sheet name="SCH_J1 - Forecast" sheetId="68" r:id="rId102"/>
    <sheet name="SCH_J2 - Base" sheetId="70" r:id="rId103"/>
    <sheet name="SCH_J2 - Forecast" sheetId="80" r:id="rId104"/>
    <sheet name="SCH_J3 - Base" sheetId="71" r:id="rId105"/>
    <sheet name="SCH_J3 - Forecast" sheetId="81" r:id="rId106"/>
    <sheet name="SCH_J4" sheetId="72" r:id="rId107"/>
    <sheet name="SCH K" sheetId="110" r:id="rId108"/>
  </sheets>
  <definedNames>
    <definedName name="_Dist_Bin" localSheetId="8" hidden="1">#REF!</definedName>
    <definedName name="_Dist_Bin" localSheetId="64" hidden="1">#REF!</definedName>
    <definedName name="_Dist_Bin" localSheetId="68" hidden="1">#REF!</definedName>
    <definedName name="_Dist_Bin" hidden="1">#REF!</definedName>
    <definedName name="_Dist_Values" localSheetId="8" hidden="1">#REF!</definedName>
    <definedName name="_Dist_Values" localSheetId="64" hidden="1">#REF!</definedName>
    <definedName name="_Dist_Values" localSheetId="68" hidden="1">#REF!</definedName>
    <definedName name="_Dist_Values" hidden="1">#REF!</definedName>
    <definedName name="_Fill" localSheetId="22" hidden="1">#REF!</definedName>
    <definedName name="_Fill" localSheetId="28" hidden="1">SCH_B8!$A$53:$A$61</definedName>
    <definedName name="_Fill" localSheetId="78" hidden="1">SCH_E1!$S$160:$S$182</definedName>
    <definedName name="_Fill" localSheetId="93" hidden="1">'SCH_I1 - Elec Only'!#REF!</definedName>
    <definedName name="_Fill" localSheetId="92" hidden="1">'SCH_I1 - Total Co'!#REF!</definedName>
    <definedName name="_Fill" hidden="1">SCH_E1!$AB$405:$AB$444</definedName>
    <definedName name="_xlnm._FilterDatabase" localSheetId="4" hidden="1">'BASE PERIOD'!$A$10:$W$247</definedName>
    <definedName name="_xlnm._FilterDatabase" localSheetId="5" hidden="1">'BP Rev by Product'!$A$11:$T$80</definedName>
    <definedName name="_xlnm._FilterDatabase" localSheetId="6" hidden="1">'FORECASTED PERIOD'!$A$10:$AD$243</definedName>
    <definedName name="_xlnm._FilterDatabase" localSheetId="7" hidden="1">'FP Rev by Product'!$A$11:$S$72</definedName>
    <definedName name="_Regression_Int" localSheetId="28" hidden="1">1</definedName>
    <definedName name="_Regression_Int" localSheetId="77" hidden="1">1</definedName>
    <definedName name="_Regression_Int" localSheetId="78" hidden="1">1</definedName>
    <definedName name="_Regression_Int" localSheetId="93" hidden="1">1</definedName>
    <definedName name="_Regression_Int" localSheetId="92" hidden="1">1</definedName>
    <definedName name="_WIT1">LOGO!$G$6</definedName>
    <definedName name="_WIT10">LOGO!$G$15</definedName>
    <definedName name="_WIT11">LOGO!$G$16</definedName>
    <definedName name="_WIT12">LOGO!$G$17</definedName>
    <definedName name="_WIT2">LOGO!$G$7</definedName>
    <definedName name="_WIT3">LOGO!$G$8</definedName>
    <definedName name="_WIT4">LOGO!$G$9</definedName>
    <definedName name="_WIT5">LOGO!$G$10</definedName>
    <definedName name="_WIT6">LOGO!$G$11</definedName>
    <definedName name="_WIT7">LOGO!$G$12</definedName>
    <definedName name="_WIT8">LOGO!$G$13</definedName>
    <definedName name="_WIT9">LOGO!$G$14</definedName>
    <definedName name="AccountBP">'BASE PERIOD'!$A$11:$A$246</definedName>
    <definedName name="ACCT">'BASE PERIOD'!$A$11:$A$246</definedName>
    <definedName name="AcctTab1">'BASE PERIOD'!$A$11:$Q$246</definedName>
    <definedName name="ACCTTABLE">'BASE PERIOD'!$A$9:$E$381</definedName>
    <definedName name="ALLOCTABLE">ALLOCTABLE!$A$3:$D$36</definedName>
    <definedName name="AmountBP">'BASE PERIOD'!$E$11:$E$246</definedName>
    <definedName name="AmountFP">'FORECASTED PERIOD'!$E$11:$E$243</definedName>
    <definedName name="APPORT">SCH_E1!$AH$275</definedName>
    <definedName name="Base_Period">LOGO!$B$10</definedName>
    <definedName name="Base1">'BASE PERIOD'!$F$11:$F$246</definedName>
    <definedName name="Base10">'BASE PERIOD'!$O$11:$O$246</definedName>
    <definedName name="Base11">'BASE PERIOD'!$P$11:$P$246</definedName>
    <definedName name="Base12">'BASE PERIOD'!$Q$11:$Q$246</definedName>
    <definedName name="Base2">'BASE PERIOD'!$G$11:$G$246</definedName>
    <definedName name="Base3">'BASE PERIOD'!$H$11:$H$246</definedName>
    <definedName name="Base4">'BASE PERIOD'!$I$11:$I$246</definedName>
    <definedName name="Base5">'BASE PERIOD'!$J$11:$J$246</definedName>
    <definedName name="Base6">'BASE PERIOD'!$K$11:$K$246</definedName>
    <definedName name="Base7">'BASE PERIOD'!$L$11:$L$246</definedName>
    <definedName name="Base8">'BASE PERIOD'!$M$11:$M$246</definedName>
    <definedName name="Base9">'BASE PERIOD'!$N$11:$N$246</definedName>
    <definedName name="BaseFuelRate">WPC_2!$AC$124</definedName>
    <definedName name="BasePeriod">'BASE PERIOD'!$A$11:$Q$246</definedName>
    <definedName name="BPActual">#REF!</definedName>
    <definedName name="BPrev1">'BP Rev by Product'!$G$11:$G$79</definedName>
    <definedName name="BPrev10">'BP Rev by Product'!$P$11:$P$79</definedName>
    <definedName name="BPrev11">'BP Rev by Product'!$Q$11:$Q$79</definedName>
    <definedName name="BPrev12">'BP Rev by Product'!$R$11:$R$79</definedName>
    <definedName name="BPrev2">'BP Rev by Product'!$H$11:$H$79</definedName>
    <definedName name="BPrev3">'BP Rev by Product'!$I$11:$I$79</definedName>
    <definedName name="BPrev4">'BP Rev by Product'!$J$11:$J$79</definedName>
    <definedName name="BPrev5">'BP Rev by Product'!$K$11:$K$79</definedName>
    <definedName name="BPrev6">'BP Rev by Product'!$L$11:$L$79</definedName>
    <definedName name="BPrev7">'BP Rev by Product'!$M$11:$M$79</definedName>
    <definedName name="BPrev8">'BP Rev by Product'!$N$11:$N$79</definedName>
    <definedName name="BPrev9">'BP Rev by Product'!$O$11:$O$79</definedName>
    <definedName name="BPrevACCT">'BP Rev by Product'!$A$11:$A$79</definedName>
    <definedName name="BPREVPROD">'BP Rev by Product'!$D$11:$D$79</definedName>
    <definedName name="BPrevTotal">'BP Rev by Product'!$F$11:$F$79</definedName>
    <definedName name="BPTotal">'BASE PERIOD'!$E$11:$E$246</definedName>
    <definedName name="C_1_PROEXP">SCH_C1!$G$23</definedName>
    <definedName name="CASE">LOGO!$B$6</definedName>
    <definedName name="CheckTotal">SCH_D1!$AQ$557</definedName>
    <definedName name="CODE">'BASE PERIOD'!$C$11:$C$246</definedName>
    <definedName name="CodeF">'FORECASTED PERIOD'!$C$11:$C$243</definedName>
    <definedName name="CommonE">'SCH B-2.1'!$C$251</definedName>
    <definedName name="COMPANY">LOGO!$B$5</definedName>
    <definedName name="COMPTAX">LOGO!$C$26</definedName>
    <definedName name="D_1_DEPR">SCH_D1!$E$40</definedName>
    <definedName name="D_1_INTADJ">SCH_D2.19!$AC$94</definedName>
    <definedName name="D_1_OMEXP">SCH_D1!$E$38</definedName>
    <definedName name="D_1_OTHER">SCH_D1!$E$40</definedName>
    <definedName name="D_1_OTHTX">SCH_D1!$E$45</definedName>
    <definedName name="D_1_REV">SCH_D1!$E$21</definedName>
    <definedName name="Data">LOGO!$B$12</definedName>
    <definedName name="DataB">LOGO!$B$14</definedName>
    <definedName name="_xlnm.Database">'BASE PERIOD'!$A$10:$E$444</definedName>
    <definedName name="DataF">LOGO!$B$13</definedName>
    <definedName name="DateCertain">LOGO!$B$16</definedName>
    <definedName name="DEPT">LOGO!$B$9</definedName>
    <definedName name="DUKE_ENERGY_KENTUCKY" localSheetId="8">'SCH A Rate Base'!$A$1:$J$38</definedName>
    <definedName name="ERBR_BP">#REF!</definedName>
    <definedName name="ERBR_FP">#REF!</definedName>
    <definedName name="ExpGRCF">SCH_H!$I$81</definedName>
    <definedName name="FACrate">WPC_2!$AC$123</definedName>
    <definedName name="FERCBP">'BASE PERIOD'!$D$11:$D$246</definedName>
    <definedName name="FERCFP">'FORECASTED PERIOD'!$D$11:$D$243</definedName>
    <definedName name="FIT">LOGO!$C$25</definedName>
    <definedName name="Forecast">LOGO!$B$11</definedName>
    <definedName name="Forecast1">'FORECASTED PERIOD'!$F$11:$F$243</definedName>
    <definedName name="Forecast10">'FORECASTED PERIOD'!$O$11:$O$243</definedName>
    <definedName name="Forecast11">'FORECASTED PERIOD'!$P$11:$P$243</definedName>
    <definedName name="Forecast12">'FORECASTED PERIOD'!$Q$11:$Q$243</definedName>
    <definedName name="Forecast2">'FORECASTED PERIOD'!$G$11:$G$243</definedName>
    <definedName name="Forecast3">'FORECASTED PERIOD'!$H$11:$H$243</definedName>
    <definedName name="forecast4">'FORECASTED PERIOD'!$I$11:$I$243</definedName>
    <definedName name="Forecast5">'FORECASTED PERIOD'!$J$11:$J$243</definedName>
    <definedName name="Forecast6">'FORECASTED PERIOD'!$K$11:$K$243</definedName>
    <definedName name="Forecast7">'FORECASTED PERIOD'!$L$11:$L$243</definedName>
    <definedName name="Forecast8">'FORECASTED PERIOD'!$M$11:$M$243</definedName>
    <definedName name="Forecast9">'FORECASTED PERIOD'!$N$11:$N$243</definedName>
    <definedName name="FPERIOD">'FORECASTED PERIOD'!$A$11:$Q$243</definedName>
    <definedName name="FPrev1">'FP Rev by Product'!$G$12:$G$72</definedName>
    <definedName name="FPrev10">'FP Rev by Product'!$P$12:$P$72</definedName>
    <definedName name="FPrev11">'FP Rev by Product'!$Q$12:$Q$72</definedName>
    <definedName name="FPrev12">'FP Rev by Product'!$R$12:$R$72</definedName>
    <definedName name="FPrev2">'FP Rev by Product'!$H$12:$H$72</definedName>
    <definedName name="FPrev3">'FP Rev by Product'!$I$12:$I$72</definedName>
    <definedName name="FPrev4">'FP Rev by Product'!$J$12:$J$72</definedName>
    <definedName name="FPrev5">'FP Rev by Product'!$K$12:$K$72</definedName>
    <definedName name="FPrev6">'FP Rev by Product'!$L$12:$L$72</definedName>
    <definedName name="FPrev7">'FP Rev by Product'!$M$12:$M$72</definedName>
    <definedName name="FPrev8">'FP Rev by Product'!$N$12:$N$72</definedName>
    <definedName name="FPrev9">'FP Rev by Product'!$O$12:$O$72</definedName>
    <definedName name="FPrevAcct">'FP Rev by Product'!$A$12:$A$72</definedName>
    <definedName name="FPrevProd">'FP Rev by Product'!$D$12:$D$72</definedName>
    <definedName name="FPrevTotal">'FP Rev by Product'!$F$12:$F$71</definedName>
    <definedName name="FPunbilled">WPC_2!$S$54</definedName>
    <definedName name="GRBR_BP">#REF!</definedName>
    <definedName name="GRBR_FP">#REF!</definedName>
    <definedName name="GRCF">SCH_H!$I$34</definedName>
    <definedName name="GRCFdiff">#REF!</definedName>
    <definedName name="GRCFold">#REF!</definedName>
    <definedName name="GROSS_REVENUE_CONVERSION_FACTOR">SCH_H!$I$34</definedName>
    <definedName name="KPSC">LOGO!$C$24</definedName>
    <definedName name="KPSCMaint">LOGO!$C$23</definedName>
    <definedName name="MINCR">SCH_C1!$G$17</definedName>
    <definedName name="PayrollWit">LOGO!$B$19</definedName>
    <definedName name="PERIOD">LOGO!$B$7</definedName>
    <definedName name="PeriodF">LOGO!$B$8</definedName>
    <definedName name="PLANT_IN_SERVICE">SCH_B1!$I$18</definedName>
    <definedName name="_xlnm.Print_Area" localSheetId="4">'BASE PERIOD'!$A$1:$Q$246</definedName>
    <definedName name="_xlnm.Print_Area" localSheetId="6">'FORECASTED PERIOD'!$A$1:$Q$243</definedName>
    <definedName name="_xlnm.Print_Area" localSheetId="8">'SCH A Rate Base'!$A$1:$I$37</definedName>
    <definedName name="_xlnm.Print_Area" localSheetId="11">'SCH B-2'!$A$49:$G$95</definedName>
    <definedName name="_xlnm.Print_Area" localSheetId="12">'SCH B-2.1'!$A$471:$I$514</definedName>
    <definedName name="_xlnm.Print_Area" localSheetId="13">'SCH B-2.2'!$A$43:$I$89</definedName>
    <definedName name="_xlnm.Print_Area" localSheetId="14">'SCH B-2.3'!$A$468:$L$511</definedName>
    <definedName name="_xlnm.Print_Area" localSheetId="15">'SCH B-2.4'!$A$23:$J$66</definedName>
    <definedName name="_xlnm.Print_Area" localSheetId="16">'SCH B-2.5'!$A$32:$G$58</definedName>
    <definedName name="_xlnm.Print_Area" localSheetId="17">'SCH B-2.6'!$A$25:$M$46</definedName>
    <definedName name="_xlnm.Print_Area" localSheetId="18">'SCH B-2.7'!$A$28:$K$52</definedName>
    <definedName name="_xlnm.Print_Area" localSheetId="19">'SCH B-3'!$A$502:$K$553</definedName>
    <definedName name="_xlnm.Print_Area" localSheetId="20">'SCH B-3.1'!$A$38:$I$87</definedName>
    <definedName name="_xlnm.Print_Area" localSheetId="21">'SCH B-3.2 - Proposed'!$A$248:$O$306</definedName>
    <definedName name="_xlnm.Print_Area" localSheetId="22">'SCH B-4'!$A$39:$F$72</definedName>
    <definedName name="_xlnm.Print_Area" localSheetId="107">'SCH K'!$A$176:$N$208</definedName>
    <definedName name="_xlnm.Print_Area" localSheetId="9">SCH_B1!$A$1:$J$52</definedName>
    <definedName name="_xlnm.Print_Area" localSheetId="23">SCH_B5s!$Q$97:$Y$145</definedName>
    <definedName name="_xlnm.Print_Area" localSheetId="25">SCH_B6!$A$45:$Q$92</definedName>
    <definedName name="_xlnm.Print_Area" localSheetId="27">SCH_B7s!$V$72:$AC$105</definedName>
    <definedName name="_xlnm.Print_Area" localSheetId="28">SCH_B8!$A$68:$Q$132</definedName>
    <definedName name="_xlnm.Print_Area" localSheetId="29">SCH_C1!$J$38:$P$71</definedName>
    <definedName name="_xlnm.Print_Area" localSheetId="30">SCH_C2!$A$1:$N$59</definedName>
    <definedName name="_xlnm.Print_Area" localSheetId="33">'SCH_C2.1 - Base Period'!$C$337:$K$376</definedName>
    <definedName name="_xlnm.Print_Area" localSheetId="34">'SCH_C2.1 - Forecasted Period'!$C$331:$K$370</definedName>
    <definedName name="_xlnm.Print_Area" localSheetId="35">SCH_D1!$Q$311:$AE$370</definedName>
    <definedName name="_xlnm.Print_Area" localSheetId="36">SCH_D2.1!$L$41:$T$65</definedName>
    <definedName name="_xlnm.Print_Area" localSheetId="45">SCH_D2.10!$L$43:$T$60</definedName>
    <definedName name="_xlnm.Print_Area" localSheetId="46">SCH_D2.11!$L$43:$T$60</definedName>
    <definedName name="_xlnm.Print_Area" localSheetId="47">SCH_D2.12!$L$43:$T$60</definedName>
    <definedName name="_xlnm.Print_Area" localSheetId="48">SCH_D2.13!$L$43:$T$60</definedName>
    <definedName name="_xlnm.Print_Area" localSheetId="49">SCH_D2.14!$L$46:$T$65</definedName>
    <definedName name="_xlnm.Print_Area" localSheetId="50">SCH_D2.15!$K$50:$T$88</definedName>
    <definedName name="_xlnm.Print_Area" localSheetId="51">SCH_D2.16!$I$41:$R$64</definedName>
    <definedName name="_xlnm.Print_Area" localSheetId="52">SCH_D2.17!$N$35:$U$55</definedName>
    <definedName name="_xlnm.Print_Area" localSheetId="53">SCH_D2.18!$J$53:$S$87</definedName>
    <definedName name="_xlnm.Print_Area" localSheetId="54">SCH_D2.19!$U$71:$AC$102</definedName>
    <definedName name="_xlnm.Print_Area" localSheetId="37">SCH_D2.2!$L$41:$T$57</definedName>
    <definedName name="_xlnm.Print_Area" localSheetId="55">SCH_D2.20!$J$56:$S$83</definedName>
    <definedName name="_xlnm.Print_Area" localSheetId="56">SCH_D2.21!$J$35:$Q$61</definedName>
    <definedName name="_xlnm.Print_Area" localSheetId="57">SCH_D2.22!$I$48:$P$78</definedName>
    <definedName name="_xlnm.Print_Area" localSheetId="58">SCH_D2.23!$J$40:$R$99</definedName>
    <definedName name="_xlnm.Print_Area" localSheetId="59">SCH_D2.24!$K$34:$S$55</definedName>
    <definedName name="_xlnm.Print_Area" localSheetId="60">SCH_D2.25!$A$1:$J$30</definedName>
    <definedName name="_xlnm.Print_Area" localSheetId="61">SCH_D2.26!$J$34:$W$55</definedName>
    <definedName name="_xlnm.Print_Area" localSheetId="62">SCH_D2.27!$I$37:$S$56</definedName>
    <definedName name="_xlnm.Print_Area" localSheetId="63">SCH_D2.28!$BE$136:$BK$152</definedName>
    <definedName name="_xlnm.Print_Area" localSheetId="64">SCH_D2.29!$U$73:$AD$95</definedName>
    <definedName name="_xlnm.Print_Area" localSheetId="38">SCH_D2.3!$L$43:$T$60</definedName>
    <definedName name="_xlnm.Print_Area" localSheetId="65">SCH_D2.30!$S$57:$AD$74</definedName>
    <definedName name="_xlnm.Print_Area" localSheetId="39">SCH_D2.4!$A$1:$J$33</definedName>
    <definedName name="_xlnm.Print_Area" localSheetId="40">SCH_D2.5!$L$43:$T$65</definedName>
    <definedName name="_xlnm.Print_Area" localSheetId="41">SCH_D2.6!$L$43:$T$60</definedName>
    <definedName name="_xlnm.Print_Area" localSheetId="42">SCH_D2.7!$L$43:$T$60</definedName>
    <definedName name="_xlnm.Print_Area" localSheetId="43">SCH_D2.8!$L$43:$T$60</definedName>
    <definedName name="_xlnm.Print_Area" localSheetId="44">SCH_D2.9!$L$43:$T$60</definedName>
    <definedName name="_xlnm.Print_Area" localSheetId="74">SCH_D3!$A$1:$K$40</definedName>
    <definedName name="_xlnm.Print_Area" localSheetId="75">SCH_D4!$A$1:$K$32</definedName>
    <definedName name="_xlnm.Print_Area" localSheetId="76">SCH_D5!$A$1:$H$34</definedName>
    <definedName name="_xlnm.Print_Area" localSheetId="77">SCH_E1!$Z$199:$AH$293</definedName>
    <definedName name="_xlnm.Print_Area" localSheetId="78">SCH_E2!$A$1:$H$27</definedName>
    <definedName name="_xlnm.Print_Area" localSheetId="79">SCH_F1!$A$1:$Q$80</definedName>
    <definedName name="_xlnm.Print_Area" localSheetId="80">SCH_F2.1!$A$1:$Q$42</definedName>
    <definedName name="_xlnm.Print_Area" localSheetId="81">SCH_F2.2!$A$1:$Q$38</definedName>
    <definedName name="_xlnm.Print_Area" localSheetId="82">SCH_F2.3!$A$1:$Q$32</definedName>
    <definedName name="_xlnm.Print_Area" localSheetId="83">SCH_F3!$C$1:$S$35</definedName>
    <definedName name="_xlnm.Print_Area" localSheetId="84">SCH_F4!$M$109:$AA$141</definedName>
    <definedName name="_xlnm.Print_Area" localSheetId="85">SCH_F5!$M$128:$AA$174</definedName>
    <definedName name="_xlnm.Print_Area" localSheetId="86">SCH_F6!$A$1:$L$52</definedName>
    <definedName name="_xlnm.Print_Area" localSheetId="87">SCH_F7!$A$1:$Q$32</definedName>
    <definedName name="_xlnm.Print_Area" localSheetId="88">SCH_G1!$B$1:$L$36</definedName>
    <definedName name="_xlnm.Print_Area" localSheetId="89">SCH_G2!$B$1:$I$26</definedName>
    <definedName name="_xlnm.Print_Area" localSheetId="90">SCH_G3!$A$1:$H$43</definedName>
    <definedName name="_xlnm.Print_Area" localSheetId="91">SCH_H!$K$83:$Y$99</definedName>
    <definedName name="_xlnm.Print_Area" localSheetId="93">'SCH_I1 - Elec Only'!$A$1:$V$78</definedName>
    <definedName name="_xlnm.Print_Area" localSheetId="92">'SCH_I1 - Total Co'!$A$1:$V$66</definedName>
    <definedName name="_xlnm.Print_Area" localSheetId="94">SCH_I2.1!$A$1:$N$55</definedName>
    <definedName name="_xlnm.Print_Area" localSheetId="97">SCH_I3!$A$1:$N$55</definedName>
    <definedName name="_xlnm.Print_Area" localSheetId="98">SCH_I4!$A$1:$N$56</definedName>
    <definedName name="_xlnm.Print_Area" localSheetId="99">SCH_I5!$A$1:$N$55</definedName>
    <definedName name="_xlnm.Print_Area" localSheetId="100">'SCH_J1 - Base'!$A$1:$M$35</definedName>
    <definedName name="_xlnm.Print_Area" localSheetId="101">'SCH_J1 - Forecast'!$A$1:$M$39</definedName>
    <definedName name="_xlnm.Print_Area" localSheetId="102">'SCH_J2 - Base'!$A$1:$J$32</definedName>
    <definedName name="_xlnm.Print_Area" localSheetId="103">'SCH_J2 - Forecast'!$A$1:$J$37</definedName>
    <definedName name="_xlnm.Print_Area" localSheetId="104">'SCH_J3 - Base'!$A$1:$M$61</definedName>
    <definedName name="_xlnm.Print_Area" localSheetId="105">'SCH_J3 - Forecast'!$A$1:$M$62</definedName>
    <definedName name="_xlnm.Print_Area" localSheetId="106">SCH_J4!$A$1:$M$42</definedName>
    <definedName name="_xlnm.Print_Area" localSheetId="10">'WPB-1'!$A$1:$AC$53</definedName>
    <definedName name="_xlnm.Print_Area" localSheetId="24">'WPB-5''s'!$CX$413:$DE$462</definedName>
    <definedName name="_xlnm.Print_Area" localSheetId="26">'WPB-6''s'!$AD$268:$AM$289</definedName>
    <definedName name="_xlnm.Print_Area" localSheetId="31">WPC_2!$AM$250:$AR$262</definedName>
    <definedName name="_xlnm.Print_Area" localSheetId="32">'WPC-2e - Adj Summary'!$A$1:$R$26</definedName>
    <definedName name="_xlnm.Print_Titles" localSheetId="4">'BASE PERIOD'!$A:$D,'BASE PERIOD'!$1:$10</definedName>
    <definedName name="_xlnm.Print_Titles" localSheetId="6">'FORECASTED PERIOD'!$A:$D,'FORECASTED PERIOD'!$1:$10</definedName>
    <definedName name="RBvsCAP_BP_pg1">#REF!</definedName>
    <definedName name="RBvsCap_BP_pg2">#REF!</definedName>
    <definedName name="RBvsCap_BP_pg3">#REF!</definedName>
    <definedName name="RBvsCap_BP_pg4">#REF!</definedName>
    <definedName name="RBvsCAP_FP_pg1">#REF!</definedName>
    <definedName name="RBvsCap_FP_pg2">#REF!</definedName>
    <definedName name="RBvsCap_FP_pg3">#REF!</definedName>
    <definedName name="RBvsCap_FP_pg4">#REF!</definedName>
    <definedName name="RofR">'SCH_J1 - Forecast'!$M$21</definedName>
    <definedName name="RofRdiff">#REF!</definedName>
    <definedName name="RofRold">#REF!</definedName>
    <definedName name="Sch_A">'SCH A Rate Base'!$A$1:$I$37</definedName>
    <definedName name="SCH_B1">SCH_B1!$A$1:$J$52</definedName>
    <definedName name="SCH_B2.1P1">'SCH B-2.1'!$A$1:$I$38</definedName>
    <definedName name="SCH_B2.1P10">'SCH B-2.1'!$A$375:$I$427</definedName>
    <definedName name="SCH_B2.1P11">'SCH B-2.1'!$A$429:$I$469</definedName>
    <definedName name="SCH_B2.1P12">'SCH B-2.1'!$A$471:$I$514</definedName>
    <definedName name="SCH_B2.1P2">'SCH B-2.1'!$A$39:$I$78</definedName>
    <definedName name="SCH_B2.1P3">'SCH B-2.1'!$A$79:$I$116</definedName>
    <definedName name="SCH_B2.1P4">'SCH B-2.1'!$A$118:$I$169</definedName>
    <definedName name="SCH_B2.1P5">'SCH B-2.1'!$A$171:$I$211</definedName>
    <definedName name="SCH_B2.1P6">'SCH B-2.1'!$A$213:$I$256</definedName>
    <definedName name="SCH_B2.1P7">'SCH B-2.1'!$A$258:$I$295</definedName>
    <definedName name="SCH_B2.1P8">'SCH B-2.1'!$A$296:$I$334</definedName>
    <definedName name="SCH_B2.1P9">'SCH B-2.1'!$A$336:$I$374</definedName>
    <definedName name="SCH_B2.2P1">'SCH B-2.2'!$A$1:$I$41</definedName>
    <definedName name="SCH_B2.2P2">'SCH B-2.2'!$A$43:$I$89</definedName>
    <definedName name="SCH_B2.3P1">'SCH B-2.3'!$A$1:$K$38</definedName>
    <definedName name="SCH_B2.3P10">'SCH B-2.3'!$A$374:$L$424</definedName>
    <definedName name="SCH_B2.3P11">'SCH B-2.3'!$A$426:$L$466</definedName>
    <definedName name="SCH_B2.3P12">'SCH B-2.3'!$A$468:$L$511</definedName>
    <definedName name="SCH_B2.3P2">'SCH B-2.3'!$A$39:$K$77</definedName>
    <definedName name="SCH_B2.3P3">'SCH B-2.3'!$A$79:$K$116</definedName>
    <definedName name="SCH_B2.3P4">'SCH B-2.3'!$A$118:$K$169</definedName>
    <definedName name="SCH_B2.3P5">'SCH B-2.3'!$A$171:$K$211</definedName>
    <definedName name="SCH_B2.3P6">'SCH B-2.3'!$A$213:$K$256</definedName>
    <definedName name="SCH_B2.3P7">'SCH B-2.3'!$A$258:$L$294</definedName>
    <definedName name="SCH_B2.3P8">'SCH B-2.3'!$A$295:$L$333</definedName>
    <definedName name="SCH_B2.3P9">'SCH B-2.3'!$A$335:$L$373</definedName>
    <definedName name="SCH_B2.4P1">'SCH B-2.4'!$A$1:$J$21</definedName>
    <definedName name="SCH_B2.4P2">'SCH B-2.4'!$A$23:$J$66</definedName>
    <definedName name="SCH_B2.5P1">'SCH B-2.5'!$A$1:$G$30</definedName>
    <definedName name="SCH_B2.5P2">'SCH B-2.5'!$A$32:$G$58</definedName>
    <definedName name="SCH_B2.6P1">'SCH B-2.6'!$A$1:$M$23</definedName>
    <definedName name="SCH_B2.6P2">'SCH B-2.6'!$A$25:$M$46</definedName>
    <definedName name="SCH_B2.7P1">'SCH B-2.7'!$A$1:$K$26</definedName>
    <definedName name="SCH_B2.7P2">'SCH B-2.7'!$A$28:$K$52</definedName>
    <definedName name="SCH_B2P1">'SCH B-2'!$A$1:$G$47</definedName>
    <definedName name="SCH_B2P2">'SCH B-2'!$A$49:$G$95</definedName>
    <definedName name="SCH_B3.1P1">'SCH B-3.1'!$A$1:$I$36</definedName>
    <definedName name="SCH_B3.1P2">'SCH B-3.1'!$A$38:$I$87</definedName>
    <definedName name="SCH_B3.2P1">'SCH B-3.2 - Proposed'!$A$1:$O$41</definedName>
    <definedName name="SCH_B3.2P2">'SCH B-3.2 - Proposed'!$A$44:$O$87</definedName>
    <definedName name="SCH_B3.2P3">'SCH B-3.2 - Proposed'!$A$91:$O$134</definedName>
    <definedName name="SCH_B3.2P4">'SCH B-3.2 - Proposed'!$A$136:$O$193</definedName>
    <definedName name="SCH_B3.2P5">'SCH B-3.2 - Proposed'!$A$196:$O$245</definedName>
    <definedName name="SCH_B3.2P6">'SCH B-3.2 - Proposed'!$A$248:$O$306</definedName>
    <definedName name="SCH_B3P1">'SCH B-3'!$A$1:$K$39</definedName>
    <definedName name="SCH_B3P10">'SCH B-3'!$A$401:$K$453</definedName>
    <definedName name="SCH_B3P11">'SCH B-3'!$A$455:$K$500</definedName>
    <definedName name="SCH_B3P12">'SCH B-3'!$A$502:$K$553</definedName>
    <definedName name="SCH_B3P2">'SCH B-3'!$A$41:$K$81</definedName>
    <definedName name="SCH_B3P3">'SCH B-3'!$A$83:$K$122</definedName>
    <definedName name="SCH_B3P4">'SCH B-3'!$A$124:$K$176</definedName>
    <definedName name="SCH_B3P5">'SCH B-3'!$A$178:$K$223</definedName>
    <definedName name="SCH_B3P6">'SCH B-3'!$A$225:$K$276</definedName>
    <definedName name="SCH_B3P7">'SCH B-3'!$A$279:$K$317</definedName>
    <definedName name="SCH_B3P8">'SCH B-3'!$A$319:$K$357</definedName>
    <definedName name="SCH_B3P9">'SCH B-3'!$A$359:$K$399</definedName>
    <definedName name="SCH_B4P1">'SCH B-4'!$A$1:$F$37</definedName>
    <definedName name="SCH_B4P2">'SCH B-4'!$A$39:$F$72</definedName>
    <definedName name="SCH_B5">SCH_B5s!$A$1:$O$46</definedName>
    <definedName name="SCH_B5.1">SCH_B5s!$Q$47:$Y$93</definedName>
    <definedName name="SCH_B5.1P2">SCH_B5s!$Q$97:$Y$145</definedName>
    <definedName name="SCH_B6P1">SCH_B6!$A$1:$Q$42</definedName>
    <definedName name="SCH_B6P2">SCH_B6!$A$45:$Q$92</definedName>
    <definedName name="SCH_B7.1">SCH_B7s!$L$40:$U$79</definedName>
    <definedName name="SCH_B7.2">SCH_B7s!$V$72:$AC$105</definedName>
    <definedName name="SCH_B7P1">SCH_B7s!$A$1:$K$34</definedName>
    <definedName name="SCH_B8P1">SCH_B8!$A$1:$Q$66</definedName>
    <definedName name="SCH_B8P2">SCH_B8!$A$68:$Q$132</definedName>
    <definedName name="SCH_C1">SCH_C1!$A$1:$I$37</definedName>
    <definedName name="SCH_C2">SCH_C2!$A$1:$N$59</definedName>
    <definedName name="SCH_C2.1FP1">'SCH_C2.1 - Forecasted Period'!$C$3:$K$47</definedName>
    <definedName name="SCH_C2.1FP2">'SCH_C2.1 - Forecasted Period'!$C$49:$K$117</definedName>
    <definedName name="SCH_C2.1FP3">'SCH_C2.1 - Forecasted Period'!$C$119:$K$193</definedName>
    <definedName name="SCH_C2.1FP4">'SCH_C2.1 - Forecasted Period'!$C$195:$K$237</definedName>
    <definedName name="SCH_C2.1FP5">'SCH_C2.1 - Forecasted Period'!$C$239:$K$293</definedName>
    <definedName name="SCH_C2.1FP6">'SCH_C2.1 - Forecasted Period'!$C$295:$K$329</definedName>
    <definedName name="SCH_C2.1FP7">'SCH_C2.1 - Forecasted Period'!$C$331:$K$370</definedName>
    <definedName name="SCH_C2.1P1">'SCH_C2.1 - Base Period'!$C$3:$K$53</definedName>
    <definedName name="SCH_C2.1P2">'SCH_C2.1 - Base Period'!$C$55:$K$125</definedName>
    <definedName name="SCH_C2.1P3">'SCH_C2.1 - Base Period'!$C$127:$K$198</definedName>
    <definedName name="SCH_C2.1P4">'SCH_C2.1 - Base Period'!$C$200:$K$242</definedName>
    <definedName name="SCH_C2.1P5">'SCH_C2.1 - Base Period'!$C$244:$K$298</definedName>
    <definedName name="SCH_C2.1P6">'SCH_C2.1 - Base Period'!$C$300:$K$335</definedName>
    <definedName name="SCH_C2.1P7">'SCH_C2.1 - Base Period'!$C$337:$K$376</definedName>
    <definedName name="SCH_D1_ERROR_CHECK">SCH_C2!$J$38</definedName>
    <definedName name="SCH_D1P1">SCH_D1!$AG$498:$AO$558</definedName>
    <definedName name="SCH_D1P2">SCH_D1!$A$1:$O$60</definedName>
    <definedName name="SCH_D1P3">SCH_D1!$A$63:$O$122</definedName>
    <definedName name="SCH_D1P4">SCH_D1!$A$125:$O$184</definedName>
    <definedName name="SCH_D1P5">SCH_D1!$Q$187:$AE$246</definedName>
    <definedName name="SCH_D1P6">SCH_D1!$Q$249:$AE$308</definedName>
    <definedName name="SCH_D1P7">SCH_D1!$Q$311:$AE$370</definedName>
    <definedName name="SCH_D1P8">SCH_D1!$Q$373:$AE$432</definedName>
    <definedName name="SCH_D1P9">SCH_D1!$Q$435:$AE$494</definedName>
    <definedName name="SCH_D2.1">SCH_D2.1!$A$1:$J$40</definedName>
    <definedName name="SCH_D2.10">SCH_D2.10!$A$1:$J$36</definedName>
    <definedName name="SCH_D2.11">SCH_D2.11!$A$1:$J$36</definedName>
    <definedName name="SCH_D2.12">SCH_D2.12!$A$1:$J$36</definedName>
    <definedName name="SCH_D2.13">SCH_D2.13!$A$1:$J$36</definedName>
    <definedName name="SCH_D2.14">SCH_D2.14!$A$1:$J$40</definedName>
    <definedName name="SCH_D2.15">SCH_D2.15!$A$1:$I$44</definedName>
    <definedName name="SCH_D2.16">SCH_D2.16!$A$1:$G$39</definedName>
    <definedName name="SCH_D2.17">SCH_D2.17!$A$1:$J$30</definedName>
    <definedName name="SCH_D2.18">SCH_D2.18!$A$1:$H$52</definedName>
    <definedName name="SCH_D2.19">SCH_D2.19!$A$1:$H$35</definedName>
    <definedName name="SCH_D2.19P2">SCH_D2.19!$J$34:$R$70</definedName>
    <definedName name="SCH_D2.2">SCH_D2.2!$A$1:$J$34</definedName>
    <definedName name="SCH_D2.20">SCH_D2.20!$B$1:$H$49</definedName>
    <definedName name="SCH_D2.21">SCH_D2.21!$A$1:$G$30</definedName>
    <definedName name="SCH_D2.22">SCH_D2.22!$A$1:$G$42</definedName>
    <definedName name="SCH_D2.23">SCH_D2.23!$A$1:$H$40</definedName>
    <definedName name="SCH_D2.24P1">SCH_D2.24!$A$1:$J$32</definedName>
    <definedName name="SCH_D2.25">SCH_D2.25!$A$1:$J$30</definedName>
    <definedName name="SCH_D2.26">SCH_D2.26!$A$1:$H$30</definedName>
    <definedName name="SCH_D2.27">SCH_D2.27!$A$1:$G$28</definedName>
    <definedName name="SCH_D2.28">SCH_D2.28!$A$1:$H$41</definedName>
    <definedName name="SCH_D2.29">SCH_D2.29!$A$1:$H$34</definedName>
    <definedName name="SCH_D2.3">SCH_D2.3!$A$1:$J$36</definedName>
    <definedName name="SCH_D2.30">SCH_D2.30!$A$1:$H$32</definedName>
    <definedName name="SCH_D2.31">SCH_D2.31!$A$1:$H$32</definedName>
    <definedName name="SCH_D2.32">SCH_D2.32!$A$1:$H$16</definedName>
    <definedName name="SCH_D2.33">SCH_D2.33!$A$1:$H$16</definedName>
    <definedName name="SCH_D2.34">SCH_D2.34!$A$1:$H$16</definedName>
    <definedName name="SCH_D2.35">SCH_D2.35!$A$1:$H$16</definedName>
    <definedName name="SCH_D2.36">SCH_D2.36!$A$1:$H$17</definedName>
    <definedName name="SCH_D2.37">SCH_D2.37!$A$1:$H$30</definedName>
    <definedName name="SCH_D2.38">SCH_D2.38!$A$1:$G$29</definedName>
    <definedName name="SCH_D2.4">SCH_D2.4!$A$1:$J$33</definedName>
    <definedName name="SCH_D2.5">SCH_D2.5!$A$1:$J$40</definedName>
    <definedName name="SCH_D2.6">SCH_D2.6!$A$1:$J$35</definedName>
    <definedName name="SCH_D2.7">SCH_D2.7!$A$1:$J$36</definedName>
    <definedName name="SCH_D2.8">SCH_D2.8!$A$1:$J$36</definedName>
    <definedName name="SCH_D2.9">SCH_D2.9!$A$1:$J$36</definedName>
    <definedName name="SCH_D3">SCH_D3!$A$1:$K$40</definedName>
    <definedName name="SCH_D4">SCH_D4!$A$1:$K$32</definedName>
    <definedName name="SCH_D5">SCH_D5!$A$1:$H$34</definedName>
    <definedName name="Sch_E1P1">SCH_E1!$C$3:$Q$39</definedName>
    <definedName name="Sch_E1P2">SCH_E1!$C$42:$Q$85</definedName>
    <definedName name="Sch_E1P3">SCH_E1!$C$90:$Q$144</definedName>
    <definedName name="Sch_E2P1">SCH_E2!$A$1:$H$27</definedName>
    <definedName name="Sch_F1">SCH_F1!$A$1:$Q$80</definedName>
    <definedName name="SCH_F2.1">SCH_F2.1!$A$1:$Q$42</definedName>
    <definedName name="SCH_F2.2">SCH_F2.2!$A$1:$Q$38</definedName>
    <definedName name="SCH_F2.3">SCH_F2.3!$A$1:$Q$32</definedName>
    <definedName name="SCH_F3P1">SCH_F3!$C$1:$S$35</definedName>
    <definedName name="SCH_F4P1">SCH_F4!$A$1:$K$36</definedName>
    <definedName name="SCH_F4P2">SCH_F4!$A$69:$K$115</definedName>
    <definedName name="SCH_F5">SCH_F5!$A$1:$K$27</definedName>
    <definedName name="SCH_F5P2">SCH_F5!$A$29:$K$55</definedName>
    <definedName name="SCH_F6">SCH_F6!$A$1:$L$52</definedName>
    <definedName name="SCH_F7">SCH_F7!$A$1:$Q$32</definedName>
    <definedName name="SCH_G1">SCH_G1!$B$1:$L$36</definedName>
    <definedName name="SCH_G2">SCH_G2!$B$1:$I$26</definedName>
    <definedName name="SCH_G3">SCH_G3!$A$1:$H$43</definedName>
    <definedName name="SCH_H">SCH_H!$A$1:$I$37</definedName>
    <definedName name="SCH_H_FP">SCH_H!$A$39:$I$75</definedName>
    <definedName name="SCH_I1_Elec">'SCH_I1 - Elec Only'!$A$1:$V$78</definedName>
    <definedName name="SCH_I1_Total">'SCH_I1 - Total Co'!$A$1:$V$66</definedName>
    <definedName name="SCH_I2.1">SCH_I2.1!$A$1:$N$55</definedName>
    <definedName name="SCH_I3">SCH_I3!$A$1:$N$55</definedName>
    <definedName name="SCH_I4">SCH_I4!$A$1:$N$56</definedName>
    <definedName name="SCH_I5">SCH_I5!$A$1:$N$55</definedName>
    <definedName name="SCH_J1_Base">'SCH_J1 - Base'!$A$1:$M$35</definedName>
    <definedName name="SCH_J1_Forecast">'SCH_J1 - Forecast'!$A$1:$M$39</definedName>
    <definedName name="SCH_J2_Base">'SCH_J2 - Base'!$A$1:$J$32</definedName>
    <definedName name="SCH_J2_Forecast">'SCH_J2 - Forecast'!$A$1:$J$37</definedName>
    <definedName name="SCH_J3_Base">'SCH_J3 - Base'!$A$1:$M$61</definedName>
    <definedName name="SCH_J3_Forecast">'SCH_J3 - Forecast'!$A$1:$M$62</definedName>
    <definedName name="SCH_J4">SCH_J4!$A$1:$M$42</definedName>
    <definedName name="SCH_K1P1">'SCH K'!$A$1:$N$56</definedName>
    <definedName name="SCH_K1P2">'SCH K'!$A$57:$N$103</definedName>
    <definedName name="SCH_K1P3">'SCH K'!$A$104:$N$132</definedName>
    <definedName name="SCH_K1P4">'SCH K'!$A$133:$N$175</definedName>
    <definedName name="SCH_K1P5">'SCH K'!$A$176:$N$208</definedName>
    <definedName name="SIT">LOGO!$C$24</definedName>
    <definedName name="Staff_DR_01_007">#REF!</definedName>
    <definedName name="Staff_DR_01_031">#REF!</definedName>
    <definedName name="TAXRECONTABLE">SCH_E1!$T$160:$X$168</definedName>
    <definedName name="Testyear">LOGO!$B$17</definedName>
    <definedName name="TESTYR">LOGO!$B$10</definedName>
    <definedName name="Type">LOGO!$B$15</definedName>
    <definedName name="UncollExp">LOGO!$C$22</definedName>
    <definedName name="UncollRatio">LOGO!$C$22</definedName>
    <definedName name="WCD">'SCH_J1 - Forecast'!$M$18</definedName>
    <definedName name="WORKING_CAPITAL">SCH_B5s!$O$42</definedName>
    <definedName name="WPB_1.1a">'WPB-1'!$A$1:$AC$53</definedName>
    <definedName name="WPB_5.1a">'WPB-5''s'!$A$1:$G$38</definedName>
    <definedName name="WPB_5.1b">'WPB-5''s'!$I$39:$P$84</definedName>
    <definedName name="WPB_5.1c">'WPB-5''s'!$AG$114:$AR$156</definedName>
    <definedName name="WPB_5.1d">'WPB-5''s'!$BF$205:$BQ$254</definedName>
    <definedName name="WPB_5.1e">'WPB-5''s'!$Q$85:$AC$111</definedName>
    <definedName name="WPB_5.1f">'WPB-5''s'!$AV$155:$BC$202</definedName>
    <definedName name="WPB_5.1g">'WPB-5''s'!$BS$255:$BZ$304</definedName>
    <definedName name="WPB_5.1h">'WPB-5''s'!$CB$307:$CK$356</definedName>
    <definedName name="WPB_5.1i">'WPB-5''s'!$CM$359:$CV$408</definedName>
    <definedName name="WPB_5.1j">'WPB-5''s'!$CX$413:$DE$462</definedName>
    <definedName name="WPB_6a">'WPB-6''s'!$A$1:$L$87</definedName>
    <definedName name="WPB_6b">'WPB-6''s'!$A$92:$T$186</definedName>
    <definedName name="WPB_6c">'WPB-6''s'!$V$202:$AB$268</definedName>
    <definedName name="WPB_6d">'WPB-6''s'!$AD$268:$AM$289</definedName>
    <definedName name="WPC_1a">SCH_C1!$J$38:$P$71</definedName>
    <definedName name="WPC_2.1a_BP">'BASE PERIOD'!$A$1:$Q$246</definedName>
    <definedName name="WPC_2.1a_FP">'FORECASTED PERIOD'!$A$1:$Q$243</definedName>
    <definedName name="WPC_2a">WPC_2!$A$1:$I$39</definedName>
    <definedName name="WPC_2b">WPC_2!$K$40:$S$79</definedName>
    <definedName name="WPC_2c">WPC_2!$U$80:$AK$155</definedName>
    <definedName name="WPC_2d">WPC_2!$U$164:$AK$239</definedName>
    <definedName name="WPC_2e">'WPC-2e - Adj Summary'!$A$1:$R$26</definedName>
    <definedName name="WPC_2f">WPC_2!$AM$250:$AR$262</definedName>
    <definedName name="WPD_2.10a">SCH_D2.10!$L$43:$T$60</definedName>
    <definedName name="WPD_2.11a">SCH_D2.11!$L$43:$T$60</definedName>
    <definedName name="WPD_2.12a">SCH_D2.12!$L$43:$T$60</definedName>
    <definedName name="WPD_2.13a">SCH_D2.13!$L$43:$T$60</definedName>
    <definedName name="WPD_2.14a">SCH_D2.14!$L$46:$T$65</definedName>
    <definedName name="WPD_2.15a">SCH_D2.15!$K$50:$T$88</definedName>
    <definedName name="WPD_2.16a">SCH_D2.16!$I$41:$R$64</definedName>
    <definedName name="WPD_2.17a">SCH_D2.17!$N$35:$U$55</definedName>
    <definedName name="WPD_2.18a">SCH_D2.18!$J$53:$S$87</definedName>
    <definedName name="WPD_2.19a">SCH_D2.19!$U$71:$AC$102</definedName>
    <definedName name="WPD_2.1a">SCH_D2.1!$L$41:$T$65</definedName>
    <definedName name="WPD_2.1e">'KWH Sales'!$A$1:$J$30</definedName>
    <definedName name="WPD_2.20a">SCH_D2.20!$J$56:$S$83</definedName>
    <definedName name="WPD_2.21a">SCH_D2.21!$J$35:$Q$61</definedName>
    <definedName name="WPD_2.22a">SCH_D2.22!$I$48:$P$78</definedName>
    <definedName name="WPD_2.23a">SCH_D2.23!$J$40:$R$99</definedName>
    <definedName name="WPD_2.24a">SCH_D2.24!$K$34:$S$55</definedName>
    <definedName name="WPD_2.26a">SCH_D2.26!$J$34:$W$55</definedName>
    <definedName name="WPD_2.27a">SCH_D2.27!$I$37:$S$56</definedName>
    <definedName name="WPD_2.28a">SCH_D2.28!$J$46:$Y$78</definedName>
    <definedName name="WPD_2.28b">SCH_D2.28!$AA$80:$AM$109</definedName>
    <definedName name="WPD_2.28c">SCH_D2.28!$AP$111:$BB$135</definedName>
    <definedName name="WPD_2.28d">SCH_D2.28!$BE$136:$BK$152</definedName>
    <definedName name="WPD_2.29a">SCH_D2.29!$K$40:$R$70</definedName>
    <definedName name="WPD_2.29b">SCH_D2.29!$U$73:$AD$95</definedName>
    <definedName name="WPD_2.2a">SCH_D2.2!$L$41:$T$57</definedName>
    <definedName name="WPD_2.30a">SCH_D2.30!$J$30:$Q$56</definedName>
    <definedName name="WPD_2.30b">SCH_D2.30!$S$57:$AD$74</definedName>
    <definedName name="WPD_2.3a">SCH_D2.3!$L$43:$T$60</definedName>
    <definedName name="WPD_2.5a">SCH_D2.5!$L$43:$T$65</definedName>
    <definedName name="WPD_2.6a">SCH_D2.6!$L$43:$T$60</definedName>
    <definedName name="WPD_2.7a">SCH_D2.7!$L$43:$T$60</definedName>
    <definedName name="WPD_2.8a">SCH_D2.8!$L$43:$T$60</definedName>
    <definedName name="WPD_2.9a">SCH_D2.9!$L$43:$T$60</definedName>
    <definedName name="WPE_1a">SCH_E1!$S$149:$X$200</definedName>
    <definedName name="WPE_1b">SCH_E1!$Z$199:$AH$293</definedName>
    <definedName name="WPF_4a">SCH_F4!$M$37:$AA$69</definedName>
    <definedName name="WPF_4b">SCH_F4!$M$109:$AA$141</definedName>
    <definedName name="WPF_5a">SCH_F5!$M$56:$AA$122</definedName>
    <definedName name="WPF_5b">SCH_F5!$M$128:$AA$174</definedName>
    <definedName name="WPH_a">SCH_H!$K$83:$Y$99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203" i="15" l="1"/>
  <c r="V202" i="15"/>
  <c r="L111" i="110"/>
  <c r="O86" i="46" l="1"/>
  <c r="F110" i="164" l="1"/>
  <c r="I17" i="12" l="1"/>
  <c r="F146" i="15"/>
  <c r="F145" i="15"/>
  <c r="R150" i="15"/>
  <c r="AB266" i="15" l="1"/>
  <c r="AB263" i="15" l="1"/>
  <c r="T148" i="15" l="1"/>
  <c r="T127" i="15" l="1"/>
  <c r="T161" i="15"/>
  <c r="T160" i="15"/>
  <c r="T163" i="15"/>
  <c r="C169" i="110" l="1"/>
  <c r="C168" i="110"/>
  <c r="C95" i="110" l="1"/>
  <c r="D95" i="110"/>
  <c r="D80" i="110"/>
  <c r="C77" i="110"/>
  <c r="D77" i="110"/>
  <c r="E95" i="110"/>
  <c r="F95" i="110"/>
  <c r="C93" i="110"/>
  <c r="E93" i="110"/>
  <c r="F93" i="110"/>
  <c r="E80" i="110"/>
  <c r="F80" i="110"/>
  <c r="F77" i="110"/>
  <c r="E77" i="110"/>
  <c r="E203" i="110"/>
  <c r="E202" i="110"/>
  <c r="F203" i="110"/>
  <c r="F202" i="110"/>
  <c r="F200" i="110"/>
  <c r="E200" i="110"/>
  <c r="E195" i="110"/>
  <c r="E194" i="110"/>
  <c r="F195" i="110"/>
  <c r="F194" i="110"/>
  <c r="F192" i="110"/>
  <c r="E150" i="110"/>
  <c r="G169" i="110"/>
  <c r="F168" i="110"/>
  <c r="G168" i="110"/>
  <c r="F165" i="110"/>
  <c r="E165" i="110"/>
  <c r="F153" i="110"/>
  <c r="E153" i="110"/>
  <c r="H26" i="64" l="1"/>
  <c r="G26" i="64"/>
  <c r="F26" i="64"/>
  <c r="E26" i="64"/>
  <c r="D26" i="64"/>
  <c r="C26" i="64"/>
  <c r="J53" i="159" l="1"/>
  <c r="D47" i="110" l="1"/>
  <c r="C47" i="110"/>
  <c r="C36" i="110"/>
  <c r="D36" i="110"/>
  <c r="D34" i="110"/>
  <c r="C34" i="110"/>
  <c r="F22" i="110"/>
  <c r="E22" i="110"/>
  <c r="D24" i="110"/>
  <c r="D22" i="110"/>
  <c r="C24" i="110"/>
  <c r="C22" i="110"/>
  <c r="N192" i="110"/>
  <c r="M192" i="110"/>
  <c r="L192" i="110"/>
  <c r="K192" i="110"/>
  <c r="J192" i="110"/>
  <c r="I192" i="110"/>
  <c r="H192" i="110"/>
  <c r="G192" i="110"/>
  <c r="N47" i="110"/>
  <c r="M47" i="110"/>
  <c r="L47" i="110"/>
  <c r="K47" i="110"/>
  <c r="J47" i="110"/>
  <c r="I47" i="110"/>
  <c r="H47" i="110"/>
  <c r="G47" i="110"/>
  <c r="N36" i="110"/>
  <c r="M36" i="110"/>
  <c r="L36" i="110"/>
  <c r="K36" i="110"/>
  <c r="J36" i="110"/>
  <c r="I36" i="110"/>
  <c r="H36" i="110"/>
  <c r="G36" i="110"/>
  <c r="N34" i="110"/>
  <c r="M34" i="110"/>
  <c r="L34" i="110"/>
  <c r="K34" i="110"/>
  <c r="J34" i="110"/>
  <c r="I34" i="110"/>
  <c r="H34" i="110"/>
  <c r="G34" i="110"/>
  <c r="N24" i="110"/>
  <c r="M24" i="110"/>
  <c r="L24" i="110"/>
  <c r="K24" i="110"/>
  <c r="J24" i="110"/>
  <c r="I24" i="110"/>
  <c r="H24" i="110"/>
  <c r="G24" i="110"/>
  <c r="N22" i="110"/>
  <c r="M22" i="110"/>
  <c r="L22" i="110"/>
  <c r="K22" i="110"/>
  <c r="J22" i="110"/>
  <c r="I22" i="110"/>
  <c r="H22" i="110"/>
  <c r="G22" i="110"/>
  <c r="F127" i="164" l="1"/>
  <c r="D127" i="164"/>
  <c r="D119" i="164"/>
  <c r="F119" i="164"/>
  <c r="L95" i="164"/>
  <c r="J95" i="164"/>
  <c r="H95" i="164"/>
  <c r="F104" i="164"/>
  <c r="D104" i="164"/>
  <c r="D95" i="164"/>
  <c r="F95" i="164"/>
  <c r="F88" i="164"/>
  <c r="D88" i="164"/>
  <c r="H61" i="164"/>
  <c r="F61" i="164"/>
  <c r="D61" i="164"/>
  <c r="H50" i="164"/>
  <c r="F50" i="164"/>
  <c r="D50" i="164"/>
  <c r="F28" i="164"/>
  <c r="D28" i="164"/>
  <c r="J28" i="164"/>
  <c r="L28" i="164"/>
  <c r="H28" i="164"/>
  <c r="D20" i="164"/>
  <c r="F20" i="164"/>
  <c r="F18" i="164"/>
  <c r="D18" i="164"/>
  <c r="D130" i="164" l="1"/>
  <c r="F130" i="164"/>
  <c r="F64" i="164"/>
  <c r="D64" i="164"/>
  <c r="J104" i="164"/>
  <c r="H104" i="164"/>
  <c r="J88" i="164"/>
  <c r="H88" i="164"/>
  <c r="H64" i="164"/>
  <c r="J61" i="164"/>
  <c r="J50" i="164" l="1"/>
  <c r="J20" i="164"/>
  <c r="H20" i="164"/>
  <c r="L18" i="164"/>
  <c r="J18" i="164"/>
  <c r="H18" i="164"/>
  <c r="L130" i="164" l="1"/>
  <c r="S130" i="164"/>
  <c r="P130" i="164"/>
  <c r="N130" i="164"/>
  <c r="S127" i="164"/>
  <c r="P127" i="164"/>
  <c r="N127" i="164"/>
  <c r="L127" i="164"/>
  <c r="S119" i="164"/>
  <c r="P119" i="164"/>
  <c r="N119" i="164"/>
  <c r="L119" i="164"/>
  <c r="S104" i="164"/>
  <c r="P104" i="164"/>
  <c r="N104" i="164"/>
  <c r="L104" i="164"/>
  <c r="L88" i="164"/>
  <c r="N88" i="164"/>
  <c r="P88" i="164"/>
  <c r="S88" i="164"/>
  <c r="S95" i="164"/>
  <c r="P95" i="164"/>
  <c r="N95" i="164"/>
  <c r="J72" i="62"/>
  <c r="G72" i="62"/>
  <c r="M40" i="62" l="1"/>
  <c r="M41" i="62" s="1"/>
  <c r="O40" i="62"/>
  <c r="O30" i="62"/>
  <c r="M30" i="62"/>
  <c r="E30" i="62"/>
  <c r="E40" i="62" s="1"/>
  <c r="D30" i="62"/>
  <c r="D40" i="62" s="1"/>
  <c r="J37" i="62"/>
  <c r="G37" i="62"/>
  <c r="Q40" i="62"/>
  <c r="G54" i="159"/>
  <c r="G53" i="159"/>
  <c r="M64" i="159"/>
  <c r="M63" i="159"/>
  <c r="O33" i="159"/>
  <c r="O32" i="159"/>
  <c r="O63" i="159"/>
  <c r="O54" i="159"/>
  <c r="O53" i="159"/>
  <c r="N30" i="159"/>
  <c r="N29" i="159"/>
  <c r="N28" i="159"/>
  <c r="N27" i="159"/>
  <c r="P16" i="159"/>
  <c r="O64" i="159"/>
  <c r="P18" i="159"/>
  <c r="V36" i="159"/>
  <c r="Q33" i="159"/>
  <c r="S33" i="159"/>
  <c r="U33" i="159"/>
  <c r="X33" i="159"/>
  <c r="X32" i="159"/>
  <c r="U32" i="159"/>
  <c r="S32" i="159"/>
  <c r="F23" i="66" l="1"/>
  <c r="G23" i="66"/>
  <c r="G24" i="66"/>
  <c r="N52" i="66"/>
  <c r="N51" i="66"/>
  <c r="N50" i="66"/>
  <c r="N49" i="66"/>
  <c r="M52" i="66"/>
  <c r="M51" i="66"/>
  <c r="M50" i="66"/>
  <c r="M49" i="66"/>
  <c r="K52" i="66"/>
  <c r="K51" i="66"/>
  <c r="K50" i="66"/>
  <c r="K49" i="66"/>
  <c r="I52" i="66"/>
  <c r="I51" i="66"/>
  <c r="I50" i="66"/>
  <c r="I49" i="66"/>
  <c r="G52" i="66"/>
  <c r="G51" i="66"/>
  <c r="G50" i="66"/>
  <c r="G49" i="66"/>
  <c r="F52" i="66"/>
  <c r="F51" i="66"/>
  <c r="F50" i="66"/>
  <c r="F49" i="66"/>
  <c r="E52" i="66"/>
  <c r="E51" i="66"/>
  <c r="E50" i="66"/>
  <c r="E49" i="66"/>
  <c r="D52" i="66"/>
  <c r="D51" i="66"/>
  <c r="D50" i="66"/>
  <c r="D49" i="66"/>
  <c r="C52" i="66"/>
  <c r="C51" i="66"/>
  <c r="C50" i="66"/>
  <c r="C49" i="66"/>
  <c r="N24" i="66"/>
  <c r="M24" i="66"/>
  <c r="N52" i="63"/>
  <c r="N51" i="63"/>
  <c r="N50" i="63"/>
  <c r="N49" i="63"/>
  <c r="M52" i="63"/>
  <c r="M51" i="63"/>
  <c r="M50" i="63"/>
  <c r="M49" i="63"/>
  <c r="G52" i="63" l="1"/>
  <c r="G51" i="63"/>
  <c r="G50" i="63"/>
  <c r="G49" i="63"/>
  <c r="F52" i="63"/>
  <c r="F51" i="63"/>
  <c r="F50" i="63"/>
  <c r="F49" i="63"/>
  <c r="E52" i="63"/>
  <c r="E51" i="63"/>
  <c r="E50" i="63"/>
  <c r="E49" i="63"/>
  <c r="D52" i="63"/>
  <c r="D51" i="63"/>
  <c r="D50" i="63"/>
  <c r="D49" i="63"/>
  <c r="C52" i="63"/>
  <c r="C51" i="63"/>
  <c r="C50" i="63"/>
  <c r="C49" i="63"/>
  <c r="H38" i="124"/>
  <c r="J38" i="124" s="1"/>
  <c r="H37" i="124"/>
  <c r="J37" i="124" s="1"/>
  <c r="H36" i="124"/>
  <c r="J36" i="124" s="1"/>
  <c r="H35" i="124"/>
  <c r="J35" i="124" s="1"/>
  <c r="H34" i="124"/>
  <c r="J34" i="124" s="1"/>
  <c r="H33" i="124"/>
  <c r="J33" i="124" s="1"/>
  <c r="H32" i="124"/>
  <c r="J32" i="124" s="1"/>
  <c r="H31" i="124"/>
  <c r="J31" i="124" s="1"/>
  <c r="H30" i="124"/>
  <c r="J30" i="124" s="1"/>
  <c r="H29" i="124"/>
  <c r="J29" i="124" s="1"/>
  <c r="H28" i="124"/>
  <c r="J28" i="124" s="1"/>
  <c r="H27" i="124"/>
  <c r="J27" i="124" s="1"/>
  <c r="C40" i="124"/>
  <c r="D40" i="124"/>
  <c r="E40" i="124"/>
  <c r="F40" i="124"/>
  <c r="G40" i="124"/>
  <c r="I40" i="124"/>
  <c r="I23" i="124"/>
  <c r="F23" i="124"/>
  <c r="E23" i="124"/>
  <c r="D23" i="124"/>
  <c r="C23" i="124"/>
  <c r="O25" i="64"/>
  <c r="O24" i="64"/>
  <c r="O23" i="64"/>
  <c r="O22" i="64"/>
  <c r="H40" i="124" l="1"/>
  <c r="O26" i="64"/>
  <c r="O27" i="64" l="1"/>
  <c r="N27" i="64"/>
  <c r="M27" i="64"/>
  <c r="L27" i="64"/>
  <c r="K27" i="64"/>
  <c r="J27" i="64"/>
  <c r="I27" i="64"/>
  <c r="P17" i="64"/>
  <c r="P16" i="64"/>
  <c r="P15" i="64"/>
  <c r="P14" i="64"/>
  <c r="P13" i="64"/>
  <c r="P12" i="64"/>
  <c r="O16" i="64"/>
  <c r="O15" i="64"/>
  <c r="O14" i="64"/>
  <c r="O13" i="64"/>
  <c r="O12" i="64"/>
  <c r="Q56" i="49"/>
  <c r="V257" i="15" l="1"/>
  <c r="V258" i="15" s="1"/>
  <c r="V259" i="15" s="1"/>
  <c r="V260" i="15" s="1"/>
  <c r="V261" i="15" s="1"/>
  <c r="V262" i="15" s="1"/>
  <c r="V263" i="15" s="1"/>
  <c r="V248" i="15"/>
  <c r="V249" i="15" s="1"/>
  <c r="V250" i="15" s="1"/>
  <c r="V251" i="15" s="1"/>
  <c r="V252" i="15" s="1"/>
  <c r="V229" i="15"/>
  <c r="V230" i="15"/>
  <c r="V231" i="15"/>
  <c r="V232" i="15"/>
  <c r="V233" i="15" s="1"/>
  <c r="U241" i="24"/>
  <c r="AA371" i="24"/>
  <c r="O98" i="55" l="1"/>
  <c r="O99" i="55"/>
  <c r="O102" i="55"/>
  <c r="O103" i="55"/>
  <c r="O104" i="55"/>
  <c r="O105" i="55"/>
  <c r="O106" i="55"/>
  <c r="O107" i="55"/>
  <c r="O108" i="55"/>
  <c r="O109" i="55"/>
  <c r="O110" i="55"/>
  <c r="O111" i="55"/>
  <c r="O112" i="55"/>
  <c r="O113" i="55"/>
  <c r="O170" i="55"/>
  <c r="O159" i="55"/>
  <c r="O160" i="55"/>
  <c r="O161" i="55"/>
  <c r="O162" i="55"/>
  <c r="O163" i="55"/>
  <c r="O164" i="55"/>
  <c r="O165" i="55"/>
  <c r="O166" i="55"/>
  <c r="O167" i="55"/>
  <c r="M138" i="55"/>
  <c r="M66" i="55"/>
  <c r="F67" i="19"/>
  <c r="N64" i="19"/>
  <c r="J64" i="19"/>
  <c r="H64" i="19"/>
  <c r="F64" i="19"/>
  <c r="E64" i="19"/>
  <c r="N67" i="19"/>
  <c r="H67" i="19"/>
  <c r="AR259" i="20"/>
  <c r="AR258" i="20"/>
  <c r="AR257" i="20"/>
  <c r="E67" i="19"/>
  <c r="AM250" i="20"/>
  <c r="AM251" i="20"/>
  <c r="AQ252" i="20"/>
  <c r="AO259" i="20" l="1"/>
  <c r="AP259" i="20"/>
  <c r="AQ259" i="20"/>
  <c r="K13" i="196" l="1"/>
  <c r="O13" i="196"/>
  <c r="K11" i="196"/>
  <c r="G39" i="196" l="1"/>
  <c r="O15" i="196"/>
  <c r="S15" i="196" s="1"/>
  <c r="O11" i="196"/>
  <c r="S11" i="196" s="1"/>
  <c r="U11" i="196"/>
  <c r="Z3" i="196"/>
  <c r="K25" i="196"/>
  <c r="AA51" i="196" s="1"/>
  <c r="A27" i="52"/>
  <c r="A28" i="52" s="1"/>
  <c r="O25" i="196"/>
  <c r="Y35" i="196" s="1"/>
  <c r="O23" i="196"/>
  <c r="U35" i="196" s="1"/>
  <c r="K23" i="196"/>
  <c r="Q23" i="196" s="1"/>
  <c r="S23" i="196" s="1"/>
  <c r="O21" i="196"/>
  <c r="Q35" i="196" s="1"/>
  <c r="K21" i="196"/>
  <c r="U21" i="196" s="1"/>
  <c r="O19" i="196"/>
  <c r="M35" i="196" s="1"/>
  <c r="K19" i="196"/>
  <c r="O48" i="196" s="1"/>
  <c r="O17" i="196"/>
  <c r="K17" i="196"/>
  <c r="K15" i="196"/>
  <c r="U15" i="196" s="1"/>
  <c r="A3" i="196"/>
  <c r="A2" i="196"/>
  <c r="A1" i="196"/>
  <c r="W48" i="196" l="1"/>
  <c r="W50" i="196"/>
  <c r="W36" i="196"/>
  <c r="U36" i="196" s="1"/>
  <c r="E35" i="196"/>
  <c r="O39" i="196"/>
  <c r="S48" i="196"/>
  <c r="O27" i="196"/>
  <c r="G40" i="170" s="1"/>
  <c r="S44" i="196"/>
  <c r="S39" i="196"/>
  <c r="O41" i="196"/>
  <c r="S51" i="196"/>
  <c r="S41" i="196"/>
  <c r="W43" i="196"/>
  <c r="S46" i="196"/>
  <c r="Q17" i="196"/>
  <c r="S17" i="196" s="1"/>
  <c r="W41" i="196"/>
  <c r="O46" i="196"/>
  <c r="I35" i="196"/>
  <c r="AA46" i="196"/>
  <c r="Q19" i="196"/>
  <c r="S36" i="196"/>
  <c r="Q36" i="196" s="1"/>
  <c r="Q21" i="196"/>
  <c r="S21" i="196" s="1"/>
  <c r="W21" i="196" s="1"/>
  <c r="Y21" i="196" s="1"/>
  <c r="AA21" i="196" s="1"/>
  <c r="Q13" i="196"/>
  <c r="S13" i="196" s="1"/>
  <c r="U13" i="196"/>
  <c r="G49" i="196"/>
  <c r="G42" i="196"/>
  <c r="G51" i="196"/>
  <c r="G36" i="196"/>
  <c r="E36" i="196" s="1"/>
  <c r="G44" i="196"/>
  <c r="G37" i="196"/>
  <c r="G38" i="196"/>
  <c r="K46" i="196"/>
  <c r="U17" i="196"/>
  <c r="K51" i="196"/>
  <c r="O37" i="196"/>
  <c r="K42" i="196"/>
  <c r="K49" i="196"/>
  <c r="S37" i="196"/>
  <c r="O42" i="196"/>
  <c r="G47" i="196"/>
  <c r="W51" i="196"/>
  <c r="W37" i="196"/>
  <c r="G45" i="196"/>
  <c r="S49" i="196"/>
  <c r="K45" i="196"/>
  <c r="S38" i="196"/>
  <c r="G41" i="196"/>
  <c r="O43" i="196"/>
  <c r="W45" i="196"/>
  <c r="G48" i="196"/>
  <c r="O50" i="196"/>
  <c r="O36" i="196"/>
  <c r="M36" i="196" s="1"/>
  <c r="W38" i="196"/>
  <c r="K41" i="196"/>
  <c r="S43" i="196"/>
  <c r="G46" i="196"/>
  <c r="K48" i="196"/>
  <c r="S50" i="196"/>
  <c r="K39" i="196"/>
  <c r="K44" i="196"/>
  <c r="K37" i="196"/>
  <c r="O44" i="196"/>
  <c r="W46" i="196"/>
  <c r="O51" i="196"/>
  <c r="W39" i="196"/>
  <c r="G40" i="196"/>
  <c r="W44" i="196"/>
  <c r="O49" i="196"/>
  <c r="K40" i="196"/>
  <c r="S42" i="196"/>
  <c r="K47" i="196"/>
  <c r="O40" i="196"/>
  <c r="W42" i="196"/>
  <c r="O47" i="196"/>
  <c r="W49" i="196"/>
  <c r="K38" i="196"/>
  <c r="S40" i="196"/>
  <c r="G43" i="196"/>
  <c r="O45" i="196"/>
  <c r="S47" i="196"/>
  <c r="G50" i="196"/>
  <c r="U23" i="196"/>
  <c r="W23" i="196" s="1"/>
  <c r="Y23" i="196" s="1"/>
  <c r="AA23" i="196" s="1"/>
  <c r="K36" i="196"/>
  <c r="O38" i="196"/>
  <c r="W40" i="196"/>
  <c r="K43" i="196"/>
  <c r="S45" i="196"/>
  <c r="W47" i="196"/>
  <c r="K50" i="196"/>
  <c r="AA42" i="196"/>
  <c r="AA48" i="196"/>
  <c r="AA36" i="196"/>
  <c r="Y36" i="196" s="1"/>
  <c r="AA40" i="196"/>
  <c r="AA44" i="196"/>
  <c r="AA50" i="196"/>
  <c r="AA38" i="196"/>
  <c r="U25" i="196"/>
  <c r="AA37" i="196"/>
  <c r="AA39" i="196"/>
  <c r="AA41" i="196"/>
  <c r="AA43" i="196"/>
  <c r="AA45" i="196"/>
  <c r="AA47" i="196"/>
  <c r="AA49" i="196"/>
  <c r="S19" i="196"/>
  <c r="W11" i="196"/>
  <c r="Y11" i="196" s="1"/>
  <c r="W15" i="196"/>
  <c r="Y15" i="196" s="1"/>
  <c r="U19" i="196"/>
  <c r="Q25" i="196"/>
  <c r="S25" i="196" s="1"/>
  <c r="W13" i="196" l="1"/>
  <c r="Y13" i="196" s="1"/>
  <c r="AA13" i="196" s="1"/>
  <c r="Q37" i="196"/>
  <c r="Q38" i="196" s="1"/>
  <c r="Q39" i="196" s="1"/>
  <c r="Q40" i="196" s="1"/>
  <c r="Q41" i="196" s="1"/>
  <c r="Q42" i="196" s="1"/>
  <c r="Q43" i="196" s="1"/>
  <c r="Q44" i="196" s="1"/>
  <c r="Q45" i="196" s="1"/>
  <c r="Q46" i="196" s="1"/>
  <c r="Q47" i="196" s="1"/>
  <c r="Q48" i="196" s="1"/>
  <c r="Q49" i="196" s="1"/>
  <c r="Q50" i="196" s="1"/>
  <c r="Q51" i="196" s="1"/>
  <c r="U37" i="196"/>
  <c r="U38" i="196" s="1"/>
  <c r="U39" i="196" s="1"/>
  <c r="M37" i="196"/>
  <c r="M38" i="196" s="1"/>
  <c r="M39" i="196" s="1"/>
  <c r="W25" i="196"/>
  <c r="Y25" i="196" s="1"/>
  <c r="AA25" i="196" s="1"/>
  <c r="W17" i="196"/>
  <c r="Y17" i="196" s="1"/>
  <c r="AA17" i="196" s="1"/>
  <c r="Y37" i="196"/>
  <c r="Y38" i="196" s="1"/>
  <c r="Y39" i="196" s="1"/>
  <c r="I36" i="196"/>
  <c r="I37" i="196" s="1"/>
  <c r="I38" i="196" s="1"/>
  <c r="I39" i="196" s="1"/>
  <c r="I40" i="196" s="1"/>
  <c r="I41" i="196" s="1"/>
  <c r="I42" i="196" s="1"/>
  <c r="I43" i="196" s="1"/>
  <c r="I44" i="196" s="1"/>
  <c r="I45" i="196" s="1"/>
  <c r="I46" i="196" s="1"/>
  <c r="I47" i="196" s="1"/>
  <c r="I48" i="196" s="1"/>
  <c r="I49" i="196" s="1"/>
  <c r="I50" i="196" s="1"/>
  <c r="I51" i="196" s="1"/>
  <c r="E37" i="196"/>
  <c r="E38" i="196" s="1"/>
  <c r="E39" i="196" s="1"/>
  <c r="E40" i="196" s="1"/>
  <c r="E41" i="196" s="1"/>
  <c r="E42" i="196" s="1"/>
  <c r="E43" i="196" s="1"/>
  <c r="E44" i="196" s="1"/>
  <c r="E45" i="196" s="1"/>
  <c r="E46" i="196" s="1"/>
  <c r="E47" i="196" s="1"/>
  <c r="E48" i="196" s="1"/>
  <c r="E49" i="196" s="1"/>
  <c r="E50" i="196" s="1"/>
  <c r="E51" i="196" s="1"/>
  <c r="M40" i="196"/>
  <c r="M41" i="196" s="1"/>
  <c r="M42" i="196" s="1"/>
  <c r="M43" i="196" s="1"/>
  <c r="M44" i="196" s="1"/>
  <c r="M45" i="196" s="1"/>
  <c r="M46" i="196" s="1"/>
  <c r="M47" i="196" s="1"/>
  <c r="M48" i="196" s="1"/>
  <c r="M49" i="196" s="1"/>
  <c r="M50" i="196" s="1"/>
  <c r="M51" i="196" s="1"/>
  <c r="W19" i="196"/>
  <c r="Y19" i="196" s="1"/>
  <c r="AA19" i="196" s="1"/>
  <c r="AA27" i="196" l="1"/>
  <c r="I40" i="170" s="1"/>
  <c r="Q53" i="196"/>
  <c r="I53" i="196"/>
  <c r="Y40" i="196"/>
  <c r="Y41" i="196" s="1"/>
  <c r="Y42" i="196" s="1"/>
  <c r="Y43" i="196" s="1"/>
  <c r="Y44" i="196" s="1"/>
  <c r="Y45" i="196" s="1"/>
  <c r="Y46" i="196" s="1"/>
  <c r="Y47" i="196" s="1"/>
  <c r="Y48" i="196" s="1"/>
  <c r="Y49" i="196" s="1"/>
  <c r="Y50" i="196" s="1"/>
  <c r="Y51" i="196" s="1"/>
  <c r="M53" i="196"/>
  <c r="E53" i="196"/>
  <c r="U40" i="196"/>
  <c r="U41" i="196" s="1"/>
  <c r="U42" i="196" s="1"/>
  <c r="U43" i="196" s="1"/>
  <c r="U44" i="196" s="1"/>
  <c r="U45" i="196" s="1"/>
  <c r="U46" i="196" s="1"/>
  <c r="U47" i="196" s="1"/>
  <c r="U48" i="196" s="1"/>
  <c r="U49" i="196" s="1"/>
  <c r="U50" i="196" s="1"/>
  <c r="U51" i="196" s="1"/>
  <c r="Y53" i="196" l="1"/>
  <c r="U53" i="196"/>
  <c r="AC53" i="196" s="1"/>
  <c r="O17" i="12" l="1"/>
  <c r="K17" i="12"/>
  <c r="I134" i="46"/>
  <c r="L20" i="163" l="1"/>
  <c r="W46" i="165" l="1"/>
  <c r="W41" i="165"/>
  <c r="S48" i="165"/>
  <c r="Q48" i="165"/>
  <c r="O48" i="165"/>
  <c r="M48" i="165"/>
  <c r="H22" i="165"/>
  <c r="J22" i="112"/>
  <c r="U36" i="165"/>
  <c r="J47" i="165"/>
  <c r="J48" i="165" s="1"/>
  <c r="J49" i="165" s="1"/>
  <c r="G9" i="165"/>
  <c r="J37" i="165"/>
  <c r="J36" i="165"/>
  <c r="J35" i="165"/>
  <c r="J34" i="165"/>
  <c r="H20" i="165" l="1"/>
  <c r="AE281" i="24" s="1"/>
  <c r="H25" i="165" l="1"/>
  <c r="J301" i="179" l="1"/>
  <c r="J23" i="179"/>
  <c r="A161" i="179"/>
  <c r="A162" i="179" s="1"/>
  <c r="BB195" i="13" l="1"/>
  <c r="AF288" i="15" l="1"/>
  <c r="C26" i="1"/>
  <c r="L55" i="148"/>
  <c r="L39" i="148"/>
  <c r="L26" i="148"/>
  <c r="L12" i="148"/>
  <c r="H55" i="148"/>
  <c r="H46" i="148"/>
  <c r="H33" i="148"/>
  <c r="G11" i="148"/>
  <c r="I11" i="148"/>
  <c r="J11" i="148"/>
  <c r="K11" i="148"/>
  <c r="K12" i="148"/>
  <c r="K19" i="148"/>
  <c r="F19" i="148" s="1"/>
  <c r="J33" i="148"/>
  <c r="K39" i="148"/>
  <c r="F39" i="148" s="1"/>
  <c r="J55" i="148"/>
  <c r="K55" i="148"/>
  <c r="M11" i="148"/>
  <c r="N11" i="148"/>
  <c r="O11" i="148"/>
  <c r="P11" i="148"/>
  <c r="Q11" i="148"/>
  <c r="R11" i="148"/>
  <c r="F13" i="148"/>
  <c r="F14" i="148"/>
  <c r="F15" i="148"/>
  <c r="F16" i="148"/>
  <c r="F17" i="148"/>
  <c r="F18" i="148"/>
  <c r="F20" i="148"/>
  <c r="F21" i="148"/>
  <c r="F22" i="148"/>
  <c r="F23" i="148"/>
  <c r="F24" i="148"/>
  <c r="F25" i="148"/>
  <c r="F26" i="148"/>
  <c r="F27" i="148"/>
  <c r="F28" i="148"/>
  <c r="F29" i="148"/>
  <c r="F30" i="148"/>
  <c r="F31" i="148"/>
  <c r="F32" i="148"/>
  <c r="F34" i="148"/>
  <c r="F35" i="148"/>
  <c r="F36" i="148"/>
  <c r="F37" i="148"/>
  <c r="F38" i="148"/>
  <c r="F40" i="148"/>
  <c r="F41" i="148"/>
  <c r="F42" i="148"/>
  <c r="F43" i="148"/>
  <c r="F44" i="148"/>
  <c r="F45" i="148"/>
  <c r="F46" i="148"/>
  <c r="F47" i="148"/>
  <c r="F48" i="148"/>
  <c r="F49" i="148"/>
  <c r="F50" i="148"/>
  <c r="F51" i="148"/>
  <c r="F52" i="148"/>
  <c r="F53" i="148"/>
  <c r="F54" i="148"/>
  <c r="F56" i="148"/>
  <c r="F57" i="148"/>
  <c r="F58" i="148"/>
  <c r="F59" i="148"/>
  <c r="F60" i="148"/>
  <c r="F61" i="148"/>
  <c r="F62" i="148"/>
  <c r="F63" i="148"/>
  <c r="F64" i="148"/>
  <c r="F65" i="148"/>
  <c r="F66" i="148"/>
  <c r="F67" i="148"/>
  <c r="F68" i="148"/>
  <c r="F69" i="148"/>
  <c r="F70" i="148"/>
  <c r="F71" i="148"/>
  <c r="F72" i="148"/>
  <c r="F73" i="148"/>
  <c r="F74" i="148"/>
  <c r="F75" i="148"/>
  <c r="F76" i="148"/>
  <c r="F77" i="148"/>
  <c r="F78" i="148"/>
  <c r="F79" i="148"/>
  <c r="F80" i="148"/>
  <c r="F62" i="149"/>
  <c r="F55" i="148" l="1"/>
  <c r="F12" i="148"/>
  <c r="F130" i="15"/>
  <c r="F126" i="15"/>
  <c r="F125" i="15"/>
  <c r="DE441" i="13"/>
  <c r="DE426" i="13"/>
  <c r="DD453" i="13"/>
  <c r="DD455" i="13" s="1"/>
  <c r="E70" i="173"/>
  <c r="W183" i="46" l="1"/>
  <c r="Z279" i="46"/>
  <c r="Z280" i="46"/>
  <c r="Z281" i="46"/>
  <c r="Z282" i="46"/>
  <c r="Z283" i="46"/>
  <c r="Z284" i="46"/>
  <c r="Z285" i="46"/>
  <c r="Z286" i="46"/>
  <c r="H80" i="181" l="1"/>
  <c r="G60" i="180"/>
  <c r="G23" i="180"/>
  <c r="G70" i="173"/>
  <c r="H281" i="172" s="1"/>
  <c r="G28" i="173"/>
  <c r="H24" i="172" s="1"/>
  <c r="S71" i="38"/>
  <c r="S70" i="38"/>
  <c r="H45" i="38"/>
  <c r="H39" i="38"/>
  <c r="H28" i="38"/>
  <c r="H43" i="38"/>
  <c r="H47" i="38" s="1"/>
  <c r="AA230" i="24" s="1"/>
  <c r="H37" i="38"/>
  <c r="H41" i="38" s="1"/>
  <c r="AA226" i="24" s="1"/>
  <c r="Q12" i="163" s="1"/>
  <c r="S72" i="38"/>
  <c r="S65" i="38"/>
  <c r="S67" i="38"/>
  <c r="J64" i="38"/>
  <c r="J65" i="38" s="1"/>
  <c r="J66" i="38" s="1"/>
  <c r="J67" i="38" s="1"/>
  <c r="J68" i="38" s="1"/>
  <c r="J69" i="38" s="1"/>
  <c r="J70" i="38" s="1"/>
  <c r="J71" i="38" s="1"/>
  <c r="J72" i="38" s="1"/>
  <c r="J73" i="38" s="1"/>
  <c r="J74" i="38" s="1"/>
  <c r="J75" i="38" s="1"/>
  <c r="J76" i="38" s="1"/>
  <c r="J77" i="38" s="1"/>
  <c r="J78" i="38" s="1"/>
  <c r="J79" i="38" s="1"/>
  <c r="J80" i="38" s="1"/>
  <c r="J81" i="38" s="1"/>
  <c r="J82" i="38" s="1"/>
  <c r="K127" i="46"/>
  <c r="M99" i="61"/>
  <c r="E14" i="62" l="1"/>
  <c r="D14" i="62"/>
  <c r="DE437" i="13" l="1"/>
  <c r="U74" i="12" s="1"/>
  <c r="Y74" i="12" l="1"/>
  <c r="DB453" i="13"/>
  <c r="F166" i="15"/>
  <c r="S166" i="15" s="1"/>
  <c r="J76" i="14" l="1"/>
  <c r="G31" i="14" l="1"/>
  <c r="L31" i="14" s="1"/>
  <c r="P31" i="14" s="1"/>
  <c r="S163" i="15" l="1"/>
  <c r="T166" i="15"/>
  <c r="G76" i="14" s="1"/>
  <c r="L76" i="14" s="1"/>
  <c r="P76" i="14" s="1"/>
  <c r="S130" i="15"/>
  <c r="T130" i="15" s="1"/>
  <c r="A17" i="15" l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M127" i="46" l="1"/>
  <c r="Q127" i="46" s="1"/>
  <c r="M134" i="46"/>
  <c r="Q134" i="46" s="1"/>
  <c r="AH291" i="46"/>
  <c r="W193" i="46" s="1"/>
  <c r="G126" i="46" s="1"/>
  <c r="Z213" i="46"/>
  <c r="Z214" i="46" s="1"/>
  <c r="Z215" i="46" s="1"/>
  <c r="Z216" i="46" s="1"/>
  <c r="Z217" i="46" s="1"/>
  <c r="Z218" i="46" s="1"/>
  <c r="Z219" i="46" s="1"/>
  <c r="Z220" i="46" s="1"/>
  <c r="Z221" i="46" s="1"/>
  <c r="Z222" i="46" s="1"/>
  <c r="Z223" i="46" s="1"/>
  <c r="Z224" i="46" s="1"/>
  <c r="Z225" i="46" s="1"/>
  <c r="Z226" i="46" s="1"/>
  <c r="Z227" i="46" s="1"/>
  <c r="Z228" i="46" s="1"/>
  <c r="Z229" i="46" s="1"/>
  <c r="Z230" i="46" s="1"/>
  <c r="Z231" i="46" s="1"/>
  <c r="Z232" i="46" s="1"/>
  <c r="Z233" i="46" s="1"/>
  <c r="Z234" i="46" s="1"/>
  <c r="Z235" i="46" s="1"/>
  <c r="Z236" i="46" s="1"/>
  <c r="Z237" i="46" s="1"/>
  <c r="Z238" i="46" s="1"/>
  <c r="Z239" i="46" s="1"/>
  <c r="Z240" i="46" s="1"/>
  <c r="Z241" i="46" s="1"/>
  <c r="Z242" i="46" s="1"/>
  <c r="Z243" i="46" s="1"/>
  <c r="Z244" i="46" s="1"/>
  <c r="Z245" i="46" s="1"/>
  <c r="Z246" i="46" s="1"/>
  <c r="Z247" i="46" s="1"/>
  <c r="Z248" i="46" s="1"/>
  <c r="Z249" i="46" s="1"/>
  <c r="Z250" i="46" s="1"/>
  <c r="Z251" i="46" s="1"/>
  <c r="Z252" i="46" s="1"/>
  <c r="Z253" i="46" s="1"/>
  <c r="Z254" i="46" s="1"/>
  <c r="Z255" i="46" s="1"/>
  <c r="Z256" i="46" s="1"/>
  <c r="Z257" i="46" s="1"/>
  <c r="Z258" i="46" s="1"/>
  <c r="Z259" i="46" s="1"/>
  <c r="Z260" i="46" s="1"/>
  <c r="Z261" i="46" s="1"/>
  <c r="Z262" i="46" s="1"/>
  <c r="Z263" i="46" s="1"/>
  <c r="Z264" i="46" s="1"/>
  <c r="Z265" i="46" s="1"/>
  <c r="Z266" i="46" s="1"/>
  <c r="Z267" i="46" s="1"/>
  <c r="Z268" i="46" s="1"/>
  <c r="Z269" i="46" s="1"/>
  <c r="Z270" i="46" s="1"/>
  <c r="Z271" i="46" s="1"/>
  <c r="Z272" i="46" s="1"/>
  <c r="Z273" i="46" s="1"/>
  <c r="Z274" i="46" s="1"/>
  <c r="Z275" i="46" s="1"/>
  <c r="Z276" i="46" s="1"/>
  <c r="Z277" i="46" s="1"/>
  <c r="Z278" i="46" s="1"/>
  <c r="AH251" i="46"/>
  <c r="AH243" i="46"/>
  <c r="AH229" i="46"/>
  <c r="AH227" i="46"/>
  <c r="W194" i="46" l="1"/>
  <c r="G127" i="46" s="1"/>
  <c r="Q47" i="161"/>
  <c r="P44" i="161"/>
  <c r="Q44" i="161"/>
  <c r="P45" i="161"/>
  <c r="Q45" i="161"/>
  <c r="Y97" i="61"/>
  <c r="Y94" i="61"/>
  <c r="Y93" i="61"/>
  <c r="N95" i="61"/>
  <c r="N99" i="61" s="1"/>
  <c r="O95" i="61"/>
  <c r="O99" i="61" s="1"/>
  <c r="P95" i="61"/>
  <c r="P99" i="61" s="1"/>
  <c r="Q95" i="61"/>
  <c r="Q99" i="61" s="1"/>
  <c r="R95" i="61"/>
  <c r="R99" i="61" s="1"/>
  <c r="S95" i="61"/>
  <c r="S99" i="61" s="1"/>
  <c r="T95" i="61"/>
  <c r="T99" i="61" s="1"/>
  <c r="U95" i="61"/>
  <c r="U99" i="61" s="1"/>
  <c r="V95" i="61"/>
  <c r="V99" i="61" s="1"/>
  <c r="W95" i="61"/>
  <c r="W99" i="61" s="1"/>
  <c r="X95" i="61"/>
  <c r="X99" i="61" s="1"/>
  <c r="M95" i="61"/>
  <c r="Z287" i="46" l="1"/>
  <c r="Z288" i="46" s="1"/>
  <c r="Z289" i="46" s="1"/>
  <c r="Z290" i="46" s="1"/>
  <c r="Z291" i="46" s="1"/>
  <c r="Z292" i="46" s="1"/>
  <c r="Z293" i="46" s="1"/>
  <c r="Z294" i="46" s="1"/>
  <c r="Z295" i="46" s="1"/>
  <c r="Z296" i="46" s="1"/>
  <c r="Z297" i="46" s="1"/>
  <c r="Y95" i="61"/>
  <c r="P21" i="163"/>
  <c r="Y99" i="61" l="1"/>
  <c r="C22" i="1" s="1"/>
  <c r="P50" i="130" l="1"/>
  <c r="A241" i="6" l="1"/>
  <c r="D241" i="6" s="1"/>
  <c r="B241" i="6"/>
  <c r="C241" i="6"/>
  <c r="E241" i="6"/>
  <c r="A215" i="6"/>
  <c r="B215" i="6"/>
  <c r="C215" i="6"/>
  <c r="D215" i="6"/>
  <c r="E215" i="6"/>
  <c r="A210" i="6"/>
  <c r="D210" i="6" s="1"/>
  <c r="B210" i="6"/>
  <c r="C210" i="6"/>
  <c r="E210" i="6"/>
  <c r="A136" i="6"/>
  <c r="D136" i="6" s="1"/>
  <c r="B136" i="6"/>
  <c r="C136" i="6"/>
  <c r="E136" i="6"/>
  <c r="A117" i="6"/>
  <c r="D117" i="6" s="1"/>
  <c r="B117" i="6"/>
  <c r="C117" i="6"/>
  <c r="E117" i="6"/>
  <c r="A145" i="6"/>
  <c r="D145" i="6" s="1"/>
  <c r="B145" i="6"/>
  <c r="C145" i="6"/>
  <c r="E145" i="6"/>
  <c r="A143" i="6" l="1"/>
  <c r="B143" i="6"/>
  <c r="C143" i="6"/>
  <c r="D143" i="6"/>
  <c r="E143" i="6"/>
  <c r="L10" i="81"/>
  <c r="L10" i="71"/>
  <c r="I10" i="80"/>
  <c r="I10" i="70"/>
  <c r="K9" i="68"/>
  <c r="A21" i="70"/>
  <c r="A22" i="70" s="1"/>
  <c r="A23" i="70" s="1"/>
  <c r="A24" i="70" s="1"/>
  <c r="A25" i="70" s="1"/>
  <c r="A26" i="70" s="1"/>
  <c r="A27" i="70" s="1"/>
  <c r="A28" i="70" s="1"/>
  <c r="A20" i="70"/>
  <c r="F26" i="70"/>
  <c r="G26" i="70"/>
  <c r="H26" i="70"/>
  <c r="D26" i="70"/>
  <c r="I23" i="70"/>
  <c r="J23" i="70"/>
  <c r="I24" i="70"/>
  <c r="J24" i="70"/>
  <c r="I20" i="70"/>
  <c r="I26" i="70" s="1"/>
  <c r="G18" i="76" s="1"/>
  <c r="J20" i="70"/>
  <c r="J26" i="70" s="1"/>
  <c r="J28" i="70" s="1"/>
  <c r="K18" i="76" s="1"/>
  <c r="A21" i="80"/>
  <c r="A22" i="80"/>
  <c r="A23" i="80"/>
  <c r="A24" i="80" s="1"/>
  <c r="A25" i="80" s="1"/>
  <c r="A26" i="80" s="1"/>
  <c r="A27" i="80" s="1"/>
  <c r="A28" i="80" s="1"/>
  <c r="A20" i="80"/>
  <c r="I23" i="80"/>
  <c r="J23" i="80"/>
  <c r="I24" i="80"/>
  <c r="J24" i="80"/>
  <c r="D26" i="80"/>
  <c r="F26" i="80"/>
  <c r="G26" i="80"/>
  <c r="H26" i="80"/>
  <c r="J26" i="80"/>
  <c r="I20" i="80"/>
  <c r="I26" i="80" s="1"/>
  <c r="G19" i="68" s="1"/>
  <c r="J28" i="80" l="1"/>
  <c r="K19" i="68" s="1"/>
  <c r="L41" i="71" l="1"/>
  <c r="L40" i="71"/>
  <c r="A40" i="81"/>
  <c r="A41" i="81"/>
  <c r="A42" i="81"/>
  <c r="A43" i="81"/>
  <c r="A44" i="81"/>
  <c r="A45" i="81"/>
  <c r="A46" i="81"/>
  <c r="A47" i="81" s="1"/>
  <c r="A48" i="81" s="1"/>
  <c r="A49" i="81" s="1"/>
  <c r="A50" i="81" s="1"/>
  <c r="A51" i="81" s="1"/>
  <c r="A52" i="81" s="1"/>
  <c r="A53" i="81" s="1"/>
  <c r="A54" i="81" s="1"/>
  <c r="A55" i="81" s="1"/>
  <c r="A20" i="81"/>
  <c r="L40" i="81"/>
  <c r="L41" i="81"/>
  <c r="L42" i="81"/>
  <c r="L43" i="81"/>
  <c r="I350" i="179"/>
  <c r="J350" i="179" l="1"/>
  <c r="E64" i="180" s="1"/>
  <c r="G64" i="180" s="1"/>
  <c r="I72" i="179"/>
  <c r="K350" i="179" l="1"/>
  <c r="H78" i="181" s="1"/>
  <c r="J72" i="179"/>
  <c r="E27" i="180" s="1"/>
  <c r="G27" i="180" s="1"/>
  <c r="D213" i="5"/>
  <c r="D145" i="5"/>
  <c r="G66" i="173"/>
  <c r="H328" i="172" s="1"/>
  <c r="E66" i="173"/>
  <c r="E24" i="173"/>
  <c r="G24" i="173" s="1"/>
  <c r="H71" i="172" s="1"/>
  <c r="K72" i="179" l="1"/>
  <c r="E213" i="5"/>
  <c r="E145" i="5"/>
  <c r="E328" i="172" l="1"/>
  <c r="G328" i="172" s="1"/>
  <c r="I328" i="172" s="1"/>
  <c r="E350" i="179" s="1"/>
  <c r="C509" i="172" l="1"/>
  <c r="E71" i="172"/>
  <c r="G71" i="172" s="1"/>
  <c r="I71" i="172" s="1"/>
  <c r="F78" i="181" l="1"/>
  <c r="E72" i="179"/>
  <c r="AM109" i="131"/>
  <c r="BI147" i="131"/>
  <c r="H422" i="174" l="1"/>
  <c r="K327" i="174"/>
  <c r="R12" i="149"/>
  <c r="P12" i="149"/>
  <c r="N12" i="149"/>
  <c r="R21" i="149"/>
  <c r="P21" i="149"/>
  <c r="N21" i="149"/>
  <c r="M21" i="149"/>
  <c r="K21" i="149"/>
  <c r="R61" i="149"/>
  <c r="P61" i="149"/>
  <c r="O61" i="149"/>
  <c r="M61" i="149"/>
  <c r="J61" i="149"/>
  <c r="J21" i="149"/>
  <c r="J12" i="149"/>
  <c r="N47" i="149"/>
  <c r="R39" i="149"/>
  <c r="Q39" i="149"/>
  <c r="N39" i="149"/>
  <c r="M39" i="149"/>
  <c r="L39" i="149"/>
  <c r="J39" i="149"/>
  <c r="I39" i="149"/>
  <c r="Q30" i="149"/>
  <c r="O30" i="149"/>
  <c r="M30" i="149"/>
  <c r="K30" i="149"/>
  <c r="J30" i="149"/>
  <c r="I30" i="149"/>
  <c r="H61" i="149"/>
  <c r="J47" i="149"/>
  <c r="I47" i="149"/>
  <c r="H47" i="149"/>
  <c r="H21" i="149"/>
  <c r="H66" i="149"/>
  <c r="I66" i="149"/>
  <c r="J66" i="149"/>
  <c r="K66" i="149"/>
  <c r="L66" i="149"/>
  <c r="M66" i="149"/>
  <c r="N66" i="149"/>
  <c r="O66" i="149"/>
  <c r="P66" i="149"/>
  <c r="Q66" i="149"/>
  <c r="R66" i="149"/>
  <c r="G66" i="149"/>
  <c r="G61" i="149"/>
  <c r="G47" i="149"/>
  <c r="G39" i="149"/>
  <c r="G21" i="149"/>
  <c r="K71" i="174"/>
  <c r="K72" i="174"/>
  <c r="O44" i="161" l="1"/>
  <c r="O45" i="161"/>
  <c r="Y71" i="161"/>
  <c r="P41" i="161" s="1"/>
  <c r="Y70" i="161"/>
  <c r="P40" i="161" s="1"/>
  <c r="Y69" i="161"/>
  <c r="P39" i="161" s="1"/>
  <c r="Y68" i="161"/>
  <c r="P38" i="161" s="1"/>
  <c r="Y66" i="161"/>
  <c r="Y59" i="161"/>
  <c r="S59" i="161"/>
  <c r="S58" i="161"/>
  <c r="S57" i="161"/>
  <c r="O43" i="161"/>
  <c r="O42" i="161"/>
  <c r="O41" i="161"/>
  <c r="O40" i="161"/>
  <c r="O39" i="161"/>
  <c r="O38" i="161"/>
  <c r="J33" i="161"/>
  <c r="P32" i="161"/>
  <c r="J32" i="161"/>
  <c r="H22" i="161"/>
  <c r="P53" i="162"/>
  <c r="O47" i="161" l="1"/>
  <c r="Q40" i="161"/>
  <c r="Q38" i="161"/>
  <c r="Q41" i="161"/>
  <c r="P42" i="161"/>
  <c r="P43" i="161"/>
  <c r="Q43" i="161"/>
  <c r="Q42" i="161"/>
  <c r="Q39" i="161"/>
  <c r="A41" i="56"/>
  <c r="A42" i="56" s="1"/>
  <c r="A43" i="56" s="1"/>
  <c r="A44" i="56" s="1"/>
  <c r="A45" i="56" s="1"/>
  <c r="A46" i="56" s="1"/>
  <c r="A47" i="56" s="1"/>
  <c r="K41" i="56"/>
  <c r="C41" i="56"/>
  <c r="Q49" i="161" l="1"/>
  <c r="Q53" i="161" s="1"/>
  <c r="H20" i="161" s="1"/>
  <c r="C23" i="1"/>
  <c r="AL270" i="15"/>
  <c r="AD269" i="15"/>
  <c r="AD268" i="15"/>
  <c r="AG277" i="15"/>
  <c r="AG278" i="15"/>
  <c r="AG279" i="15"/>
  <c r="AG280" i="15"/>
  <c r="AG281" i="15"/>
  <c r="AG282" i="15"/>
  <c r="AG283" i="15"/>
  <c r="AG284" i="15"/>
  <c r="AG285" i="15"/>
  <c r="AG286" i="15"/>
  <c r="AG287" i="15"/>
  <c r="AG276" i="15"/>
  <c r="AH276" i="15" s="1"/>
  <c r="AJ288" i="15"/>
  <c r="AK287" i="15"/>
  <c r="AK286" i="15"/>
  <c r="AK285" i="15"/>
  <c r="AK284" i="15"/>
  <c r="AK283" i="15"/>
  <c r="AK282" i="15"/>
  <c r="AK281" i="15"/>
  <c r="AK280" i="15"/>
  <c r="AK279" i="15"/>
  <c r="AK278" i="15"/>
  <c r="AK277" i="15"/>
  <c r="AK276" i="15"/>
  <c r="AH277" i="15" l="1"/>
  <c r="AH278" i="15" s="1"/>
  <c r="H24" i="161"/>
  <c r="AA337" i="24"/>
  <c r="H24" i="163" s="1"/>
  <c r="AH279" i="15" l="1"/>
  <c r="AH280" i="15" s="1"/>
  <c r="AH281" i="15" s="1"/>
  <c r="AH282" i="15" s="1"/>
  <c r="AH283" i="15" s="1"/>
  <c r="AH284" i="15" s="1"/>
  <c r="AH285" i="15" s="1"/>
  <c r="AH286" i="15" s="1"/>
  <c r="AH287" i="15" s="1"/>
  <c r="AI276" i="15"/>
  <c r="AL276" i="15" s="1"/>
  <c r="AH288" i="15" l="1"/>
  <c r="AI277" i="15"/>
  <c r="AL277" i="15" s="1"/>
  <c r="AM276" i="15"/>
  <c r="AM277" i="15" l="1"/>
  <c r="AI278" i="15"/>
  <c r="AL278" i="15" s="1"/>
  <c r="AI279" i="15" l="1"/>
  <c r="AL279" i="15" s="1"/>
  <c r="AM278" i="15"/>
  <c r="AM279" i="15" l="1"/>
  <c r="AI280" i="15"/>
  <c r="AL280" i="15" s="1"/>
  <c r="AI281" i="15" l="1"/>
  <c r="AL281" i="15" s="1"/>
  <c r="AM280" i="15"/>
  <c r="AM281" i="15" l="1"/>
  <c r="AI282" i="15"/>
  <c r="AL282" i="15" s="1"/>
  <c r="AM282" i="15" l="1"/>
  <c r="AI283" i="15"/>
  <c r="AL283" i="15" s="1"/>
  <c r="AM283" i="15" l="1"/>
  <c r="AI284" i="15"/>
  <c r="AL284" i="15" s="1"/>
  <c r="AM284" i="15" l="1"/>
  <c r="AI285" i="15"/>
  <c r="AL285" i="15" l="1"/>
  <c r="AM285" i="15" s="1"/>
  <c r="AI286" i="15"/>
  <c r="AL286" i="15" l="1"/>
  <c r="AM286" i="15" s="1"/>
  <c r="AI287" i="15"/>
  <c r="AL287" i="15" l="1"/>
  <c r="AL288" i="15" s="1"/>
  <c r="AM287" i="15" l="1"/>
  <c r="AM288" i="15" s="1"/>
  <c r="N72" i="14" s="1"/>
  <c r="F199" i="110" l="1"/>
  <c r="E199" i="110"/>
  <c r="H103" i="21" l="1"/>
  <c r="D244" i="5" l="1"/>
  <c r="W124" i="12"/>
  <c r="W74" i="12"/>
  <c r="E244" i="5" l="1"/>
  <c r="DC453" i="13" l="1"/>
  <c r="DC455" i="13" s="1"/>
  <c r="DB455" i="13"/>
  <c r="DE442" i="13"/>
  <c r="DE452" i="13" l="1"/>
  <c r="DE451" i="13"/>
  <c r="DE450" i="13"/>
  <c r="DE449" i="13"/>
  <c r="DE448" i="13"/>
  <c r="DE447" i="13"/>
  <c r="DE446" i="13"/>
  <c r="DE445" i="13"/>
  <c r="DE444" i="13"/>
  <c r="DE443" i="13"/>
  <c r="DE440" i="13"/>
  <c r="DE436" i="13"/>
  <c r="DE435" i="13"/>
  <c r="DE434" i="13"/>
  <c r="DE433" i="13"/>
  <c r="DE432" i="13"/>
  <c r="DE431" i="13"/>
  <c r="DE430" i="13"/>
  <c r="DE429" i="13"/>
  <c r="DE428" i="13"/>
  <c r="DE427" i="13"/>
  <c r="CX427" i="13"/>
  <c r="CX428" i="13" s="1"/>
  <c r="CX429" i="13" s="1"/>
  <c r="CX430" i="13" s="1"/>
  <c r="CX431" i="13" s="1"/>
  <c r="CX432" i="13" s="1"/>
  <c r="CX433" i="13" s="1"/>
  <c r="CX434" i="13" s="1"/>
  <c r="CX435" i="13" s="1"/>
  <c r="CX436" i="13" s="1"/>
  <c r="CX437" i="13" s="1"/>
  <c r="CX438" i="13" s="1"/>
  <c r="CX439" i="13" s="1"/>
  <c r="CX440" i="13" s="1"/>
  <c r="CX441" i="13" s="1"/>
  <c r="CX442" i="13" s="1"/>
  <c r="CX443" i="13" s="1"/>
  <c r="CX444" i="13" s="1"/>
  <c r="CX445" i="13" s="1"/>
  <c r="CX446" i="13" s="1"/>
  <c r="CX447" i="13" s="1"/>
  <c r="CX448" i="13" s="1"/>
  <c r="CX449" i="13" s="1"/>
  <c r="CX450" i="13" s="1"/>
  <c r="CX451" i="13" s="1"/>
  <c r="CX452" i="13" s="1"/>
  <c r="CX453" i="13" s="1"/>
  <c r="CX454" i="13" s="1"/>
  <c r="CX455" i="13" s="1"/>
  <c r="DD415" i="13"/>
  <c r="CX415" i="13"/>
  <c r="CX414" i="13"/>
  <c r="CX413" i="13"/>
  <c r="F33" i="148"/>
  <c r="DE453" i="13" l="1"/>
  <c r="DE455" i="13" s="1"/>
  <c r="U124" i="12"/>
  <c r="M27" i="12"/>
  <c r="I27" i="12"/>
  <c r="D119" i="5"/>
  <c r="D218" i="5"/>
  <c r="D147" i="5"/>
  <c r="D138" i="5"/>
  <c r="K27" i="12" l="1"/>
  <c r="Y124" i="12"/>
  <c r="E119" i="5"/>
  <c r="E218" i="5"/>
  <c r="E147" i="5"/>
  <c r="E138" i="5"/>
  <c r="O27" i="12" l="1"/>
  <c r="C13" i="56" l="1"/>
  <c r="G150" i="110" l="1"/>
  <c r="J150" i="110"/>
  <c r="K150" i="110"/>
  <c r="L150" i="110"/>
  <c r="M150" i="110"/>
  <c r="N150" i="110"/>
  <c r="G93" i="110"/>
  <c r="L93" i="110"/>
  <c r="M93" i="110"/>
  <c r="J50" i="115"/>
  <c r="A17" i="115"/>
  <c r="A17" i="111"/>
  <c r="AA355" i="24" l="1"/>
  <c r="AA338" i="24"/>
  <c r="AA333" i="24"/>
  <c r="AA331" i="24"/>
  <c r="AC355" i="24"/>
  <c r="AC343" i="24"/>
  <c r="AC338" i="24"/>
  <c r="AC333" i="24"/>
  <c r="AC331" i="24"/>
  <c r="AA348" i="24" l="1"/>
  <c r="AA358" i="24" s="1"/>
  <c r="AA360" i="24" s="1"/>
  <c r="AC348" i="24"/>
  <c r="AC358" i="24" s="1"/>
  <c r="AC360" i="24" s="1"/>
  <c r="AA363" i="24" l="1"/>
  <c r="AA366" i="24" s="1"/>
  <c r="AA368" i="24" s="1"/>
  <c r="AA370" i="24" s="1"/>
  <c r="AC363" i="24"/>
  <c r="AC366" i="24" s="1"/>
  <c r="AC368" i="24" s="1"/>
  <c r="AC370" i="24" s="1"/>
  <c r="E50" i="6" l="1"/>
  <c r="C50" i="6"/>
  <c r="D50" i="6"/>
  <c r="D52" i="5" l="1"/>
  <c r="AL128" i="13"/>
  <c r="U75" i="140"/>
  <c r="A53" i="49"/>
  <c r="A54" i="49" s="1"/>
  <c r="A55" i="49" s="1"/>
  <c r="A56" i="49" s="1"/>
  <c r="A57" i="49" s="1"/>
  <c r="A58" i="49" s="1"/>
  <c r="A59" i="49" s="1"/>
  <c r="A60" i="49" s="1"/>
  <c r="K56" i="49"/>
  <c r="E52" i="5" l="1"/>
  <c r="K18" i="49"/>
  <c r="K19" i="49"/>
  <c r="K20" i="49"/>
  <c r="K21" i="49"/>
  <c r="K22" i="49"/>
  <c r="K23" i="49"/>
  <c r="K24" i="49"/>
  <c r="K25" i="49"/>
  <c r="K26" i="49"/>
  <c r="K27" i="49"/>
  <c r="K28" i="49"/>
  <c r="K29" i="49"/>
  <c r="K30" i="49"/>
  <c r="K31" i="49"/>
  <c r="K32" i="49"/>
  <c r="K33" i="49"/>
  <c r="K34" i="49"/>
  <c r="K35" i="49"/>
  <c r="K36" i="49"/>
  <c r="K37" i="49"/>
  <c r="K38" i="49"/>
  <c r="K39" i="49"/>
  <c r="K40" i="49"/>
  <c r="K41" i="49"/>
  <c r="K42" i="49"/>
  <c r="K43" i="49"/>
  <c r="K44" i="49"/>
  <c r="K45" i="49"/>
  <c r="K46" i="49"/>
  <c r="K47" i="49"/>
  <c r="K48" i="49"/>
  <c r="K49" i="49"/>
  <c r="K50" i="49"/>
  <c r="K51" i="49"/>
  <c r="K52" i="49"/>
  <c r="K53" i="49"/>
  <c r="K54" i="49"/>
  <c r="K55" i="49"/>
  <c r="K57" i="49"/>
  <c r="K58" i="49"/>
  <c r="K59" i="49"/>
  <c r="K60" i="49"/>
  <c r="K61" i="49"/>
  <c r="K62" i="49"/>
  <c r="K63" i="49"/>
  <c r="K64" i="49"/>
  <c r="K65" i="49"/>
  <c r="K66" i="49"/>
  <c r="K67" i="49"/>
  <c r="K68" i="49"/>
  <c r="K69" i="49"/>
  <c r="K70" i="49"/>
  <c r="K71" i="49"/>
  <c r="K72" i="49"/>
  <c r="K73" i="49"/>
  <c r="Q18" i="49"/>
  <c r="Q19" i="49"/>
  <c r="Q20" i="49"/>
  <c r="Q21" i="49"/>
  <c r="Q22" i="49"/>
  <c r="Q23" i="49"/>
  <c r="Q24" i="49"/>
  <c r="Q25" i="49"/>
  <c r="Q26" i="49"/>
  <c r="Q27" i="49"/>
  <c r="Q28" i="49"/>
  <c r="Q29" i="49"/>
  <c r="Q30" i="49"/>
  <c r="Q31" i="49"/>
  <c r="Q32" i="49"/>
  <c r="Q33" i="49"/>
  <c r="Q34" i="49"/>
  <c r="Q35" i="49"/>
  <c r="Q36" i="49"/>
  <c r="Q37" i="49"/>
  <c r="Q38" i="49"/>
  <c r="Q39" i="49"/>
  <c r="Q40" i="49"/>
  <c r="Q41" i="49"/>
  <c r="Q42" i="49"/>
  <c r="Q43" i="49"/>
  <c r="Q44" i="49"/>
  <c r="Q45" i="49"/>
  <c r="Q46" i="49"/>
  <c r="Q47" i="49"/>
  <c r="Q48" i="49"/>
  <c r="Q49" i="49"/>
  <c r="Q50" i="49"/>
  <c r="Q51" i="49"/>
  <c r="Q52" i="49"/>
  <c r="Q53" i="49"/>
  <c r="Q54" i="49"/>
  <c r="Q55" i="49"/>
  <c r="Q57" i="49"/>
  <c r="Q58" i="49"/>
  <c r="Q59" i="49"/>
  <c r="Q60" i="49"/>
  <c r="Q61" i="49"/>
  <c r="Q62" i="49"/>
  <c r="Q63" i="49"/>
  <c r="Q64" i="49"/>
  <c r="Q65" i="49"/>
  <c r="Q66" i="49"/>
  <c r="Q67" i="49"/>
  <c r="Q68" i="49"/>
  <c r="Q69" i="49"/>
  <c r="Q70" i="49"/>
  <c r="Q71" i="49"/>
  <c r="Q72" i="49"/>
  <c r="Q73" i="49"/>
  <c r="A19" i="49" l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3" i="49" s="1"/>
  <c r="A74" i="49" s="1"/>
  <c r="G74" i="49"/>
  <c r="M74" i="49"/>
  <c r="A34" i="50" l="1"/>
  <c r="A35" i="50" s="1"/>
  <c r="A36" i="50" s="1"/>
  <c r="A19" i="52"/>
  <c r="A20" i="52" s="1"/>
  <c r="A21" i="52" s="1"/>
  <c r="A22" i="52" s="1"/>
  <c r="A23" i="52" s="1"/>
  <c r="A24" i="52" s="1"/>
  <c r="A25" i="52" s="1"/>
  <c r="A26" i="52" s="1"/>
  <c r="M139" i="55" l="1"/>
  <c r="M140" i="55" s="1"/>
  <c r="M141" i="55" s="1"/>
  <c r="M142" i="55" s="1"/>
  <c r="M143" i="55" s="1"/>
  <c r="M144" i="55" s="1"/>
  <c r="M145" i="55" s="1"/>
  <c r="M146" i="55" s="1"/>
  <c r="M147" i="55" s="1"/>
  <c r="M148" i="55" s="1"/>
  <c r="M149" i="55" s="1"/>
  <c r="M150" i="55" s="1"/>
  <c r="M151" i="55" s="1"/>
  <c r="M152" i="55" s="1"/>
  <c r="M153" i="55" s="1"/>
  <c r="M154" i="55" s="1"/>
  <c r="M155" i="55" s="1"/>
  <c r="M156" i="55" s="1"/>
  <c r="M157" i="55" s="1"/>
  <c r="M158" i="55" s="1"/>
  <c r="M67" i="55"/>
  <c r="M68" i="55" s="1"/>
  <c r="M69" i="55" s="1"/>
  <c r="M70" i="55" s="1"/>
  <c r="M71" i="55" s="1"/>
  <c r="M72" i="55" s="1"/>
  <c r="M73" i="55" s="1"/>
  <c r="M74" i="55" s="1"/>
  <c r="M75" i="55" s="1"/>
  <c r="M76" i="55" s="1"/>
  <c r="M77" i="55" s="1"/>
  <c r="M78" i="55" s="1"/>
  <c r="M79" i="55" s="1"/>
  <c r="M80" i="55" s="1"/>
  <c r="M81" i="55" s="1"/>
  <c r="M82" i="55" s="1"/>
  <c r="M83" i="55" s="1"/>
  <c r="M84" i="55" s="1"/>
  <c r="M85" i="55" s="1"/>
  <c r="M86" i="55" s="1"/>
  <c r="M87" i="55" s="1"/>
  <c r="M88" i="55" s="1"/>
  <c r="M89" i="55" s="1"/>
  <c r="M90" i="55" s="1"/>
  <c r="M91" i="55" s="1"/>
  <c r="M92" i="55" s="1"/>
  <c r="A19" i="50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M159" i="55" l="1"/>
  <c r="M160" i="55" s="1"/>
  <c r="M161" i="55" s="1"/>
  <c r="M162" i="55" s="1"/>
  <c r="M163" i="55" s="1"/>
  <c r="M164" i="55" s="1"/>
  <c r="M165" i="55" s="1"/>
  <c r="M166" i="55" s="1"/>
  <c r="M167" i="55" s="1"/>
  <c r="M168" i="55" s="1"/>
  <c r="M169" i="55" s="1"/>
  <c r="M170" i="55" s="1"/>
  <c r="M171" i="55" s="1"/>
  <c r="M172" i="55" s="1"/>
  <c r="M173" i="55" s="1"/>
  <c r="M93" i="55"/>
  <c r="M94" i="55" s="1"/>
  <c r="M95" i="55" s="1"/>
  <c r="M96" i="55" s="1"/>
  <c r="M97" i="55" s="1"/>
  <c r="M98" i="55" s="1"/>
  <c r="M99" i="55" s="1"/>
  <c r="M100" i="55" s="1"/>
  <c r="M101" i="55" s="1"/>
  <c r="M102" i="55" s="1"/>
  <c r="M103" i="55" s="1"/>
  <c r="M104" i="55" s="1"/>
  <c r="M105" i="55" s="1"/>
  <c r="M106" i="55" s="1"/>
  <c r="M107" i="55" s="1"/>
  <c r="M108" i="55" s="1"/>
  <c r="M109" i="55" s="1"/>
  <c r="M110" i="55" s="1"/>
  <c r="M111" i="55" s="1"/>
  <c r="M112" i="55" s="1"/>
  <c r="M113" i="55" s="1"/>
  <c r="M114" i="55" s="1"/>
  <c r="M115" i="55" s="1"/>
  <c r="M116" i="55" s="1"/>
  <c r="M117" i="55" s="1"/>
  <c r="M118" i="55" s="1"/>
  <c r="M119" i="55" s="1"/>
  <c r="M120" i="55" s="1"/>
  <c r="M121" i="55" s="1"/>
  <c r="H10" i="185"/>
  <c r="O10" i="57"/>
  <c r="K9" i="56"/>
  <c r="R10" i="53"/>
  <c r="O10" i="52"/>
  <c r="O10" i="51"/>
  <c r="O10" i="49"/>
  <c r="U209" i="24" l="1"/>
  <c r="AE457" i="24"/>
  <c r="AC457" i="24"/>
  <c r="AA457" i="24"/>
  <c r="Y457" i="24"/>
  <c r="W457" i="24"/>
  <c r="U457" i="24"/>
  <c r="AE395" i="24"/>
  <c r="AC395" i="24"/>
  <c r="AA395" i="24"/>
  <c r="Y395" i="24"/>
  <c r="W395" i="24"/>
  <c r="U395" i="24"/>
  <c r="AE333" i="24"/>
  <c r="U271" i="24"/>
  <c r="Y333" i="24"/>
  <c r="U333" i="24"/>
  <c r="W333" i="24"/>
  <c r="AE271" i="24"/>
  <c r="AC271" i="24"/>
  <c r="AA271" i="24"/>
  <c r="Y271" i="24"/>
  <c r="W271" i="24"/>
  <c r="AE209" i="24"/>
  <c r="AC209" i="24"/>
  <c r="AA209" i="24"/>
  <c r="Y209" i="24"/>
  <c r="W209" i="24"/>
  <c r="K147" i="24"/>
  <c r="I147" i="24"/>
  <c r="G147" i="24"/>
  <c r="E147" i="24"/>
  <c r="O85" i="24"/>
  <c r="M85" i="24"/>
  <c r="K85" i="24"/>
  <c r="I85" i="24"/>
  <c r="G85" i="24"/>
  <c r="E85" i="24"/>
  <c r="O23" i="24"/>
  <c r="M23" i="24"/>
  <c r="K23" i="24"/>
  <c r="I23" i="24"/>
  <c r="G23" i="24"/>
  <c r="E23" i="24"/>
  <c r="E28" i="182" l="1"/>
  <c r="AB241" i="15" l="1"/>
  <c r="H292" i="174" l="1"/>
  <c r="E324" i="172" l="1"/>
  <c r="O64" i="54" l="1"/>
  <c r="J18" i="53"/>
  <c r="A20" i="57"/>
  <c r="A21" i="57" s="1"/>
  <c r="A22" i="57" s="1"/>
  <c r="A23" i="57" s="1"/>
  <c r="A19" i="57"/>
  <c r="A19" i="81" l="1"/>
  <c r="A21" i="81" s="1"/>
  <c r="A22" i="81" s="1"/>
  <c r="A23" i="81" s="1"/>
  <c r="A24" i="81" s="1"/>
  <c r="A25" i="81" s="1"/>
  <c r="A26" i="81" s="1"/>
  <c r="A27" i="81" s="1"/>
  <c r="A28" i="81" s="1"/>
  <c r="A29" i="81" s="1"/>
  <c r="A30" i="81" s="1"/>
  <c r="A31" i="81" s="1"/>
  <c r="A32" i="81" s="1"/>
  <c r="A33" i="81" s="1"/>
  <c r="A34" i="81" s="1"/>
  <c r="A35" i="81" s="1"/>
  <c r="A36" i="81" s="1"/>
  <c r="A37" i="81" s="1"/>
  <c r="A38" i="81" s="1"/>
  <c r="A39" i="81" s="1"/>
  <c r="W116" i="12" l="1"/>
  <c r="Y116" i="12" s="1"/>
  <c r="W66" i="12"/>
  <c r="Y66" i="12" s="1"/>
  <c r="M17" i="12" s="1"/>
  <c r="I165" i="179"/>
  <c r="A332" i="174"/>
  <c r="V217" i="15" l="1"/>
  <c r="V218" i="15" s="1"/>
  <c r="V219" i="15" s="1"/>
  <c r="V220" i="15" s="1"/>
  <c r="V221" i="15" s="1"/>
  <c r="V222" i="15" s="1"/>
  <c r="V223" i="15" s="1"/>
  <c r="V224" i="15" s="1"/>
  <c r="V225" i="15" s="1"/>
  <c r="V226" i="15" s="1"/>
  <c r="V227" i="15" s="1"/>
  <c r="V228" i="15" s="1"/>
  <c r="V234" i="15" s="1"/>
  <c r="V235" i="15" s="1"/>
  <c r="V236" i="15" s="1"/>
  <c r="V237" i="15" s="1"/>
  <c r="V238" i="15" s="1"/>
  <c r="V239" i="15" s="1"/>
  <c r="V240" i="15" l="1"/>
  <c r="V241" i="15" s="1"/>
  <c r="V242" i="15" s="1"/>
  <c r="V243" i="15" s="1"/>
  <c r="V244" i="15" s="1"/>
  <c r="V245" i="15" s="1"/>
  <c r="V246" i="15" s="1"/>
  <c r="V247" i="15" s="1"/>
  <c r="V253" i="15" s="1"/>
  <c r="V254" i="15" s="1"/>
  <c r="V255" i="15" s="1"/>
  <c r="V256" i="15" s="1"/>
  <c r="V264" i="15" l="1"/>
  <c r="V265" i="15" s="1"/>
  <c r="V266" i="15" s="1"/>
  <c r="A18" i="56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L130" i="13"/>
  <c r="S126" i="15"/>
  <c r="T126" i="15" s="1"/>
  <c r="S125" i="15"/>
  <c r="T125" i="15" s="1"/>
  <c r="S127" i="15" l="1"/>
  <c r="F28" i="58" l="1"/>
  <c r="A106" i="15" l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8" i="15" l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65" i="15"/>
  <c r="A166" i="15" s="1"/>
  <c r="A167" i="15" s="1"/>
  <c r="AA204" i="15"/>
  <c r="R102" i="109" l="1"/>
  <c r="R103" i="109"/>
  <c r="R104" i="109"/>
  <c r="R105" i="109"/>
  <c r="R106" i="109"/>
  <c r="R107" i="109"/>
  <c r="R109" i="109"/>
  <c r="R108" i="109"/>
  <c r="AQ141" i="13" l="1"/>
  <c r="AM141" i="13"/>
  <c r="AO128" i="13"/>
  <c r="AQ128" i="13"/>
  <c r="BJ243" i="13"/>
  <c r="BJ245" i="13" s="1"/>
  <c r="AL141" i="13" s="1"/>
  <c r="AQ142" i="13"/>
  <c r="AM142" i="13"/>
  <c r="AL133" i="13"/>
  <c r="AQ129" i="13"/>
  <c r="AL129" i="13"/>
  <c r="AO129" i="13" s="1"/>
  <c r="BM243" i="13"/>
  <c r="BM245" i="13" s="1"/>
  <c r="AL142" i="13" s="1"/>
  <c r="CV398" i="13"/>
  <c r="CV372" i="13"/>
  <c r="CV383" i="13"/>
  <c r="K74" i="49"/>
  <c r="Q74" i="49"/>
  <c r="AR128" i="13" l="1"/>
  <c r="AO141" i="13"/>
  <c r="AR141" i="13" s="1"/>
  <c r="AO142" i="13"/>
  <c r="AR142" i="13" s="1"/>
  <c r="AR129" i="13"/>
  <c r="AE355" i="24" l="1"/>
  <c r="U293" i="24"/>
  <c r="Y355" i="24"/>
  <c r="H28" i="131"/>
  <c r="R49" i="130" l="1"/>
  <c r="R48" i="130"/>
  <c r="G71" i="173"/>
  <c r="G29" i="173"/>
  <c r="H31" i="172" l="1"/>
  <c r="H288" i="172"/>
  <c r="K69" i="174" l="1"/>
  <c r="E69" i="172" s="1"/>
  <c r="A76" i="174"/>
  <c r="K65" i="174"/>
  <c r="E65" i="172" s="1"/>
  <c r="F60" i="149" l="1"/>
  <c r="G111" i="46" l="1"/>
  <c r="BB193" i="13" l="1"/>
  <c r="AM107" i="131" l="1"/>
  <c r="F157" i="15" l="1"/>
  <c r="H160" i="15" l="1"/>
  <c r="I160" i="15"/>
  <c r="J160" i="15"/>
  <c r="K160" i="15"/>
  <c r="L160" i="15"/>
  <c r="M160" i="15"/>
  <c r="N160" i="15"/>
  <c r="O160" i="15"/>
  <c r="P160" i="15"/>
  <c r="Q160" i="15"/>
  <c r="R160" i="15"/>
  <c r="H150" i="15"/>
  <c r="I150" i="15"/>
  <c r="J150" i="15"/>
  <c r="K150" i="15"/>
  <c r="L150" i="15"/>
  <c r="M150" i="15"/>
  <c r="N150" i="15"/>
  <c r="O150" i="15"/>
  <c r="P150" i="15"/>
  <c r="Q150" i="15"/>
  <c r="I18" i="57" l="1"/>
  <c r="K18" i="57" s="1"/>
  <c r="I19" i="57"/>
  <c r="K19" i="57" s="1"/>
  <c r="I20" i="57"/>
  <c r="K20" i="57" s="1"/>
  <c r="I21" i="57"/>
  <c r="K21" i="57" s="1"/>
  <c r="K22" i="54"/>
  <c r="I18" i="52"/>
  <c r="K18" i="52" s="1"/>
  <c r="I19" i="52"/>
  <c r="K19" i="52" s="1"/>
  <c r="I20" i="52"/>
  <c r="K20" i="52" s="1"/>
  <c r="I21" i="52"/>
  <c r="K21" i="52" s="1"/>
  <c r="I22" i="52"/>
  <c r="K22" i="52" s="1"/>
  <c r="I23" i="52"/>
  <c r="K23" i="52" s="1"/>
  <c r="I24" i="52"/>
  <c r="K24" i="52" s="1"/>
  <c r="I25" i="52"/>
  <c r="K25" i="52" s="1"/>
  <c r="I26" i="52"/>
  <c r="K26" i="52" s="1"/>
  <c r="O23" i="52"/>
  <c r="Q23" i="52" s="1"/>
  <c r="O22" i="52"/>
  <c r="Q22" i="52" s="1"/>
  <c r="O24" i="52"/>
  <c r="Q24" i="52" s="1"/>
  <c r="I18" i="50"/>
  <c r="K18" i="50" s="1"/>
  <c r="I19" i="50"/>
  <c r="K19" i="50" s="1"/>
  <c r="I20" i="50"/>
  <c r="K20" i="50" s="1"/>
  <c r="I21" i="50"/>
  <c r="K21" i="50" s="1"/>
  <c r="I22" i="50"/>
  <c r="I23" i="50"/>
  <c r="K23" i="50" s="1"/>
  <c r="I24" i="50"/>
  <c r="K24" i="50" s="1"/>
  <c r="I25" i="50"/>
  <c r="K25" i="50" s="1"/>
  <c r="I26" i="50"/>
  <c r="K26" i="50" s="1"/>
  <c r="I27" i="50"/>
  <c r="K27" i="50" s="1"/>
  <c r="I28" i="50"/>
  <c r="K28" i="50" s="1"/>
  <c r="I29" i="50"/>
  <c r="K29" i="50" s="1"/>
  <c r="I32" i="50"/>
  <c r="K32" i="50" s="1"/>
  <c r="I33" i="50"/>
  <c r="K33" i="50" s="1"/>
  <c r="I30" i="50"/>
  <c r="K30" i="50" s="1"/>
  <c r="I34" i="50"/>
  <c r="K34" i="50" s="1"/>
  <c r="I31" i="50"/>
  <c r="K31" i="50" s="1"/>
  <c r="K22" i="50"/>
  <c r="Y91" i="140" l="1"/>
  <c r="AA91" i="140"/>
  <c r="AA84" i="140"/>
  <c r="Y84" i="140"/>
  <c r="I52" i="81"/>
  <c r="K52" i="81"/>
  <c r="H23" i="81"/>
  <c r="L38" i="81"/>
  <c r="L39" i="81"/>
  <c r="I50" i="71"/>
  <c r="L38" i="71"/>
  <c r="L39" i="71"/>
  <c r="M50" i="71"/>
  <c r="L43" i="71"/>
  <c r="J50" i="71" l="1"/>
  <c r="G50" i="71"/>
  <c r="K50" i="71"/>
  <c r="H52" i="81"/>
  <c r="G52" i="81"/>
  <c r="J52" i="81"/>
  <c r="M52" i="81"/>
  <c r="AA94" i="140"/>
  <c r="Y94" i="140"/>
  <c r="AC91" i="140"/>
  <c r="AC84" i="140"/>
  <c r="BE136" i="131"/>
  <c r="BE137" i="131"/>
  <c r="BE138" i="131"/>
  <c r="BI138" i="131"/>
  <c r="P71" i="42"/>
  <c r="I64" i="42"/>
  <c r="I65" i="42"/>
  <c r="I66" i="42" s="1"/>
  <c r="I67" i="42" s="1"/>
  <c r="I68" i="42" s="1"/>
  <c r="I69" i="42" s="1"/>
  <c r="I70" i="42" s="1"/>
  <c r="I71" i="42" s="1"/>
  <c r="I72" i="42" s="1"/>
  <c r="I73" i="42" s="1"/>
  <c r="I74" i="42" s="1"/>
  <c r="I75" i="42" s="1"/>
  <c r="I76" i="42" s="1"/>
  <c r="I77" i="42" s="1"/>
  <c r="I78" i="42" s="1"/>
  <c r="P76" i="42"/>
  <c r="AC94" i="140" l="1"/>
  <c r="H22" i="140" s="1"/>
  <c r="Y59" i="131"/>
  <c r="E173" i="6"/>
  <c r="C173" i="6"/>
  <c r="B173" i="6"/>
  <c r="A173" i="6"/>
  <c r="D173" i="6" s="1"/>
  <c r="E51" i="6"/>
  <c r="D51" i="6"/>
  <c r="C51" i="6"/>
  <c r="E53" i="5" l="1"/>
  <c r="D53" i="5"/>
  <c r="A6" i="153" l="1"/>
  <c r="A6" i="152"/>
  <c r="G21" i="154" l="1"/>
  <c r="W97" i="13" l="1"/>
  <c r="D175" i="5" l="1"/>
  <c r="D187" i="5"/>
  <c r="E175" i="5" l="1"/>
  <c r="E187" i="5"/>
  <c r="G74" i="46" l="1"/>
  <c r="X85" i="61" l="1"/>
  <c r="K85" i="61"/>
  <c r="K84" i="61"/>
  <c r="K83" i="61"/>
  <c r="F19" i="61" l="1"/>
  <c r="F57" i="61"/>
  <c r="F20" i="61"/>
  <c r="E235" i="6" l="1"/>
  <c r="D235" i="6"/>
  <c r="E223" i="6"/>
  <c r="D223" i="6"/>
  <c r="E182" i="6"/>
  <c r="D182" i="6"/>
  <c r="E161" i="6"/>
  <c r="D161" i="6"/>
  <c r="E69" i="6"/>
  <c r="E70" i="6"/>
  <c r="E71" i="6"/>
  <c r="E72" i="6"/>
  <c r="D69" i="6"/>
  <c r="D71" i="6"/>
  <c r="E48" i="6"/>
  <c r="E49" i="6"/>
  <c r="H83" i="21"/>
  <c r="C127" i="21"/>
  <c r="C128" i="21"/>
  <c r="C133" i="21"/>
  <c r="C134" i="21"/>
  <c r="C135" i="21"/>
  <c r="H278" i="21" l="1"/>
  <c r="H38" i="21"/>
  <c r="H39" i="21"/>
  <c r="H36" i="21"/>
  <c r="D238" i="5" l="1"/>
  <c r="E238" i="5" l="1"/>
  <c r="G278" i="21" l="1"/>
  <c r="J278" i="21" s="1"/>
  <c r="D226" i="5" l="1"/>
  <c r="D184" i="5"/>
  <c r="D163" i="5"/>
  <c r="D73" i="5"/>
  <c r="D71" i="5"/>
  <c r="D49" i="5"/>
  <c r="D50" i="5"/>
  <c r="D51" i="5"/>
  <c r="D28" i="5"/>
  <c r="E226" i="5" l="1"/>
  <c r="E184" i="5"/>
  <c r="E163" i="5"/>
  <c r="E73" i="5"/>
  <c r="E71" i="5"/>
  <c r="E49" i="5"/>
  <c r="E50" i="5"/>
  <c r="E51" i="5"/>
  <c r="E28" i="5"/>
  <c r="G36" i="21" l="1"/>
  <c r="J36" i="21" s="1"/>
  <c r="G38" i="21"/>
  <c r="J38" i="21" s="1"/>
  <c r="G83" i="21"/>
  <c r="AH217" i="46"/>
  <c r="AH218" i="46"/>
  <c r="W166" i="46" s="1"/>
  <c r="AH219" i="46"/>
  <c r="AH220" i="46"/>
  <c r="AH221" i="46"/>
  <c r="AH222" i="46"/>
  <c r="AH223" i="46"/>
  <c r="AH224" i="46"/>
  <c r="AH225" i="46"/>
  <c r="W167" i="46" s="1"/>
  <c r="AH226" i="46"/>
  <c r="AH228" i="46"/>
  <c r="AH230" i="46"/>
  <c r="AH231" i="46"/>
  <c r="AH232" i="46"/>
  <c r="AH233" i="46"/>
  <c r="AH234" i="46"/>
  <c r="AH235" i="46"/>
  <c r="AH236" i="46"/>
  <c r="AH237" i="46"/>
  <c r="AH238" i="46"/>
  <c r="AH239" i="46"/>
  <c r="AH240" i="46"/>
  <c r="AH241" i="46"/>
  <c r="AH242" i="46"/>
  <c r="AH244" i="46"/>
  <c r="AH245" i="46"/>
  <c r="AH246" i="46"/>
  <c r="AH247" i="46"/>
  <c r="AH248" i="46"/>
  <c r="AH249" i="46"/>
  <c r="AH250" i="46"/>
  <c r="AH252" i="46"/>
  <c r="AH253" i="46"/>
  <c r="AH254" i="46"/>
  <c r="AH255" i="46"/>
  <c r="AH256" i="46"/>
  <c r="AH257" i="46"/>
  <c r="AH258" i="46"/>
  <c r="AH259" i="46"/>
  <c r="AH260" i="46"/>
  <c r="AH261" i="46"/>
  <c r="AH262" i="46"/>
  <c r="AH263" i="46"/>
  <c r="AH264" i="46"/>
  <c r="AH265" i="46"/>
  <c r="AH266" i="46"/>
  <c r="AH216" i="46"/>
  <c r="AH214" i="46"/>
  <c r="AH296" i="46" l="1"/>
  <c r="AH297" i="46" s="1"/>
  <c r="W168" i="46"/>
  <c r="L9" i="72"/>
  <c r="K9" i="76"/>
  <c r="V16" i="62" l="1"/>
  <c r="A33" i="124"/>
  <c r="A20" i="124"/>
  <c r="M14" i="62"/>
  <c r="F119" i="15" l="1"/>
  <c r="F101" i="15"/>
  <c r="S103" i="15" l="1"/>
  <c r="I151" i="15" s="1"/>
  <c r="Q102" i="15"/>
  <c r="P102" i="15"/>
  <c r="O102" i="15"/>
  <c r="N102" i="15"/>
  <c r="M102" i="15"/>
  <c r="R102" i="15"/>
  <c r="G102" i="15"/>
  <c r="O13" i="15"/>
  <c r="P13" i="15" s="1"/>
  <c r="N13" i="15"/>
  <c r="L13" i="15"/>
  <c r="I161" i="15" l="1"/>
  <c r="I152" i="15"/>
  <c r="K151" i="15"/>
  <c r="K152" i="15" s="1"/>
  <c r="L151" i="15"/>
  <c r="L152" i="15" s="1"/>
  <c r="M151" i="15"/>
  <c r="M152" i="15" s="1"/>
  <c r="O151" i="15"/>
  <c r="O152" i="15" s="1"/>
  <c r="H151" i="15"/>
  <c r="H152" i="15" s="1"/>
  <c r="R151" i="15"/>
  <c r="R152" i="15" s="1"/>
  <c r="G151" i="15"/>
  <c r="J151" i="15"/>
  <c r="J152" i="15" s="1"/>
  <c r="Q151" i="15"/>
  <c r="Q152" i="15" s="1"/>
  <c r="N151" i="15"/>
  <c r="N152" i="15" s="1"/>
  <c r="P151" i="15"/>
  <c r="P152" i="15" s="1"/>
  <c r="Y98" i="115"/>
  <c r="G161" i="15" l="1"/>
  <c r="M161" i="15"/>
  <c r="N161" i="15"/>
  <c r="K161" i="15"/>
  <c r="R161" i="15"/>
  <c r="O161" i="15"/>
  <c r="P161" i="15"/>
  <c r="L161" i="15"/>
  <c r="Q161" i="15"/>
  <c r="J161" i="15"/>
  <c r="H161" i="15"/>
  <c r="Q36" i="111" l="1"/>
  <c r="I9" i="111"/>
  <c r="W206" i="24" l="1"/>
  <c r="E74" i="110" l="1"/>
  <c r="A10" i="174" l="1"/>
  <c r="A11" i="174"/>
  <c r="J13" i="174"/>
  <c r="A31" i="174"/>
  <c r="A32" i="174" s="1"/>
  <c r="A36" i="174" s="1"/>
  <c r="E36" i="174"/>
  <c r="F36" i="174"/>
  <c r="G36" i="174"/>
  <c r="H36" i="174"/>
  <c r="A39" i="174"/>
  <c r="A40" i="174"/>
  <c r="A48" i="174"/>
  <c r="A8" i="175"/>
  <c r="A9" i="175"/>
  <c r="I11" i="175"/>
  <c r="A23" i="175"/>
  <c r="A24" i="175"/>
  <c r="A30" i="175"/>
  <c r="A31" i="175"/>
  <c r="I33" i="175"/>
  <c r="A1" i="110" l="1"/>
  <c r="A7" i="57" l="1"/>
  <c r="AB290" i="46"/>
  <c r="AB279" i="46"/>
  <c r="U192" i="46"/>
  <c r="U182" i="46"/>
  <c r="E125" i="46"/>
  <c r="E78" i="46"/>
  <c r="J26" i="163"/>
  <c r="K26" i="163"/>
  <c r="A2" i="6" l="1"/>
  <c r="A6" i="6"/>
  <c r="A7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70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9" i="6"/>
  <c r="A90" i="6"/>
  <c r="A91" i="6"/>
  <c r="A92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7" i="6"/>
  <c r="A138" i="6"/>
  <c r="A139" i="6"/>
  <c r="A140" i="6"/>
  <c r="A141" i="6"/>
  <c r="A142" i="6"/>
  <c r="A144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2" i="6"/>
  <c r="A164" i="6"/>
  <c r="A165" i="6"/>
  <c r="A166" i="6"/>
  <c r="A167" i="6"/>
  <c r="A168" i="6"/>
  <c r="A169" i="6"/>
  <c r="A170" i="6"/>
  <c r="A171" i="6"/>
  <c r="A172" i="6"/>
  <c r="A174" i="6"/>
  <c r="A175" i="6"/>
  <c r="A176" i="6"/>
  <c r="A177" i="6"/>
  <c r="A178" i="6"/>
  <c r="A179" i="6"/>
  <c r="A180" i="6"/>
  <c r="A181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1" i="6"/>
  <c r="A212" i="6"/>
  <c r="A213" i="6"/>
  <c r="A214" i="6"/>
  <c r="A216" i="6"/>
  <c r="A217" i="6"/>
  <c r="A218" i="6"/>
  <c r="A219" i="6"/>
  <c r="A220" i="6"/>
  <c r="A221" i="6"/>
  <c r="A222" i="6"/>
  <c r="A224" i="6"/>
  <c r="A225" i="6"/>
  <c r="A226" i="6"/>
  <c r="A227" i="6"/>
  <c r="A228" i="6"/>
  <c r="A229" i="6"/>
  <c r="A230" i="6"/>
  <c r="A231" i="6"/>
  <c r="A232" i="6"/>
  <c r="A233" i="6"/>
  <c r="A234" i="6"/>
  <c r="A236" i="6"/>
  <c r="A237" i="6"/>
  <c r="A238" i="6"/>
  <c r="A239" i="6"/>
  <c r="A240" i="6"/>
  <c r="A242" i="6"/>
  <c r="A243" i="6"/>
  <c r="N37" i="162" l="1"/>
  <c r="J38" i="162"/>
  <c r="J37" i="162"/>
  <c r="J36" i="162"/>
  <c r="J35" i="162"/>
  <c r="G22" i="162"/>
  <c r="H289" i="22" l="1"/>
  <c r="Y96" i="115" l="1"/>
  <c r="G24" i="154" l="1"/>
  <c r="G20" i="60" l="1"/>
  <c r="G19" i="60"/>
  <c r="E113" i="6" l="1"/>
  <c r="B113" i="6"/>
  <c r="D113" i="6"/>
  <c r="D115" i="5"/>
  <c r="E115" i="5" l="1"/>
  <c r="E239" i="6" l="1"/>
  <c r="C239" i="6"/>
  <c r="B239" i="6"/>
  <c r="D239" i="6"/>
  <c r="E225" i="6"/>
  <c r="C225" i="6"/>
  <c r="B225" i="6"/>
  <c r="D225" i="6"/>
  <c r="E222" i="6"/>
  <c r="C222" i="6"/>
  <c r="B222" i="6"/>
  <c r="D222" i="6"/>
  <c r="E216" i="6"/>
  <c r="C216" i="6"/>
  <c r="B216" i="6"/>
  <c r="D216" i="6"/>
  <c r="E194" i="6"/>
  <c r="C194" i="6"/>
  <c r="B194" i="6"/>
  <c r="D194" i="6"/>
  <c r="D88" i="6"/>
  <c r="D93" i="6"/>
  <c r="D160" i="6"/>
  <c r="D163" i="6"/>
  <c r="D195" i="6"/>
  <c r="D190" i="6"/>
  <c r="B190" i="6"/>
  <c r="C190" i="6"/>
  <c r="E190" i="6"/>
  <c r="D129" i="6"/>
  <c r="B129" i="6"/>
  <c r="C129" i="6"/>
  <c r="E129" i="6"/>
  <c r="D120" i="6"/>
  <c r="B120" i="6"/>
  <c r="C120" i="6"/>
  <c r="E120" i="6"/>
  <c r="D100" i="6"/>
  <c r="B100" i="6"/>
  <c r="C100" i="6"/>
  <c r="E100" i="6"/>
  <c r="D97" i="6"/>
  <c r="B97" i="6"/>
  <c r="C97" i="6"/>
  <c r="E97" i="6"/>
  <c r="D95" i="5"/>
  <c r="E76" i="6"/>
  <c r="C76" i="6"/>
  <c r="B76" i="6"/>
  <c r="D76" i="6"/>
  <c r="D68" i="6"/>
  <c r="B68" i="6"/>
  <c r="C68" i="6"/>
  <c r="E65" i="6"/>
  <c r="C65" i="6"/>
  <c r="B65" i="6"/>
  <c r="D65" i="6"/>
  <c r="E95" i="5" l="1"/>
  <c r="F9" i="154" l="1"/>
  <c r="O57" i="154" l="1"/>
  <c r="G20" i="154" s="1"/>
  <c r="I125" i="164" l="1"/>
  <c r="Q125" i="164"/>
  <c r="O125" i="164"/>
  <c r="M125" i="164"/>
  <c r="K125" i="164"/>
  <c r="A281" i="174" l="1"/>
  <c r="A282" i="174" s="1"/>
  <c r="A283" i="174" s="1"/>
  <c r="A284" i="174" s="1"/>
  <c r="A285" i="174" s="1"/>
  <c r="A286" i="174" s="1"/>
  <c r="A287" i="174" s="1"/>
  <c r="A288" i="174" s="1"/>
  <c r="A289" i="174" s="1"/>
  <c r="G31" i="154" l="1"/>
  <c r="G33" i="154" s="1"/>
  <c r="W212" i="24" s="1"/>
  <c r="G10" i="163" s="1"/>
  <c r="W205" i="24"/>
  <c r="F10" i="163" s="1"/>
  <c r="F26" i="163" s="1"/>
  <c r="Q43" i="154" l="1"/>
  <c r="Q53" i="154" l="1"/>
  <c r="J48" i="115" l="1"/>
  <c r="I60" i="42" l="1"/>
  <c r="I61" i="42" s="1"/>
  <c r="I62" i="42" s="1"/>
  <c r="I63" i="42" s="1"/>
  <c r="A247" i="179" l="1"/>
  <c r="A248" i="179" s="1"/>
  <c r="A249" i="179" s="1"/>
  <c r="A250" i="179" s="1"/>
  <c r="A251" i="179" s="1"/>
  <c r="A252" i="179" s="1"/>
  <c r="A253" i="179" s="1"/>
  <c r="A254" i="179" s="1"/>
  <c r="A255" i="179" s="1"/>
  <c r="A256" i="179" s="1"/>
  <c r="A257" i="179" s="1"/>
  <c r="A258" i="179" s="1"/>
  <c r="A259" i="179" s="1"/>
  <c r="A260" i="179" s="1"/>
  <c r="A261" i="179" s="1"/>
  <c r="A265" i="179" s="1"/>
  <c r="A269" i="179" s="1"/>
  <c r="A270" i="179" s="1"/>
  <c r="A273" i="179" s="1"/>
  <c r="A200" i="179"/>
  <c r="A201" i="179" s="1"/>
  <c r="A202" i="179" s="1"/>
  <c r="A203" i="179" s="1"/>
  <c r="A204" i="179" s="1"/>
  <c r="A205" i="179" s="1"/>
  <c r="A206" i="179" s="1"/>
  <c r="A207" i="179" s="1"/>
  <c r="A208" i="179" s="1"/>
  <c r="A209" i="179" s="1"/>
  <c r="A210" i="179" s="1"/>
  <c r="A211" i="179" s="1"/>
  <c r="A212" i="179" s="1"/>
  <c r="A213" i="179" s="1"/>
  <c r="A146" i="179"/>
  <c r="A147" i="179" s="1"/>
  <c r="A148" i="179" s="1"/>
  <c r="A149" i="179" s="1"/>
  <c r="A150" i="179" s="1"/>
  <c r="A151" i="179" s="1"/>
  <c r="A152" i="179" s="1"/>
  <c r="A153" i="179" s="1"/>
  <c r="A154" i="179" s="1"/>
  <c r="A155" i="179" s="1"/>
  <c r="A156" i="179" s="1"/>
  <c r="A157" i="179" s="1"/>
  <c r="A158" i="179" s="1"/>
  <c r="A159" i="179" s="1"/>
  <c r="A160" i="179" s="1"/>
  <c r="A163" i="179" s="1"/>
  <c r="A164" i="179" s="1"/>
  <c r="A165" i="179" s="1"/>
  <c r="A166" i="179" s="1"/>
  <c r="A167" i="179" s="1"/>
  <c r="A168" i="179" s="1"/>
  <c r="A169" i="179" s="1"/>
  <c r="A105" i="179"/>
  <c r="A106" i="179" s="1"/>
  <c r="A107" i="179" s="1"/>
  <c r="A108" i="179" s="1"/>
  <c r="A109" i="179" s="1"/>
  <c r="A110" i="179" s="1"/>
  <c r="A111" i="179" s="1"/>
  <c r="A112" i="179" s="1"/>
  <c r="A113" i="179" s="1"/>
  <c r="A114" i="179" s="1"/>
  <c r="A115" i="179" s="1"/>
  <c r="A63" i="179"/>
  <c r="A64" i="179" s="1"/>
  <c r="A65" i="179" s="1"/>
  <c r="A66" i="179" s="1"/>
  <c r="A67" i="179" s="1"/>
  <c r="A23" i="179"/>
  <c r="A24" i="179" s="1"/>
  <c r="A25" i="179" s="1"/>
  <c r="A26" i="179" s="1"/>
  <c r="A27" i="179" s="1"/>
  <c r="A28" i="179" s="1"/>
  <c r="A29" i="179" s="1"/>
  <c r="A30" i="179" s="1"/>
  <c r="A31" i="179" s="1"/>
  <c r="A32" i="179" s="1"/>
  <c r="A494" i="172"/>
  <c r="A495" i="172" s="1"/>
  <c r="A496" i="172" s="1"/>
  <c r="A497" i="172" s="1"/>
  <c r="A498" i="172" s="1"/>
  <c r="A499" i="172" s="1"/>
  <c r="A500" i="172" s="1"/>
  <c r="A501" i="172" s="1"/>
  <c r="A502" i="172" s="1"/>
  <c r="A452" i="172"/>
  <c r="A453" i="172" s="1"/>
  <c r="A454" i="172" s="1"/>
  <c r="A455" i="172" s="1"/>
  <c r="A456" i="172" s="1"/>
  <c r="A457" i="172" s="1"/>
  <c r="A458" i="172" s="1"/>
  <c r="A459" i="172" s="1"/>
  <c r="A460" i="172" s="1"/>
  <c r="A398" i="172"/>
  <c r="A399" i="172" s="1"/>
  <c r="A400" i="172" s="1"/>
  <c r="A401" i="172" s="1"/>
  <c r="A402" i="172" s="1"/>
  <c r="A403" i="172" s="1"/>
  <c r="A404" i="172" s="1"/>
  <c r="A405" i="172" s="1"/>
  <c r="A406" i="172" s="1"/>
  <c r="A407" i="172" s="1"/>
  <c r="A408" i="172" s="1"/>
  <c r="A409" i="172" s="1"/>
  <c r="A410" i="172" s="1"/>
  <c r="A411" i="172" s="1"/>
  <c r="A412" i="172" s="1"/>
  <c r="A413" i="172" s="1"/>
  <c r="A414" i="172" s="1"/>
  <c r="A415" i="172" s="1"/>
  <c r="A416" i="172" s="1"/>
  <c r="A417" i="172" s="1"/>
  <c r="A418" i="172" s="1"/>
  <c r="A419" i="172" s="1"/>
  <c r="A420" i="172" s="1"/>
  <c r="A425" i="172" s="1"/>
  <c r="A359" i="172"/>
  <c r="A360" i="172" s="1"/>
  <c r="A361" i="172" s="1"/>
  <c r="A362" i="172" s="1"/>
  <c r="A363" i="172" s="1"/>
  <c r="A364" i="172" s="1"/>
  <c r="A365" i="172" s="1"/>
  <c r="A366" i="172" s="1"/>
  <c r="A367" i="172" s="1"/>
  <c r="A368" i="172" s="1"/>
  <c r="A319" i="172"/>
  <c r="A320" i="172" s="1"/>
  <c r="A321" i="172" s="1"/>
  <c r="A322" i="172" s="1"/>
  <c r="A323" i="172" s="1"/>
  <c r="A324" i="172" s="1"/>
  <c r="A325" i="172" s="1"/>
  <c r="A326" i="172" s="1"/>
  <c r="A327" i="172" s="1"/>
  <c r="A333" i="172" s="1"/>
  <c r="A281" i="172"/>
  <c r="A282" i="172" s="1"/>
  <c r="A283" i="172" s="1"/>
  <c r="A284" i="172" s="1"/>
  <c r="A285" i="172" s="1"/>
  <c r="A286" i="172" s="1"/>
  <c r="A287" i="172" s="1"/>
  <c r="A288" i="172" s="1"/>
  <c r="A289" i="172" s="1"/>
  <c r="A293" i="172" s="1"/>
  <c r="A236" i="172"/>
  <c r="A237" i="172" s="1"/>
  <c r="A238" i="172" s="1"/>
  <c r="A239" i="172" s="1"/>
  <c r="A240" i="172" s="1"/>
  <c r="A241" i="172" s="1"/>
  <c r="A242" i="172" s="1"/>
  <c r="A243" i="172" s="1"/>
  <c r="A244" i="172" s="1"/>
  <c r="A194" i="172"/>
  <c r="A195" i="172" s="1"/>
  <c r="A196" i="172" s="1"/>
  <c r="A197" i="172" s="1"/>
  <c r="A198" i="172" s="1"/>
  <c r="A199" i="172" s="1"/>
  <c r="A200" i="172" s="1"/>
  <c r="A201" i="172" s="1"/>
  <c r="A202" i="172" s="1"/>
  <c r="A141" i="172"/>
  <c r="A142" i="172" s="1"/>
  <c r="A143" i="172" s="1"/>
  <c r="A144" i="172" s="1"/>
  <c r="A145" i="172" s="1"/>
  <c r="A146" i="172" s="1"/>
  <c r="A147" i="172" s="1"/>
  <c r="A148" i="172" s="1"/>
  <c r="A149" i="172" s="1"/>
  <c r="A150" i="172" s="1"/>
  <c r="A151" i="172" s="1"/>
  <c r="A152" i="172" s="1"/>
  <c r="A153" i="172" s="1"/>
  <c r="A154" i="172" s="1"/>
  <c r="A155" i="172" s="1"/>
  <c r="A156" i="172" s="1"/>
  <c r="A157" i="172" s="1"/>
  <c r="A158" i="172" s="1"/>
  <c r="A159" i="172" s="1"/>
  <c r="A160" i="172" s="1"/>
  <c r="A161" i="172" s="1"/>
  <c r="A162" i="172" s="1"/>
  <c r="A163" i="172" s="1"/>
  <c r="A102" i="172"/>
  <c r="A103" i="172" s="1"/>
  <c r="A104" i="172" s="1"/>
  <c r="A105" i="172" s="1"/>
  <c r="A106" i="172" s="1"/>
  <c r="A107" i="172" s="1"/>
  <c r="A108" i="172" s="1"/>
  <c r="A109" i="172" s="1"/>
  <c r="A110" i="172" s="1"/>
  <c r="A111" i="172" s="1"/>
  <c r="A62" i="172"/>
  <c r="A63" i="172" s="1"/>
  <c r="A64" i="172" s="1"/>
  <c r="A65" i="172" s="1"/>
  <c r="A66" i="172" s="1"/>
  <c r="A67" i="172" s="1"/>
  <c r="A24" i="172"/>
  <c r="A25" i="172" s="1"/>
  <c r="A26" i="172" s="1"/>
  <c r="A27" i="172" s="1"/>
  <c r="A28" i="172" s="1"/>
  <c r="A29" i="172" s="1"/>
  <c r="A30" i="172" s="1"/>
  <c r="A31" i="172" s="1"/>
  <c r="A32" i="172" s="1"/>
  <c r="A68" i="172" l="1"/>
  <c r="A69" i="172" s="1"/>
  <c r="A70" i="172" s="1"/>
  <c r="A76" i="172" s="1"/>
  <c r="A68" i="179"/>
  <c r="A69" i="179" s="1"/>
  <c r="A70" i="179" l="1"/>
  <c r="A71" i="179" s="1"/>
  <c r="A78" i="179" s="1"/>
  <c r="A238" i="181" l="1"/>
  <c r="A131" i="181"/>
  <c r="R12" i="163" l="1"/>
  <c r="M112" i="46" l="1"/>
  <c r="Q112" i="46" s="1"/>
  <c r="M113" i="46"/>
  <c r="L286" i="181" l="1"/>
  <c r="F184" i="181"/>
  <c r="L184" i="181" s="1"/>
  <c r="A160" i="181"/>
  <c r="A161" i="181" s="1"/>
  <c r="A162" i="181" s="1"/>
  <c r="A163" i="181" s="1"/>
  <c r="A164" i="181" s="1"/>
  <c r="A165" i="181" s="1"/>
  <c r="A166" i="181" s="1"/>
  <c r="A167" i="181" s="1"/>
  <c r="A168" i="181" s="1"/>
  <c r="A169" i="181" s="1"/>
  <c r="A170" i="181" s="1"/>
  <c r="A171" i="181" s="1"/>
  <c r="A172" i="181" s="1"/>
  <c r="A173" i="181" s="1"/>
  <c r="A174" i="181" s="1"/>
  <c r="A175" i="181" s="1"/>
  <c r="A176" i="181" s="1"/>
  <c r="A177" i="181" s="1"/>
  <c r="A178" i="181" s="1"/>
  <c r="A179" i="181" s="1"/>
  <c r="A180" i="181" s="1"/>
  <c r="A181" i="181" s="1"/>
  <c r="A182" i="181" s="1"/>
  <c r="A183" i="181" s="1"/>
  <c r="A184" i="181" s="1"/>
  <c r="A189" i="181" s="1"/>
  <c r="F80" i="181"/>
  <c r="F35" i="181"/>
  <c r="L35" i="181" s="1"/>
  <c r="A25" i="181"/>
  <c r="A26" i="181" s="1"/>
  <c r="A27" i="181" s="1"/>
  <c r="A28" i="181" s="1"/>
  <c r="A29" i="181" s="1"/>
  <c r="A30" i="181" s="1"/>
  <c r="A31" i="181" s="1"/>
  <c r="A32" i="181" s="1"/>
  <c r="A33" i="181" s="1"/>
  <c r="A34" i="181" s="1"/>
  <c r="A35" i="181" s="1"/>
  <c r="E494" i="172"/>
  <c r="E495" i="172"/>
  <c r="E496" i="172"/>
  <c r="E497" i="172"/>
  <c r="E498" i="172"/>
  <c r="E499" i="172"/>
  <c r="E500" i="172"/>
  <c r="E501" i="172"/>
  <c r="E502" i="172"/>
  <c r="I524" i="179"/>
  <c r="K524" i="179" s="1"/>
  <c r="H273" i="181" s="1"/>
  <c r="I525" i="179"/>
  <c r="K525" i="179" s="1"/>
  <c r="H274" i="181" s="1"/>
  <c r="I526" i="179"/>
  <c r="K526" i="179" s="1"/>
  <c r="H275" i="181" s="1"/>
  <c r="I527" i="179"/>
  <c r="K527" i="179" s="1"/>
  <c r="H276" i="181" s="1"/>
  <c r="I528" i="179"/>
  <c r="K528" i="179" s="1"/>
  <c r="H277" i="181" s="1"/>
  <c r="I529" i="179"/>
  <c r="K529" i="179" s="1"/>
  <c r="H278" i="181" s="1"/>
  <c r="I530" i="179"/>
  <c r="K530" i="179" s="1"/>
  <c r="H279" i="181" s="1"/>
  <c r="I531" i="179"/>
  <c r="K531" i="179" s="1"/>
  <c r="H280" i="181" s="1"/>
  <c r="I532" i="179"/>
  <c r="K532" i="179" s="1"/>
  <c r="H281" i="181" s="1"/>
  <c r="I533" i="179"/>
  <c r="K533" i="179" s="1"/>
  <c r="H282" i="181" s="1"/>
  <c r="I534" i="179"/>
  <c r="K534" i="179" s="1"/>
  <c r="H283" i="181" s="1"/>
  <c r="I535" i="179"/>
  <c r="K535" i="179" s="1"/>
  <c r="H284" i="181" s="1"/>
  <c r="I536" i="179"/>
  <c r="I537" i="179"/>
  <c r="K537" i="179" s="1"/>
  <c r="H286" i="181" s="1"/>
  <c r="I538" i="179"/>
  <c r="K538" i="179" s="1"/>
  <c r="H287" i="181" s="1"/>
  <c r="A523" i="179"/>
  <c r="A524" i="179" s="1"/>
  <c r="A525" i="179" s="1"/>
  <c r="A526" i="179" s="1"/>
  <c r="A527" i="179" s="1"/>
  <c r="A528" i="179" s="1"/>
  <c r="A529" i="179" s="1"/>
  <c r="A530" i="179" s="1"/>
  <c r="A531" i="179" s="1"/>
  <c r="A532" i="179" s="1"/>
  <c r="A533" i="179" s="1"/>
  <c r="A534" i="179" s="1"/>
  <c r="A535" i="179" s="1"/>
  <c r="A536" i="179" s="1"/>
  <c r="A537" i="179" s="1"/>
  <c r="A538" i="179" s="1"/>
  <c r="A542" i="179" s="1"/>
  <c r="A546" i="179" s="1"/>
  <c r="A547" i="179" s="1"/>
  <c r="A550" i="179" s="1"/>
  <c r="I477" i="179"/>
  <c r="K477" i="179" s="1"/>
  <c r="H221" i="181" s="1"/>
  <c r="I478" i="179"/>
  <c r="K478" i="179" s="1"/>
  <c r="H222" i="181" s="1"/>
  <c r="I479" i="179"/>
  <c r="K479" i="179" s="1"/>
  <c r="H223" i="181" s="1"/>
  <c r="I480" i="179"/>
  <c r="K480" i="179" s="1"/>
  <c r="H224" i="181" s="1"/>
  <c r="I481" i="179"/>
  <c r="K481" i="179" s="1"/>
  <c r="H225" i="181" s="1"/>
  <c r="I482" i="179"/>
  <c r="K482" i="179" s="1"/>
  <c r="H226" i="181" s="1"/>
  <c r="I483" i="179"/>
  <c r="K483" i="179" s="1"/>
  <c r="H227" i="181" s="1"/>
  <c r="I484" i="179"/>
  <c r="K484" i="179" s="1"/>
  <c r="H228" i="181" s="1"/>
  <c r="I485" i="179"/>
  <c r="K485" i="179" s="1"/>
  <c r="H229" i="181" s="1"/>
  <c r="I486" i="179"/>
  <c r="K486" i="179" s="1"/>
  <c r="H230" i="181" s="1"/>
  <c r="I487" i="179"/>
  <c r="K487" i="179" s="1"/>
  <c r="H231" i="181" s="1"/>
  <c r="I488" i="179"/>
  <c r="K488" i="179" s="1"/>
  <c r="H232" i="181" s="1"/>
  <c r="I489" i="179"/>
  <c r="K489" i="179" s="1"/>
  <c r="H233" i="181" s="1"/>
  <c r="I490" i="179"/>
  <c r="K490" i="179" s="1"/>
  <c r="H234" i="181" s="1"/>
  <c r="A476" i="179"/>
  <c r="A477" i="179" s="1"/>
  <c r="A478" i="179" s="1"/>
  <c r="A479" i="179" s="1"/>
  <c r="A480" i="179" s="1"/>
  <c r="A481" i="179" s="1"/>
  <c r="A482" i="179" s="1"/>
  <c r="A483" i="179" s="1"/>
  <c r="A484" i="179" s="1"/>
  <c r="A485" i="179" s="1"/>
  <c r="A486" i="179" s="1"/>
  <c r="A487" i="179" s="1"/>
  <c r="A488" i="179" s="1"/>
  <c r="A489" i="179" s="1"/>
  <c r="A490" i="179" s="1"/>
  <c r="A494" i="179" s="1"/>
  <c r="A497" i="179" s="1"/>
  <c r="E446" i="179"/>
  <c r="I423" i="179"/>
  <c r="K423" i="179" s="1"/>
  <c r="H161" i="181" s="1"/>
  <c r="I424" i="179"/>
  <c r="K424" i="179" s="1"/>
  <c r="H162" i="181" s="1"/>
  <c r="I425" i="179"/>
  <c r="K425" i="179" s="1"/>
  <c r="H163" i="181" s="1"/>
  <c r="I426" i="179"/>
  <c r="K426" i="179" s="1"/>
  <c r="H164" i="181" s="1"/>
  <c r="I427" i="179"/>
  <c r="K427" i="179" s="1"/>
  <c r="H165" i="181" s="1"/>
  <c r="I428" i="179"/>
  <c r="K428" i="179" s="1"/>
  <c r="H166" i="181" s="1"/>
  <c r="I429" i="179"/>
  <c r="K429" i="179" s="1"/>
  <c r="H167" i="181" s="1"/>
  <c r="I430" i="179"/>
  <c r="K430" i="179" s="1"/>
  <c r="H168" i="181" s="1"/>
  <c r="I431" i="179"/>
  <c r="K431" i="179" s="1"/>
  <c r="H169" i="181" s="1"/>
  <c r="I432" i="179"/>
  <c r="K432" i="179" s="1"/>
  <c r="H170" i="181" s="1"/>
  <c r="I433" i="179"/>
  <c r="K433" i="179" s="1"/>
  <c r="H171" i="181" s="1"/>
  <c r="I434" i="179"/>
  <c r="K434" i="179" s="1"/>
  <c r="H172" i="181" s="1"/>
  <c r="I435" i="179"/>
  <c r="K435" i="179" s="1"/>
  <c r="H173" i="181" s="1"/>
  <c r="I436" i="179"/>
  <c r="K436" i="179" s="1"/>
  <c r="H174" i="181" s="1"/>
  <c r="I437" i="179"/>
  <c r="K437" i="179" s="1"/>
  <c r="H175" i="181" s="1"/>
  <c r="I438" i="179"/>
  <c r="K438" i="179" s="1"/>
  <c r="H176" i="181" s="1"/>
  <c r="I439" i="179"/>
  <c r="K439" i="179" s="1"/>
  <c r="H177" i="181" s="1"/>
  <c r="I440" i="179"/>
  <c r="K440" i="179" s="1"/>
  <c r="H178" i="181" s="1"/>
  <c r="I441" i="179"/>
  <c r="K441" i="179" s="1"/>
  <c r="H179" i="181" s="1"/>
  <c r="I442" i="179"/>
  <c r="K442" i="179" s="1"/>
  <c r="H180" i="181" s="1"/>
  <c r="I443" i="179"/>
  <c r="I444" i="179"/>
  <c r="I445" i="179"/>
  <c r="K445" i="179" s="1"/>
  <c r="H183" i="181" s="1"/>
  <c r="I446" i="179"/>
  <c r="K446" i="179" s="1"/>
  <c r="H184" i="181" s="1"/>
  <c r="A426" i="179"/>
  <c r="A427" i="179" s="1"/>
  <c r="A428" i="179" s="1"/>
  <c r="A429" i="179" s="1"/>
  <c r="A430" i="179" s="1"/>
  <c r="A431" i="179" s="1"/>
  <c r="A432" i="179" s="1"/>
  <c r="A433" i="179" s="1"/>
  <c r="A434" i="179" s="1"/>
  <c r="A435" i="179" s="1"/>
  <c r="A436" i="179" s="1"/>
  <c r="A437" i="179" s="1"/>
  <c r="A440" i="179" s="1"/>
  <c r="A441" i="179" s="1"/>
  <c r="A442" i="179" s="1"/>
  <c r="A443" i="179" s="1"/>
  <c r="A444" i="179" s="1"/>
  <c r="A445" i="179" s="1"/>
  <c r="A446" i="179" s="1"/>
  <c r="E391" i="179"/>
  <c r="E352" i="179"/>
  <c r="E310" i="179"/>
  <c r="I310" i="179"/>
  <c r="K310" i="179" s="1"/>
  <c r="H35" i="181" s="1"/>
  <c r="I301" i="179"/>
  <c r="I302" i="179"/>
  <c r="K302" i="179" s="1"/>
  <c r="H27" i="181" s="1"/>
  <c r="I303" i="179"/>
  <c r="K303" i="179" s="1"/>
  <c r="H28" i="181" s="1"/>
  <c r="I304" i="179"/>
  <c r="K304" i="179" s="1"/>
  <c r="H29" i="181" s="1"/>
  <c r="I305" i="179"/>
  <c r="K305" i="179" s="1"/>
  <c r="H30" i="181" s="1"/>
  <c r="I306" i="179"/>
  <c r="K306" i="179" s="1"/>
  <c r="H31" i="181" s="1"/>
  <c r="I307" i="179"/>
  <c r="J307" i="179" s="1"/>
  <c r="I308" i="179"/>
  <c r="K308" i="179" s="1"/>
  <c r="H33" i="181" s="1"/>
  <c r="I309" i="179"/>
  <c r="K309" i="179" s="1"/>
  <c r="H34" i="181" s="1"/>
  <c r="A300" i="179"/>
  <c r="A301" i="179" s="1"/>
  <c r="A302" i="179" s="1"/>
  <c r="A303" i="179" s="1"/>
  <c r="A304" i="179" s="1"/>
  <c r="A305" i="179" s="1"/>
  <c r="A306" i="179" s="1"/>
  <c r="A307" i="179" s="1"/>
  <c r="A308" i="179" s="1"/>
  <c r="A309" i="179" s="1"/>
  <c r="A310" i="179" s="1"/>
  <c r="A314" i="179" s="1"/>
  <c r="E213" i="179"/>
  <c r="J536" i="179" l="1"/>
  <c r="E63" i="180" s="1"/>
  <c r="A38" i="181"/>
  <c r="A450" i="179"/>
  <c r="J443" i="179"/>
  <c r="E61" i="180" s="1"/>
  <c r="J444" i="179"/>
  <c r="E62" i="180" s="1"/>
  <c r="K307" i="179"/>
  <c r="H32" i="181" s="1"/>
  <c r="E59" i="180"/>
  <c r="I146" i="179"/>
  <c r="K146" i="179" s="1"/>
  <c r="I147" i="179"/>
  <c r="K147" i="179" s="1"/>
  <c r="I148" i="179"/>
  <c r="K148" i="179" s="1"/>
  <c r="I149" i="179"/>
  <c r="K149" i="179" s="1"/>
  <c r="I150" i="179"/>
  <c r="K150" i="179" s="1"/>
  <c r="I151" i="179"/>
  <c r="K151" i="179" s="1"/>
  <c r="I152" i="179"/>
  <c r="K152" i="179" s="1"/>
  <c r="I153" i="179"/>
  <c r="K153" i="179" s="1"/>
  <c r="I154" i="179"/>
  <c r="K154" i="179" s="1"/>
  <c r="I155" i="179"/>
  <c r="K155" i="179" s="1"/>
  <c r="I156" i="179"/>
  <c r="K156" i="179" s="1"/>
  <c r="I157" i="179"/>
  <c r="K157" i="179" s="1"/>
  <c r="I158" i="179"/>
  <c r="K158" i="179" s="1"/>
  <c r="I159" i="179"/>
  <c r="K159" i="179" s="1"/>
  <c r="I160" i="179"/>
  <c r="K160" i="179" s="1"/>
  <c r="I161" i="179"/>
  <c r="K161" i="179" s="1"/>
  <c r="I162" i="179"/>
  <c r="K162" i="179" s="1"/>
  <c r="I163" i="179"/>
  <c r="K163" i="179" s="1"/>
  <c r="I164" i="179"/>
  <c r="K164" i="179" s="1"/>
  <c r="K165" i="179"/>
  <c r="I166" i="179"/>
  <c r="I167" i="179"/>
  <c r="J167" i="179" s="1"/>
  <c r="I168" i="179"/>
  <c r="K168" i="179" s="1"/>
  <c r="I169" i="179"/>
  <c r="K169" i="179" s="1"/>
  <c r="E169" i="179"/>
  <c r="E32" i="179"/>
  <c r="E68" i="180" l="1"/>
  <c r="K536" i="179"/>
  <c r="H285" i="181" s="1"/>
  <c r="K444" i="179"/>
  <c r="H182" i="181" s="1"/>
  <c r="K443" i="179"/>
  <c r="H181" i="181" s="1"/>
  <c r="E413" i="172" l="1"/>
  <c r="G413" i="172" s="1"/>
  <c r="I413" i="172" s="1"/>
  <c r="E414" i="172"/>
  <c r="G414" i="172" s="1"/>
  <c r="I414" i="172" s="1"/>
  <c r="E415" i="172"/>
  <c r="G415" i="172" s="1"/>
  <c r="I415" i="172" s="1"/>
  <c r="E416" i="172"/>
  <c r="G416" i="172" s="1"/>
  <c r="I416" i="172" s="1"/>
  <c r="E417" i="172"/>
  <c r="G417" i="172" s="1"/>
  <c r="I417" i="172" s="1"/>
  <c r="E418" i="172"/>
  <c r="G418" i="172" s="1"/>
  <c r="E419" i="172"/>
  <c r="G419" i="172" s="1"/>
  <c r="E420" i="172"/>
  <c r="G420" i="172" s="1"/>
  <c r="I420" i="172" s="1"/>
  <c r="E69" i="173"/>
  <c r="E68" i="173"/>
  <c r="K397" i="174"/>
  <c r="K398" i="174"/>
  <c r="K399" i="174"/>
  <c r="K400" i="174"/>
  <c r="K401" i="174"/>
  <c r="K402" i="174"/>
  <c r="K403" i="174"/>
  <c r="K404" i="174"/>
  <c r="K405" i="174"/>
  <c r="K406" i="174"/>
  <c r="K407" i="174"/>
  <c r="K408" i="174"/>
  <c r="K409" i="174"/>
  <c r="K410" i="174"/>
  <c r="K411" i="174"/>
  <c r="K412" i="174"/>
  <c r="K413" i="174"/>
  <c r="K414" i="174"/>
  <c r="K415" i="174"/>
  <c r="K416" i="174"/>
  <c r="K417" i="174"/>
  <c r="K418" i="174"/>
  <c r="K419" i="174"/>
  <c r="L422" i="174"/>
  <c r="G422" i="174"/>
  <c r="F422" i="174"/>
  <c r="E422" i="174"/>
  <c r="E442" i="179" l="1"/>
  <c r="F180" i="181"/>
  <c r="L180" i="181" s="1"/>
  <c r="E441" i="179"/>
  <c r="F179" i="181"/>
  <c r="L179" i="181" s="1"/>
  <c r="E440" i="179"/>
  <c r="F178" i="181"/>
  <c r="E439" i="179"/>
  <c r="F177" i="181"/>
  <c r="L177" i="181" s="1"/>
  <c r="E445" i="179"/>
  <c r="F183" i="181"/>
  <c r="L183" i="181" s="1"/>
  <c r="E438" i="179"/>
  <c r="F176" i="181"/>
  <c r="L176" i="181" s="1"/>
  <c r="E398" i="172"/>
  <c r="G398" i="172" s="1"/>
  <c r="I398" i="172" s="1"/>
  <c r="E399" i="172"/>
  <c r="G399" i="172" s="1"/>
  <c r="I399" i="172" s="1"/>
  <c r="E400" i="172"/>
  <c r="G400" i="172" s="1"/>
  <c r="I400" i="172" s="1"/>
  <c r="E401" i="172"/>
  <c r="G401" i="172" s="1"/>
  <c r="I401" i="172" s="1"/>
  <c r="E402" i="172"/>
  <c r="G402" i="172" s="1"/>
  <c r="I402" i="172" s="1"/>
  <c r="E403" i="172"/>
  <c r="G403" i="172" s="1"/>
  <c r="I403" i="172" s="1"/>
  <c r="E404" i="172"/>
  <c r="G404" i="172" s="1"/>
  <c r="I404" i="172" s="1"/>
  <c r="E405" i="172"/>
  <c r="G405" i="172" s="1"/>
  <c r="I405" i="172" s="1"/>
  <c r="E406" i="172"/>
  <c r="G406" i="172" s="1"/>
  <c r="I406" i="172" s="1"/>
  <c r="E407" i="172"/>
  <c r="G407" i="172" s="1"/>
  <c r="I407" i="172" s="1"/>
  <c r="E408" i="172"/>
  <c r="G408" i="172" s="1"/>
  <c r="I408" i="172" s="1"/>
  <c r="E409" i="172"/>
  <c r="G409" i="172" s="1"/>
  <c r="I409" i="172" s="1"/>
  <c r="E410" i="172"/>
  <c r="G410" i="172" s="1"/>
  <c r="I410" i="172" s="1"/>
  <c r="E411" i="172"/>
  <c r="G411" i="172" s="1"/>
  <c r="I411" i="172" s="1"/>
  <c r="E412" i="172"/>
  <c r="G412" i="172" s="1"/>
  <c r="I412" i="172" s="1"/>
  <c r="A167" i="172"/>
  <c r="E432" i="179" l="1"/>
  <c r="F170" i="181"/>
  <c r="L170" i="181" s="1"/>
  <c r="E426" i="179"/>
  <c r="F164" i="181"/>
  <c r="L164" i="181" s="1"/>
  <c r="E431" i="179"/>
  <c r="F169" i="181"/>
  <c r="L169" i="181" s="1"/>
  <c r="E423" i="179"/>
  <c r="F161" i="181"/>
  <c r="L161" i="181" s="1"/>
  <c r="E424" i="179"/>
  <c r="F162" i="181"/>
  <c r="L162" i="181" s="1"/>
  <c r="E429" i="179"/>
  <c r="F167" i="181"/>
  <c r="L167" i="181" s="1"/>
  <c r="E434" i="179"/>
  <c r="F172" i="181"/>
  <c r="L172" i="181" s="1"/>
  <c r="E425" i="179"/>
  <c r="F163" i="181"/>
  <c r="L163" i="181" s="1"/>
  <c r="E437" i="179"/>
  <c r="F175" i="181"/>
  <c r="L175" i="181" s="1"/>
  <c r="E428" i="179"/>
  <c r="F166" i="181"/>
  <c r="L166" i="181" s="1"/>
  <c r="E433" i="179"/>
  <c r="F171" i="181"/>
  <c r="L171" i="181" s="1"/>
  <c r="E430" i="179"/>
  <c r="F168" i="181"/>
  <c r="L168" i="181" s="1"/>
  <c r="E436" i="179"/>
  <c r="F174" i="181"/>
  <c r="L174" i="181" s="1"/>
  <c r="E435" i="179"/>
  <c r="F173" i="181"/>
  <c r="L173" i="181" s="1"/>
  <c r="E427" i="179"/>
  <c r="F165" i="181"/>
  <c r="L165" i="181" s="1"/>
  <c r="E319" i="172"/>
  <c r="E320" i="172"/>
  <c r="E321" i="172"/>
  <c r="E322" i="172"/>
  <c r="E323" i="172"/>
  <c r="E325" i="172"/>
  <c r="E326" i="172"/>
  <c r="E327" i="172"/>
  <c r="E329" i="172"/>
  <c r="E281" i="172"/>
  <c r="G281" i="172" s="1"/>
  <c r="E282" i="172"/>
  <c r="G282" i="172" s="1"/>
  <c r="I282" i="172" s="1"/>
  <c r="E283" i="172"/>
  <c r="G283" i="172" s="1"/>
  <c r="I283" i="172" s="1"/>
  <c r="E284" i="172"/>
  <c r="G284" i="172" s="1"/>
  <c r="I284" i="172" s="1"/>
  <c r="E285" i="172"/>
  <c r="G285" i="172" s="1"/>
  <c r="I285" i="172" s="1"/>
  <c r="E286" i="172"/>
  <c r="G286" i="172" s="1"/>
  <c r="I286" i="172" s="1"/>
  <c r="E287" i="172"/>
  <c r="G287" i="172" s="1"/>
  <c r="E288" i="172"/>
  <c r="G288" i="172" s="1"/>
  <c r="E289" i="172"/>
  <c r="G289" i="172" s="1"/>
  <c r="I289" i="172" s="1"/>
  <c r="F34" i="181" l="1"/>
  <c r="L34" i="181" s="1"/>
  <c r="E309" i="179"/>
  <c r="F29" i="181"/>
  <c r="L29" i="181" s="1"/>
  <c r="E304" i="179"/>
  <c r="E303" i="179"/>
  <c r="F28" i="181"/>
  <c r="L28" i="181" s="1"/>
  <c r="F27" i="181"/>
  <c r="L27" i="181" s="1"/>
  <c r="E302" i="179"/>
  <c r="E306" i="179"/>
  <c r="F31" i="181"/>
  <c r="L31" i="181" s="1"/>
  <c r="F30" i="181"/>
  <c r="L30" i="181" s="1"/>
  <c r="E305" i="179"/>
  <c r="E67" i="173"/>
  <c r="A401" i="174"/>
  <c r="A402" i="174" s="1"/>
  <c r="A403" i="174" s="1"/>
  <c r="A404" i="174" s="1"/>
  <c r="A405" i="174" s="1"/>
  <c r="A406" i="174" s="1"/>
  <c r="A407" i="174" s="1"/>
  <c r="A408" i="174" s="1"/>
  <c r="A409" i="174" s="1"/>
  <c r="A410" i="174" s="1"/>
  <c r="A411" i="174" s="1"/>
  <c r="A412" i="174" s="1"/>
  <c r="A413" i="174" s="1"/>
  <c r="A414" i="174" s="1"/>
  <c r="A415" i="174" s="1"/>
  <c r="A416" i="174" s="1"/>
  <c r="A417" i="174" s="1"/>
  <c r="A418" i="174" s="1"/>
  <c r="K320" i="174"/>
  <c r="K288" i="174"/>
  <c r="A292" i="174"/>
  <c r="K281" i="174"/>
  <c r="A422" i="174" l="1"/>
  <c r="K31" i="174" l="1"/>
  <c r="E31" i="172" s="1"/>
  <c r="G31" i="172" s="1"/>
  <c r="K145" i="174" l="1"/>
  <c r="E145" i="172" s="1"/>
  <c r="G145" i="172" s="1"/>
  <c r="I145" i="172" s="1"/>
  <c r="E150" i="179" s="1"/>
  <c r="A145" i="174"/>
  <c r="A146" i="174" s="1"/>
  <c r="A147" i="174" s="1"/>
  <c r="A148" i="174" s="1"/>
  <c r="A149" i="174" s="1"/>
  <c r="A150" i="174" s="1"/>
  <c r="A151" i="174" s="1"/>
  <c r="A152" i="174" s="1"/>
  <c r="A153" i="174" s="1"/>
  <c r="A154" i="174" s="1"/>
  <c r="A155" i="174" s="1"/>
  <c r="A156" i="174" s="1"/>
  <c r="A157" i="174" s="1"/>
  <c r="A158" i="174" s="1"/>
  <c r="A159" i="174" s="1"/>
  <c r="A160" i="174" s="1"/>
  <c r="A161" i="174" s="1"/>
  <c r="A162" i="174" s="1"/>
  <c r="A163" i="174" s="1"/>
  <c r="A167" i="174" s="1"/>
  <c r="H295" i="21" l="1"/>
  <c r="H296" i="21"/>
  <c r="H297" i="21"/>
  <c r="H292" i="22"/>
  <c r="H291" i="22"/>
  <c r="H290" i="22"/>
  <c r="AB97" i="13" l="1"/>
  <c r="AB98" i="13"/>
  <c r="AB99" i="13"/>
  <c r="AB100" i="13"/>
  <c r="AB96" i="13"/>
  <c r="N174" i="15" l="1"/>
  <c r="L174" i="15"/>
  <c r="K174" i="15"/>
  <c r="R174" i="15"/>
  <c r="J174" i="15"/>
  <c r="I174" i="15"/>
  <c r="H174" i="15"/>
  <c r="G174" i="15"/>
  <c r="P174" i="15"/>
  <c r="O174" i="15"/>
  <c r="Q174" i="15"/>
  <c r="M174" i="15"/>
  <c r="F156" i="15"/>
  <c r="G160" i="15" l="1"/>
  <c r="G162" i="15" s="1"/>
  <c r="S156" i="15"/>
  <c r="T156" i="15" s="1"/>
  <c r="S157" i="15"/>
  <c r="G163" i="15" l="1"/>
  <c r="H82" i="21" l="1"/>
  <c r="W99" i="13" l="1"/>
  <c r="AA107" i="13"/>
  <c r="AB107" i="13" s="1"/>
  <c r="X107" i="13"/>
  <c r="Q98" i="13"/>
  <c r="Q99" i="13" s="1"/>
  <c r="Q100" i="13" s="1"/>
  <c r="Q101" i="13" s="1"/>
  <c r="Q102" i="13" s="1"/>
  <c r="Q103" i="13" s="1"/>
  <c r="Q104" i="13" s="1"/>
  <c r="Q105" i="13" s="1"/>
  <c r="Q106" i="13" s="1"/>
  <c r="Q107" i="13" s="1"/>
  <c r="Q108" i="13" s="1"/>
  <c r="BW295" i="13"/>
  <c r="Z99" i="13" l="1"/>
  <c r="AC99" i="13" s="1"/>
  <c r="BW297" i="13"/>
  <c r="W107" i="13" s="1"/>
  <c r="Z107" i="13" s="1"/>
  <c r="AC107" i="13" s="1"/>
  <c r="Q109" i="13"/>
  <c r="N50" i="13" l="1"/>
  <c r="C88" i="6" l="1"/>
  <c r="E88" i="6"/>
  <c r="E93" i="6"/>
  <c r="C160" i="6"/>
  <c r="E160" i="6"/>
  <c r="C163" i="6"/>
  <c r="E163" i="6"/>
  <c r="E195" i="6"/>
  <c r="P75" i="38" l="1"/>
  <c r="E47" i="6"/>
  <c r="G366" i="22" l="1"/>
  <c r="O20" i="57"/>
  <c r="Q20" i="57" s="1"/>
  <c r="O21" i="57"/>
  <c r="Q21" i="57" s="1"/>
  <c r="G23" i="57"/>
  <c r="O79" i="55" l="1"/>
  <c r="O80" i="55"/>
  <c r="O81" i="55"/>
  <c r="O82" i="55"/>
  <c r="O83" i="55"/>
  <c r="O84" i="55"/>
  <c r="O85" i="55"/>
  <c r="O86" i="55"/>
  <c r="O87" i="55"/>
  <c r="O88" i="55"/>
  <c r="O89" i="55"/>
  <c r="O90" i="55"/>
  <c r="O91" i="55"/>
  <c r="O92" i="55"/>
  <c r="O93" i="55"/>
  <c r="O94" i="55"/>
  <c r="O95" i="55"/>
  <c r="O96" i="55"/>
  <c r="O97" i="55"/>
  <c r="O100" i="55"/>
  <c r="O101" i="55"/>
  <c r="O114" i="55"/>
  <c r="O115" i="55"/>
  <c r="O116" i="55"/>
  <c r="O117" i="55"/>
  <c r="O118" i="55"/>
  <c r="O26" i="52"/>
  <c r="Q26" i="52" s="1"/>
  <c r="F19" i="149" l="1"/>
  <c r="F20" i="149"/>
  <c r="F21" i="149"/>
  <c r="F22" i="149"/>
  <c r="F23" i="149"/>
  <c r="F24" i="149"/>
  <c r="F25" i="149"/>
  <c r="F26" i="149"/>
  <c r="F27" i="149"/>
  <c r="F28" i="149"/>
  <c r="F29" i="149"/>
  <c r="F30" i="149"/>
  <c r="F31" i="149"/>
  <c r="F32" i="149"/>
  <c r="F33" i="149"/>
  <c r="F34" i="149"/>
  <c r="F35" i="149"/>
  <c r="F36" i="149"/>
  <c r="F37" i="149"/>
  <c r="F38" i="149"/>
  <c r="F39" i="149"/>
  <c r="F40" i="149"/>
  <c r="F41" i="149"/>
  <c r="F42" i="149"/>
  <c r="F43" i="149"/>
  <c r="F44" i="149"/>
  <c r="F45" i="149"/>
  <c r="F46" i="149"/>
  <c r="F47" i="149"/>
  <c r="F48" i="149"/>
  <c r="F49" i="149"/>
  <c r="F50" i="149"/>
  <c r="F51" i="149"/>
  <c r="F52" i="149"/>
  <c r="F53" i="149"/>
  <c r="F54" i="149"/>
  <c r="F55" i="149"/>
  <c r="F56" i="149"/>
  <c r="F57" i="149"/>
  <c r="F58" i="149"/>
  <c r="F59" i="149"/>
  <c r="F61" i="149"/>
  <c r="F63" i="149"/>
  <c r="F64" i="149"/>
  <c r="F65" i="149"/>
  <c r="F66" i="149"/>
  <c r="F67" i="149"/>
  <c r="F68" i="149"/>
  <c r="F69" i="149"/>
  <c r="F70" i="149"/>
  <c r="F71" i="149"/>
  <c r="F72" i="149"/>
  <c r="D70" i="5"/>
  <c r="H43" i="21"/>
  <c r="H35" i="21"/>
  <c r="AI226" i="20" a="1"/>
  <c r="AI226" i="20" s="1"/>
  <c r="AJ224" i="20" a="1"/>
  <c r="AJ224" i="20" s="1"/>
  <c r="AB224" i="20" a="1"/>
  <c r="AB224" i="20" s="1"/>
  <c r="Z224" i="20" a="1"/>
  <c r="Z224" i="20" s="1"/>
  <c r="Y224" i="20" a="1"/>
  <c r="Y224" i="20" s="1"/>
  <c r="S223" i="20"/>
  <c r="AG228" i="20" s="1" a="1"/>
  <c r="AG228" i="20" s="1"/>
  <c r="E70" i="5" l="1"/>
  <c r="G35" i="21" s="1"/>
  <c r="AA224" i="20" a="1"/>
  <c r="AA224" i="20" s="1"/>
  <c r="AI224" i="20" a="1"/>
  <c r="AI224" i="20" s="1"/>
  <c r="AE226" i="20" a="1"/>
  <c r="AE226" i="20" s="1"/>
  <c r="AC224" i="20" a="1"/>
  <c r="AC224" i="20" s="1"/>
  <c r="AA225" i="20" a="1"/>
  <c r="AA225" i="20" s="1"/>
  <c r="Z227" i="20" a="1"/>
  <c r="Z227" i="20" s="1"/>
  <c r="AD224" i="20" a="1"/>
  <c r="AD224" i="20" s="1"/>
  <c r="AE225" i="20" a="1"/>
  <c r="AE225" i="20" s="1"/>
  <c r="AD227" i="20" a="1"/>
  <c r="AD227" i="20" s="1"/>
  <c r="AE224" i="20" a="1"/>
  <c r="AE224" i="20" s="1"/>
  <c r="AI225" i="20" a="1"/>
  <c r="AI225" i="20" s="1"/>
  <c r="AH227" i="20" a="1"/>
  <c r="AH227" i="20" s="1"/>
  <c r="AF224" i="20" a="1"/>
  <c r="AF224" i="20" s="1"/>
  <c r="Z226" i="20" a="1"/>
  <c r="Z226" i="20" s="1"/>
  <c r="Z228" i="20" a="1"/>
  <c r="Z228" i="20" s="1"/>
  <c r="AG224" i="20" a="1"/>
  <c r="AG224" i="20" s="1"/>
  <c r="AA226" i="20" a="1"/>
  <c r="AA226" i="20" s="1"/>
  <c r="AD228" i="20" a="1"/>
  <c r="AD228" i="20" s="1"/>
  <c r="AH224" i="20" a="1"/>
  <c r="AH224" i="20" s="1"/>
  <c r="AD226" i="20" a="1"/>
  <c r="AD226" i="20" s="1"/>
  <c r="AH228" i="20" a="1"/>
  <c r="AH228" i="20" s="1"/>
  <c r="AB225" i="20" a="1"/>
  <c r="AB225" i="20" s="1"/>
  <c r="AF225" i="20" a="1"/>
  <c r="AF225" i="20" s="1"/>
  <c r="AJ225" i="20" a="1"/>
  <c r="AJ225" i="20" s="1"/>
  <c r="AA227" i="20" a="1"/>
  <c r="AA227" i="20" s="1"/>
  <c r="AE227" i="20" a="1"/>
  <c r="AE227" i="20" s="1"/>
  <c r="AI227" i="20" a="1"/>
  <c r="AI227" i="20" s="1"/>
  <c r="AB226" i="20" a="1"/>
  <c r="AB226" i="20" s="1"/>
  <c r="AF226" i="20" a="1"/>
  <c r="AF226" i="20" s="1"/>
  <c r="AJ226" i="20" a="1"/>
  <c r="AJ226" i="20" s="1"/>
  <c r="AA228" i="20" a="1"/>
  <c r="AA228" i="20" s="1"/>
  <c r="AE228" i="20" a="1"/>
  <c r="AE228" i="20" s="1"/>
  <c r="AI228" i="20" a="1"/>
  <c r="AI228" i="20" s="1"/>
  <c r="Y225" i="20" a="1"/>
  <c r="Y225" i="20" s="1"/>
  <c r="AC225" i="20" a="1"/>
  <c r="AC225" i="20" s="1"/>
  <c r="AG225" i="20" a="1"/>
  <c r="AG225" i="20" s="1"/>
  <c r="AB227" i="20" a="1"/>
  <c r="AB227" i="20" s="1"/>
  <c r="AF227" i="20" a="1"/>
  <c r="AF227" i="20" s="1"/>
  <c r="AJ227" i="20" a="1"/>
  <c r="AJ227" i="20" s="1"/>
  <c r="Y226" i="20" a="1"/>
  <c r="Y226" i="20" s="1"/>
  <c r="AC226" i="20" a="1"/>
  <c r="AC226" i="20" s="1"/>
  <c r="AG226" i="20" a="1"/>
  <c r="AG226" i="20" s="1"/>
  <c r="AB228" i="20" a="1"/>
  <c r="AB228" i="20" s="1"/>
  <c r="AF228" i="20" a="1"/>
  <c r="AF228" i="20" s="1"/>
  <c r="AJ228" i="20" a="1"/>
  <c r="AJ228" i="20" s="1"/>
  <c r="Z225" i="20" a="1"/>
  <c r="Z225" i="20" s="1"/>
  <c r="AD225" i="20" a="1"/>
  <c r="AD225" i="20" s="1"/>
  <c r="AH225" i="20" a="1"/>
  <c r="AH225" i="20" s="1"/>
  <c r="Y227" i="20" a="1"/>
  <c r="Y227" i="20" s="1"/>
  <c r="AC227" i="20" a="1"/>
  <c r="AC227" i="20" s="1"/>
  <c r="AG227" i="20" a="1"/>
  <c r="AG227" i="20" s="1"/>
  <c r="AH226" i="20" a="1"/>
  <c r="AH226" i="20" s="1"/>
  <c r="Y228" i="20" a="1"/>
  <c r="Y228" i="20" s="1"/>
  <c r="AC228" i="20" a="1"/>
  <c r="AC228" i="20" s="1"/>
  <c r="J35" i="21" l="1"/>
  <c r="AK224" i="20"/>
  <c r="AK225" i="20"/>
  <c r="AK226" i="20"/>
  <c r="AK227" i="20"/>
  <c r="AK228" i="20"/>
  <c r="H23" i="38"/>
  <c r="P63" i="38" l="1"/>
  <c r="S63" i="38" s="1"/>
  <c r="H21" i="38" s="1"/>
  <c r="O58" i="20"/>
  <c r="S58" i="20" s="1"/>
  <c r="D13" i="6"/>
  <c r="B13" i="6"/>
  <c r="C13" i="6"/>
  <c r="E13" i="6"/>
  <c r="D14" i="6"/>
  <c r="B14" i="6"/>
  <c r="C14" i="6"/>
  <c r="E14" i="6"/>
  <c r="D15" i="6"/>
  <c r="B15" i="6"/>
  <c r="C15" i="6"/>
  <c r="E15" i="6"/>
  <c r="H25" i="38" l="1"/>
  <c r="AA204" i="24" s="1"/>
  <c r="D12" i="163" s="1"/>
  <c r="A7" i="165" l="1"/>
  <c r="A6" i="165"/>
  <c r="I21" i="61" l="1"/>
  <c r="I23" i="61" s="1"/>
  <c r="I26" i="61" s="1"/>
  <c r="F58" i="61" l="1"/>
  <c r="I59" i="61" s="1"/>
  <c r="T157" i="15"/>
  <c r="T158" i="15" l="1"/>
  <c r="L38" i="15" l="1"/>
  <c r="K38" i="15"/>
  <c r="J38" i="15"/>
  <c r="I38" i="15"/>
  <c r="H38" i="15"/>
  <c r="G38" i="15"/>
  <c r="F38" i="15"/>
  <c r="L64" i="15"/>
  <c r="K64" i="15"/>
  <c r="J64" i="15"/>
  <c r="I64" i="15"/>
  <c r="H64" i="15"/>
  <c r="G64" i="15"/>
  <c r="F64" i="15"/>
  <c r="G29" i="14" l="1"/>
  <c r="L29" i="14" s="1"/>
  <c r="P29" i="14" s="1"/>
  <c r="G38" i="170" s="1"/>
  <c r="A18" i="68" l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L45" i="81"/>
  <c r="L37" i="81"/>
  <c r="L36" i="81"/>
  <c r="L35" i="81"/>
  <c r="L34" i="81"/>
  <c r="L33" i="81"/>
  <c r="L32" i="81"/>
  <c r="L31" i="81"/>
  <c r="L30" i="81"/>
  <c r="L29" i="81"/>
  <c r="L28" i="81"/>
  <c r="L27" i="81"/>
  <c r="L26" i="81"/>
  <c r="L25" i="81"/>
  <c r="L23" i="81"/>
  <c r="L20" i="81"/>
  <c r="L19" i="81"/>
  <c r="L37" i="71"/>
  <c r="L36" i="71"/>
  <c r="L35" i="71"/>
  <c r="L34" i="71"/>
  <c r="L33" i="71"/>
  <c r="L29" i="71"/>
  <c r="L28" i="71"/>
  <c r="L27" i="71"/>
  <c r="L26" i="71"/>
  <c r="L25" i="71"/>
  <c r="L24" i="71"/>
  <c r="L23" i="71"/>
  <c r="L20" i="71"/>
  <c r="L19" i="71"/>
  <c r="L32" i="71" l="1"/>
  <c r="L24" i="81"/>
  <c r="L52" i="81" s="1"/>
  <c r="L31" i="71"/>
  <c r="L30" i="71"/>
  <c r="I256" i="179"/>
  <c r="K256" i="179" s="1"/>
  <c r="I257" i="179"/>
  <c r="K257" i="179" s="1"/>
  <c r="I258" i="179"/>
  <c r="K258" i="179" s="1"/>
  <c r="I259" i="179"/>
  <c r="I260" i="179"/>
  <c r="K260" i="179" s="1"/>
  <c r="I261" i="179"/>
  <c r="K261" i="179" s="1"/>
  <c r="I247" i="179"/>
  <c r="K247" i="179" s="1"/>
  <c r="I248" i="179"/>
  <c r="K248" i="179" s="1"/>
  <c r="I249" i="179"/>
  <c r="K249" i="179" s="1"/>
  <c r="I250" i="179"/>
  <c r="K250" i="179" s="1"/>
  <c r="I251" i="179"/>
  <c r="K251" i="179" s="1"/>
  <c r="I252" i="179"/>
  <c r="K252" i="179" s="1"/>
  <c r="I253" i="179"/>
  <c r="K253" i="179" s="1"/>
  <c r="I254" i="179"/>
  <c r="K254" i="179" s="1"/>
  <c r="I255" i="179"/>
  <c r="K255" i="179" s="1"/>
  <c r="I210" i="179"/>
  <c r="K210" i="179" s="1"/>
  <c r="I211" i="179"/>
  <c r="K211" i="179" s="1"/>
  <c r="I212" i="179"/>
  <c r="K212" i="179" s="1"/>
  <c r="I213" i="179"/>
  <c r="K213" i="179" s="1"/>
  <c r="I200" i="179"/>
  <c r="K200" i="179" s="1"/>
  <c r="I201" i="179"/>
  <c r="K201" i="179" s="1"/>
  <c r="I202" i="179"/>
  <c r="K202" i="179" s="1"/>
  <c r="I203" i="179"/>
  <c r="K203" i="179" s="1"/>
  <c r="I204" i="179"/>
  <c r="K204" i="179" s="1"/>
  <c r="I205" i="179"/>
  <c r="K205" i="179" s="1"/>
  <c r="I206" i="179"/>
  <c r="K206" i="179" s="1"/>
  <c r="I207" i="179"/>
  <c r="K207" i="179" s="1"/>
  <c r="I208" i="179"/>
  <c r="K208" i="179" s="1"/>
  <c r="I209" i="179"/>
  <c r="K209" i="179" s="1"/>
  <c r="J259" i="179" l="1"/>
  <c r="E26" i="180" s="1"/>
  <c r="L50" i="71"/>
  <c r="M53" i="71" s="1"/>
  <c r="K17" i="76" s="1"/>
  <c r="H50" i="71"/>
  <c r="M55" i="81"/>
  <c r="K18" i="68" s="1"/>
  <c r="G18" i="68"/>
  <c r="J29" i="179"/>
  <c r="E22" i="180" s="1"/>
  <c r="A36" i="179"/>
  <c r="K259" i="179" l="1"/>
  <c r="G17" i="76"/>
  <c r="I31" i="172"/>
  <c r="E30" i="179" s="1"/>
  <c r="A36" i="172"/>
  <c r="I112" i="46"/>
  <c r="C109" i="46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C127" i="46" s="1"/>
  <c r="C128" i="46" s="1"/>
  <c r="C129" i="46" s="1"/>
  <c r="C130" i="46" s="1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I133" i="46"/>
  <c r="A173" i="179" l="1"/>
  <c r="D122" i="5" l="1"/>
  <c r="E122" i="5" l="1"/>
  <c r="E53" i="164" l="1"/>
  <c r="G53" i="164"/>
  <c r="I53" i="164"/>
  <c r="K53" i="164"/>
  <c r="L50" i="164" l="1"/>
  <c r="M10" i="12" l="1"/>
  <c r="X106" i="12"/>
  <c r="X56" i="12"/>
  <c r="CU361" i="13"/>
  <c r="CJ309" i="13"/>
  <c r="BY257" i="13"/>
  <c r="BO208" i="13"/>
  <c r="BB157" i="13"/>
  <c r="AQ116" i="13"/>
  <c r="AB87" i="13"/>
  <c r="O41" i="13"/>
  <c r="H21" i="60" l="1"/>
  <c r="G21" i="60"/>
  <c r="E21" i="60"/>
  <c r="E34" i="63" l="1"/>
  <c r="D34" i="63"/>
  <c r="C34" i="63"/>
  <c r="E24" i="63"/>
  <c r="D24" i="63"/>
  <c r="C24" i="63"/>
  <c r="G34" i="63"/>
  <c r="F34" i="63"/>
  <c r="G24" i="63"/>
  <c r="F24" i="63"/>
  <c r="U40" i="62"/>
  <c r="U41" i="62" s="1"/>
  <c r="X40" i="62"/>
  <c r="X41" i="62" s="1"/>
  <c r="X51" i="62"/>
  <c r="X56" i="62"/>
  <c r="X61" i="62"/>
  <c r="X72" i="62"/>
  <c r="U51" i="62"/>
  <c r="U56" i="62"/>
  <c r="U61" i="62"/>
  <c r="U72" i="62"/>
  <c r="U62" i="62" l="1"/>
  <c r="X62" i="62"/>
  <c r="U73" i="62"/>
  <c r="X73" i="62"/>
  <c r="P58" i="140" l="1"/>
  <c r="P67" i="140"/>
  <c r="O67" i="140"/>
  <c r="O58" i="140"/>
  <c r="O69" i="140" l="1"/>
  <c r="P69" i="140"/>
  <c r="R69" i="140" s="1"/>
  <c r="H20" i="140" s="1"/>
  <c r="H24" i="140" s="1"/>
  <c r="V67" i="131"/>
  <c r="U67" i="131"/>
  <c r="T67" i="131"/>
  <c r="S67" i="131"/>
  <c r="R67" i="131"/>
  <c r="Q67" i="131"/>
  <c r="P67" i="131"/>
  <c r="G9" i="41" l="1"/>
  <c r="BB132" i="131" l="1"/>
  <c r="BB134" i="131" s="1"/>
  <c r="H24" i="131" s="1"/>
  <c r="BB130" i="131"/>
  <c r="AZ124" i="131"/>
  <c r="AY124" i="131"/>
  <c r="AX124" i="131"/>
  <c r="AW124" i="131"/>
  <c r="AV124" i="131"/>
  <c r="AT124" i="131"/>
  <c r="BB122" i="131"/>
  <c r="BB124" i="131" s="1"/>
  <c r="AZ113" i="131"/>
  <c r="AP113" i="131"/>
  <c r="AP112" i="131"/>
  <c r="AP111" i="131"/>
  <c r="AM105" i="131" l="1"/>
  <c r="AK99" i="131"/>
  <c r="AJ99" i="131"/>
  <c r="AH99" i="131"/>
  <c r="AG99" i="131"/>
  <c r="AM97" i="131"/>
  <c r="AM95" i="131"/>
  <c r="AK82" i="131"/>
  <c r="AA82" i="131"/>
  <c r="AA81" i="131"/>
  <c r="AA80" i="131"/>
  <c r="Y75" i="131"/>
  <c r="Y73" i="131"/>
  <c r="N67" i="131"/>
  <c r="J49" i="131"/>
  <c r="W48" i="131"/>
  <c r="J48" i="131"/>
  <c r="J47" i="131"/>
  <c r="J46" i="131"/>
  <c r="H34" i="131"/>
  <c r="G9" i="131"/>
  <c r="A7" i="131"/>
  <c r="A6" i="131"/>
  <c r="A2" i="131"/>
  <c r="A1" i="131"/>
  <c r="Y77" i="131" l="1"/>
  <c r="BI151" i="131" s="1"/>
  <c r="H32" i="131" s="1"/>
  <c r="H36" i="131" s="1"/>
  <c r="W353" i="24" s="1"/>
  <c r="W355" i="24" s="1"/>
  <c r="Y61" i="131"/>
  <c r="W67" i="131"/>
  <c r="Y63" i="131"/>
  <c r="AA83" i="131"/>
  <c r="AP114" i="131"/>
  <c r="Y65" i="131"/>
  <c r="AE99" i="131"/>
  <c r="U355" i="24" l="1"/>
  <c r="R22" i="163"/>
  <c r="H20" i="131"/>
  <c r="H22" i="131"/>
  <c r="H26" i="131" l="1"/>
  <c r="I40" i="130"/>
  <c r="Q39" i="130"/>
  <c r="I39" i="130"/>
  <c r="I38" i="130"/>
  <c r="I37" i="130"/>
  <c r="G22" i="130"/>
  <c r="F9" i="130"/>
  <c r="A7" i="130"/>
  <c r="A6" i="130"/>
  <c r="A2" i="130"/>
  <c r="A1" i="130"/>
  <c r="H30" i="131" l="1"/>
  <c r="W346" i="24" s="1"/>
  <c r="R50" i="130"/>
  <c r="G20" i="130" s="1"/>
  <c r="G24" i="130" s="1"/>
  <c r="U347" i="24" s="1"/>
  <c r="J28" i="58" l="1"/>
  <c r="O22" i="163"/>
  <c r="G9" i="161"/>
  <c r="A7" i="161"/>
  <c r="A6" i="161"/>
  <c r="A2" i="161"/>
  <c r="A1" i="161"/>
  <c r="F9" i="162"/>
  <c r="A7" i="162"/>
  <c r="A6" i="162"/>
  <c r="A2" i="162"/>
  <c r="A1" i="162"/>
  <c r="G9" i="142"/>
  <c r="A7" i="142"/>
  <c r="A6" i="142"/>
  <c r="A2" i="142"/>
  <c r="A1" i="142"/>
  <c r="G9" i="141"/>
  <c r="A7" i="141"/>
  <c r="A6" i="141"/>
  <c r="A2" i="141"/>
  <c r="A1" i="141"/>
  <c r="G9" i="143"/>
  <c r="A7" i="143"/>
  <c r="A6" i="143"/>
  <c r="A2" i="143"/>
  <c r="A1" i="143"/>
  <c r="G9" i="145"/>
  <c r="A7" i="145"/>
  <c r="A6" i="145"/>
  <c r="A2" i="145"/>
  <c r="A1" i="145"/>
  <c r="Q63" i="159" l="1"/>
  <c r="Q53" i="159"/>
  <c r="Q45" i="159"/>
  <c r="Q41" i="159"/>
  <c r="Q32" i="159"/>
  <c r="S63" i="159"/>
  <c r="S53" i="159"/>
  <c r="S45" i="159"/>
  <c r="S41" i="159"/>
  <c r="U63" i="159"/>
  <c r="U53" i="159"/>
  <c r="U45" i="159"/>
  <c r="U41" i="159"/>
  <c r="X63" i="159"/>
  <c r="X53" i="159"/>
  <c r="X45" i="159"/>
  <c r="X41" i="159"/>
  <c r="O45" i="159"/>
  <c r="O41" i="159"/>
  <c r="X54" i="159" l="1"/>
  <c r="U54" i="159"/>
  <c r="U64" i="159" s="1"/>
  <c r="X64" i="159"/>
  <c r="Q54" i="159"/>
  <c r="Q64" i="159" s="1"/>
  <c r="S54" i="159"/>
  <c r="S64" i="159" s="1"/>
  <c r="D99" i="5" l="1"/>
  <c r="E225" i="5" l="1"/>
  <c r="E99" i="5"/>
  <c r="D225" i="5"/>
  <c r="D162" i="5"/>
  <c r="D198" i="5"/>
  <c r="D219" i="5"/>
  <c r="E162" i="5" l="1"/>
  <c r="E198" i="5"/>
  <c r="E219" i="5"/>
  <c r="D242" i="5"/>
  <c r="D131" i="5"/>
  <c r="E242" i="5" l="1"/>
  <c r="E131" i="5"/>
  <c r="D15" i="5" l="1"/>
  <c r="D14" i="5"/>
  <c r="D13" i="5"/>
  <c r="D197" i="5"/>
  <c r="D228" i="5"/>
  <c r="D102" i="5"/>
  <c r="D193" i="5"/>
  <c r="D165" i="5"/>
  <c r="D90" i="5"/>
  <c r="J274" i="5" l="1"/>
  <c r="Q274" i="5"/>
  <c r="I274" i="5"/>
  <c r="K274" i="5"/>
  <c r="N274" i="5"/>
  <c r="F274" i="5"/>
  <c r="P274" i="5"/>
  <c r="H274" i="5"/>
  <c r="O274" i="5"/>
  <c r="G274" i="5"/>
  <c r="M274" i="5"/>
  <c r="L274" i="5"/>
  <c r="E197" i="5"/>
  <c r="E13" i="5"/>
  <c r="E193" i="5"/>
  <c r="E14" i="5"/>
  <c r="E15" i="5"/>
  <c r="E228" i="5"/>
  <c r="E102" i="5"/>
  <c r="E165" i="5"/>
  <c r="E90" i="5"/>
  <c r="D78" i="5"/>
  <c r="D67" i="5"/>
  <c r="G297" i="21" l="1"/>
  <c r="J297" i="21" s="1"/>
  <c r="G296" i="21"/>
  <c r="J296" i="21" s="1"/>
  <c r="G295" i="21"/>
  <c r="J295" i="21" s="1"/>
  <c r="E274" i="5"/>
  <c r="E78" i="5"/>
  <c r="E67" i="5"/>
  <c r="G43" i="21" l="1"/>
  <c r="J43" i="21" s="1"/>
  <c r="C3" i="46"/>
  <c r="C4" i="46"/>
  <c r="C9" i="46"/>
  <c r="C10" i="46"/>
  <c r="O12" i="46"/>
  <c r="O99" i="46" s="1"/>
  <c r="K24" i="46"/>
  <c r="K25" i="46" s="1"/>
  <c r="O25" i="46"/>
  <c r="E27" i="46"/>
  <c r="K27" i="46"/>
  <c r="M27" i="46" s="1"/>
  <c r="Q27" i="46" s="1"/>
  <c r="K29" i="46"/>
  <c r="BD30" i="46"/>
  <c r="O31" i="46"/>
  <c r="E34" i="46"/>
  <c r="K34" i="46"/>
  <c r="M34" i="46" s="1"/>
  <c r="L36" i="46"/>
  <c r="O36" i="46"/>
  <c r="C42" i="46"/>
  <c r="C43" i="46"/>
  <c r="C48" i="46"/>
  <c r="C49" i="46"/>
  <c r="C50" i="46"/>
  <c r="C61" i="46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C73" i="46" s="1"/>
  <c r="C74" i="46" s="1"/>
  <c r="C75" i="46" s="1"/>
  <c r="C76" i="46" s="1"/>
  <c r="C77" i="46" s="1"/>
  <c r="C78" i="46" s="1"/>
  <c r="C79" i="46" s="1"/>
  <c r="C80" i="46" s="1"/>
  <c r="C81" i="46" s="1"/>
  <c r="C82" i="46" s="1"/>
  <c r="K69" i="46"/>
  <c r="M69" i="46" s="1"/>
  <c r="L70" i="46"/>
  <c r="O70" i="46"/>
  <c r="I74" i="46"/>
  <c r="K74" i="46"/>
  <c r="L74" i="46"/>
  <c r="M74" i="46"/>
  <c r="O74" i="46"/>
  <c r="Q74" i="46"/>
  <c r="K79" i="46"/>
  <c r="M81" i="46"/>
  <c r="Q81" i="46" s="1"/>
  <c r="C90" i="46"/>
  <c r="C91" i="46"/>
  <c r="C96" i="46"/>
  <c r="C97" i="46"/>
  <c r="C98" i="46"/>
  <c r="I111" i="46"/>
  <c r="M111" i="46"/>
  <c r="Q111" i="46" s="1"/>
  <c r="Q113" i="46"/>
  <c r="O114" i="46"/>
  <c r="M126" i="46"/>
  <c r="Q126" i="46" s="1"/>
  <c r="M128" i="46"/>
  <c r="Q128" i="46" s="1"/>
  <c r="I132" i="46"/>
  <c r="M132" i="46"/>
  <c r="Q132" i="46" s="1"/>
  <c r="M133" i="46"/>
  <c r="Q133" i="46" s="1"/>
  <c r="M135" i="46"/>
  <c r="Q135" i="46" s="1"/>
  <c r="O136" i="46"/>
  <c r="S149" i="46"/>
  <c r="S150" i="46"/>
  <c r="S151" i="46"/>
  <c r="X151" i="46"/>
  <c r="S160" i="46"/>
  <c r="S161" i="46" s="1"/>
  <c r="S162" i="46" s="1"/>
  <c r="S163" i="46" s="1"/>
  <c r="S164" i="46" s="1"/>
  <c r="S165" i="46" s="1"/>
  <c r="S166" i="46" s="1"/>
  <c r="S167" i="46" s="1"/>
  <c r="S168" i="46" s="1"/>
  <c r="S169" i="46" s="1"/>
  <c r="S170" i="46" s="1"/>
  <c r="S171" i="46" s="1"/>
  <c r="S172" i="46" s="1"/>
  <c r="S173" i="46" s="1"/>
  <c r="S174" i="46" s="1"/>
  <c r="S175" i="46" s="1"/>
  <c r="S176" i="46" s="1"/>
  <c r="S177" i="46" s="1"/>
  <c r="S178" i="46" s="1"/>
  <c r="S179" i="46" s="1"/>
  <c r="S180" i="46" s="1"/>
  <c r="S181" i="46" s="1"/>
  <c r="S182" i="46" s="1"/>
  <c r="S183" i="46" s="1"/>
  <c r="S184" i="46" s="1"/>
  <c r="S185" i="46" s="1"/>
  <c r="S186" i="46" s="1"/>
  <c r="S187" i="46" s="1"/>
  <c r="S188" i="46" s="1"/>
  <c r="S189" i="46" s="1"/>
  <c r="S190" i="46" s="1"/>
  <c r="S191" i="46" s="1"/>
  <c r="W174" i="46"/>
  <c r="G69" i="46" s="1"/>
  <c r="W178" i="46"/>
  <c r="X178" i="46"/>
  <c r="G79" i="46"/>
  <c r="Z199" i="46"/>
  <c r="Z200" i="46"/>
  <c r="Z201" i="46"/>
  <c r="AG201" i="46"/>
  <c r="W160" i="46"/>
  <c r="G24" i="46" s="1"/>
  <c r="W163" i="46"/>
  <c r="G29" i="46"/>
  <c r="S192" i="46" l="1"/>
  <c r="S193" i="46" s="1"/>
  <c r="S194" i="46" s="1"/>
  <c r="S195" i="46" s="1"/>
  <c r="K70" i="46"/>
  <c r="O37" i="46"/>
  <c r="O63" i="46" s="1"/>
  <c r="I126" i="46"/>
  <c r="G27" i="46"/>
  <c r="O51" i="46"/>
  <c r="G30" i="46"/>
  <c r="G31" i="46" s="1"/>
  <c r="I29" i="46"/>
  <c r="G70" i="46"/>
  <c r="I69" i="46"/>
  <c r="I70" i="46" s="1"/>
  <c r="I79" i="46"/>
  <c r="M70" i="46"/>
  <c r="Q69" i="46"/>
  <c r="Q70" i="46" s="1"/>
  <c r="I24" i="46"/>
  <c r="I25" i="46" s="1"/>
  <c r="G25" i="46"/>
  <c r="Q34" i="46"/>
  <c r="Q36" i="46" s="1"/>
  <c r="M36" i="46"/>
  <c r="G34" i="46"/>
  <c r="G36" i="46" s="1"/>
  <c r="M79" i="46"/>
  <c r="Q79" i="46" s="1"/>
  <c r="K36" i="46"/>
  <c r="M29" i="46"/>
  <c r="I27" i="46" l="1"/>
  <c r="W169" i="46"/>
  <c r="Q29" i="46"/>
  <c r="G110" i="46"/>
  <c r="G37" i="46"/>
  <c r="G63" i="46" s="1"/>
  <c r="I34" i="46"/>
  <c r="I36" i="46" s="1"/>
  <c r="G131" i="46" l="1"/>
  <c r="A8" i="185" l="1"/>
  <c r="A7" i="185"/>
  <c r="A2" i="185"/>
  <c r="A1" i="185"/>
  <c r="AC455" i="24" l="1"/>
  <c r="U218" i="24" l="1"/>
  <c r="J74" i="14" l="1"/>
  <c r="F158" i="15" l="1"/>
  <c r="F127" i="15" l="1"/>
  <c r="H158" i="15"/>
  <c r="G158" i="15" l="1"/>
  <c r="I158" i="15"/>
  <c r="G127" i="15"/>
  <c r="J158" i="15" l="1"/>
  <c r="H127" i="15"/>
  <c r="K158" i="15" l="1"/>
  <c r="I127" i="15"/>
  <c r="L158" i="15" l="1"/>
  <c r="J127" i="15"/>
  <c r="M158" i="15" l="1"/>
  <c r="K127" i="15"/>
  <c r="N158" i="15" l="1"/>
  <c r="L127" i="15"/>
  <c r="O158" i="15" l="1"/>
  <c r="M127" i="15"/>
  <c r="P158" i="15" l="1"/>
  <c r="N127" i="15"/>
  <c r="Q158" i="15" l="1"/>
  <c r="R158" i="15"/>
  <c r="O127" i="15"/>
  <c r="P127" i="15" l="1"/>
  <c r="Q127" i="15" l="1"/>
  <c r="R127" i="15"/>
  <c r="N64" i="15" l="1"/>
  <c r="O64" i="15"/>
  <c r="N38" i="15"/>
  <c r="H162" i="15" l="1"/>
  <c r="L162" i="15"/>
  <c r="O162" i="15"/>
  <c r="M162" i="15"/>
  <c r="P162" i="15"/>
  <c r="I162" i="15"/>
  <c r="N162" i="15"/>
  <c r="R162" i="15"/>
  <c r="Q162" i="15"/>
  <c r="J162" i="15"/>
  <c r="K162" i="15"/>
  <c r="O38" i="15"/>
  <c r="G74" i="14" l="1"/>
  <c r="I163" i="15"/>
  <c r="Q163" i="15"/>
  <c r="L163" i="15"/>
  <c r="M163" i="15"/>
  <c r="K163" i="15"/>
  <c r="O163" i="15"/>
  <c r="R163" i="15"/>
  <c r="H163" i="15"/>
  <c r="J163" i="15"/>
  <c r="P163" i="15"/>
  <c r="N163" i="15"/>
  <c r="Q64" i="15"/>
  <c r="P64" i="15"/>
  <c r="P38" i="15"/>
  <c r="Q38" i="15" l="1"/>
  <c r="S158" i="15" l="1"/>
  <c r="L74" i="14" l="1"/>
  <c r="P74" i="14" s="1"/>
  <c r="I38" i="170" s="1"/>
  <c r="O185" i="24" l="1"/>
  <c r="M185" i="24"/>
  <c r="A1" i="182" l="1"/>
  <c r="A2" i="182"/>
  <c r="A8" i="182"/>
  <c r="A9" i="182"/>
  <c r="E11" i="182"/>
  <c r="F18" i="182"/>
  <c r="F20" i="182"/>
  <c r="F22" i="182"/>
  <c r="F24" i="182"/>
  <c r="F26" i="182"/>
  <c r="B28" i="182"/>
  <c r="B66" i="182" s="1"/>
  <c r="F28" i="182"/>
  <c r="A32" i="182"/>
  <c r="A39" i="182"/>
  <c r="A40" i="182"/>
  <c r="A46" i="182"/>
  <c r="A47" i="182"/>
  <c r="E49" i="182"/>
  <c r="F56" i="182"/>
  <c r="A58" i="182"/>
  <c r="F58" i="182"/>
  <c r="F60" i="182"/>
  <c r="F62" i="182"/>
  <c r="F64" i="182"/>
  <c r="E66" i="182"/>
  <c r="F66" i="182" s="1"/>
  <c r="A70" i="182"/>
  <c r="A1" i="181"/>
  <c r="A196" i="181" s="1"/>
  <c r="A2" i="181"/>
  <c r="A249" i="181" s="1"/>
  <c r="A12" i="181"/>
  <c r="A206" i="181" s="1"/>
  <c r="A13" i="181"/>
  <c r="A148" i="181" s="1"/>
  <c r="M14" i="181"/>
  <c r="M208" i="181" s="1"/>
  <c r="M15" i="181"/>
  <c r="M209" i="181" s="1"/>
  <c r="A44" i="181"/>
  <c r="A45" i="181"/>
  <c r="A55" i="181"/>
  <c r="A56" i="181"/>
  <c r="M58" i="181"/>
  <c r="A91" i="181"/>
  <c r="A92" i="181"/>
  <c r="A102" i="181"/>
  <c r="A103" i="181"/>
  <c r="M105" i="181"/>
  <c r="H115" i="181"/>
  <c r="H116" i="181"/>
  <c r="H117" i="181"/>
  <c r="H118" i="181"/>
  <c r="H119" i="181"/>
  <c r="H120" i="181"/>
  <c r="H121" i="181"/>
  <c r="H122" i="181"/>
  <c r="H123" i="181"/>
  <c r="H124" i="181"/>
  <c r="H125" i="181"/>
  <c r="F126" i="181"/>
  <c r="L126" i="181" s="1"/>
  <c r="H126" i="181"/>
  <c r="A138" i="181"/>
  <c r="A139" i="181"/>
  <c r="A140" i="181"/>
  <c r="M147" i="181"/>
  <c r="A149" i="181"/>
  <c r="A198" i="181"/>
  <c r="A199" i="181"/>
  <c r="A200" i="181"/>
  <c r="M206" i="181"/>
  <c r="A208" i="181"/>
  <c r="F234" i="181"/>
  <c r="A250" i="181"/>
  <c r="A251" i="181"/>
  <c r="A252" i="181"/>
  <c r="M258" i="181"/>
  <c r="A260" i="181"/>
  <c r="C295" i="181"/>
  <c r="C296" i="181"/>
  <c r="C297" i="181"/>
  <c r="A1" i="180"/>
  <c r="A2" i="180"/>
  <c r="A9" i="180"/>
  <c r="A10" i="180"/>
  <c r="H12" i="180"/>
  <c r="A38" i="180"/>
  <c r="A39" i="180"/>
  <c r="A46" i="180"/>
  <c r="A47" i="180"/>
  <c r="H49" i="180"/>
  <c r="A1" i="179"/>
  <c r="A83" i="179" s="1"/>
  <c r="A2" i="179"/>
  <c r="A84" i="179" s="1"/>
  <c r="A10" i="179"/>
  <c r="A11" i="179"/>
  <c r="J13" i="179"/>
  <c r="J190" i="179" s="1"/>
  <c r="I22" i="179"/>
  <c r="K22" i="179" s="1"/>
  <c r="I23" i="179"/>
  <c r="I24" i="179"/>
  <c r="K24" i="179" s="1"/>
  <c r="I25" i="179"/>
  <c r="K25" i="179" s="1"/>
  <c r="I26" i="179"/>
  <c r="K26" i="179" s="1"/>
  <c r="I27" i="179"/>
  <c r="K27" i="179" s="1"/>
  <c r="I28" i="179"/>
  <c r="K28" i="179" s="1"/>
  <c r="I29" i="179"/>
  <c r="K29" i="179" s="1"/>
  <c r="I30" i="179"/>
  <c r="K30" i="179" s="1"/>
  <c r="I31" i="179"/>
  <c r="I32" i="179"/>
  <c r="K32" i="179" s="1"/>
  <c r="G36" i="179"/>
  <c r="A41" i="179"/>
  <c r="A42" i="179"/>
  <c r="A50" i="179"/>
  <c r="A51" i="179"/>
  <c r="J53" i="179"/>
  <c r="I62" i="179"/>
  <c r="I63" i="179"/>
  <c r="K63" i="179" s="1"/>
  <c r="I64" i="179"/>
  <c r="K64" i="179" s="1"/>
  <c r="I65" i="179"/>
  <c r="K65" i="179" s="1"/>
  <c r="I66" i="179"/>
  <c r="K66" i="179" s="1"/>
  <c r="I67" i="179"/>
  <c r="K67" i="179" s="1"/>
  <c r="I68" i="179"/>
  <c r="K68" i="179" s="1"/>
  <c r="I69" i="179"/>
  <c r="K69" i="179" s="1"/>
  <c r="I70" i="179"/>
  <c r="K70" i="179" s="1"/>
  <c r="I71" i="179"/>
  <c r="K71" i="179" s="1"/>
  <c r="I73" i="179"/>
  <c r="K73" i="179" s="1"/>
  <c r="I74" i="179"/>
  <c r="K74" i="179" s="1"/>
  <c r="G78" i="179"/>
  <c r="J78" i="179"/>
  <c r="A85" i="179"/>
  <c r="A92" i="179"/>
  <c r="A93" i="179"/>
  <c r="A94" i="179"/>
  <c r="J95" i="179"/>
  <c r="E98" i="179"/>
  <c r="E99" i="179"/>
  <c r="G99" i="179"/>
  <c r="E100" i="179"/>
  <c r="E101" i="179"/>
  <c r="I104" i="179"/>
  <c r="K104" i="179" s="1"/>
  <c r="I105" i="179"/>
  <c r="I106" i="179"/>
  <c r="K106" i="179" s="1"/>
  <c r="I107" i="179"/>
  <c r="K107" i="179" s="1"/>
  <c r="I108" i="179"/>
  <c r="K108" i="179" s="1"/>
  <c r="I109" i="179"/>
  <c r="K109" i="179" s="1"/>
  <c r="I110" i="179"/>
  <c r="K110" i="179" s="1"/>
  <c r="I111" i="179"/>
  <c r="K111" i="179" s="1"/>
  <c r="I112" i="179"/>
  <c r="K112" i="179" s="1"/>
  <c r="I113" i="179"/>
  <c r="K113" i="179" s="1"/>
  <c r="I114" i="179"/>
  <c r="K114" i="179" s="1"/>
  <c r="I115" i="179"/>
  <c r="K115" i="179" s="1"/>
  <c r="G119" i="179"/>
  <c r="J119" i="179"/>
  <c r="A124" i="179"/>
  <c r="A125" i="179"/>
  <c r="A126" i="179"/>
  <c r="A133" i="179"/>
  <c r="J133" i="179"/>
  <c r="A134" i="179"/>
  <c r="A135" i="179"/>
  <c r="J135" i="179"/>
  <c r="E139" i="179"/>
  <c r="E140" i="179"/>
  <c r="G140" i="179"/>
  <c r="E141" i="179"/>
  <c r="E142" i="179"/>
  <c r="I145" i="179"/>
  <c r="K145" i="179" s="1"/>
  <c r="G173" i="179"/>
  <c r="A178" i="179"/>
  <c r="A179" i="179"/>
  <c r="A180" i="179"/>
  <c r="A187" i="179"/>
  <c r="J187" i="179"/>
  <c r="A188" i="179"/>
  <c r="A189" i="179"/>
  <c r="J189" i="179"/>
  <c r="E193" i="179"/>
  <c r="E194" i="179"/>
  <c r="G194" i="179"/>
  <c r="E195" i="179"/>
  <c r="E196" i="179"/>
  <c r="I199" i="179"/>
  <c r="G217" i="179"/>
  <c r="J217" i="179"/>
  <c r="A225" i="179"/>
  <c r="A226" i="179"/>
  <c r="A227" i="179"/>
  <c r="A234" i="179"/>
  <c r="J234" i="179"/>
  <c r="A235" i="179"/>
  <c r="J236" i="179"/>
  <c r="E240" i="179"/>
  <c r="E241" i="179"/>
  <c r="G241" i="179"/>
  <c r="E242" i="179"/>
  <c r="E243" i="179"/>
  <c r="I246" i="179"/>
  <c r="K246" i="179" s="1"/>
  <c r="G265" i="179"/>
  <c r="J265" i="179"/>
  <c r="J270" i="179" s="1"/>
  <c r="C269" i="179"/>
  <c r="C270" i="179" s="1"/>
  <c r="C547" i="179" s="1"/>
  <c r="A279" i="179"/>
  <c r="A280" i="179"/>
  <c r="A288" i="179"/>
  <c r="A289" i="179"/>
  <c r="J291" i="179"/>
  <c r="J467" i="179" s="1"/>
  <c r="I300" i="179"/>
  <c r="K300" i="179" s="1"/>
  <c r="G314" i="179"/>
  <c r="A319" i="179"/>
  <c r="A320" i="179"/>
  <c r="A328" i="179"/>
  <c r="A329" i="179"/>
  <c r="J331" i="179"/>
  <c r="I340" i="179"/>
  <c r="K340" i="179" s="1"/>
  <c r="H68" i="181" s="1"/>
  <c r="I341" i="179"/>
  <c r="K341" i="179" s="1"/>
  <c r="H69" i="181" s="1"/>
  <c r="I342" i="179"/>
  <c r="K342" i="179" s="1"/>
  <c r="H70" i="181" s="1"/>
  <c r="I343" i="179"/>
  <c r="K343" i="179" s="1"/>
  <c r="H71" i="181" s="1"/>
  <c r="I344" i="179"/>
  <c r="K344" i="179" s="1"/>
  <c r="H72" i="181" s="1"/>
  <c r="I345" i="179"/>
  <c r="K345" i="179" s="1"/>
  <c r="H73" i="181" s="1"/>
  <c r="I346" i="179"/>
  <c r="K346" i="179" s="1"/>
  <c r="H74" i="181" s="1"/>
  <c r="I347" i="179"/>
  <c r="K347" i="179" s="1"/>
  <c r="H75" i="181" s="1"/>
  <c r="I348" i="179"/>
  <c r="K348" i="179" s="1"/>
  <c r="H76" i="181" s="1"/>
  <c r="I349" i="179"/>
  <c r="I351" i="179"/>
  <c r="K351" i="179" s="1"/>
  <c r="H79" i="181" s="1"/>
  <c r="I352" i="179"/>
  <c r="K352" i="179" s="1"/>
  <c r="G356" i="179"/>
  <c r="J356" i="179"/>
  <c r="A359" i="179"/>
  <c r="A360" i="179"/>
  <c r="A361" i="179"/>
  <c r="A368" i="179"/>
  <c r="J368" i="179"/>
  <c r="A369" i="179"/>
  <c r="A370" i="179"/>
  <c r="J370" i="179"/>
  <c r="J371" i="179"/>
  <c r="E374" i="179"/>
  <c r="E375" i="179"/>
  <c r="G375" i="179"/>
  <c r="E376" i="179"/>
  <c r="E377" i="179"/>
  <c r="I380" i="179"/>
  <c r="K380" i="179" s="1"/>
  <c r="I381" i="179"/>
  <c r="I382" i="179"/>
  <c r="K382" i="179" s="1"/>
  <c r="I383" i="179"/>
  <c r="K383" i="179" s="1"/>
  <c r="I384" i="179"/>
  <c r="K384" i="179" s="1"/>
  <c r="I385" i="179"/>
  <c r="K385" i="179" s="1"/>
  <c r="I386" i="179"/>
  <c r="K386" i="179" s="1"/>
  <c r="I387" i="179"/>
  <c r="K387" i="179" s="1"/>
  <c r="I388" i="179"/>
  <c r="K388" i="179" s="1"/>
  <c r="I389" i="179"/>
  <c r="K389" i="179" s="1"/>
  <c r="I390" i="179"/>
  <c r="K390" i="179" s="1"/>
  <c r="I391" i="179"/>
  <c r="K391" i="179" s="1"/>
  <c r="G396" i="179"/>
  <c r="J396" i="179"/>
  <c r="A401" i="179"/>
  <c r="A402" i="179"/>
  <c r="A403" i="179"/>
  <c r="A410" i="179"/>
  <c r="J410" i="179"/>
  <c r="A411" i="179"/>
  <c r="A412" i="179"/>
  <c r="J412" i="179"/>
  <c r="E416" i="179"/>
  <c r="E417" i="179"/>
  <c r="G417" i="179"/>
  <c r="E418" i="179"/>
  <c r="E419" i="179"/>
  <c r="I422" i="179"/>
  <c r="K422" i="179" s="1"/>
  <c r="G61" i="180"/>
  <c r="G62" i="180"/>
  <c r="G450" i="179"/>
  <c r="A455" i="179"/>
  <c r="A456" i="179"/>
  <c r="A457" i="179"/>
  <c r="A464" i="179"/>
  <c r="J464" i="179"/>
  <c r="A465" i="179"/>
  <c r="A466" i="179"/>
  <c r="J466" i="179"/>
  <c r="E470" i="179"/>
  <c r="E471" i="179"/>
  <c r="G471" i="179"/>
  <c r="E472" i="179"/>
  <c r="E473" i="179"/>
  <c r="I476" i="179"/>
  <c r="G494" i="179"/>
  <c r="J494" i="179"/>
  <c r="A502" i="179"/>
  <c r="A503" i="179"/>
  <c r="A504" i="179"/>
  <c r="A511" i="179"/>
  <c r="J511" i="179"/>
  <c r="A512" i="179"/>
  <c r="J513" i="179"/>
  <c r="E517" i="179"/>
  <c r="E518" i="179"/>
  <c r="G518" i="179"/>
  <c r="E519" i="179"/>
  <c r="E520" i="179"/>
  <c r="I523" i="179"/>
  <c r="K523" i="179" s="1"/>
  <c r="G542" i="179"/>
  <c r="J542" i="179"/>
  <c r="C546" i="179"/>
  <c r="A1" i="178"/>
  <c r="A2" i="178"/>
  <c r="A10" i="178"/>
  <c r="A11" i="178"/>
  <c r="J13" i="178"/>
  <c r="A28" i="178"/>
  <c r="A29" i="178"/>
  <c r="A37" i="178"/>
  <c r="A38" i="178"/>
  <c r="J40" i="178"/>
  <c r="A1" i="177"/>
  <c r="A2" i="177"/>
  <c r="A8" i="177"/>
  <c r="A9" i="177"/>
  <c r="K10" i="177"/>
  <c r="K34" i="177" s="1"/>
  <c r="K11" i="177"/>
  <c r="A25" i="177"/>
  <c r="A26" i="177"/>
  <c r="A32" i="177"/>
  <c r="A33" i="177"/>
  <c r="K35" i="177"/>
  <c r="A1" i="176"/>
  <c r="A2" i="176"/>
  <c r="A9" i="176"/>
  <c r="A10" i="176"/>
  <c r="F12" i="176"/>
  <c r="A32" i="176"/>
  <c r="A33" i="176"/>
  <c r="A40" i="176"/>
  <c r="A41" i="176"/>
  <c r="F43" i="176"/>
  <c r="A1" i="175"/>
  <c r="A2" i="175"/>
  <c r="A1" i="174"/>
  <c r="A171" i="174" s="1"/>
  <c r="A2" i="174"/>
  <c r="A181" i="174"/>
  <c r="J183" i="174"/>
  <c r="K23" i="174"/>
  <c r="E23" i="172" s="1"/>
  <c r="G23" i="172" s="1"/>
  <c r="I23" i="172" s="1"/>
  <c r="K24" i="174"/>
  <c r="E24" i="172" s="1"/>
  <c r="G24" i="172" s="1"/>
  <c r="K25" i="174"/>
  <c r="E25" i="172" s="1"/>
  <c r="G25" i="172" s="1"/>
  <c r="K26" i="174"/>
  <c r="E26" i="172" s="1"/>
  <c r="G26" i="172" s="1"/>
  <c r="K27" i="174"/>
  <c r="E27" i="172" s="1"/>
  <c r="G27" i="172" s="1"/>
  <c r="K28" i="174"/>
  <c r="E28" i="172" s="1"/>
  <c r="G28" i="172" s="1"/>
  <c r="K29" i="174"/>
  <c r="E29" i="172" s="1"/>
  <c r="G29" i="172" s="1"/>
  <c r="K30" i="174"/>
  <c r="K32" i="174"/>
  <c r="E32" i="172" s="1"/>
  <c r="G32" i="172" s="1"/>
  <c r="I32" i="172" s="1"/>
  <c r="E31" i="179" s="1"/>
  <c r="A49" i="174"/>
  <c r="J51" i="174"/>
  <c r="K61" i="174"/>
  <c r="K62" i="174"/>
  <c r="K63" i="174"/>
  <c r="K64" i="174"/>
  <c r="E64" i="172" s="1"/>
  <c r="K66" i="174"/>
  <c r="E66" i="172" s="1"/>
  <c r="G66" i="172" s="1"/>
  <c r="K67" i="174"/>
  <c r="E67" i="172" s="1"/>
  <c r="K68" i="174"/>
  <c r="K70" i="174"/>
  <c r="E70" i="172" s="1"/>
  <c r="E76" i="174"/>
  <c r="F76" i="174"/>
  <c r="G76" i="174"/>
  <c r="H76" i="174"/>
  <c r="A79" i="174"/>
  <c r="A80" i="174"/>
  <c r="A88" i="174"/>
  <c r="J88" i="174"/>
  <c r="A89" i="174"/>
  <c r="K101" i="174"/>
  <c r="E101" i="172" s="1"/>
  <c r="K102" i="174"/>
  <c r="E102" i="172" s="1"/>
  <c r="G102" i="172" s="1"/>
  <c r="I102" i="172" s="1"/>
  <c r="E105" i="179" s="1"/>
  <c r="K103" i="174"/>
  <c r="K104" i="174"/>
  <c r="E104" i="172" s="1"/>
  <c r="G104" i="172" s="1"/>
  <c r="I104" i="172" s="1"/>
  <c r="E107" i="179" s="1"/>
  <c r="K105" i="174"/>
  <c r="E105" i="172" s="1"/>
  <c r="G105" i="172" s="1"/>
  <c r="I105" i="172" s="1"/>
  <c r="E108" i="179" s="1"/>
  <c r="K106" i="174"/>
  <c r="E106" i="172" s="1"/>
  <c r="G106" i="172" s="1"/>
  <c r="I106" i="172" s="1"/>
  <c r="E109" i="179" s="1"/>
  <c r="K107" i="174"/>
  <c r="E107" i="172" s="1"/>
  <c r="G107" i="172" s="1"/>
  <c r="I107" i="172" s="1"/>
  <c r="E110" i="179" s="1"/>
  <c r="K108" i="174"/>
  <c r="K109" i="174"/>
  <c r="E109" i="172" s="1"/>
  <c r="G109" i="172" s="1"/>
  <c r="I109" i="172" s="1"/>
  <c r="E112" i="179" s="1"/>
  <c r="K110" i="174"/>
  <c r="E110" i="172" s="1"/>
  <c r="G110" i="172" s="1"/>
  <c r="I110" i="172" s="1"/>
  <c r="E113" i="179" s="1"/>
  <c r="K111" i="174"/>
  <c r="E111" i="172" s="1"/>
  <c r="G111" i="172" s="1"/>
  <c r="I111" i="172" s="1"/>
  <c r="E114" i="179" s="1"/>
  <c r="E115" i="174"/>
  <c r="F115" i="174"/>
  <c r="G115" i="174"/>
  <c r="H115" i="174"/>
  <c r="A120" i="174"/>
  <c r="A127" i="174"/>
  <c r="J127" i="174"/>
  <c r="A129" i="174"/>
  <c r="K140" i="174"/>
  <c r="E140" i="172" s="1"/>
  <c r="G140" i="172" s="1"/>
  <c r="I140" i="172" s="1"/>
  <c r="E145" i="179" s="1"/>
  <c r="K141" i="174"/>
  <c r="E141" i="172" s="1"/>
  <c r="G141" i="172" s="1"/>
  <c r="I141" i="172" s="1"/>
  <c r="E146" i="179" s="1"/>
  <c r="K142" i="174"/>
  <c r="E142" i="172" s="1"/>
  <c r="G142" i="172" s="1"/>
  <c r="I142" i="172" s="1"/>
  <c r="E147" i="179" s="1"/>
  <c r="K143" i="174"/>
  <c r="K144" i="174"/>
  <c r="E144" i="172" s="1"/>
  <c r="G144" i="172" s="1"/>
  <c r="I144" i="172" s="1"/>
  <c r="E149" i="179" s="1"/>
  <c r="K146" i="174"/>
  <c r="K147" i="174"/>
  <c r="E147" i="172" s="1"/>
  <c r="G147" i="172" s="1"/>
  <c r="I147" i="172" s="1"/>
  <c r="E152" i="179" s="1"/>
  <c r="K148" i="174"/>
  <c r="E148" i="172" s="1"/>
  <c r="G148" i="172" s="1"/>
  <c r="I148" i="172" s="1"/>
  <c r="E153" i="179" s="1"/>
  <c r="K149" i="174"/>
  <c r="E149" i="172" s="1"/>
  <c r="G149" i="172" s="1"/>
  <c r="I149" i="172" s="1"/>
  <c r="E154" i="179" s="1"/>
  <c r="K150" i="174"/>
  <c r="E150" i="172" s="1"/>
  <c r="G150" i="172" s="1"/>
  <c r="I150" i="172" s="1"/>
  <c r="E155" i="179" s="1"/>
  <c r="K151" i="174"/>
  <c r="E151" i="172" s="1"/>
  <c r="G151" i="172" s="1"/>
  <c r="I151" i="172" s="1"/>
  <c r="E156" i="179" s="1"/>
  <c r="K152" i="174"/>
  <c r="K153" i="174"/>
  <c r="E153" i="172" s="1"/>
  <c r="G153" i="172" s="1"/>
  <c r="I153" i="172" s="1"/>
  <c r="E158" i="179" s="1"/>
  <c r="K154" i="174"/>
  <c r="K155" i="174"/>
  <c r="E155" i="172" s="1"/>
  <c r="G155" i="172" s="1"/>
  <c r="I155" i="172" s="1"/>
  <c r="E160" i="179" s="1"/>
  <c r="K156" i="174"/>
  <c r="E156" i="172" s="1"/>
  <c r="G156" i="172" s="1"/>
  <c r="I156" i="172" s="1"/>
  <c r="E161" i="179" s="1"/>
  <c r="K157" i="174"/>
  <c r="E157" i="172" s="1"/>
  <c r="G157" i="172" s="1"/>
  <c r="I157" i="172" s="1"/>
  <c r="E162" i="179" s="1"/>
  <c r="K158" i="174"/>
  <c r="E158" i="172" s="1"/>
  <c r="G158" i="172" s="1"/>
  <c r="I158" i="172" s="1"/>
  <c r="E163" i="179" s="1"/>
  <c r="K159" i="174"/>
  <c r="E159" i="172" s="1"/>
  <c r="G159" i="172" s="1"/>
  <c r="I159" i="172" s="1"/>
  <c r="E164" i="179" s="1"/>
  <c r="K160" i="174"/>
  <c r="K161" i="174"/>
  <c r="E161" i="172" s="1"/>
  <c r="G161" i="172" s="1"/>
  <c r="K162" i="174"/>
  <c r="K163" i="174"/>
  <c r="E163" i="172" s="1"/>
  <c r="G163" i="172" s="1"/>
  <c r="I163" i="172" s="1"/>
  <c r="E168" i="179" s="1"/>
  <c r="E167" i="174"/>
  <c r="F167" i="174"/>
  <c r="G167" i="174"/>
  <c r="H167" i="174"/>
  <c r="A173" i="174"/>
  <c r="A180" i="174"/>
  <c r="J180" i="174"/>
  <c r="A182" i="174"/>
  <c r="K193" i="174"/>
  <c r="E193" i="172" s="1"/>
  <c r="K194" i="174"/>
  <c r="K195" i="174"/>
  <c r="K196" i="174"/>
  <c r="K197" i="174"/>
  <c r="E197" i="172" s="1"/>
  <c r="G197" i="172" s="1"/>
  <c r="I197" i="172" s="1"/>
  <c r="E205" i="179" s="1"/>
  <c r="K198" i="174"/>
  <c r="K199" i="174"/>
  <c r="E199" i="172" s="1"/>
  <c r="G199" i="172" s="1"/>
  <c r="I199" i="172" s="1"/>
  <c r="E207" i="179" s="1"/>
  <c r="K200" i="174"/>
  <c r="K201" i="174"/>
  <c r="K202" i="174"/>
  <c r="E206" i="174"/>
  <c r="F206" i="174"/>
  <c r="G206" i="174"/>
  <c r="H206" i="174"/>
  <c r="A215" i="174"/>
  <c r="A222" i="174"/>
  <c r="J222" i="174"/>
  <c r="A224" i="174"/>
  <c r="K235" i="174"/>
  <c r="K236" i="174"/>
  <c r="E236" i="172" s="1"/>
  <c r="G236" i="172" s="1"/>
  <c r="I236" i="172" s="1"/>
  <c r="E247" i="179" s="1"/>
  <c r="K237" i="174"/>
  <c r="E237" i="172" s="1"/>
  <c r="G237" i="172" s="1"/>
  <c r="I237" i="172" s="1"/>
  <c r="E248" i="179" s="1"/>
  <c r="K238" i="174"/>
  <c r="E238" i="172" s="1"/>
  <c r="G238" i="172" s="1"/>
  <c r="I238" i="172" s="1"/>
  <c r="E249" i="179" s="1"/>
  <c r="K239" i="174"/>
  <c r="E239" i="172" s="1"/>
  <c r="G239" i="172" s="1"/>
  <c r="I239" i="172" s="1"/>
  <c r="E251" i="179" s="1"/>
  <c r="K240" i="174"/>
  <c r="E240" i="172" s="1"/>
  <c r="G240" i="172" s="1"/>
  <c r="I240" i="172" s="1"/>
  <c r="E253" i="179" s="1"/>
  <c r="K241" i="174"/>
  <c r="E241" i="172" s="1"/>
  <c r="G241" i="172" s="1"/>
  <c r="I241" i="172" s="1"/>
  <c r="E255" i="179" s="1"/>
  <c r="K242" i="174"/>
  <c r="E242" i="172" s="1"/>
  <c r="G242" i="172" s="1"/>
  <c r="I242" i="172" s="1"/>
  <c r="E257" i="179" s="1"/>
  <c r="K243" i="174"/>
  <c r="E243" i="172" s="1"/>
  <c r="G243" i="172" s="1"/>
  <c r="K244" i="174"/>
  <c r="E244" i="172" s="1"/>
  <c r="G244" i="172" s="1"/>
  <c r="I244" i="172" s="1"/>
  <c r="E259" i="179" s="1"/>
  <c r="E248" i="174"/>
  <c r="F248" i="174"/>
  <c r="G248" i="174"/>
  <c r="H248" i="174"/>
  <c r="C251" i="174"/>
  <c r="F251" i="174" s="1"/>
  <c r="A258" i="174"/>
  <c r="A374" i="174" s="1"/>
  <c r="A259" i="174"/>
  <c r="A469" i="174" s="1"/>
  <c r="A267" i="174"/>
  <c r="A268" i="174"/>
  <c r="A436" i="174" s="1"/>
  <c r="K270" i="174"/>
  <c r="K480" i="174" s="1"/>
  <c r="K280" i="174"/>
  <c r="K282" i="174"/>
  <c r="K283" i="174"/>
  <c r="K284" i="174"/>
  <c r="K285" i="174"/>
  <c r="K286" i="174"/>
  <c r="K287" i="174"/>
  <c r="K289" i="174"/>
  <c r="E292" i="174"/>
  <c r="F292" i="174"/>
  <c r="G292" i="174"/>
  <c r="L292" i="174"/>
  <c r="A295" i="174"/>
  <c r="A296" i="174"/>
  <c r="A304" i="174"/>
  <c r="A305" i="174"/>
  <c r="K307" i="174"/>
  <c r="K317" i="174"/>
  <c r="K318" i="174"/>
  <c r="K319" i="174"/>
  <c r="K321" i="174"/>
  <c r="K322" i="174"/>
  <c r="K323" i="174"/>
  <c r="K324" i="174"/>
  <c r="K325" i="174"/>
  <c r="K326" i="174"/>
  <c r="K328" i="174"/>
  <c r="E332" i="174"/>
  <c r="F332" i="174"/>
  <c r="G332" i="174"/>
  <c r="H332" i="174"/>
  <c r="L332" i="174"/>
  <c r="A335" i="174"/>
  <c r="A336" i="174"/>
  <c r="A344" i="174"/>
  <c r="K344" i="174"/>
  <c r="A345" i="174"/>
  <c r="K347" i="174"/>
  <c r="K357" i="174"/>
  <c r="K358" i="174"/>
  <c r="K359" i="174"/>
  <c r="K360" i="174"/>
  <c r="K361" i="174"/>
  <c r="K362" i="174"/>
  <c r="K363" i="174"/>
  <c r="K364" i="174"/>
  <c r="K365" i="174"/>
  <c r="K366" i="174"/>
  <c r="K367" i="174"/>
  <c r="E371" i="174"/>
  <c r="F371" i="174"/>
  <c r="G371" i="174"/>
  <c r="H371" i="174"/>
  <c r="L371" i="174"/>
  <c r="A376" i="174"/>
  <c r="A383" i="174"/>
  <c r="K383" i="174"/>
  <c r="A385" i="174"/>
  <c r="K396" i="174"/>
  <c r="K422" i="174" s="1"/>
  <c r="A428" i="174"/>
  <c r="A435" i="174"/>
  <c r="K435" i="174"/>
  <c r="A437" i="174"/>
  <c r="K448" i="174"/>
  <c r="K449" i="174"/>
  <c r="K450" i="174"/>
  <c r="K451" i="174"/>
  <c r="K452" i="174"/>
  <c r="K453" i="174"/>
  <c r="K454" i="174"/>
  <c r="K455" i="174"/>
  <c r="K456" i="174"/>
  <c r="K457" i="174"/>
  <c r="E461" i="174"/>
  <c r="F461" i="174"/>
  <c r="G461" i="174"/>
  <c r="H461" i="174"/>
  <c r="L461" i="174"/>
  <c r="A470" i="174"/>
  <c r="A477" i="174"/>
  <c r="K477" i="174"/>
  <c r="A479" i="174"/>
  <c r="K490" i="174"/>
  <c r="K491" i="174"/>
  <c r="K492" i="174"/>
  <c r="K493" i="174"/>
  <c r="K494" i="174"/>
  <c r="K495" i="174"/>
  <c r="K496" i="174"/>
  <c r="K497" i="174"/>
  <c r="K498" i="174"/>
  <c r="K499" i="174"/>
  <c r="E503" i="174"/>
  <c r="F503" i="174"/>
  <c r="G503" i="174"/>
  <c r="H503" i="174"/>
  <c r="L503" i="174"/>
  <c r="C506" i="174"/>
  <c r="A1" i="173"/>
  <c r="A2" i="173"/>
  <c r="A9" i="173"/>
  <c r="A10" i="173"/>
  <c r="H12" i="173"/>
  <c r="A43" i="173"/>
  <c r="A44" i="173"/>
  <c r="A51" i="173"/>
  <c r="A52" i="173"/>
  <c r="H54" i="173"/>
  <c r="E65" i="173"/>
  <c r="G68" i="173"/>
  <c r="G69" i="173"/>
  <c r="A1" i="172"/>
  <c r="A118" i="172" s="1"/>
  <c r="A2" i="172"/>
  <c r="A214" i="172" s="1"/>
  <c r="A10" i="172"/>
  <c r="A179" i="172" s="1"/>
  <c r="A11" i="172"/>
  <c r="A128" i="172" s="1"/>
  <c r="H13" i="172"/>
  <c r="H129" i="172" s="1"/>
  <c r="A39" i="172"/>
  <c r="A40" i="172"/>
  <c r="A48" i="172"/>
  <c r="A49" i="172"/>
  <c r="H51" i="172"/>
  <c r="H76" i="172"/>
  <c r="F25" i="171" s="1"/>
  <c r="A79" i="172"/>
  <c r="A80" i="172"/>
  <c r="H87" i="172"/>
  <c r="A88" i="172"/>
  <c r="A89" i="172"/>
  <c r="H90" i="172"/>
  <c r="E108" i="172"/>
  <c r="G108" i="172" s="1"/>
  <c r="I108" i="172" s="1"/>
  <c r="E111" i="179" s="1"/>
  <c r="H115" i="172"/>
  <c r="F27" i="171" s="1"/>
  <c r="A120" i="172"/>
  <c r="H126" i="172"/>
  <c r="A129" i="172"/>
  <c r="A173" i="172"/>
  <c r="H179" i="172"/>
  <c r="A181" i="172"/>
  <c r="H206" i="172"/>
  <c r="F31" i="171" s="1"/>
  <c r="A215" i="172"/>
  <c r="H221" i="172"/>
  <c r="A223" i="172"/>
  <c r="E235" i="172"/>
  <c r="G235" i="172" s="1"/>
  <c r="I235" i="172" s="1"/>
  <c r="A258" i="172"/>
  <c r="A259" i="172"/>
  <c r="A376" i="172" s="1"/>
  <c r="A267" i="172"/>
  <c r="A437" i="172" s="1"/>
  <c r="A268" i="172"/>
  <c r="A480" i="172" s="1"/>
  <c r="H270" i="172"/>
  <c r="H386" i="172" s="1"/>
  <c r="E280" i="172"/>
  <c r="E293" i="172" s="1"/>
  <c r="A296" i="172"/>
  <c r="A297" i="172"/>
  <c r="A305" i="172"/>
  <c r="A306" i="172"/>
  <c r="H308" i="172"/>
  <c r="E318" i="172"/>
  <c r="G318" i="172" s="1"/>
  <c r="I318" i="172" s="1"/>
  <c r="G319" i="172"/>
  <c r="G320" i="172"/>
  <c r="I320" i="172" s="1"/>
  <c r="G321" i="172"/>
  <c r="I321" i="172" s="1"/>
  <c r="G322" i="172"/>
  <c r="I322" i="172" s="1"/>
  <c r="G323" i="172"/>
  <c r="I323" i="172" s="1"/>
  <c r="G324" i="172"/>
  <c r="I324" i="172" s="1"/>
  <c r="G325" i="172"/>
  <c r="I325" i="172" s="1"/>
  <c r="E347" i="179" s="1"/>
  <c r="G326" i="172"/>
  <c r="I326" i="172" s="1"/>
  <c r="G327" i="172"/>
  <c r="I327" i="172" s="1"/>
  <c r="G329" i="172"/>
  <c r="I329" i="172" s="1"/>
  <c r="H333" i="172"/>
  <c r="F73" i="171" s="1"/>
  <c r="A336" i="172"/>
  <c r="A337" i="172"/>
  <c r="H344" i="172"/>
  <c r="A345" i="172"/>
  <c r="A346" i="172"/>
  <c r="H347" i="172"/>
  <c r="E358" i="172"/>
  <c r="G358" i="172" s="1"/>
  <c r="E359" i="172"/>
  <c r="G359" i="172" s="1"/>
  <c r="I359" i="172" s="1"/>
  <c r="E381" i="179" s="1"/>
  <c r="E360" i="172"/>
  <c r="G360" i="172" s="1"/>
  <c r="I360" i="172" s="1"/>
  <c r="E382" i="179" s="1"/>
  <c r="E361" i="172"/>
  <c r="G361" i="172" s="1"/>
  <c r="I361" i="172" s="1"/>
  <c r="E383" i="179" s="1"/>
  <c r="E362" i="172"/>
  <c r="G362" i="172" s="1"/>
  <c r="I362" i="172" s="1"/>
  <c r="E384" i="179" s="1"/>
  <c r="E363" i="172"/>
  <c r="G363" i="172" s="1"/>
  <c r="I363" i="172" s="1"/>
  <c r="E385" i="179" s="1"/>
  <c r="E364" i="172"/>
  <c r="G364" i="172" s="1"/>
  <c r="I364" i="172" s="1"/>
  <c r="E386" i="179" s="1"/>
  <c r="E365" i="172"/>
  <c r="G365" i="172" s="1"/>
  <c r="I365" i="172" s="1"/>
  <c r="E387" i="179" s="1"/>
  <c r="E366" i="172"/>
  <c r="G366" i="172" s="1"/>
  <c r="I366" i="172" s="1"/>
  <c r="E388" i="179" s="1"/>
  <c r="E367" i="172"/>
  <c r="G367" i="172" s="1"/>
  <c r="I367" i="172" s="1"/>
  <c r="E389" i="179" s="1"/>
  <c r="E368" i="172"/>
  <c r="G368" i="172" s="1"/>
  <c r="I368" i="172" s="1"/>
  <c r="E390" i="179" s="1"/>
  <c r="H372" i="172"/>
  <c r="F75" i="171" s="1"/>
  <c r="A377" i="172"/>
  <c r="H383" i="172"/>
  <c r="A386" i="172"/>
  <c r="E397" i="172"/>
  <c r="G397" i="172" s="1"/>
  <c r="I397" i="172" s="1"/>
  <c r="A431" i="172"/>
  <c r="H437" i="172"/>
  <c r="A439" i="172"/>
  <c r="E451" i="172"/>
  <c r="E452" i="172"/>
  <c r="G452" i="172" s="1"/>
  <c r="I452" i="172" s="1"/>
  <c r="E477" i="179" s="1"/>
  <c r="E453" i="172"/>
  <c r="G453" i="172" s="1"/>
  <c r="I453" i="172" s="1"/>
  <c r="E478" i="179" s="1"/>
  <c r="E454" i="172"/>
  <c r="G454" i="172" s="1"/>
  <c r="I454" i="172" s="1"/>
  <c r="E480" i="179" s="1"/>
  <c r="E455" i="172"/>
  <c r="G455" i="172" s="1"/>
  <c r="I455" i="172" s="1"/>
  <c r="E482" i="179" s="1"/>
  <c r="E456" i="172"/>
  <c r="G456" i="172" s="1"/>
  <c r="I456" i="172" s="1"/>
  <c r="E483" i="179" s="1"/>
  <c r="E457" i="172"/>
  <c r="G457" i="172" s="1"/>
  <c r="I457" i="172" s="1"/>
  <c r="E484" i="179" s="1"/>
  <c r="E458" i="172"/>
  <c r="G458" i="172" s="1"/>
  <c r="I458" i="172" s="1"/>
  <c r="E459" i="172"/>
  <c r="G459" i="172" s="1"/>
  <c r="I459" i="172" s="1"/>
  <c r="E487" i="179" s="1"/>
  <c r="E460" i="172"/>
  <c r="G460" i="172" s="1"/>
  <c r="I460" i="172" s="1"/>
  <c r="E489" i="179" s="1"/>
  <c r="H464" i="172"/>
  <c r="F79" i="171" s="1"/>
  <c r="A473" i="172"/>
  <c r="H479" i="172"/>
  <c r="A481" i="172"/>
  <c r="E493" i="172"/>
  <c r="E506" i="172" s="1"/>
  <c r="G494" i="172"/>
  <c r="G495" i="172"/>
  <c r="G496" i="172"/>
  <c r="G497" i="172"/>
  <c r="G498" i="172"/>
  <c r="G499" i="172"/>
  <c r="G500" i="172"/>
  <c r="G501" i="172"/>
  <c r="G502" i="172"/>
  <c r="A1" i="171"/>
  <c r="A2" i="171"/>
  <c r="A9" i="171"/>
  <c r="A10" i="171"/>
  <c r="F12" i="171"/>
  <c r="A25" i="171"/>
  <c r="A27" i="171" s="1"/>
  <c r="A29" i="171" s="1"/>
  <c r="A31" i="171" s="1"/>
  <c r="A33" i="171" s="1"/>
  <c r="A35" i="171" s="1"/>
  <c r="A38" i="171" s="1"/>
  <c r="A42" i="171" s="1"/>
  <c r="A49" i="171"/>
  <c r="A50" i="171"/>
  <c r="A57" i="171"/>
  <c r="A58" i="171"/>
  <c r="F60" i="171"/>
  <c r="A73" i="171"/>
  <c r="A75" i="171" s="1"/>
  <c r="A77" i="171" s="1"/>
  <c r="A79" i="171" s="1"/>
  <c r="A81" i="171" s="1"/>
  <c r="A83" i="171" s="1"/>
  <c r="A86" i="171" s="1"/>
  <c r="A90" i="171" s="1"/>
  <c r="A1" i="170"/>
  <c r="A2" i="170"/>
  <c r="A7" i="170"/>
  <c r="A8" i="170"/>
  <c r="I10" i="170"/>
  <c r="G65" i="173" l="1"/>
  <c r="K349" i="179"/>
  <c r="H77" i="181" s="1"/>
  <c r="H84" i="181" s="1"/>
  <c r="H272" i="181"/>
  <c r="G251" i="174"/>
  <c r="E209" i="174"/>
  <c r="H209" i="174"/>
  <c r="E61" i="172"/>
  <c r="G61" i="172" s="1"/>
  <c r="I61" i="172" s="1"/>
  <c r="E62" i="179" s="1"/>
  <c r="K76" i="174"/>
  <c r="A197" i="181"/>
  <c r="A479" i="172"/>
  <c r="A384" i="172"/>
  <c r="I281" i="172"/>
  <c r="F26" i="181" s="1"/>
  <c r="L26" i="181" s="1"/>
  <c r="K301" i="179"/>
  <c r="H26" i="181" s="1"/>
  <c r="G270" i="179"/>
  <c r="H419" i="172"/>
  <c r="I419" i="172" s="1"/>
  <c r="H418" i="172"/>
  <c r="I418" i="172" s="1"/>
  <c r="I288" i="172"/>
  <c r="F33" i="181" s="1"/>
  <c r="F230" i="181"/>
  <c r="E486" i="179"/>
  <c r="E349" i="179"/>
  <c r="F77" i="181"/>
  <c r="L77" i="181" s="1"/>
  <c r="E348" i="179"/>
  <c r="F76" i="181"/>
  <c r="L76" i="181" s="1"/>
  <c r="E342" i="179"/>
  <c r="F70" i="181"/>
  <c r="L70" i="181" s="1"/>
  <c r="F75" i="181"/>
  <c r="L75" i="181" s="1"/>
  <c r="E343" i="179"/>
  <c r="F71" i="181"/>
  <c r="L71" i="181" s="1"/>
  <c r="F74" i="181"/>
  <c r="L74" i="181" s="1"/>
  <c r="E346" i="179"/>
  <c r="F73" i="181"/>
  <c r="L73" i="181" s="1"/>
  <c r="E345" i="179"/>
  <c r="E351" i="179"/>
  <c r="F79" i="181"/>
  <c r="L79" i="181" s="1"/>
  <c r="E344" i="179"/>
  <c r="F72" i="181"/>
  <c r="L72" i="181" s="1"/>
  <c r="J166" i="179"/>
  <c r="E24" i="180" s="1"/>
  <c r="E160" i="172"/>
  <c r="G160" i="172" s="1"/>
  <c r="I160" i="172" s="1"/>
  <c r="E165" i="179" s="1"/>
  <c r="E152" i="172"/>
  <c r="G152" i="172" s="1"/>
  <c r="I152" i="172" s="1"/>
  <c r="E157" i="179" s="1"/>
  <c r="E143" i="172"/>
  <c r="G143" i="172" s="1"/>
  <c r="I143" i="172" s="1"/>
  <c r="E148" i="179" s="1"/>
  <c r="E162" i="172"/>
  <c r="G162" i="172" s="1"/>
  <c r="E154" i="172"/>
  <c r="G154" i="172" s="1"/>
  <c r="I154" i="172" s="1"/>
  <c r="E159" i="179" s="1"/>
  <c r="E146" i="172"/>
  <c r="G146" i="172" s="1"/>
  <c r="I146" i="172" s="1"/>
  <c r="E151" i="179" s="1"/>
  <c r="I66" i="172"/>
  <c r="E67" i="179" s="1"/>
  <c r="E72" i="172"/>
  <c r="G72" i="172" s="1"/>
  <c r="G65" i="172"/>
  <c r="G70" i="172"/>
  <c r="G64" i="172"/>
  <c r="G69" i="172"/>
  <c r="E63" i="172"/>
  <c r="G63" i="172" s="1"/>
  <c r="I63" i="172" s="1"/>
  <c r="E64" i="179" s="1"/>
  <c r="E62" i="172"/>
  <c r="G62" i="172" s="1"/>
  <c r="E68" i="172"/>
  <c r="G68" i="172" s="1"/>
  <c r="E26" i="173"/>
  <c r="G26" i="173" s="1"/>
  <c r="A478" i="174"/>
  <c r="J547" i="179"/>
  <c r="A171" i="172"/>
  <c r="A438" i="172"/>
  <c r="E27" i="173"/>
  <c r="G27" i="173" s="1"/>
  <c r="E25" i="173"/>
  <c r="G25" i="173" s="1"/>
  <c r="E195" i="172"/>
  <c r="G195" i="172" s="1"/>
  <c r="I195" i="172" s="1"/>
  <c r="E201" i="179" s="1"/>
  <c r="E202" i="172"/>
  <c r="G202" i="172" s="1"/>
  <c r="I202" i="172" s="1"/>
  <c r="E212" i="179" s="1"/>
  <c r="E194" i="172"/>
  <c r="G194" i="172" s="1"/>
  <c r="I194" i="172" s="1"/>
  <c r="E200" i="179" s="1"/>
  <c r="E196" i="172"/>
  <c r="G196" i="172" s="1"/>
  <c r="I196" i="172" s="1"/>
  <c r="E203" i="179" s="1"/>
  <c r="E201" i="172"/>
  <c r="G201" i="172" s="1"/>
  <c r="I201" i="172" s="1"/>
  <c r="E210" i="179" s="1"/>
  <c r="E200" i="172"/>
  <c r="G200" i="172" s="1"/>
  <c r="I200" i="172" s="1"/>
  <c r="E209" i="179" s="1"/>
  <c r="E198" i="172"/>
  <c r="G198" i="172" s="1"/>
  <c r="I198" i="172" s="1"/>
  <c r="E206" i="179" s="1"/>
  <c r="E30" i="172"/>
  <c r="G30" i="172" s="1"/>
  <c r="E23" i="173"/>
  <c r="G23" i="173" s="1"/>
  <c r="H30" i="172" s="1"/>
  <c r="F70" i="182"/>
  <c r="J514" i="179"/>
  <c r="H131" i="181"/>
  <c r="G497" i="179"/>
  <c r="C35" i="110" s="1"/>
  <c r="I78" i="179"/>
  <c r="I24" i="172"/>
  <c r="E23" i="179" s="1"/>
  <c r="I28" i="172"/>
  <c r="E27" i="179" s="1"/>
  <c r="I27" i="172"/>
  <c r="E26" i="179" s="1"/>
  <c r="I26" i="172"/>
  <c r="E25" i="179" s="1"/>
  <c r="I29" i="172"/>
  <c r="E28" i="179" s="1"/>
  <c r="I25" i="172"/>
  <c r="E24" i="179" s="1"/>
  <c r="I498" i="172"/>
  <c r="F279" i="181" s="1"/>
  <c r="L279" i="181" s="1"/>
  <c r="K332" i="174"/>
  <c r="K248" i="174"/>
  <c r="K371" i="174"/>
  <c r="F464" i="174"/>
  <c r="K292" i="174"/>
  <c r="E506" i="174"/>
  <c r="G506" i="174"/>
  <c r="F506" i="174"/>
  <c r="H506" i="174"/>
  <c r="A137" i="181"/>
  <c r="J237" i="179"/>
  <c r="A147" i="181"/>
  <c r="K386" i="174"/>
  <c r="J136" i="179"/>
  <c r="J413" i="179"/>
  <c r="A385" i="172"/>
  <c r="A468" i="174"/>
  <c r="K438" i="174"/>
  <c r="A127" i="172"/>
  <c r="A384" i="174"/>
  <c r="H440" i="172"/>
  <c r="A223" i="174"/>
  <c r="A221" i="172"/>
  <c r="A375" i="172"/>
  <c r="A172" i="172"/>
  <c r="A427" i="174"/>
  <c r="H251" i="174"/>
  <c r="A429" i="172"/>
  <c r="A128" i="174"/>
  <c r="L506" i="174"/>
  <c r="A375" i="174"/>
  <c r="I502" i="172"/>
  <c r="K503" i="174"/>
  <c r="E464" i="174"/>
  <c r="A259" i="181"/>
  <c r="A207" i="181"/>
  <c r="E32" i="182"/>
  <c r="K506" i="172"/>
  <c r="E372" i="172"/>
  <c r="M149" i="181"/>
  <c r="E70" i="182"/>
  <c r="F32" i="182"/>
  <c r="H482" i="172"/>
  <c r="A430" i="172"/>
  <c r="E248" i="172"/>
  <c r="E251" i="172" s="1"/>
  <c r="C33" i="171" s="1"/>
  <c r="E33" i="171" s="1"/>
  <c r="G547" i="179"/>
  <c r="A136" i="181"/>
  <c r="M104" i="181"/>
  <c r="M57" i="181"/>
  <c r="I494" i="172"/>
  <c r="F273" i="181" s="1"/>
  <c r="L273" i="181" s="1"/>
  <c r="K167" i="174"/>
  <c r="I173" i="179"/>
  <c r="K62" i="179"/>
  <c r="K78" i="179" s="1"/>
  <c r="L464" i="174"/>
  <c r="G464" i="174"/>
  <c r="E333" i="172"/>
  <c r="K333" i="172" s="1"/>
  <c r="G493" i="172"/>
  <c r="A472" i="172"/>
  <c r="E251" i="174"/>
  <c r="M260" i="181"/>
  <c r="A248" i="181"/>
  <c r="H224" i="172"/>
  <c r="F228" i="181"/>
  <c r="L228" i="181" s="1"/>
  <c r="I496" i="172"/>
  <c r="F275" i="181" s="1"/>
  <c r="L275" i="181" s="1"/>
  <c r="F231" i="181"/>
  <c r="L231" i="181" s="1"/>
  <c r="F224" i="181"/>
  <c r="L224" i="181" s="1"/>
  <c r="F160" i="181"/>
  <c r="E422" i="179"/>
  <c r="F125" i="181"/>
  <c r="L125" i="181" s="1"/>
  <c r="F116" i="181"/>
  <c r="L116" i="181" s="1"/>
  <c r="I319" i="172"/>
  <c r="G333" i="172"/>
  <c r="I500" i="172"/>
  <c r="F283" i="181" s="1"/>
  <c r="L283" i="181" s="1"/>
  <c r="I495" i="172"/>
  <c r="F274" i="181" s="1"/>
  <c r="L274" i="181" s="1"/>
  <c r="F227" i="181"/>
  <c r="G425" i="172"/>
  <c r="F122" i="181"/>
  <c r="L122" i="181" s="1"/>
  <c r="F120" i="181"/>
  <c r="L120" i="181" s="1"/>
  <c r="E246" i="179"/>
  <c r="F119" i="181"/>
  <c r="L119" i="181" s="1"/>
  <c r="I499" i="172"/>
  <c r="F281" i="181" s="1"/>
  <c r="L281" i="181" s="1"/>
  <c r="F124" i="181"/>
  <c r="L124" i="181" s="1"/>
  <c r="F117" i="181"/>
  <c r="L117" i="181" s="1"/>
  <c r="E22" i="179"/>
  <c r="F221" i="181"/>
  <c r="L221" i="181" s="1"/>
  <c r="F123" i="181"/>
  <c r="L123" i="181" s="1"/>
  <c r="I358" i="172"/>
  <c r="G372" i="172"/>
  <c r="F222" i="181"/>
  <c r="L222" i="181" s="1"/>
  <c r="E425" i="172"/>
  <c r="H464" i="174"/>
  <c r="K206" i="174"/>
  <c r="I450" i="179"/>
  <c r="H160" i="181"/>
  <c r="I396" i="179"/>
  <c r="K381" i="179"/>
  <c r="K396" i="179" s="1"/>
  <c r="I36" i="179"/>
  <c r="H291" i="181"/>
  <c r="H296" i="181" s="1"/>
  <c r="A213" i="172"/>
  <c r="G193" i="172"/>
  <c r="G101" i="172"/>
  <c r="K356" i="179"/>
  <c r="F233" i="181"/>
  <c r="L233" i="181" s="1"/>
  <c r="E464" i="172"/>
  <c r="F121" i="181"/>
  <c r="L121" i="181" s="1"/>
  <c r="F118" i="181"/>
  <c r="L118" i="181" s="1"/>
  <c r="F68" i="181"/>
  <c r="E340" i="179"/>
  <c r="I542" i="179"/>
  <c r="I217" i="179"/>
  <c r="F226" i="181"/>
  <c r="G280" i="172"/>
  <c r="G293" i="172" s="1"/>
  <c r="A119" i="172"/>
  <c r="A180" i="172"/>
  <c r="A222" i="172"/>
  <c r="H287" i="172"/>
  <c r="K461" i="174"/>
  <c r="I497" i="172"/>
  <c r="F277" i="181" s="1"/>
  <c r="L277" i="181" s="1"/>
  <c r="G451" i="172"/>
  <c r="G248" i="172"/>
  <c r="G251" i="172" s="1"/>
  <c r="H182" i="172"/>
  <c r="K115" i="174"/>
  <c r="E103" i="172"/>
  <c r="G103" i="172" s="1"/>
  <c r="I103" i="172" s="1"/>
  <c r="E106" i="179" s="1"/>
  <c r="J130" i="174"/>
  <c r="J225" i="174"/>
  <c r="J91" i="174"/>
  <c r="A119" i="174"/>
  <c r="A214" i="174"/>
  <c r="A172" i="174"/>
  <c r="G63" i="180"/>
  <c r="I314" i="179"/>
  <c r="K199" i="179"/>
  <c r="K217" i="179" s="1"/>
  <c r="A426" i="174"/>
  <c r="F209" i="174"/>
  <c r="G209" i="174"/>
  <c r="A118" i="174"/>
  <c r="A213" i="174"/>
  <c r="K542" i="179"/>
  <c r="G26" i="180"/>
  <c r="G220" i="179"/>
  <c r="K36" i="174"/>
  <c r="K476" i="179"/>
  <c r="I494" i="179"/>
  <c r="I356" i="179"/>
  <c r="H25" i="181"/>
  <c r="K265" i="179"/>
  <c r="I265" i="179"/>
  <c r="K105" i="179"/>
  <c r="K119" i="179" s="1"/>
  <c r="I119" i="179"/>
  <c r="M150" i="181"/>
  <c r="M261" i="181"/>
  <c r="A258" i="181"/>
  <c r="A4" i="68"/>
  <c r="A4" i="81"/>
  <c r="H162" i="172" l="1"/>
  <c r="H161" i="172"/>
  <c r="H167" i="172" s="1"/>
  <c r="H243" i="172"/>
  <c r="H248" i="172" s="1"/>
  <c r="H251" i="172" s="1"/>
  <c r="F33" i="171" s="1"/>
  <c r="C45" i="110"/>
  <c r="E301" i="179"/>
  <c r="E308" i="179"/>
  <c r="H425" i="172"/>
  <c r="F77" i="171" s="1"/>
  <c r="H36" i="172"/>
  <c r="F23" i="171" s="1"/>
  <c r="D45" i="110"/>
  <c r="I547" i="179"/>
  <c r="K547" i="179" s="1"/>
  <c r="I270" i="179"/>
  <c r="K270" i="179" s="1"/>
  <c r="G24" i="180"/>
  <c r="G273" i="179"/>
  <c r="E443" i="179"/>
  <c r="F181" i="181"/>
  <c r="L181" i="181" s="1"/>
  <c r="E444" i="179"/>
  <c r="F182" i="181"/>
  <c r="L182" i="181" s="1"/>
  <c r="J450" i="179"/>
  <c r="K23" i="179"/>
  <c r="E534" i="179"/>
  <c r="E526" i="179"/>
  <c r="E530" i="179"/>
  <c r="E524" i="179"/>
  <c r="E532" i="179"/>
  <c r="E525" i="179"/>
  <c r="L291" i="181"/>
  <c r="L297" i="181" s="1"/>
  <c r="E528" i="179"/>
  <c r="I333" i="172"/>
  <c r="E341" i="179"/>
  <c r="E356" i="179" s="1"/>
  <c r="F69" i="181"/>
  <c r="L69" i="181" s="1"/>
  <c r="K167" i="179"/>
  <c r="E25" i="180"/>
  <c r="G25" i="180" s="1"/>
  <c r="K166" i="179"/>
  <c r="I162" i="172"/>
  <c r="E167" i="179" s="1"/>
  <c r="I72" i="172"/>
  <c r="E73" i="179" s="1"/>
  <c r="I64" i="172"/>
  <c r="E65" i="179" s="1"/>
  <c r="I68" i="172"/>
  <c r="E69" i="179" s="1"/>
  <c r="I62" i="172"/>
  <c r="E63" i="179" s="1"/>
  <c r="I65" i="172"/>
  <c r="E66" i="179" s="1"/>
  <c r="I70" i="172"/>
  <c r="E71" i="179" s="1"/>
  <c r="I69" i="172"/>
  <c r="E70" i="179" s="1"/>
  <c r="E76" i="172"/>
  <c r="K76" i="172" s="1"/>
  <c r="G67" i="172"/>
  <c r="I287" i="172"/>
  <c r="H293" i="172"/>
  <c r="K248" i="172"/>
  <c r="G167" i="172"/>
  <c r="I243" i="172"/>
  <c r="E258" i="179" s="1"/>
  <c r="G33" i="171"/>
  <c r="G36" i="172"/>
  <c r="H509" i="174"/>
  <c r="E36" i="172"/>
  <c r="C23" i="171" s="1"/>
  <c r="G506" i="172"/>
  <c r="G509" i="172" s="1"/>
  <c r="I493" i="172"/>
  <c r="E167" i="172"/>
  <c r="C29" i="171" s="1"/>
  <c r="E29" i="171" s="1"/>
  <c r="E206" i="172"/>
  <c r="C31" i="171" s="1"/>
  <c r="E31" i="171" s="1"/>
  <c r="G31" i="171" s="1"/>
  <c r="F509" i="174"/>
  <c r="E32" i="173"/>
  <c r="G32" i="173"/>
  <c r="G509" i="174"/>
  <c r="C73" i="171"/>
  <c r="E73" i="171" s="1"/>
  <c r="G73" i="171" s="1"/>
  <c r="H254" i="174"/>
  <c r="E509" i="174"/>
  <c r="K506" i="174"/>
  <c r="G254" i="174"/>
  <c r="I425" i="172"/>
  <c r="L509" i="174"/>
  <c r="F254" i="174"/>
  <c r="E509" i="172"/>
  <c r="K509" i="172" s="1"/>
  <c r="E254" i="174"/>
  <c r="K251" i="174"/>
  <c r="K251" i="172" s="1"/>
  <c r="K372" i="172"/>
  <c r="C75" i="171"/>
  <c r="E75" i="171" s="1"/>
  <c r="G75" i="171" s="1"/>
  <c r="K464" i="174"/>
  <c r="G550" i="179"/>
  <c r="G22" i="180"/>
  <c r="K293" i="172"/>
  <c r="E467" i="172"/>
  <c r="C71" i="171"/>
  <c r="E115" i="172"/>
  <c r="I193" i="172"/>
  <c r="G206" i="172"/>
  <c r="K425" i="172"/>
  <c r="C77" i="171"/>
  <c r="E77" i="171" s="1"/>
  <c r="H220" i="181"/>
  <c r="H238" i="181" s="1"/>
  <c r="K494" i="179"/>
  <c r="I497" i="179"/>
  <c r="I451" i="172"/>
  <c r="G464" i="172"/>
  <c r="I280" i="172"/>
  <c r="I101" i="172"/>
  <c r="E104" i="179" s="1"/>
  <c r="G115" i="172"/>
  <c r="I220" i="179"/>
  <c r="I372" i="172"/>
  <c r="F115" i="181"/>
  <c r="F131" i="181" s="1"/>
  <c r="E380" i="179"/>
  <c r="E396" i="179" s="1"/>
  <c r="L238" i="181"/>
  <c r="L131" i="181"/>
  <c r="G59" i="180"/>
  <c r="K209" i="174"/>
  <c r="J173" i="179"/>
  <c r="C79" i="171"/>
  <c r="E79" i="171" s="1"/>
  <c r="G79" i="171" s="1"/>
  <c r="K464" i="172"/>
  <c r="L68" i="181"/>
  <c r="I273" i="179" l="1"/>
  <c r="N356" i="179"/>
  <c r="G77" i="171"/>
  <c r="I293" i="172"/>
  <c r="I30" i="172"/>
  <c r="E29" i="179" s="1"/>
  <c r="E36" i="179" s="1"/>
  <c r="C25" i="171"/>
  <c r="E25" i="171" s="1"/>
  <c r="G25" i="171" s="1"/>
  <c r="I550" i="179"/>
  <c r="G68" i="180"/>
  <c r="G31" i="180"/>
  <c r="K173" i="179"/>
  <c r="E31" i="180"/>
  <c r="F272" i="181"/>
  <c r="F291" i="181" s="1"/>
  <c r="F295" i="181" s="1"/>
  <c r="E523" i="179"/>
  <c r="E542" i="179" s="1"/>
  <c r="E307" i="179"/>
  <c r="F32" i="181"/>
  <c r="F29" i="171"/>
  <c r="F42" i="171" s="1"/>
  <c r="I161" i="172"/>
  <c r="E166" i="179" s="1"/>
  <c r="E173" i="179" s="1"/>
  <c r="I67" i="172"/>
  <c r="E68" i="179" s="1"/>
  <c r="G76" i="172"/>
  <c r="G209" i="172" s="1"/>
  <c r="G254" i="172" s="1"/>
  <c r="K206" i="172"/>
  <c r="K36" i="172"/>
  <c r="E265" i="179"/>
  <c r="E269" i="179" s="1"/>
  <c r="I248" i="172"/>
  <c r="I251" i="172" s="1"/>
  <c r="E209" i="172"/>
  <c r="E254" i="172" s="1"/>
  <c r="K167" i="172"/>
  <c r="K509" i="174"/>
  <c r="C81" i="171"/>
  <c r="E81" i="171" s="1"/>
  <c r="F189" i="181"/>
  <c r="L189" i="181"/>
  <c r="N396" i="179"/>
  <c r="K254" i="174"/>
  <c r="E450" i="179"/>
  <c r="N450" i="179" s="1"/>
  <c r="L84" i="181"/>
  <c r="H189" i="181"/>
  <c r="K450" i="179"/>
  <c r="F25" i="181"/>
  <c r="E300" i="179"/>
  <c r="E23" i="171"/>
  <c r="E71" i="171"/>
  <c r="K467" i="172"/>
  <c r="E512" i="172"/>
  <c r="K512" i="172" s="1"/>
  <c r="F84" i="181"/>
  <c r="E119" i="179"/>
  <c r="I115" i="172"/>
  <c r="F220" i="181"/>
  <c r="F238" i="181" s="1"/>
  <c r="I464" i="172"/>
  <c r="E476" i="179"/>
  <c r="E494" i="179" s="1"/>
  <c r="E199" i="179"/>
  <c r="E217" i="179" s="1"/>
  <c r="I206" i="172"/>
  <c r="G467" i="172"/>
  <c r="G512" i="172" s="1"/>
  <c r="K115" i="172"/>
  <c r="C27" i="171"/>
  <c r="E27" i="171" s="1"/>
  <c r="G27" i="171" s="1"/>
  <c r="E546" i="179" l="1"/>
  <c r="I36" i="172"/>
  <c r="N36" i="179" s="1"/>
  <c r="H209" i="172"/>
  <c r="H254" i="172" s="1"/>
  <c r="G29" i="171"/>
  <c r="I76" i="172"/>
  <c r="C90" i="171"/>
  <c r="E78" i="179"/>
  <c r="I167" i="172"/>
  <c r="K209" i="172"/>
  <c r="N270" i="179"/>
  <c r="N265" i="179"/>
  <c r="K254" i="172"/>
  <c r="C42" i="171"/>
  <c r="J314" i="179"/>
  <c r="J497" i="179" s="1"/>
  <c r="J550" i="179" s="1"/>
  <c r="E90" i="171"/>
  <c r="J36" i="179"/>
  <c r="J220" i="179" s="1"/>
  <c r="J273" i="179" s="1"/>
  <c r="K31" i="179"/>
  <c r="K36" i="179" s="1"/>
  <c r="K220" i="179" s="1"/>
  <c r="K273" i="179" s="1"/>
  <c r="G20" i="170" s="1"/>
  <c r="N494" i="179"/>
  <c r="N119" i="179"/>
  <c r="N217" i="179"/>
  <c r="G23" i="171"/>
  <c r="E42" i="171"/>
  <c r="L25" i="181"/>
  <c r="I209" i="172" l="1"/>
  <c r="I254" i="172" s="1"/>
  <c r="N78" i="179"/>
  <c r="G42" i="171"/>
  <c r="G18" i="170" s="1"/>
  <c r="N173" i="179"/>
  <c r="E220" i="179"/>
  <c r="E273" i="179" s="1"/>
  <c r="H38" i="181"/>
  <c r="H241" i="181" s="1"/>
  <c r="H300" i="181" s="1"/>
  <c r="K314" i="179"/>
  <c r="K497" i="179" s="1"/>
  <c r="K550" i="179" s="1"/>
  <c r="N273" i="179" l="1"/>
  <c r="G22" i="170"/>
  <c r="N220" i="179"/>
  <c r="H16" i="159"/>
  <c r="H18" i="159"/>
  <c r="H19" i="159"/>
  <c r="H20" i="159"/>
  <c r="H21" i="159"/>
  <c r="H22" i="159"/>
  <c r="H23" i="159"/>
  <c r="H24" i="159"/>
  <c r="H25" i="159"/>
  <c r="H26" i="159"/>
  <c r="H27" i="159"/>
  <c r="H28" i="159"/>
  <c r="H29" i="159"/>
  <c r="H30" i="159"/>
  <c r="H31" i="159"/>
  <c r="H10" i="59" l="1"/>
  <c r="H9" i="60" l="1"/>
  <c r="T10" i="62" l="1"/>
  <c r="T10" i="159"/>
  <c r="L183" i="110"/>
  <c r="L140" i="110"/>
  <c r="L64" i="110"/>
  <c r="H22" i="109" l="1"/>
  <c r="H21" i="109"/>
  <c r="A1" i="164" l="1"/>
  <c r="H280" i="21" l="1"/>
  <c r="H279" i="21"/>
  <c r="H277" i="21"/>
  <c r="H276" i="21"/>
  <c r="H275" i="21"/>
  <c r="H274" i="21"/>
  <c r="H273" i="21"/>
  <c r="H272" i="21"/>
  <c r="H271" i="21"/>
  <c r="H241" i="21"/>
  <c r="H240" i="21"/>
  <c r="H239" i="21"/>
  <c r="H232" i="21"/>
  <c r="H231" i="21"/>
  <c r="H230" i="21"/>
  <c r="H236" i="22"/>
  <c r="H235" i="22"/>
  <c r="H234" i="22"/>
  <c r="H227" i="22"/>
  <c r="H226" i="22"/>
  <c r="H225" i="22"/>
  <c r="H274" i="22"/>
  <c r="H273" i="22"/>
  <c r="H272" i="22"/>
  <c r="H271" i="22"/>
  <c r="H270" i="22"/>
  <c r="H269" i="22"/>
  <c r="H268" i="22"/>
  <c r="H267" i="22"/>
  <c r="H266" i="22"/>
  <c r="P96" i="109" l="1"/>
  <c r="K38" i="111" l="1"/>
  <c r="U82" i="115" l="1"/>
  <c r="U83" i="115" s="1"/>
  <c r="U84" i="115" s="1"/>
  <c r="U85" i="115" s="1"/>
  <c r="U86" i="115" s="1"/>
  <c r="U87" i="115" s="1"/>
  <c r="U88" i="115" s="1"/>
  <c r="U89" i="115" s="1"/>
  <c r="U90" i="115" s="1"/>
  <c r="U91" i="115" s="1"/>
  <c r="U92" i="115" s="1"/>
  <c r="U93" i="115" s="1"/>
  <c r="U94" i="115" s="1"/>
  <c r="U95" i="115" s="1"/>
  <c r="U96" i="115" s="1"/>
  <c r="U97" i="115" s="1"/>
  <c r="U98" i="115" s="1"/>
  <c r="H9" i="108" l="1"/>
  <c r="R52" i="108"/>
  <c r="S48" i="35"/>
  <c r="I9" i="35"/>
  <c r="S45" i="34"/>
  <c r="I9" i="34"/>
  <c r="S45" i="84"/>
  <c r="I9" i="84"/>
  <c r="S45" i="33"/>
  <c r="I9" i="33"/>
  <c r="S45" i="32"/>
  <c r="I9" i="32"/>
  <c r="S45" i="31"/>
  <c r="I9" i="31"/>
  <c r="S45" i="30"/>
  <c r="I9" i="30"/>
  <c r="S45" i="29"/>
  <c r="I9" i="29"/>
  <c r="S45" i="151"/>
  <c r="I9" i="151"/>
  <c r="S45" i="107"/>
  <c r="I9" i="107"/>
  <c r="I9" i="28"/>
  <c r="S45" i="27"/>
  <c r="I9" i="27"/>
  <c r="S43" i="26"/>
  <c r="I9" i="26"/>
  <c r="S43" i="25"/>
  <c r="I9" i="25"/>
  <c r="AN508" i="24" l="1"/>
  <c r="H140" i="22" l="1"/>
  <c r="H139" i="22"/>
  <c r="H74" i="22" l="1"/>
  <c r="P42" i="140" l="1"/>
  <c r="K43" i="140"/>
  <c r="K42" i="140"/>
  <c r="K41" i="140"/>
  <c r="K40" i="140"/>
  <c r="A1" i="165" l="1"/>
  <c r="A2" i="165"/>
  <c r="I44" i="154" l="1"/>
  <c r="I43" i="154"/>
  <c r="I42" i="154"/>
  <c r="I41" i="154"/>
  <c r="G28" i="58" l="1"/>
  <c r="G21" i="58"/>
  <c r="H21" i="58" s="1"/>
  <c r="L21" i="58" s="1"/>
  <c r="A7" i="146" l="1"/>
  <c r="A6" i="146"/>
  <c r="A7" i="154" l="1"/>
  <c r="A6" i="154"/>
  <c r="C130" i="6" l="1"/>
  <c r="O25" i="52" l="1"/>
  <c r="Q25" i="52" s="1"/>
  <c r="O20" i="52"/>
  <c r="Q20" i="52" s="1"/>
  <c r="O19" i="52"/>
  <c r="Q19" i="52" s="1"/>
  <c r="O33" i="50"/>
  <c r="Q33" i="50" s="1"/>
  <c r="O34" i="50"/>
  <c r="Q34" i="50" s="1"/>
  <c r="O31" i="50"/>
  <c r="Q31" i="50" s="1"/>
  <c r="O29" i="50"/>
  <c r="Q29" i="50" s="1"/>
  <c r="P62" i="54"/>
  <c r="U119" i="55"/>
  <c r="T119" i="55"/>
  <c r="Q119" i="55"/>
  <c r="O78" i="55"/>
  <c r="S119" i="55"/>
  <c r="AA119" i="55"/>
  <c r="Y119" i="55"/>
  <c r="Z119" i="55"/>
  <c r="S147" i="55" l="1"/>
  <c r="R147" i="55"/>
  <c r="Q147" i="55"/>
  <c r="S143" i="55"/>
  <c r="R143" i="55"/>
  <c r="Q143" i="55"/>
  <c r="S139" i="55"/>
  <c r="R139" i="55"/>
  <c r="Q139" i="55"/>
  <c r="X119" i="55"/>
  <c r="W119" i="55"/>
  <c r="V119" i="55"/>
  <c r="R119" i="55"/>
  <c r="V61" i="159"/>
  <c r="V62" i="159"/>
  <c r="V52" i="159"/>
  <c r="V51" i="159"/>
  <c r="V43" i="159"/>
  <c r="V39" i="159"/>
  <c r="V31" i="159"/>
  <c r="V23" i="159"/>
  <c r="P119" i="55" l="1"/>
  <c r="Q13" i="15" l="1"/>
  <c r="F102" i="15" s="1"/>
  <c r="L63" i="18" l="1"/>
  <c r="W96" i="115" l="1"/>
  <c r="C105" i="6" l="1"/>
  <c r="B105" i="6"/>
  <c r="D105" i="6"/>
  <c r="C137" i="6" l="1"/>
  <c r="B137" i="6"/>
  <c r="D137" i="6"/>
  <c r="D139" i="5"/>
  <c r="E139" i="5" l="1"/>
  <c r="E137" i="6" l="1"/>
  <c r="E105" i="6" l="1"/>
  <c r="M23" i="57" l="1"/>
  <c r="F136" i="15" l="1"/>
  <c r="F171" i="15"/>
  <c r="S171" i="15" s="1"/>
  <c r="T171" i="15" s="1"/>
  <c r="J71" i="19" l="1"/>
  <c r="H66" i="19"/>
  <c r="F218" i="22" l="1"/>
  <c r="H223" i="21"/>
  <c r="H218" i="22"/>
  <c r="C52" i="6" l="1"/>
  <c r="E54" i="5"/>
  <c r="D54" i="5"/>
  <c r="E52" i="6"/>
  <c r="D52" i="6"/>
  <c r="M21" i="53" l="1"/>
  <c r="F144" i="15" l="1"/>
  <c r="S144" i="15" s="1"/>
  <c r="G148" i="15"/>
  <c r="H148" i="15"/>
  <c r="I148" i="15"/>
  <c r="J148" i="15"/>
  <c r="K148" i="15"/>
  <c r="L148" i="15"/>
  <c r="M148" i="15"/>
  <c r="N148" i="15"/>
  <c r="O148" i="15"/>
  <c r="P148" i="15"/>
  <c r="Q148" i="15"/>
  <c r="R148" i="15"/>
  <c r="T144" i="15" l="1"/>
  <c r="F59" i="15"/>
  <c r="G59" i="15"/>
  <c r="H59" i="15"/>
  <c r="I59" i="15"/>
  <c r="J59" i="15"/>
  <c r="K59" i="15"/>
  <c r="L59" i="15"/>
  <c r="G27" i="14" s="1"/>
  <c r="N59" i="15"/>
  <c r="O59" i="15"/>
  <c r="P59" i="15"/>
  <c r="Q59" i="15"/>
  <c r="A4" i="80" l="1"/>
  <c r="H349" i="22" l="1"/>
  <c r="F349" i="22"/>
  <c r="H355" i="21"/>
  <c r="AC92" i="115" l="1"/>
  <c r="H71" i="19" l="1"/>
  <c r="N71" i="19" l="1"/>
  <c r="H330" i="21" l="1"/>
  <c r="J23" i="14" l="1"/>
  <c r="J68" i="14"/>
  <c r="A20" i="14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G23" i="14"/>
  <c r="F139" i="15"/>
  <c r="F173" i="15"/>
  <c r="F172" i="15"/>
  <c r="F51" i="15"/>
  <c r="F24" i="15"/>
  <c r="F112" i="15"/>
  <c r="O51" i="15" l="1"/>
  <c r="G51" i="15"/>
  <c r="H51" i="15"/>
  <c r="Q51" i="15"/>
  <c r="L23" i="14"/>
  <c r="N23" i="14" s="1"/>
  <c r="P23" i="14" s="1"/>
  <c r="S139" i="15" l="1"/>
  <c r="I51" i="15"/>
  <c r="S112" i="15"/>
  <c r="H24" i="15"/>
  <c r="G24" i="15"/>
  <c r="T112" i="15" l="1"/>
  <c r="T139" i="15"/>
  <c r="J51" i="15"/>
  <c r="H144" i="22"/>
  <c r="J144" i="22" s="1"/>
  <c r="F84" i="22"/>
  <c r="G68" i="14" l="1"/>
  <c r="L68" i="14" s="1"/>
  <c r="K51" i="15"/>
  <c r="I24" i="15"/>
  <c r="N68" i="14" l="1"/>
  <c r="P68" i="14" s="1"/>
  <c r="L51" i="15"/>
  <c r="J24" i="15"/>
  <c r="N51" i="15" l="1"/>
  <c r="P51" i="15"/>
  <c r="K24" i="15"/>
  <c r="L24" i="15" l="1"/>
  <c r="N24" i="15" l="1"/>
  <c r="O24" i="15" l="1"/>
  <c r="Q24" i="15" l="1"/>
  <c r="P24" i="15"/>
  <c r="P61" i="42"/>
  <c r="P78" i="42" s="1"/>
  <c r="H26" i="140"/>
  <c r="H29" i="140" s="1"/>
  <c r="G31" i="42" l="1"/>
  <c r="W292" i="24" s="1"/>
  <c r="G30" i="42"/>
  <c r="W284" i="24" s="1"/>
  <c r="O16" i="163" s="1"/>
  <c r="Y346" i="24"/>
  <c r="O23" i="163" l="1"/>
  <c r="J29" i="58"/>
  <c r="N200" i="110" l="1"/>
  <c r="N202" i="110" s="1"/>
  <c r="N203" i="110" s="1"/>
  <c r="M200" i="110"/>
  <c r="M202" i="110" s="1"/>
  <c r="M203" i="110" s="1"/>
  <c r="L200" i="110"/>
  <c r="L202" i="110" s="1"/>
  <c r="L203" i="110" s="1"/>
  <c r="K200" i="110"/>
  <c r="K202" i="110" s="1"/>
  <c r="K203" i="110" s="1"/>
  <c r="J200" i="110"/>
  <c r="J202" i="110" s="1"/>
  <c r="J203" i="110" s="1"/>
  <c r="I200" i="110"/>
  <c r="I202" i="110" s="1"/>
  <c r="I203" i="110" s="1"/>
  <c r="H200" i="110"/>
  <c r="H202" i="110" s="1"/>
  <c r="H203" i="110" s="1"/>
  <c r="G200" i="110"/>
  <c r="G202" i="110" s="1"/>
  <c r="G203" i="110" s="1"/>
  <c r="N194" i="110"/>
  <c r="N195" i="110" s="1"/>
  <c r="M194" i="110"/>
  <c r="M195" i="110" s="1"/>
  <c r="L194" i="110"/>
  <c r="L195" i="110" s="1"/>
  <c r="K194" i="110"/>
  <c r="K195" i="110" s="1"/>
  <c r="J194" i="110"/>
  <c r="J195" i="110" s="1"/>
  <c r="I194" i="110"/>
  <c r="I195" i="110" s="1"/>
  <c r="H194" i="110"/>
  <c r="H195" i="110" s="1"/>
  <c r="G194" i="110"/>
  <c r="G195" i="110" s="1"/>
  <c r="E192" i="110"/>
  <c r="D186" i="110"/>
  <c r="E185" i="110"/>
  <c r="D185" i="110"/>
  <c r="A182" i="110"/>
  <c r="L180" i="110"/>
  <c r="A178" i="110"/>
  <c r="M169" i="110"/>
  <c r="L169" i="110"/>
  <c r="K169" i="110"/>
  <c r="J169" i="110"/>
  <c r="M168" i="110"/>
  <c r="L168" i="110"/>
  <c r="K168" i="110"/>
  <c r="J168" i="110"/>
  <c r="N153" i="110"/>
  <c r="N154" i="110" s="1"/>
  <c r="M153" i="110"/>
  <c r="M154" i="110" s="1"/>
  <c r="L153" i="110"/>
  <c r="L154" i="110" s="1"/>
  <c r="K153" i="110"/>
  <c r="K154" i="110" s="1"/>
  <c r="J153" i="110"/>
  <c r="J154" i="110" s="1"/>
  <c r="I153" i="110"/>
  <c r="I154" i="110" s="1"/>
  <c r="H153" i="110"/>
  <c r="H154" i="110" s="1"/>
  <c r="G153" i="110"/>
  <c r="G154" i="110" s="1"/>
  <c r="F154" i="110"/>
  <c r="E154" i="110"/>
  <c r="E155" i="110" s="1"/>
  <c r="D143" i="110"/>
  <c r="E142" i="110"/>
  <c r="D142" i="110"/>
  <c r="A139" i="110"/>
  <c r="L137" i="110"/>
  <c r="A135" i="110"/>
  <c r="D114" i="110"/>
  <c r="E113" i="110"/>
  <c r="D113" i="110"/>
  <c r="A110" i="110"/>
  <c r="L108" i="110"/>
  <c r="A106" i="110"/>
  <c r="N93" i="110"/>
  <c r="N152" i="110" s="1"/>
  <c r="M152" i="110"/>
  <c r="L152" i="110"/>
  <c r="K93" i="110"/>
  <c r="K152" i="110" s="1"/>
  <c r="J93" i="110"/>
  <c r="N86" i="110"/>
  <c r="N95" i="110" s="1"/>
  <c r="M86" i="110"/>
  <c r="M95" i="110" s="1"/>
  <c r="L86" i="110"/>
  <c r="L95" i="110" s="1"/>
  <c r="K86" i="110"/>
  <c r="K96" i="110" s="1"/>
  <c r="J86" i="110"/>
  <c r="J95" i="110" s="1"/>
  <c r="I82" i="110"/>
  <c r="H82" i="110"/>
  <c r="G82" i="110"/>
  <c r="F82" i="110"/>
  <c r="E82" i="110"/>
  <c r="D82" i="110"/>
  <c r="C82" i="110"/>
  <c r="I81" i="110"/>
  <c r="H81" i="110"/>
  <c r="G81" i="110"/>
  <c r="F81" i="110"/>
  <c r="E81" i="110"/>
  <c r="D81" i="110"/>
  <c r="C81" i="110"/>
  <c r="N80" i="110"/>
  <c r="M80" i="110"/>
  <c r="L80" i="110"/>
  <c r="K80" i="110"/>
  <c r="J80" i="110"/>
  <c r="I79" i="110"/>
  <c r="H79" i="110"/>
  <c r="G79" i="110"/>
  <c r="F79" i="110"/>
  <c r="E79" i="110"/>
  <c r="D79" i="110"/>
  <c r="C79" i="110"/>
  <c r="I78" i="110"/>
  <c r="H78" i="110"/>
  <c r="G78" i="110"/>
  <c r="F78" i="110"/>
  <c r="E78" i="110"/>
  <c r="D78" i="110"/>
  <c r="C78" i="110"/>
  <c r="N77" i="110"/>
  <c r="M77" i="110"/>
  <c r="L77" i="110"/>
  <c r="K77" i="110"/>
  <c r="J77" i="110"/>
  <c r="I76" i="110"/>
  <c r="H76" i="110"/>
  <c r="G76" i="110"/>
  <c r="F76" i="110"/>
  <c r="E76" i="110"/>
  <c r="D76" i="110"/>
  <c r="C76" i="110"/>
  <c r="I74" i="110"/>
  <c r="H74" i="110"/>
  <c r="G74" i="110"/>
  <c r="F74" i="110"/>
  <c r="D74" i="110"/>
  <c r="C74" i="110"/>
  <c r="D72" i="110"/>
  <c r="C72" i="110"/>
  <c r="A70" i="110"/>
  <c r="A71" i="110" s="1"/>
  <c r="A72" i="110" s="1"/>
  <c r="A73" i="110" s="1"/>
  <c r="A74" i="110" s="1"/>
  <c r="A75" i="110" s="1"/>
  <c r="A76" i="110" s="1"/>
  <c r="A77" i="110" s="1"/>
  <c r="A78" i="110" s="1"/>
  <c r="A79" i="110" s="1"/>
  <c r="A80" i="110" s="1"/>
  <c r="A81" i="110" s="1"/>
  <c r="A82" i="110" s="1"/>
  <c r="A83" i="110" s="1"/>
  <c r="A84" i="110" s="1"/>
  <c r="A85" i="110" s="1"/>
  <c r="A86" i="110" s="1"/>
  <c r="A87" i="110" s="1"/>
  <c r="A88" i="110" s="1"/>
  <c r="A89" i="110" s="1"/>
  <c r="A90" i="110" s="1"/>
  <c r="A91" i="110" s="1"/>
  <c r="A92" i="110" s="1"/>
  <c r="A93" i="110" s="1"/>
  <c r="A94" i="110" s="1"/>
  <c r="A95" i="110" s="1"/>
  <c r="A96" i="110" s="1"/>
  <c r="A97" i="110" s="1"/>
  <c r="A98" i="110" s="1"/>
  <c r="A99" i="110" s="1"/>
  <c r="D67" i="110"/>
  <c r="E66" i="110"/>
  <c r="D66" i="110"/>
  <c r="A63" i="110"/>
  <c r="L61" i="110"/>
  <c r="A59" i="110"/>
  <c r="N41" i="110"/>
  <c r="M41" i="110"/>
  <c r="L41" i="110"/>
  <c r="K41" i="110"/>
  <c r="J41" i="110"/>
  <c r="H41" i="110"/>
  <c r="G41" i="110"/>
  <c r="F41" i="110"/>
  <c r="E41" i="110"/>
  <c r="I41" i="110"/>
  <c r="F34" i="110"/>
  <c r="F36" i="110" s="1"/>
  <c r="E34" i="110"/>
  <c r="E36" i="110" s="1"/>
  <c r="F24" i="110"/>
  <c r="E24" i="110"/>
  <c r="A14" i="110"/>
  <c r="A15" i="110" s="1"/>
  <c r="A16" i="110" s="1"/>
  <c r="A17" i="110" s="1"/>
  <c r="A18" i="110" s="1"/>
  <c r="A19" i="110" s="1"/>
  <c r="A20" i="110" s="1"/>
  <c r="A21" i="110" s="1"/>
  <c r="A22" i="110" s="1"/>
  <c r="A23" i="110" s="1"/>
  <c r="A24" i="110" s="1"/>
  <c r="A25" i="110" s="1"/>
  <c r="A26" i="110" s="1"/>
  <c r="A27" i="110" s="1"/>
  <c r="A28" i="110" s="1"/>
  <c r="A29" i="110" s="1"/>
  <c r="A30" i="110" s="1"/>
  <c r="A31" i="110" s="1"/>
  <c r="A32" i="110" s="1"/>
  <c r="A33" i="110" s="1"/>
  <c r="A34" i="110" s="1"/>
  <c r="A35" i="110" s="1"/>
  <c r="A36" i="110" s="1"/>
  <c r="A37" i="110" s="1"/>
  <c r="A38" i="110" s="1"/>
  <c r="A39" i="110" s="1"/>
  <c r="A40" i="110" s="1"/>
  <c r="A41" i="110" s="1"/>
  <c r="A42" i="110" s="1"/>
  <c r="A43" i="110" s="1"/>
  <c r="A44" i="110" s="1"/>
  <c r="A45" i="110" s="1"/>
  <c r="A46" i="110" s="1"/>
  <c r="A47" i="110" s="1"/>
  <c r="A48" i="110" s="1"/>
  <c r="A49" i="110" s="1"/>
  <c r="A50" i="110" s="1"/>
  <c r="A51" i="110" s="1"/>
  <c r="A52" i="110" s="1"/>
  <c r="E11" i="110"/>
  <c r="F11" i="110" s="1"/>
  <c r="L8" i="110"/>
  <c r="A6" i="110"/>
  <c r="A5" i="110"/>
  <c r="A2" i="110"/>
  <c r="A57" i="110"/>
  <c r="M36" i="72"/>
  <c r="K36" i="72"/>
  <c r="J36" i="72"/>
  <c r="I36" i="72"/>
  <c r="H36" i="72"/>
  <c r="G36" i="72"/>
  <c r="A8" i="72"/>
  <c r="A6" i="72"/>
  <c r="A2" i="72"/>
  <c r="A1" i="72"/>
  <c r="A9" i="81"/>
  <c r="A7" i="81"/>
  <c r="A2" i="81"/>
  <c r="A1" i="81"/>
  <c r="A9" i="71"/>
  <c r="A7" i="71"/>
  <c r="A2" i="71"/>
  <c r="A1" i="71"/>
  <c r="A9" i="80"/>
  <c r="A7" i="80"/>
  <c r="A2" i="80"/>
  <c r="A1" i="80"/>
  <c r="A9" i="70"/>
  <c r="A7" i="70"/>
  <c r="A2" i="70"/>
  <c r="A1" i="70"/>
  <c r="K17" i="68"/>
  <c r="A8" i="68"/>
  <c r="A6" i="68"/>
  <c r="A2" i="68"/>
  <c r="A1" i="68"/>
  <c r="K29" i="76"/>
  <c r="A17" i="76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8" i="76"/>
  <c r="A6" i="76"/>
  <c r="A2" i="76"/>
  <c r="A1" i="76"/>
  <c r="G15" i="67"/>
  <c r="F15" i="67" s="1"/>
  <c r="L10" i="67"/>
  <c r="A10" i="67"/>
  <c r="A9" i="67"/>
  <c r="A2" i="67"/>
  <c r="A1" i="67"/>
  <c r="N43" i="66"/>
  <c r="M43" i="66"/>
  <c r="K43" i="66"/>
  <c r="G43" i="66"/>
  <c r="F43" i="66"/>
  <c r="E43" i="66"/>
  <c r="D43" i="66"/>
  <c r="C43" i="66"/>
  <c r="N42" i="66"/>
  <c r="M42" i="66"/>
  <c r="K42" i="66"/>
  <c r="G42" i="66"/>
  <c r="F42" i="66"/>
  <c r="E42" i="66"/>
  <c r="D42" i="66"/>
  <c r="C42" i="66"/>
  <c r="N41" i="66"/>
  <c r="M41" i="66"/>
  <c r="K41" i="66"/>
  <c r="G41" i="66"/>
  <c r="F41" i="66"/>
  <c r="E41" i="66"/>
  <c r="D41" i="66"/>
  <c r="C41" i="66"/>
  <c r="N40" i="66"/>
  <c r="M40" i="66"/>
  <c r="K40" i="66"/>
  <c r="G40" i="66"/>
  <c r="F40" i="66"/>
  <c r="E40" i="66"/>
  <c r="D40" i="66"/>
  <c r="C40" i="66"/>
  <c r="N39" i="66"/>
  <c r="M39" i="66"/>
  <c r="K39" i="66"/>
  <c r="G39" i="66"/>
  <c r="F39" i="66"/>
  <c r="E39" i="66"/>
  <c r="D39" i="66"/>
  <c r="C39" i="66"/>
  <c r="N33" i="66"/>
  <c r="M33" i="66"/>
  <c r="K33" i="66"/>
  <c r="G33" i="66"/>
  <c r="F33" i="66"/>
  <c r="E33" i="66"/>
  <c r="D33" i="66"/>
  <c r="C33" i="66"/>
  <c r="N32" i="66"/>
  <c r="M32" i="66"/>
  <c r="K32" i="66"/>
  <c r="G32" i="66"/>
  <c r="F32" i="66"/>
  <c r="E32" i="66"/>
  <c r="D32" i="66"/>
  <c r="C32" i="66"/>
  <c r="N31" i="66"/>
  <c r="M31" i="66"/>
  <c r="K31" i="66"/>
  <c r="G31" i="66"/>
  <c r="F31" i="66"/>
  <c r="E31" i="66"/>
  <c r="D31" i="66"/>
  <c r="C31" i="66"/>
  <c r="N30" i="66"/>
  <c r="M30" i="66"/>
  <c r="K30" i="66"/>
  <c r="G30" i="66"/>
  <c r="F30" i="66"/>
  <c r="E30" i="66"/>
  <c r="D30" i="66"/>
  <c r="C30" i="66"/>
  <c r="N29" i="66"/>
  <c r="M29" i="66"/>
  <c r="K29" i="66"/>
  <c r="G29" i="66"/>
  <c r="F29" i="66"/>
  <c r="E29" i="66"/>
  <c r="E34" i="66" s="1"/>
  <c r="D29" i="66"/>
  <c r="C29" i="66"/>
  <c r="D75" i="62"/>
  <c r="E75" i="62"/>
  <c r="F24" i="66"/>
  <c r="O75" i="62" s="1"/>
  <c r="E24" i="66"/>
  <c r="D24" i="66"/>
  <c r="S75" i="62" s="1"/>
  <c r="C24" i="66"/>
  <c r="U75" i="62" s="1"/>
  <c r="U76" i="62" s="1"/>
  <c r="G15" i="66"/>
  <c r="F15" i="66" s="1"/>
  <c r="K10" i="66"/>
  <c r="A10" i="66"/>
  <c r="A9" i="66"/>
  <c r="A2" i="66"/>
  <c r="A1" i="66"/>
  <c r="G15" i="65"/>
  <c r="C15" i="65" s="1"/>
  <c r="K10" i="65"/>
  <c r="A10" i="65"/>
  <c r="A9" i="65"/>
  <c r="A2" i="65"/>
  <c r="A1" i="65"/>
  <c r="K22" i="66"/>
  <c r="K21" i="66"/>
  <c r="K20" i="66"/>
  <c r="K19" i="66"/>
  <c r="G21" i="124"/>
  <c r="H21" i="124" s="1"/>
  <c r="F21" i="124"/>
  <c r="E21" i="124"/>
  <c r="D21" i="124"/>
  <c r="C21" i="124"/>
  <c r="G20" i="124"/>
  <c r="H20" i="124" s="1"/>
  <c r="F20" i="124"/>
  <c r="E20" i="124"/>
  <c r="D20" i="124"/>
  <c r="C20" i="124"/>
  <c r="G19" i="124"/>
  <c r="H19" i="124" s="1"/>
  <c r="F19" i="124"/>
  <c r="E19" i="124"/>
  <c r="D19" i="124"/>
  <c r="C19" i="124"/>
  <c r="G18" i="124"/>
  <c r="H18" i="124" s="1"/>
  <c r="F18" i="124"/>
  <c r="E18" i="124"/>
  <c r="D18" i="124"/>
  <c r="C18" i="124"/>
  <c r="G17" i="124"/>
  <c r="H17" i="124" s="1"/>
  <c r="F17" i="124"/>
  <c r="E17" i="124"/>
  <c r="D17" i="124"/>
  <c r="C17" i="124"/>
  <c r="G16" i="124"/>
  <c r="H16" i="124" s="1"/>
  <c r="F16" i="124"/>
  <c r="E16" i="124"/>
  <c r="D16" i="124"/>
  <c r="C16" i="124"/>
  <c r="G15" i="124"/>
  <c r="H15" i="124" s="1"/>
  <c r="F15" i="124"/>
  <c r="E15" i="124"/>
  <c r="D15" i="124"/>
  <c r="C15" i="124"/>
  <c r="G14" i="124"/>
  <c r="H14" i="124" s="1"/>
  <c r="J14" i="124" s="1"/>
  <c r="F14" i="124"/>
  <c r="E14" i="124"/>
  <c r="D14" i="124"/>
  <c r="C14" i="124"/>
  <c r="G13" i="124"/>
  <c r="H13" i="124" s="1"/>
  <c r="J13" i="124" s="1"/>
  <c r="F13" i="124"/>
  <c r="E13" i="124"/>
  <c r="D13" i="124"/>
  <c r="C13" i="124"/>
  <c r="G12" i="124"/>
  <c r="H12" i="124" s="1"/>
  <c r="J12" i="124" s="1"/>
  <c r="F12" i="124"/>
  <c r="E12" i="124"/>
  <c r="D12" i="124"/>
  <c r="C12" i="124"/>
  <c r="G11" i="124"/>
  <c r="H11" i="124" s="1"/>
  <c r="J11" i="124" s="1"/>
  <c r="F11" i="124"/>
  <c r="E11" i="124"/>
  <c r="D11" i="124"/>
  <c r="C11" i="124"/>
  <c r="G10" i="124"/>
  <c r="F10" i="124"/>
  <c r="E10" i="124"/>
  <c r="D10" i="124"/>
  <c r="C10" i="124"/>
  <c r="A1" i="124"/>
  <c r="H27" i="64"/>
  <c r="G27" i="64"/>
  <c r="F27" i="64"/>
  <c r="E27" i="64"/>
  <c r="D27" i="64"/>
  <c r="C27" i="64"/>
  <c r="I23" i="66"/>
  <c r="I22" i="66"/>
  <c r="I21" i="66"/>
  <c r="I20" i="66"/>
  <c r="N17" i="64"/>
  <c r="M17" i="64"/>
  <c r="L17" i="64"/>
  <c r="K17" i="64"/>
  <c r="J17" i="64"/>
  <c r="I17" i="64"/>
  <c r="H17" i="64"/>
  <c r="G17" i="64"/>
  <c r="F17" i="64"/>
  <c r="E17" i="64"/>
  <c r="D17" i="64"/>
  <c r="C17" i="64"/>
  <c r="I43" i="63"/>
  <c r="I43" i="66" s="1"/>
  <c r="I42" i="63"/>
  <c r="I42" i="66" s="1"/>
  <c r="I41" i="63"/>
  <c r="I41" i="66" s="1"/>
  <c r="I40" i="63"/>
  <c r="I40" i="66" s="1"/>
  <c r="I39" i="63"/>
  <c r="I39" i="66" s="1"/>
  <c r="N9" i="64"/>
  <c r="M9" i="64"/>
  <c r="L9" i="64"/>
  <c r="K9" i="64"/>
  <c r="J9" i="64"/>
  <c r="I9" i="64"/>
  <c r="H9" i="64"/>
  <c r="G9" i="64"/>
  <c r="F9" i="64"/>
  <c r="E9" i="64"/>
  <c r="D9" i="64"/>
  <c r="C9" i="64"/>
  <c r="A2" i="64"/>
  <c r="A1" i="64"/>
  <c r="N44" i="63"/>
  <c r="M44" i="63"/>
  <c r="K44" i="63"/>
  <c r="G44" i="63"/>
  <c r="F44" i="63"/>
  <c r="E44" i="63"/>
  <c r="D44" i="63"/>
  <c r="C44" i="63"/>
  <c r="N34" i="63"/>
  <c r="M34" i="63"/>
  <c r="K34" i="63"/>
  <c r="I33" i="63"/>
  <c r="I33" i="66" s="1"/>
  <c r="I32" i="63"/>
  <c r="I32" i="66" s="1"/>
  <c r="I31" i="63"/>
  <c r="I31" i="66" s="1"/>
  <c r="I30" i="63"/>
  <c r="I30" i="66" s="1"/>
  <c r="I29" i="63"/>
  <c r="I29" i="66" s="1"/>
  <c r="N24" i="63"/>
  <c r="M24" i="63"/>
  <c r="N15" i="63"/>
  <c r="N15" i="65" s="1"/>
  <c r="M15" i="63"/>
  <c r="G15" i="63"/>
  <c r="K10" i="63"/>
  <c r="A10" i="63"/>
  <c r="A9" i="63"/>
  <c r="A2" i="63"/>
  <c r="A1" i="63"/>
  <c r="S72" i="62"/>
  <c r="Q72" i="62"/>
  <c r="O72" i="62"/>
  <c r="M72" i="62"/>
  <c r="E72" i="62"/>
  <c r="D72" i="62"/>
  <c r="V71" i="62"/>
  <c r="T71" i="62"/>
  <c r="R71" i="62"/>
  <c r="P71" i="62"/>
  <c r="N71" i="62"/>
  <c r="V70" i="62"/>
  <c r="T70" i="62"/>
  <c r="R70" i="62"/>
  <c r="P70" i="62"/>
  <c r="N70" i="62"/>
  <c r="V69" i="62"/>
  <c r="T69" i="62"/>
  <c r="R69" i="62"/>
  <c r="P69" i="62"/>
  <c r="N69" i="62"/>
  <c r="V68" i="62"/>
  <c r="T68" i="62"/>
  <c r="R68" i="62"/>
  <c r="P68" i="62"/>
  <c r="N68" i="62"/>
  <c r="K68" i="62"/>
  <c r="V67" i="62"/>
  <c r="T67" i="62"/>
  <c r="R67" i="62"/>
  <c r="P67" i="62"/>
  <c r="N67" i="62"/>
  <c r="V66" i="62"/>
  <c r="T66" i="62"/>
  <c r="R66" i="62"/>
  <c r="P66" i="62"/>
  <c r="N66" i="62"/>
  <c r="V65" i="62"/>
  <c r="T65" i="62"/>
  <c r="R65" i="62"/>
  <c r="P65" i="62"/>
  <c r="N65" i="62"/>
  <c r="V61" i="62"/>
  <c r="T61" i="62"/>
  <c r="S61" i="62"/>
  <c r="R61" i="62" s="1"/>
  <c r="Q61" i="62"/>
  <c r="P61" i="62" s="1"/>
  <c r="O61" i="62"/>
  <c r="N61" i="62" s="1"/>
  <c r="M61" i="62"/>
  <c r="K61" i="62" s="1"/>
  <c r="G61" i="62"/>
  <c r="E61" i="62"/>
  <c r="D61" i="62"/>
  <c r="V60" i="62"/>
  <c r="T60" i="62"/>
  <c r="R60" i="62"/>
  <c r="P60" i="62"/>
  <c r="N60" i="62"/>
  <c r="K60" i="62"/>
  <c r="V59" i="62"/>
  <c r="T59" i="62"/>
  <c r="R59" i="62"/>
  <c r="P59" i="62"/>
  <c r="N59" i="62"/>
  <c r="K59" i="62"/>
  <c r="V56" i="62"/>
  <c r="T56" i="62"/>
  <c r="S56" i="62"/>
  <c r="R56" i="62" s="1"/>
  <c r="Q56" i="62"/>
  <c r="P56" i="62" s="1"/>
  <c r="O56" i="62"/>
  <c r="N56" i="62" s="1"/>
  <c r="M56" i="62"/>
  <c r="K56" i="62" s="1"/>
  <c r="G56" i="62"/>
  <c r="E56" i="62"/>
  <c r="D56" i="62"/>
  <c r="V55" i="62"/>
  <c r="T55" i="62"/>
  <c r="R55" i="62"/>
  <c r="P55" i="62"/>
  <c r="N55" i="62"/>
  <c r="K55" i="62"/>
  <c r="V54" i="62"/>
  <c r="T54" i="62"/>
  <c r="R54" i="62"/>
  <c r="P54" i="62"/>
  <c r="N54" i="62"/>
  <c r="K54" i="62"/>
  <c r="S51" i="62"/>
  <c r="Q51" i="62"/>
  <c r="O51" i="62"/>
  <c r="M51" i="62"/>
  <c r="G51" i="62"/>
  <c r="E51" i="62"/>
  <c r="D51" i="62"/>
  <c r="V50" i="62"/>
  <c r="T50" i="62"/>
  <c r="R50" i="62"/>
  <c r="P50" i="62"/>
  <c r="N50" i="62"/>
  <c r="K50" i="62"/>
  <c r="V49" i="62"/>
  <c r="T49" i="62"/>
  <c r="R49" i="62"/>
  <c r="P49" i="62"/>
  <c r="N49" i="62"/>
  <c r="K49" i="62"/>
  <c r="V48" i="62"/>
  <c r="T48" i="62"/>
  <c r="R48" i="62"/>
  <c r="P48" i="62"/>
  <c r="N48" i="62"/>
  <c r="V47" i="62"/>
  <c r="T47" i="62"/>
  <c r="R47" i="62"/>
  <c r="P47" i="62"/>
  <c r="N47" i="62"/>
  <c r="K47" i="62"/>
  <c r="V46" i="62"/>
  <c r="T46" i="62"/>
  <c r="R46" i="62"/>
  <c r="P46" i="62"/>
  <c r="N46" i="62"/>
  <c r="K46" i="62"/>
  <c r="V45" i="62"/>
  <c r="T45" i="62"/>
  <c r="R45" i="62"/>
  <c r="P45" i="62"/>
  <c r="N45" i="62"/>
  <c r="K45" i="62"/>
  <c r="V39" i="62"/>
  <c r="T39" i="62"/>
  <c r="R39" i="62"/>
  <c r="P39" i="62"/>
  <c r="N39" i="62"/>
  <c r="K39" i="62"/>
  <c r="H39" i="62"/>
  <c r="V38" i="62"/>
  <c r="T38" i="62"/>
  <c r="R38" i="62"/>
  <c r="P38" i="62"/>
  <c r="N38" i="62"/>
  <c r="K38" i="62"/>
  <c r="H38" i="62"/>
  <c r="V37" i="62"/>
  <c r="T37" i="62"/>
  <c r="R37" i="62"/>
  <c r="P37" i="62"/>
  <c r="N37" i="62"/>
  <c r="V35" i="62"/>
  <c r="T35" i="62"/>
  <c r="R35" i="62"/>
  <c r="P35" i="62"/>
  <c r="N35" i="62"/>
  <c r="V34" i="62"/>
  <c r="T34" i="62"/>
  <c r="R34" i="62"/>
  <c r="P34" i="62"/>
  <c r="N34" i="62"/>
  <c r="V33" i="62"/>
  <c r="T33" i="62"/>
  <c r="R33" i="62"/>
  <c r="P33" i="62"/>
  <c r="N33" i="62"/>
  <c r="V32" i="62"/>
  <c r="T32" i="62"/>
  <c r="R32" i="62"/>
  <c r="P32" i="62"/>
  <c r="N32" i="62"/>
  <c r="V31" i="62"/>
  <c r="T31" i="62"/>
  <c r="R31" i="62"/>
  <c r="P31" i="62"/>
  <c r="N31" i="62"/>
  <c r="E41" i="62"/>
  <c r="D41" i="62"/>
  <c r="V29" i="62"/>
  <c r="T29" i="62"/>
  <c r="V28" i="62"/>
  <c r="T28" i="62"/>
  <c r="R28" i="62"/>
  <c r="P28" i="62"/>
  <c r="N28" i="62"/>
  <c r="V27" i="62"/>
  <c r="T27" i="62"/>
  <c r="R27" i="62"/>
  <c r="P27" i="62"/>
  <c r="N27" i="62"/>
  <c r="V26" i="62"/>
  <c r="T26" i="62"/>
  <c r="R26" i="62"/>
  <c r="P26" i="62"/>
  <c r="N26" i="62"/>
  <c r="V25" i="62"/>
  <c r="T25" i="62"/>
  <c r="R25" i="62"/>
  <c r="P25" i="62"/>
  <c r="N25" i="62"/>
  <c r="V24" i="62"/>
  <c r="T24" i="62"/>
  <c r="R24" i="62"/>
  <c r="P24" i="62"/>
  <c r="N24" i="62"/>
  <c r="V23" i="62"/>
  <c r="T23" i="62"/>
  <c r="R23" i="62"/>
  <c r="P23" i="62"/>
  <c r="N23" i="62"/>
  <c r="V22" i="62"/>
  <c r="T22" i="62"/>
  <c r="R22" i="62"/>
  <c r="P22" i="62"/>
  <c r="N22" i="62"/>
  <c r="V21" i="62"/>
  <c r="T21" i="62"/>
  <c r="R21" i="62"/>
  <c r="P21" i="62"/>
  <c r="N21" i="62"/>
  <c r="T16" i="62"/>
  <c r="R16" i="62"/>
  <c r="P16" i="62"/>
  <c r="N16" i="62"/>
  <c r="O14" i="62"/>
  <c r="A9" i="62"/>
  <c r="A8" i="62"/>
  <c r="A2" i="62"/>
  <c r="A1" i="62"/>
  <c r="I88" i="110"/>
  <c r="G88" i="110"/>
  <c r="E88" i="110"/>
  <c r="J63" i="159"/>
  <c r="G63" i="159"/>
  <c r="C88" i="110" s="1"/>
  <c r="E63" i="159"/>
  <c r="D63" i="159"/>
  <c r="T62" i="159"/>
  <c r="R62" i="159"/>
  <c r="P62" i="159"/>
  <c r="N62" i="159"/>
  <c r="K62" i="159"/>
  <c r="H62" i="159"/>
  <c r="T61" i="159"/>
  <c r="R61" i="159"/>
  <c r="P61" i="159"/>
  <c r="N61" i="159"/>
  <c r="K61" i="159"/>
  <c r="H61" i="159"/>
  <c r="V60" i="159"/>
  <c r="T60" i="159"/>
  <c r="R60" i="159"/>
  <c r="P60" i="159"/>
  <c r="N60" i="159"/>
  <c r="K60" i="159"/>
  <c r="H60" i="159"/>
  <c r="V59" i="159"/>
  <c r="T59" i="159"/>
  <c r="R59" i="159"/>
  <c r="P59" i="159"/>
  <c r="N59" i="159"/>
  <c r="K59" i="159"/>
  <c r="H59" i="159"/>
  <c r="V58" i="159"/>
  <c r="T58" i="159"/>
  <c r="R58" i="159"/>
  <c r="P58" i="159"/>
  <c r="N58" i="159"/>
  <c r="K58" i="159"/>
  <c r="H58" i="159"/>
  <c r="V57" i="159"/>
  <c r="T57" i="159"/>
  <c r="R57" i="159"/>
  <c r="P57" i="159"/>
  <c r="N57" i="159"/>
  <c r="K57" i="159"/>
  <c r="H57" i="159"/>
  <c r="V56" i="159"/>
  <c r="T56" i="159"/>
  <c r="R56" i="159"/>
  <c r="P56" i="159"/>
  <c r="N56" i="159"/>
  <c r="K56" i="159"/>
  <c r="H56" i="159"/>
  <c r="M53" i="159"/>
  <c r="E53" i="159"/>
  <c r="D53" i="159"/>
  <c r="T52" i="159"/>
  <c r="R52" i="159"/>
  <c r="P52" i="159"/>
  <c r="N52" i="159"/>
  <c r="K52" i="159"/>
  <c r="H52" i="159"/>
  <c r="T51" i="159"/>
  <c r="R51" i="159"/>
  <c r="P51" i="159"/>
  <c r="N51" i="159"/>
  <c r="K51" i="159"/>
  <c r="H51" i="159"/>
  <c r="V50" i="159"/>
  <c r="T50" i="159"/>
  <c r="R50" i="159"/>
  <c r="P50" i="159"/>
  <c r="N50" i="159"/>
  <c r="K50" i="159"/>
  <c r="H50" i="159"/>
  <c r="V49" i="159"/>
  <c r="T49" i="159"/>
  <c r="R49" i="159"/>
  <c r="P49" i="159"/>
  <c r="N49" i="159"/>
  <c r="K49" i="159"/>
  <c r="H49" i="159"/>
  <c r="V48" i="159"/>
  <c r="T48" i="159"/>
  <c r="R48" i="159"/>
  <c r="P48" i="159"/>
  <c r="N48" i="159"/>
  <c r="K48" i="159"/>
  <c r="H48" i="159"/>
  <c r="V47" i="159"/>
  <c r="T47" i="159"/>
  <c r="R47" i="159"/>
  <c r="P47" i="159"/>
  <c r="N47" i="159"/>
  <c r="K47" i="159"/>
  <c r="H47" i="159"/>
  <c r="R44" i="159"/>
  <c r="G45" i="159"/>
  <c r="E45" i="159"/>
  <c r="D45" i="159"/>
  <c r="T43" i="159"/>
  <c r="R43" i="159"/>
  <c r="P43" i="159"/>
  <c r="N43" i="159"/>
  <c r="K43" i="159"/>
  <c r="H43" i="159"/>
  <c r="V40" i="159"/>
  <c r="T40" i="159"/>
  <c r="R40" i="159"/>
  <c r="P40" i="159"/>
  <c r="N40" i="159"/>
  <c r="K40" i="159"/>
  <c r="H40" i="159"/>
  <c r="T39" i="159"/>
  <c r="R39" i="159"/>
  <c r="P39" i="159"/>
  <c r="N39" i="159"/>
  <c r="K39" i="159"/>
  <c r="H39" i="159"/>
  <c r="V38" i="159"/>
  <c r="T38" i="159"/>
  <c r="R38" i="159"/>
  <c r="P38" i="159"/>
  <c r="N38" i="159"/>
  <c r="K38" i="159"/>
  <c r="H38" i="159"/>
  <c r="V37" i="159"/>
  <c r="T37" i="159"/>
  <c r="R37" i="159"/>
  <c r="P37" i="159"/>
  <c r="N37" i="159"/>
  <c r="K37" i="159"/>
  <c r="H37" i="159"/>
  <c r="M41" i="159"/>
  <c r="J41" i="159"/>
  <c r="G41" i="159"/>
  <c r="E41" i="159"/>
  <c r="D41" i="159"/>
  <c r="M32" i="159"/>
  <c r="J32" i="159"/>
  <c r="J33" i="159" s="1"/>
  <c r="G32" i="159"/>
  <c r="G33" i="159" s="1"/>
  <c r="E32" i="159"/>
  <c r="E33" i="159" s="1"/>
  <c r="D32" i="159"/>
  <c r="D33" i="159" s="1"/>
  <c r="T31" i="159"/>
  <c r="R31" i="159"/>
  <c r="P31" i="159"/>
  <c r="N31" i="159"/>
  <c r="K31" i="159"/>
  <c r="V30" i="159"/>
  <c r="T30" i="159"/>
  <c r="R30" i="159"/>
  <c r="P30" i="159"/>
  <c r="K30" i="159"/>
  <c r="V29" i="159"/>
  <c r="T29" i="159"/>
  <c r="R29" i="159"/>
  <c r="P29" i="159"/>
  <c r="K29" i="159"/>
  <c r="V28" i="159"/>
  <c r="T28" i="159"/>
  <c r="R28" i="159"/>
  <c r="P28" i="159"/>
  <c r="K28" i="159"/>
  <c r="V27" i="159"/>
  <c r="T27" i="159"/>
  <c r="R27" i="159"/>
  <c r="P27" i="159"/>
  <c r="K27" i="159"/>
  <c r="V26" i="159"/>
  <c r="T26" i="159"/>
  <c r="R26" i="159"/>
  <c r="P26" i="159"/>
  <c r="N26" i="159"/>
  <c r="K26" i="159"/>
  <c r="V25" i="159"/>
  <c r="T25" i="159"/>
  <c r="R25" i="159"/>
  <c r="P25" i="159"/>
  <c r="N25" i="159"/>
  <c r="K25" i="159"/>
  <c r="V24" i="159"/>
  <c r="T24" i="159"/>
  <c r="R24" i="159"/>
  <c r="P24" i="159"/>
  <c r="N24" i="159"/>
  <c r="K24" i="159"/>
  <c r="T23" i="159"/>
  <c r="R23" i="159"/>
  <c r="P23" i="159"/>
  <c r="N23" i="159"/>
  <c r="K23" i="159"/>
  <c r="V22" i="159"/>
  <c r="T22" i="159"/>
  <c r="R22" i="159"/>
  <c r="P22" i="159"/>
  <c r="N22" i="159"/>
  <c r="K22" i="159"/>
  <c r="V21" i="159"/>
  <c r="T21" i="159"/>
  <c r="R21" i="159"/>
  <c r="P21" i="159"/>
  <c r="N21" i="159"/>
  <c r="K21" i="159"/>
  <c r="V20" i="159"/>
  <c r="T20" i="159"/>
  <c r="R20" i="159"/>
  <c r="P20" i="159"/>
  <c r="N20" i="159"/>
  <c r="K20" i="159"/>
  <c r="V19" i="159"/>
  <c r="T19" i="159"/>
  <c r="R19" i="159"/>
  <c r="P19" i="159"/>
  <c r="N19" i="159"/>
  <c r="K19" i="159"/>
  <c r="V18" i="159"/>
  <c r="T18" i="159"/>
  <c r="R18" i="159"/>
  <c r="N18" i="159"/>
  <c r="K18" i="159"/>
  <c r="V16" i="159"/>
  <c r="T16" i="159"/>
  <c r="R16" i="159"/>
  <c r="N16" i="159"/>
  <c r="K16" i="159"/>
  <c r="O14" i="159"/>
  <c r="Q14" i="159" s="1"/>
  <c r="S14" i="159" s="1"/>
  <c r="U14" i="159" s="1"/>
  <c r="A9" i="159"/>
  <c r="A8" i="159"/>
  <c r="A2" i="159"/>
  <c r="A1" i="159"/>
  <c r="I47" i="61"/>
  <c r="A45" i="61"/>
  <c r="A44" i="61"/>
  <c r="A40" i="61"/>
  <c r="A39" i="61"/>
  <c r="I9" i="61"/>
  <c r="A7" i="61"/>
  <c r="A6" i="61"/>
  <c r="A2" i="61"/>
  <c r="A1" i="61"/>
  <c r="A7" i="60"/>
  <c r="A6" i="60"/>
  <c r="A2" i="60"/>
  <c r="A1" i="60"/>
  <c r="I21" i="59"/>
  <c r="E21" i="59"/>
  <c r="I18" i="59"/>
  <c r="E18" i="59"/>
  <c r="G17" i="59"/>
  <c r="G16" i="59"/>
  <c r="B8" i="59"/>
  <c r="B7" i="59"/>
  <c r="B2" i="59"/>
  <c r="B1" i="59"/>
  <c r="G30" i="58"/>
  <c r="G29" i="58"/>
  <c r="G27" i="58"/>
  <c r="H27" i="58" s="1"/>
  <c r="J24" i="58"/>
  <c r="G23" i="58"/>
  <c r="G22" i="58"/>
  <c r="G20" i="58"/>
  <c r="H20" i="58" s="1"/>
  <c r="L20" i="58" s="1"/>
  <c r="J10" i="58"/>
  <c r="B8" i="58"/>
  <c r="B7" i="58"/>
  <c r="B2" i="58"/>
  <c r="B1" i="58"/>
  <c r="O19" i="57"/>
  <c r="Q19" i="57" s="1"/>
  <c r="O18" i="57"/>
  <c r="Q18" i="57" s="1"/>
  <c r="A8" i="57"/>
  <c r="A2" i="57"/>
  <c r="A1" i="57"/>
  <c r="K28" i="56"/>
  <c r="I28" i="56"/>
  <c r="K43" i="56" s="1"/>
  <c r="G28" i="56"/>
  <c r="E28" i="56"/>
  <c r="C28" i="56"/>
  <c r="C39" i="56" s="1"/>
  <c r="A7" i="56"/>
  <c r="A6" i="56"/>
  <c r="A2" i="56"/>
  <c r="A1" i="56"/>
  <c r="AA171" i="55"/>
  <c r="Z171" i="55"/>
  <c r="Y171" i="55"/>
  <c r="X171" i="55"/>
  <c r="W171" i="55"/>
  <c r="V171" i="55"/>
  <c r="U171" i="55"/>
  <c r="T171" i="55"/>
  <c r="S171" i="55"/>
  <c r="S173" i="55" s="1"/>
  <c r="R171" i="55"/>
  <c r="R173" i="55" s="1"/>
  <c r="Q171" i="55"/>
  <c r="Q173" i="55" s="1"/>
  <c r="P171" i="55"/>
  <c r="O169" i="55"/>
  <c r="O168" i="55"/>
  <c r="O158" i="55"/>
  <c r="O157" i="55"/>
  <c r="O156" i="55"/>
  <c r="O155" i="55"/>
  <c r="O154" i="55"/>
  <c r="O153" i="55"/>
  <c r="O152" i="55"/>
  <c r="O151" i="55"/>
  <c r="O150" i="55"/>
  <c r="AA147" i="55"/>
  <c r="Z147" i="55"/>
  <c r="Y147" i="55"/>
  <c r="X147" i="55"/>
  <c r="W147" i="55"/>
  <c r="V147" i="55"/>
  <c r="U147" i="55"/>
  <c r="T147" i="55"/>
  <c r="P147" i="55"/>
  <c r="O146" i="55"/>
  <c r="AA143" i="55"/>
  <c r="Z143" i="55"/>
  <c r="Y143" i="55"/>
  <c r="X143" i="55"/>
  <c r="W143" i="55"/>
  <c r="V143" i="55"/>
  <c r="U143" i="55"/>
  <c r="T143" i="55"/>
  <c r="P143" i="55"/>
  <c r="O142" i="55"/>
  <c r="O143" i="55" s="1"/>
  <c r="E48" i="55" s="1"/>
  <c r="F48" i="55" s="1"/>
  <c r="AA139" i="55"/>
  <c r="Z139" i="55"/>
  <c r="Y139" i="55"/>
  <c r="X139" i="55"/>
  <c r="W139" i="55"/>
  <c r="V139" i="55"/>
  <c r="U139" i="55"/>
  <c r="T139" i="55"/>
  <c r="P139" i="55"/>
  <c r="O138" i="55"/>
  <c r="AA135" i="55"/>
  <c r="Z135" i="55"/>
  <c r="Y135" i="55"/>
  <c r="X135" i="55"/>
  <c r="W135" i="55"/>
  <c r="V135" i="55"/>
  <c r="U135" i="55"/>
  <c r="T135" i="55"/>
  <c r="S135" i="55"/>
  <c r="R135" i="55"/>
  <c r="Q135" i="55"/>
  <c r="P135" i="55"/>
  <c r="M131" i="55"/>
  <c r="Y130" i="55"/>
  <c r="M129" i="55"/>
  <c r="M128" i="55"/>
  <c r="AA75" i="55"/>
  <c r="Z75" i="55"/>
  <c r="Y75" i="55"/>
  <c r="X75" i="55"/>
  <c r="W75" i="55"/>
  <c r="V75" i="55"/>
  <c r="U75" i="55"/>
  <c r="T75" i="55"/>
  <c r="S75" i="55"/>
  <c r="R75" i="55"/>
  <c r="Q75" i="55"/>
  <c r="P75" i="55"/>
  <c r="O74" i="55"/>
  <c r="O75" i="55" s="1"/>
  <c r="E22" i="55" s="1"/>
  <c r="F22" i="55" s="1"/>
  <c r="AA71" i="55"/>
  <c r="Z71" i="55"/>
  <c r="Y71" i="55"/>
  <c r="X71" i="55"/>
  <c r="W71" i="55"/>
  <c r="V71" i="55"/>
  <c r="U71" i="55"/>
  <c r="T71" i="55"/>
  <c r="S71" i="55"/>
  <c r="R71" i="55"/>
  <c r="Q71" i="55"/>
  <c r="P71" i="55"/>
  <c r="O70" i="55"/>
  <c r="O71" i="55" s="1"/>
  <c r="E20" i="55" s="1"/>
  <c r="F20" i="55" s="1"/>
  <c r="AA67" i="55"/>
  <c r="Z67" i="55"/>
  <c r="Y67" i="55"/>
  <c r="X67" i="55"/>
  <c r="W67" i="55"/>
  <c r="V67" i="55"/>
  <c r="U67" i="55"/>
  <c r="T67" i="55"/>
  <c r="S67" i="55"/>
  <c r="R67" i="55"/>
  <c r="Q67" i="55"/>
  <c r="P67" i="55"/>
  <c r="O66" i="55"/>
  <c r="AA63" i="55"/>
  <c r="Z63" i="55"/>
  <c r="Y63" i="55"/>
  <c r="X63" i="55"/>
  <c r="W63" i="55"/>
  <c r="V63" i="55"/>
  <c r="U63" i="55"/>
  <c r="T63" i="55"/>
  <c r="S63" i="55"/>
  <c r="R63" i="55"/>
  <c r="Q63" i="55"/>
  <c r="P63" i="55"/>
  <c r="M59" i="55"/>
  <c r="Y58" i="55"/>
  <c r="M57" i="55"/>
  <c r="M56" i="55"/>
  <c r="I54" i="55"/>
  <c r="D54" i="55"/>
  <c r="C54" i="55"/>
  <c r="G52" i="55"/>
  <c r="G50" i="55"/>
  <c r="G48" i="55"/>
  <c r="G46" i="55"/>
  <c r="J38" i="55"/>
  <c r="A36" i="55"/>
  <c r="A35" i="55"/>
  <c r="A30" i="55"/>
  <c r="A29" i="55"/>
  <c r="I26" i="55"/>
  <c r="D26" i="55"/>
  <c r="C26" i="55"/>
  <c r="G24" i="55"/>
  <c r="G22" i="55"/>
  <c r="G20" i="55"/>
  <c r="G18" i="55"/>
  <c r="J10" i="55"/>
  <c r="A8" i="55"/>
  <c r="A7" i="55"/>
  <c r="A2" i="55"/>
  <c r="A1" i="55"/>
  <c r="AA137" i="54"/>
  <c r="Z137" i="54"/>
  <c r="Y137" i="54"/>
  <c r="X137" i="54"/>
  <c r="W137" i="54"/>
  <c r="V137" i="54"/>
  <c r="U137" i="54"/>
  <c r="T137" i="54"/>
  <c r="S137" i="54"/>
  <c r="R137" i="54"/>
  <c r="Q137" i="54"/>
  <c r="P137" i="54"/>
  <c r="O135" i="54"/>
  <c r="O133" i="54"/>
  <c r="J94" i="54" s="1"/>
  <c r="K94" i="54" s="1"/>
  <c r="O131" i="54"/>
  <c r="O129" i="54"/>
  <c r="O127" i="54"/>
  <c r="O125" i="54"/>
  <c r="O123" i="54"/>
  <c r="AA119" i="54"/>
  <c r="Z119" i="54"/>
  <c r="Y119" i="54"/>
  <c r="X119" i="54"/>
  <c r="W119" i="54"/>
  <c r="V119" i="54"/>
  <c r="U119" i="54"/>
  <c r="T119" i="54"/>
  <c r="S119" i="54"/>
  <c r="R119" i="54"/>
  <c r="Q119" i="54"/>
  <c r="P119" i="54"/>
  <c r="M112" i="54"/>
  <c r="Y111" i="54"/>
  <c r="M111" i="54"/>
  <c r="M110" i="54"/>
  <c r="M109" i="54"/>
  <c r="I98" i="54"/>
  <c r="I101" i="54" s="1"/>
  <c r="H98" i="54"/>
  <c r="H101" i="54" s="1"/>
  <c r="G98" i="54"/>
  <c r="G101" i="54" s="1"/>
  <c r="F98" i="54"/>
  <c r="F101" i="54" s="1"/>
  <c r="E98" i="54"/>
  <c r="E101" i="54" s="1"/>
  <c r="K92" i="54"/>
  <c r="K90" i="54"/>
  <c r="K88" i="54"/>
  <c r="K86" i="54"/>
  <c r="K84" i="54"/>
  <c r="J77" i="54"/>
  <c r="A75" i="54"/>
  <c r="A74" i="54"/>
  <c r="A70" i="54"/>
  <c r="A69" i="54"/>
  <c r="P68" i="54"/>
  <c r="O66" i="54"/>
  <c r="J28" i="54" s="1"/>
  <c r="K28" i="54" s="1"/>
  <c r="J26" i="54"/>
  <c r="AA62" i="54"/>
  <c r="AA68" i="54" s="1"/>
  <c r="Z62" i="54"/>
  <c r="Z68" i="54" s="1"/>
  <c r="Y62" i="54"/>
  <c r="Y68" i="54" s="1"/>
  <c r="X62" i="54"/>
  <c r="X68" i="54" s="1"/>
  <c r="W62" i="54"/>
  <c r="W68" i="54" s="1"/>
  <c r="V62" i="54"/>
  <c r="V68" i="54" s="1"/>
  <c r="U62" i="54"/>
  <c r="U68" i="54" s="1"/>
  <c r="T62" i="54"/>
  <c r="T68" i="54" s="1"/>
  <c r="S62" i="54"/>
  <c r="S68" i="54" s="1"/>
  <c r="R62" i="54"/>
  <c r="R68" i="54" s="1"/>
  <c r="Q62" i="54"/>
  <c r="Q68" i="54" s="1"/>
  <c r="O61" i="54"/>
  <c r="H24" i="54" s="1"/>
  <c r="H30" i="54" s="1"/>
  <c r="H33" i="54" s="1"/>
  <c r="O60" i="54"/>
  <c r="O57" i="54"/>
  <c r="O55" i="54"/>
  <c r="O53" i="54"/>
  <c r="J18" i="54" s="1"/>
  <c r="K18" i="54" s="1"/>
  <c r="O51" i="54"/>
  <c r="AA47" i="54"/>
  <c r="Z47" i="54"/>
  <c r="Y47" i="54"/>
  <c r="X47" i="54"/>
  <c r="W47" i="54"/>
  <c r="V47" i="54"/>
  <c r="U47" i="54"/>
  <c r="T47" i="54"/>
  <c r="S47" i="54"/>
  <c r="R47" i="54"/>
  <c r="Q47" i="54"/>
  <c r="P47" i="54"/>
  <c r="M40" i="54"/>
  <c r="Y39" i="54"/>
  <c r="M39" i="54"/>
  <c r="M38" i="54"/>
  <c r="M37" i="54"/>
  <c r="I30" i="54"/>
  <c r="I33" i="54" s="1"/>
  <c r="F30" i="54"/>
  <c r="F33" i="54" s="1"/>
  <c r="E30" i="54"/>
  <c r="E33" i="54" s="1"/>
  <c r="K20" i="54"/>
  <c r="K16" i="54"/>
  <c r="J9" i="54"/>
  <c r="A7" i="54"/>
  <c r="A6" i="54"/>
  <c r="A2" i="54"/>
  <c r="A1" i="54"/>
  <c r="R30" i="53"/>
  <c r="J30" i="53"/>
  <c r="E30" i="53"/>
  <c r="R26" i="53"/>
  <c r="J26" i="53"/>
  <c r="E26" i="53"/>
  <c r="R25" i="53"/>
  <c r="J25" i="53"/>
  <c r="E25" i="53"/>
  <c r="R24" i="53"/>
  <c r="J24" i="53"/>
  <c r="E24" i="53"/>
  <c r="R20" i="53"/>
  <c r="J20" i="53"/>
  <c r="E20" i="53"/>
  <c r="R19" i="53"/>
  <c r="J19" i="53"/>
  <c r="E19" i="53"/>
  <c r="R18" i="53"/>
  <c r="E18" i="53"/>
  <c r="C8" i="53"/>
  <c r="C7" i="53"/>
  <c r="C2" i="53"/>
  <c r="C1" i="53"/>
  <c r="M28" i="52"/>
  <c r="G28" i="52"/>
  <c r="O21" i="52"/>
  <c r="Q21" i="52" s="1"/>
  <c r="O18" i="52"/>
  <c r="Q18" i="52" s="1"/>
  <c r="A8" i="52"/>
  <c r="A7" i="52"/>
  <c r="A2" i="52"/>
  <c r="A1" i="52"/>
  <c r="A8" i="51"/>
  <c r="A7" i="51"/>
  <c r="A2" i="51"/>
  <c r="A1" i="51"/>
  <c r="M36" i="50"/>
  <c r="G36" i="50"/>
  <c r="O30" i="50"/>
  <c r="Q30" i="50" s="1"/>
  <c r="O32" i="50"/>
  <c r="Q32" i="50" s="1"/>
  <c r="O28" i="50"/>
  <c r="Q28" i="50" s="1"/>
  <c r="O27" i="50"/>
  <c r="Q27" i="50" s="1"/>
  <c r="O26" i="50"/>
  <c r="Q26" i="50" s="1"/>
  <c r="O25" i="50"/>
  <c r="Q25" i="50" s="1"/>
  <c r="O24" i="50"/>
  <c r="Q24" i="50" s="1"/>
  <c r="O23" i="50"/>
  <c r="Q23" i="50" s="1"/>
  <c r="O22" i="50"/>
  <c r="Q22" i="50" s="1"/>
  <c r="O21" i="50"/>
  <c r="Q21" i="50" s="1"/>
  <c r="O20" i="50"/>
  <c r="Q20" i="50" s="1"/>
  <c r="O19" i="50"/>
  <c r="Q19" i="50" s="1"/>
  <c r="O18" i="50"/>
  <c r="Q18" i="50" s="1"/>
  <c r="O10" i="50"/>
  <c r="A8" i="50"/>
  <c r="A7" i="50"/>
  <c r="A2" i="50"/>
  <c r="A1" i="50"/>
  <c r="A8" i="49"/>
  <c r="A7" i="49"/>
  <c r="A2" i="49"/>
  <c r="A1" i="49"/>
  <c r="H10" i="48"/>
  <c r="A8" i="48"/>
  <c r="A7" i="48"/>
  <c r="A2" i="48"/>
  <c r="A1" i="48"/>
  <c r="H11" i="45"/>
  <c r="A9" i="45"/>
  <c r="A8" i="45"/>
  <c r="A2" i="45"/>
  <c r="A1" i="45"/>
  <c r="J10" i="44"/>
  <c r="A8" i="44"/>
  <c r="A7" i="44"/>
  <c r="A2" i="44"/>
  <c r="A1" i="44"/>
  <c r="K10" i="43"/>
  <c r="A8" i="43"/>
  <c r="A7" i="43"/>
  <c r="A2" i="43"/>
  <c r="A1" i="43"/>
  <c r="G9" i="153"/>
  <c r="A7" i="153"/>
  <c r="A2" i="153"/>
  <c r="A1" i="153"/>
  <c r="G9" i="152"/>
  <c r="A7" i="152"/>
  <c r="A2" i="152"/>
  <c r="A1" i="152"/>
  <c r="G9" i="146"/>
  <c r="A2" i="146"/>
  <c r="A1" i="146"/>
  <c r="G9" i="140"/>
  <c r="A7" i="140"/>
  <c r="A6" i="140"/>
  <c r="A2" i="140"/>
  <c r="A1" i="140"/>
  <c r="H28" i="58"/>
  <c r="I9" i="112"/>
  <c r="A7" i="112"/>
  <c r="A6" i="112"/>
  <c r="A2" i="112"/>
  <c r="A1" i="112"/>
  <c r="K36" i="111"/>
  <c r="K35" i="111"/>
  <c r="K34" i="111"/>
  <c r="J24" i="111"/>
  <c r="A7" i="111"/>
  <c r="A6" i="111"/>
  <c r="A2" i="111"/>
  <c r="A1" i="111"/>
  <c r="H24" i="109"/>
  <c r="J43" i="109"/>
  <c r="P42" i="109"/>
  <c r="J42" i="109"/>
  <c r="J41" i="109"/>
  <c r="J40" i="109"/>
  <c r="H30" i="109"/>
  <c r="G9" i="109"/>
  <c r="A7" i="109"/>
  <c r="A6" i="109"/>
  <c r="A2" i="109"/>
  <c r="A1" i="109"/>
  <c r="I51" i="42"/>
  <c r="O50" i="42"/>
  <c r="I50" i="42"/>
  <c r="I49" i="42"/>
  <c r="I48" i="42"/>
  <c r="G34" i="42"/>
  <c r="G23" i="42"/>
  <c r="F9" i="42"/>
  <c r="A7" i="42"/>
  <c r="A6" i="42"/>
  <c r="A2" i="42"/>
  <c r="A1" i="42"/>
  <c r="A7" i="41"/>
  <c r="A6" i="41"/>
  <c r="A2" i="41"/>
  <c r="A1" i="41"/>
  <c r="J59" i="40"/>
  <c r="J58" i="40"/>
  <c r="Q58" i="40"/>
  <c r="H42" i="40"/>
  <c r="H33" i="40"/>
  <c r="H26" i="40"/>
  <c r="G9" i="40"/>
  <c r="B7" i="40"/>
  <c r="B6" i="40"/>
  <c r="B2" i="40"/>
  <c r="B1" i="40"/>
  <c r="W98" i="115"/>
  <c r="U74" i="115"/>
  <c r="AA73" i="115"/>
  <c r="U73" i="115"/>
  <c r="U72" i="115"/>
  <c r="U71" i="115"/>
  <c r="Q42" i="115"/>
  <c r="J41" i="115"/>
  <c r="J40" i="115"/>
  <c r="J39" i="115"/>
  <c r="J35" i="115"/>
  <c r="J34" i="115"/>
  <c r="H25" i="115"/>
  <c r="G9" i="115"/>
  <c r="A7" i="115"/>
  <c r="A6" i="115"/>
  <c r="A2" i="115"/>
  <c r="A1" i="115"/>
  <c r="J56" i="38"/>
  <c r="Q55" i="38"/>
  <c r="J55" i="38"/>
  <c r="H33" i="38"/>
  <c r="G9" i="38"/>
  <c r="A7" i="38"/>
  <c r="A6" i="38"/>
  <c r="A2" i="38"/>
  <c r="A1" i="38"/>
  <c r="P52" i="37"/>
  <c r="P50" i="37"/>
  <c r="T37" i="37"/>
  <c r="N37" i="37"/>
  <c r="P45" i="37" s="1"/>
  <c r="N36" i="37"/>
  <c r="N35" i="37"/>
  <c r="J23" i="37"/>
  <c r="I9" i="37"/>
  <c r="A7" i="37"/>
  <c r="A6" i="37"/>
  <c r="A2" i="37"/>
  <c r="A1" i="37"/>
  <c r="A2" i="154"/>
  <c r="A1" i="154"/>
  <c r="K52" i="108"/>
  <c r="K51" i="108"/>
  <c r="K50" i="108"/>
  <c r="I33" i="108"/>
  <c r="A7" i="108"/>
  <c r="A6" i="108"/>
  <c r="A2" i="108"/>
  <c r="A1" i="108"/>
  <c r="L48" i="35"/>
  <c r="L47" i="35"/>
  <c r="L46" i="35"/>
  <c r="J29" i="35"/>
  <c r="A7" i="35"/>
  <c r="A6" i="35"/>
  <c r="A2" i="35"/>
  <c r="A1" i="35"/>
  <c r="L45" i="34"/>
  <c r="L44" i="34"/>
  <c r="L43" i="34"/>
  <c r="J26" i="34"/>
  <c r="A7" i="34"/>
  <c r="A6" i="34"/>
  <c r="A2" i="34"/>
  <c r="A1" i="34"/>
  <c r="L45" i="84"/>
  <c r="L44" i="84"/>
  <c r="L43" i="84"/>
  <c r="J26" i="84"/>
  <c r="A7" i="84"/>
  <c r="A6" i="84"/>
  <c r="A2" i="84"/>
  <c r="A1" i="84"/>
  <c r="L45" i="33"/>
  <c r="L44" i="33"/>
  <c r="L43" i="33"/>
  <c r="J26" i="33"/>
  <c r="A7" i="33"/>
  <c r="A6" i="33"/>
  <c r="A2" i="33"/>
  <c r="A1" i="33"/>
  <c r="L45" i="32"/>
  <c r="L44" i="32"/>
  <c r="L43" i="32"/>
  <c r="J26" i="32"/>
  <c r="A7" i="32"/>
  <c r="A6" i="32"/>
  <c r="A2" i="32"/>
  <c r="A1" i="32"/>
  <c r="L45" i="31"/>
  <c r="L44" i="31"/>
  <c r="L43" i="31"/>
  <c r="J26" i="31"/>
  <c r="A7" i="31"/>
  <c r="A6" i="31"/>
  <c r="A2" i="31"/>
  <c r="A1" i="31"/>
  <c r="L45" i="30"/>
  <c r="L44" i="30"/>
  <c r="L43" i="30"/>
  <c r="J26" i="30"/>
  <c r="A7" i="30"/>
  <c r="A6" i="30"/>
  <c r="A2" i="30"/>
  <c r="A1" i="30"/>
  <c r="L45" i="29"/>
  <c r="L44" i="29"/>
  <c r="L43" i="29"/>
  <c r="J26" i="29"/>
  <c r="A7" i="29"/>
  <c r="A6" i="29"/>
  <c r="A2" i="29"/>
  <c r="A1" i="29"/>
  <c r="L45" i="151"/>
  <c r="L44" i="151"/>
  <c r="L43" i="151"/>
  <c r="J26" i="151"/>
  <c r="A7" i="151"/>
  <c r="A6" i="151"/>
  <c r="A2" i="151"/>
  <c r="A1" i="151"/>
  <c r="L45" i="107"/>
  <c r="L44" i="107"/>
  <c r="L43" i="107"/>
  <c r="J26" i="107"/>
  <c r="A7" i="107"/>
  <c r="A6" i="107"/>
  <c r="A2" i="107"/>
  <c r="A1" i="107"/>
  <c r="J23" i="28"/>
  <c r="J26" i="28" s="1"/>
  <c r="A7" i="28"/>
  <c r="A6" i="28"/>
  <c r="A2" i="28"/>
  <c r="A1" i="28"/>
  <c r="L45" i="27"/>
  <c r="L44" i="27"/>
  <c r="L43" i="27"/>
  <c r="J26" i="27"/>
  <c r="A7" i="27"/>
  <c r="A6" i="27"/>
  <c r="A2" i="27"/>
  <c r="A1" i="27"/>
  <c r="L43" i="26"/>
  <c r="L42" i="26"/>
  <c r="L41" i="26"/>
  <c r="J24" i="26"/>
  <c r="A7" i="26"/>
  <c r="A6" i="26"/>
  <c r="A2" i="26"/>
  <c r="A1" i="26"/>
  <c r="L43" i="25"/>
  <c r="L42" i="25"/>
  <c r="L41" i="25"/>
  <c r="J30" i="25"/>
  <c r="A7" i="25"/>
  <c r="A6" i="25"/>
  <c r="A2" i="25"/>
  <c r="A1" i="25"/>
  <c r="AM513" i="24"/>
  <c r="AM512" i="24"/>
  <c r="AO511" i="24"/>
  <c r="AM511" i="24"/>
  <c r="AO510" i="24"/>
  <c r="AG506" i="24"/>
  <c r="AG505" i="24"/>
  <c r="AG499" i="24"/>
  <c r="AG498" i="24"/>
  <c r="AE479" i="24"/>
  <c r="AC479" i="24"/>
  <c r="AA479" i="24"/>
  <c r="Y479" i="24"/>
  <c r="W479" i="24"/>
  <c r="U479" i="24"/>
  <c r="AE462" i="24"/>
  <c r="AE472" i="24" s="1"/>
  <c r="AC462" i="24"/>
  <c r="AC472" i="24" s="1"/>
  <c r="AA462" i="24"/>
  <c r="AA472" i="24" s="1"/>
  <c r="Y462" i="24"/>
  <c r="Y472" i="24" s="1"/>
  <c r="W462" i="24"/>
  <c r="W472" i="24" s="1"/>
  <c r="U462" i="24"/>
  <c r="U472" i="24" s="1"/>
  <c r="AE455" i="24"/>
  <c r="AA455" i="24"/>
  <c r="Y455" i="24"/>
  <c r="W455" i="24"/>
  <c r="U455" i="24"/>
  <c r="AC445" i="24"/>
  <c r="Q443" i="24"/>
  <c r="Q442" i="24"/>
  <c r="Q438" i="24"/>
  <c r="Q437" i="24"/>
  <c r="Q436" i="24"/>
  <c r="Q435" i="24"/>
  <c r="AE417" i="24"/>
  <c r="AC417" i="24"/>
  <c r="AA417" i="24"/>
  <c r="Y417" i="24"/>
  <c r="W417" i="24"/>
  <c r="U417" i="24"/>
  <c r="U412" i="24"/>
  <c r="AE400" i="24"/>
  <c r="AE410" i="24" s="1"/>
  <c r="AC400" i="24"/>
  <c r="AC410" i="24" s="1"/>
  <c r="AA400" i="24"/>
  <c r="AA410" i="24" s="1"/>
  <c r="Y400" i="24"/>
  <c r="Y410" i="24" s="1"/>
  <c r="W400" i="24"/>
  <c r="AE393" i="24"/>
  <c r="AA393" i="24"/>
  <c r="W393" i="24"/>
  <c r="U393" i="24"/>
  <c r="AC383" i="24"/>
  <c r="Q381" i="24"/>
  <c r="Q380" i="24"/>
  <c r="Q376" i="24"/>
  <c r="Q375" i="24"/>
  <c r="Q374" i="24"/>
  <c r="Q373" i="24"/>
  <c r="W350" i="24"/>
  <c r="AE338" i="24"/>
  <c r="U276" i="24"/>
  <c r="Y338" i="24"/>
  <c r="Y348" i="24" s="1"/>
  <c r="U338" i="24"/>
  <c r="W338" i="24"/>
  <c r="AE331" i="24"/>
  <c r="Y331" i="24"/>
  <c r="U331" i="24"/>
  <c r="W331" i="24"/>
  <c r="AC321" i="24"/>
  <c r="Q319" i="24"/>
  <c r="Q318" i="24"/>
  <c r="Q315" i="24"/>
  <c r="Q439" i="24" s="1"/>
  <c r="Q314" i="24"/>
  <c r="Q313" i="24"/>
  <c r="Q312" i="24"/>
  <c r="Q311" i="24"/>
  <c r="AE293" i="24"/>
  <c r="AC293" i="24"/>
  <c r="AA293" i="24"/>
  <c r="W293" i="24"/>
  <c r="AC276" i="24"/>
  <c r="AC286" i="24" s="1"/>
  <c r="AA276" i="24"/>
  <c r="AA286" i="24" s="1"/>
  <c r="AE269" i="24"/>
  <c r="AA269" i="24"/>
  <c r="Y269" i="24"/>
  <c r="AC259" i="24"/>
  <c r="Q257" i="24"/>
  <c r="Q256" i="24"/>
  <c r="Q253" i="24"/>
  <c r="Q377" i="24" s="1"/>
  <c r="Q252" i="24"/>
  <c r="Q251" i="24"/>
  <c r="Q250" i="24"/>
  <c r="Q249" i="24"/>
  <c r="AE231" i="24"/>
  <c r="AC231" i="24"/>
  <c r="AA231" i="24"/>
  <c r="Y231" i="24"/>
  <c r="W231" i="24"/>
  <c r="U217" i="24"/>
  <c r="J30" i="19" s="1"/>
  <c r="AC214" i="24"/>
  <c r="AC224" i="24" s="1"/>
  <c r="Y214" i="24"/>
  <c r="W214" i="24"/>
  <c r="AC207" i="24"/>
  <c r="AA207" i="24"/>
  <c r="Y207" i="24"/>
  <c r="AC197" i="24"/>
  <c r="Q195" i="24"/>
  <c r="Q194" i="24"/>
  <c r="Q190" i="24"/>
  <c r="Q189" i="24"/>
  <c r="Q188" i="24"/>
  <c r="Q187" i="24"/>
  <c r="K169" i="24"/>
  <c r="G169" i="24"/>
  <c r="E169" i="24"/>
  <c r="K152" i="24"/>
  <c r="K162" i="24" s="1"/>
  <c r="I152" i="24"/>
  <c r="I162" i="24" s="1"/>
  <c r="G152" i="24"/>
  <c r="G162" i="24" s="1"/>
  <c r="E152" i="24"/>
  <c r="K145" i="24"/>
  <c r="I145" i="24"/>
  <c r="G145" i="24"/>
  <c r="E145" i="24"/>
  <c r="M135" i="24"/>
  <c r="A133" i="24"/>
  <c r="A132" i="24"/>
  <c r="A129" i="24"/>
  <c r="A128" i="24"/>
  <c r="A127" i="24"/>
  <c r="A126" i="24"/>
  <c r="A125" i="24"/>
  <c r="O107" i="24"/>
  <c r="M107" i="24"/>
  <c r="K107" i="24"/>
  <c r="I107" i="24"/>
  <c r="G107" i="24"/>
  <c r="E107" i="24"/>
  <c r="O90" i="24"/>
  <c r="M90" i="24"/>
  <c r="K90" i="24"/>
  <c r="I90" i="24"/>
  <c r="G90" i="24"/>
  <c r="E90" i="24"/>
  <c r="O83" i="24"/>
  <c r="M83" i="24"/>
  <c r="K83" i="24"/>
  <c r="I83" i="24"/>
  <c r="G83" i="24"/>
  <c r="E83" i="24"/>
  <c r="M73" i="24"/>
  <c r="A71" i="24"/>
  <c r="A70" i="24"/>
  <c r="A67" i="24"/>
  <c r="A66" i="24"/>
  <c r="A65" i="24"/>
  <c r="A64" i="24"/>
  <c r="A63" i="24"/>
  <c r="O45" i="24"/>
  <c r="M45" i="24"/>
  <c r="K45" i="24"/>
  <c r="I45" i="24"/>
  <c r="G45" i="24"/>
  <c r="O28" i="24"/>
  <c r="M28" i="24"/>
  <c r="M38" i="24" s="1"/>
  <c r="G28" i="24"/>
  <c r="G38" i="24" s="1"/>
  <c r="O21" i="24"/>
  <c r="M21" i="24"/>
  <c r="K21" i="24"/>
  <c r="I21" i="24"/>
  <c r="M11" i="24"/>
  <c r="A9" i="24"/>
  <c r="A8" i="24"/>
  <c r="A4" i="24"/>
  <c r="A3" i="24"/>
  <c r="A2" i="24"/>
  <c r="A1" i="24"/>
  <c r="H366" i="22"/>
  <c r="F366" i="22"/>
  <c r="H363" i="22"/>
  <c r="F363" i="22"/>
  <c r="H362" i="22"/>
  <c r="F362" i="22"/>
  <c r="H361" i="22"/>
  <c r="F361" i="22"/>
  <c r="H360" i="22"/>
  <c r="F360" i="22"/>
  <c r="H356" i="22"/>
  <c r="F356" i="22"/>
  <c r="H355" i="22"/>
  <c r="F355" i="22"/>
  <c r="H354" i="22"/>
  <c r="F354" i="22"/>
  <c r="F353" i="22"/>
  <c r="H348" i="22"/>
  <c r="F348" i="22"/>
  <c r="F347" i="22"/>
  <c r="J339" i="22"/>
  <c r="C339" i="22"/>
  <c r="J338" i="22"/>
  <c r="C338" i="22"/>
  <c r="J337" i="22"/>
  <c r="C337" i="22"/>
  <c r="J336" i="22"/>
  <c r="C332" i="22"/>
  <c r="C331" i="22"/>
  <c r="H326" i="22"/>
  <c r="F326" i="22"/>
  <c r="H325" i="22"/>
  <c r="F325" i="22"/>
  <c r="H324" i="22"/>
  <c r="F324" i="22"/>
  <c r="H323" i="22"/>
  <c r="F323" i="22"/>
  <c r="H322" i="22"/>
  <c r="F322" i="22"/>
  <c r="H321" i="22"/>
  <c r="F321" i="22"/>
  <c r="H320" i="22"/>
  <c r="F320" i="22"/>
  <c r="H319" i="22"/>
  <c r="F319" i="22"/>
  <c r="H315" i="22"/>
  <c r="F315" i="22"/>
  <c r="H314" i="22"/>
  <c r="F314" i="22"/>
  <c r="H313" i="22"/>
  <c r="F313" i="22"/>
  <c r="J303" i="22"/>
  <c r="C303" i="22"/>
  <c r="J302" i="22"/>
  <c r="C302" i="22"/>
  <c r="J301" i="22"/>
  <c r="C301" i="22"/>
  <c r="J300" i="22"/>
  <c r="C296" i="22"/>
  <c r="C295" i="22"/>
  <c r="H288" i="22"/>
  <c r="F288" i="22"/>
  <c r="H287" i="22"/>
  <c r="F287" i="22"/>
  <c r="H284" i="22"/>
  <c r="H279" i="22"/>
  <c r="F279" i="22"/>
  <c r="H275" i="22"/>
  <c r="F275" i="22"/>
  <c r="F274" i="22"/>
  <c r="F273" i="22"/>
  <c r="F272" i="22"/>
  <c r="F271" i="22"/>
  <c r="F270" i="22"/>
  <c r="F269" i="22"/>
  <c r="F268" i="22"/>
  <c r="F267" i="22"/>
  <c r="F266" i="22"/>
  <c r="H265" i="22"/>
  <c r="F265" i="22"/>
  <c r="H264" i="22"/>
  <c r="F264" i="22"/>
  <c r="H263" i="22"/>
  <c r="F263" i="22"/>
  <c r="H262" i="22"/>
  <c r="F262" i="22"/>
  <c r="H261" i="22"/>
  <c r="F261" i="22"/>
  <c r="H260" i="22"/>
  <c r="F260" i="22"/>
  <c r="H259" i="22"/>
  <c r="F259" i="22"/>
  <c r="H258" i="22"/>
  <c r="F258" i="22"/>
  <c r="H257" i="22"/>
  <c r="F257" i="22"/>
  <c r="J247" i="22"/>
  <c r="C247" i="22"/>
  <c r="J246" i="22"/>
  <c r="C246" i="22"/>
  <c r="J245" i="22"/>
  <c r="C245" i="22"/>
  <c r="J244" i="22"/>
  <c r="C240" i="22"/>
  <c r="C239" i="22"/>
  <c r="F236" i="22"/>
  <c r="F235" i="22"/>
  <c r="F234" i="22"/>
  <c r="F227" i="22"/>
  <c r="F226" i="22"/>
  <c r="F225" i="22"/>
  <c r="H219" i="22"/>
  <c r="F219" i="22"/>
  <c r="H217" i="22"/>
  <c r="F217" i="22"/>
  <c r="H216" i="22"/>
  <c r="F216" i="22"/>
  <c r="H215" i="22"/>
  <c r="F215" i="22"/>
  <c r="H214" i="22"/>
  <c r="F214" i="22"/>
  <c r="H213" i="22"/>
  <c r="F213" i="22"/>
  <c r="J203" i="22"/>
  <c r="C203" i="22"/>
  <c r="J202" i="22"/>
  <c r="C202" i="22"/>
  <c r="J201" i="22"/>
  <c r="C201" i="22"/>
  <c r="J200" i="22"/>
  <c r="C196" i="22"/>
  <c r="C195" i="22"/>
  <c r="H191" i="22"/>
  <c r="F191" i="22"/>
  <c r="H190" i="22"/>
  <c r="F190" i="22"/>
  <c r="H189" i="22"/>
  <c r="F189" i="22"/>
  <c r="H188" i="22"/>
  <c r="F188" i="22"/>
  <c r="H187" i="22"/>
  <c r="F187" i="22"/>
  <c r="H186" i="22"/>
  <c r="F186" i="22"/>
  <c r="H185" i="22"/>
  <c r="F185" i="22"/>
  <c r="H184" i="22"/>
  <c r="F184" i="22"/>
  <c r="H183" i="22"/>
  <c r="F183" i="22"/>
  <c r="H178" i="22"/>
  <c r="F178" i="22"/>
  <c r="H177" i="22"/>
  <c r="F177" i="22"/>
  <c r="H176" i="22"/>
  <c r="F176" i="22"/>
  <c r="H175" i="22"/>
  <c r="F175" i="22"/>
  <c r="H174" i="22"/>
  <c r="F174" i="22"/>
  <c r="H173" i="22"/>
  <c r="F173" i="22"/>
  <c r="H172" i="22"/>
  <c r="F172" i="22"/>
  <c r="H171" i="22"/>
  <c r="F171" i="22"/>
  <c r="H170" i="22"/>
  <c r="F170" i="22"/>
  <c r="H169" i="22"/>
  <c r="F169" i="22"/>
  <c r="H163" i="22"/>
  <c r="F163" i="22"/>
  <c r="H156" i="22"/>
  <c r="F156" i="22"/>
  <c r="H155" i="22"/>
  <c r="F155" i="22"/>
  <c r="H154" i="22"/>
  <c r="F154" i="22"/>
  <c r="H153" i="22"/>
  <c r="F153" i="22"/>
  <c r="H152" i="22"/>
  <c r="F152" i="22"/>
  <c r="H151" i="22"/>
  <c r="F151" i="22"/>
  <c r="H146" i="22"/>
  <c r="F146" i="22"/>
  <c r="H145" i="22"/>
  <c r="F145" i="22"/>
  <c r="H143" i="22"/>
  <c r="F143" i="22"/>
  <c r="H142" i="22"/>
  <c r="F142" i="22"/>
  <c r="H141" i="22"/>
  <c r="F141" i="22"/>
  <c r="H138" i="22"/>
  <c r="F138" i="22"/>
  <c r="H137" i="22"/>
  <c r="F137" i="22"/>
  <c r="J127" i="22"/>
  <c r="C127" i="22"/>
  <c r="J126" i="22"/>
  <c r="C126" i="22"/>
  <c r="J125" i="22"/>
  <c r="C125" i="22"/>
  <c r="J124" i="22"/>
  <c r="C120" i="22"/>
  <c r="C119" i="22"/>
  <c r="H114" i="22"/>
  <c r="F114" i="22"/>
  <c r="H113" i="22"/>
  <c r="F113" i="22"/>
  <c r="H112" i="22"/>
  <c r="F112" i="22"/>
  <c r="H111" i="22"/>
  <c r="H110" i="22"/>
  <c r="F109" i="22"/>
  <c r="H102" i="22"/>
  <c r="F102" i="22"/>
  <c r="H101" i="22"/>
  <c r="F101" i="22"/>
  <c r="H100" i="22"/>
  <c r="F100" i="22"/>
  <c r="H99" i="22"/>
  <c r="F99" i="22"/>
  <c r="H95" i="22"/>
  <c r="F95" i="22"/>
  <c r="H94" i="22"/>
  <c r="F94" i="22"/>
  <c r="H93" i="22"/>
  <c r="F93" i="22"/>
  <c r="H92" i="22"/>
  <c r="F92" i="22"/>
  <c r="H91" i="22"/>
  <c r="F91" i="22"/>
  <c r="H85" i="22"/>
  <c r="F85" i="22"/>
  <c r="H84" i="22"/>
  <c r="H83" i="22"/>
  <c r="F83" i="22"/>
  <c r="H82" i="22"/>
  <c r="F82" i="22"/>
  <c r="H81" i="22"/>
  <c r="F81" i="22"/>
  <c r="H77" i="22"/>
  <c r="F77" i="22"/>
  <c r="H76" i="22"/>
  <c r="F76" i="22"/>
  <c r="H75" i="22"/>
  <c r="F75" i="22"/>
  <c r="H73" i="22"/>
  <c r="F73" i="22"/>
  <c r="H72" i="22"/>
  <c r="F72" i="22"/>
  <c r="H71" i="22"/>
  <c r="F71" i="22"/>
  <c r="H70" i="22"/>
  <c r="F70" i="22"/>
  <c r="J57" i="22"/>
  <c r="C57" i="22"/>
  <c r="J56" i="22"/>
  <c r="C56" i="22"/>
  <c r="J55" i="22"/>
  <c r="C55" i="22"/>
  <c r="J54" i="22"/>
  <c r="C50" i="22"/>
  <c r="C49" i="22"/>
  <c r="H44" i="22"/>
  <c r="H43" i="22"/>
  <c r="H42" i="22"/>
  <c r="H41" i="22"/>
  <c r="H40" i="22"/>
  <c r="H39" i="22"/>
  <c r="H38" i="22"/>
  <c r="H37" i="22"/>
  <c r="H36" i="22"/>
  <c r="H35" i="22"/>
  <c r="H34" i="22"/>
  <c r="F34" i="22"/>
  <c r="H33" i="22"/>
  <c r="F33" i="22"/>
  <c r="H32" i="22"/>
  <c r="F32" i="22"/>
  <c r="H26" i="22"/>
  <c r="F26" i="22"/>
  <c r="H29" i="22"/>
  <c r="F29" i="22"/>
  <c r="H25" i="22"/>
  <c r="F25" i="22"/>
  <c r="H24" i="22"/>
  <c r="F24" i="22"/>
  <c r="H23" i="22"/>
  <c r="F23" i="22"/>
  <c r="H22" i="22"/>
  <c r="F22" i="22"/>
  <c r="H21" i="22"/>
  <c r="F21" i="22"/>
  <c r="J11" i="22"/>
  <c r="J10" i="22"/>
  <c r="C10" i="22"/>
  <c r="J9" i="22"/>
  <c r="C9" i="22"/>
  <c r="J8" i="22"/>
  <c r="C4" i="22"/>
  <c r="C3" i="22"/>
  <c r="H372" i="21"/>
  <c r="H369" i="21"/>
  <c r="H368" i="21"/>
  <c r="H367" i="21"/>
  <c r="H366" i="21"/>
  <c r="H362" i="21"/>
  <c r="H361" i="21"/>
  <c r="H360" i="21"/>
  <c r="H354" i="21"/>
  <c r="J345" i="21"/>
  <c r="C345" i="21"/>
  <c r="J344" i="21"/>
  <c r="C344" i="21"/>
  <c r="J343" i="21"/>
  <c r="C343" i="21"/>
  <c r="J342" i="21"/>
  <c r="C338" i="21"/>
  <c r="C337" i="21"/>
  <c r="H332" i="21"/>
  <c r="H331" i="21"/>
  <c r="H329" i="21"/>
  <c r="H328" i="21"/>
  <c r="H327" i="21"/>
  <c r="H326" i="21"/>
  <c r="H325" i="21"/>
  <c r="H324" i="21"/>
  <c r="H320" i="21"/>
  <c r="H319" i="21"/>
  <c r="H318" i="21"/>
  <c r="J308" i="21"/>
  <c r="C308" i="21"/>
  <c r="J307" i="21"/>
  <c r="C307" i="21"/>
  <c r="J306" i="21"/>
  <c r="C306" i="21"/>
  <c r="J305" i="21"/>
  <c r="C301" i="21"/>
  <c r="C300" i="21"/>
  <c r="H294" i="21"/>
  <c r="H293" i="21"/>
  <c r="H290" i="21"/>
  <c r="H285" i="21"/>
  <c r="H281" i="21"/>
  <c r="H270" i="21"/>
  <c r="H269" i="21"/>
  <c r="H268" i="21"/>
  <c r="H267" i="21"/>
  <c r="H266" i="21"/>
  <c r="H265" i="21"/>
  <c r="H264" i="21"/>
  <c r="H263" i="21"/>
  <c r="H262" i="21"/>
  <c r="J252" i="21"/>
  <c r="C252" i="21"/>
  <c r="J251" i="21"/>
  <c r="C251" i="21"/>
  <c r="J250" i="21"/>
  <c r="C250" i="21"/>
  <c r="J249" i="21"/>
  <c r="C245" i="21"/>
  <c r="C244" i="21"/>
  <c r="H224" i="21"/>
  <c r="H222" i="21"/>
  <c r="H221" i="21"/>
  <c r="H220" i="21"/>
  <c r="H219" i="21"/>
  <c r="H218" i="21"/>
  <c r="J208" i="21"/>
  <c r="C208" i="21"/>
  <c r="J207" i="21"/>
  <c r="C207" i="21"/>
  <c r="J206" i="21"/>
  <c r="C206" i="21"/>
  <c r="J205" i="21"/>
  <c r="C201" i="21"/>
  <c r="C200" i="21"/>
  <c r="H196" i="21"/>
  <c r="H195" i="21"/>
  <c r="H194" i="21"/>
  <c r="H193" i="21"/>
  <c r="H192" i="21"/>
  <c r="H191" i="21"/>
  <c r="H190" i="21"/>
  <c r="H189" i="21"/>
  <c r="H188" i="21"/>
  <c r="H183" i="21"/>
  <c r="H182" i="21"/>
  <c r="H181" i="21"/>
  <c r="H180" i="21"/>
  <c r="H179" i="21"/>
  <c r="H178" i="21"/>
  <c r="H177" i="21"/>
  <c r="H176" i="21"/>
  <c r="H175" i="21"/>
  <c r="H174" i="21"/>
  <c r="H168" i="21"/>
  <c r="H161" i="21"/>
  <c r="H160" i="21"/>
  <c r="H159" i="21"/>
  <c r="H158" i="21"/>
  <c r="H157" i="21"/>
  <c r="H156" i="21"/>
  <c r="H151" i="21"/>
  <c r="H150" i="21"/>
  <c r="H149" i="21"/>
  <c r="H148" i="21"/>
  <c r="H147" i="21"/>
  <c r="H146" i="21"/>
  <c r="H145" i="21"/>
  <c r="J135" i="21"/>
  <c r="J134" i="21"/>
  <c r="J133" i="21"/>
  <c r="J132" i="21"/>
  <c r="H122" i="21"/>
  <c r="H121" i="21"/>
  <c r="H120" i="21"/>
  <c r="H119" i="21"/>
  <c r="H118" i="21"/>
  <c r="H110" i="21"/>
  <c r="H109" i="21"/>
  <c r="H108" i="21"/>
  <c r="H107" i="21"/>
  <c r="H102" i="21"/>
  <c r="H101" i="21"/>
  <c r="H100" i="21"/>
  <c r="H99" i="21"/>
  <c r="H98" i="21"/>
  <c r="H92" i="21"/>
  <c r="H91" i="21"/>
  <c r="H90" i="21"/>
  <c r="H89" i="21"/>
  <c r="H88" i="21"/>
  <c r="H84" i="21"/>
  <c r="H81" i="21"/>
  <c r="H80" i="21"/>
  <c r="H79" i="21"/>
  <c r="H78" i="21"/>
  <c r="H77" i="21"/>
  <c r="H76" i="21"/>
  <c r="J63" i="21"/>
  <c r="C63" i="21"/>
  <c r="J62" i="21"/>
  <c r="C62" i="21"/>
  <c r="J61" i="21"/>
  <c r="C61" i="21"/>
  <c r="J60" i="21"/>
  <c r="C56" i="21"/>
  <c r="C55" i="21"/>
  <c r="H50" i="21"/>
  <c r="F50" i="21"/>
  <c r="F44" i="22" s="1"/>
  <c r="H49" i="21"/>
  <c r="F49" i="21"/>
  <c r="H48" i="21"/>
  <c r="F48" i="21"/>
  <c r="H47" i="21"/>
  <c r="F47" i="21"/>
  <c r="F43" i="22" s="1"/>
  <c r="H46" i="21"/>
  <c r="F46" i="21"/>
  <c r="F42" i="22" s="1"/>
  <c r="H45" i="21"/>
  <c r="F45" i="21"/>
  <c r="F41" i="22" s="1"/>
  <c r="H44" i="21"/>
  <c r="F44" i="21"/>
  <c r="F40" i="22" s="1"/>
  <c r="H42" i="21"/>
  <c r="F42" i="21"/>
  <c r="F39" i="22" s="1"/>
  <c r="H41" i="21"/>
  <c r="F41" i="21"/>
  <c r="F38" i="22" s="1"/>
  <c r="H40" i="21"/>
  <c r="F40" i="21"/>
  <c r="F37" i="22" s="1"/>
  <c r="F39" i="21"/>
  <c r="F36" i="22" s="1"/>
  <c r="H37" i="21"/>
  <c r="F37" i="21"/>
  <c r="F35" i="22" s="1"/>
  <c r="H34" i="21"/>
  <c r="H33" i="21"/>
  <c r="H32" i="21"/>
  <c r="H29" i="21"/>
  <c r="H26" i="21"/>
  <c r="H25" i="21"/>
  <c r="H24" i="21"/>
  <c r="H23" i="21"/>
  <c r="H22" i="21"/>
  <c r="H21" i="21"/>
  <c r="J11" i="21"/>
  <c r="J10" i="21"/>
  <c r="C10" i="21"/>
  <c r="J9" i="21"/>
  <c r="C9" i="21"/>
  <c r="J8" i="21"/>
  <c r="C4" i="21"/>
  <c r="C3" i="21"/>
  <c r="J29" i="163"/>
  <c r="Q3" i="163"/>
  <c r="A2" i="163"/>
  <c r="A1" i="163"/>
  <c r="T237" i="20"/>
  <c r="T236" i="20"/>
  <c r="T235" i="20"/>
  <c r="T234" i="20"/>
  <c r="T232" i="20"/>
  <c r="T230" i="20"/>
  <c r="T221" i="20"/>
  <c r="T220" i="20"/>
  <c r="T219" i="20"/>
  <c r="T218" i="20"/>
  <c r="T217" i="20"/>
  <c r="S216" i="20"/>
  <c r="T214" i="20"/>
  <c r="T213" i="20"/>
  <c r="T212" i="20"/>
  <c r="T211" i="20"/>
  <c r="T210" i="20"/>
  <c r="S209" i="20"/>
  <c r="AK205" i="20"/>
  <c r="T204" i="20"/>
  <c r="T203" i="20"/>
  <c r="T202" i="20"/>
  <c r="T201" i="20"/>
  <c r="AA201" i="20" s="1" a="1"/>
  <c r="AA201" i="20" s="1"/>
  <c r="T200" i="20"/>
  <c r="S199" i="20"/>
  <c r="AK197" i="20"/>
  <c r="T196" i="20"/>
  <c r="T195" i="20"/>
  <c r="T194" i="20"/>
  <c r="T193" i="20"/>
  <c r="T192" i="20"/>
  <c r="S191" i="20"/>
  <c r="T189" i="20"/>
  <c r="AK188" i="20"/>
  <c r="T187" i="20"/>
  <c r="T186" i="20"/>
  <c r="T185" i="20"/>
  <c r="T182" i="20"/>
  <c r="Y182" i="20" s="1"/>
  <c r="T181" i="20"/>
  <c r="T180" i="20"/>
  <c r="T179" i="20"/>
  <c r="T178" i="20"/>
  <c r="T177" i="20"/>
  <c r="S177" i="20"/>
  <c r="AJ174" i="20"/>
  <c r="AI174" i="20"/>
  <c r="AH174" i="20"/>
  <c r="AG174" i="20"/>
  <c r="AF174" i="20"/>
  <c r="AE174" i="20"/>
  <c r="AD174" i="20"/>
  <c r="AC174" i="20"/>
  <c r="AB174" i="20"/>
  <c r="AA174" i="20"/>
  <c r="Z174" i="20"/>
  <c r="Y174" i="20"/>
  <c r="U170" i="20"/>
  <c r="U169" i="20"/>
  <c r="AJ166" i="20"/>
  <c r="U166" i="20"/>
  <c r="U165" i="20"/>
  <c r="U164" i="20"/>
  <c r="AK121" i="20"/>
  <c r="AK113" i="20"/>
  <c r="AK104" i="20"/>
  <c r="AJ90" i="20"/>
  <c r="AI90" i="20"/>
  <c r="AH90" i="20"/>
  <c r="AG90" i="20"/>
  <c r="AF90" i="20"/>
  <c r="AE90" i="20"/>
  <c r="AD90" i="20"/>
  <c r="AC90" i="20"/>
  <c r="AB90" i="20"/>
  <c r="AA90" i="20"/>
  <c r="Z90" i="20"/>
  <c r="Y90" i="20"/>
  <c r="U86" i="20"/>
  <c r="U85" i="20"/>
  <c r="AJ82" i="20"/>
  <c r="U82" i="20"/>
  <c r="U81" i="20"/>
  <c r="U80" i="20"/>
  <c r="K45" i="20"/>
  <c r="K44" i="20"/>
  <c r="Q42" i="20"/>
  <c r="K42" i="20"/>
  <c r="K41" i="20"/>
  <c r="K40" i="20"/>
  <c r="A6" i="20"/>
  <c r="A5" i="20"/>
  <c r="G3" i="20"/>
  <c r="A3" i="20"/>
  <c r="A2" i="20"/>
  <c r="A1" i="20"/>
  <c r="L10" i="19"/>
  <c r="A8" i="19"/>
  <c r="A7" i="19"/>
  <c r="A2" i="19"/>
  <c r="A1" i="19"/>
  <c r="L65" i="18"/>
  <c r="L57" i="18"/>
  <c r="N40" i="18"/>
  <c r="J40" i="18"/>
  <c r="J39" i="18"/>
  <c r="J38" i="18"/>
  <c r="H9" i="18"/>
  <c r="A7" i="18"/>
  <c r="A6" i="18"/>
  <c r="A2" i="18"/>
  <c r="A1" i="18"/>
  <c r="H127" i="164"/>
  <c r="I126" i="164"/>
  <c r="G126" i="164"/>
  <c r="E126" i="164"/>
  <c r="Q124" i="164"/>
  <c r="O124" i="164"/>
  <c r="M124" i="164"/>
  <c r="K124" i="164"/>
  <c r="I124" i="164"/>
  <c r="Q123" i="164"/>
  <c r="O123" i="164"/>
  <c r="M123" i="164"/>
  <c r="K123" i="164"/>
  <c r="I123" i="164"/>
  <c r="G123" i="164"/>
  <c r="E123" i="164"/>
  <c r="Q122" i="164"/>
  <c r="O122" i="164"/>
  <c r="M122" i="164"/>
  <c r="K122" i="164"/>
  <c r="I122" i="164"/>
  <c r="G122" i="164"/>
  <c r="E122" i="164"/>
  <c r="Q121" i="164"/>
  <c r="O121" i="164"/>
  <c r="M121" i="164"/>
  <c r="K121" i="164"/>
  <c r="I121" i="164"/>
  <c r="G121" i="164"/>
  <c r="E121" i="164"/>
  <c r="J119" i="164"/>
  <c r="H119" i="164"/>
  <c r="Q118" i="164"/>
  <c r="O118" i="164"/>
  <c r="M118" i="164"/>
  <c r="K118" i="164"/>
  <c r="I118" i="164"/>
  <c r="G118" i="164"/>
  <c r="E118" i="164"/>
  <c r="Q117" i="164"/>
  <c r="O117" i="164"/>
  <c r="M117" i="164"/>
  <c r="K117" i="164"/>
  <c r="I117" i="164"/>
  <c r="G117" i="164"/>
  <c r="E117" i="164"/>
  <c r="Q116" i="164"/>
  <c r="O116" i="164"/>
  <c r="M116" i="164"/>
  <c r="K116" i="164"/>
  <c r="I116" i="164"/>
  <c r="G116" i="164"/>
  <c r="E116" i="164"/>
  <c r="Q115" i="164"/>
  <c r="O115" i="164"/>
  <c r="M115" i="164"/>
  <c r="K115" i="164"/>
  <c r="I115" i="164"/>
  <c r="G115" i="164"/>
  <c r="E115" i="164"/>
  <c r="Q114" i="164"/>
  <c r="O114" i="164"/>
  <c r="M114" i="164"/>
  <c r="K114" i="164"/>
  <c r="I114" i="164"/>
  <c r="G114" i="164"/>
  <c r="E114" i="164"/>
  <c r="Q113" i="164"/>
  <c r="O113" i="164"/>
  <c r="M113" i="164"/>
  <c r="K113" i="164"/>
  <c r="I113" i="164"/>
  <c r="G113" i="164"/>
  <c r="E113" i="164"/>
  <c r="Q112" i="164"/>
  <c r="O112" i="164"/>
  <c r="M112" i="164"/>
  <c r="K112" i="164"/>
  <c r="I112" i="164"/>
  <c r="G112" i="164"/>
  <c r="E112" i="164"/>
  <c r="Q111" i="164"/>
  <c r="O111" i="164"/>
  <c r="M111" i="164"/>
  <c r="K111" i="164"/>
  <c r="I111" i="164"/>
  <c r="G111" i="164"/>
  <c r="E111" i="164"/>
  <c r="Q110" i="164"/>
  <c r="O110" i="164"/>
  <c r="M110" i="164"/>
  <c r="K110" i="164"/>
  <c r="I110" i="164"/>
  <c r="G110" i="164"/>
  <c r="E110" i="164"/>
  <c r="Q109" i="164"/>
  <c r="O109" i="164"/>
  <c r="M109" i="164"/>
  <c r="K109" i="164"/>
  <c r="I109" i="164"/>
  <c r="G109" i="164"/>
  <c r="E109" i="164"/>
  <c r="Q108" i="164"/>
  <c r="O108" i="164"/>
  <c r="M108" i="164"/>
  <c r="K108" i="164"/>
  <c r="I108" i="164"/>
  <c r="G108" i="164"/>
  <c r="E108" i="164"/>
  <c r="Q107" i="164"/>
  <c r="O107" i="164"/>
  <c r="M107" i="164"/>
  <c r="K107" i="164"/>
  <c r="I107" i="164"/>
  <c r="G107" i="164"/>
  <c r="E107" i="164"/>
  <c r="Q106" i="164"/>
  <c r="O106" i="164"/>
  <c r="M106" i="164"/>
  <c r="K106" i="164"/>
  <c r="I106" i="164"/>
  <c r="G106" i="164"/>
  <c r="E106" i="164"/>
  <c r="Q103" i="164"/>
  <c r="O103" i="164"/>
  <c r="M103" i="164"/>
  <c r="K103" i="164"/>
  <c r="I103" i="164"/>
  <c r="G103" i="164"/>
  <c r="E103" i="164"/>
  <c r="Q102" i="164"/>
  <c r="O102" i="164"/>
  <c r="M102" i="164"/>
  <c r="K102" i="164"/>
  <c r="I102" i="164"/>
  <c r="G102" i="164"/>
  <c r="E102" i="164"/>
  <c r="Q101" i="164"/>
  <c r="O101" i="164"/>
  <c r="M101" i="164"/>
  <c r="K101" i="164"/>
  <c r="I101" i="164"/>
  <c r="G101" i="164"/>
  <c r="E101" i="164"/>
  <c r="Q100" i="164"/>
  <c r="O100" i="164"/>
  <c r="M100" i="164"/>
  <c r="K100" i="164"/>
  <c r="I100" i="164"/>
  <c r="G100" i="164"/>
  <c r="E100" i="164"/>
  <c r="Q99" i="164"/>
  <c r="O99" i="164"/>
  <c r="M99" i="164"/>
  <c r="K99" i="164"/>
  <c r="I99" i="164"/>
  <c r="G99" i="164"/>
  <c r="E99" i="164"/>
  <c r="Q98" i="164"/>
  <c r="O98" i="164"/>
  <c r="M98" i="164"/>
  <c r="K98" i="164"/>
  <c r="I98" i="164"/>
  <c r="G98" i="164"/>
  <c r="E98" i="164"/>
  <c r="Q97" i="164"/>
  <c r="O97" i="164"/>
  <c r="M97" i="164"/>
  <c r="K97" i="164"/>
  <c r="I97" i="164"/>
  <c r="G97" i="164"/>
  <c r="E97" i="164"/>
  <c r="H70" i="110"/>
  <c r="F70" i="110"/>
  <c r="E70" i="110"/>
  <c r="Q94" i="164"/>
  <c r="O94" i="164"/>
  <c r="M94" i="164"/>
  <c r="K94" i="164"/>
  <c r="I94" i="164"/>
  <c r="G94" i="164"/>
  <c r="E94" i="164"/>
  <c r="Q93" i="164"/>
  <c r="O93" i="164"/>
  <c r="M93" i="164"/>
  <c r="K93" i="164"/>
  <c r="I93" i="164"/>
  <c r="G93" i="164"/>
  <c r="E93" i="164"/>
  <c r="Q92" i="164"/>
  <c r="O92" i="164"/>
  <c r="M92" i="164"/>
  <c r="K92" i="164"/>
  <c r="I92" i="164"/>
  <c r="G92" i="164"/>
  <c r="E92" i="164"/>
  <c r="Q91" i="164"/>
  <c r="O91" i="164"/>
  <c r="M91" i="164"/>
  <c r="K91" i="164"/>
  <c r="I91" i="164"/>
  <c r="G91" i="164"/>
  <c r="E91" i="164"/>
  <c r="Q90" i="164"/>
  <c r="O90" i="164"/>
  <c r="M90" i="164"/>
  <c r="K90" i="164"/>
  <c r="I90" i="164"/>
  <c r="G90" i="164"/>
  <c r="E90" i="164"/>
  <c r="Q87" i="164"/>
  <c r="O87" i="164"/>
  <c r="M87" i="164"/>
  <c r="K87" i="164"/>
  <c r="I87" i="164"/>
  <c r="G87" i="164"/>
  <c r="E87" i="164"/>
  <c r="Q86" i="164"/>
  <c r="O86" i="164"/>
  <c r="M86" i="164"/>
  <c r="K86" i="164"/>
  <c r="I86" i="164"/>
  <c r="G86" i="164"/>
  <c r="E86" i="164"/>
  <c r="Q85" i="164"/>
  <c r="O85" i="164"/>
  <c r="M85" i="164"/>
  <c r="K85" i="164"/>
  <c r="I85" i="164"/>
  <c r="G85" i="164"/>
  <c r="E85" i="164"/>
  <c r="Q84" i="164"/>
  <c r="M84" i="164"/>
  <c r="K84" i="164"/>
  <c r="I84" i="164"/>
  <c r="G84" i="164"/>
  <c r="E84" i="164"/>
  <c r="Q83" i="164"/>
  <c r="O83" i="164"/>
  <c r="M83" i="164"/>
  <c r="K83" i="164"/>
  <c r="I83" i="164"/>
  <c r="G83" i="164"/>
  <c r="E83" i="164"/>
  <c r="H80" i="164"/>
  <c r="J80" i="164" s="1"/>
  <c r="L80" i="164" s="1"/>
  <c r="N80" i="164" s="1"/>
  <c r="P80" i="164" s="1"/>
  <c r="S80" i="164" s="1"/>
  <c r="N76" i="164"/>
  <c r="A73" i="164"/>
  <c r="A71" i="164"/>
  <c r="S61" i="164"/>
  <c r="P61" i="164"/>
  <c r="N61" i="164"/>
  <c r="L61" i="164"/>
  <c r="Q60" i="164"/>
  <c r="O60" i="164"/>
  <c r="M60" i="164"/>
  <c r="K60" i="164"/>
  <c r="I60" i="164"/>
  <c r="G60" i="164"/>
  <c r="E60" i="164"/>
  <c r="Q59" i="164"/>
  <c r="O59" i="164"/>
  <c r="M59" i="164"/>
  <c r="K59" i="164"/>
  <c r="I59" i="164"/>
  <c r="G59" i="164"/>
  <c r="E59" i="164"/>
  <c r="Q58" i="164"/>
  <c r="O58" i="164"/>
  <c r="M58" i="164"/>
  <c r="K58" i="164"/>
  <c r="I58" i="164"/>
  <c r="G58" i="164"/>
  <c r="E58" i="164"/>
  <c r="Q57" i="164"/>
  <c r="O57" i="164"/>
  <c r="M57" i="164"/>
  <c r="K57" i="164"/>
  <c r="I57" i="164"/>
  <c r="G57" i="164"/>
  <c r="E57" i="164"/>
  <c r="Q56" i="164"/>
  <c r="O56" i="164"/>
  <c r="M56" i="164"/>
  <c r="K56" i="164"/>
  <c r="I56" i="164"/>
  <c r="G56" i="164"/>
  <c r="E56" i="164"/>
  <c r="Q55" i="164"/>
  <c r="O55" i="164"/>
  <c r="M55" i="164"/>
  <c r="K55" i="164"/>
  <c r="I55" i="164"/>
  <c r="G55" i="164"/>
  <c r="E55" i="164"/>
  <c r="Q54" i="164"/>
  <c r="O54" i="164"/>
  <c r="M54" i="164"/>
  <c r="K54" i="164"/>
  <c r="I54" i="164"/>
  <c r="G54" i="164"/>
  <c r="E54" i="164"/>
  <c r="Q53" i="164"/>
  <c r="O53" i="164"/>
  <c r="M53" i="164"/>
  <c r="Q52" i="164"/>
  <c r="O52" i="164"/>
  <c r="M52" i="164"/>
  <c r="G52" i="164"/>
  <c r="E52" i="164"/>
  <c r="Q49" i="164"/>
  <c r="O49" i="164"/>
  <c r="M49" i="164"/>
  <c r="K49" i="164"/>
  <c r="I49" i="164"/>
  <c r="G49" i="164"/>
  <c r="E49" i="164"/>
  <c r="Q48" i="164"/>
  <c r="O48" i="164"/>
  <c r="M48" i="164"/>
  <c r="K48" i="164"/>
  <c r="I48" i="164"/>
  <c r="G48" i="164"/>
  <c r="E48" i="164"/>
  <c r="Q47" i="164"/>
  <c r="O47" i="164"/>
  <c r="M47" i="164"/>
  <c r="K47" i="164"/>
  <c r="I47" i="164"/>
  <c r="G47" i="164"/>
  <c r="E47" i="164"/>
  <c r="Q46" i="164"/>
  <c r="O46" i="164"/>
  <c r="M46" i="164"/>
  <c r="K46" i="164"/>
  <c r="I46" i="164"/>
  <c r="G46" i="164"/>
  <c r="E46" i="164"/>
  <c r="Q45" i="164"/>
  <c r="O45" i="164"/>
  <c r="M45" i="164"/>
  <c r="K45" i="164"/>
  <c r="I45" i="164"/>
  <c r="G45" i="164"/>
  <c r="E45" i="164"/>
  <c r="Q44" i="164"/>
  <c r="O44" i="164"/>
  <c r="M44" i="164"/>
  <c r="K44" i="164"/>
  <c r="I44" i="164"/>
  <c r="G44" i="164"/>
  <c r="E44" i="164"/>
  <c r="Q43" i="164"/>
  <c r="O43" i="164"/>
  <c r="M43" i="164"/>
  <c r="K43" i="164"/>
  <c r="I43" i="164"/>
  <c r="G43" i="164"/>
  <c r="E43" i="164"/>
  <c r="Q42" i="164"/>
  <c r="O42" i="164"/>
  <c r="M42" i="164"/>
  <c r="K42" i="164"/>
  <c r="I42" i="164"/>
  <c r="G42" i="164"/>
  <c r="E42" i="164"/>
  <c r="Q41" i="164"/>
  <c r="O41" i="164"/>
  <c r="M41" i="164"/>
  <c r="K41" i="164"/>
  <c r="I41" i="164"/>
  <c r="G41" i="164"/>
  <c r="E41" i="164"/>
  <c r="Q40" i="164"/>
  <c r="O40" i="164"/>
  <c r="M40" i="164"/>
  <c r="K40" i="164"/>
  <c r="I40" i="164"/>
  <c r="G40" i="164"/>
  <c r="E40" i="164"/>
  <c r="S50" i="164"/>
  <c r="K52" i="164"/>
  <c r="E39" i="164"/>
  <c r="Q38" i="164"/>
  <c r="O38" i="164"/>
  <c r="M38" i="164"/>
  <c r="K38" i="164"/>
  <c r="I38" i="164"/>
  <c r="G38" i="164"/>
  <c r="E38" i="164"/>
  <c r="Q37" i="164"/>
  <c r="O37" i="164"/>
  <c r="M37" i="164"/>
  <c r="K37" i="164"/>
  <c r="I37" i="164"/>
  <c r="G37" i="164"/>
  <c r="E37" i="164"/>
  <c r="Q36" i="164"/>
  <c r="O36" i="164"/>
  <c r="M36" i="164"/>
  <c r="K36" i="164"/>
  <c r="I36" i="164"/>
  <c r="G36" i="164"/>
  <c r="E36" i="164"/>
  <c r="Q35" i="164"/>
  <c r="O35" i="164"/>
  <c r="M35" i="164"/>
  <c r="K35" i="164"/>
  <c r="I35" i="164"/>
  <c r="G35" i="164"/>
  <c r="E35" i="164"/>
  <c r="Q34" i="164"/>
  <c r="O34" i="164"/>
  <c r="M34" i="164"/>
  <c r="K34" i="164"/>
  <c r="I34" i="164"/>
  <c r="G34" i="164"/>
  <c r="E34" i="164"/>
  <c r="Q33" i="164"/>
  <c r="O33" i="164"/>
  <c r="M33" i="164"/>
  <c r="K33" i="164"/>
  <c r="I33" i="164"/>
  <c r="G33" i="164"/>
  <c r="E33" i="164"/>
  <c r="Q32" i="164"/>
  <c r="O32" i="164"/>
  <c r="M32" i="164"/>
  <c r="K32" i="164"/>
  <c r="I32" i="164"/>
  <c r="G32" i="164"/>
  <c r="E32" i="164"/>
  <c r="Q31" i="164"/>
  <c r="O31" i="164"/>
  <c r="M31" i="164"/>
  <c r="K31" i="164"/>
  <c r="I31" i="164"/>
  <c r="G31" i="164"/>
  <c r="E31" i="164"/>
  <c r="Q30" i="164"/>
  <c r="O30" i="164"/>
  <c r="M30" i="164"/>
  <c r="K30" i="164"/>
  <c r="I30" i="164"/>
  <c r="G30" i="164"/>
  <c r="E30" i="164"/>
  <c r="S28" i="164"/>
  <c r="P28" i="164"/>
  <c r="N28" i="164"/>
  <c r="Q27" i="164"/>
  <c r="O27" i="164"/>
  <c r="M27" i="164"/>
  <c r="K27" i="164"/>
  <c r="I27" i="164"/>
  <c r="G27" i="164"/>
  <c r="E27" i="164"/>
  <c r="Q26" i="164"/>
  <c r="O26" i="164"/>
  <c r="M26" i="164"/>
  <c r="K26" i="164"/>
  <c r="I26" i="164"/>
  <c r="G26" i="164"/>
  <c r="E26" i="164"/>
  <c r="Q25" i="164"/>
  <c r="O25" i="164"/>
  <c r="M25" i="164"/>
  <c r="K25" i="164"/>
  <c r="I25" i="164"/>
  <c r="G25" i="164"/>
  <c r="E25" i="164"/>
  <c r="Q24" i="164"/>
  <c r="O24" i="164"/>
  <c r="M24" i="164"/>
  <c r="K24" i="164"/>
  <c r="I24" i="164"/>
  <c r="G24" i="164"/>
  <c r="E24" i="164"/>
  <c r="Q23" i="164"/>
  <c r="O23" i="164"/>
  <c r="M23" i="164"/>
  <c r="K23" i="164"/>
  <c r="I23" i="164"/>
  <c r="G23" i="164"/>
  <c r="E23" i="164"/>
  <c r="Q22" i="164"/>
  <c r="O22" i="164"/>
  <c r="M22" i="164"/>
  <c r="K22" i="164"/>
  <c r="I22" i="164"/>
  <c r="G22" i="164"/>
  <c r="E22" i="164"/>
  <c r="Q19" i="164"/>
  <c r="O19" i="164"/>
  <c r="M19" i="164"/>
  <c r="K19" i="164"/>
  <c r="I19" i="164"/>
  <c r="G19" i="164"/>
  <c r="E19" i="164"/>
  <c r="S18" i="164"/>
  <c r="S20" i="164" s="1"/>
  <c r="P18" i="164"/>
  <c r="P20" i="164" s="1"/>
  <c r="N18" i="164"/>
  <c r="L20" i="164"/>
  <c r="Q17" i="164"/>
  <c r="O17" i="164"/>
  <c r="M17" i="164"/>
  <c r="K17" i="164"/>
  <c r="I17" i="164"/>
  <c r="G17" i="164"/>
  <c r="E17" i="164"/>
  <c r="Q16" i="164"/>
  <c r="O16" i="164"/>
  <c r="M16" i="164"/>
  <c r="K16" i="164"/>
  <c r="I16" i="164"/>
  <c r="G16" i="164"/>
  <c r="E16" i="164"/>
  <c r="J13" i="164"/>
  <c r="L13" i="164" s="1"/>
  <c r="N13" i="164" s="1"/>
  <c r="P13" i="164" s="1"/>
  <c r="S13" i="164" s="1"/>
  <c r="N9" i="164"/>
  <c r="A7" i="164"/>
  <c r="A74" i="164" s="1"/>
  <c r="A6" i="164"/>
  <c r="A2" i="164"/>
  <c r="A69" i="164" s="1"/>
  <c r="A68" i="164"/>
  <c r="AC82" i="16"/>
  <c r="V80" i="16"/>
  <c r="V79" i="16"/>
  <c r="V73" i="16"/>
  <c r="V72" i="16"/>
  <c r="T48" i="16"/>
  <c r="L46" i="16"/>
  <c r="L45" i="16"/>
  <c r="L41" i="16"/>
  <c r="L40" i="16"/>
  <c r="K9" i="16"/>
  <c r="A7" i="16"/>
  <c r="A6" i="16"/>
  <c r="A2" i="16"/>
  <c r="A1" i="16"/>
  <c r="F179" i="15"/>
  <c r="S179" i="15" s="1"/>
  <c r="T179" i="15" s="1"/>
  <c r="S136" i="15"/>
  <c r="S133" i="15"/>
  <c r="T133" i="15" s="1"/>
  <c r="F121" i="15"/>
  <c r="S121" i="15" s="1"/>
  <c r="F120" i="15"/>
  <c r="S119" i="15"/>
  <c r="F116" i="15"/>
  <c r="F111" i="15"/>
  <c r="L102" i="15"/>
  <c r="K102" i="15"/>
  <c r="J102" i="15"/>
  <c r="I102" i="15"/>
  <c r="H102" i="15"/>
  <c r="A95" i="15"/>
  <c r="S94" i="15"/>
  <c r="A94" i="15"/>
  <c r="A93" i="15"/>
  <c r="A92" i="15"/>
  <c r="F180" i="15"/>
  <c r="S180" i="15" s="1"/>
  <c r="F178" i="15"/>
  <c r="F75" i="15"/>
  <c r="F147" i="15"/>
  <c r="S147" i="15" s="1"/>
  <c r="T147" i="15" s="1"/>
  <c r="G17" i="15"/>
  <c r="H17" i="15" s="1"/>
  <c r="I17" i="15" s="1"/>
  <c r="J17" i="15" s="1"/>
  <c r="K17" i="15" s="1"/>
  <c r="L17" i="15" s="1"/>
  <c r="J13" i="15"/>
  <c r="I13" i="15"/>
  <c r="H13" i="15"/>
  <c r="G13" i="15"/>
  <c r="A4" i="15"/>
  <c r="K3" i="15"/>
  <c r="A2" i="15"/>
  <c r="A1" i="15"/>
  <c r="J72" i="14"/>
  <c r="J67" i="14"/>
  <c r="J66" i="14"/>
  <c r="J65" i="14"/>
  <c r="O55" i="14"/>
  <c r="A53" i="14"/>
  <c r="A52" i="14"/>
  <c r="A46" i="14"/>
  <c r="A45" i="14"/>
  <c r="J27" i="14"/>
  <c r="J22" i="14"/>
  <c r="J21" i="14"/>
  <c r="J20" i="14"/>
  <c r="L20" i="14" s="1"/>
  <c r="O11" i="14"/>
  <c r="A9" i="14"/>
  <c r="A8" i="14"/>
  <c r="A2" i="14"/>
  <c r="A1" i="14"/>
  <c r="CU399" i="13"/>
  <c r="CU401" i="13" s="1"/>
  <c r="CT399" i="13"/>
  <c r="CT401" i="13" s="1"/>
  <c r="CS399" i="13"/>
  <c r="CS401" i="13" s="1"/>
  <c r="CV397" i="13"/>
  <c r="CV396" i="13"/>
  <c r="CV395" i="13"/>
  <c r="CV394" i="13"/>
  <c r="CV393" i="13"/>
  <c r="CV392" i="13"/>
  <c r="CV391" i="13"/>
  <c r="CV390" i="13"/>
  <c r="CV389" i="13"/>
  <c r="CV388" i="13"/>
  <c r="CV387" i="13"/>
  <c r="CV386" i="13"/>
  <c r="U81" i="12"/>
  <c r="I34" i="12" s="1"/>
  <c r="CV382" i="13"/>
  <c r="CV381" i="13"/>
  <c r="CV380" i="13"/>
  <c r="CV379" i="13"/>
  <c r="CV378" i="13"/>
  <c r="CV377" i="13"/>
  <c r="CV376" i="13"/>
  <c r="CV375" i="13"/>
  <c r="CV374" i="13"/>
  <c r="CV373" i="13"/>
  <c r="CM373" i="13"/>
  <c r="CM374" i="13" s="1"/>
  <c r="CM375" i="13" s="1"/>
  <c r="CM376" i="13" s="1"/>
  <c r="CM377" i="13" s="1"/>
  <c r="CM378" i="13" s="1"/>
  <c r="CM379" i="13" s="1"/>
  <c r="CM380" i="13" s="1"/>
  <c r="CM381" i="13" s="1"/>
  <c r="CM382" i="13" s="1"/>
  <c r="CM383" i="13" s="1"/>
  <c r="CM384" i="13" s="1"/>
  <c r="CM385" i="13" s="1"/>
  <c r="CM386" i="13" s="1"/>
  <c r="CM387" i="13" s="1"/>
  <c r="CM388" i="13" s="1"/>
  <c r="CM389" i="13" s="1"/>
  <c r="CM390" i="13" s="1"/>
  <c r="CM391" i="13" s="1"/>
  <c r="CM392" i="13" s="1"/>
  <c r="CM393" i="13" s="1"/>
  <c r="CM394" i="13" s="1"/>
  <c r="CM395" i="13" s="1"/>
  <c r="CM396" i="13" s="1"/>
  <c r="CM397" i="13" s="1"/>
  <c r="CM398" i="13" s="1"/>
  <c r="CM399" i="13" s="1"/>
  <c r="CM400" i="13" s="1"/>
  <c r="CM401" i="13" s="1"/>
  <c r="CM361" i="13"/>
  <c r="CM360" i="13"/>
  <c r="CM359" i="13"/>
  <c r="CK347" i="13"/>
  <c r="CK349" i="13" s="1"/>
  <c r="U123" i="12" s="1"/>
  <c r="CJ347" i="13"/>
  <c r="CJ349" i="13" s="1"/>
  <c r="U122" i="12" s="1"/>
  <c r="K25" i="12" s="1"/>
  <c r="CH347" i="13"/>
  <c r="CH349" i="13" s="1"/>
  <c r="U121" i="12" s="1"/>
  <c r="K24" i="12" s="1"/>
  <c r="CF347" i="13"/>
  <c r="CF349" i="13" s="1"/>
  <c r="CE347" i="13"/>
  <c r="CE349" i="13" s="1"/>
  <c r="CB321" i="13"/>
  <c r="CB322" i="13" s="1"/>
  <c r="CB323" i="13" s="1"/>
  <c r="CB324" i="13" s="1"/>
  <c r="CB325" i="13" s="1"/>
  <c r="CB326" i="13" s="1"/>
  <c r="CB327" i="13" s="1"/>
  <c r="CB328" i="13" s="1"/>
  <c r="CB329" i="13" s="1"/>
  <c r="CB330" i="13" s="1"/>
  <c r="CB331" i="13" s="1"/>
  <c r="CB332" i="13" s="1"/>
  <c r="CB333" i="13" s="1"/>
  <c r="CB334" i="13" s="1"/>
  <c r="CB335" i="13" s="1"/>
  <c r="CB336" i="13" s="1"/>
  <c r="CB337" i="13" s="1"/>
  <c r="CB338" i="13" s="1"/>
  <c r="CB339" i="13" s="1"/>
  <c r="CB340" i="13" s="1"/>
  <c r="CB341" i="13" s="1"/>
  <c r="CB342" i="13" s="1"/>
  <c r="CB343" i="13" s="1"/>
  <c r="CB344" i="13" s="1"/>
  <c r="CB345" i="13" s="1"/>
  <c r="CB346" i="13" s="1"/>
  <c r="CB347" i="13" s="1"/>
  <c r="CB348" i="13" s="1"/>
  <c r="CB349" i="13" s="1"/>
  <c r="CB309" i="13"/>
  <c r="CB308" i="13"/>
  <c r="CB307" i="13"/>
  <c r="BZ295" i="13"/>
  <c r="BY295" i="13"/>
  <c r="BX295" i="13"/>
  <c r="BV295" i="13"/>
  <c r="BS269" i="13"/>
  <c r="BS270" i="13" s="1"/>
  <c r="BS271" i="13" s="1"/>
  <c r="BS272" i="13" s="1"/>
  <c r="BS273" i="13" s="1"/>
  <c r="BS274" i="13" s="1"/>
  <c r="BS275" i="13" s="1"/>
  <c r="BS276" i="13" s="1"/>
  <c r="BS277" i="13" s="1"/>
  <c r="BS278" i="13" s="1"/>
  <c r="BS279" i="13" s="1"/>
  <c r="BS280" i="13" s="1"/>
  <c r="BS281" i="13" s="1"/>
  <c r="BS282" i="13" s="1"/>
  <c r="BS283" i="13" s="1"/>
  <c r="BS284" i="13" s="1"/>
  <c r="BS285" i="13" s="1"/>
  <c r="BS286" i="13" s="1"/>
  <c r="BS287" i="13" s="1"/>
  <c r="BS288" i="13" s="1"/>
  <c r="BS289" i="13" s="1"/>
  <c r="BS290" i="13" s="1"/>
  <c r="BS291" i="13" s="1"/>
  <c r="BS292" i="13" s="1"/>
  <c r="BS293" i="13" s="1"/>
  <c r="BS294" i="13" s="1"/>
  <c r="BS295" i="13" s="1"/>
  <c r="BS296" i="13" s="1"/>
  <c r="BS297" i="13" s="1"/>
  <c r="BS257" i="13"/>
  <c r="BS256" i="13"/>
  <c r="BS255" i="13"/>
  <c r="BP243" i="13"/>
  <c r="BP245" i="13" s="1"/>
  <c r="AL146" i="13" s="1"/>
  <c r="BO243" i="13"/>
  <c r="BO245" i="13" s="1"/>
  <c r="AL145" i="13" s="1"/>
  <c r="BN243" i="13"/>
  <c r="BN245" i="13" s="1"/>
  <c r="AL143" i="13" s="1"/>
  <c r="BL243" i="13"/>
  <c r="BL245" i="13" s="1"/>
  <c r="AL140" i="13" s="1"/>
  <c r="BK243" i="13"/>
  <c r="BK245" i="13" s="1"/>
  <c r="AL139" i="13" s="1"/>
  <c r="BI243" i="13"/>
  <c r="BI245" i="13" s="1"/>
  <c r="AL138" i="13" s="1"/>
  <c r="BF217" i="13"/>
  <c r="BF218" i="13" s="1"/>
  <c r="BF219" i="13" s="1"/>
  <c r="BF220" i="13" s="1"/>
  <c r="BF221" i="13" s="1"/>
  <c r="BF222" i="13" s="1"/>
  <c r="BF223" i="13" s="1"/>
  <c r="BF224" i="13" s="1"/>
  <c r="BF225" i="13" s="1"/>
  <c r="BF226" i="13" s="1"/>
  <c r="BF227" i="13" s="1"/>
  <c r="BF228" i="13" s="1"/>
  <c r="BF229" i="13" s="1"/>
  <c r="BF230" i="13" s="1"/>
  <c r="BF231" i="13" s="1"/>
  <c r="BF232" i="13" s="1"/>
  <c r="BF233" i="13" s="1"/>
  <c r="BF234" i="13" s="1"/>
  <c r="BF235" i="13" s="1"/>
  <c r="BF236" i="13" s="1"/>
  <c r="BF237" i="13" s="1"/>
  <c r="BF238" i="13" s="1"/>
  <c r="BF239" i="13" s="1"/>
  <c r="BF240" i="13" s="1"/>
  <c r="BF241" i="13" s="1"/>
  <c r="BF242" i="13" s="1"/>
  <c r="BF243" i="13" s="1"/>
  <c r="BF244" i="13" s="1"/>
  <c r="BF245" i="13" s="1"/>
  <c r="BF207" i="13"/>
  <c r="BF206" i="13"/>
  <c r="BF205" i="13"/>
  <c r="AW192" i="13"/>
  <c r="AW191" i="13"/>
  <c r="AW190" i="13"/>
  <c r="AW189" i="13"/>
  <c r="AW188" i="13"/>
  <c r="AW187" i="13"/>
  <c r="AW186" i="13"/>
  <c r="AW185" i="13"/>
  <c r="AW184" i="13"/>
  <c r="AW183" i="13"/>
  <c r="CY443" i="13" s="1"/>
  <c r="AW182" i="13"/>
  <c r="AW181" i="13"/>
  <c r="AW180" i="13"/>
  <c r="AW177" i="13"/>
  <c r="AW176" i="13"/>
  <c r="AW175" i="13"/>
  <c r="AW174" i="13"/>
  <c r="CY434" i="13" s="1"/>
  <c r="AW173" i="13"/>
  <c r="AW172" i="13"/>
  <c r="AW171" i="13"/>
  <c r="AW170" i="13"/>
  <c r="AW169" i="13"/>
  <c r="AW168" i="13"/>
  <c r="AW167" i="13"/>
  <c r="AV167" i="13"/>
  <c r="AV168" i="13" s="1"/>
  <c r="AV169" i="13" s="1"/>
  <c r="AV170" i="13" s="1"/>
  <c r="AV171" i="13" s="1"/>
  <c r="AV172" i="13" s="1"/>
  <c r="AV173" i="13" s="1"/>
  <c r="AV174" i="13" s="1"/>
  <c r="AV175" i="13" s="1"/>
  <c r="AV176" i="13" s="1"/>
  <c r="AV177" i="13" s="1"/>
  <c r="AV178" i="13" s="1"/>
  <c r="AV179" i="13" s="1"/>
  <c r="AV180" i="13" s="1"/>
  <c r="AV181" i="13" s="1"/>
  <c r="AV182" i="13" s="1"/>
  <c r="AV183" i="13" s="1"/>
  <c r="AV184" i="13" s="1"/>
  <c r="AV185" i="13" s="1"/>
  <c r="AV186" i="13" s="1"/>
  <c r="AV187" i="13" s="1"/>
  <c r="AV188" i="13" s="1"/>
  <c r="AV189" i="13" s="1"/>
  <c r="AV190" i="13" s="1"/>
  <c r="AV191" i="13" s="1"/>
  <c r="AV192" i="13" s="1"/>
  <c r="AV193" i="13" s="1"/>
  <c r="AV194" i="13" s="1"/>
  <c r="AV195" i="13" s="1"/>
  <c r="AW166" i="13"/>
  <c r="CY426" i="13" s="1"/>
  <c r="AV157" i="13"/>
  <c r="AV156" i="13"/>
  <c r="AV155" i="13"/>
  <c r="AQ146" i="13"/>
  <c r="AM146" i="13"/>
  <c r="AQ145" i="13"/>
  <c r="AM145" i="13"/>
  <c r="AQ143" i="13"/>
  <c r="AM143" i="13"/>
  <c r="AQ140" i="13"/>
  <c r="AM140" i="13"/>
  <c r="AQ139" i="13"/>
  <c r="AM139" i="13"/>
  <c r="AQ138" i="13"/>
  <c r="AM138" i="13"/>
  <c r="AQ133" i="13"/>
  <c r="AO133" i="13"/>
  <c r="AQ132" i="13"/>
  <c r="AL132" i="13"/>
  <c r="AO132" i="13" s="1"/>
  <c r="AQ130" i="13"/>
  <c r="AO130" i="13"/>
  <c r="AQ127" i="13"/>
  <c r="AL127" i="13"/>
  <c r="AO127" i="13" s="1"/>
  <c r="AQ126" i="13"/>
  <c r="AL126" i="13"/>
  <c r="AO126" i="13" s="1"/>
  <c r="AQ125" i="13"/>
  <c r="AL125" i="13"/>
  <c r="AG116" i="13"/>
  <c r="AG115" i="13"/>
  <c r="AG114" i="13"/>
  <c r="AA108" i="13"/>
  <c r="AB108" i="13" s="1"/>
  <c r="X108" i="13"/>
  <c r="AA106" i="13"/>
  <c r="AB106" i="13" s="1"/>
  <c r="X106" i="13"/>
  <c r="AA105" i="13"/>
  <c r="AB105" i="13" s="1"/>
  <c r="X105" i="13"/>
  <c r="AA104" i="13"/>
  <c r="AB104" i="13" s="1"/>
  <c r="X104" i="13"/>
  <c r="W100" i="13"/>
  <c r="Z100" i="13" s="1"/>
  <c r="W98" i="13"/>
  <c r="W96" i="13"/>
  <c r="Q87" i="13"/>
  <c r="Q86" i="13"/>
  <c r="Q85" i="13"/>
  <c r="M77" i="13"/>
  <c r="M79" i="13" s="1"/>
  <c r="N61" i="13"/>
  <c r="O61" i="13" s="1"/>
  <c r="N60" i="13"/>
  <c r="O60" i="13" s="1"/>
  <c r="N59" i="13"/>
  <c r="N70" i="13" s="1"/>
  <c r="O70" i="13" s="1"/>
  <c r="N58" i="13"/>
  <c r="O58" i="13" s="1"/>
  <c r="N57" i="13"/>
  <c r="O57" i="13" s="1"/>
  <c r="N56" i="13"/>
  <c r="O56" i="13" s="1"/>
  <c r="N55" i="13"/>
  <c r="O55" i="13" s="1"/>
  <c r="N54" i="13"/>
  <c r="O54" i="13" s="1"/>
  <c r="N53" i="13"/>
  <c r="O53" i="13" s="1"/>
  <c r="N52" i="13"/>
  <c r="O52" i="13" s="1"/>
  <c r="I52" i="13"/>
  <c r="I53" i="13" s="1"/>
  <c r="I54" i="13" s="1"/>
  <c r="I55" i="13" s="1"/>
  <c r="I56" i="13" s="1"/>
  <c r="I57" i="13" s="1"/>
  <c r="I58" i="13" s="1"/>
  <c r="I59" i="13" s="1"/>
  <c r="I60" i="13" s="1"/>
  <c r="I61" i="13" s="1"/>
  <c r="I62" i="13" s="1"/>
  <c r="I63" i="13" s="1"/>
  <c r="I64" i="13" s="1"/>
  <c r="I65" i="13" s="1"/>
  <c r="I66" i="13" s="1"/>
  <c r="I67" i="13" s="1"/>
  <c r="I68" i="13" s="1"/>
  <c r="I69" i="13" s="1"/>
  <c r="I70" i="13" s="1"/>
  <c r="I71" i="13" s="1"/>
  <c r="I72" i="13" s="1"/>
  <c r="I73" i="13" s="1"/>
  <c r="I74" i="13" s="1"/>
  <c r="I75" i="13" s="1"/>
  <c r="I76" i="13" s="1"/>
  <c r="I77" i="13" s="1"/>
  <c r="I78" i="13" s="1"/>
  <c r="I79" i="13" s="1"/>
  <c r="N51" i="13"/>
  <c r="O51" i="13" s="1"/>
  <c r="O50" i="13"/>
  <c r="I50" i="13"/>
  <c r="M47" i="13"/>
  <c r="I41" i="13"/>
  <c r="I40" i="13"/>
  <c r="I39" i="13"/>
  <c r="W131" i="12"/>
  <c r="W129" i="12"/>
  <c r="W127" i="12"/>
  <c r="W123" i="12"/>
  <c r="W122" i="12"/>
  <c r="W121" i="12"/>
  <c r="W120" i="12"/>
  <c r="Q104" i="12"/>
  <c r="Q103" i="12"/>
  <c r="Q98" i="12"/>
  <c r="Q97" i="12"/>
  <c r="W81" i="12"/>
  <c r="W79" i="12"/>
  <c r="U79" i="12"/>
  <c r="W77" i="12"/>
  <c r="U77" i="12"/>
  <c r="W73" i="12"/>
  <c r="U73" i="12"/>
  <c r="W72" i="12"/>
  <c r="U72" i="12"/>
  <c r="I25" i="12" s="1"/>
  <c r="W71" i="12"/>
  <c r="U71" i="12"/>
  <c r="I24" i="12" s="1"/>
  <c r="W70" i="12"/>
  <c r="U70" i="12"/>
  <c r="Q54" i="12"/>
  <c r="Q53" i="12"/>
  <c r="Q48" i="12"/>
  <c r="Q47" i="12"/>
  <c r="I32" i="12"/>
  <c r="I30" i="12"/>
  <c r="A8" i="12"/>
  <c r="A7" i="12"/>
  <c r="A2" i="12"/>
  <c r="A1" i="12"/>
  <c r="C40" i="110"/>
  <c r="F18" i="149"/>
  <c r="F17" i="149"/>
  <c r="F16" i="149"/>
  <c r="F15" i="149"/>
  <c r="F14" i="149"/>
  <c r="F13" i="149"/>
  <c r="F12" i="149"/>
  <c r="R11" i="149"/>
  <c r="Q11" i="149"/>
  <c r="P11" i="149"/>
  <c r="O11" i="149"/>
  <c r="N11" i="149"/>
  <c r="M11" i="149"/>
  <c r="L11" i="149"/>
  <c r="K11" i="149"/>
  <c r="J11" i="149"/>
  <c r="I11" i="149"/>
  <c r="H11" i="149"/>
  <c r="G11" i="149"/>
  <c r="A7" i="149"/>
  <c r="A6" i="149"/>
  <c r="A2" i="149"/>
  <c r="A1" i="149"/>
  <c r="H365" i="6"/>
  <c r="E243" i="6"/>
  <c r="C243" i="6"/>
  <c r="B243" i="6"/>
  <c r="D243" i="6"/>
  <c r="E242" i="6"/>
  <c r="C242" i="6"/>
  <c r="B242" i="6"/>
  <c r="D242" i="6"/>
  <c r="E240" i="6"/>
  <c r="C240" i="6"/>
  <c r="B240" i="6"/>
  <c r="D240" i="6"/>
  <c r="C238" i="6"/>
  <c r="B238" i="6"/>
  <c r="D238" i="6"/>
  <c r="E237" i="6"/>
  <c r="C237" i="6"/>
  <c r="B237" i="6"/>
  <c r="D237" i="6"/>
  <c r="C236" i="6"/>
  <c r="B236" i="6"/>
  <c r="D236" i="6"/>
  <c r="C234" i="6"/>
  <c r="B234" i="6"/>
  <c r="D234" i="6"/>
  <c r="C233" i="6"/>
  <c r="B233" i="6"/>
  <c r="D233" i="6"/>
  <c r="C232" i="6"/>
  <c r="B232" i="6"/>
  <c r="D232" i="6"/>
  <c r="C231" i="6"/>
  <c r="B231" i="6"/>
  <c r="D231" i="6"/>
  <c r="E230" i="6"/>
  <c r="C230" i="6"/>
  <c r="B230" i="6"/>
  <c r="D230" i="6"/>
  <c r="C229" i="6"/>
  <c r="B229" i="6"/>
  <c r="D229" i="6"/>
  <c r="C228" i="6"/>
  <c r="B228" i="6"/>
  <c r="D228" i="6"/>
  <c r="C227" i="6"/>
  <c r="B227" i="6"/>
  <c r="D227" i="6"/>
  <c r="E226" i="6"/>
  <c r="C226" i="6"/>
  <c r="B226" i="6"/>
  <c r="D226" i="6"/>
  <c r="C224" i="6"/>
  <c r="B224" i="6"/>
  <c r="D224" i="6"/>
  <c r="C221" i="6"/>
  <c r="B221" i="6"/>
  <c r="D221" i="6"/>
  <c r="E220" i="6"/>
  <c r="C220" i="6"/>
  <c r="B220" i="6"/>
  <c r="D220" i="6"/>
  <c r="C219" i="6"/>
  <c r="B219" i="6"/>
  <c r="D219" i="6"/>
  <c r="C218" i="6"/>
  <c r="B218" i="6"/>
  <c r="D218" i="6"/>
  <c r="E217" i="6"/>
  <c r="C217" i="6"/>
  <c r="B217" i="6"/>
  <c r="D217" i="6"/>
  <c r="C214" i="6"/>
  <c r="B214" i="6"/>
  <c r="D214" i="6"/>
  <c r="E213" i="6"/>
  <c r="C213" i="6"/>
  <c r="B213" i="6"/>
  <c r="D213" i="6"/>
  <c r="C212" i="6"/>
  <c r="B212" i="6"/>
  <c r="D212" i="6"/>
  <c r="C211" i="6"/>
  <c r="B211" i="6"/>
  <c r="D211" i="6"/>
  <c r="C209" i="6"/>
  <c r="B209" i="6"/>
  <c r="D209" i="6"/>
  <c r="C208" i="6"/>
  <c r="B208" i="6"/>
  <c r="D208" i="6"/>
  <c r="C207" i="6"/>
  <c r="B207" i="6"/>
  <c r="D207" i="6"/>
  <c r="C206" i="6"/>
  <c r="B206" i="6"/>
  <c r="D206" i="6"/>
  <c r="E205" i="6"/>
  <c r="C205" i="6"/>
  <c r="B205" i="6"/>
  <c r="D205" i="6"/>
  <c r="C204" i="6"/>
  <c r="B204" i="6"/>
  <c r="D204" i="6"/>
  <c r="C203" i="6"/>
  <c r="B203" i="6"/>
  <c r="D203" i="6"/>
  <c r="C202" i="6"/>
  <c r="B202" i="6"/>
  <c r="D202" i="6"/>
  <c r="C201" i="6"/>
  <c r="B201" i="6"/>
  <c r="D201" i="6"/>
  <c r="E200" i="6"/>
  <c r="C200" i="6"/>
  <c r="B200" i="6"/>
  <c r="D200" i="6"/>
  <c r="C199" i="6"/>
  <c r="B199" i="6"/>
  <c r="D199" i="6"/>
  <c r="E198" i="6"/>
  <c r="C198" i="6"/>
  <c r="B198" i="6"/>
  <c r="D198" i="6"/>
  <c r="E197" i="6"/>
  <c r="C197" i="6"/>
  <c r="B197" i="6"/>
  <c r="D197" i="6"/>
  <c r="C196" i="6"/>
  <c r="B196" i="6"/>
  <c r="D196" i="6"/>
  <c r="C193" i="6"/>
  <c r="B193" i="6"/>
  <c r="D193" i="6"/>
  <c r="C192" i="6"/>
  <c r="B192" i="6"/>
  <c r="D192" i="6"/>
  <c r="C191" i="6"/>
  <c r="B191" i="6"/>
  <c r="D191" i="6"/>
  <c r="C189" i="6"/>
  <c r="B189" i="6"/>
  <c r="D189" i="6"/>
  <c r="C188" i="6"/>
  <c r="B188" i="6"/>
  <c r="D188" i="6"/>
  <c r="E187" i="6"/>
  <c r="C187" i="6"/>
  <c r="B187" i="6"/>
  <c r="D187" i="6"/>
  <c r="E186" i="6"/>
  <c r="C186" i="6"/>
  <c r="B186" i="6"/>
  <c r="D186" i="6"/>
  <c r="E185" i="6"/>
  <c r="C185" i="6"/>
  <c r="B185" i="6"/>
  <c r="D185" i="6"/>
  <c r="C184" i="6"/>
  <c r="B184" i="6"/>
  <c r="D184" i="6"/>
  <c r="E183" i="6"/>
  <c r="C183" i="6"/>
  <c r="B183" i="6"/>
  <c r="D183" i="6"/>
  <c r="E181" i="6"/>
  <c r="C181" i="6"/>
  <c r="B181" i="6"/>
  <c r="D181" i="6"/>
  <c r="C180" i="6"/>
  <c r="B180" i="6"/>
  <c r="D180" i="6"/>
  <c r="C179" i="6"/>
  <c r="B179" i="6"/>
  <c r="D179" i="6"/>
  <c r="C178" i="6"/>
  <c r="B178" i="6"/>
  <c r="D178" i="6"/>
  <c r="C177" i="6"/>
  <c r="B177" i="6"/>
  <c r="D177" i="6"/>
  <c r="C176" i="6"/>
  <c r="B176" i="6"/>
  <c r="D176" i="6"/>
  <c r="E175" i="6"/>
  <c r="C175" i="6"/>
  <c r="B175" i="6"/>
  <c r="D175" i="6"/>
  <c r="E174" i="6"/>
  <c r="C174" i="6"/>
  <c r="B174" i="6"/>
  <c r="D174" i="6"/>
  <c r="E172" i="6"/>
  <c r="C172" i="6"/>
  <c r="B172" i="6"/>
  <c r="D172" i="6"/>
  <c r="C171" i="6"/>
  <c r="B171" i="6"/>
  <c r="D171" i="6"/>
  <c r="C170" i="6"/>
  <c r="B170" i="6"/>
  <c r="D170" i="6"/>
  <c r="C169" i="6"/>
  <c r="B169" i="6"/>
  <c r="D169" i="6"/>
  <c r="E168" i="6"/>
  <c r="C168" i="6"/>
  <c r="B168" i="6"/>
  <c r="D168" i="6"/>
  <c r="C167" i="6"/>
  <c r="B167" i="6"/>
  <c r="D167" i="6"/>
  <c r="E166" i="6"/>
  <c r="C166" i="6"/>
  <c r="B166" i="6"/>
  <c r="D166" i="6"/>
  <c r="C165" i="6"/>
  <c r="B165" i="6"/>
  <c r="D165" i="6"/>
  <c r="E164" i="6"/>
  <c r="C164" i="6"/>
  <c r="B164" i="6"/>
  <c r="D164" i="6"/>
  <c r="E162" i="6"/>
  <c r="C162" i="6"/>
  <c r="B162" i="6"/>
  <c r="D162" i="6"/>
  <c r="C159" i="6"/>
  <c r="B159" i="6"/>
  <c r="D159" i="6"/>
  <c r="C158" i="6"/>
  <c r="B158" i="6"/>
  <c r="D158" i="6"/>
  <c r="C157" i="6"/>
  <c r="B157" i="6"/>
  <c r="D157" i="6"/>
  <c r="C156" i="6"/>
  <c r="B156" i="6"/>
  <c r="D156" i="6"/>
  <c r="C155" i="6"/>
  <c r="B155" i="6"/>
  <c r="D155" i="6"/>
  <c r="C154" i="6"/>
  <c r="B154" i="6"/>
  <c r="D154" i="6"/>
  <c r="C153" i="6"/>
  <c r="B153" i="6"/>
  <c r="D153" i="6"/>
  <c r="C152" i="6"/>
  <c r="B152" i="6"/>
  <c r="D152" i="6"/>
  <c r="C151" i="6"/>
  <c r="B151" i="6"/>
  <c r="D151" i="6"/>
  <c r="C150" i="6"/>
  <c r="B150" i="6"/>
  <c r="D150" i="6"/>
  <c r="C149" i="6"/>
  <c r="B149" i="6"/>
  <c r="D149" i="6"/>
  <c r="E148" i="6"/>
  <c r="C148" i="6"/>
  <c r="B148" i="6"/>
  <c r="D148" i="6"/>
  <c r="C147" i="6"/>
  <c r="B147" i="6"/>
  <c r="D147" i="6"/>
  <c r="C146" i="6"/>
  <c r="B146" i="6"/>
  <c r="D146" i="6"/>
  <c r="E144" i="6"/>
  <c r="C144" i="6"/>
  <c r="B144" i="6"/>
  <c r="D144" i="6"/>
  <c r="E142" i="6"/>
  <c r="C142" i="6"/>
  <c r="B142" i="6"/>
  <c r="D142" i="6"/>
  <c r="C141" i="6"/>
  <c r="B141" i="6"/>
  <c r="D141" i="6"/>
  <c r="C140" i="6"/>
  <c r="B140" i="6"/>
  <c r="D140" i="6"/>
  <c r="C139" i="6"/>
  <c r="B139" i="6"/>
  <c r="D139" i="6"/>
  <c r="C138" i="6"/>
  <c r="B138" i="6"/>
  <c r="D138" i="6"/>
  <c r="C135" i="6"/>
  <c r="B135" i="6"/>
  <c r="D135" i="6"/>
  <c r="C134" i="6"/>
  <c r="B134" i="6"/>
  <c r="D134" i="6"/>
  <c r="C133" i="6"/>
  <c r="B133" i="6"/>
  <c r="D133" i="6"/>
  <c r="C132" i="6"/>
  <c r="B132" i="6"/>
  <c r="D132" i="6"/>
  <c r="C131" i="6"/>
  <c r="B131" i="6"/>
  <c r="D131" i="6"/>
  <c r="E130" i="6"/>
  <c r="B130" i="6"/>
  <c r="D130" i="6"/>
  <c r="E128" i="6"/>
  <c r="C128" i="6"/>
  <c r="B128" i="6"/>
  <c r="D128" i="6"/>
  <c r="C127" i="6"/>
  <c r="B127" i="6"/>
  <c r="D127" i="6"/>
  <c r="C126" i="6"/>
  <c r="B126" i="6"/>
  <c r="D126" i="6"/>
  <c r="E125" i="6"/>
  <c r="C125" i="6"/>
  <c r="B125" i="6"/>
  <c r="D125" i="6"/>
  <c r="E124" i="6"/>
  <c r="C124" i="6"/>
  <c r="B124" i="6"/>
  <c r="D124" i="6"/>
  <c r="E123" i="6"/>
  <c r="C123" i="6"/>
  <c r="B123" i="6"/>
  <c r="D123" i="6"/>
  <c r="C122" i="6"/>
  <c r="B122" i="6"/>
  <c r="D122" i="6"/>
  <c r="C121" i="6"/>
  <c r="B121" i="6"/>
  <c r="D121" i="6"/>
  <c r="C119" i="6"/>
  <c r="B119" i="6"/>
  <c r="D119" i="6"/>
  <c r="C118" i="6"/>
  <c r="B118" i="6"/>
  <c r="D118" i="6"/>
  <c r="C116" i="6"/>
  <c r="B116" i="6"/>
  <c r="D116" i="6"/>
  <c r="C115" i="6"/>
  <c r="B115" i="6"/>
  <c r="D115" i="6"/>
  <c r="C114" i="6"/>
  <c r="B114" i="6"/>
  <c r="D114" i="6"/>
  <c r="B112" i="6"/>
  <c r="D112" i="6"/>
  <c r="E111" i="6"/>
  <c r="C111" i="6"/>
  <c r="B111" i="6"/>
  <c r="D111" i="6"/>
  <c r="C110" i="6"/>
  <c r="B110" i="6"/>
  <c r="D110" i="6"/>
  <c r="E109" i="6"/>
  <c r="C109" i="6"/>
  <c r="B109" i="6"/>
  <c r="D109" i="6"/>
  <c r="C108" i="6"/>
  <c r="B108" i="6"/>
  <c r="D108" i="6"/>
  <c r="C107" i="6"/>
  <c r="B107" i="6"/>
  <c r="D107" i="6"/>
  <c r="C106" i="6"/>
  <c r="B106" i="6"/>
  <c r="D106" i="6"/>
  <c r="C104" i="6"/>
  <c r="B104" i="6"/>
  <c r="D104" i="6"/>
  <c r="C103" i="6"/>
  <c r="B103" i="6"/>
  <c r="D103" i="6"/>
  <c r="E102" i="6"/>
  <c r="C102" i="6"/>
  <c r="B102" i="6"/>
  <c r="D102" i="6"/>
  <c r="E101" i="6"/>
  <c r="C101" i="6"/>
  <c r="B101" i="6"/>
  <c r="D101" i="6"/>
  <c r="C99" i="6"/>
  <c r="B99" i="6"/>
  <c r="D99" i="6"/>
  <c r="C98" i="6"/>
  <c r="B98" i="6"/>
  <c r="D98" i="6"/>
  <c r="C96" i="6"/>
  <c r="B96" i="6"/>
  <c r="D96" i="6"/>
  <c r="E95" i="6"/>
  <c r="C95" i="6"/>
  <c r="B95" i="6"/>
  <c r="D95" i="6"/>
  <c r="C94" i="6"/>
  <c r="B94" i="6"/>
  <c r="D94" i="6"/>
  <c r="E92" i="6"/>
  <c r="C92" i="6"/>
  <c r="B92" i="6"/>
  <c r="D92" i="6"/>
  <c r="E91" i="6"/>
  <c r="C91" i="6"/>
  <c r="B91" i="6"/>
  <c r="D91" i="6"/>
  <c r="E90" i="6"/>
  <c r="C90" i="6"/>
  <c r="B90" i="6"/>
  <c r="D90" i="6"/>
  <c r="C89" i="6"/>
  <c r="B89" i="6"/>
  <c r="D89" i="6"/>
  <c r="E87" i="6"/>
  <c r="C87" i="6"/>
  <c r="B87" i="6"/>
  <c r="D87" i="6"/>
  <c r="C86" i="6"/>
  <c r="B86" i="6"/>
  <c r="D86" i="6"/>
  <c r="E85" i="6"/>
  <c r="C85" i="6"/>
  <c r="B85" i="6"/>
  <c r="D85" i="6"/>
  <c r="C84" i="6"/>
  <c r="B84" i="6"/>
  <c r="D84" i="6"/>
  <c r="C83" i="6"/>
  <c r="B83" i="6"/>
  <c r="D83" i="6"/>
  <c r="E82" i="6"/>
  <c r="C82" i="6"/>
  <c r="B82" i="6"/>
  <c r="D82" i="6"/>
  <c r="E81" i="6"/>
  <c r="C81" i="6"/>
  <c r="B81" i="6"/>
  <c r="D81" i="6"/>
  <c r="C80" i="6"/>
  <c r="B80" i="6"/>
  <c r="D80" i="6"/>
  <c r="E79" i="6"/>
  <c r="C79" i="6"/>
  <c r="B79" i="6"/>
  <c r="D79" i="6"/>
  <c r="C78" i="6"/>
  <c r="B78" i="6"/>
  <c r="D78" i="6"/>
  <c r="C77" i="6"/>
  <c r="B77" i="6"/>
  <c r="D77" i="6"/>
  <c r="E75" i="6"/>
  <c r="C75" i="6"/>
  <c r="B75" i="6"/>
  <c r="D75" i="6"/>
  <c r="E74" i="6"/>
  <c r="C74" i="6"/>
  <c r="B74" i="6"/>
  <c r="D74" i="6"/>
  <c r="C73" i="6"/>
  <c r="B73" i="6"/>
  <c r="D73" i="6"/>
  <c r="C72" i="6"/>
  <c r="B72" i="6"/>
  <c r="D72" i="6"/>
  <c r="C70" i="6"/>
  <c r="B70" i="6"/>
  <c r="D70" i="6"/>
  <c r="E68" i="6"/>
  <c r="C67" i="6"/>
  <c r="B67" i="6"/>
  <c r="D67" i="6"/>
  <c r="E66" i="6"/>
  <c r="C66" i="6"/>
  <c r="B66" i="6"/>
  <c r="D66" i="6"/>
  <c r="E64" i="6"/>
  <c r="C64" i="6"/>
  <c r="B64" i="6"/>
  <c r="D64" i="6"/>
  <c r="C63" i="6"/>
  <c r="B63" i="6"/>
  <c r="C62" i="6"/>
  <c r="B62" i="6"/>
  <c r="C61" i="6"/>
  <c r="B61" i="6"/>
  <c r="C60" i="6"/>
  <c r="B60" i="6"/>
  <c r="C59" i="6"/>
  <c r="B59" i="6"/>
  <c r="C58" i="6"/>
  <c r="B58" i="6"/>
  <c r="C57" i="6"/>
  <c r="B57" i="6"/>
  <c r="C56" i="6"/>
  <c r="B56" i="6"/>
  <c r="C55" i="6"/>
  <c r="B55" i="6"/>
  <c r="C54" i="6"/>
  <c r="B54" i="6"/>
  <c r="C53" i="6"/>
  <c r="B53" i="6"/>
  <c r="C47" i="6"/>
  <c r="B47" i="6"/>
  <c r="D47" i="6"/>
  <c r="E46" i="6"/>
  <c r="C46" i="6"/>
  <c r="B46" i="6"/>
  <c r="D46" i="6"/>
  <c r="E45" i="6"/>
  <c r="C45" i="6"/>
  <c r="B45" i="6"/>
  <c r="D45" i="6"/>
  <c r="E44" i="6"/>
  <c r="C44" i="6"/>
  <c r="B44" i="6"/>
  <c r="D44" i="6"/>
  <c r="E43" i="6"/>
  <c r="C43" i="6"/>
  <c r="B43" i="6"/>
  <c r="D43" i="6"/>
  <c r="E42" i="6"/>
  <c r="C42" i="6"/>
  <c r="B42" i="6"/>
  <c r="D42" i="6"/>
  <c r="E41" i="6"/>
  <c r="C41" i="6"/>
  <c r="B41" i="6"/>
  <c r="D41" i="6"/>
  <c r="E40" i="6"/>
  <c r="C40" i="6"/>
  <c r="B40" i="6"/>
  <c r="D40" i="6"/>
  <c r="E39" i="6"/>
  <c r="C39" i="6"/>
  <c r="B39" i="6"/>
  <c r="D39" i="6"/>
  <c r="C38" i="6"/>
  <c r="B38" i="6"/>
  <c r="D38" i="6"/>
  <c r="C37" i="6"/>
  <c r="B37" i="6"/>
  <c r="D37" i="6"/>
  <c r="E36" i="6"/>
  <c r="C36" i="6"/>
  <c r="B36" i="6"/>
  <c r="D36" i="6"/>
  <c r="E35" i="6"/>
  <c r="C35" i="6"/>
  <c r="B35" i="6"/>
  <c r="D35" i="6"/>
  <c r="E34" i="6"/>
  <c r="C34" i="6"/>
  <c r="B34" i="6"/>
  <c r="D34" i="6"/>
  <c r="E33" i="6"/>
  <c r="C33" i="6"/>
  <c r="B33" i="6"/>
  <c r="D33" i="6"/>
  <c r="C32" i="6"/>
  <c r="B32" i="6"/>
  <c r="D32" i="6"/>
  <c r="E31" i="6"/>
  <c r="C31" i="6"/>
  <c r="B31" i="6"/>
  <c r="D31" i="6"/>
  <c r="C30" i="6"/>
  <c r="B30" i="6"/>
  <c r="D30" i="6"/>
  <c r="E29" i="6"/>
  <c r="C29" i="6"/>
  <c r="B29" i="6"/>
  <c r="D29" i="6"/>
  <c r="E28" i="6"/>
  <c r="C28" i="6"/>
  <c r="B28" i="6"/>
  <c r="D28" i="6"/>
  <c r="E27" i="6"/>
  <c r="C27" i="6"/>
  <c r="B27" i="6"/>
  <c r="D27" i="6"/>
  <c r="E26" i="6"/>
  <c r="C26" i="6"/>
  <c r="B26" i="6"/>
  <c r="D26" i="6"/>
  <c r="E25" i="6"/>
  <c r="D25" i="6"/>
  <c r="C25" i="6"/>
  <c r="E24" i="6"/>
  <c r="C24" i="6"/>
  <c r="B24" i="6"/>
  <c r="D24" i="6"/>
  <c r="E23" i="6"/>
  <c r="C23" i="6"/>
  <c r="B23" i="6"/>
  <c r="D23" i="6"/>
  <c r="E22" i="6"/>
  <c r="C22" i="6"/>
  <c r="B22" i="6"/>
  <c r="D22" i="6"/>
  <c r="E21" i="6"/>
  <c r="C21" i="6"/>
  <c r="B21" i="6"/>
  <c r="D21" i="6"/>
  <c r="E20" i="6"/>
  <c r="C20" i="6"/>
  <c r="B20" i="6"/>
  <c r="D20" i="6"/>
  <c r="E19" i="6"/>
  <c r="C19" i="6"/>
  <c r="B19" i="6"/>
  <c r="D19" i="6"/>
  <c r="E18" i="6"/>
  <c r="C18" i="6"/>
  <c r="B18" i="6"/>
  <c r="D18" i="6"/>
  <c r="E17" i="6"/>
  <c r="C17" i="6"/>
  <c r="B17" i="6"/>
  <c r="D17" i="6"/>
  <c r="E16" i="6"/>
  <c r="C16" i="6"/>
  <c r="B16" i="6"/>
  <c r="D16" i="6"/>
  <c r="E12" i="6"/>
  <c r="C12" i="6"/>
  <c r="B12" i="6"/>
  <c r="D12" i="6"/>
  <c r="E11" i="6"/>
  <c r="C11" i="6"/>
  <c r="B11" i="6"/>
  <c r="Q10" i="6"/>
  <c r="P10" i="6"/>
  <c r="O10" i="6"/>
  <c r="N10" i="6"/>
  <c r="M10" i="6"/>
  <c r="L10" i="6"/>
  <c r="K10" i="6"/>
  <c r="J10" i="6"/>
  <c r="I10" i="6"/>
  <c r="H10" i="6"/>
  <c r="G10" i="6"/>
  <c r="F10" i="6"/>
  <c r="A1" i="6"/>
  <c r="AJ134" i="20" a="1"/>
  <c r="AJ134" i="20" s="1"/>
  <c r="AI134" i="20" a="1"/>
  <c r="AI134" i="20" s="1"/>
  <c r="AH134" i="20" a="1"/>
  <c r="AH134" i="20" s="1"/>
  <c r="AG134" i="20" a="1"/>
  <c r="AG134" i="20" s="1"/>
  <c r="AF134" i="20" a="1"/>
  <c r="AF134" i="20" s="1"/>
  <c r="AE134" i="20" a="1"/>
  <c r="AE134" i="20" s="1"/>
  <c r="L11" i="148"/>
  <c r="H11" i="148"/>
  <c r="A7" i="148"/>
  <c r="A6" i="148"/>
  <c r="A2" i="148"/>
  <c r="A1" i="148"/>
  <c r="Q268" i="5"/>
  <c r="P268" i="5"/>
  <c r="O268" i="5"/>
  <c r="N268" i="5"/>
  <c r="M268" i="5"/>
  <c r="L268" i="5"/>
  <c r="K268" i="5"/>
  <c r="J268" i="5"/>
  <c r="I268" i="5"/>
  <c r="H268" i="5"/>
  <c r="G268" i="5"/>
  <c r="F268" i="5"/>
  <c r="D246" i="5"/>
  <c r="D245" i="5"/>
  <c r="D243" i="5"/>
  <c r="D241" i="5"/>
  <c r="D240" i="5"/>
  <c r="D239" i="5"/>
  <c r="D237" i="5"/>
  <c r="D236" i="5"/>
  <c r="D235" i="5"/>
  <c r="D234" i="5"/>
  <c r="D233" i="5"/>
  <c r="D232" i="5"/>
  <c r="D231" i="5"/>
  <c r="D230" i="5"/>
  <c r="D229" i="5"/>
  <c r="D227" i="5"/>
  <c r="D224" i="5"/>
  <c r="D223" i="5"/>
  <c r="D222" i="5"/>
  <c r="D221" i="5"/>
  <c r="D220" i="5"/>
  <c r="D217" i="5"/>
  <c r="D216" i="5"/>
  <c r="D215" i="5"/>
  <c r="D214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6" i="5"/>
  <c r="D195" i="5"/>
  <c r="D194" i="5"/>
  <c r="D192" i="5"/>
  <c r="D191" i="5"/>
  <c r="D190" i="5"/>
  <c r="D189" i="5"/>
  <c r="D188" i="5"/>
  <c r="D186" i="5"/>
  <c r="D185" i="5"/>
  <c r="D183" i="5"/>
  <c r="D182" i="5"/>
  <c r="D181" i="5"/>
  <c r="D180" i="5"/>
  <c r="D179" i="5"/>
  <c r="D178" i="5"/>
  <c r="D177" i="5"/>
  <c r="D176" i="5"/>
  <c r="D174" i="5"/>
  <c r="D173" i="5"/>
  <c r="D172" i="5"/>
  <c r="D171" i="5"/>
  <c r="D170" i="5"/>
  <c r="D169" i="5"/>
  <c r="D168" i="5"/>
  <c r="D167" i="5"/>
  <c r="D166" i="5"/>
  <c r="D164" i="5"/>
  <c r="D161" i="5"/>
  <c r="D160" i="5"/>
  <c r="D159" i="5"/>
  <c r="D158" i="5"/>
  <c r="D157" i="5"/>
  <c r="D156" i="5"/>
  <c r="D155" i="5"/>
  <c r="D154" i="5"/>
  <c r="D153" i="5"/>
  <c r="Q261" i="5"/>
  <c r="P261" i="5"/>
  <c r="O261" i="5"/>
  <c r="N261" i="5"/>
  <c r="M261" i="5"/>
  <c r="L261" i="5"/>
  <c r="K261" i="5"/>
  <c r="J261" i="5"/>
  <c r="I261" i="5"/>
  <c r="D152" i="5"/>
  <c r="D151" i="5"/>
  <c r="D150" i="5"/>
  <c r="D149" i="5"/>
  <c r="D148" i="5"/>
  <c r="D146" i="5"/>
  <c r="D144" i="5"/>
  <c r="D143" i="5"/>
  <c r="D142" i="5"/>
  <c r="D141" i="5"/>
  <c r="D140" i="5"/>
  <c r="D137" i="5"/>
  <c r="D136" i="5"/>
  <c r="D135" i="5"/>
  <c r="D134" i="5"/>
  <c r="D133" i="5"/>
  <c r="D132" i="5"/>
  <c r="D130" i="5"/>
  <c r="D129" i="5"/>
  <c r="D128" i="5"/>
  <c r="D127" i="5"/>
  <c r="D126" i="5"/>
  <c r="D125" i="5"/>
  <c r="D124" i="5"/>
  <c r="D123" i="5"/>
  <c r="D121" i="5"/>
  <c r="D120" i="5"/>
  <c r="D118" i="5"/>
  <c r="D117" i="5"/>
  <c r="D116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1" i="5"/>
  <c r="D100" i="5"/>
  <c r="D98" i="5"/>
  <c r="D97" i="5"/>
  <c r="D96" i="5"/>
  <c r="D94" i="5"/>
  <c r="D93" i="5"/>
  <c r="D92" i="5"/>
  <c r="D91" i="5"/>
  <c r="D89" i="5"/>
  <c r="D88" i="5"/>
  <c r="D87" i="5"/>
  <c r="D86" i="5"/>
  <c r="D85" i="5"/>
  <c r="D84" i="5"/>
  <c r="D83" i="5"/>
  <c r="D82" i="5"/>
  <c r="D81" i="5"/>
  <c r="D80" i="5"/>
  <c r="D79" i="5"/>
  <c r="D77" i="5"/>
  <c r="D76" i="5"/>
  <c r="D75" i="5"/>
  <c r="D74" i="5"/>
  <c r="D72" i="5"/>
  <c r="D69" i="5"/>
  <c r="D68" i="5"/>
  <c r="D66" i="5"/>
  <c r="AJ98" i="20"/>
  <c r="AI98" i="20"/>
  <c r="AH98" i="20"/>
  <c r="AG98" i="20"/>
  <c r="AF98" i="20"/>
  <c r="AE98" i="20"/>
  <c r="AD98" i="20"/>
  <c r="AC98" i="20"/>
  <c r="AB98" i="20"/>
  <c r="D65" i="5"/>
  <c r="D64" i="5"/>
  <c r="D63" i="5"/>
  <c r="D62" i="5"/>
  <c r="D61" i="5"/>
  <c r="D60" i="5"/>
  <c r="D59" i="5"/>
  <c r="D58" i="5"/>
  <c r="D57" i="5"/>
  <c r="D56" i="5"/>
  <c r="D55" i="5"/>
  <c r="D48" i="5"/>
  <c r="D47" i="5"/>
  <c r="D46" i="5"/>
  <c r="D45" i="5"/>
  <c r="E44" i="5"/>
  <c r="D44" i="5"/>
  <c r="E43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7" i="5"/>
  <c r="D26" i="5"/>
  <c r="D25" i="5"/>
  <c r="D24" i="5"/>
  <c r="D23" i="5"/>
  <c r="D22" i="5"/>
  <c r="D21" i="5"/>
  <c r="D20" i="5"/>
  <c r="D19" i="5"/>
  <c r="D18" i="5"/>
  <c r="D17" i="5"/>
  <c r="D16" i="5"/>
  <c r="D12" i="5"/>
  <c r="D11" i="5"/>
  <c r="Q10" i="5"/>
  <c r="P10" i="5"/>
  <c r="O10" i="5"/>
  <c r="N10" i="5"/>
  <c r="M10" i="5"/>
  <c r="L10" i="5"/>
  <c r="K10" i="5"/>
  <c r="J10" i="5"/>
  <c r="I10" i="5"/>
  <c r="H10" i="5"/>
  <c r="G10" i="5"/>
  <c r="F10" i="5"/>
  <c r="A7" i="5"/>
  <c r="A6" i="5"/>
  <c r="A2" i="5"/>
  <c r="A1" i="5"/>
  <c r="B11" i="1"/>
  <c r="B10" i="1"/>
  <c r="B8" i="1"/>
  <c r="B7" i="1"/>
  <c r="C130" i="21" s="1"/>
  <c r="F245" i="6" l="1"/>
  <c r="Y241" i="20" s="1"/>
  <c r="G62" i="62"/>
  <c r="G23" i="124"/>
  <c r="H10" i="124"/>
  <c r="F24" i="20"/>
  <c r="A5" i="178"/>
  <c r="A4" i="175"/>
  <c r="A4" i="174"/>
  <c r="A339" i="172"/>
  <c r="A261" i="174"/>
  <c r="A26" i="175"/>
  <c r="U75" i="12"/>
  <c r="W101" i="13"/>
  <c r="U85" i="12" s="1"/>
  <c r="G249" i="6"/>
  <c r="M270" i="6"/>
  <c r="P260" i="5"/>
  <c r="I26" i="12"/>
  <c r="Y73" i="12"/>
  <c r="M26" i="12" s="1"/>
  <c r="AR130" i="13"/>
  <c r="BT270" i="13"/>
  <c r="CY428" i="13"/>
  <c r="BT278" i="13"/>
  <c r="CY436" i="13"/>
  <c r="CN392" i="13"/>
  <c r="CY446" i="13"/>
  <c r="BT279" i="13"/>
  <c r="CY437" i="13"/>
  <c r="BT272" i="13"/>
  <c r="CY430" i="13"/>
  <c r="BT282" i="13"/>
  <c r="CY440" i="13"/>
  <c r="BT290" i="13"/>
  <c r="CY448" i="13"/>
  <c r="BT273" i="13"/>
  <c r="CY431" i="13"/>
  <c r="BT283" i="13"/>
  <c r="CY441" i="13"/>
  <c r="BT291" i="13"/>
  <c r="CY449" i="13"/>
  <c r="BT274" i="13"/>
  <c r="CY432" i="13"/>
  <c r="CN388" i="13"/>
  <c r="CY442" i="13"/>
  <c r="CN396" i="13"/>
  <c r="CY450" i="13"/>
  <c r="AL144" i="13"/>
  <c r="AL147" i="13" s="1"/>
  <c r="BT271" i="13"/>
  <c r="CY429" i="13"/>
  <c r="BT289" i="13"/>
  <c r="CY447" i="13"/>
  <c r="BT275" i="13"/>
  <c r="CY433" i="13"/>
  <c r="CN397" i="13"/>
  <c r="CY451" i="13"/>
  <c r="BT286" i="13"/>
  <c r="CY444" i="13"/>
  <c r="BT294" i="13"/>
  <c r="CY452" i="13"/>
  <c r="BT269" i="13"/>
  <c r="CY427" i="13"/>
  <c r="BT277" i="13"/>
  <c r="CY435" i="13"/>
  <c r="BT287" i="13"/>
  <c r="CY445" i="13"/>
  <c r="F275" i="5"/>
  <c r="R78" i="40"/>
  <c r="H14" i="163" s="1"/>
  <c r="P70" i="54"/>
  <c r="P71" i="54" s="1"/>
  <c r="F249" i="5"/>
  <c r="G150" i="15"/>
  <c r="S120" i="15"/>
  <c r="T120" i="15" s="1"/>
  <c r="AO125" i="13"/>
  <c r="AO131" i="13" s="1"/>
  <c r="AO134" i="13" s="1"/>
  <c r="Y83" i="12" s="1"/>
  <c r="M36" i="12" s="1"/>
  <c r="AL131" i="13"/>
  <c r="AL134" i="13" s="1"/>
  <c r="R16" i="163"/>
  <c r="Y282" i="24"/>
  <c r="L275" i="5"/>
  <c r="AG93" i="20" a="1"/>
  <c r="AG93" i="20" s="1"/>
  <c r="AD144" i="20" a="1"/>
  <c r="AD144" i="20" s="1"/>
  <c r="AD143" i="20" a="1"/>
  <c r="AD143" i="20" s="1"/>
  <c r="AD141" i="20" a="1"/>
  <c r="AD141" i="20" s="1"/>
  <c r="AD142" i="20" a="1"/>
  <c r="AD142" i="20" s="1"/>
  <c r="AD140" i="20" a="1"/>
  <c r="AD140" i="20" s="1"/>
  <c r="AF93" i="20" a="1"/>
  <c r="AF93" i="20" s="1"/>
  <c r="AH94" i="20" a="1"/>
  <c r="AH94" i="20" s="1"/>
  <c r="AJ95" i="20" a="1"/>
  <c r="AJ95" i="20" s="1"/>
  <c r="AF97" i="20" a="1"/>
  <c r="AF97" i="20" s="1"/>
  <c r="AG108" i="20" a="1"/>
  <c r="AG108" i="20" s="1"/>
  <c r="AI109" i="20" a="1"/>
  <c r="AI109" i="20" s="1"/>
  <c r="AE111" i="20" a="1"/>
  <c r="AE111" i="20" s="1"/>
  <c r="AG112" i="20" a="1"/>
  <c r="AG112" i="20" s="1"/>
  <c r="AH116" i="20" a="1"/>
  <c r="AH116" i="20" s="1"/>
  <c r="AJ117" i="20" a="1"/>
  <c r="AJ117" i="20" s="1"/>
  <c r="AF119" i="20" a="1"/>
  <c r="AF119" i="20" s="1"/>
  <c r="AH120" i="20" a="1"/>
  <c r="AH120" i="20" s="1"/>
  <c r="AI126" i="20" a="1"/>
  <c r="AI126" i="20" s="1"/>
  <c r="AE128" i="20" a="1"/>
  <c r="AE128" i="20" s="1"/>
  <c r="AG129" i="20" a="1"/>
  <c r="AG129" i="20" s="1"/>
  <c r="AI130" i="20" a="1"/>
  <c r="AI130" i="20" s="1"/>
  <c r="AG135" i="20" a="1"/>
  <c r="AG135" i="20" s="1"/>
  <c r="AI136" i="20" a="1"/>
  <c r="AI136" i="20" s="1"/>
  <c r="AE140" i="20" a="1"/>
  <c r="AE140" i="20" s="1"/>
  <c r="AE141" i="20" a="1"/>
  <c r="AE141" i="20" s="1"/>
  <c r="AE142" i="20" a="1"/>
  <c r="AE142" i="20" s="1"/>
  <c r="AE143" i="20" a="1"/>
  <c r="AE143" i="20" s="1"/>
  <c r="AE144" i="20" a="1"/>
  <c r="AE144" i="20" s="1"/>
  <c r="AI94" i="20" a="1"/>
  <c r="AI94" i="20" s="1"/>
  <c r="AE96" i="20" a="1"/>
  <c r="AE96" i="20" s="1"/>
  <c r="AG97" i="20" a="1"/>
  <c r="AG97" i="20" s="1"/>
  <c r="AH108" i="20" a="1"/>
  <c r="AH108" i="20" s="1"/>
  <c r="AJ109" i="20" a="1"/>
  <c r="AJ109" i="20" s="1"/>
  <c r="AF111" i="20" a="1"/>
  <c r="AF111" i="20" s="1"/>
  <c r="AH112" i="20" a="1"/>
  <c r="AH112" i="20" s="1"/>
  <c r="AI116" i="20" a="1"/>
  <c r="AI116" i="20" s="1"/>
  <c r="AE118" i="20" a="1"/>
  <c r="AE118" i="20" s="1"/>
  <c r="AG119" i="20" a="1"/>
  <c r="AG119" i="20" s="1"/>
  <c r="AI120" i="20" a="1"/>
  <c r="AI120" i="20" s="1"/>
  <c r="AJ126" i="20" a="1"/>
  <c r="AJ126" i="20" s="1"/>
  <c r="AF128" i="20" a="1"/>
  <c r="AF128" i="20" s="1"/>
  <c r="AH129" i="20" a="1"/>
  <c r="AH129" i="20" s="1"/>
  <c r="AJ130" i="20" a="1"/>
  <c r="AJ130" i="20" s="1"/>
  <c r="AH135" i="20" a="1"/>
  <c r="AH135" i="20" s="1"/>
  <c r="AJ136" i="20" a="1"/>
  <c r="AJ136" i="20" s="1"/>
  <c r="AF141" i="20" a="1"/>
  <c r="AF141" i="20" s="1"/>
  <c r="AF140" i="20" a="1"/>
  <c r="AF140" i="20" s="1"/>
  <c r="AF142" i="20" a="1"/>
  <c r="AF142" i="20" s="1"/>
  <c r="AF143" i="20" a="1"/>
  <c r="AF143" i="20" s="1"/>
  <c r="AF144" i="20" a="1"/>
  <c r="AF144" i="20" s="1"/>
  <c r="AH93" i="20" a="1"/>
  <c r="AH93" i="20" s="1"/>
  <c r="AJ94" i="20" a="1"/>
  <c r="AJ94" i="20" s="1"/>
  <c r="AF96" i="20" a="1"/>
  <c r="AF96" i="20" s="1"/>
  <c r="AH97" i="20" a="1"/>
  <c r="AH97" i="20" s="1"/>
  <c r="AI108" i="20" a="1"/>
  <c r="AI108" i="20" s="1"/>
  <c r="AE110" i="20" a="1"/>
  <c r="AE110" i="20" s="1"/>
  <c r="AG111" i="20" a="1"/>
  <c r="AG111" i="20" s="1"/>
  <c r="AI112" i="20" a="1"/>
  <c r="AI112" i="20" s="1"/>
  <c r="AJ116" i="20" a="1"/>
  <c r="AJ116" i="20" s="1"/>
  <c r="AF118" i="20" a="1"/>
  <c r="AF118" i="20" s="1"/>
  <c r="AH119" i="20" a="1"/>
  <c r="AH119" i="20" s="1"/>
  <c r="AJ120" i="20" a="1"/>
  <c r="AJ120" i="20" s="1"/>
  <c r="AE127" i="20" a="1"/>
  <c r="AE127" i="20" s="1"/>
  <c r="AG128" i="20" a="1"/>
  <c r="AG128" i="20" s="1"/>
  <c r="AI129" i="20" a="1"/>
  <c r="AI129" i="20" s="1"/>
  <c r="AE133" i="20" a="1"/>
  <c r="AE133" i="20" s="1"/>
  <c r="AI135" i="20" a="1"/>
  <c r="AI135" i="20" s="1"/>
  <c r="AE137" i="20" a="1"/>
  <c r="AE137" i="20" s="1"/>
  <c r="Y144" i="20" a="1"/>
  <c r="Y144" i="20" s="1"/>
  <c r="Y142" i="20" a="1"/>
  <c r="Y142" i="20" s="1"/>
  <c r="Y140" i="20" a="1"/>
  <c r="Y140" i="20" s="1"/>
  <c r="Y143" i="20" a="1"/>
  <c r="Y143" i="20" s="1"/>
  <c r="Y141" i="20" a="1"/>
  <c r="Y141" i="20" s="1"/>
  <c r="AG142" i="20" a="1"/>
  <c r="AG142" i="20" s="1"/>
  <c r="AG143" i="20" a="1"/>
  <c r="AG143" i="20" s="1"/>
  <c r="AG144" i="20" a="1"/>
  <c r="AG144" i="20" s="1"/>
  <c r="AG140" i="20" a="1"/>
  <c r="AG140" i="20" s="1"/>
  <c r="AG141" i="20" a="1"/>
  <c r="AG141" i="20" s="1"/>
  <c r="AI93" i="20" a="1"/>
  <c r="AI93" i="20" s="1"/>
  <c r="AE95" i="20" a="1"/>
  <c r="AE95" i="20" s="1"/>
  <c r="AG96" i="20" a="1"/>
  <c r="AG96" i="20" s="1"/>
  <c r="AI97" i="20" a="1"/>
  <c r="AI97" i="20" s="1"/>
  <c r="AJ108" i="20" a="1"/>
  <c r="AJ108" i="20" s="1"/>
  <c r="AF110" i="20" a="1"/>
  <c r="AF110" i="20" s="1"/>
  <c r="AH111" i="20" a="1"/>
  <c r="AH111" i="20" s="1"/>
  <c r="AJ112" i="20" a="1"/>
  <c r="AJ112" i="20" s="1"/>
  <c r="AE117" i="20" a="1"/>
  <c r="AE117" i="20" s="1"/>
  <c r="AG118" i="20" a="1"/>
  <c r="AG118" i="20" s="1"/>
  <c r="AI119" i="20" a="1"/>
  <c r="AI119" i="20" s="1"/>
  <c r="AF127" i="20" a="1"/>
  <c r="AF127" i="20" s="1"/>
  <c r="AH128" i="20" a="1"/>
  <c r="AH128" i="20" s="1"/>
  <c r="AJ129" i="20" a="1"/>
  <c r="AJ129" i="20" s="1"/>
  <c r="AF133" i="20" a="1"/>
  <c r="AF133" i="20" s="1"/>
  <c r="AJ135" i="20" a="1"/>
  <c r="AJ135" i="20" s="1"/>
  <c r="AF137" i="20" a="1"/>
  <c r="AF137" i="20" s="1"/>
  <c r="Z142" i="20" a="1"/>
  <c r="Z142" i="20" s="1"/>
  <c r="Z140" i="20" a="1"/>
  <c r="Z140" i="20" s="1"/>
  <c r="Z141" i="20" a="1"/>
  <c r="Z141" i="20" s="1"/>
  <c r="Z144" i="20" a="1"/>
  <c r="Z144" i="20" s="1"/>
  <c r="Z143" i="20" a="1"/>
  <c r="Z143" i="20" s="1"/>
  <c r="AH143" i="20" a="1"/>
  <c r="AH143" i="20" s="1"/>
  <c r="AH144" i="20" a="1"/>
  <c r="AH144" i="20" s="1"/>
  <c r="AH142" i="20" a="1"/>
  <c r="AH142" i="20" s="1"/>
  <c r="AH140" i="20" a="1"/>
  <c r="AH140" i="20" s="1"/>
  <c r="AH141" i="20" a="1"/>
  <c r="AH141" i="20" s="1"/>
  <c r="AJ93" i="20" a="1"/>
  <c r="AJ93" i="20" s="1"/>
  <c r="AF95" i="20" a="1"/>
  <c r="AF95" i="20" s="1"/>
  <c r="AH96" i="20" a="1"/>
  <c r="AH96" i="20" s="1"/>
  <c r="AJ97" i="20" a="1"/>
  <c r="AJ97" i="20" s="1"/>
  <c r="AE109" i="20" a="1"/>
  <c r="AE109" i="20" s="1"/>
  <c r="AG110" i="20" a="1"/>
  <c r="AG110" i="20" s="1"/>
  <c r="AI111" i="20" a="1"/>
  <c r="AI111" i="20" s="1"/>
  <c r="AF117" i="20" a="1"/>
  <c r="AF117" i="20" s="1"/>
  <c r="AH118" i="20" a="1"/>
  <c r="AH118" i="20" s="1"/>
  <c r="AJ119" i="20" a="1"/>
  <c r="AJ119" i="20" s="1"/>
  <c r="AE126" i="20" a="1"/>
  <c r="AE126" i="20" s="1"/>
  <c r="AG127" i="20" a="1"/>
  <c r="AG127" i="20" s="1"/>
  <c r="AI128" i="20" a="1"/>
  <c r="AI128" i="20" s="1"/>
  <c r="AE130" i="20" a="1"/>
  <c r="AE130" i="20" s="1"/>
  <c r="AG133" i="20" a="1"/>
  <c r="AG133" i="20" s="1"/>
  <c r="AE136" i="20" a="1"/>
  <c r="AE136" i="20" s="1"/>
  <c r="AG137" i="20" a="1"/>
  <c r="AG137" i="20" s="1"/>
  <c r="AA144" i="20" a="1"/>
  <c r="AA144" i="20" s="1"/>
  <c r="AA142" i="20" a="1"/>
  <c r="AA142" i="20" s="1"/>
  <c r="AA140" i="20" a="1"/>
  <c r="AA140" i="20" s="1"/>
  <c r="AA143" i="20" a="1"/>
  <c r="AA143" i="20" s="1"/>
  <c r="AA141" i="20" a="1"/>
  <c r="AA141" i="20" s="1"/>
  <c r="AI144" i="20" a="1"/>
  <c r="AI144" i="20" s="1"/>
  <c r="AI140" i="20" a="1"/>
  <c r="AI140" i="20" s="1"/>
  <c r="AI143" i="20" a="1"/>
  <c r="AI143" i="20" s="1"/>
  <c r="AI141" i="20" a="1"/>
  <c r="AI141" i="20" s="1"/>
  <c r="AI142" i="20" a="1"/>
  <c r="AI142" i="20" s="1"/>
  <c r="AE94" i="20" a="1"/>
  <c r="AE94" i="20" s="1"/>
  <c r="AG95" i="20" a="1"/>
  <c r="AG95" i="20" s="1"/>
  <c r="AI96" i="20" a="1"/>
  <c r="AI96" i="20" s="1"/>
  <c r="AF109" i="20" a="1"/>
  <c r="AF109" i="20" s="1"/>
  <c r="AH110" i="20" a="1"/>
  <c r="AH110" i="20" s="1"/>
  <c r="AJ111" i="20" a="1"/>
  <c r="AJ111" i="20" s="1"/>
  <c r="AE116" i="20" a="1"/>
  <c r="AE116" i="20" s="1"/>
  <c r="AG117" i="20" a="1"/>
  <c r="AG117" i="20" s="1"/>
  <c r="AI118" i="20" a="1"/>
  <c r="AI118" i="20" s="1"/>
  <c r="AE120" i="20" a="1"/>
  <c r="AE120" i="20" s="1"/>
  <c r="AF126" i="20" a="1"/>
  <c r="AF126" i="20" s="1"/>
  <c r="AH127" i="20" a="1"/>
  <c r="AH127" i="20" s="1"/>
  <c r="AJ128" i="20" a="1"/>
  <c r="AJ128" i="20" s="1"/>
  <c r="AF130" i="20" a="1"/>
  <c r="AF130" i="20" s="1"/>
  <c r="AH133" i="20" a="1"/>
  <c r="AH133" i="20" s="1"/>
  <c r="AF136" i="20" a="1"/>
  <c r="AF136" i="20" s="1"/>
  <c r="AH137" i="20" a="1"/>
  <c r="AH137" i="20" s="1"/>
  <c r="AB141" i="20" a="1"/>
  <c r="AB141" i="20" s="1"/>
  <c r="AB142" i="20" a="1"/>
  <c r="AB142" i="20" s="1"/>
  <c r="AB144" i="20" a="1"/>
  <c r="AB144" i="20" s="1"/>
  <c r="AB140" i="20" a="1"/>
  <c r="AB140" i="20" s="1"/>
  <c r="AB143" i="20" a="1"/>
  <c r="AB143" i="20" s="1"/>
  <c r="AJ140" i="20" a="1"/>
  <c r="AJ140" i="20" s="1"/>
  <c r="AJ144" i="20" a="1"/>
  <c r="AJ144" i="20" s="1"/>
  <c r="AJ141" i="20" a="1"/>
  <c r="AJ141" i="20" s="1"/>
  <c r="AJ142" i="20" a="1"/>
  <c r="AJ142" i="20" s="1"/>
  <c r="AJ143" i="20" a="1"/>
  <c r="AJ143" i="20" s="1"/>
  <c r="AF94" i="20" a="1"/>
  <c r="AF94" i="20" s="1"/>
  <c r="AH95" i="20" a="1"/>
  <c r="AH95" i="20" s="1"/>
  <c r="AJ96" i="20" a="1"/>
  <c r="AJ96" i="20" s="1"/>
  <c r="AE108" i="20" a="1"/>
  <c r="AE108" i="20" s="1"/>
  <c r="AG109" i="20" a="1"/>
  <c r="AG109" i="20" s="1"/>
  <c r="AI110" i="20" a="1"/>
  <c r="AI110" i="20" s="1"/>
  <c r="AE112" i="20" a="1"/>
  <c r="AE112" i="20" s="1"/>
  <c r="AF116" i="20" a="1"/>
  <c r="AF116" i="20" s="1"/>
  <c r="AH117" i="20" a="1"/>
  <c r="AH117" i="20" s="1"/>
  <c r="AJ118" i="20" a="1"/>
  <c r="AJ118" i="20" s="1"/>
  <c r="AF120" i="20" a="1"/>
  <c r="AF120" i="20" s="1"/>
  <c r="AG126" i="20" a="1"/>
  <c r="AG126" i="20" s="1"/>
  <c r="AI127" i="20" a="1"/>
  <c r="AI127" i="20" s="1"/>
  <c r="AE129" i="20" a="1"/>
  <c r="AE129" i="20" s="1"/>
  <c r="AG130" i="20" a="1"/>
  <c r="AG130" i="20" s="1"/>
  <c r="AI133" i="20" a="1"/>
  <c r="AI133" i="20" s="1"/>
  <c r="AE135" i="20" a="1"/>
  <c r="AE135" i="20" s="1"/>
  <c r="AG136" i="20" a="1"/>
  <c r="AG136" i="20" s="1"/>
  <c r="AI137" i="20" a="1"/>
  <c r="AI137" i="20" s="1"/>
  <c r="AC140" i="20" a="1"/>
  <c r="AC140" i="20" s="1"/>
  <c r="AC141" i="20" a="1"/>
  <c r="AC141" i="20" s="1"/>
  <c r="AC142" i="20" a="1"/>
  <c r="AC142" i="20" s="1"/>
  <c r="AC143" i="20" a="1"/>
  <c r="AC143" i="20" s="1"/>
  <c r="AC144" i="20" a="1"/>
  <c r="AC144" i="20" s="1"/>
  <c r="AE93" i="20" a="1"/>
  <c r="AE93" i="20" s="1"/>
  <c r="AG94" i="20" a="1"/>
  <c r="AG94" i="20" s="1"/>
  <c r="AI95" i="20" a="1"/>
  <c r="AI95" i="20" s="1"/>
  <c r="AE97" i="20" a="1"/>
  <c r="AE97" i="20" s="1"/>
  <c r="AF108" i="20" a="1"/>
  <c r="AF108" i="20" s="1"/>
  <c r="AH109" i="20" a="1"/>
  <c r="AH109" i="20" s="1"/>
  <c r="AJ110" i="20" a="1"/>
  <c r="AJ110" i="20" s="1"/>
  <c r="AF112" i="20" a="1"/>
  <c r="AF112" i="20" s="1"/>
  <c r="AG116" i="20" a="1"/>
  <c r="AG116" i="20" s="1"/>
  <c r="AI117" i="20" a="1"/>
  <c r="AI117" i="20" s="1"/>
  <c r="AE119" i="20" a="1"/>
  <c r="AE119" i="20" s="1"/>
  <c r="AG120" i="20" a="1"/>
  <c r="AG120" i="20" s="1"/>
  <c r="AH126" i="20" a="1"/>
  <c r="AH126" i="20" s="1"/>
  <c r="AJ127" i="20" a="1"/>
  <c r="AJ127" i="20" s="1"/>
  <c r="AF129" i="20" a="1"/>
  <c r="AF129" i="20" s="1"/>
  <c r="AH130" i="20" a="1"/>
  <c r="AH130" i="20" s="1"/>
  <c r="AJ133" i="20" a="1"/>
  <c r="AJ133" i="20" s="1"/>
  <c r="AF135" i="20" a="1"/>
  <c r="AF135" i="20" s="1"/>
  <c r="AH136" i="20" a="1"/>
  <c r="AH136" i="20" s="1"/>
  <c r="AJ137" i="20" a="1"/>
  <c r="AJ137" i="20" s="1"/>
  <c r="G289" i="22"/>
  <c r="J289" i="22" s="1"/>
  <c r="K23" i="57"/>
  <c r="G18" i="59"/>
  <c r="Z213" i="20" a="1"/>
  <c r="Z213" i="20" s="1"/>
  <c r="I45" i="154"/>
  <c r="A4" i="165"/>
  <c r="A4" i="131"/>
  <c r="A4" i="130"/>
  <c r="A4" i="162"/>
  <c r="A4" i="145"/>
  <c r="A4" i="142"/>
  <c r="A4" i="161"/>
  <c r="A4" i="143"/>
  <c r="A4" i="141"/>
  <c r="BX297" i="13"/>
  <c r="W104" i="13" s="1"/>
  <c r="A42" i="174"/>
  <c r="BY297" i="13"/>
  <c r="W105" i="13" s="1"/>
  <c r="Q23" i="57"/>
  <c r="H20" i="109"/>
  <c r="BV297" i="13"/>
  <c r="BZ297" i="13"/>
  <c r="W108" i="13" s="1"/>
  <c r="Y98" i="20"/>
  <c r="G82" i="22"/>
  <c r="J82" i="22" s="1"/>
  <c r="G292" i="22"/>
  <c r="J292" i="22" s="1"/>
  <c r="G291" i="22"/>
  <c r="J291" i="22" s="1"/>
  <c r="G290" i="22"/>
  <c r="J290" i="22" s="1"/>
  <c r="Z98" i="13"/>
  <c r="AC98" i="13" s="1"/>
  <c r="S178" i="15"/>
  <c r="T178" i="15" s="1"/>
  <c r="F270" i="6"/>
  <c r="I23" i="12"/>
  <c r="T180" i="15"/>
  <c r="T121" i="15"/>
  <c r="T136" i="15"/>
  <c r="T119" i="15"/>
  <c r="M257" i="6"/>
  <c r="Q257" i="6"/>
  <c r="J257" i="6"/>
  <c r="K257" i="6"/>
  <c r="D53" i="6"/>
  <c r="D55" i="6"/>
  <c r="D57" i="6"/>
  <c r="D59" i="6"/>
  <c r="D61" i="6"/>
  <c r="AJ189" i="20"/>
  <c r="AD189" i="20"/>
  <c r="Y189" i="20"/>
  <c r="AE189" i="20"/>
  <c r="AA189" i="20"/>
  <c r="AH189" i="20"/>
  <c r="D63" i="6"/>
  <c r="AA182" i="20"/>
  <c r="AE182" i="20"/>
  <c r="Q254" i="6"/>
  <c r="I254" i="6"/>
  <c r="G254" i="6"/>
  <c r="K254" i="6"/>
  <c r="F255" i="6"/>
  <c r="I253" i="6"/>
  <c r="N256" i="6"/>
  <c r="F263" i="6"/>
  <c r="M263" i="6"/>
  <c r="O263" i="6"/>
  <c r="H263" i="6"/>
  <c r="I258" i="6"/>
  <c r="K258" i="6"/>
  <c r="H249" i="6"/>
  <c r="O249" i="6"/>
  <c r="K249" i="6"/>
  <c r="J249" i="6"/>
  <c r="Q255" i="6"/>
  <c r="I255" i="6"/>
  <c r="P255" i="6"/>
  <c r="D54" i="6"/>
  <c r="AJ185" i="20"/>
  <c r="AB185" i="20"/>
  <c r="AC185" i="20"/>
  <c r="Z185" i="20"/>
  <c r="AH185" i="20"/>
  <c r="Y185" i="20"/>
  <c r="D56" i="6"/>
  <c r="AA186" i="20"/>
  <c r="AI186" i="20"/>
  <c r="AB186" i="20"/>
  <c r="AJ186" i="20"/>
  <c r="Y186" i="20"/>
  <c r="D58" i="6"/>
  <c r="AJ187" i="20"/>
  <c r="AE187" i="20"/>
  <c r="AB187" i="20"/>
  <c r="AH187" i="20"/>
  <c r="AA187" i="20"/>
  <c r="D60" i="6"/>
  <c r="D62" i="6"/>
  <c r="F264" i="5"/>
  <c r="P82" i="38"/>
  <c r="S82" i="38" s="1"/>
  <c r="H30" i="38" s="1"/>
  <c r="AA223" i="24" s="1"/>
  <c r="I52" i="164"/>
  <c r="K61" i="164"/>
  <c r="M95" i="164"/>
  <c r="C44" i="66"/>
  <c r="D15" i="63"/>
  <c r="C15" i="63"/>
  <c r="F251" i="5"/>
  <c r="F273" i="5"/>
  <c r="C94" i="46"/>
  <c r="C7" i="46"/>
  <c r="C46" i="46"/>
  <c r="A5" i="185"/>
  <c r="C6" i="46"/>
  <c r="C45" i="46"/>
  <c r="C93" i="46"/>
  <c r="A4" i="185"/>
  <c r="AO553" i="24"/>
  <c r="L138" i="46"/>
  <c r="R45" i="159"/>
  <c r="O119" i="164"/>
  <c r="Q75" i="62"/>
  <c r="A4" i="180"/>
  <c r="A4" i="179"/>
  <c r="A44" i="179"/>
  <c r="A181" i="179"/>
  <c r="A4" i="172"/>
  <c r="A82" i="172"/>
  <c r="A4" i="170"/>
  <c r="A127" i="179"/>
  <c r="A4" i="177"/>
  <c r="A86" i="179"/>
  <c r="A4" i="182"/>
  <c r="A228" i="179"/>
  <c r="A5" i="176"/>
  <c r="A4" i="173"/>
  <c r="A42" i="172"/>
  <c r="A4" i="171"/>
  <c r="A41" i="180"/>
  <c r="A404" i="179"/>
  <c r="A28" i="177"/>
  <c r="A299" i="172"/>
  <c r="A378" i="172"/>
  <c r="A32" i="178"/>
  <c r="A52" i="171"/>
  <c r="A49" i="181"/>
  <c r="A282" i="179"/>
  <c r="A505" i="179"/>
  <c r="A432" i="172"/>
  <c r="A6" i="181"/>
  <c r="A5" i="170"/>
  <c r="A42" i="182"/>
  <c r="A96" i="181"/>
  <c r="A362" i="179"/>
  <c r="A36" i="176"/>
  <c r="A46" i="173"/>
  <c r="A474" i="172"/>
  <c r="A322" i="179"/>
  <c r="A458" i="179"/>
  <c r="A261" i="172"/>
  <c r="M41" i="54"/>
  <c r="A4" i="57"/>
  <c r="A5" i="57"/>
  <c r="A4" i="30"/>
  <c r="G80" i="110"/>
  <c r="C80" i="110"/>
  <c r="H54" i="62"/>
  <c r="K88" i="164"/>
  <c r="O104" i="164"/>
  <c r="G77" i="110"/>
  <c r="D54" i="159"/>
  <c r="D64" i="159" s="1"/>
  <c r="G29" i="42"/>
  <c r="H53" i="159"/>
  <c r="I28" i="164"/>
  <c r="N32" i="159"/>
  <c r="H33" i="159"/>
  <c r="I104" i="164"/>
  <c r="A4" i="33"/>
  <c r="A5" i="49"/>
  <c r="A5" i="50"/>
  <c r="E54" i="159"/>
  <c r="E64" i="159" s="1"/>
  <c r="L11" i="124"/>
  <c r="M75" i="62"/>
  <c r="M39" i="164"/>
  <c r="A4" i="26"/>
  <c r="B4" i="40"/>
  <c r="R110" i="109"/>
  <c r="I39" i="164"/>
  <c r="O61" i="164"/>
  <c r="G104" i="164"/>
  <c r="A4" i="42"/>
  <c r="I52" i="42"/>
  <c r="A4" i="109"/>
  <c r="R32" i="159"/>
  <c r="H41" i="159"/>
  <c r="R41" i="159"/>
  <c r="N53" i="159"/>
  <c r="T63" i="159"/>
  <c r="Q20" i="164"/>
  <c r="O28" i="164"/>
  <c r="K104" i="164"/>
  <c r="M18" i="164"/>
  <c r="M88" i="164"/>
  <c r="I95" i="164"/>
  <c r="Q104" i="164"/>
  <c r="Q119" i="164"/>
  <c r="J127" i="164"/>
  <c r="K127" i="164" s="1"/>
  <c r="A4" i="27"/>
  <c r="A4" i="38"/>
  <c r="A4" i="112"/>
  <c r="A5" i="45"/>
  <c r="A42" i="61"/>
  <c r="R33" i="159"/>
  <c r="H77" i="110"/>
  <c r="N50" i="164"/>
  <c r="M104" i="164"/>
  <c r="G119" i="164"/>
  <c r="M119" i="164"/>
  <c r="A4" i="34"/>
  <c r="R96" i="109"/>
  <c r="H23" i="109"/>
  <c r="A5" i="43"/>
  <c r="A5" i="51"/>
  <c r="B5" i="58"/>
  <c r="H36" i="159"/>
  <c r="K44" i="159"/>
  <c r="M45" i="159"/>
  <c r="M54" i="159" s="1"/>
  <c r="R53" i="159"/>
  <c r="E72" i="110"/>
  <c r="L155" i="110"/>
  <c r="B5" i="59"/>
  <c r="H32" i="159"/>
  <c r="P32" i="159"/>
  <c r="K36" i="159"/>
  <c r="K53" i="159"/>
  <c r="M38" i="72"/>
  <c r="F47" i="110"/>
  <c r="H80" i="110"/>
  <c r="G95" i="164"/>
  <c r="E61" i="164"/>
  <c r="A5" i="12"/>
  <c r="E104" i="164"/>
  <c r="I119" i="164"/>
  <c r="K119" i="164"/>
  <c r="Q126" i="164"/>
  <c r="P36" i="159"/>
  <c r="P41" i="159"/>
  <c r="I20" i="164"/>
  <c r="K18" i="164"/>
  <c r="I18" i="164"/>
  <c r="Q28" i="164"/>
  <c r="O39" i="164"/>
  <c r="P50" i="164"/>
  <c r="Q39" i="164"/>
  <c r="J165" i="110"/>
  <c r="I70" i="110"/>
  <c r="O95" i="164"/>
  <c r="Q95" i="164"/>
  <c r="X14" i="159"/>
  <c r="F88" i="110"/>
  <c r="N63" i="159"/>
  <c r="P63" i="159"/>
  <c r="Q18" i="164"/>
  <c r="K28" i="164"/>
  <c r="M28" i="164"/>
  <c r="O84" i="164"/>
  <c r="E88" i="164"/>
  <c r="E95" i="164"/>
  <c r="M126" i="164"/>
  <c r="O126" i="164"/>
  <c r="O137" i="54"/>
  <c r="T32" i="159"/>
  <c r="T36" i="159"/>
  <c r="R36" i="159"/>
  <c r="P53" i="159"/>
  <c r="D34" i="66"/>
  <c r="G44" i="66"/>
  <c r="G50" i="164"/>
  <c r="G39" i="164"/>
  <c r="S64" i="164"/>
  <c r="Q61" i="164"/>
  <c r="M127" i="164"/>
  <c r="C83" i="110"/>
  <c r="G64" i="159"/>
  <c r="N36" i="159"/>
  <c r="T41" i="159"/>
  <c r="H83" i="110"/>
  <c r="N20" i="164"/>
  <c r="O18" i="164"/>
  <c r="K39" i="164"/>
  <c r="K50" i="164"/>
  <c r="F72" i="110"/>
  <c r="I88" i="164"/>
  <c r="K126" i="164"/>
  <c r="H130" i="164"/>
  <c r="AA217" i="20" a="1"/>
  <c r="AA217" i="20" s="1"/>
  <c r="K41" i="159"/>
  <c r="V53" i="159"/>
  <c r="T53" i="159"/>
  <c r="D88" i="110"/>
  <c r="H63" i="159"/>
  <c r="K63" i="159"/>
  <c r="N44" i="66"/>
  <c r="F44" i="66"/>
  <c r="M61" i="164"/>
  <c r="G70" i="110"/>
  <c r="K95" i="164"/>
  <c r="O147" i="55"/>
  <c r="E50" i="55"/>
  <c r="F50" i="55" s="1"/>
  <c r="H50" i="55" s="1"/>
  <c r="J50" i="55" s="1"/>
  <c r="K32" i="159"/>
  <c r="M33" i="159"/>
  <c r="N33" i="159" s="1"/>
  <c r="G83" i="110"/>
  <c r="T44" i="159"/>
  <c r="I83" i="110"/>
  <c r="V44" i="159"/>
  <c r="E18" i="164"/>
  <c r="E50" i="164"/>
  <c r="G72" i="110"/>
  <c r="G165" i="110"/>
  <c r="O127" i="164"/>
  <c r="AE221" i="20" a="1"/>
  <c r="AE221" i="20" s="1"/>
  <c r="C334" i="22"/>
  <c r="Q192" i="24"/>
  <c r="A4" i="25"/>
  <c r="A4" i="84"/>
  <c r="A4" i="115"/>
  <c r="J37" i="115"/>
  <c r="A4" i="140"/>
  <c r="A4" i="152"/>
  <c r="M132" i="55"/>
  <c r="V32" i="159"/>
  <c r="N44" i="159"/>
  <c r="A4" i="146"/>
  <c r="A4" i="154"/>
  <c r="A4" i="16"/>
  <c r="A4" i="29"/>
  <c r="A4" i="37"/>
  <c r="A32" i="55"/>
  <c r="H44" i="159"/>
  <c r="J45" i="159"/>
  <c r="H45" i="159" s="1"/>
  <c r="P44" i="159"/>
  <c r="H88" i="110"/>
  <c r="R63" i="159"/>
  <c r="N155" i="110"/>
  <c r="M34" i="66"/>
  <c r="I80" i="110"/>
  <c r="K95" i="110"/>
  <c r="V63" i="159"/>
  <c r="N34" i="66"/>
  <c r="F34" i="66"/>
  <c r="M44" i="66"/>
  <c r="M155" i="110"/>
  <c r="K39" i="56"/>
  <c r="K47" i="56" s="1"/>
  <c r="U46" i="37"/>
  <c r="U50" i="37" s="1"/>
  <c r="U52" i="37" s="1"/>
  <c r="J20" i="37" s="1"/>
  <c r="J26" i="37" s="1"/>
  <c r="Y223" i="24" s="1"/>
  <c r="AA420" i="24"/>
  <c r="AA179" i="20" a="1"/>
  <c r="AA179" i="20" s="1"/>
  <c r="AH221" i="20" a="1"/>
  <c r="AH221" i="20" s="1"/>
  <c r="AI177" i="20" a="1"/>
  <c r="AI177" i="20" s="1"/>
  <c r="AC181" i="20" a="1"/>
  <c r="AC181" i="20" s="1"/>
  <c r="AD200" i="20" a="1"/>
  <c r="AD200" i="20" s="1"/>
  <c r="AJ203" i="20" a="1"/>
  <c r="AJ203" i="20" s="1"/>
  <c r="AG204" i="20" a="1"/>
  <c r="AG204" i="20" s="1"/>
  <c r="AI178" i="20" a="1"/>
  <c r="AI178" i="20" s="1"/>
  <c r="AE195" i="20" a="1"/>
  <c r="AE195" i="20" s="1"/>
  <c r="AI213" i="20" a="1"/>
  <c r="AI213" i="20" s="1"/>
  <c r="Z192" i="20" a="1"/>
  <c r="Z192" i="20" s="1"/>
  <c r="Z196" i="20" a="1"/>
  <c r="Z196" i="20" s="1"/>
  <c r="AI201" i="20" a="1"/>
  <c r="AI201" i="20" s="1"/>
  <c r="Y203" i="20" a="1"/>
  <c r="Y203" i="20" s="1"/>
  <c r="AE193" i="20" a="1"/>
  <c r="AE193" i="20" s="1"/>
  <c r="AD211" i="20" a="1"/>
  <c r="AD211" i="20" s="1"/>
  <c r="AB180" i="20" a="1"/>
  <c r="AB180" i="20" s="1"/>
  <c r="AC202" i="20" a="1"/>
  <c r="AC202" i="20" s="1"/>
  <c r="Z212" i="20" a="1"/>
  <c r="Z212" i="20" s="1"/>
  <c r="AG214" i="20" a="1"/>
  <c r="AG214" i="20" s="1"/>
  <c r="AJ219" i="20" a="1"/>
  <c r="AJ219" i="20" s="1"/>
  <c r="AD192" i="20" a="1"/>
  <c r="AD192" i="20" s="1"/>
  <c r="AB204" i="20" a="1"/>
  <c r="AB204" i="20" s="1"/>
  <c r="AG210" i="20" a="1"/>
  <c r="AG210" i="20" s="1"/>
  <c r="AB212" i="20" a="1"/>
  <c r="AB212" i="20" s="1"/>
  <c r="AA213" i="20" a="1"/>
  <c r="AA213" i="20" s="1"/>
  <c r="AI214" i="20" a="1"/>
  <c r="AI214" i="20" s="1"/>
  <c r="AG218" i="20" a="1"/>
  <c r="AG218" i="20" s="1"/>
  <c r="AH212" i="20" a="1"/>
  <c r="AH212" i="20" s="1"/>
  <c r="AC213" i="20" a="1"/>
  <c r="AC213" i="20" s="1"/>
  <c r="AH218" i="20" a="1"/>
  <c r="AH218" i="20" s="1"/>
  <c r="AJ196" i="20" a="1"/>
  <c r="AJ196" i="20" s="1"/>
  <c r="Z194" i="20" a="1"/>
  <c r="Z194" i="20" s="1"/>
  <c r="AJ201" i="20" a="1"/>
  <c r="AJ201" i="20" s="1"/>
  <c r="AD201" i="20" a="1"/>
  <c r="AD201" i="20" s="1"/>
  <c r="AF203" i="20" a="1"/>
  <c r="AF203" i="20" s="1"/>
  <c r="AD212" i="20" a="1"/>
  <c r="AD212" i="20" s="1"/>
  <c r="AJ212" i="20" a="1"/>
  <c r="AJ212" i="20" s="1"/>
  <c r="G139" i="22"/>
  <c r="J139" i="22" s="1"/>
  <c r="AC420" i="24"/>
  <c r="AE482" i="24"/>
  <c r="AE484" i="24" s="1"/>
  <c r="U482" i="24"/>
  <c r="U487" i="24" s="1"/>
  <c r="U490" i="24" s="1"/>
  <c r="AE420" i="24"/>
  <c r="AE422" i="24" s="1"/>
  <c r="AA482" i="24"/>
  <c r="M48" i="24"/>
  <c r="M53" i="24" s="1"/>
  <c r="M56" i="24" s="1"/>
  <c r="W482" i="24"/>
  <c r="W487" i="24" s="1"/>
  <c r="W490" i="24" s="1"/>
  <c r="Y482" i="24"/>
  <c r="Y484" i="24" s="1"/>
  <c r="K44" i="66"/>
  <c r="K34" i="66"/>
  <c r="J31" i="163"/>
  <c r="G18" i="164"/>
  <c r="G20" i="164"/>
  <c r="E119" i="164"/>
  <c r="G88" i="164"/>
  <c r="G61" i="164"/>
  <c r="E28" i="164"/>
  <c r="G28" i="164"/>
  <c r="AO530" i="24"/>
  <c r="P63" i="20"/>
  <c r="P71" i="20" s="1"/>
  <c r="Q121" i="55"/>
  <c r="U121" i="55"/>
  <c r="X173" i="55"/>
  <c r="T173" i="55"/>
  <c r="P121" i="55"/>
  <c r="T121" i="55"/>
  <c r="X121" i="55"/>
  <c r="AA121" i="55"/>
  <c r="W173" i="55"/>
  <c r="H20" i="55"/>
  <c r="J20" i="55" s="1"/>
  <c r="O67" i="55"/>
  <c r="E18" i="55" s="1"/>
  <c r="R121" i="55"/>
  <c r="V121" i="55"/>
  <c r="Y173" i="55"/>
  <c r="AA173" i="55"/>
  <c r="H22" i="55"/>
  <c r="J22" i="55" s="1"/>
  <c r="W121" i="55"/>
  <c r="Z173" i="55"/>
  <c r="J96" i="54"/>
  <c r="Y358" i="24"/>
  <c r="Y363" i="24" s="1"/>
  <c r="Y366" i="24" s="1"/>
  <c r="D40" i="110"/>
  <c r="G21" i="68"/>
  <c r="O62" i="54"/>
  <c r="O68" i="54" s="1"/>
  <c r="G24" i="54"/>
  <c r="J30" i="54"/>
  <c r="J33" i="54" s="1"/>
  <c r="K26" i="54"/>
  <c r="O119" i="55"/>
  <c r="E24" i="55" s="1"/>
  <c r="F24" i="55" s="1"/>
  <c r="H24" i="55" s="1"/>
  <c r="J24" i="55" s="1"/>
  <c r="S121" i="55"/>
  <c r="Z121" i="55"/>
  <c r="Y121" i="55"/>
  <c r="V173" i="55"/>
  <c r="U173" i="55"/>
  <c r="P173" i="55"/>
  <c r="O139" i="55"/>
  <c r="E46" i="55" s="1"/>
  <c r="F46" i="55" s="1"/>
  <c r="H46" i="55" s="1"/>
  <c r="J46" i="55" s="1"/>
  <c r="H48" i="55"/>
  <c r="J48" i="55" s="1"/>
  <c r="O171" i="55"/>
  <c r="V33" i="159"/>
  <c r="T33" i="159"/>
  <c r="I77" i="110"/>
  <c r="T72" i="62"/>
  <c r="D62" i="62"/>
  <c r="D73" i="62" s="1"/>
  <c r="D76" i="62" s="1"/>
  <c r="P51" i="62"/>
  <c r="R51" i="62"/>
  <c r="P20" i="62"/>
  <c r="V51" i="62"/>
  <c r="K67" i="62"/>
  <c r="K69" i="62"/>
  <c r="V36" i="62"/>
  <c r="H45" i="62"/>
  <c r="E62" i="62"/>
  <c r="E73" i="62" s="1"/>
  <c r="E76" i="62" s="1"/>
  <c r="H67" i="62"/>
  <c r="P72" i="62"/>
  <c r="V72" i="62"/>
  <c r="K48" i="62"/>
  <c r="H48" i="62"/>
  <c r="H68" i="62"/>
  <c r="Q14" i="62"/>
  <c r="M62" i="62"/>
  <c r="R72" i="62"/>
  <c r="E15" i="66"/>
  <c r="N29" i="62"/>
  <c r="H49" i="62"/>
  <c r="H50" i="62"/>
  <c r="N51" i="62"/>
  <c r="S62" i="62"/>
  <c r="N72" i="62"/>
  <c r="V20" i="62"/>
  <c r="P29" i="62"/>
  <c r="R29" i="62"/>
  <c r="R36" i="62"/>
  <c r="T36" i="62"/>
  <c r="S40" i="62"/>
  <c r="H66" i="62"/>
  <c r="R30" i="62"/>
  <c r="R20" i="62"/>
  <c r="H71" i="62"/>
  <c r="K71" i="62"/>
  <c r="N20" i="62"/>
  <c r="N36" i="62"/>
  <c r="P36" i="62"/>
  <c r="K66" i="62"/>
  <c r="T20" i="62"/>
  <c r="H47" i="62"/>
  <c r="Q62" i="62"/>
  <c r="H59" i="62"/>
  <c r="H70" i="62"/>
  <c r="K70" i="62"/>
  <c r="H69" i="62"/>
  <c r="O62" i="62"/>
  <c r="T51" i="62"/>
  <c r="E15" i="63"/>
  <c r="N15" i="66"/>
  <c r="F15" i="63"/>
  <c r="C15" i="66"/>
  <c r="C15" i="67"/>
  <c r="D15" i="67"/>
  <c r="E15" i="67"/>
  <c r="N66" i="19"/>
  <c r="K23" i="66"/>
  <c r="K24" i="66" s="1"/>
  <c r="G75" i="62" s="1"/>
  <c r="I19" i="66"/>
  <c r="I44" i="63"/>
  <c r="O17" i="64"/>
  <c r="E237" i="5"/>
  <c r="E245" i="5"/>
  <c r="H261" i="5"/>
  <c r="AA98" i="20"/>
  <c r="AF101" i="20"/>
  <c r="AJ101" i="20"/>
  <c r="AH102" i="20"/>
  <c r="AF103" i="20"/>
  <c r="AJ103" i="20"/>
  <c r="AE105" i="20"/>
  <c r="AI105" i="20"/>
  <c r="AE101" i="20"/>
  <c r="AI101" i="20"/>
  <c r="AG102" i="20"/>
  <c r="AE103" i="20"/>
  <c r="AI103" i="20"/>
  <c r="AH105" i="20"/>
  <c r="AG101" i="20"/>
  <c r="AE102" i="20"/>
  <c r="AI102" i="20"/>
  <c r="AG103" i="20"/>
  <c r="AF105" i="20"/>
  <c r="AJ105" i="20"/>
  <c r="AH101" i="20"/>
  <c r="AF102" i="20"/>
  <c r="AJ102" i="20"/>
  <c r="AH103" i="20"/>
  <c r="AG105" i="20"/>
  <c r="E243" i="5"/>
  <c r="G270" i="5"/>
  <c r="U70" i="54"/>
  <c r="U71" i="54" s="1"/>
  <c r="Y70" i="54"/>
  <c r="Y71" i="54" s="1"/>
  <c r="S70" i="54"/>
  <c r="S71" i="54" s="1"/>
  <c r="W70" i="54"/>
  <c r="W71" i="54" s="1"/>
  <c r="AA70" i="54"/>
  <c r="AA71" i="54" s="1"/>
  <c r="T70" i="54"/>
  <c r="T71" i="54" s="1"/>
  <c r="X70" i="54"/>
  <c r="X71" i="54" s="1"/>
  <c r="V70" i="54"/>
  <c r="V71" i="54" s="1"/>
  <c r="Z70" i="54"/>
  <c r="Z71" i="54" s="1"/>
  <c r="G261" i="5"/>
  <c r="L259" i="5"/>
  <c r="P259" i="5"/>
  <c r="I270" i="5"/>
  <c r="M270" i="5"/>
  <c r="Q270" i="5"/>
  <c r="L270" i="5"/>
  <c r="P270" i="5"/>
  <c r="Z98" i="20"/>
  <c r="K270" i="5"/>
  <c r="O270" i="5"/>
  <c r="O264" i="5"/>
  <c r="K264" i="5"/>
  <c r="K249" i="5"/>
  <c r="O249" i="5"/>
  <c r="K256" i="5"/>
  <c r="O256" i="5"/>
  <c r="J251" i="5"/>
  <c r="N251" i="5"/>
  <c r="K266" i="5"/>
  <c r="O266" i="5"/>
  <c r="L252" i="5"/>
  <c r="P252" i="5"/>
  <c r="I253" i="5"/>
  <c r="M253" i="5"/>
  <c r="Q253" i="5"/>
  <c r="I260" i="5"/>
  <c r="M260" i="5"/>
  <c r="Q260" i="5"/>
  <c r="I267" i="5"/>
  <c r="M267" i="5"/>
  <c r="Q267" i="5"/>
  <c r="F262" i="5"/>
  <c r="J262" i="5"/>
  <c r="N262" i="5"/>
  <c r="L269" i="5"/>
  <c r="P269" i="5"/>
  <c r="F257" i="5"/>
  <c r="J257" i="5"/>
  <c r="N257" i="5"/>
  <c r="L258" i="5"/>
  <c r="L263" i="5"/>
  <c r="K273" i="5"/>
  <c r="O273" i="5"/>
  <c r="I275" i="5"/>
  <c r="M275" i="5"/>
  <c r="Q275" i="5"/>
  <c r="P258" i="5"/>
  <c r="P263" i="5"/>
  <c r="K251" i="5"/>
  <c r="O251" i="5"/>
  <c r="A48" i="14"/>
  <c r="Q100" i="12"/>
  <c r="L43" i="16"/>
  <c r="A4" i="18"/>
  <c r="U168" i="20"/>
  <c r="Q378" i="24"/>
  <c r="AG503" i="24"/>
  <c r="A4" i="151"/>
  <c r="A4" i="32"/>
  <c r="A4" i="108"/>
  <c r="A4" i="41"/>
  <c r="A5" i="19"/>
  <c r="K43" i="20"/>
  <c r="C6" i="22"/>
  <c r="C52" i="22"/>
  <c r="C122" i="22"/>
  <c r="C198" i="22"/>
  <c r="C242" i="22"/>
  <c r="C298" i="22"/>
  <c r="Q254" i="24"/>
  <c r="Q316" i="24"/>
  <c r="Q440" i="24"/>
  <c r="A4" i="28"/>
  <c r="A4" i="107"/>
  <c r="A4" i="31"/>
  <c r="A4" i="35"/>
  <c r="A4" i="111"/>
  <c r="A4" i="153"/>
  <c r="A5" i="44"/>
  <c r="A5" i="48"/>
  <c r="A5" i="52"/>
  <c r="C5" i="53"/>
  <c r="A72" i="54"/>
  <c r="M113" i="54"/>
  <c r="A4" i="56"/>
  <c r="A4" i="20"/>
  <c r="C6" i="21"/>
  <c r="C58" i="21"/>
  <c r="C303" i="21"/>
  <c r="AG502" i="24"/>
  <c r="A4" i="50"/>
  <c r="A4" i="52"/>
  <c r="A4" i="55"/>
  <c r="B4" i="58"/>
  <c r="B4" i="59"/>
  <c r="A4" i="61"/>
  <c r="A4" i="64"/>
  <c r="A4" i="71"/>
  <c r="A4" i="12"/>
  <c r="U84" i="20"/>
  <c r="A4" i="51"/>
  <c r="C4" i="53"/>
  <c r="A4" i="54"/>
  <c r="M60" i="55"/>
  <c r="A4" i="70"/>
  <c r="A7" i="72"/>
  <c r="Q50" i="12"/>
  <c r="A4" i="14"/>
  <c r="V76" i="16"/>
  <c r="A4" i="19"/>
  <c r="C340" i="21"/>
  <c r="A6" i="24"/>
  <c r="A68" i="24" s="1"/>
  <c r="A4" i="60"/>
  <c r="C203" i="21"/>
  <c r="C247" i="21"/>
  <c r="A4" i="49"/>
  <c r="A4" i="76"/>
  <c r="O257" i="5"/>
  <c r="K259" i="5"/>
  <c r="O259" i="5"/>
  <c r="J270" i="5"/>
  <c r="N270" i="5"/>
  <c r="P266" i="5"/>
  <c r="F253" i="5"/>
  <c r="N253" i="5"/>
  <c r="J260" i="5"/>
  <c r="J267" i="5"/>
  <c r="K262" i="5"/>
  <c r="M269" i="5"/>
  <c r="L256" i="5"/>
  <c r="P256" i="5"/>
  <c r="L266" i="5"/>
  <c r="J253" i="5"/>
  <c r="N260" i="5"/>
  <c r="F267" i="5"/>
  <c r="N267" i="5"/>
  <c r="O262" i="5"/>
  <c r="I269" i="5"/>
  <c r="Q269" i="5"/>
  <c r="K257" i="5"/>
  <c r="I258" i="5"/>
  <c r="Q258" i="5"/>
  <c r="J259" i="5"/>
  <c r="I263" i="5"/>
  <c r="Q263" i="5"/>
  <c r="M256" i="5"/>
  <c r="Q256" i="5"/>
  <c r="L251" i="5"/>
  <c r="P251" i="5"/>
  <c r="I266" i="5"/>
  <c r="M266" i="5"/>
  <c r="Q266" i="5"/>
  <c r="K253" i="5"/>
  <c r="O253" i="5"/>
  <c r="K260" i="5"/>
  <c r="O260" i="5"/>
  <c r="K267" i="5"/>
  <c r="O267" i="5"/>
  <c r="L262" i="5"/>
  <c r="P262" i="5"/>
  <c r="F269" i="5"/>
  <c r="J269" i="5"/>
  <c r="N269" i="5"/>
  <c r="L257" i="5"/>
  <c r="P257" i="5"/>
  <c r="F258" i="5"/>
  <c r="J258" i="5"/>
  <c r="N258" i="5"/>
  <c r="M258" i="5"/>
  <c r="F259" i="5"/>
  <c r="N259" i="5"/>
  <c r="M263" i="5"/>
  <c r="I256" i="5"/>
  <c r="J256" i="5"/>
  <c r="N256" i="5"/>
  <c r="I251" i="5"/>
  <c r="M251" i="5"/>
  <c r="Q251" i="5"/>
  <c r="J266" i="5"/>
  <c r="N266" i="5"/>
  <c r="K252" i="5"/>
  <c r="O252" i="5"/>
  <c r="L253" i="5"/>
  <c r="P253" i="5"/>
  <c r="L260" i="5"/>
  <c r="L267" i="5"/>
  <c r="P267" i="5"/>
  <c r="I262" i="5"/>
  <c r="M262" i="5"/>
  <c r="Q262" i="5"/>
  <c r="K269" i="5"/>
  <c r="O269" i="5"/>
  <c r="I257" i="5"/>
  <c r="M257" i="5"/>
  <c r="Q257" i="5"/>
  <c r="K258" i="5"/>
  <c r="O258" i="5"/>
  <c r="I259" i="5"/>
  <c r="M259" i="5"/>
  <c r="Q259" i="5"/>
  <c r="E241" i="5"/>
  <c r="AE276" i="24"/>
  <c r="AE286" i="24" s="1"/>
  <c r="Q28" i="52"/>
  <c r="L264" i="5"/>
  <c r="N275" i="5"/>
  <c r="P249" i="5"/>
  <c r="I264" i="5"/>
  <c r="M264" i="5"/>
  <c r="Q264" i="5"/>
  <c r="K275" i="5"/>
  <c r="O275" i="5"/>
  <c r="E42" i="5"/>
  <c r="I249" i="5"/>
  <c r="M249" i="5"/>
  <c r="Q249" i="5"/>
  <c r="F263" i="5"/>
  <c r="J263" i="5"/>
  <c r="N263" i="5"/>
  <c r="P264" i="5"/>
  <c r="J275" i="5"/>
  <c r="L249" i="5"/>
  <c r="J273" i="5"/>
  <c r="N273" i="5"/>
  <c r="P275" i="5"/>
  <c r="E47" i="5"/>
  <c r="J249" i="5"/>
  <c r="N249" i="5"/>
  <c r="K263" i="5"/>
  <c r="O263" i="5"/>
  <c r="D11" i="6"/>
  <c r="G349" i="22"/>
  <c r="J349" i="22" s="1"/>
  <c r="AO529" i="24"/>
  <c r="K31" i="76"/>
  <c r="K36" i="50"/>
  <c r="E70" i="19"/>
  <c r="H70" i="19"/>
  <c r="H82" i="15"/>
  <c r="N17" i="15"/>
  <c r="O17" i="15" s="1"/>
  <c r="P17" i="15" s="1"/>
  <c r="Q17" i="15" s="1"/>
  <c r="F106" i="15" s="1"/>
  <c r="G22" i="14"/>
  <c r="L22" i="14" s="1"/>
  <c r="N22" i="14" s="1"/>
  <c r="P22" i="14" s="1"/>
  <c r="F138" i="15"/>
  <c r="J75" i="15"/>
  <c r="S146" i="15"/>
  <c r="H75" i="15"/>
  <c r="G82" i="15"/>
  <c r="G75" i="15"/>
  <c r="I75" i="15"/>
  <c r="F82" i="15"/>
  <c r="F110" i="15"/>
  <c r="E47" i="110"/>
  <c r="AO146" i="13"/>
  <c r="AR146" i="13" s="1"/>
  <c r="O59" i="13"/>
  <c r="N71" i="13"/>
  <c r="O71" i="13" s="1"/>
  <c r="AR126" i="13"/>
  <c r="U120" i="12"/>
  <c r="U125" i="12" s="1"/>
  <c r="BG227" i="13"/>
  <c r="CC321" i="13"/>
  <c r="BG230" i="13"/>
  <c r="CC327" i="13"/>
  <c r="CN398" i="13"/>
  <c r="AO143" i="13"/>
  <c r="AR143" i="13" s="1"/>
  <c r="BG219" i="13"/>
  <c r="BG238" i="13"/>
  <c r="CN373" i="13"/>
  <c r="AO139" i="13"/>
  <c r="AR139" i="13" s="1"/>
  <c r="BG221" i="13"/>
  <c r="CN390" i="13"/>
  <c r="CN393" i="13"/>
  <c r="Y123" i="12"/>
  <c r="O26" i="12" s="1"/>
  <c r="K26" i="12"/>
  <c r="CC336" i="13"/>
  <c r="CC344" i="13"/>
  <c r="Y70" i="12"/>
  <c r="Y72" i="12"/>
  <c r="M25" i="12" s="1"/>
  <c r="Y77" i="12"/>
  <c r="N67" i="13"/>
  <c r="O67" i="13" s="1"/>
  <c r="N75" i="13"/>
  <c r="O75" i="13" s="1"/>
  <c r="Z96" i="13"/>
  <c r="AC96" i="13" s="1"/>
  <c r="AC100" i="13"/>
  <c r="BG223" i="13"/>
  <c r="BG232" i="13"/>
  <c r="BG240" i="13"/>
  <c r="AO145" i="13"/>
  <c r="AR145" i="13" s="1"/>
  <c r="CC329" i="13"/>
  <c r="CC338" i="13"/>
  <c r="CC346" i="13"/>
  <c r="Y79" i="12"/>
  <c r="BG225" i="13"/>
  <c r="BG234" i="13"/>
  <c r="BG242" i="13"/>
  <c r="AO140" i="13"/>
  <c r="AR140" i="13" s="1"/>
  <c r="CC323" i="13"/>
  <c r="CC331" i="13"/>
  <c r="CC340" i="13"/>
  <c r="CN377" i="13"/>
  <c r="CN394" i="13"/>
  <c r="BG236" i="13"/>
  <c r="CC325" i="13"/>
  <c r="CC334" i="13"/>
  <c r="CC342" i="13"/>
  <c r="CN381" i="13"/>
  <c r="CN386" i="13"/>
  <c r="U129" i="12"/>
  <c r="Y129" i="12" s="1"/>
  <c r="K32" i="12"/>
  <c r="CC330" i="13"/>
  <c r="BG226" i="13"/>
  <c r="CN382" i="13"/>
  <c r="Y121" i="12"/>
  <c r="O24" i="12" s="1"/>
  <c r="N76" i="13"/>
  <c r="O76" i="13" s="1"/>
  <c r="N72" i="13"/>
  <c r="O72" i="13" s="1"/>
  <c r="N68" i="13"/>
  <c r="O68" i="13" s="1"/>
  <c r="N64" i="13"/>
  <c r="O64" i="13" s="1"/>
  <c r="N73" i="13"/>
  <c r="O73" i="13" s="1"/>
  <c r="N69" i="13"/>
  <c r="O69" i="13" s="1"/>
  <c r="N65" i="13"/>
  <c r="O65" i="13" s="1"/>
  <c r="N66" i="13"/>
  <c r="O66" i="13" s="1"/>
  <c r="N74" i="13"/>
  <c r="O74" i="13" s="1"/>
  <c r="Z97" i="13"/>
  <c r="AC97" i="13" s="1"/>
  <c r="CC339" i="13"/>
  <c r="BG235" i="13"/>
  <c r="CN391" i="13"/>
  <c r="CC345" i="13"/>
  <c r="BG241" i="13"/>
  <c r="BT293" i="13"/>
  <c r="CC337" i="13"/>
  <c r="BG233" i="13"/>
  <c r="BT285" i="13"/>
  <c r="Y81" i="12"/>
  <c r="M34" i="12" s="1"/>
  <c r="AO138" i="13"/>
  <c r="AR138" i="13" s="1"/>
  <c r="Y122" i="12"/>
  <c r="O25" i="12" s="1"/>
  <c r="U127" i="12"/>
  <c r="Y127" i="12" s="1"/>
  <c r="K30" i="12"/>
  <c r="AR127" i="13"/>
  <c r="CN372" i="13"/>
  <c r="CC320" i="13"/>
  <c r="BT268" i="13"/>
  <c r="BG216" i="13"/>
  <c r="CC322" i="13"/>
  <c r="BG218" i="13"/>
  <c r="CN374" i="13"/>
  <c r="CN380" i="13"/>
  <c r="CC328" i="13"/>
  <c r="BG224" i="13"/>
  <c r="BT276" i="13"/>
  <c r="CN389" i="13"/>
  <c r="CC326" i="13"/>
  <c r="BG222" i="13"/>
  <c r="CC335" i="13"/>
  <c r="BG231" i="13"/>
  <c r="CN387" i="13"/>
  <c r="CC343" i="13"/>
  <c r="BG239" i="13"/>
  <c r="CN395" i="13"/>
  <c r="CN378" i="13"/>
  <c r="AR132" i="13"/>
  <c r="CN376" i="13"/>
  <c r="CC324" i="13"/>
  <c r="BG220" i="13"/>
  <c r="CC341" i="13"/>
  <c r="BG237" i="13"/>
  <c r="CV399" i="13"/>
  <c r="BG217" i="13"/>
  <c r="CN375" i="13"/>
  <c r="CN379" i="13"/>
  <c r="CN383" i="13"/>
  <c r="AR133" i="13"/>
  <c r="BT284" i="13"/>
  <c r="BT288" i="13"/>
  <c r="BT292" i="13"/>
  <c r="O271" i="6"/>
  <c r="E268" i="5"/>
  <c r="D35" i="110"/>
  <c r="K30" i="68"/>
  <c r="AI193" i="20" a="1"/>
  <c r="AI193" i="20" s="1"/>
  <c r="AA195" i="20" a="1"/>
  <c r="AA195" i="20" s="1"/>
  <c r="AD196" i="20" a="1"/>
  <c r="AD196" i="20" s="1"/>
  <c r="AD193" i="20" a="1"/>
  <c r="AD193" i="20" s="1"/>
  <c r="AH194" i="20" a="1"/>
  <c r="AH194" i="20" s="1"/>
  <c r="AD195" i="20" a="1"/>
  <c r="AD195" i="20" s="1"/>
  <c r="AH196" i="20" a="1"/>
  <c r="AH196" i="20" s="1"/>
  <c r="Z200" i="20" a="1"/>
  <c r="Z200" i="20" s="1"/>
  <c r="AJ200" i="20" a="1"/>
  <c r="AJ200" i="20" s="1"/>
  <c r="AE217" i="20" a="1"/>
  <c r="AE217" i="20" s="1"/>
  <c r="AG219" i="20" a="1"/>
  <c r="AG219" i="20" s="1"/>
  <c r="AH177" i="20" a="1"/>
  <c r="AH177" i="20" s="1"/>
  <c r="AB178" i="20" a="1"/>
  <c r="AB178" i="20" s="1"/>
  <c r="Y192" i="20" a="1"/>
  <c r="Y192" i="20" s="1"/>
  <c r="Y194" i="20" a="1"/>
  <c r="Y194" i="20" s="1"/>
  <c r="Y196" i="20" a="1"/>
  <c r="Y196" i="20" s="1"/>
  <c r="AB200" i="20" a="1"/>
  <c r="AB200" i="20" s="1"/>
  <c r="AH202" i="20" a="1"/>
  <c r="AH202" i="20" s="1"/>
  <c r="AE210" i="20" a="1"/>
  <c r="AE210" i="20" s="1"/>
  <c r="AB211" i="20" a="1"/>
  <c r="AB211" i="20" s="1"/>
  <c r="AJ211" i="20" a="1"/>
  <c r="AJ211" i="20" s="1"/>
  <c r="AJ213" i="20" a="1"/>
  <c r="AJ213" i="20" s="1"/>
  <c r="AE213" i="20" a="1"/>
  <c r="AE213" i="20" s="1"/>
  <c r="AA214" i="20" a="1"/>
  <c r="AA214" i="20" s="1"/>
  <c r="AG217" i="20" a="1"/>
  <c r="AG217" i="20" s="1"/>
  <c r="AH217" i="20" a="1"/>
  <c r="AH217" i="20" s="1"/>
  <c r="Z218" i="20" a="1"/>
  <c r="Z218" i="20" s="1"/>
  <c r="AB219" i="20" a="1"/>
  <c r="AB219" i="20" s="1"/>
  <c r="AG221" i="20" a="1"/>
  <c r="AG221" i="20" s="1"/>
  <c r="AA193" i="20" a="1"/>
  <c r="AA193" i="20" s="1"/>
  <c r="AD194" i="20" a="1"/>
  <c r="AD194" i="20" s="1"/>
  <c r="AI195" i="20" a="1"/>
  <c r="AI195" i="20" s="1"/>
  <c r="AI200" i="20" a="1"/>
  <c r="AI200" i="20" s="1"/>
  <c r="AF211" i="20" a="1"/>
  <c r="AF211" i="20" s="1"/>
  <c r="AH179" i="20" a="1"/>
  <c r="AH179" i="20" s="1"/>
  <c r="AH192" i="20" a="1"/>
  <c r="AH192" i="20" s="1"/>
  <c r="AA210" i="20" a="1"/>
  <c r="AA210" i="20" s="1"/>
  <c r="Z211" i="20" a="1"/>
  <c r="Z211" i="20" s="1"/>
  <c r="AH211" i="20" a="1"/>
  <c r="AH211" i="20" s="1"/>
  <c r="Y218" i="20" a="1"/>
  <c r="Y218" i="20" s="1"/>
  <c r="AB177" i="20" a="1"/>
  <c r="AB177" i="20" s="1"/>
  <c r="Y193" i="20" a="1"/>
  <c r="Y193" i="20" s="1"/>
  <c r="AH193" i="20" a="1"/>
  <c r="AH193" i="20" s="1"/>
  <c r="Y195" i="20" a="1"/>
  <c r="Y195" i="20" s="1"/>
  <c r="AH195" i="20" a="1"/>
  <c r="AH195" i="20" s="1"/>
  <c r="AF200" i="20" a="1"/>
  <c r="AF200" i="20" s="1"/>
  <c r="Z201" i="20" a="1"/>
  <c r="Z201" i="20" s="1"/>
  <c r="AE203" i="20" a="1"/>
  <c r="AE203" i="20" s="1"/>
  <c r="AI204" i="20" a="1"/>
  <c r="AI204" i="20" s="1"/>
  <c r="AI210" i="20" a="1"/>
  <c r="AI210" i="20" s="1"/>
  <c r="AI212" i="20" a="1"/>
  <c r="AI212" i="20" s="1"/>
  <c r="AF212" i="20" a="1"/>
  <c r="AF212" i="20" s="1"/>
  <c r="Y213" i="20" a="1"/>
  <c r="Y213" i="20" s="1"/>
  <c r="AG213" i="20" a="1"/>
  <c r="AG213" i="20" s="1"/>
  <c r="AE214" i="20" a="1"/>
  <c r="AE214" i="20" s="1"/>
  <c r="Z217" i="20" a="1"/>
  <c r="Z217" i="20" s="1"/>
  <c r="AI217" i="20" a="1"/>
  <c r="AI217" i="20" s="1"/>
  <c r="AC219" i="20" a="1"/>
  <c r="AC219" i="20" s="1"/>
  <c r="Z221" i="20" a="1"/>
  <c r="Z221" i="20" s="1"/>
  <c r="AI181" i="20" a="1"/>
  <c r="AI181" i="20" s="1"/>
  <c r="AH178" i="20" a="1"/>
  <c r="AH178" i="20" s="1"/>
  <c r="AD178" i="20" a="1"/>
  <c r="AD178" i="20" s="1"/>
  <c r="AA178" i="20" a="1"/>
  <c r="AA178" i="20" s="1"/>
  <c r="AC178" i="20" a="1"/>
  <c r="AC178" i="20" s="1"/>
  <c r="AD179" i="20" a="1"/>
  <c r="AD179" i="20" s="1"/>
  <c r="AJ180" i="20" a="1"/>
  <c r="AJ180" i="20" s="1"/>
  <c r="AG180" i="20" a="1"/>
  <c r="AG180" i="20" s="1"/>
  <c r="AC180" i="20" a="1"/>
  <c r="AC180" i="20" s="1"/>
  <c r="Z180" i="20" a="1"/>
  <c r="Z180" i="20" s="1"/>
  <c r="AH180" i="20" a="1"/>
  <c r="AH180" i="20" s="1"/>
  <c r="AD180" i="20" a="1"/>
  <c r="AD180" i="20" s="1"/>
  <c r="AA180" i="20" a="1"/>
  <c r="AA180" i="20" s="1"/>
  <c r="AE180" i="20" a="1"/>
  <c r="AE180" i="20" s="1"/>
  <c r="AH220" i="20" a="1"/>
  <c r="AH220" i="20" s="1"/>
  <c r="AD220" i="20" a="1"/>
  <c r="AD220" i="20" s="1"/>
  <c r="Z220" i="20" a="1"/>
  <c r="Z220" i="20" s="1"/>
  <c r="AG220" i="20" a="1"/>
  <c r="AG220" i="20" s="1"/>
  <c r="AC220" i="20" a="1"/>
  <c r="AC220" i="20" s="1"/>
  <c r="Y220" i="20" a="1"/>
  <c r="Y220" i="20" s="1"/>
  <c r="AI220" i="20" a="1"/>
  <c r="AI220" i="20" s="1"/>
  <c r="AA220" i="20" a="1"/>
  <c r="AA220" i="20" s="1"/>
  <c r="AJ220" i="20" a="1"/>
  <c r="AJ220" i="20" s="1"/>
  <c r="AB220" i="20" a="1"/>
  <c r="AB220" i="20" s="1"/>
  <c r="AA177" i="20" a="1"/>
  <c r="AA177" i="20" s="1"/>
  <c r="Z178" i="20" a="1"/>
  <c r="Z178" i="20" s="1"/>
  <c r="AG178" i="20" a="1"/>
  <c r="AG178" i="20" s="1"/>
  <c r="Z179" i="20" a="1"/>
  <c r="Z179" i="20" s="1"/>
  <c r="AG179" i="20" a="1"/>
  <c r="AG179" i="20" s="1"/>
  <c r="AI180" i="20" a="1"/>
  <c r="AI180" i="20" s="1"/>
  <c r="Z181" i="20" a="1"/>
  <c r="Z181" i="20" s="1"/>
  <c r="AH181" i="20" a="1"/>
  <c r="AH181" i="20" s="1"/>
  <c r="AC204" i="20" a="1"/>
  <c r="AC204" i="20" s="1"/>
  <c r="Z204" i="20" a="1"/>
  <c r="Z204" i="20" s="1"/>
  <c r="AH203" i="20" a="1"/>
  <c r="AH203" i="20" s="1"/>
  <c r="AD203" i="20" a="1"/>
  <c r="AD203" i="20" s="1"/>
  <c r="AA203" i="20" a="1"/>
  <c r="AA203" i="20" s="1"/>
  <c r="AD204" i="20" a="1"/>
  <c r="AD204" i="20" s="1"/>
  <c r="Y204" i="20" a="1"/>
  <c r="Y204" i="20" s="1"/>
  <c r="AG203" i="20" a="1"/>
  <c r="AG203" i="20" s="1"/>
  <c r="Z203" i="20" a="1"/>
  <c r="Z203" i="20" s="1"/>
  <c r="AI202" i="20" a="1"/>
  <c r="AI202" i="20" s="1"/>
  <c r="AE202" i="20" a="1"/>
  <c r="AE202" i="20" s="1"/>
  <c r="Z202" i="20" a="1"/>
  <c r="Z202" i="20" s="1"/>
  <c r="AG200" i="20" a="1"/>
  <c r="AG200" i="20" s="1"/>
  <c r="AC200" i="20" a="1"/>
  <c r="AC200" i="20" s="1"/>
  <c r="Y200" i="20" a="1"/>
  <c r="Y200" i="20" s="1"/>
  <c r="AJ204" i="20" a="1"/>
  <c r="AJ204" i="20" s="1"/>
  <c r="AE204" i="20" a="1"/>
  <c r="AE204" i="20" s="1"/>
  <c r="AI203" i="20" a="1"/>
  <c r="AI203" i="20" s="1"/>
  <c r="AJ202" i="20" a="1"/>
  <c r="AJ202" i="20" s="1"/>
  <c r="AF202" i="20" a="1"/>
  <c r="AF202" i="20" s="1"/>
  <c r="AB202" i="20" a="1"/>
  <c r="AB202" i="20" s="1"/>
  <c r="AG201" i="20" a="1"/>
  <c r="AG201" i="20" s="1"/>
  <c r="AC201" i="20" a="1"/>
  <c r="AC201" i="20" s="1"/>
  <c r="Y201" i="20" a="1"/>
  <c r="Y201" i="20" s="1"/>
  <c r="AH200" i="20" a="1"/>
  <c r="AH200" i="20" s="1"/>
  <c r="AE200" i="20" a="1"/>
  <c r="AE200" i="20" s="1"/>
  <c r="AF201" i="20" a="1"/>
  <c r="AF201" i="20" s="1"/>
  <c r="Y202" i="20" a="1"/>
  <c r="Y202" i="20" s="1"/>
  <c r="AG202" i="20" a="1"/>
  <c r="AG202" i="20" s="1"/>
  <c r="AC203" i="20" a="1"/>
  <c r="AC203" i="20" s="1"/>
  <c r="AF220" i="20" a="1"/>
  <c r="AF220" i="20" s="1"/>
  <c r="AJ178" i="20" a="1"/>
  <c r="AJ178" i="20" s="1"/>
  <c r="AD181" i="20" a="1"/>
  <c r="AD181" i="20" s="1"/>
  <c r="AJ177" i="20" a="1"/>
  <c r="AJ177" i="20" s="1"/>
  <c r="AF177" i="20" a="1"/>
  <c r="AF177" i="20" s="1"/>
  <c r="AC177" i="20" a="1"/>
  <c r="AC177" i="20" s="1"/>
  <c r="Y177" i="20" a="1"/>
  <c r="Y177" i="20" s="1"/>
  <c r="AG177" i="20" a="1"/>
  <c r="AG177" i="20" s="1"/>
  <c r="AD177" i="20" a="1"/>
  <c r="AD177" i="20" s="1"/>
  <c r="Z177" i="20" a="1"/>
  <c r="Z177" i="20" s="1"/>
  <c r="AE177" i="20" a="1"/>
  <c r="AE177" i="20" s="1"/>
  <c r="Y178" i="20" a="1"/>
  <c r="Y178" i="20" s="1"/>
  <c r="AF178" i="20" a="1"/>
  <c r="AF178" i="20" s="1"/>
  <c r="AI179" i="20" a="1"/>
  <c r="AI179" i="20" s="1"/>
  <c r="Y180" i="20" a="1"/>
  <c r="Y180" i="20" s="1"/>
  <c r="AF180" i="20" a="1"/>
  <c r="AF180" i="20" s="1"/>
  <c r="Y181" i="20" a="1"/>
  <c r="Y181" i="20" s="1"/>
  <c r="AG181" i="20" a="1"/>
  <c r="AG181" i="20" s="1"/>
  <c r="AE220" i="20" a="1"/>
  <c r="AE220" i="20" s="1"/>
  <c r="AE178" i="20" a="1"/>
  <c r="AE178" i="20" s="1"/>
  <c r="Y179" i="20" a="1"/>
  <c r="Y179" i="20" s="1"/>
  <c r="AC179" i="20" a="1"/>
  <c r="AC179" i="20" s="1"/>
  <c r="AF179" i="20" a="1"/>
  <c r="AF179" i="20" s="1"/>
  <c r="AJ179" i="20" a="1"/>
  <c r="AJ179" i="20" s="1"/>
  <c r="AE181" i="20" a="1"/>
  <c r="AE181" i="20" s="1"/>
  <c r="AB181" i="20" a="1"/>
  <c r="AB181" i="20" s="1"/>
  <c r="AA181" i="20" a="1"/>
  <c r="AA181" i="20" s="1"/>
  <c r="AF181" i="20" a="1"/>
  <c r="AF181" i="20" s="1"/>
  <c r="AJ181" i="20" a="1"/>
  <c r="AJ181" i="20" s="1"/>
  <c r="AI192" i="20" a="1"/>
  <c r="AI192" i="20" s="1"/>
  <c r="AF192" i="20" a="1"/>
  <c r="AF192" i="20" s="1"/>
  <c r="AC192" i="20" a="1"/>
  <c r="AC192" i="20" s="1"/>
  <c r="AB192" i="20" a="1"/>
  <c r="AB192" i="20" s="1"/>
  <c r="AG192" i="20" a="1"/>
  <c r="AG192" i="20" s="1"/>
  <c r="AJ193" i="20" a="1"/>
  <c r="AJ193" i="20" s="1"/>
  <c r="AC193" i="20" a="1"/>
  <c r="AC193" i="20" s="1"/>
  <c r="Z193" i="20" a="1"/>
  <c r="Z193" i="20" s="1"/>
  <c r="AG193" i="20" a="1"/>
  <c r="AG193" i="20" s="1"/>
  <c r="AI194" i="20" a="1"/>
  <c r="AI194" i="20" s="1"/>
  <c r="AF194" i="20" a="1"/>
  <c r="AF194" i="20" s="1"/>
  <c r="AC194" i="20" a="1"/>
  <c r="AC194" i="20" s="1"/>
  <c r="AB194" i="20" a="1"/>
  <c r="AB194" i="20" s="1"/>
  <c r="AG194" i="20" a="1"/>
  <c r="AG194" i="20" s="1"/>
  <c r="AJ195" i="20" a="1"/>
  <c r="AJ195" i="20" s="1"/>
  <c r="AC195" i="20" a="1"/>
  <c r="AC195" i="20" s="1"/>
  <c r="Z195" i="20" a="1"/>
  <c r="Z195" i="20" s="1"/>
  <c r="AG195" i="20" a="1"/>
  <c r="AG195" i="20" s="1"/>
  <c r="AI196" i="20" a="1"/>
  <c r="AI196" i="20" s="1"/>
  <c r="AF196" i="20" a="1"/>
  <c r="AF196" i="20" s="1"/>
  <c r="AC196" i="20" a="1"/>
  <c r="AC196" i="20" s="1"/>
  <c r="AB196" i="20" a="1"/>
  <c r="AB196" i="20" s="1"/>
  <c r="AG196" i="20" a="1"/>
  <c r="AG196" i="20" s="1"/>
  <c r="AD202" i="20" a="1"/>
  <c r="AD202" i="20" s="1"/>
  <c r="Y210" i="20" a="1"/>
  <c r="Y210" i="20" s="1"/>
  <c r="AC210" i="20" a="1"/>
  <c r="AC210" i="20" s="1"/>
  <c r="AI211" i="20" a="1"/>
  <c r="AI211" i="20" s="1"/>
  <c r="AG211" i="20" a="1"/>
  <c r="AG211" i="20" s="1"/>
  <c r="AE211" i="20" a="1"/>
  <c r="AE211" i="20" s="1"/>
  <c r="AC211" i="20" a="1"/>
  <c r="AC211" i="20" s="1"/>
  <c r="AA211" i="20" a="1"/>
  <c r="AA211" i="20" s="1"/>
  <c r="Y211" i="20" a="1"/>
  <c r="Y211" i="20" s="1"/>
  <c r="Y214" i="20" a="1"/>
  <c r="Y214" i="20" s="1"/>
  <c r="AC214" i="20" a="1"/>
  <c r="AC214" i="20" s="1"/>
  <c r="AD217" i="20" a="1"/>
  <c r="AD217" i="20" s="1"/>
  <c r="AJ218" i="20" a="1"/>
  <c r="AJ218" i="20" s="1"/>
  <c r="AD218" i="20" a="1"/>
  <c r="AD218" i="20" s="1"/>
  <c r="Y219" i="20" a="1"/>
  <c r="Y219" i="20" s="1"/>
  <c r="AD221" i="20" a="1"/>
  <c r="AD221" i="20" s="1"/>
  <c r="AJ221" i="20" a="1"/>
  <c r="AJ221" i="20" s="1"/>
  <c r="AB179" i="20" a="1"/>
  <c r="AB179" i="20" s="1"/>
  <c r="AE179" i="20" a="1"/>
  <c r="AE179" i="20" s="1"/>
  <c r="AA192" i="20" a="1"/>
  <c r="AA192" i="20" s="1"/>
  <c r="AE192" i="20" a="1"/>
  <c r="AE192" i="20" s="1"/>
  <c r="AJ192" i="20" a="1"/>
  <c r="AJ192" i="20" s="1"/>
  <c r="AB193" i="20" a="1"/>
  <c r="AB193" i="20" s="1"/>
  <c r="AF193" i="20" a="1"/>
  <c r="AF193" i="20" s="1"/>
  <c r="AA194" i="20" a="1"/>
  <c r="AA194" i="20" s="1"/>
  <c r="AE194" i="20" a="1"/>
  <c r="AE194" i="20" s="1"/>
  <c r="AJ194" i="20" a="1"/>
  <c r="AJ194" i="20" s="1"/>
  <c r="AB195" i="20" a="1"/>
  <c r="AB195" i="20" s="1"/>
  <c r="AF195" i="20" a="1"/>
  <c r="AF195" i="20" s="1"/>
  <c r="AA196" i="20" a="1"/>
  <c r="AA196" i="20" s="1"/>
  <c r="AE196" i="20" a="1"/>
  <c r="AE196" i="20" s="1"/>
  <c r="AH201" i="20" a="1"/>
  <c r="AH201" i="20" s="1"/>
  <c r="AJ210" i="20" a="1"/>
  <c r="AJ210" i="20" s="1"/>
  <c r="AH210" i="20" a="1"/>
  <c r="AH210" i="20" s="1"/>
  <c r="AF210" i="20" a="1"/>
  <c r="AF210" i="20" s="1"/>
  <c r="AD210" i="20" a="1"/>
  <c r="AD210" i="20" s="1"/>
  <c r="AB210" i="20" a="1"/>
  <c r="AB210" i="20" s="1"/>
  <c r="Z210" i="20" a="1"/>
  <c r="Z210" i="20" s="1"/>
  <c r="AJ214" i="20" a="1"/>
  <c r="AJ214" i="20" s="1"/>
  <c r="AH214" i="20" a="1"/>
  <c r="AH214" i="20" s="1"/>
  <c r="AF214" i="20" a="1"/>
  <c r="AF214" i="20" s="1"/>
  <c r="AD214" i="20" a="1"/>
  <c r="AD214" i="20" s="1"/>
  <c r="AB214" i="20" a="1"/>
  <c r="AB214" i="20" s="1"/>
  <c r="Z214" i="20" a="1"/>
  <c r="Z214" i="20" s="1"/>
  <c r="AC218" i="20" a="1"/>
  <c r="AC218" i="20" s="1"/>
  <c r="AI219" i="20" a="1"/>
  <c r="AI219" i="20" s="1"/>
  <c r="AE219" i="20" a="1"/>
  <c r="AE219" i="20" s="1"/>
  <c r="AA219" i="20" a="1"/>
  <c r="AA219" i="20" s="1"/>
  <c r="AH219" i="20" a="1"/>
  <c r="AH219" i="20" s="1"/>
  <c r="AD219" i="20" a="1"/>
  <c r="AD219" i="20" s="1"/>
  <c r="Z219" i="20" a="1"/>
  <c r="Z219" i="20" s="1"/>
  <c r="AF219" i="20" a="1"/>
  <c r="AF219" i="20" s="1"/>
  <c r="AA221" i="20" a="1"/>
  <c r="AA221" i="20" s="1"/>
  <c r="AH204" i="20" a="1"/>
  <c r="AH204" i="20" s="1"/>
  <c r="AB213" i="20" a="1"/>
  <c r="AB213" i="20" s="1"/>
  <c r="AD213" i="20" a="1"/>
  <c r="AD213" i="20" s="1"/>
  <c r="AF213" i="20" a="1"/>
  <c r="AF213" i="20" s="1"/>
  <c r="AH213" i="20" a="1"/>
  <c r="AH213" i="20" s="1"/>
  <c r="AB217" i="20" a="1"/>
  <c r="AB217" i="20" s="1"/>
  <c r="AF217" i="20" a="1"/>
  <c r="AF217" i="20" s="1"/>
  <c r="AJ217" i="20" a="1"/>
  <c r="AJ217" i="20" s="1"/>
  <c r="AA218" i="20" a="1"/>
  <c r="AA218" i="20" s="1"/>
  <c r="AE218" i="20" a="1"/>
  <c r="AE218" i="20" s="1"/>
  <c r="AI218" i="20" a="1"/>
  <c r="AI218" i="20" s="1"/>
  <c r="AB221" i="20" a="1"/>
  <c r="AB221" i="20" s="1"/>
  <c r="AF221" i="20" a="1"/>
  <c r="AF221" i="20" s="1"/>
  <c r="AI221" i="20" a="1"/>
  <c r="AI221" i="20" s="1"/>
  <c r="AA200" i="20" a="1"/>
  <c r="AA200" i="20" s="1"/>
  <c r="AB201" i="20" a="1"/>
  <c r="AB201" i="20" s="1"/>
  <c r="AE201" i="20" a="1"/>
  <c r="AE201" i="20" s="1"/>
  <c r="AA202" i="20" a="1"/>
  <c r="AA202" i="20" s="1"/>
  <c r="AB203" i="20" a="1"/>
  <c r="AB203" i="20" s="1"/>
  <c r="AA204" i="20" a="1"/>
  <c r="AA204" i="20" s="1"/>
  <c r="AF204" i="20" a="1"/>
  <c r="AF204" i="20" s="1"/>
  <c r="Y212" i="20" a="1"/>
  <c r="Y212" i="20" s="1"/>
  <c r="AA212" i="20" a="1"/>
  <c r="AA212" i="20" s="1"/>
  <c r="AC212" i="20" a="1"/>
  <c r="AC212" i="20" s="1"/>
  <c r="AE212" i="20" a="1"/>
  <c r="AE212" i="20" s="1"/>
  <c r="AG212" i="20" a="1"/>
  <c r="AG212" i="20" s="1"/>
  <c r="Y217" i="20" a="1"/>
  <c r="Y217" i="20" s="1"/>
  <c r="AC217" i="20" a="1"/>
  <c r="AC217" i="20" s="1"/>
  <c r="AB218" i="20" a="1"/>
  <c r="AB218" i="20" s="1"/>
  <c r="AF218" i="20" a="1"/>
  <c r="AF218" i="20" s="1"/>
  <c r="Y221" i="20" a="1"/>
  <c r="Y221" i="20" s="1"/>
  <c r="AC221" i="20" a="1"/>
  <c r="AC221" i="20" s="1"/>
  <c r="Y134" i="20" a="1"/>
  <c r="Y134" i="20" s="1"/>
  <c r="Y128" i="20" a="1"/>
  <c r="Y128" i="20" s="1"/>
  <c r="Y117" i="20" a="1"/>
  <c r="Y117" i="20" s="1"/>
  <c r="Y137" i="20" a="1"/>
  <c r="Y137" i="20" s="1"/>
  <c r="Y133" i="20" a="1"/>
  <c r="Y133" i="20" s="1"/>
  <c r="Y127" i="20" a="1"/>
  <c r="Y127" i="20" s="1"/>
  <c r="Y136" i="20" a="1"/>
  <c r="Y136" i="20" s="1"/>
  <c r="Y130" i="20" a="1"/>
  <c r="Y130" i="20" s="1"/>
  <c r="Y126" i="20" a="1"/>
  <c r="Y126" i="20" s="1"/>
  <c r="Y119" i="20" a="1"/>
  <c r="Y119" i="20" s="1"/>
  <c r="Y135" i="20" a="1"/>
  <c r="Y135" i="20" s="1"/>
  <c r="Y129" i="20" a="1"/>
  <c r="Y129" i="20" s="1"/>
  <c r="Y110" i="20" a="1"/>
  <c r="Y110" i="20" s="1"/>
  <c r="Y94" i="20" a="1"/>
  <c r="Y94" i="20" s="1"/>
  <c r="Y118" i="20" a="1"/>
  <c r="Y118" i="20" s="1"/>
  <c r="Y109" i="20" a="1"/>
  <c r="Y109" i="20" s="1"/>
  <c r="Y97" i="20" a="1"/>
  <c r="Y97" i="20" s="1"/>
  <c r="Y93" i="20" a="1"/>
  <c r="Y93" i="20" s="1"/>
  <c r="Y120" i="20" a="1"/>
  <c r="Y120" i="20" s="1"/>
  <c r="Y108" i="20" a="1"/>
  <c r="Y108" i="20" s="1"/>
  <c r="Y96" i="20" a="1"/>
  <c r="Y96" i="20" s="1"/>
  <c r="Y116" i="20" a="1"/>
  <c r="Y116" i="20" s="1"/>
  <c r="Y112" i="20" a="1"/>
  <c r="Y112" i="20" s="1"/>
  <c r="Y111" i="20" a="1"/>
  <c r="Y111" i="20" s="1"/>
  <c r="Y95" i="20" a="1"/>
  <c r="Y95" i="20" s="1"/>
  <c r="AC134" i="20" a="1"/>
  <c r="AC134" i="20" s="1"/>
  <c r="AC128" i="20" a="1"/>
  <c r="AC128" i="20" s="1"/>
  <c r="AC117" i="20" a="1"/>
  <c r="AC117" i="20" s="1"/>
  <c r="AC137" i="20" a="1"/>
  <c r="AC137" i="20" s="1"/>
  <c r="AC133" i="20" a="1"/>
  <c r="AC133" i="20" s="1"/>
  <c r="AC127" i="20" a="1"/>
  <c r="AC127" i="20" s="1"/>
  <c r="AC136" i="20" a="1"/>
  <c r="AC136" i="20" s="1"/>
  <c r="AC130" i="20" a="1"/>
  <c r="AC130" i="20" s="1"/>
  <c r="AC126" i="20" a="1"/>
  <c r="AC126" i="20" s="1"/>
  <c r="AC119" i="20" a="1"/>
  <c r="AC119" i="20" s="1"/>
  <c r="AC135" i="20" a="1"/>
  <c r="AC135" i="20" s="1"/>
  <c r="AC129" i="20" a="1"/>
  <c r="AC129" i="20" s="1"/>
  <c r="AC110" i="20" a="1"/>
  <c r="AC110" i="20" s="1"/>
  <c r="AC94" i="20" a="1"/>
  <c r="AC94" i="20" s="1"/>
  <c r="AC118" i="20" a="1"/>
  <c r="AC118" i="20" s="1"/>
  <c r="AC116" i="20" a="1"/>
  <c r="AC116" i="20" s="1"/>
  <c r="AC112" i="20" a="1"/>
  <c r="AC112" i="20" s="1"/>
  <c r="AC109" i="20" a="1"/>
  <c r="AC109" i="20" s="1"/>
  <c r="AC97" i="20" a="1"/>
  <c r="AC97" i="20" s="1"/>
  <c r="AC93" i="20" a="1"/>
  <c r="AC93" i="20" s="1"/>
  <c r="AC120" i="20" a="1"/>
  <c r="AC120" i="20" s="1"/>
  <c r="AC108" i="20" a="1"/>
  <c r="AC108" i="20" s="1"/>
  <c r="AC96" i="20" a="1"/>
  <c r="AC96" i="20" s="1"/>
  <c r="AC111" i="20" a="1"/>
  <c r="AC111" i="20" s="1"/>
  <c r="AC95" i="20" a="1"/>
  <c r="AC95" i="20" s="1"/>
  <c r="AA134" i="20" a="1"/>
  <c r="AA134" i="20" s="1"/>
  <c r="AA128" i="20" a="1"/>
  <c r="AA128" i="20" s="1"/>
  <c r="AA117" i="20" a="1"/>
  <c r="AA117" i="20" s="1"/>
  <c r="AA137" i="20" a="1"/>
  <c r="AA137" i="20" s="1"/>
  <c r="AA133" i="20" a="1"/>
  <c r="AA133" i="20" s="1"/>
  <c r="AA127" i="20" a="1"/>
  <c r="AA127" i="20" s="1"/>
  <c r="AA136" i="20" a="1"/>
  <c r="AA136" i="20" s="1"/>
  <c r="AA130" i="20" a="1"/>
  <c r="AA130" i="20" s="1"/>
  <c r="AA126" i="20" a="1"/>
  <c r="AA126" i="20" s="1"/>
  <c r="AA119" i="20" a="1"/>
  <c r="AA119" i="20" s="1"/>
  <c r="AA135" i="20" a="1"/>
  <c r="AA135" i="20" s="1"/>
  <c r="AA129" i="20" a="1"/>
  <c r="AA129" i="20" s="1"/>
  <c r="AA120" i="20" a="1"/>
  <c r="AA120" i="20" s="1"/>
  <c r="AA116" i="20" a="1"/>
  <c r="AA116" i="20" s="1"/>
  <c r="AA112" i="20" a="1"/>
  <c r="AA112" i="20" s="1"/>
  <c r="AA110" i="20" a="1"/>
  <c r="AA110" i="20" s="1"/>
  <c r="AA94" i="20" a="1"/>
  <c r="AA94" i="20" s="1"/>
  <c r="AA109" i="20" a="1"/>
  <c r="AA109" i="20" s="1"/>
  <c r="AA97" i="20" a="1"/>
  <c r="AA97" i="20" s="1"/>
  <c r="AA93" i="20" a="1"/>
  <c r="AA93" i="20" s="1"/>
  <c r="AA108" i="20" a="1"/>
  <c r="AA108" i="20" s="1"/>
  <c r="AA96" i="20" a="1"/>
  <c r="AA96" i="20" s="1"/>
  <c r="AA118" i="20" a="1"/>
  <c r="AA118" i="20" s="1"/>
  <c r="AA111" i="20" a="1"/>
  <c r="AA111" i="20" s="1"/>
  <c r="AA95" i="20" a="1"/>
  <c r="AA95" i="20" s="1"/>
  <c r="I252" i="5"/>
  <c r="M252" i="5"/>
  <c r="Q252" i="5"/>
  <c r="K254" i="5"/>
  <c r="O254" i="5"/>
  <c r="F256" i="5"/>
  <c r="F260" i="5"/>
  <c r="J264" i="5"/>
  <c r="N264" i="5"/>
  <c r="F30" i="58"/>
  <c r="N78" i="40"/>
  <c r="R72" i="40"/>
  <c r="N66" i="40"/>
  <c r="G363" i="22"/>
  <c r="J363" i="22" s="1"/>
  <c r="G362" i="22"/>
  <c r="J362" i="22" s="1"/>
  <c r="G348" i="22"/>
  <c r="J348" i="22" s="1"/>
  <c r="G315" i="22"/>
  <c r="J315" i="22" s="1"/>
  <c r="G314" i="22"/>
  <c r="J314" i="22" s="1"/>
  <c r="G313" i="22"/>
  <c r="G288" i="22"/>
  <c r="J288" i="22" s="1"/>
  <c r="G287" i="22"/>
  <c r="G268" i="22"/>
  <c r="J268" i="22" s="1"/>
  <c r="G274" i="22"/>
  <c r="J274" i="22" s="1"/>
  <c r="G110" i="22"/>
  <c r="G355" i="22"/>
  <c r="J355" i="22" s="1"/>
  <c r="G324" i="22"/>
  <c r="J324" i="22" s="1"/>
  <c r="G320" i="22"/>
  <c r="J320" i="22" s="1"/>
  <c r="J366" i="22"/>
  <c r="G356" i="22"/>
  <c r="J356" i="22" s="1"/>
  <c r="G325" i="22"/>
  <c r="J325" i="22" s="1"/>
  <c r="G321" i="22"/>
  <c r="J321" i="22" s="1"/>
  <c r="G42" i="22"/>
  <c r="J42" i="22" s="1"/>
  <c r="G39" i="22"/>
  <c r="J39" i="22" s="1"/>
  <c r="G38" i="22"/>
  <c r="J38" i="22" s="1"/>
  <c r="G36" i="22"/>
  <c r="J36" i="22" s="1"/>
  <c r="G33" i="22"/>
  <c r="J33" i="22" s="1"/>
  <c r="G326" i="22"/>
  <c r="J326" i="22" s="1"/>
  <c r="G322" i="22"/>
  <c r="J322" i="22" s="1"/>
  <c r="G319" i="22"/>
  <c r="G114" i="22"/>
  <c r="J114" i="22" s="1"/>
  <c r="G354" i="22"/>
  <c r="J354" i="22" s="1"/>
  <c r="G323" i="22"/>
  <c r="J323" i="22" s="1"/>
  <c r="AI189" i="20"/>
  <c r="AD187" i="20"/>
  <c r="Z187" i="20"/>
  <c r="AF186" i="20"/>
  <c r="AD185" i="20"/>
  <c r="AJ182" i="20"/>
  <c r="AF182" i="20"/>
  <c r="AB182" i="20"/>
  <c r="AH186" i="20"/>
  <c r="AC186" i="20"/>
  <c r="AG185" i="20"/>
  <c r="Z182" i="20"/>
  <c r="AI187" i="20"/>
  <c r="AC187" i="20"/>
  <c r="AG186" i="20"/>
  <c r="AA185" i="20"/>
  <c r="AI182" i="20"/>
  <c r="AD182" i="20"/>
  <c r="AG189" i="20"/>
  <c r="AB189" i="20"/>
  <c r="AG187" i="20"/>
  <c r="AE186" i="20"/>
  <c r="Z186" i="20"/>
  <c r="AE185" i="20"/>
  <c r="AH182" i="20"/>
  <c r="AC182" i="20"/>
  <c r="AF189" i="20"/>
  <c r="Z189" i="20"/>
  <c r="AF187" i="20"/>
  <c r="AD186" i="20"/>
  <c r="AI185" i="20"/>
  <c r="AG182" i="20"/>
  <c r="H247" i="6"/>
  <c r="M247" i="6"/>
  <c r="K248" i="6"/>
  <c r="P248" i="6"/>
  <c r="N249" i="6"/>
  <c r="F250" i="6"/>
  <c r="K250" i="6"/>
  <c r="Q250" i="6"/>
  <c r="J254" i="6"/>
  <c r="G255" i="6"/>
  <c r="M255" i="6"/>
  <c r="H257" i="6"/>
  <c r="N264" i="6"/>
  <c r="M269" i="6"/>
  <c r="P270" i="6"/>
  <c r="F252" i="5"/>
  <c r="J252" i="5"/>
  <c r="N252" i="5"/>
  <c r="L254" i="5"/>
  <c r="P254" i="5"/>
  <c r="F261" i="5"/>
  <c r="F266" i="5"/>
  <c r="F270" i="5"/>
  <c r="I247" i="6"/>
  <c r="N247" i="6"/>
  <c r="G248" i="6"/>
  <c r="L248" i="6"/>
  <c r="Q248" i="6"/>
  <c r="G250" i="6"/>
  <c r="M250" i="6"/>
  <c r="I257" i="6"/>
  <c r="O257" i="6"/>
  <c r="I260" i="6"/>
  <c r="H266" i="6"/>
  <c r="Q269" i="6"/>
  <c r="G271" i="6"/>
  <c r="I254" i="5"/>
  <c r="M254" i="5"/>
  <c r="Q254" i="5"/>
  <c r="L273" i="5"/>
  <c r="P273" i="5"/>
  <c r="N271" i="6"/>
  <c r="J271" i="6"/>
  <c r="F271" i="6"/>
  <c r="O270" i="6"/>
  <c r="K270" i="6"/>
  <c r="G270" i="6"/>
  <c r="P269" i="6"/>
  <c r="L269" i="6"/>
  <c r="H269" i="6"/>
  <c r="O266" i="6"/>
  <c r="K266" i="6"/>
  <c r="G266" i="6"/>
  <c r="Q264" i="6"/>
  <c r="M264" i="6"/>
  <c r="I264" i="6"/>
  <c r="N263" i="6"/>
  <c r="P260" i="6"/>
  <c r="L260" i="6"/>
  <c r="H260" i="6"/>
  <c r="Q271" i="6"/>
  <c r="M271" i="6"/>
  <c r="I271" i="6"/>
  <c r="N270" i="6"/>
  <c r="J270" i="6"/>
  <c r="O269" i="6"/>
  <c r="K269" i="6"/>
  <c r="G269" i="6"/>
  <c r="N266" i="6"/>
  <c r="J266" i="6"/>
  <c r="F266" i="6"/>
  <c r="K265" i="6"/>
  <c r="P264" i="6"/>
  <c r="L264" i="6"/>
  <c r="H264" i="6"/>
  <c r="I263" i="6"/>
  <c r="O260" i="6"/>
  <c r="K260" i="6"/>
  <c r="G260" i="6"/>
  <c r="N257" i="6"/>
  <c r="F257" i="6"/>
  <c r="L255" i="6"/>
  <c r="M254" i="6"/>
  <c r="P250" i="6"/>
  <c r="L250" i="6"/>
  <c r="H250" i="6"/>
  <c r="M249" i="6"/>
  <c r="N248" i="6"/>
  <c r="J248" i="6"/>
  <c r="F248" i="6"/>
  <c r="O247" i="6"/>
  <c r="K247" i="6"/>
  <c r="G247" i="6"/>
  <c r="P271" i="6"/>
  <c r="L271" i="6"/>
  <c r="H271" i="6"/>
  <c r="Q270" i="6"/>
  <c r="I270" i="6"/>
  <c r="N269" i="6"/>
  <c r="J269" i="6"/>
  <c r="F269" i="6"/>
  <c r="Q266" i="6"/>
  <c r="M266" i="6"/>
  <c r="I266" i="6"/>
  <c r="O264" i="6"/>
  <c r="K264" i="6"/>
  <c r="G264" i="6"/>
  <c r="N260" i="6"/>
  <c r="J260" i="6"/>
  <c r="F260" i="6"/>
  <c r="J247" i="6"/>
  <c r="P247" i="6"/>
  <c r="H248" i="6"/>
  <c r="M248" i="6"/>
  <c r="F249" i="6"/>
  <c r="I250" i="6"/>
  <c r="N250" i="6"/>
  <c r="L254" i="6"/>
  <c r="J255" i="6"/>
  <c r="O255" i="6"/>
  <c r="P257" i="6"/>
  <c r="M260" i="6"/>
  <c r="F264" i="6"/>
  <c r="L266" i="6"/>
  <c r="H270" i="6"/>
  <c r="K271" i="6"/>
  <c r="F254" i="5"/>
  <c r="J254" i="5"/>
  <c r="N254" i="5"/>
  <c r="I273" i="5"/>
  <c r="M273" i="5"/>
  <c r="Q273" i="5"/>
  <c r="Z136" i="20" a="1"/>
  <c r="Z136" i="20" s="1"/>
  <c r="Z130" i="20" a="1"/>
  <c r="Z130" i="20" s="1"/>
  <c r="Z126" i="20" a="1"/>
  <c r="Z126" i="20" s="1"/>
  <c r="Z119" i="20" a="1"/>
  <c r="Z119" i="20" s="1"/>
  <c r="Z135" i="20" a="1"/>
  <c r="Z135" i="20" s="1"/>
  <c r="Z129" i="20" a="1"/>
  <c r="Z129" i="20" s="1"/>
  <c r="Z134" i="20" a="1"/>
  <c r="Z134" i="20" s="1"/>
  <c r="Z128" i="20" a="1"/>
  <c r="Z128" i="20" s="1"/>
  <c r="Z137" i="20" a="1"/>
  <c r="Z137" i="20" s="1"/>
  <c r="Z133" i="20" a="1"/>
  <c r="Z133" i="20" s="1"/>
  <c r="Z127" i="20" a="1"/>
  <c r="Z127" i="20" s="1"/>
  <c r="Z118" i="20" a="1"/>
  <c r="Z118" i="20" s="1"/>
  <c r="Z108" i="20" a="1"/>
  <c r="Z108" i="20" s="1"/>
  <c r="Z96" i="20" a="1"/>
  <c r="Z96" i="20" s="1"/>
  <c r="Z120" i="20" a="1"/>
  <c r="Z120" i="20" s="1"/>
  <c r="Z112" i="20" a="1"/>
  <c r="Z112" i="20" s="1"/>
  <c r="Z111" i="20" a="1"/>
  <c r="Z111" i="20" s="1"/>
  <c r="Z95" i="20" a="1"/>
  <c r="Z95" i="20" s="1"/>
  <c r="Z116" i="20" a="1"/>
  <c r="Z116" i="20" s="1"/>
  <c r="Z110" i="20" a="1"/>
  <c r="Z110" i="20" s="1"/>
  <c r="Z94" i="20" a="1"/>
  <c r="Z94" i="20" s="1"/>
  <c r="Z117" i="20" a="1"/>
  <c r="Z117" i="20" s="1"/>
  <c r="Z109" i="20" a="1"/>
  <c r="Z109" i="20" s="1"/>
  <c r="Z97" i="20" a="1"/>
  <c r="Z97" i="20" s="1"/>
  <c r="Z93" i="20" a="1"/>
  <c r="Z93" i="20" s="1"/>
  <c r="AB136" i="20" a="1"/>
  <c r="AB136" i="20" s="1"/>
  <c r="AB130" i="20" a="1"/>
  <c r="AB130" i="20" s="1"/>
  <c r="AB126" i="20" a="1"/>
  <c r="AB126" i="20" s="1"/>
  <c r="AB119" i="20" a="1"/>
  <c r="AB119" i="20" s="1"/>
  <c r="AB135" i="20" a="1"/>
  <c r="AB135" i="20" s="1"/>
  <c r="AB129" i="20" a="1"/>
  <c r="AB129" i="20" s="1"/>
  <c r="AB134" i="20" a="1"/>
  <c r="AB134" i="20" s="1"/>
  <c r="AB128" i="20" a="1"/>
  <c r="AB128" i="20" s="1"/>
  <c r="AB117" i="20" a="1"/>
  <c r="AB117" i="20" s="1"/>
  <c r="AB137" i="20" a="1"/>
  <c r="AB137" i="20" s="1"/>
  <c r="AB133" i="20" a="1"/>
  <c r="AB133" i="20" s="1"/>
  <c r="AB127" i="20" a="1"/>
  <c r="AB127" i="20" s="1"/>
  <c r="AB108" i="20" a="1"/>
  <c r="AB108" i="20" s="1"/>
  <c r="AB96" i="20" a="1"/>
  <c r="AB96" i="20" s="1"/>
  <c r="AB111" i="20" a="1"/>
  <c r="AB111" i="20" s="1"/>
  <c r="AB95" i="20" a="1"/>
  <c r="AB95" i="20" s="1"/>
  <c r="AB118" i="20" a="1"/>
  <c r="AB118" i="20" s="1"/>
  <c r="AB112" i="20" a="1"/>
  <c r="AB112" i="20" s="1"/>
  <c r="AB110" i="20" a="1"/>
  <c r="AB110" i="20" s="1"/>
  <c r="AB94" i="20" a="1"/>
  <c r="AB94" i="20" s="1"/>
  <c r="AB120" i="20" a="1"/>
  <c r="AB120" i="20" s="1"/>
  <c r="AB116" i="20" a="1"/>
  <c r="AB116" i="20" s="1"/>
  <c r="AB109" i="20" a="1"/>
  <c r="AB109" i="20" s="1"/>
  <c r="AB97" i="20" a="1"/>
  <c r="AB97" i="20" s="1"/>
  <c r="AB93" i="20" a="1"/>
  <c r="AB93" i="20" s="1"/>
  <c r="AD136" i="20" a="1"/>
  <c r="AD136" i="20" s="1"/>
  <c r="AD130" i="20" a="1"/>
  <c r="AD130" i="20" s="1"/>
  <c r="AD126" i="20" a="1"/>
  <c r="AD126" i="20" s="1"/>
  <c r="AD119" i="20" a="1"/>
  <c r="AD119" i="20" s="1"/>
  <c r="AD135" i="20" a="1"/>
  <c r="AD135" i="20" s="1"/>
  <c r="AD129" i="20" a="1"/>
  <c r="AD129" i="20" s="1"/>
  <c r="AD134" i="20" a="1"/>
  <c r="AD134" i="20" s="1"/>
  <c r="AD128" i="20" a="1"/>
  <c r="AD128" i="20" s="1"/>
  <c r="AD117" i="20" a="1"/>
  <c r="AD117" i="20" s="1"/>
  <c r="AD137" i="20" a="1"/>
  <c r="AD137" i="20" s="1"/>
  <c r="AD133" i="20" a="1"/>
  <c r="AD133" i="20" s="1"/>
  <c r="AD127" i="20" a="1"/>
  <c r="AD127" i="20" s="1"/>
  <c r="AD118" i="20" a="1"/>
  <c r="AD118" i="20" s="1"/>
  <c r="AD116" i="20" a="1"/>
  <c r="AD116" i="20" s="1"/>
  <c r="AD108" i="20" a="1"/>
  <c r="AD108" i="20" s="1"/>
  <c r="AD96" i="20" a="1"/>
  <c r="AD96" i="20" s="1"/>
  <c r="AD120" i="20" a="1"/>
  <c r="AD120" i="20" s="1"/>
  <c r="AD111" i="20" a="1"/>
  <c r="AD111" i="20" s="1"/>
  <c r="AD95" i="20" a="1"/>
  <c r="AD95" i="20" s="1"/>
  <c r="AD110" i="20" a="1"/>
  <c r="AD110" i="20" s="1"/>
  <c r="AD94" i="20" a="1"/>
  <c r="AD94" i="20" s="1"/>
  <c r="AD112" i="20" a="1"/>
  <c r="AD112" i="20" s="1"/>
  <c r="AD109" i="20" a="1"/>
  <c r="AD109" i="20" s="1"/>
  <c r="AD97" i="20" a="1"/>
  <c r="AD97" i="20" s="1"/>
  <c r="AD93" i="20" a="1"/>
  <c r="AD93" i="20" s="1"/>
  <c r="F247" i="6"/>
  <c r="L247" i="6"/>
  <c r="Q247" i="6"/>
  <c r="I248" i="6"/>
  <c r="O248" i="6"/>
  <c r="L249" i="6"/>
  <c r="J250" i="6"/>
  <c r="O250" i="6"/>
  <c r="K255" i="6"/>
  <c r="G257" i="6"/>
  <c r="L257" i="6"/>
  <c r="Q260" i="6"/>
  <c r="J264" i="6"/>
  <c r="P266" i="6"/>
  <c r="I269" i="6"/>
  <c r="L270" i="6"/>
  <c r="P20" i="14"/>
  <c r="Y71" i="12"/>
  <c r="M24" i="12" s="1"/>
  <c r="K28" i="52"/>
  <c r="Q36" i="50"/>
  <c r="L27" i="58"/>
  <c r="M15" i="65"/>
  <c r="M15" i="67"/>
  <c r="M15" i="66"/>
  <c r="I34" i="63"/>
  <c r="I44" i="66"/>
  <c r="C34" i="66"/>
  <c r="G34" i="66"/>
  <c r="F186" i="110"/>
  <c r="F67" i="110"/>
  <c r="F143" i="110"/>
  <c r="G11" i="110"/>
  <c r="F114" i="110"/>
  <c r="I34" i="66"/>
  <c r="E15" i="65"/>
  <c r="D15" i="65"/>
  <c r="F15" i="65"/>
  <c r="D15" i="66"/>
  <c r="A108" i="110"/>
  <c r="A61" i="110"/>
  <c r="A180" i="110"/>
  <c r="L96" i="110"/>
  <c r="A104" i="110"/>
  <c r="A137" i="110"/>
  <c r="D44" i="66"/>
  <c r="A181" i="110"/>
  <c r="A138" i="110"/>
  <c r="A109" i="110"/>
  <c r="A62" i="110"/>
  <c r="K155" i="110"/>
  <c r="E44" i="66"/>
  <c r="N15" i="67"/>
  <c r="A176" i="110"/>
  <c r="A133" i="110"/>
  <c r="C70" i="110"/>
  <c r="A177" i="110"/>
  <c r="A134" i="110"/>
  <c r="A105" i="110"/>
  <c r="A58" i="110"/>
  <c r="E114" i="110"/>
  <c r="E186" i="110"/>
  <c r="E67" i="110"/>
  <c r="J155" i="110"/>
  <c r="J152" i="110"/>
  <c r="E143" i="110"/>
  <c r="M96" i="110"/>
  <c r="J96" i="110"/>
  <c r="N96" i="110"/>
  <c r="I61" i="164" l="1"/>
  <c r="J40" i="124"/>
  <c r="J10" i="124"/>
  <c r="H23" i="124"/>
  <c r="U220" i="24"/>
  <c r="AI233" i="20" a="1"/>
  <c r="AI233" i="20" s="1"/>
  <c r="AG233" i="20" a="1"/>
  <c r="AG233" i="20" s="1"/>
  <c r="Z233" i="20" a="1"/>
  <c r="Z233" i="20" s="1"/>
  <c r="Y233" i="20" a="1"/>
  <c r="Y233" i="20" s="1"/>
  <c r="AF233" i="20" a="1"/>
  <c r="AF233" i="20" s="1"/>
  <c r="AJ233" i="20" a="1"/>
  <c r="AJ233" i="20" s="1"/>
  <c r="AE233" i="20" a="1"/>
  <c r="AE233" i="20" s="1"/>
  <c r="AC233" i="20" a="1"/>
  <c r="AC233" i="20" s="1"/>
  <c r="AB233" i="20" a="1"/>
  <c r="AB233" i="20" s="1"/>
  <c r="AH233" i="20" a="1"/>
  <c r="AH233" i="20" s="1"/>
  <c r="AD233" i="20" a="1"/>
  <c r="AD233" i="20" s="1"/>
  <c r="AA233" i="20" a="1"/>
  <c r="AA233" i="20" s="1"/>
  <c r="AE296" i="24"/>
  <c r="AE298" i="24" s="1"/>
  <c r="Z123" i="20"/>
  <c r="W106" i="13"/>
  <c r="Z106" i="13" s="1"/>
  <c r="AC106" i="13" s="1"/>
  <c r="Y75" i="12"/>
  <c r="I28" i="12"/>
  <c r="W109" i="13"/>
  <c r="U135" i="12" s="1"/>
  <c r="G152" i="15"/>
  <c r="E146" i="5"/>
  <c r="W275" i="24"/>
  <c r="W276" i="24" s="1"/>
  <c r="W286" i="24" s="1"/>
  <c r="G32" i="42"/>
  <c r="G37" i="42" s="1"/>
  <c r="Y120" i="12"/>
  <c r="Y125" i="12" s="1"/>
  <c r="M23" i="12"/>
  <c r="AR125" i="13"/>
  <c r="AR131" i="13" s="1"/>
  <c r="AR134" i="13" s="1"/>
  <c r="H31" i="40"/>
  <c r="H35" i="40" s="1"/>
  <c r="AE212" i="24" s="1"/>
  <c r="AR144" i="13"/>
  <c r="AR147" i="13" s="1"/>
  <c r="CV401" i="13"/>
  <c r="U131" i="12" s="1"/>
  <c r="M17" i="163"/>
  <c r="M26" i="163" s="1"/>
  <c r="Y275" i="24"/>
  <c r="Y281" i="24"/>
  <c r="Z207" i="20"/>
  <c r="P271" i="5"/>
  <c r="AG123" i="20"/>
  <c r="AF123" i="20"/>
  <c r="AE123" i="20"/>
  <c r="AH123" i="20"/>
  <c r="AI123" i="20"/>
  <c r="AJ123" i="20"/>
  <c r="E164" i="5"/>
  <c r="AK142" i="20"/>
  <c r="AK144" i="20"/>
  <c r="AK141" i="20"/>
  <c r="AK143" i="20"/>
  <c r="AK140" i="20"/>
  <c r="Z105" i="13"/>
  <c r="Z104" i="13"/>
  <c r="AC104" i="13" s="1"/>
  <c r="H27" i="109"/>
  <c r="H26" i="109"/>
  <c r="H25" i="109"/>
  <c r="Z108" i="13"/>
  <c r="AC108" i="13" s="1"/>
  <c r="G293" i="22"/>
  <c r="G65" i="14"/>
  <c r="L65" i="14" s="1"/>
  <c r="P65" i="14" s="1"/>
  <c r="P263" i="6"/>
  <c r="K263" i="6"/>
  <c r="J262" i="6"/>
  <c r="F254" i="6"/>
  <c r="N253" i="6"/>
  <c r="H253" i="6"/>
  <c r="P265" i="6"/>
  <c r="J256" i="6"/>
  <c r="X142" i="54"/>
  <c r="X143" i="54" s="1"/>
  <c r="H254" i="6"/>
  <c r="N254" i="6"/>
  <c r="I249" i="6"/>
  <c r="P253" i="6"/>
  <c r="H255" i="6"/>
  <c r="G253" i="6"/>
  <c r="O253" i="6"/>
  <c r="Q249" i="6"/>
  <c r="L265" i="6"/>
  <c r="Q258" i="6"/>
  <c r="O254" i="6"/>
  <c r="M265" i="6"/>
  <c r="P249" i="6"/>
  <c r="H262" i="6"/>
  <c r="J258" i="6"/>
  <c r="Q263" i="6"/>
  <c r="G256" i="6"/>
  <c r="K256" i="6"/>
  <c r="K253" i="6"/>
  <c r="P254" i="6"/>
  <c r="N262" i="6"/>
  <c r="L253" i="6"/>
  <c r="Q253" i="6"/>
  <c r="G265" i="6"/>
  <c r="O265" i="6"/>
  <c r="I265" i="6"/>
  <c r="N265" i="6"/>
  <c r="L258" i="6"/>
  <c r="G263" i="6"/>
  <c r="J252" i="6"/>
  <c r="E58" i="6"/>
  <c r="J265" i="6"/>
  <c r="L263" i="6"/>
  <c r="L259" i="6"/>
  <c r="P245" i="6"/>
  <c r="AI241" i="20" s="1"/>
  <c r="J253" i="6"/>
  <c r="Q262" i="6"/>
  <c r="O258" i="6"/>
  <c r="E106" i="6"/>
  <c r="N245" i="6"/>
  <c r="AG241" i="20" s="1"/>
  <c r="G252" i="6"/>
  <c r="Q265" i="6"/>
  <c r="G245" i="6"/>
  <c r="N252" i="6"/>
  <c r="E119" i="6"/>
  <c r="E178" i="6"/>
  <c r="F256" i="6"/>
  <c r="M262" i="6"/>
  <c r="E151" i="6"/>
  <c r="L256" i="6"/>
  <c r="E165" i="6"/>
  <c r="K259" i="6"/>
  <c r="M258" i="6"/>
  <c r="G259" i="6"/>
  <c r="Q256" i="6"/>
  <c r="I259" i="6"/>
  <c r="F262" i="6"/>
  <c r="F253" i="6"/>
  <c r="M259" i="6"/>
  <c r="G262" i="6"/>
  <c r="O262" i="6"/>
  <c r="E60" i="6"/>
  <c r="K245" i="6"/>
  <c r="AD241" i="20" s="1"/>
  <c r="E73" i="6"/>
  <c r="M245" i="6"/>
  <c r="I245" i="6"/>
  <c r="Q259" i="6"/>
  <c r="H256" i="6"/>
  <c r="P259" i="6"/>
  <c r="J259" i="6"/>
  <c r="M253" i="6"/>
  <c r="L262" i="6"/>
  <c r="I262" i="6"/>
  <c r="M252" i="6"/>
  <c r="Q252" i="6"/>
  <c r="I252" i="6"/>
  <c r="K252" i="6"/>
  <c r="P252" i="6"/>
  <c r="H252" i="6"/>
  <c r="J245" i="6"/>
  <c r="AC241" i="20" s="1"/>
  <c r="O245" i="6"/>
  <c r="L245" i="6"/>
  <c r="AE241" i="20" s="1"/>
  <c r="Q245" i="6"/>
  <c r="O259" i="6"/>
  <c r="K262" i="6"/>
  <c r="P262" i="6"/>
  <c r="O252" i="6"/>
  <c r="L252" i="6"/>
  <c r="H259" i="6"/>
  <c r="N259" i="6"/>
  <c r="H265" i="6"/>
  <c r="P258" i="6"/>
  <c r="G258" i="6"/>
  <c r="H258" i="6"/>
  <c r="N258" i="6"/>
  <c r="J263" i="6"/>
  <c r="P256" i="6"/>
  <c r="O256" i="6"/>
  <c r="M256" i="6"/>
  <c r="I256" i="6"/>
  <c r="AF185" i="20"/>
  <c r="AK185" i="20" s="1"/>
  <c r="E104" i="6"/>
  <c r="E77" i="6"/>
  <c r="E54" i="6"/>
  <c r="E214" i="6"/>
  <c r="E115" i="6"/>
  <c r="E134" i="6"/>
  <c r="E209" i="6"/>
  <c r="E208" i="6"/>
  <c r="E192" i="6"/>
  <c r="P142" i="54"/>
  <c r="E180" i="6"/>
  <c r="E227" i="6"/>
  <c r="E96" i="6"/>
  <c r="E55" i="6"/>
  <c r="E188" i="6"/>
  <c r="E193" i="6"/>
  <c r="E156" i="6"/>
  <c r="E61" i="6"/>
  <c r="E212" i="6"/>
  <c r="E135" i="6"/>
  <c r="E157" i="6"/>
  <c r="E147" i="6"/>
  <c r="R142" i="54"/>
  <c r="R143" i="54" s="1"/>
  <c r="E184" i="6"/>
  <c r="E231" i="6"/>
  <c r="E94" i="6"/>
  <c r="E80" i="6"/>
  <c r="E63" i="6"/>
  <c r="E59" i="6"/>
  <c r="E171" i="6"/>
  <c r="E152" i="6"/>
  <c r="E67" i="6"/>
  <c r="E56" i="6"/>
  <c r="E224" i="6"/>
  <c r="E118" i="6"/>
  <c r="E139" i="6"/>
  <c r="E211" i="6"/>
  <c r="E202" i="6"/>
  <c r="E196" i="6"/>
  <c r="Q142" i="54"/>
  <c r="Q143" i="54" s="1"/>
  <c r="Z142" i="54"/>
  <c r="Z143" i="54" s="1"/>
  <c r="E229" i="6"/>
  <c r="E112" i="6"/>
  <c r="E103" i="6"/>
  <c r="E99" i="6"/>
  <c r="E89" i="6"/>
  <c r="E78" i="6"/>
  <c r="E199" i="6"/>
  <c r="E126" i="6"/>
  <c r="E114" i="6"/>
  <c r="E158" i="6"/>
  <c r="E131" i="6"/>
  <c r="E232" i="6"/>
  <c r="E170" i="6"/>
  <c r="E153" i="6"/>
  <c r="U142" i="54"/>
  <c r="U143" i="54" s="1"/>
  <c r="S142" i="54"/>
  <c r="S143" i="54" s="1"/>
  <c r="E110" i="6"/>
  <c r="E108" i="6"/>
  <c r="E86" i="6"/>
  <c r="E57" i="6"/>
  <c r="E221" i="6"/>
  <c r="E122" i="6"/>
  <c r="E146" i="6"/>
  <c r="E138" i="6"/>
  <c r="F259" i="6"/>
  <c r="N255" i="6"/>
  <c r="AC189" i="20"/>
  <c r="AK189" i="20" s="1"/>
  <c r="Y187" i="20"/>
  <c r="AK187" i="20" s="1"/>
  <c r="E238" i="6"/>
  <c r="E228" i="6"/>
  <c r="E203" i="6"/>
  <c r="E127" i="6"/>
  <c r="E159" i="6"/>
  <c r="E132" i="6"/>
  <c r="E179" i="6"/>
  <c r="E206" i="6"/>
  <c r="Y142" i="54"/>
  <c r="Y143" i="54" s="1"/>
  <c r="AA142" i="54"/>
  <c r="AA143" i="54" s="1"/>
  <c r="E189" i="6"/>
  <c r="E233" i="6"/>
  <c r="E84" i="6"/>
  <c r="E53" i="6"/>
  <c r="E167" i="6"/>
  <c r="E154" i="6"/>
  <c r="E98" i="6"/>
  <c r="F252" i="6"/>
  <c r="H245" i="6"/>
  <c r="E236" i="6"/>
  <c r="E62" i="6"/>
  <c r="E191" i="6"/>
  <c r="E121" i="6"/>
  <c r="E149" i="6"/>
  <c r="E141" i="6"/>
  <c r="E219" i="6"/>
  <c r="E204" i="6"/>
  <c r="V142" i="54"/>
  <c r="V143" i="54" s="1"/>
  <c r="T142" i="54"/>
  <c r="T143" i="54" s="1"/>
  <c r="E207" i="6"/>
  <c r="E116" i="6"/>
  <c r="E218" i="6"/>
  <c r="E201" i="6"/>
  <c r="E176" i="6"/>
  <c r="E133" i="6"/>
  <c r="F265" i="6"/>
  <c r="F258" i="6"/>
  <c r="E234" i="6"/>
  <c r="E107" i="6"/>
  <c r="E83" i="6"/>
  <c r="E177" i="6"/>
  <c r="E155" i="6"/>
  <c r="W142" i="54"/>
  <c r="W143" i="54" s="1"/>
  <c r="E169" i="6"/>
  <c r="E150" i="6"/>
  <c r="E140" i="6"/>
  <c r="I19" i="68"/>
  <c r="I18" i="68"/>
  <c r="M18" i="68" s="1"/>
  <c r="AA422" i="24"/>
  <c r="AA425" i="24"/>
  <c r="AA428" i="24" s="1"/>
  <c r="AA484" i="24"/>
  <c r="AA487" i="24"/>
  <c r="AA490" i="24" s="1"/>
  <c r="AC422" i="24"/>
  <c r="AC425" i="24"/>
  <c r="AC428" i="24" s="1"/>
  <c r="E83" i="110"/>
  <c r="M138" i="46"/>
  <c r="E182" i="5"/>
  <c r="A298" i="174"/>
  <c r="A338" i="174"/>
  <c r="A377" i="174"/>
  <c r="A429" i="174"/>
  <c r="A471" i="174"/>
  <c r="A141" i="181"/>
  <c r="A201" i="181"/>
  <c r="A253" i="181"/>
  <c r="A174" i="174"/>
  <c r="A121" i="174"/>
  <c r="A216" i="174"/>
  <c r="A82" i="174"/>
  <c r="A174" i="172"/>
  <c r="A216" i="172"/>
  <c r="A121" i="172"/>
  <c r="J61" i="62"/>
  <c r="H61" i="62" s="1"/>
  <c r="H60" i="62"/>
  <c r="N45" i="159"/>
  <c r="D83" i="110"/>
  <c r="O50" i="164"/>
  <c r="H72" i="110"/>
  <c r="Q88" i="164"/>
  <c r="H165" i="110"/>
  <c r="J54" i="159"/>
  <c r="H54" i="159" s="1"/>
  <c r="T54" i="159"/>
  <c r="O130" i="164"/>
  <c r="AA85" i="115"/>
  <c r="R54" i="159"/>
  <c r="P33" i="159"/>
  <c r="J130" i="164"/>
  <c r="I127" i="164"/>
  <c r="L64" i="164"/>
  <c r="K31" i="68"/>
  <c r="C98" i="110"/>
  <c r="V41" i="159"/>
  <c r="Q50" i="164"/>
  <c r="I50" i="164"/>
  <c r="E20" i="164"/>
  <c r="J64" i="164"/>
  <c r="K45" i="159"/>
  <c r="K33" i="159"/>
  <c r="C90" i="110"/>
  <c r="C85" i="110"/>
  <c r="F83" i="110"/>
  <c r="N41" i="159"/>
  <c r="Q127" i="164"/>
  <c r="Q130" i="164"/>
  <c r="P45" i="159"/>
  <c r="T45" i="159"/>
  <c r="V45" i="159"/>
  <c r="M50" i="164"/>
  <c r="M20" i="164"/>
  <c r="N64" i="164"/>
  <c r="O20" i="164"/>
  <c r="P64" i="164"/>
  <c r="I72" i="110"/>
  <c r="I165" i="110"/>
  <c r="O88" i="164"/>
  <c r="K20" i="164"/>
  <c r="W484" i="24"/>
  <c r="AE487" i="24"/>
  <c r="AE490" i="24" s="1"/>
  <c r="AE492" i="24" s="1"/>
  <c r="M50" i="24"/>
  <c r="AE425" i="24"/>
  <c r="AE428" i="24" s="1"/>
  <c r="AE430" i="24" s="1"/>
  <c r="Y487" i="24"/>
  <c r="Y490" i="24" s="1"/>
  <c r="Y492" i="24" s="1"/>
  <c r="Y494" i="24" s="1"/>
  <c r="A130" i="24"/>
  <c r="U484" i="24"/>
  <c r="J31" i="19"/>
  <c r="K29" i="163"/>
  <c r="K31" i="163" s="1"/>
  <c r="W348" i="24"/>
  <c r="R111" i="109"/>
  <c r="H16" i="163"/>
  <c r="J98" i="54"/>
  <c r="J101" i="54" s="1"/>
  <c r="K101" i="54" s="1"/>
  <c r="K96" i="54"/>
  <c r="K98" i="54" s="1"/>
  <c r="Y360" i="24"/>
  <c r="K24" i="54"/>
  <c r="K30" i="54" s="1"/>
  <c r="G30" i="54"/>
  <c r="G33" i="54" s="1"/>
  <c r="K33" i="54" s="1"/>
  <c r="O121" i="55"/>
  <c r="O173" i="55"/>
  <c r="E52" i="55"/>
  <c r="F52" i="55" s="1"/>
  <c r="F18" i="55"/>
  <c r="E26" i="55"/>
  <c r="G122" i="15"/>
  <c r="K271" i="5"/>
  <c r="K272" i="5" s="1"/>
  <c r="M73" i="62"/>
  <c r="M76" i="62" s="1"/>
  <c r="N62" i="62"/>
  <c r="T62" i="62"/>
  <c r="N30" i="62"/>
  <c r="S14" i="62"/>
  <c r="V62" i="62"/>
  <c r="S41" i="62"/>
  <c r="T30" i="62"/>
  <c r="V40" i="62"/>
  <c r="N40" i="62"/>
  <c r="O41" i="62"/>
  <c r="P30" i="62"/>
  <c r="R40" i="62"/>
  <c r="H65" i="62"/>
  <c r="K65" i="62"/>
  <c r="P62" i="62"/>
  <c r="R62" i="62"/>
  <c r="V30" i="62"/>
  <c r="J56" i="62"/>
  <c r="H56" i="62" s="1"/>
  <c r="H55" i="62"/>
  <c r="E159" i="5"/>
  <c r="E239" i="5"/>
  <c r="I24" i="66"/>
  <c r="J75" i="62" s="1"/>
  <c r="J20" i="124"/>
  <c r="L12" i="124"/>
  <c r="J18" i="124"/>
  <c r="J16" i="124"/>
  <c r="L13" i="124"/>
  <c r="E21" i="5"/>
  <c r="E121" i="5"/>
  <c r="E133" i="5"/>
  <c r="E107" i="5"/>
  <c r="E120" i="5"/>
  <c r="E148" i="5"/>
  <c r="E167" i="5"/>
  <c r="E149" i="5"/>
  <c r="E62" i="5"/>
  <c r="E124" i="5"/>
  <c r="E140" i="5"/>
  <c r="E143" i="5"/>
  <c r="H267" i="5"/>
  <c r="E97" i="5"/>
  <c r="E154" i="5"/>
  <c r="E156" i="5"/>
  <c r="E189" i="5"/>
  <c r="H270" i="5"/>
  <c r="E270" i="5" s="1"/>
  <c r="E215" i="5"/>
  <c r="E157" i="5"/>
  <c r="E170" i="5"/>
  <c r="E57" i="5"/>
  <c r="E59" i="5"/>
  <c r="E101" i="5"/>
  <c r="E93" i="5"/>
  <c r="E114" i="5"/>
  <c r="E173" i="5"/>
  <c r="E155" i="5"/>
  <c r="E134" i="5"/>
  <c r="E188" i="5"/>
  <c r="E186" i="5"/>
  <c r="H269" i="5"/>
  <c r="E55" i="5"/>
  <c r="E94" i="5"/>
  <c r="E91" i="5"/>
  <c r="E117" i="5"/>
  <c r="E137" i="5"/>
  <c r="E141" i="5"/>
  <c r="E172" i="5"/>
  <c r="E240" i="5"/>
  <c r="E168" i="5"/>
  <c r="E236" i="5"/>
  <c r="H262" i="5"/>
  <c r="E169" i="5"/>
  <c r="E174" i="5"/>
  <c r="E166" i="5"/>
  <c r="E235" i="5"/>
  <c r="E171" i="5"/>
  <c r="E185" i="5"/>
  <c r="E183" i="5"/>
  <c r="E160" i="5"/>
  <c r="H260" i="5"/>
  <c r="E153" i="5"/>
  <c r="E158" i="5"/>
  <c r="E151" i="5"/>
  <c r="E161" i="5"/>
  <c r="E144" i="5"/>
  <c r="E136" i="5"/>
  <c r="E142" i="5"/>
  <c r="E123" i="5"/>
  <c r="E118" i="5"/>
  <c r="E96" i="5"/>
  <c r="E105" i="5"/>
  <c r="E106" i="5"/>
  <c r="E98" i="5"/>
  <c r="E92" i="5"/>
  <c r="E100" i="5"/>
  <c r="E64" i="5"/>
  <c r="E61" i="5"/>
  <c r="E246" i="5"/>
  <c r="E211" i="5"/>
  <c r="E45" i="5"/>
  <c r="E229" i="5"/>
  <c r="E230" i="5"/>
  <c r="E234" i="5"/>
  <c r="E232" i="5"/>
  <c r="E233" i="5"/>
  <c r="E231" i="5"/>
  <c r="E227" i="5"/>
  <c r="E224" i="5"/>
  <c r="E221" i="5"/>
  <c r="E223" i="5"/>
  <c r="E222" i="5"/>
  <c r="E212" i="5"/>
  <c r="E216" i="5"/>
  <c r="E220" i="5"/>
  <c r="E200" i="5"/>
  <c r="E199" i="5"/>
  <c r="E206" i="5"/>
  <c r="H263" i="5"/>
  <c r="E207" i="5"/>
  <c r="E217" i="5"/>
  <c r="E209" i="5"/>
  <c r="E196" i="5"/>
  <c r="E208" i="5"/>
  <c r="E202" i="5"/>
  <c r="E191" i="5"/>
  <c r="E152" i="5"/>
  <c r="E204" i="5"/>
  <c r="E205" i="5"/>
  <c r="H259" i="5"/>
  <c r="E178" i="5"/>
  <c r="E203" i="5"/>
  <c r="E194" i="5"/>
  <c r="G269" i="5"/>
  <c r="E176" i="5"/>
  <c r="E179" i="5"/>
  <c r="H258" i="5"/>
  <c r="E180" i="5"/>
  <c r="H257" i="5"/>
  <c r="E125" i="5"/>
  <c r="E177" i="5"/>
  <c r="E181" i="5"/>
  <c r="G267" i="5"/>
  <c r="E127" i="5"/>
  <c r="G262" i="5"/>
  <c r="E113" i="5"/>
  <c r="E261" i="5"/>
  <c r="E150" i="5"/>
  <c r="G260" i="5"/>
  <c r="E116" i="5"/>
  <c r="E128" i="5"/>
  <c r="E88" i="5"/>
  <c r="E135" i="5"/>
  <c r="E109" i="5"/>
  <c r="H253" i="5"/>
  <c r="E129" i="5"/>
  <c r="H252" i="5"/>
  <c r="E89" i="5"/>
  <c r="H266" i="5"/>
  <c r="H251" i="5"/>
  <c r="E108" i="5"/>
  <c r="E112" i="5"/>
  <c r="E82" i="5"/>
  <c r="E110" i="5"/>
  <c r="E74" i="5"/>
  <c r="E69" i="5"/>
  <c r="E80" i="5"/>
  <c r="H256" i="5"/>
  <c r="E86" i="5"/>
  <c r="E84" i="5"/>
  <c r="E77" i="5"/>
  <c r="E68" i="5"/>
  <c r="E85" i="5"/>
  <c r="E81" i="5"/>
  <c r="E75" i="5"/>
  <c r="E83" i="5"/>
  <c r="E46" i="5"/>
  <c r="E29" i="5"/>
  <c r="E79" i="5"/>
  <c r="E72" i="5"/>
  <c r="E34" i="5"/>
  <c r="E65" i="5"/>
  <c r="E40" i="5"/>
  <c r="AD101" i="20"/>
  <c r="E41" i="5"/>
  <c r="E36" i="5"/>
  <c r="E23" i="5"/>
  <c r="E17" i="5"/>
  <c r="E26" i="5"/>
  <c r="E35" i="5"/>
  <c r="E18" i="5"/>
  <c r="E24" i="5"/>
  <c r="AD157" i="20"/>
  <c r="AH157" i="20"/>
  <c r="L271" i="5"/>
  <c r="L280" i="5" s="1"/>
  <c r="M271" i="5"/>
  <c r="M272" i="5" s="1"/>
  <c r="G277" i="21"/>
  <c r="J277" i="21" s="1"/>
  <c r="O271" i="5"/>
  <c r="O280" i="5" s="1"/>
  <c r="I271" i="5"/>
  <c r="Q271" i="5"/>
  <c r="Q272" i="5" s="1"/>
  <c r="Y224" i="24"/>
  <c r="P11" i="163"/>
  <c r="N271" i="5"/>
  <c r="AE157" i="20"/>
  <c r="AC157" i="20"/>
  <c r="AB157" i="20"/>
  <c r="AI157" i="20"/>
  <c r="AF157" i="20"/>
  <c r="AG157" i="20"/>
  <c r="AJ157" i="20"/>
  <c r="J271" i="5"/>
  <c r="J272" i="5" s="1"/>
  <c r="Y157" i="20"/>
  <c r="F70" i="19"/>
  <c r="S145" i="15"/>
  <c r="K75" i="15"/>
  <c r="I82" i="15"/>
  <c r="G106" i="15"/>
  <c r="H106" i="15" s="1"/>
  <c r="I106" i="15" s="1"/>
  <c r="J106" i="15" s="1"/>
  <c r="K106" i="15" s="1"/>
  <c r="L106" i="15" s="1"/>
  <c r="M106" i="15" s="1"/>
  <c r="N106" i="15" s="1"/>
  <c r="O106" i="15" s="1"/>
  <c r="P106" i="15" s="1"/>
  <c r="Q106" i="15" s="1"/>
  <c r="R106" i="15" s="1"/>
  <c r="S111" i="15"/>
  <c r="K23" i="12"/>
  <c r="K28" i="12" s="1"/>
  <c r="AC101" i="13"/>
  <c r="Y85" i="12" s="1"/>
  <c r="M38" i="12" s="1"/>
  <c r="AO144" i="13"/>
  <c r="AO147" i="13" s="1"/>
  <c r="O77" i="13"/>
  <c r="O79" i="13" s="1"/>
  <c r="I36" i="12"/>
  <c r="U83" i="12"/>
  <c r="U87" i="12" s="1"/>
  <c r="U89" i="12" s="1"/>
  <c r="Z101" i="13"/>
  <c r="K36" i="12"/>
  <c r="U133" i="12"/>
  <c r="I38" i="12"/>
  <c r="AK195" i="20"/>
  <c r="AK200" i="20"/>
  <c r="AK196" i="20"/>
  <c r="AK217" i="20"/>
  <c r="AK203" i="20"/>
  <c r="AK213" i="20"/>
  <c r="AH207" i="20"/>
  <c r="AF207" i="20"/>
  <c r="AK192" i="20"/>
  <c r="AK180" i="20"/>
  <c r="AK202" i="20"/>
  <c r="Y207" i="20"/>
  <c r="AK179" i="20"/>
  <c r="AK178" i="20"/>
  <c r="AK177" i="20"/>
  <c r="AJ207" i="20"/>
  <c r="AK218" i="20"/>
  <c r="AG207" i="20"/>
  <c r="AK204" i="20"/>
  <c r="AA207" i="20"/>
  <c r="AK221" i="20"/>
  <c r="AK219" i="20"/>
  <c r="AK194" i="20"/>
  <c r="AK211" i="20"/>
  <c r="AB207" i="20"/>
  <c r="AK181" i="20"/>
  <c r="AK193" i="20"/>
  <c r="AI207" i="20"/>
  <c r="AC123" i="20"/>
  <c r="AD207" i="20"/>
  <c r="AE207" i="20"/>
  <c r="AK182" i="20"/>
  <c r="AK214" i="20"/>
  <c r="AK210" i="20"/>
  <c r="AC207" i="20"/>
  <c r="AK212" i="20"/>
  <c r="AK201" i="20"/>
  <c r="AK220" i="20"/>
  <c r="L14" i="124"/>
  <c r="J15" i="124"/>
  <c r="E269" i="6"/>
  <c r="E270" i="6"/>
  <c r="E271" i="6"/>
  <c r="E250" i="6"/>
  <c r="AK112" i="20"/>
  <c r="AK120" i="20"/>
  <c r="AK118" i="20"/>
  <c r="AK135" i="20"/>
  <c r="AK136" i="20"/>
  <c r="AK117" i="20"/>
  <c r="J21" i="124"/>
  <c r="E264" i="6"/>
  <c r="F271" i="5"/>
  <c r="AK116" i="20"/>
  <c r="AK93" i="20"/>
  <c r="AK94" i="20"/>
  <c r="AK119" i="20"/>
  <c r="AK127" i="20"/>
  <c r="AK128" i="20"/>
  <c r="J19" i="124"/>
  <c r="E247" i="6"/>
  <c r="AB123" i="20"/>
  <c r="E260" i="6"/>
  <c r="E248" i="6"/>
  <c r="E257" i="6"/>
  <c r="E266" i="6"/>
  <c r="AK186" i="20"/>
  <c r="J319" i="22"/>
  <c r="J327" i="22" s="1"/>
  <c r="G327" i="22"/>
  <c r="G316" i="22"/>
  <c r="J313" i="22"/>
  <c r="J316" i="22" s="1"/>
  <c r="W224" i="24"/>
  <c r="H30" i="58"/>
  <c r="AA123" i="20"/>
  <c r="AK95" i="20"/>
  <c r="AK96" i="20"/>
  <c r="AK97" i="20"/>
  <c r="AK110" i="20"/>
  <c r="AK126" i="20"/>
  <c r="AK133" i="20"/>
  <c r="AK134" i="20"/>
  <c r="J17" i="124"/>
  <c r="G186" i="110"/>
  <c r="G67" i="110"/>
  <c r="G143" i="110"/>
  <c r="G114" i="110"/>
  <c r="H11" i="110"/>
  <c r="I61" i="61"/>
  <c r="I81" i="61" s="1"/>
  <c r="AD123" i="20"/>
  <c r="J110" i="22"/>
  <c r="J287" i="22"/>
  <c r="J293" i="22" s="1"/>
  <c r="AK111" i="20"/>
  <c r="Y123" i="20"/>
  <c r="AK108" i="20"/>
  <c r="AK109" i="20"/>
  <c r="AK129" i="20"/>
  <c r="AK130" i="20"/>
  <c r="AK137" i="20"/>
  <c r="P60" i="20" l="1"/>
  <c r="S60" i="20" s="1"/>
  <c r="L153" i="15"/>
  <c r="T153" i="15"/>
  <c r="I130" i="164"/>
  <c r="E64" i="164"/>
  <c r="L15" i="124"/>
  <c r="J23" i="124"/>
  <c r="J33" i="19"/>
  <c r="AO532" i="24"/>
  <c r="G14" i="163"/>
  <c r="G26" i="163" s="1"/>
  <c r="M29" i="163"/>
  <c r="M31" i="163" s="1"/>
  <c r="AK233" i="20"/>
  <c r="Q66" i="20" s="1"/>
  <c r="S66" i="20" s="1"/>
  <c r="AE301" i="24"/>
  <c r="AE304" i="24" s="1"/>
  <c r="AE306" i="24" s="1"/>
  <c r="AE308" i="24" s="1"/>
  <c r="U137" i="12"/>
  <c r="U139" i="12" s="1"/>
  <c r="I40" i="12"/>
  <c r="I42" i="12" s="1"/>
  <c r="M28" i="12"/>
  <c r="M40" i="12" s="1"/>
  <c r="O54" i="20"/>
  <c r="S54" i="20" s="1"/>
  <c r="Q153" i="15"/>
  <c r="J153" i="15"/>
  <c r="H153" i="15"/>
  <c r="P153" i="15"/>
  <c r="M153" i="15"/>
  <c r="R153" i="15"/>
  <c r="N153" i="15"/>
  <c r="K153" i="15"/>
  <c r="O153" i="15"/>
  <c r="I153" i="15"/>
  <c r="G153" i="15"/>
  <c r="P12" i="163"/>
  <c r="P26" i="163" s="1"/>
  <c r="U223" i="24"/>
  <c r="G267" i="6"/>
  <c r="F267" i="6"/>
  <c r="W358" i="24"/>
  <c r="W360" i="24" s="1"/>
  <c r="O23" i="12"/>
  <c r="H249" i="5"/>
  <c r="E19" i="5"/>
  <c r="P76" i="38"/>
  <c r="P79" i="38" s="1"/>
  <c r="P52" i="20"/>
  <c r="E190" i="5"/>
  <c r="Q70" i="54"/>
  <c r="K34" i="12"/>
  <c r="K40" i="12" s="1"/>
  <c r="K42" i="12" s="1"/>
  <c r="Y131" i="12"/>
  <c r="O34" i="12" s="1"/>
  <c r="L17" i="163"/>
  <c r="Y283" i="24"/>
  <c r="Y292" i="24"/>
  <c r="Y284" i="24"/>
  <c r="O57" i="20"/>
  <c r="S57" i="20" s="1"/>
  <c r="G21" i="42" s="1"/>
  <c r="E19" i="20"/>
  <c r="I19" i="20" s="1"/>
  <c r="K38" i="12"/>
  <c r="AC105" i="13"/>
  <c r="AC109" i="13" s="1"/>
  <c r="Y135" i="12" s="1"/>
  <c r="O38" i="12" s="1"/>
  <c r="G361" i="21"/>
  <c r="J361" i="21" s="1"/>
  <c r="G37" i="21"/>
  <c r="J37" i="21" s="1"/>
  <c r="G47" i="21"/>
  <c r="J47" i="21" s="1"/>
  <c r="G33" i="21"/>
  <c r="J33" i="21" s="1"/>
  <c r="G279" i="21"/>
  <c r="J279" i="21" s="1"/>
  <c r="G324" i="21"/>
  <c r="J324" i="21" s="1"/>
  <c r="G328" i="21"/>
  <c r="J328" i="21" s="1"/>
  <c r="G44" i="21"/>
  <c r="J44" i="21" s="1"/>
  <c r="G45" i="21"/>
  <c r="J45" i="21" s="1"/>
  <c r="G271" i="21"/>
  <c r="J271" i="21" s="1"/>
  <c r="G81" i="21"/>
  <c r="J81" i="21" s="1"/>
  <c r="G327" i="21"/>
  <c r="J327" i="21" s="1"/>
  <c r="G318" i="21"/>
  <c r="J318" i="21" s="1"/>
  <c r="G331" i="21"/>
  <c r="J331" i="21" s="1"/>
  <c r="G49" i="21"/>
  <c r="J49" i="21" s="1"/>
  <c r="G34" i="21"/>
  <c r="J34" i="21" s="1"/>
  <c r="G98" i="21"/>
  <c r="G360" i="21"/>
  <c r="J360" i="21" s="1"/>
  <c r="G76" i="21"/>
  <c r="J76" i="21" s="1"/>
  <c r="G80" i="21"/>
  <c r="J80" i="21" s="1"/>
  <c r="G274" i="21"/>
  <c r="J274" i="21" s="1"/>
  <c r="G329" i="21"/>
  <c r="J329" i="21" s="1"/>
  <c r="G276" i="21"/>
  <c r="J276" i="21" s="1"/>
  <c r="G107" i="21"/>
  <c r="J107" i="21" s="1"/>
  <c r="P49" i="162"/>
  <c r="G76" i="22"/>
  <c r="J76" i="22" s="1"/>
  <c r="AA492" i="24"/>
  <c r="AA494" i="24" s="1"/>
  <c r="AA495" i="24" s="1"/>
  <c r="G100" i="22"/>
  <c r="J100" i="22" s="1"/>
  <c r="Z109" i="13"/>
  <c r="H28" i="109"/>
  <c r="H32" i="109" s="1"/>
  <c r="E249" i="6"/>
  <c r="T111" i="15"/>
  <c r="E254" i="6"/>
  <c r="E255" i="6"/>
  <c r="AJ241" i="20"/>
  <c r="Z241" i="20"/>
  <c r="E263" i="6"/>
  <c r="K267" i="6"/>
  <c r="K268" i="6" s="1"/>
  <c r="J267" i="6"/>
  <c r="J268" i="6" s="1"/>
  <c r="L267" i="6"/>
  <c r="L268" i="6" s="1"/>
  <c r="AB241" i="20"/>
  <c r="E256" i="6"/>
  <c r="E262" i="6"/>
  <c r="AA241" i="20"/>
  <c r="G37" i="22"/>
  <c r="J37" i="22" s="1"/>
  <c r="I267" i="6"/>
  <c r="I268" i="6" s="1"/>
  <c r="AH241" i="20"/>
  <c r="AF241" i="20"/>
  <c r="N267" i="6"/>
  <c r="N268" i="6" s="1"/>
  <c r="O267" i="6"/>
  <c r="H267" i="6"/>
  <c r="H268" i="6" s="1"/>
  <c r="M267" i="6"/>
  <c r="M268" i="6" s="1"/>
  <c r="E253" i="6"/>
  <c r="E258" i="6"/>
  <c r="E259" i="6"/>
  <c r="E252" i="6"/>
  <c r="E265" i="6"/>
  <c r="Q267" i="6"/>
  <c r="Q268" i="6" s="1"/>
  <c r="E245" i="6"/>
  <c r="P267" i="6"/>
  <c r="P268" i="6" s="1"/>
  <c r="G272" i="22"/>
  <c r="J272" i="22" s="1"/>
  <c r="G271" i="22"/>
  <c r="J271" i="22" s="1"/>
  <c r="G23" i="22"/>
  <c r="J23" i="22" s="1"/>
  <c r="K21" i="63" s="1"/>
  <c r="K51" i="63" s="1"/>
  <c r="G270" i="22"/>
  <c r="J270" i="22" s="1"/>
  <c r="G41" i="22"/>
  <c r="J41" i="22" s="1"/>
  <c r="G140" i="22"/>
  <c r="J140" i="22" s="1"/>
  <c r="R75" i="40"/>
  <c r="H38" i="40" s="1"/>
  <c r="H40" i="40" s="1"/>
  <c r="G269" i="22"/>
  <c r="J269" i="22" s="1"/>
  <c r="G70" i="22"/>
  <c r="J70" i="22" s="1"/>
  <c r="G101" i="22"/>
  <c r="J101" i="22" s="1"/>
  <c r="G75" i="22"/>
  <c r="J75" i="22" s="1"/>
  <c r="G266" i="22"/>
  <c r="J266" i="22" s="1"/>
  <c r="Q30" i="53"/>
  <c r="G91" i="22"/>
  <c r="J91" i="22" s="1"/>
  <c r="P143" i="54"/>
  <c r="O143" i="54" s="1"/>
  <c r="O142" i="54"/>
  <c r="G40" i="22"/>
  <c r="J40" i="22" s="1"/>
  <c r="G34" i="22"/>
  <c r="J34" i="22" s="1"/>
  <c r="G43" i="22"/>
  <c r="J43" i="22" s="1"/>
  <c r="G22" i="22"/>
  <c r="J22" i="22" s="1"/>
  <c r="K20" i="63" s="1"/>
  <c r="K50" i="63" s="1"/>
  <c r="R66" i="40"/>
  <c r="H21" i="40" s="1"/>
  <c r="G93" i="22"/>
  <c r="J93" i="22" s="1"/>
  <c r="G99" i="22"/>
  <c r="J99" i="22" s="1"/>
  <c r="G273" i="22"/>
  <c r="J273" i="22" s="1"/>
  <c r="G267" i="22"/>
  <c r="J267" i="22" s="1"/>
  <c r="R67" i="40"/>
  <c r="H22" i="40" s="1"/>
  <c r="G44" i="22"/>
  <c r="J44" i="22" s="1"/>
  <c r="S63" i="20"/>
  <c r="O63" i="20" s="1"/>
  <c r="O71" i="20" s="1"/>
  <c r="G26" i="22"/>
  <c r="J26" i="22" s="1"/>
  <c r="G35" i="22"/>
  <c r="J35" i="22" s="1"/>
  <c r="F272" i="5"/>
  <c r="I17" i="68"/>
  <c r="M17" i="68" s="1"/>
  <c r="AA430" i="24"/>
  <c r="AA432" i="24" s="1"/>
  <c r="AA433" i="24" s="1"/>
  <c r="AC430" i="24"/>
  <c r="AC432" i="24" s="1"/>
  <c r="AC433" i="24" s="1"/>
  <c r="G135" i="46"/>
  <c r="G136" i="46" s="1"/>
  <c r="E11" i="5"/>
  <c r="G251" i="5"/>
  <c r="G113" i="46"/>
  <c r="G114" i="46" s="1"/>
  <c r="Q138" i="46"/>
  <c r="W410" i="24"/>
  <c r="W420" i="24" s="1"/>
  <c r="W422" i="24" s="1"/>
  <c r="Y495" i="24"/>
  <c r="AE309" i="24"/>
  <c r="Y368" i="24"/>
  <c r="Y370" i="24" s="1"/>
  <c r="Y371" i="24" s="1"/>
  <c r="U492" i="24"/>
  <c r="U494" i="24" s="1"/>
  <c r="U495" i="24" s="1"/>
  <c r="M58" i="24"/>
  <c r="M60" i="24" s="1"/>
  <c r="M61" i="24" s="1"/>
  <c r="W492" i="24"/>
  <c r="W494" i="24" s="1"/>
  <c r="W495" i="24" s="1"/>
  <c r="I64" i="61"/>
  <c r="I66" i="61" s="1"/>
  <c r="I68" i="61" s="1"/>
  <c r="I85" i="110"/>
  <c r="I169" i="110" s="1"/>
  <c r="M130" i="164"/>
  <c r="J64" i="159"/>
  <c r="D85" i="110" s="1"/>
  <c r="I64" i="164"/>
  <c r="K54" i="159"/>
  <c r="K64" i="164"/>
  <c r="K130" i="164"/>
  <c r="AC85" i="115"/>
  <c r="K32" i="68"/>
  <c r="M19" i="68"/>
  <c r="E71" i="19"/>
  <c r="F71" i="19" s="1"/>
  <c r="AA81" i="115"/>
  <c r="G64" i="164"/>
  <c r="O64" i="164"/>
  <c r="C86" i="110"/>
  <c r="V54" i="159"/>
  <c r="B64" i="61"/>
  <c r="M64" i="164"/>
  <c r="H85" i="110"/>
  <c r="R64" i="159"/>
  <c r="H90" i="110"/>
  <c r="H93" i="110" s="1"/>
  <c r="H150" i="110" s="1"/>
  <c r="N54" i="159"/>
  <c r="P64" i="159"/>
  <c r="P54" i="159"/>
  <c r="G85" i="110"/>
  <c r="G90" i="110"/>
  <c r="Q64" i="164"/>
  <c r="I28" i="61"/>
  <c r="B26" i="61"/>
  <c r="I31" i="68"/>
  <c r="M31" i="68" s="1"/>
  <c r="E85" i="110"/>
  <c r="E90" i="110"/>
  <c r="AE494" i="24"/>
  <c r="AE495" i="24" s="1"/>
  <c r="AE432" i="24"/>
  <c r="AE433" i="24" s="1"/>
  <c r="Y133" i="12"/>
  <c r="C39" i="110"/>
  <c r="C41" i="110" s="1"/>
  <c r="C27" i="110"/>
  <c r="C30" i="110"/>
  <c r="Y276" i="24"/>
  <c r="U212" i="24"/>
  <c r="Y234" i="24"/>
  <c r="Y239" i="24" s="1"/>
  <c r="Y242" i="24" s="1"/>
  <c r="AC81" i="115"/>
  <c r="I32" i="68"/>
  <c r="E54" i="55"/>
  <c r="F54" i="55"/>
  <c r="H52" i="55"/>
  <c r="F26" i="55"/>
  <c r="H18" i="55"/>
  <c r="H122" i="15"/>
  <c r="E20" i="20"/>
  <c r="I20" i="20" s="1"/>
  <c r="E267" i="5"/>
  <c r="E269" i="5"/>
  <c r="U14" i="62"/>
  <c r="X14" i="62" s="1"/>
  <c r="H72" i="62"/>
  <c r="K72" i="62"/>
  <c r="N41" i="62"/>
  <c r="O73" i="62"/>
  <c r="O76" i="62" s="1"/>
  <c r="S73" i="62"/>
  <c r="Q41" i="62"/>
  <c r="R41" i="62" s="1"/>
  <c r="P40" i="62"/>
  <c r="V41" i="62"/>
  <c r="T40" i="62"/>
  <c r="E260" i="5"/>
  <c r="O59" i="20"/>
  <c r="S59" i="20" s="1"/>
  <c r="L20" i="124"/>
  <c r="L18" i="124"/>
  <c r="L54" i="18"/>
  <c r="G273" i="21"/>
  <c r="J273" i="21" s="1"/>
  <c r="G109" i="21"/>
  <c r="J109" i="21" s="1"/>
  <c r="G100" i="21"/>
  <c r="J100" i="21" s="1"/>
  <c r="G280" i="21"/>
  <c r="J280" i="21" s="1"/>
  <c r="G275" i="21"/>
  <c r="J275" i="21" s="1"/>
  <c r="E262" i="5"/>
  <c r="G368" i="21"/>
  <c r="J368" i="21" s="1"/>
  <c r="AC102" i="20"/>
  <c r="AD102" i="20"/>
  <c r="AC105" i="20"/>
  <c r="AD105" i="20"/>
  <c r="AC103" i="20"/>
  <c r="AD103" i="20"/>
  <c r="AB101" i="20"/>
  <c r="AC101" i="20"/>
  <c r="AB105" i="20"/>
  <c r="AB103" i="20"/>
  <c r="G26" i="21"/>
  <c r="J26" i="21" s="1"/>
  <c r="AB102" i="20"/>
  <c r="I30" i="53"/>
  <c r="K30" i="53" s="1"/>
  <c r="G272" i="21"/>
  <c r="J272" i="21" s="1"/>
  <c r="E210" i="5"/>
  <c r="E214" i="5"/>
  <c r="E195" i="5"/>
  <c r="G263" i="5"/>
  <c r="E263" i="5" s="1"/>
  <c r="E201" i="5"/>
  <c r="R70" i="54"/>
  <c r="R71" i="54" s="1"/>
  <c r="G259" i="5"/>
  <c r="E259" i="5" s="1"/>
  <c r="G252" i="5"/>
  <c r="E192" i="5"/>
  <c r="G258" i="5"/>
  <c r="E258" i="5" s="1"/>
  <c r="G257" i="5"/>
  <c r="E257" i="5" s="1"/>
  <c r="G42" i="21"/>
  <c r="J42" i="21" s="1"/>
  <c r="G46" i="21"/>
  <c r="J46" i="21" s="1"/>
  <c r="E130" i="5"/>
  <c r="G48" i="21"/>
  <c r="J48" i="21" s="1"/>
  <c r="E132" i="5"/>
  <c r="E126" i="5"/>
  <c r="E87" i="5"/>
  <c r="G253" i="5"/>
  <c r="E111" i="5"/>
  <c r="G256" i="5"/>
  <c r="E256" i="5" s="1"/>
  <c r="G266" i="5"/>
  <c r="E266" i="5" s="1"/>
  <c r="E104" i="5"/>
  <c r="H254" i="5"/>
  <c r="E103" i="5"/>
  <c r="G254" i="5"/>
  <c r="G369" i="21"/>
  <c r="J369" i="21" s="1"/>
  <c r="I24" i="20"/>
  <c r="G40" i="21"/>
  <c r="J40" i="21" s="1"/>
  <c r="G50" i="21"/>
  <c r="J50" i="21" s="1"/>
  <c r="E76" i="5"/>
  <c r="G39" i="21"/>
  <c r="J39" i="21" s="1"/>
  <c r="E66" i="5"/>
  <c r="E60" i="5"/>
  <c r="Z105" i="20"/>
  <c r="E63" i="5"/>
  <c r="Z101" i="20"/>
  <c r="G249" i="5"/>
  <c r="E56" i="5"/>
  <c r="E58" i="5"/>
  <c r="H273" i="5"/>
  <c r="E25" i="5"/>
  <c r="G294" i="21"/>
  <c r="J294" i="21" s="1"/>
  <c r="E27" i="5"/>
  <c r="G362" i="21"/>
  <c r="J362" i="21" s="1"/>
  <c r="E20" i="5"/>
  <c r="E22" i="5"/>
  <c r="G264" i="5"/>
  <c r="E16" i="5"/>
  <c r="H264" i="5"/>
  <c r="H271" i="5" s="1"/>
  <c r="G273" i="5"/>
  <c r="E12" i="5"/>
  <c r="O272" i="5"/>
  <c r="P272" i="5"/>
  <c r="K280" i="5"/>
  <c r="M280" i="5"/>
  <c r="L272" i="5"/>
  <c r="I272" i="5"/>
  <c r="I280" i="5"/>
  <c r="P280" i="5"/>
  <c r="Q280" i="5"/>
  <c r="D39" i="110"/>
  <c r="D41" i="110" s="1"/>
  <c r="D27" i="110"/>
  <c r="D31" i="110"/>
  <c r="D30" i="110"/>
  <c r="Y87" i="12"/>
  <c r="N272" i="5"/>
  <c r="N280" i="5"/>
  <c r="J280" i="5"/>
  <c r="F280" i="5"/>
  <c r="H54" i="19"/>
  <c r="H65" i="19" s="1"/>
  <c r="H43" i="19"/>
  <c r="R58" i="35" s="1"/>
  <c r="D98" i="110"/>
  <c r="K30" i="76"/>
  <c r="D70" i="110"/>
  <c r="G20" i="76"/>
  <c r="S173" i="15"/>
  <c r="T173" i="15" s="1"/>
  <c r="S138" i="15"/>
  <c r="S106" i="15"/>
  <c r="T106" i="15" s="1"/>
  <c r="J82" i="15"/>
  <c r="L75" i="15"/>
  <c r="G24" i="76" s="1"/>
  <c r="S110" i="15"/>
  <c r="R68" i="40"/>
  <c r="H23" i="40" s="1"/>
  <c r="AE204" i="24" s="1"/>
  <c r="D14" i="163" s="1"/>
  <c r="AK207" i="20"/>
  <c r="F13" i="20"/>
  <c r="AK123" i="20"/>
  <c r="L17" i="124"/>
  <c r="J329" i="22"/>
  <c r="H42" i="19"/>
  <c r="H143" i="110"/>
  <c r="H114" i="110"/>
  <c r="H67" i="110"/>
  <c r="I11" i="110"/>
  <c r="H186" i="110"/>
  <c r="G329" i="22"/>
  <c r="F21" i="20"/>
  <c r="I21" i="20" s="1"/>
  <c r="L21" i="124"/>
  <c r="E18" i="20"/>
  <c r="I18" i="20" s="1"/>
  <c r="L10" i="124"/>
  <c r="L19" i="124"/>
  <c r="S79" i="38" l="1"/>
  <c r="H29" i="38" s="1"/>
  <c r="AA213" i="24" s="1"/>
  <c r="P29" i="163"/>
  <c r="P31" i="163" s="1"/>
  <c r="J25" i="19"/>
  <c r="U221" i="24"/>
  <c r="Y293" i="24"/>
  <c r="O28" i="12"/>
  <c r="W363" i="24"/>
  <c r="W366" i="24" s="1"/>
  <c r="W368" i="24" s="1"/>
  <c r="W370" i="24" s="1"/>
  <c r="E24" i="20"/>
  <c r="E32" i="20" s="1"/>
  <c r="G268" i="6"/>
  <c r="G118" i="21"/>
  <c r="J118" i="21" s="1"/>
  <c r="J98" i="21"/>
  <c r="G325" i="21"/>
  <c r="J325" i="21" s="1"/>
  <c r="G74" i="22"/>
  <c r="U230" i="24"/>
  <c r="O17" i="163"/>
  <c r="O26" i="163" s="1"/>
  <c r="R17" i="163"/>
  <c r="R26" i="163" s="1"/>
  <c r="N17" i="163"/>
  <c r="N26" i="163" s="1"/>
  <c r="U222" i="24"/>
  <c r="G26" i="42"/>
  <c r="W266" i="24" s="1"/>
  <c r="AG212" i="46"/>
  <c r="AF212" i="46"/>
  <c r="AF267" i="46" s="1"/>
  <c r="Y137" i="12"/>
  <c r="Y139" i="12" s="1"/>
  <c r="I30" i="61"/>
  <c r="I32" i="61" s="1"/>
  <c r="I17" i="76"/>
  <c r="G128" i="46"/>
  <c r="G330" i="21"/>
  <c r="J330" i="21" s="1"/>
  <c r="Y103" i="20"/>
  <c r="Y102" i="20"/>
  <c r="AA105" i="20"/>
  <c r="AA101" i="20"/>
  <c r="E48" i="5"/>
  <c r="E10" i="163"/>
  <c r="O268" i="6"/>
  <c r="G276" i="6"/>
  <c r="F268" i="6"/>
  <c r="L276" i="6"/>
  <c r="T110" i="15"/>
  <c r="J276" i="6"/>
  <c r="H276" i="6"/>
  <c r="M276" i="6"/>
  <c r="K276" i="6"/>
  <c r="O276" i="6"/>
  <c r="N276" i="6"/>
  <c r="I276" i="6"/>
  <c r="AK241" i="20"/>
  <c r="E267" i="6"/>
  <c r="E268" i="6" s="1"/>
  <c r="P276" i="6"/>
  <c r="F276" i="6"/>
  <c r="Q276" i="6"/>
  <c r="Q31" i="53"/>
  <c r="O31" i="53" s="1"/>
  <c r="O30" i="53"/>
  <c r="S30" i="53"/>
  <c r="S31" i="53" s="1"/>
  <c r="H44" i="40"/>
  <c r="AE216" i="24"/>
  <c r="E253" i="5"/>
  <c r="I135" i="46"/>
  <c r="J36" i="19"/>
  <c r="I113" i="46"/>
  <c r="AO535" i="24"/>
  <c r="W425" i="24"/>
  <c r="W428" i="24" s="1"/>
  <c r="W430" i="24" s="1"/>
  <c r="W432" i="24" s="1"/>
  <c r="W433" i="24" s="1"/>
  <c r="I168" i="110"/>
  <c r="T64" i="159"/>
  <c r="I86" i="110"/>
  <c r="I95" i="110" s="1"/>
  <c r="I90" i="110"/>
  <c r="I93" i="110" s="1"/>
  <c r="K64" i="159"/>
  <c r="H64" i="159"/>
  <c r="M21" i="68"/>
  <c r="O36" i="12"/>
  <c r="D90" i="110"/>
  <c r="D93" i="110" s="1"/>
  <c r="I21" i="68"/>
  <c r="I30" i="68"/>
  <c r="I34" i="68" s="1"/>
  <c r="M32" i="68"/>
  <c r="G152" i="110"/>
  <c r="G155" i="110"/>
  <c r="H168" i="110"/>
  <c r="H86" i="110"/>
  <c r="H169" i="110"/>
  <c r="C96" i="110"/>
  <c r="E86" i="110"/>
  <c r="E169" i="110"/>
  <c r="E168" i="110"/>
  <c r="H152" i="110"/>
  <c r="H155" i="110"/>
  <c r="E152" i="110"/>
  <c r="G86" i="110"/>
  <c r="F90" i="110"/>
  <c r="F150" i="110" s="1"/>
  <c r="N64" i="159"/>
  <c r="F85" i="110"/>
  <c r="V64" i="159"/>
  <c r="D86" i="110"/>
  <c r="D168" i="110"/>
  <c r="B30" i="61"/>
  <c r="C33" i="110"/>
  <c r="C32" i="110"/>
  <c r="C31" i="110"/>
  <c r="Y236" i="24"/>
  <c r="AO524" i="24"/>
  <c r="H17" i="163"/>
  <c r="Y286" i="24"/>
  <c r="L28" i="58"/>
  <c r="G29" i="163"/>
  <c r="G31" i="163" s="1"/>
  <c r="L30" i="58"/>
  <c r="J52" i="55"/>
  <c r="J54" i="55" s="1"/>
  <c r="H54" i="55"/>
  <c r="H26" i="55"/>
  <c r="J18" i="55"/>
  <c r="J26" i="55" s="1"/>
  <c r="I122" i="15"/>
  <c r="S76" i="62"/>
  <c r="V73" i="62"/>
  <c r="T41" i="62"/>
  <c r="N73" i="62"/>
  <c r="Q73" i="62"/>
  <c r="P41" i="62"/>
  <c r="AA102" i="20"/>
  <c r="AK98" i="20"/>
  <c r="AA103" i="20"/>
  <c r="Z102" i="20"/>
  <c r="K31" i="53"/>
  <c r="Z103" i="20"/>
  <c r="Y105" i="20"/>
  <c r="Y101" i="20"/>
  <c r="I31" i="53"/>
  <c r="E252" i="5"/>
  <c r="Q71" i="54"/>
  <c r="O71" i="54" s="1"/>
  <c r="O70" i="54"/>
  <c r="E251" i="5"/>
  <c r="G122" i="21"/>
  <c r="J122" i="21" s="1"/>
  <c r="H272" i="5"/>
  <c r="E254" i="5"/>
  <c r="G41" i="21"/>
  <c r="J41" i="21" s="1"/>
  <c r="Z157" i="20"/>
  <c r="E249" i="5"/>
  <c r="G23" i="21"/>
  <c r="J23" i="21" s="1"/>
  <c r="I21" i="63" s="1"/>
  <c r="I51" i="63" s="1"/>
  <c r="G22" i="21"/>
  <c r="J22" i="21" s="1"/>
  <c r="I20" i="63" s="1"/>
  <c r="I50" i="63" s="1"/>
  <c r="AA157" i="20"/>
  <c r="G320" i="21"/>
  <c r="J320" i="21" s="1"/>
  <c r="G319" i="21"/>
  <c r="G326" i="21"/>
  <c r="J326" i="21" s="1"/>
  <c r="E273" i="5"/>
  <c r="G293" i="21"/>
  <c r="G298" i="21" s="1"/>
  <c r="G271" i="5"/>
  <c r="E264" i="5"/>
  <c r="D33" i="110"/>
  <c r="D32" i="110"/>
  <c r="N54" i="19"/>
  <c r="I18" i="76"/>
  <c r="D169" i="110"/>
  <c r="T138" i="15"/>
  <c r="F174" i="15"/>
  <c r="K82" i="15"/>
  <c r="N75" i="15"/>
  <c r="H24" i="40"/>
  <c r="R69" i="40"/>
  <c r="I114" i="110"/>
  <c r="I186" i="110"/>
  <c r="I67" i="110"/>
  <c r="I143" i="110"/>
  <c r="J11" i="110"/>
  <c r="I70" i="61"/>
  <c r="I72" i="61" s="1"/>
  <c r="B68" i="61"/>
  <c r="R56" i="35"/>
  <c r="H44" i="19"/>
  <c r="G33" i="62" s="1"/>
  <c r="I150" i="110" l="1"/>
  <c r="I155" i="110" s="1"/>
  <c r="N29" i="163"/>
  <c r="N31" i="163" s="1"/>
  <c r="AO533" i="24"/>
  <c r="J34" i="19"/>
  <c r="I14" i="163"/>
  <c r="I26" i="163" s="1"/>
  <c r="I128" i="46"/>
  <c r="W371" i="24"/>
  <c r="O40" i="12"/>
  <c r="H31" i="38"/>
  <c r="H35" i="38" s="1"/>
  <c r="J43" i="19"/>
  <c r="N43" i="19" s="1"/>
  <c r="AO542" i="24"/>
  <c r="D16" i="163"/>
  <c r="W269" i="24"/>
  <c r="W296" i="24" s="1"/>
  <c r="W298" i="24" s="1"/>
  <c r="AK157" i="20"/>
  <c r="I34" i="61"/>
  <c r="B34" i="61"/>
  <c r="AK105" i="20"/>
  <c r="F32" i="20" s="1"/>
  <c r="G372" i="21"/>
  <c r="J372" i="21" s="1"/>
  <c r="I138" i="46" s="1"/>
  <c r="I28" i="108" s="1"/>
  <c r="K179" i="24" s="1"/>
  <c r="E55" i="24" s="1"/>
  <c r="AM553" i="24" s="1"/>
  <c r="AK553" i="24" s="1"/>
  <c r="AG267" i="46"/>
  <c r="U216" i="24"/>
  <c r="AK101" i="20"/>
  <c r="M30" i="68"/>
  <c r="M34" i="68" s="1"/>
  <c r="I23" i="185" s="1"/>
  <c r="I96" i="110"/>
  <c r="I152" i="110"/>
  <c r="U400" i="24"/>
  <c r="U410" i="24" s="1"/>
  <c r="N65" i="19"/>
  <c r="Y244" i="24"/>
  <c r="Y246" i="24" s="1"/>
  <c r="Y247" i="24" s="1"/>
  <c r="D96" i="110"/>
  <c r="F155" i="110"/>
  <c r="F152" i="110"/>
  <c r="E96" i="110"/>
  <c r="H96" i="110"/>
  <c r="H95" i="110"/>
  <c r="F86" i="110"/>
  <c r="F169" i="110"/>
  <c r="G95" i="110"/>
  <c r="G96" i="110"/>
  <c r="Y296" i="24"/>
  <c r="U348" i="24"/>
  <c r="U358" i="24" s="1"/>
  <c r="J31" i="58"/>
  <c r="U229" i="24"/>
  <c r="AO541" i="24" s="1"/>
  <c r="J122" i="15"/>
  <c r="E54" i="19"/>
  <c r="K37" i="62" s="1"/>
  <c r="P73" i="62"/>
  <c r="Q76" i="62"/>
  <c r="T73" i="62"/>
  <c r="R73" i="62"/>
  <c r="J20" i="112"/>
  <c r="J25" i="112" s="1"/>
  <c r="AC266" i="24" s="1"/>
  <c r="P73" i="20"/>
  <c r="AK102" i="20"/>
  <c r="AK103" i="20"/>
  <c r="J319" i="21"/>
  <c r="J321" i="21" s="1"/>
  <c r="E42" i="19" s="1"/>
  <c r="G321" i="21"/>
  <c r="E271" i="5"/>
  <c r="E272" i="5" s="1"/>
  <c r="J293" i="21"/>
  <c r="J298" i="21" s="1"/>
  <c r="G272" i="5"/>
  <c r="J54" i="19"/>
  <c r="E48" i="19"/>
  <c r="I16" i="76"/>
  <c r="M18" i="76"/>
  <c r="I31" i="76"/>
  <c r="M31" i="76" s="1"/>
  <c r="M17" i="76"/>
  <c r="I30" i="76"/>
  <c r="M30" i="76" s="1"/>
  <c r="G67" i="14"/>
  <c r="L67" i="14" s="1"/>
  <c r="N67" i="14" s="1"/>
  <c r="P67" i="14" s="1"/>
  <c r="L82" i="15"/>
  <c r="O75" i="15"/>
  <c r="AE206" i="24"/>
  <c r="H28" i="40"/>
  <c r="B72" i="61"/>
  <c r="R60" i="35"/>
  <c r="J186" i="110"/>
  <c r="J67" i="110"/>
  <c r="J143" i="110"/>
  <c r="J114" i="110"/>
  <c r="K11" i="110"/>
  <c r="Y298" i="24" l="1"/>
  <c r="D19" i="163"/>
  <c r="E14" i="163"/>
  <c r="E26" i="163" s="1"/>
  <c r="H12" i="163"/>
  <c r="H26" i="163" s="1"/>
  <c r="AA214" i="24"/>
  <c r="AA224" i="24" s="1"/>
  <c r="U213" i="24"/>
  <c r="AO543" i="24"/>
  <c r="G29" i="185"/>
  <c r="E39" i="5"/>
  <c r="E36" i="19"/>
  <c r="J29" i="62" s="1"/>
  <c r="I29" i="163"/>
  <c r="I31" i="163" s="1"/>
  <c r="AO528" i="24"/>
  <c r="J29" i="19"/>
  <c r="E53" i="19"/>
  <c r="I29" i="185"/>
  <c r="U420" i="24"/>
  <c r="U422" i="24" s="1"/>
  <c r="F96" i="110"/>
  <c r="D28" i="110"/>
  <c r="Y301" i="24"/>
  <c r="AO534" i="24"/>
  <c r="U231" i="24"/>
  <c r="J42" i="19"/>
  <c r="J44" i="19" s="1"/>
  <c r="W301" i="24"/>
  <c r="W304" i="24" s="1"/>
  <c r="W306" i="24" s="1"/>
  <c r="K122" i="15"/>
  <c r="F54" i="19"/>
  <c r="P54" i="19" s="1"/>
  <c r="H37" i="62"/>
  <c r="E65" i="19"/>
  <c r="F65" i="19" s="1"/>
  <c r="AC269" i="24"/>
  <c r="H18" i="19"/>
  <c r="R53" i="25"/>
  <c r="E38" i="5"/>
  <c r="E37" i="5"/>
  <c r="F42" i="19"/>
  <c r="P56" i="35"/>
  <c r="T56" i="35" s="1"/>
  <c r="J22" i="35" s="1"/>
  <c r="J65" i="19"/>
  <c r="M16" i="76"/>
  <c r="M20" i="76" s="1"/>
  <c r="I29" i="76"/>
  <c r="I20" i="76"/>
  <c r="G21" i="14"/>
  <c r="G24" i="14" s="1"/>
  <c r="N82" i="15"/>
  <c r="Q75" i="15"/>
  <c r="P75" i="15"/>
  <c r="AE207" i="24"/>
  <c r="U206" i="24"/>
  <c r="U360" i="24"/>
  <c r="K186" i="110"/>
  <c r="K67" i="110"/>
  <c r="K143" i="110"/>
  <c r="K114" i="110"/>
  <c r="L11" i="110"/>
  <c r="J36" i="62" l="1"/>
  <c r="K36" i="62" s="1"/>
  <c r="Y304" i="24"/>
  <c r="Y306" i="24" s="1"/>
  <c r="Y308" i="24" s="1"/>
  <c r="Y309" i="24" s="1"/>
  <c r="J26" i="19"/>
  <c r="H29" i="163"/>
  <c r="H31" i="163" s="1"/>
  <c r="AO525" i="24"/>
  <c r="AO526" i="24" s="1"/>
  <c r="U214" i="24"/>
  <c r="AA234" i="24"/>
  <c r="AA236" i="24" s="1"/>
  <c r="R29" i="163"/>
  <c r="R31" i="163" s="1"/>
  <c r="I167" i="24"/>
  <c r="E43" i="24" s="1"/>
  <c r="AM541" i="24" s="1"/>
  <c r="G366" i="21"/>
  <c r="J366" i="21" s="1"/>
  <c r="P53" i="84"/>
  <c r="G367" i="21"/>
  <c r="J367" i="21" s="1"/>
  <c r="U425" i="24"/>
  <c r="U428" i="24" s="1"/>
  <c r="U430" i="24" s="1"/>
  <c r="U432" i="24" s="1"/>
  <c r="U433" i="24" s="1"/>
  <c r="G355" i="21"/>
  <c r="J355" i="21" s="1"/>
  <c r="W308" i="24"/>
  <c r="W309" i="24" s="1"/>
  <c r="J35" i="19"/>
  <c r="O29" i="163"/>
  <c r="O31" i="163" s="1"/>
  <c r="N42" i="19"/>
  <c r="L122" i="15"/>
  <c r="F34" i="20"/>
  <c r="P53" i="25" s="1"/>
  <c r="T53" i="25" s="1"/>
  <c r="J24" i="25" s="1"/>
  <c r="AC296" i="24"/>
  <c r="AC298" i="24" s="1"/>
  <c r="E15" i="20"/>
  <c r="I15" i="20" s="1"/>
  <c r="M29" i="76"/>
  <c r="M33" i="76" s="1"/>
  <c r="I33" i="76"/>
  <c r="G30" i="76"/>
  <c r="G29" i="76"/>
  <c r="G31" i="76"/>
  <c r="L21" i="14"/>
  <c r="L24" i="14" s="1"/>
  <c r="O82" i="15"/>
  <c r="L27" i="14"/>
  <c r="P27" i="14" s="1"/>
  <c r="G36" i="170" s="1"/>
  <c r="J19" i="19"/>
  <c r="AO518" i="24"/>
  <c r="E29" i="163"/>
  <c r="E31" i="163" s="1"/>
  <c r="U363" i="24"/>
  <c r="U366" i="24" s="1"/>
  <c r="U368" i="24" s="1"/>
  <c r="U370" i="24" s="1"/>
  <c r="L143" i="110"/>
  <c r="L114" i="110"/>
  <c r="M11" i="110"/>
  <c r="L186" i="110"/>
  <c r="L67" i="110"/>
  <c r="J27" i="19" l="1"/>
  <c r="AA239" i="24"/>
  <c r="AA242" i="24" s="1"/>
  <c r="AA244" i="24" s="1"/>
  <c r="AA246" i="24" s="1"/>
  <c r="J370" i="21"/>
  <c r="K29" i="62"/>
  <c r="G125" i="164"/>
  <c r="E125" i="164"/>
  <c r="G370" i="21"/>
  <c r="G23" i="185"/>
  <c r="N44" i="19"/>
  <c r="U371" i="24"/>
  <c r="M122" i="15"/>
  <c r="AC301" i="24"/>
  <c r="AC304" i="24" s="1"/>
  <c r="AC306" i="24" s="1"/>
  <c r="E18" i="19"/>
  <c r="N21" i="14"/>
  <c r="P82" i="15"/>
  <c r="G33" i="76"/>
  <c r="AK541" i="24"/>
  <c r="M114" i="110"/>
  <c r="M186" i="110"/>
  <c r="M67" i="110"/>
  <c r="M143" i="110"/>
  <c r="N11" i="110"/>
  <c r="AA247" i="24" l="1"/>
  <c r="F18" i="19"/>
  <c r="G19" i="24" s="1"/>
  <c r="E19" i="24" s="1"/>
  <c r="AM517" i="24" s="1"/>
  <c r="E124" i="164"/>
  <c r="G124" i="164"/>
  <c r="E22" i="18"/>
  <c r="AC308" i="24"/>
  <c r="AC309" i="24" s="1"/>
  <c r="N122" i="15"/>
  <c r="P21" i="14"/>
  <c r="N24" i="14"/>
  <c r="F177" i="15"/>
  <c r="S177" i="15" s="1"/>
  <c r="T177" i="15" s="1"/>
  <c r="T181" i="15" s="1"/>
  <c r="Q82" i="15"/>
  <c r="N186" i="110"/>
  <c r="N67" i="110"/>
  <c r="N143" i="110"/>
  <c r="N114" i="110"/>
  <c r="P42" i="19"/>
  <c r="G127" i="164" l="1"/>
  <c r="E127" i="164"/>
  <c r="S181" i="15"/>
  <c r="O122" i="15"/>
  <c r="P24" i="14"/>
  <c r="F137" i="15"/>
  <c r="F181" i="15"/>
  <c r="F109" i="15"/>
  <c r="G34" i="170" l="1"/>
  <c r="G130" i="164"/>
  <c r="E130" i="164"/>
  <c r="P122" i="15"/>
  <c r="F113" i="15"/>
  <c r="F140" i="15"/>
  <c r="G181" i="15"/>
  <c r="F143" i="15"/>
  <c r="S143" i="15" s="1"/>
  <c r="T143" i="15" s="1"/>
  <c r="G72" i="14" l="1"/>
  <c r="Q122" i="15"/>
  <c r="G113" i="15"/>
  <c r="G140" i="15"/>
  <c r="F148" i="15"/>
  <c r="H181" i="15"/>
  <c r="H113" i="15" l="1"/>
  <c r="R122" i="15"/>
  <c r="S116" i="15"/>
  <c r="H140" i="15"/>
  <c r="I140" i="15"/>
  <c r="G190" i="15"/>
  <c r="I181" i="15"/>
  <c r="I113" i="15"/>
  <c r="T116" i="15" l="1"/>
  <c r="J181" i="15"/>
  <c r="H190" i="15"/>
  <c r="J140" i="15"/>
  <c r="J113" i="15"/>
  <c r="I190" i="15" l="1"/>
  <c r="K140" i="15"/>
  <c r="K181" i="15"/>
  <c r="K113" i="15"/>
  <c r="L181" i="15" l="1"/>
  <c r="L140" i="15"/>
  <c r="J190" i="15"/>
  <c r="S172" i="15"/>
  <c r="L113" i="15"/>
  <c r="T172" i="15" l="1"/>
  <c r="T174" i="15" s="1"/>
  <c r="S174" i="15"/>
  <c r="M140" i="15"/>
  <c r="K190" i="15"/>
  <c r="M181" i="15"/>
  <c r="M113" i="15"/>
  <c r="N140" i="15" l="1"/>
  <c r="N181" i="15"/>
  <c r="L190" i="15"/>
  <c r="N113" i="15"/>
  <c r="O181" i="15" l="1"/>
  <c r="M190" i="15"/>
  <c r="O140" i="15"/>
  <c r="O113" i="15"/>
  <c r="N190" i="15" l="1"/>
  <c r="P181" i="15"/>
  <c r="P140" i="15"/>
  <c r="P113" i="15"/>
  <c r="O190" i="15" l="1"/>
  <c r="Q140" i="15"/>
  <c r="Q181" i="15"/>
  <c r="Q113" i="15"/>
  <c r="R140" i="15" l="1"/>
  <c r="P190" i="15"/>
  <c r="R181" i="15"/>
  <c r="R113" i="15"/>
  <c r="Q190" i="15" l="1"/>
  <c r="S137" i="15"/>
  <c r="S109" i="15"/>
  <c r="S140" i="15" l="1"/>
  <c r="S113" i="15"/>
  <c r="T137" i="15"/>
  <c r="R190" i="15"/>
  <c r="T109" i="15"/>
  <c r="T113" i="15" l="1"/>
  <c r="T140" i="15"/>
  <c r="S148" i="15"/>
  <c r="G66" i="14"/>
  <c r="G69" i="14" s="1"/>
  <c r="O33" i="15"/>
  <c r="P33" i="15"/>
  <c r="K33" i="15"/>
  <c r="H33" i="15"/>
  <c r="Q33" i="15"/>
  <c r="J33" i="15"/>
  <c r="F33" i="15"/>
  <c r="G33" i="15"/>
  <c r="I33" i="15"/>
  <c r="N33" i="15"/>
  <c r="L33" i="15"/>
  <c r="F118" i="15"/>
  <c r="F122" i="15" s="1"/>
  <c r="F190" i="15" s="1"/>
  <c r="G25" i="68" l="1"/>
  <c r="G30" i="68" s="1"/>
  <c r="L72" i="14"/>
  <c r="P72" i="14" s="1"/>
  <c r="I36" i="170" s="1"/>
  <c r="L66" i="14"/>
  <c r="L69" i="14" s="1"/>
  <c r="S118" i="15"/>
  <c r="G31" i="68" l="1"/>
  <c r="G32" i="68"/>
  <c r="S122" i="15"/>
  <c r="T118" i="15"/>
  <c r="T122" i="15" s="1"/>
  <c r="N66" i="14"/>
  <c r="G34" i="68" l="1"/>
  <c r="T190" i="15"/>
  <c r="N69" i="14"/>
  <c r="P66" i="14"/>
  <c r="P69" i="14" l="1"/>
  <c r="I34" i="170" l="1"/>
  <c r="G275" i="5" l="1"/>
  <c r="H275" i="5"/>
  <c r="H280" i="5" l="1"/>
  <c r="E32" i="5"/>
  <c r="E30" i="5"/>
  <c r="F23" i="58" l="1"/>
  <c r="G354" i="21"/>
  <c r="J354" i="21" s="1"/>
  <c r="G280" i="5"/>
  <c r="E275" i="5"/>
  <c r="G332" i="21"/>
  <c r="AD212" i="46" l="1"/>
  <c r="AH212" i="46" s="1"/>
  <c r="G81" i="46"/>
  <c r="AC267" i="46"/>
  <c r="J332" i="21"/>
  <c r="J333" i="21" s="1"/>
  <c r="G333" i="21"/>
  <c r="G335" i="21" s="1"/>
  <c r="H23" i="58"/>
  <c r="L23" i="58" s="1"/>
  <c r="AD267" i="46" l="1"/>
  <c r="I81" i="46"/>
  <c r="E66" i="19"/>
  <c r="F66" i="19" s="1"/>
  <c r="J335" i="21"/>
  <c r="E43" i="19"/>
  <c r="AH267" i="46" l="1"/>
  <c r="AH273" i="46" s="1"/>
  <c r="AH277" i="46" s="1"/>
  <c r="F43" i="19"/>
  <c r="E44" i="19"/>
  <c r="J33" i="62" s="1"/>
  <c r="P58" i="35"/>
  <c r="W180" i="46" l="1"/>
  <c r="G76" i="46" s="1"/>
  <c r="AH279" i="46"/>
  <c r="AH284" i="46"/>
  <c r="T58" i="35"/>
  <c r="P60" i="35"/>
  <c r="H33" i="62"/>
  <c r="K33" i="62"/>
  <c r="F44" i="19"/>
  <c r="I168" i="24"/>
  <c r="W182" i="46" l="1"/>
  <c r="G78" i="46" s="1"/>
  <c r="G80" i="46" s="1"/>
  <c r="AH282" i="46"/>
  <c r="I169" i="24"/>
  <c r="I172" i="24" s="1"/>
  <c r="E44" i="24"/>
  <c r="J24" i="35"/>
  <c r="J26" i="35" s="1"/>
  <c r="J32" i="35" s="1"/>
  <c r="T60" i="35"/>
  <c r="AH285" i="46" l="1"/>
  <c r="AH288" i="46" s="1"/>
  <c r="AH290" i="46" s="1"/>
  <c r="AH293" i="46" s="1"/>
  <c r="W185" i="46"/>
  <c r="W188" i="46" s="1"/>
  <c r="G122" i="46"/>
  <c r="E45" i="24"/>
  <c r="AM542" i="24"/>
  <c r="I174" i="24"/>
  <c r="G247" i="5" l="1"/>
  <c r="AI150" i="20" a="1"/>
  <c r="AI150" i="20" s="1"/>
  <c r="H276" i="5"/>
  <c r="H278" i="5" s="1"/>
  <c r="Y149" i="20" a="1"/>
  <c r="Y149" i="20" s="1"/>
  <c r="AE149" i="20" a="1"/>
  <c r="AE149" i="20" s="1"/>
  <c r="AF150" i="20" a="1"/>
  <c r="AF150" i="20" s="1"/>
  <c r="AC153" i="20" a="1"/>
  <c r="AC153" i="20" s="1"/>
  <c r="K247" i="5"/>
  <c r="N247" i="5"/>
  <c r="AG149" i="20" a="1"/>
  <c r="AG149" i="20" s="1"/>
  <c r="AG150" i="20" a="1"/>
  <c r="AG150" i="20" s="1"/>
  <c r="AG153" i="20" a="1"/>
  <c r="AG153" i="20" s="1"/>
  <c r="AG152" i="20" a="1"/>
  <c r="AG152" i="20" s="1"/>
  <c r="AG148" i="20" a="1"/>
  <c r="AG148" i="20" s="1"/>
  <c r="N276" i="5"/>
  <c r="N278" i="5" s="1"/>
  <c r="AG146" i="20" a="1"/>
  <c r="AG146" i="20" s="1"/>
  <c r="AG151" i="20" a="1"/>
  <c r="AG151" i="20" s="1"/>
  <c r="I177" i="24"/>
  <c r="I180" i="24" s="1"/>
  <c r="I182" i="24" s="1"/>
  <c r="I184" i="24" s="1"/>
  <c r="AK542" i="24"/>
  <c r="AM543" i="24"/>
  <c r="AA153" i="20" l="1" a="1"/>
  <c r="AA153" i="20" s="1"/>
  <c r="AE150" i="20" a="1"/>
  <c r="AE150" i="20" s="1"/>
  <c r="Z149" i="20" a="1"/>
  <c r="Z149" i="20" s="1"/>
  <c r="Z150" i="20" a="1"/>
  <c r="Z150" i="20" s="1"/>
  <c r="AA152" i="20" a="1"/>
  <c r="AA152" i="20" s="1"/>
  <c r="Z146" i="20" a="1"/>
  <c r="Z146" i="20" s="1"/>
  <c r="Z152" i="20" a="1"/>
  <c r="Z152" i="20" s="1"/>
  <c r="Z153" i="20" a="1"/>
  <c r="Z153" i="20" s="1"/>
  <c r="Z151" i="20" a="1"/>
  <c r="Z151" i="20" s="1"/>
  <c r="AE151" i="20" a="1"/>
  <c r="AE151" i="20" s="1"/>
  <c r="AI148" i="20" a="1"/>
  <c r="AI148" i="20" s="1"/>
  <c r="AE146" i="20" a="1"/>
  <c r="AE146" i="20" s="1"/>
  <c r="G276" i="5"/>
  <c r="G278" i="5" s="1"/>
  <c r="Z148" i="20" a="1"/>
  <c r="Z148" i="20" s="1"/>
  <c r="AA151" i="20" a="1"/>
  <c r="AA151" i="20" s="1"/>
  <c r="AI151" i="20" a="1"/>
  <c r="AI151" i="20" s="1"/>
  <c r="AH150" i="20" a="1"/>
  <c r="AH150" i="20" s="1"/>
  <c r="AH153" i="20" a="1"/>
  <c r="AH153" i="20" s="1"/>
  <c r="AE148" i="20" a="1"/>
  <c r="AE148" i="20" s="1"/>
  <c r="L276" i="5"/>
  <c r="L278" i="5" s="1"/>
  <c r="O276" i="5"/>
  <c r="O278" i="5" s="1"/>
  <c r="AH146" i="20" a="1"/>
  <c r="AH146" i="20" s="1"/>
  <c r="AB148" i="20" a="1"/>
  <c r="AB148" i="20" s="1"/>
  <c r="O247" i="5"/>
  <c r="AD150" i="20" a="1"/>
  <c r="AD150" i="20" s="1"/>
  <c r="M276" i="5"/>
  <c r="M278" i="5" s="1"/>
  <c r="I247" i="5"/>
  <c r="AF153" i="20" a="1"/>
  <c r="AF153" i="20" s="1"/>
  <c r="AF148" i="20" a="1"/>
  <c r="AF148" i="20" s="1"/>
  <c r="Y150" i="20" a="1"/>
  <c r="Y150" i="20" s="1"/>
  <c r="F276" i="5"/>
  <c r="F278" i="5" s="1"/>
  <c r="F247" i="5"/>
  <c r="Y148" i="20" a="1"/>
  <c r="Y148" i="20" s="1"/>
  <c r="AA149" i="20" a="1"/>
  <c r="AA149" i="20" s="1"/>
  <c r="AI146" i="20" a="1"/>
  <c r="AI146" i="20" s="1"/>
  <c r="AB152" i="20" a="1"/>
  <c r="AB152" i="20" s="1"/>
  <c r="AI153" i="20" a="1"/>
  <c r="AI153" i="20" s="1"/>
  <c r="H247" i="5"/>
  <c r="Y152" i="20" a="1"/>
  <c r="Y152" i="20" s="1"/>
  <c r="Y146" i="20" a="1"/>
  <c r="Y146" i="20" s="1"/>
  <c r="J276" i="5"/>
  <c r="J278" i="5" s="1"/>
  <c r="AA146" i="20" a="1"/>
  <c r="AA146" i="20" s="1"/>
  <c r="AC150" i="20" a="1"/>
  <c r="AC150" i="20" s="1"/>
  <c r="Y151" i="20" a="1"/>
  <c r="Y151" i="20" s="1"/>
  <c r="Y153" i="20" a="1"/>
  <c r="Y153" i="20" s="1"/>
  <c r="AA148" i="20" a="1"/>
  <c r="AA148" i="20" s="1"/>
  <c r="AA150" i="20" a="1"/>
  <c r="AA150" i="20" s="1"/>
  <c r="AD148" i="20" a="1"/>
  <c r="AD148" i="20" s="1"/>
  <c r="AF151" i="20" a="1"/>
  <c r="AF151" i="20" s="1"/>
  <c r="AB153" i="20" a="1"/>
  <c r="AB153" i="20" s="1"/>
  <c r="AB150" i="20" a="1"/>
  <c r="AB150" i="20" s="1"/>
  <c r="I276" i="5"/>
  <c r="I278" i="5" s="1"/>
  <c r="AH151" i="20" a="1"/>
  <c r="AH151" i="20" s="1"/>
  <c r="AH148" i="20" a="1"/>
  <c r="AH148" i="20" s="1"/>
  <c r="AE152" i="20" a="1"/>
  <c r="AE152" i="20" s="1"/>
  <c r="AB149" i="20" a="1"/>
  <c r="AB149" i="20" s="1"/>
  <c r="AC148" i="20" a="1"/>
  <c r="AC148" i="20" s="1"/>
  <c r="AF152" i="20" a="1"/>
  <c r="AF152" i="20" s="1"/>
  <c r="AF149" i="20" a="1"/>
  <c r="AF149" i="20" s="1"/>
  <c r="AC152" i="20" a="1"/>
  <c r="AC152" i="20" s="1"/>
  <c r="AH152" i="20" a="1"/>
  <c r="AH152" i="20" s="1"/>
  <c r="AE153" i="20" a="1"/>
  <c r="AE153" i="20" s="1"/>
  <c r="L247" i="5"/>
  <c r="AH149" i="20" a="1"/>
  <c r="AH149" i="20" s="1"/>
  <c r="AI152" i="20" a="1"/>
  <c r="AI152" i="20" s="1"/>
  <c r="M247" i="5"/>
  <c r="AF146" i="20" a="1"/>
  <c r="AF146" i="20" s="1"/>
  <c r="J247" i="5"/>
  <c r="AI149" i="20" a="1"/>
  <c r="AI149" i="20" s="1"/>
  <c r="P247" i="5"/>
  <c r="AC146" i="20" a="1"/>
  <c r="AC146" i="20" s="1"/>
  <c r="AB146" i="20" a="1"/>
  <c r="AB146" i="20" s="1"/>
  <c r="AD151" i="20" a="1"/>
  <c r="AD151" i="20" s="1"/>
  <c r="P276" i="5"/>
  <c r="P278" i="5" s="1"/>
  <c r="AD153" i="20" a="1"/>
  <c r="AD153" i="20" s="1"/>
  <c r="E33" i="5"/>
  <c r="AB151" i="20" a="1"/>
  <c r="AB151" i="20" s="1"/>
  <c r="AC151" i="20" a="1"/>
  <c r="AC151" i="20" s="1"/>
  <c r="AD146" i="20" a="1"/>
  <c r="AD146" i="20" s="1"/>
  <c r="AC149" i="20" a="1"/>
  <c r="AC149" i="20" s="1"/>
  <c r="AD149" i="20" a="1"/>
  <c r="AD149" i="20" s="1"/>
  <c r="K276" i="5"/>
  <c r="K278" i="5" s="1"/>
  <c r="AD152" i="20" a="1"/>
  <c r="AD152" i="20" s="1"/>
  <c r="AG155" i="20"/>
  <c r="AG159" i="20" s="1"/>
  <c r="I185" i="24"/>
  <c r="E31" i="5"/>
  <c r="AK543" i="24"/>
  <c r="P43" i="19"/>
  <c r="P44" i="19" s="1"/>
  <c r="J31" i="62" l="1" a="1"/>
  <c r="J31" i="62" s="1"/>
  <c r="K31" i="62" s="1"/>
  <c r="J20" i="62" a="1"/>
  <c r="J20" i="62" s="1"/>
  <c r="J32" i="62" a="1"/>
  <c r="J32" i="62" s="1"/>
  <c r="K32" i="62" s="1"/>
  <c r="Z155" i="20"/>
  <c r="Z159" i="20" s="1"/>
  <c r="G285" i="21" a="1"/>
  <c r="G285" i="21" s="1"/>
  <c r="J285" i="21" s="1"/>
  <c r="AA155" i="20"/>
  <c r="AA159" i="20" s="1"/>
  <c r="Q247" i="5"/>
  <c r="AJ148" i="20" a="1"/>
  <c r="AJ148" i="20" s="1"/>
  <c r="AK148" i="20" s="1"/>
  <c r="G26" i="20" s="1"/>
  <c r="I26" i="20" s="1"/>
  <c r="Q276" i="5"/>
  <c r="Q278" i="5" s="1"/>
  <c r="Y155" i="20"/>
  <c r="Y159" i="20" s="1"/>
  <c r="AJ146" i="20" a="1"/>
  <c r="AJ146" i="20" s="1"/>
  <c r="AK146" i="20" s="1"/>
  <c r="AJ152" i="20" a="1"/>
  <c r="AJ152" i="20" s="1"/>
  <c r="AK152" i="20" s="1"/>
  <c r="G30" i="20" s="1"/>
  <c r="I30" i="20" s="1"/>
  <c r="AH155" i="20"/>
  <c r="AH159" i="20" s="1"/>
  <c r="AI155" i="20"/>
  <c r="AI159" i="20" s="1"/>
  <c r="AE155" i="20"/>
  <c r="AE159" i="20" s="1"/>
  <c r="AD155" i="20"/>
  <c r="AD159" i="20" s="1"/>
  <c r="AB155" i="20"/>
  <c r="AB159" i="20" s="1"/>
  <c r="AC155" i="20"/>
  <c r="AC159" i="20" s="1"/>
  <c r="AF155" i="20"/>
  <c r="AF159" i="20" s="1"/>
  <c r="AJ153" i="20" a="1"/>
  <c r="AJ153" i="20" s="1"/>
  <c r="AK153" i="20" s="1"/>
  <c r="G31" i="20" s="1"/>
  <c r="I31" i="20" s="1"/>
  <c r="G359" i="21"/>
  <c r="J359" i="21" s="1"/>
  <c r="AJ151" i="20" a="1"/>
  <c r="AJ151" i="20" s="1"/>
  <c r="AK151" i="20" s="1"/>
  <c r="G29" i="20" s="1"/>
  <c r="I29" i="20" s="1"/>
  <c r="AJ149" i="20" a="1"/>
  <c r="AJ149" i="20" s="1"/>
  <c r="AK149" i="20" s="1"/>
  <c r="G27" i="20" s="1"/>
  <c r="I27" i="20" s="1"/>
  <c r="AJ150" i="20" a="1"/>
  <c r="AJ150" i="20" s="1"/>
  <c r="AK150" i="20" s="1"/>
  <c r="G28" i="20" s="1"/>
  <c r="I28" i="20" s="1"/>
  <c r="G119" i="21" a="1"/>
  <c r="G119" i="21" s="1"/>
  <c r="J119" i="21" s="1"/>
  <c r="G290" i="21" a="1"/>
  <c r="G290" i="21" s="1"/>
  <c r="J290" i="21" s="1"/>
  <c r="E39" i="19" s="1"/>
  <c r="P53" i="34" s="1"/>
  <c r="G103" i="21" a="1"/>
  <c r="G103" i="21" s="1"/>
  <c r="J103" i="21" s="1"/>
  <c r="J83" i="21"/>
  <c r="E247" i="5"/>
  <c r="G108" i="21" a="1"/>
  <c r="G108" i="21" s="1"/>
  <c r="J108" i="21" s="1"/>
  <c r="G220" i="21" a="1"/>
  <c r="G220" i="21" s="1"/>
  <c r="J220" i="21" s="1"/>
  <c r="G82" i="21" a="1"/>
  <c r="G82" i="21" s="1"/>
  <c r="J82" i="21" s="1"/>
  <c r="G179" i="21" a="1"/>
  <c r="G179" i="21" s="1"/>
  <c r="J179" i="21" s="1"/>
  <c r="G353" i="21"/>
  <c r="G149" i="21" a="1"/>
  <c r="G149" i="21" s="1"/>
  <c r="J149" i="21" s="1"/>
  <c r="G263" i="21" a="1"/>
  <c r="G263" i="21" s="1"/>
  <c r="J263" i="21" s="1"/>
  <c r="G240" i="21" a="1"/>
  <c r="G240" i="21" s="1"/>
  <c r="J240" i="21" s="1"/>
  <c r="G194" i="21" a="1"/>
  <c r="G194" i="21" s="1"/>
  <c r="J194" i="21" s="1"/>
  <c r="G121" i="21" a="1"/>
  <c r="G121" i="21" s="1"/>
  <c r="J121" i="21" s="1"/>
  <c r="G158" i="21" a="1"/>
  <c r="G158" i="21" s="1"/>
  <c r="J158" i="21" s="1"/>
  <c r="G195" i="21" a="1"/>
  <c r="G195" i="21" s="1"/>
  <c r="J195" i="21" s="1"/>
  <c r="G190" i="21" a="1"/>
  <c r="G190" i="21" s="1"/>
  <c r="J190" i="21" s="1"/>
  <c r="G270" i="21" a="1"/>
  <c r="G270" i="21" s="1"/>
  <c r="J270" i="21" s="1"/>
  <c r="G145" i="21" a="1"/>
  <c r="G145" i="21" s="1"/>
  <c r="J145" i="21" s="1"/>
  <c r="I18" i="53" a="1"/>
  <c r="I18" i="53" s="1"/>
  <c r="K18" i="53" s="1"/>
  <c r="G147" i="21" a="1"/>
  <c r="G147" i="21" s="1"/>
  <c r="J147" i="21" s="1"/>
  <c r="G196" i="21" a="1"/>
  <c r="G196" i="21" s="1"/>
  <c r="J196" i="21" s="1"/>
  <c r="I19" i="53" a="1"/>
  <c r="I19" i="53" s="1"/>
  <c r="K19" i="53" s="1"/>
  <c r="G180" i="21" a="1"/>
  <c r="G180" i="21" s="1"/>
  <c r="J180" i="21" s="1"/>
  <c r="G221" i="21" a="1"/>
  <c r="G221" i="21" s="1"/>
  <c r="J221" i="21" s="1"/>
  <c r="I25" i="53" a="1"/>
  <c r="I25" i="53" s="1"/>
  <c r="K25" i="53" s="1"/>
  <c r="G241" i="21" a="1"/>
  <c r="G241" i="21" s="1"/>
  <c r="J241" i="21" s="1"/>
  <c r="G150" i="21" a="1"/>
  <c r="G150" i="21" s="1"/>
  <c r="J150" i="21" s="1"/>
  <c r="G79" i="21" a="1"/>
  <c r="G79" i="21" s="1"/>
  <c r="J79" i="21" s="1"/>
  <c r="G219" i="21" a="1"/>
  <c r="G219" i="21" s="1"/>
  <c r="J219" i="21" s="1"/>
  <c r="G223" i="21" a="1"/>
  <c r="G223" i="21" s="1"/>
  <c r="J223" i="21" s="1"/>
  <c r="G151" i="21" a="1"/>
  <c r="G151" i="21" s="1"/>
  <c r="J151" i="21" s="1"/>
  <c r="G239" i="21" a="1"/>
  <c r="G239" i="21" s="1"/>
  <c r="J239" i="21" s="1"/>
  <c r="G120" i="21" a="1"/>
  <c r="G120" i="21" s="1"/>
  <c r="J120" i="21" s="1"/>
  <c r="G88" i="21" a="1"/>
  <c r="G88" i="21" s="1"/>
  <c r="J88" i="21" s="1"/>
  <c r="G191" i="21" a="1"/>
  <c r="G191" i="21" s="1"/>
  <c r="J191" i="21" s="1"/>
  <c r="G160" i="21" a="1"/>
  <c r="G160" i="21" s="1"/>
  <c r="J160" i="21" s="1"/>
  <c r="G161" i="21" a="1"/>
  <c r="G161" i="21" s="1"/>
  <c r="J161" i="21" s="1"/>
  <c r="I24" i="53" a="1"/>
  <c r="I24" i="53" s="1"/>
  <c r="G193" i="21" a="1"/>
  <c r="G193" i="21" s="1"/>
  <c r="J193" i="21" s="1"/>
  <c r="G146" i="21" a="1"/>
  <c r="G146" i="21" s="1"/>
  <c r="J146" i="21" s="1"/>
  <c r="G264" i="21" a="1"/>
  <c r="G264" i="21" s="1"/>
  <c r="J264" i="21" s="1"/>
  <c r="G183" i="21" a="1"/>
  <c r="G183" i="21" s="1"/>
  <c r="J183" i="21" s="1"/>
  <c r="I26" i="53" a="1"/>
  <c r="I26" i="53" s="1"/>
  <c r="K26" i="53" s="1"/>
  <c r="G92" i="21" a="1"/>
  <c r="G92" i="21" s="1"/>
  <c r="J92" i="21" s="1"/>
  <c r="G99" i="21" a="1"/>
  <c r="G99" i="21" s="1"/>
  <c r="G91" i="21" a="1"/>
  <c r="G91" i="21" s="1"/>
  <c r="J91" i="21" s="1"/>
  <c r="G159" i="21" a="1"/>
  <c r="G159" i="21" s="1"/>
  <c r="J159" i="21" s="1"/>
  <c r="G218" i="21" a="1"/>
  <c r="G218" i="21" s="1"/>
  <c r="J218" i="21" s="1"/>
  <c r="G21" i="21" a="1"/>
  <c r="G21" i="21" s="1"/>
  <c r="J21" i="21" s="1"/>
  <c r="G24" i="21" a="1"/>
  <c r="G24" i="21" s="1"/>
  <c r="J24" i="21" s="1"/>
  <c r="I22" i="63" s="1"/>
  <c r="I52" i="63" s="1"/>
  <c r="G110" i="21" a="1"/>
  <c r="G110" i="21" s="1"/>
  <c r="J110" i="21" s="1"/>
  <c r="G178" i="21" a="1"/>
  <c r="G178" i="21" s="1"/>
  <c r="J178" i="21" s="1"/>
  <c r="G25" i="21" a="1"/>
  <c r="G25" i="21" s="1"/>
  <c r="J25" i="21" s="1"/>
  <c r="I23" i="63" s="1"/>
  <c r="G156" i="21" a="1"/>
  <c r="G156" i="21" s="1"/>
  <c r="J156" i="21" s="1"/>
  <c r="G269" i="21" a="1"/>
  <c r="G269" i="21" s="1"/>
  <c r="J269" i="21" s="1"/>
  <c r="G176" i="21" a="1"/>
  <c r="G176" i="21" s="1"/>
  <c r="J176" i="21" s="1"/>
  <c r="G174" i="21" a="1"/>
  <c r="G174" i="21" s="1"/>
  <c r="J174" i="21" s="1"/>
  <c r="G222" i="21" a="1"/>
  <c r="G222" i="21" s="1"/>
  <c r="J222" i="21" s="1"/>
  <c r="G181" i="21" a="1"/>
  <c r="G181" i="21" s="1"/>
  <c r="J181" i="21" s="1"/>
  <c r="I20" i="53" a="1"/>
  <c r="I20" i="53" s="1"/>
  <c r="K20" i="53" s="1"/>
  <c r="G182" i="21" a="1"/>
  <c r="G182" i="21" s="1"/>
  <c r="J182" i="21" s="1"/>
  <c r="G32" i="21" a="1"/>
  <c r="G32" i="21" s="1"/>
  <c r="G51" i="21" s="1"/>
  <c r="G102" i="21" a="1"/>
  <c r="G102" i="21" s="1"/>
  <c r="J102" i="21" s="1"/>
  <c r="G77" i="21" a="1"/>
  <c r="G77" i="21" s="1"/>
  <c r="J77" i="21" s="1"/>
  <c r="G189" i="21" a="1"/>
  <c r="G189" i="21" s="1"/>
  <c r="J189" i="21" s="1"/>
  <c r="G265" i="21" a="1"/>
  <c r="G265" i="21" s="1"/>
  <c r="J265" i="21" s="1"/>
  <c r="G230" i="21" a="1"/>
  <c r="G230" i="21" s="1"/>
  <c r="J230" i="21" s="1"/>
  <c r="G188" i="21" a="1"/>
  <c r="G188" i="21" s="1"/>
  <c r="J188" i="21" s="1"/>
  <c r="G267" i="21" a="1"/>
  <c r="G267" i="21" s="1"/>
  <c r="J267" i="21" s="1"/>
  <c r="G84" i="21" a="1"/>
  <c r="G84" i="21" s="1"/>
  <c r="J84" i="21" s="1"/>
  <c r="G101" i="21" a="1"/>
  <c r="G101" i="21" s="1"/>
  <c r="J101" i="21" s="1"/>
  <c r="G231" i="21" a="1"/>
  <c r="G231" i="21" s="1"/>
  <c r="J231" i="21" s="1"/>
  <c r="G157" i="21" a="1"/>
  <c r="G157" i="21" s="1"/>
  <c r="J157" i="21" s="1"/>
  <c r="G90" i="21" a="1"/>
  <c r="G90" i="21" s="1"/>
  <c r="J90" i="21" s="1"/>
  <c r="G262" i="21" a="1"/>
  <c r="G262" i="21" s="1"/>
  <c r="J262" i="21" s="1"/>
  <c r="G168" i="21" a="1"/>
  <c r="G168" i="21" s="1"/>
  <c r="G169" i="21" s="1"/>
  <c r="G268" i="21" a="1"/>
  <c r="G268" i="21" s="1"/>
  <c r="J268" i="21" s="1"/>
  <c r="G192" i="21" a="1"/>
  <c r="G192" i="21" s="1"/>
  <c r="J192" i="21" s="1"/>
  <c r="G281" i="21" a="1"/>
  <c r="G281" i="21" s="1"/>
  <c r="J281" i="21" s="1"/>
  <c r="G89" i="21" a="1"/>
  <c r="G89" i="21" s="1"/>
  <c r="J89" i="21" s="1"/>
  <c r="G266" i="21" a="1"/>
  <c r="G266" i="21" s="1"/>
  <c r="J266" i="21" s="1"/>
  <c r="G175" i="21" a="1"/>
  <c r="G175" i="21" s="1"/>
  <c r="J175" i="21" s="1"/>
  <c r="G224" i="21" a="1"/>
  <c r="G224" i="21" s="1"/>
  <c r="J224" i="21" s="1"/>
  <c r="F22" i="58" a="1"/>
  <c r="F22" i="58" s="1"/>
  <c r="G177" i="21" a="1"/>
  <c r="G177" i="21" s="1"/>
  <c r="J177" i="21" s="1"/>
  <c r="G232" i="21" a="1"/>
  <c r="G232" i="21" s="1"/>
  <c r="J232" i="21" s="1"/>
  <c r="G29" i="21" a="1"/>
  <c r="G29" i="21" s="1"/>
  <c r="J29" i="21" s="1"/>
  <c r="G148" i="21" a="1"/>
  <c r="G148" i="21" s="1"/>
  <c r="J148" i="21" s="1"/>
  <c r="J363" i="21" l="1"/>
  <c r="I127" i="46"/>
  <c r="E276" i="5"/>
  <c r="E278" i="5" s="1"/>
  <c r="AJ155" i="20"/>
  <c r="AJ159" i="20" s="1"/>
  <c r="AK159" i="20" s="1"/>
  <c r="G363" i="21"/>
  <c r="G104" i="21"/>
  <c r="J99" i="21"/>
  <c r="J104" i="21" s="1"/>
  <c r="G78" i="21" a="1"/>
  <c r="G78" i="21" s="1"/>
  <c r="J78" i="21" s="1"/>
  <c r="J85" i="21" s="1"/>
  <c r="J111" i="21"/>
  <c r="W186" i="46"/>
  <c r="G356" i="21"/>
  <c r="G25" i="20"/>
  <c r="AK155" i="20"/>
  <c r="J353" i="21"/>
  <c r="J356" i="21" s="1"/>
  <c r="I27" i="53"/>
  <c r="K24" i="53"/>
  <c r="K27" i="53" s="1"/>
  <c r="J32" i="21"/>
  <c r="J51" i="21" s="1"/>
  <c r="J282" i="21"/>
  <c r="J286" i="21" s="1"/>
  <c r="E35" i="19" s="1"/>
  <c r="H22" i="58"/>
  <c r="H24" i="58" s="1"/>
  <c r="J162" i="21"/>
  <c r="J168" i="21"/>
  <c r="J169" i="21" s="1"/>
  <c r="E30" i="19" s="1"/>
  <c r="J23" i="62" s="1"/>
  <c r="G242" i="21"/>
  <c r="G234" i="21"/>
  <c r="G162" i="21"/>
  <c r="G184" i="21"/>
  <c r="G111" i="21"/>
  <c r="I21" i="53"/>
  <c r="G123" i="21"/>
  <c r="J197" i="21"/>
  <c r="J152" i="21"/>
  <c r="J225" i="21"/>
  <c r="E32" i="19" s="1"/>
  <c r="J184" i="21"/>
  <c r="F24" i="58"/>
  <c r="K20" i="62"/>
  <c r="G282" i="21"/>
  <c r="G286" i="21" s="1"/>
  <c r="G27" i="21"/>
  <c r="G53" i="21" s="1"/>
  <c r="G197" i="21"/>
  <c r="G93" i="21"/>
  <c r="G152" i="21"/>
  <c r="G225" i="21"/>
  <c r="J93" i="21"/>
  <c r="J234" i="21"/>
  <c r="E33" i="19" s="1"/>
  <c r="J26" i="62" s="1"/>
  <c r="K21" i="53"/>
  <c r="J27" i="21"/>
  <c r="I19" i="63"/>
  <c r="I49" i="63" s="1"/>
  <c r="J123" i="21"/>
  <c r="P53" i="30" l="1"/>
  <c r="J25" i="62"/>
  <c r="K25" i="62" s="1"/>
  <c r="P53" i="33"/>
  <c r="J28" i="62"/>
  <c r="E280" i="5"/>
  <c r="G374" i="21"/>
  <c r="E25" i="19"/>
  <c r="D199" i="110" s="1"/>
  <c r="J53" i="21"/>
  <c r="J112" i="21"/>
  <c r="G82" i="46"/>
  <c r="G108" i="46" s="1"/>
  <c r="G116" i="46" s="1"/>
  <c r="G32" i="20"/>
  <c r="G34" i="20" s="1"/>
  <c r="I25" i="20"/>
  <c r="I32" i="20" s="1"/>
  <c r="J374" i="21"/>
  <c r="J163" i="21"/>
  <c r="E29" i="19" s="1"/>
  <c r="J22" i="62" s="1"/>
  <c r="G163" i="21"/>
  <c r="P53" i="151"/>
  <c r="L22" i="58"/>
  <c r="L24" i="58" s="1"/>
  <c r="J242" i="21"/>
  <c r="E34" i="19" s="1"/>
  <c r="J27" i="62" s="1"/>
  <c r="G112" i="21"/>
  <c r="J198" i="21"/>
  <c r="E31" i="19" s="1"/>
  <c r="G198" i="21"/>
  <c r="G85" i="21"/>
  <c r="G94" i="21" s="1"/>
  <c r="J94" i="21"/>
  <c r="I24" i="63"/>
  <c r="P53" i="31"/>
  <c r="D200" i="110" l="1"/>
  <c r="D202" i="110" s="1"/>
  <c r="D203" i="110" s="1"/>
  <c r="P53" i="29"/>
  <c r="J24" i="62"/>
  <c r="K24" i="62" s="1"/>
  <c r="G125" i="21"/>
  <c r="G287" i="21" s="1"/>
  <c r="G375" i="21" s="1"/>
  <c r="P51" i="26"/>
  <c r="J125" i="21"/>
  <c r="E47" i="19"/>
  <c r="I13" i="20"/>
  <c r="I34" i="20" s="1"/>
  <c r="E19" i="19"/>
  <c r="P55" i="25"/>
  <c r="P53" i="107"/>
  <c r="K23" i="62"/>
  <c r="P53" i="32"/>
  <c r="K28" i="62"/>
  <c r="K27" i="62"/>
  <c r="K26" i="62"/>
  <c r="K22" i="62"/>
  <c r="E49" i="19" l="1"/>
  <c r="J35" i="62"/>
  <c r="J287" i="21"/>
  <c r="E26" i="19"/>
  <c r="P53" i="27" s="1"/>
  <c r="G376" i="21"/>
  <c r="E61" i="19" s="1"/>
  <c r="E13" i="20"/>
  <c r="E34" i="20" s="1"/>
  <c r="E17" i="19" s="1"/>
  <c r="E20" i="19" s="1"/>
  <c r="J16" i="62" l="1"/>
  <c r="J375" i="21"/>
  <c r="J376" i="21" s="1"/>
  <c r="W159" i="46"/>
  <c r="W161" i="46" s="1"/>
  <c r="W171" i="46" s="1"/>
  <c r="W190" i="46" s="1"/>
  <c r="W192" i="46" s="1"/>
  <c r="G125" i="46" s="1"/>
  <c r="G129" i="46" s="1"/>
  <c r="E52" i="19" s="1"/>
  <c r="G21" i="46"/>
  <c r="D191" i="110"/>
  <c r="D192" i="110" s="1"/>
  <c r="D194" i="110" s="1"/>
  <c r="D195" i="110" s="1"/>
  <c r="E27" i="19"/>
  <c r="K35" i="62"/>
  <c r="P51" i="25"/>
  <c r="E55" i="19" l="1"/>
  <c r="J34" i="62"/>
  <c r="E37" i="19"/>
  <c r="J21" i="62"/>
  <c r="J30" i="62" s="1"/>
  <c r="G61" i="46"/>
  <c r="G66" i="46" s="1"/>
  <c r="G72" i="46" s="1"/>
  <c r="W187" i="46"/>
  <c r="W176" i="46"/>
  <c r="P57" i="25"/>
  <c r="W195" i="46"/>
  <c r="G140" i="46"/>
  <c r="K16" i="62"/>
  <c r="E57" i="19" l="1"/>
  <c r="E60" i="19" s="1"/>
  <c r="J40" i="62"/>
  <c r="M42" i="12"/>
  <c r="G120" i="46"/>
  <c r="G123" i="46" s="1"/>
  <c r="K21" i="62"/>
  <c r="K30" i="62"/>
  <c r="Y89" i="12"/>
  <c r="G26" i="170"/>
  <c r="W196" i="46"/>
  <c r="E59" i="19" l="1"/>
  <c r="G42" i="170"/>
  <c r="G28" i="170"/>
  <c r="G17" i="185" l="1"/>
  <c r="K40" i="62"/>
  <c r="K34" i="62"/>
  <c r="E63" i="19"/>
  <c r="E68" i="19" s="1"/>
  <c r="G19" i="185"/>
  <c r="G21" i="185" s="1"/>
  <c r="G25" i="185" l="1"/>
  <c r="E62" i="19"/>
  <c r="H46" i="62" l="1"/>
  <c r="J51" i="62"/>
  <c r="E69" i="19"/>
  <c r="E72" i="19" s="1"/>
  <c r="E73" i="19" s="1"/>
  <c r="J41" i="62"/>
  <c r="J73" i="62" s="1"/>
  <c r="K41" i="62" l="1"/>
  <c r="G27" i="185"/>
  <c r="G31" i="185" s="1"/>
  <c r="K51" i="62"/>
  <c r="H51" i="62"/>
  <c r="J62" i="62"/>
  <c r="K62" i="62" l="1"/>
  <c r="H62" i="62"/>
  <c r="D150" i="110" l="1"/>
  <c r="D152" i="110" s="1"/>
  <c r="J76" i="62"/>
  <c r="K73" i="62"/>
  <c r="J74" i="22" l="1"/>
  <c r="AE214" i="24"/>
  <c r="AE224" i="24" s="1"/>
  <c r="AE234" i="24" l="1"/>
  <c r="AE236" i="24" s="1"/>
  <c r="AE239" i="24" l="1"/>
  <c r="AE242" i="24" s="1"/>
  <c r="AE244" i="24" s="1"/>
  <c r="AE246" i="24" s="1"/>
  <c r="AE247" i="24" l="1"/>
  <c r="U205" i="24" l="1"/>
  <c r="AO517" i="24" s="1"/>
  <c r="AK517" i="24" s="1"/>
  <c r="Y393" i="24" l="1"/>
  <c r="Y420" i="24" s="1"/>
  <c r="Y422" i="24" s="1"/>
  <c r="F29" i="163"/>
  <c r="F31" i="163" s="1"/>
  <c r="J18" i="19"/>
  <c r="N18" i="19" s="1"/>
  <c r="P18" i="19" l="1"/>
  <c r="P47" i="162"/>
  <c r="Y425" i="24"/>
  <c r="Y428" i="24" s="1"/>
  <c r="Y430" i="24" s="1"/>
  <c r="Y432" i="24" s="1"/>
  <c r="Y433" i="24" l="1"/>
  <c r="AC482" i="24" l="1"/>
  <c r="AC487" i="24" s="1"/>
  <c r="AC490" i="24" s="1"/>
  <c r="AC484" i="24" l="1"/>
  <c r="AC492" i="24" l="1"/>
  <c r="AC494" i="24" s="1"/>
  <c r="AC495" i="24" s="1"/>
  <c r="E37" i="6" l="1"/>
  <c r="E32" i="6"/>
  <c r="E38" i="6"/>
  <c r="G353" i="22" l="1"/>
  <c r="G361" i="22"/>
  <c r="J361" i="22" s="1"/>
  <c r="G360" i="22"/>
  <c r="H36" i="19" l="1"/>
  <c r="G364" i="22"/>
  <c r="J360" i="22"/>
  <c r="J364" i="22" s="1"/>
  <c r="R53" i="84" l="1"/>
  <c r="T53" i="84" s="1"/>
  <c r="J23" i="84" s="1"/>
  <c r="J29" i="84" s="1"/>
  <c r="G29" i="62"/>
  <c r="H29" i="62" s="1"/>
  <c r="F36" i="19"/>
  <c r="N36" i="19"/>
  <c r="E161" i="24" l="1"/>
  <c r="E37" i="24" s="1"/>
  <c r="AM535" i="24" s="1"/>
  <c r="AK535" i="24" s="1"/>
  <c r="P36" i="19" s="1"/>
  <c r="E162" i="24" l="1"/>
  <c r="E172" i="24" s="1"/>
  <c r="E174" i="24" s="1"/>
  <c r="E177" i="24" l="1"/>
  <c r="E180" i="24" s="1"/>
  <c r="E182" i="24" s="1"/>
  <c r="E184" i="24" s="1"/>
  <c r="E185" i="24" l="1"/>
  <c r="AE348" i="24" l="1"/>
  <c r="AE358" i="24" l="1"/>
  <c r="AE360" i="24" s="1"/>
  <c r="AE363" i="24" l="1"/>
  <c r="AE366" i="24" s="1"/>
  <c r="AE368" i="24" s="1"/>
  <c r="AE370" i="24" s="1"/>
  <c r="AE371" i="24" l="1"/>
  <c r="G357" i="22" l="1"/>
  <c r="J353" i="22"/>
  <c r="J357" i="22" s="1"/>
  <c r="E74" i="173" l="1"/>
  <c r="G67" i="173" l="1"/>
  <c r="H501" i="172" l="1"/>
  <c r="G74" i="173"/>
  <c r="I467" i="172"/>
  <c r="E314" i="179"/>
  <c r="H467" i="172"/>
  <c r="F71" i="171"/>
  <c r="H506" i="172" l="1"/>
  <c r="H509" i="172" s="1"/>
  <c r="I501" i="172"/>
  <c r="I506" i="172" s="1"/>
  <c r="N542" i="179" s="1"/>
  <c r="G71" i="171"/>
  <c r="N314" i="179"/>
  <c r="E497" i="179"/>
  <c r="C28" i="110"/>
  <c r="F38" i="181"/>
  <c r="F241" i="181" s="1"/>
  <c r="F300" i="181" s="1"/>
  <c r="L38" i="181"/>
  <c r="L241" i="181" s="1"/>
  <c r="L300" i="181" s="1"/>
  <c r="F81" i="171" l="1"/>
  <c r="I509" i="172"/>
  <c r="H512" i="172"/>
  <c r="E550" i="179"/>
  <c r="N497" i="179"/>
  <c r="N547" i="179" l="1"/>
  <c r="I512" i="172"/>
  <c r="N550" i="179" s="1"/>
  <c r="G81" i="171"/>
  <c r="G90" i="171" s="1"/>
  <c r="I18" i="170" s="1"/>
  <c r="F90" i="171"/>
  <c r="Q46" i="111" l="1"/>
  <c r="Y57" i="131" l="1"/>
  <c r="Y67" i="131" s="1"/>
  <c r="AI230" i="20" l="1" a="1"/>
  <c r="AI230" i="20" s="1"/>
  <c r="AH230" i="20" a="1"/>
  <c r="AH230" i="20" s="1"/>
  <c r="AF230" i="20" a="1"/>
  <c r="AF230" i="20" s="1"/>
  <c r="Z230" i="20" a="1"/>
  <c r="Z230" i="20" s="1"/>
  <c r="AJ230" i="20" a="1"/>
  <c r="AJ230" i="20" s="1"/>
  <c r="AA230" i="20" a="1"/>
  <c r="AA230" i="20" s="1"/>
  <c r="AC230" i="20" a="1"/>
  <c r="AC230" i="20" s="1"/>
  <c r="AB230" i="20" a="1"/>
  <c r="AB230" i="20" s="1"/>
  <c r="AE230" i="20" a="1"/>
  <c r="AE230" i="20" s="1"/>
  <c r="AD230" i="20" a="1"/>
  <c r="AD230" i="20" s="1"/>
  <c r="AG230" i="20" a="1"/>
  <c r="AG230" i="20" s="1"/>
  <c r="G272" i="6"/>
  <c r="G274" i="6" s="1"/>
  <c r="AG237" i="20" a="1"/>
  <c r="AG237" i="20" s="1"/>
  <c r="AG236" i="20" a="1"/>
  <c r="AG236" i="20" s="1"/>
  <c r="N272" i="6"/>
  <c r="N274" i="6" s="1"/>
  <c r="AG234" i="20" a="1"/>
  <c r="AG234" i="20" s="1"/>
  <c r="AG235" i="20" a="1"/>
  <c r="AG235" i="20" s="1"/>
  <c r="AG232" i="20" a="1"/>
  <c r="AG232" i="20" s="1"/>
  <c r="AB236" i="20" a="1"/>
  <c r="AB236" i="20" s="1"/>
  <c r="AB237" i="20" a="1"/>
  <c r="AB237" i="20" s="1"/>
  <c r="AB234" i="20" a="1"/>
  <c r="AB234" i="20" s="1"/>
  <c r="AB235" i="20" a="1"/>
  <c r="AB235" i="20" s="1"/>
  <c r="AB232" i="20" a="1"/>
  <c r="AB232" i="20" s="1"/>
  <c r="I272" i="6"/>
  <c r="I274" i="6" s="1"/>
  <c r="O272" i="6"/>
  <c r="O274" i="6" s="1"/>
  <c r="AH232" i="20" a="1"/>
  <c r="AH232" i="20" s="1"/>
  <c r="AH235" i="20" a="1"/>
  <c r="AH235" i="20" s="1"/>
  <c r="AH234" i="20" a="1"/>
  <c r="AH234" i="20" s="1"/>
  <c r="AH236" i="20" a="1"/>
  <c r="AH236" i="20" s="1"/>
  <c r="AH237" i="20" a="1"/>
  <c r="AH237" i="20" s="1"/>
  <c r="AE234" i="20" a="1"/>
  <c r="AE234" i="20" s="1"/>
  <c r="AE232" i="20" a="1"/>
  <c r="AE232" i="20" s="1"/>
  <c r="AE235" i="20" a="1"/>
  <c r="AE235" i="20" s="1"/>
  <c r="AE237" i="20" a="1"/>
  <c r="AE237" i="20" s="1"/>
  <c r="AE236" i="20" a="1"/>
  <c r="AE236" i="20" s="1"/>
  <c r="L272" i="6"/>
  <c r="L274" i="6" s="1"/>
  <c r="P272" i="6"/>
  <c r="P274" i="6" s="1"/>
  <c r="AI236" i="20" a="1"/>
  <c r="AI236" i="20" s="1"/>
  <c r="AI234" i="20" a="1"/>
  <c r="AI234" i="20" s="1"/>
  <c r="AI232" i="20" a="1"/>
  <c r="AI232" i="20" s="1"/>
  <c r="AI237" i="20" a="1"/>
  <c r="AI237" i="20" s="1"/>
  <c r="AI235" i="20" a="1"/>
  <c r="AI235" i="20" s="1"/>
  <c r="Z235" i="20" a="1"/>
  <c r="Z235" i="20" s="1"/>
  <c r="Z232" i="20" a="1"/>
  <c r="Z232" i="20" s="1"/>
  <c r="Z237" i="20" a="1"/>
  <c r="Z237" i="20" s="1"/>
  <c r="Z236" i="20" a="1"/>
  <c r="Z236" i="20" s="1"/>
  <c r="Z234" i="20" a="1"/>
  <c r="Z234" i="20" s="1"/>
  <c r="AF232" i="20" a="1"/>
  <c r="AF232" i="20" s="1"/>
  <c r="AF236" i="20" a="1"/>
  <c r="AF236" i="20" s="1"/>
  <c r="AF235" i="20" a="1"/>
  <c r="AF235" i="20" s="1"/>
  <c r="AF234" i="20" a="1"/>
  <c r="AF234" i="20" s="1"/>
  <c r="M272" i="6"/>
  <c r="M274" i="6" s="1"/>
  <c r="AF237" i="20" a="1"/>
  <c r="AF237" i="20" s="1"/>
  <c r="AJ237" i="20" a="1"/>
  <c r="AJ237" i="20" s="1"/>
  <c r="AJ236" i="20" a="1"/>
  <c r="AJ236" i="20" s="1"/>
  <c r="AJ232" i="20" a="1"/>
  <c r="AJ232" i="20" s="1"/>
  <c r="AJ234" i="20" a="1"/>
  <c r="AJ234" i="20" s="1"/>
  <c r="Q272" i="6"/>
  <c r="Q274" i="6" s="1"/>
  <c r="AJ235" i="20" a="1"/>
  <c r="AJ235" i="20" s="1"/>
  <c r="J272" i="6"/>
  <c r="J274" i="6" s="1"/>
  <c r="AC232" i="20" a="1"/>
  <c r="AC232" i="20" s="1"/>
  <c r="AC237" i="20" a="1"/>
  <c r="AC237" i="20" s="1"/>
  <c r="AC234" i="20" a="1"/>
  <c r="AC234" i="20" s="1"/>
  <c r="AC235" i="20" a="1"/>
  <c r="AC235" i="20" s="1"/>
  <c r="AC236" i="20" a="1"/>
  <c r="AC236" i="20" s="1"/>
  <c r="AD235" i="20" a="1"/>
  <c r="AD235" i="20" s="1"/>
  <c r="AD236" i="20" a="1"/>
  <c r="AD236" i="20" s="1"/>
  <c r="AD232" i="20" a="1"/>
  <c r="AD232" i="20" s="1"/>
  <c r="K272" i="6"/>
  <c r="K274" i="6" s="1"/>
  <c r="AD234" i="20" a="1"/>
  <c r="AD234" i="20" s="1"/>
  <c r="AD237" i="20" a="1"/>
  <c r="AD237" i="20" s="1"/>
  <c r="AA237" i="20" a="1"/>
  <c r="AA237" i="20" s="1"/>
  <c r="H272" i="6"/>
  <c r="H274" i="6" s="1"/>
  <c r="AA236" i="20" a="1"/>
  <c r="AA236" i="20" s="1"/>
  <c r="AA232" i="20" a="1"/>
  <c r="AA232" i="20" s="1"/>
  <c r="AA234" i="20" a="1"/>
  <c r="AA234" i="20" s="1"/>
  <c r="AA235" i="20" a="1"/>
  <c r="AA235" i="20" s="1"/>
  <c r="AE239" i="20" l="1"/>
  <c r="AE243" i="20" s="1"/>
  <c r="AD239" i="20"/>
  <c r="AD243" i="20" s="1"/>
  <c r="Z239" i="20"/>
  <c r="Z243" i="20" s="1"/>
  <c r="AB239" i="20"/>
  <c r="AB243" i="20" s="1"/>
  <c r="AF239" i="20"/>
  <c r="AF243" i="20" s="1"/>
  <c r="AC239" i="20"/>
  <c r="AC243" i="20" s="1"/>
  <c r="AH239" i="20"/>
  <c r="AH243" i="20" s="1"/>
  <c r="AA239" i="20"/>
  <c r="AA243" i="20" s="1"/>
  <c r="AI239" i="20"/>
  <c r="AI243" i="20" s="1"/>
  <c r="AJ239" i="20"/>
  <c r="AJ243" i="20" s="1"/>
  <c r="AG239" i="20"/>
  <c r="AG243" i="20" s="1"/>
  <c r="Y230" i="20" a="1"/>
  <c r="Y230" i="20" s="1"/>
  <c r="Y236" i="20" a="1"/>
  <c r="Y236" i="20" s="1"/>
  <c r="AK236" i="20" s="1"/>
  <c r="Y235" i="20" a="1"/>
  <c r="Y235" i="20" s="1"/>
  <c r="AK235" i="20" s="1"/>
  <c r="Q68" i="20" s="1"/>
  <c r="S68" i="20" s="1"/>
  <c r="Y232" i="20" a="1"/>
  <c r="Y232" i="20" s="1"/>
  <c r="AK232" i="20" s="1"/>
  <c r="Q65" i="20" s="1"/>
  <c r="S65" i="20" s="1"/>
  <c r="F272" i="6"/>
  <c r="F274" i="6" s="1"/>
  <c r="Y237" i="20" a="1"/>
  <c r="Y237" i="20" s="1"/>
  <c r="AK237" i="20" s="1"/>
  <c r="Q70" i="20" s="1"/>
  <c r="S70" i="20" s="1"/>
  <c r="Y234" i="20" a="1"/>
  <c r="Y234" i="20" s="1"/>
  <c r="AK234" i="20" s="1"/>
  <c r="Q67" i="20" s="1"/>
  <c r="S67" i="20" s="1"/>
  <c r="E30" i="6"/>
  <c r="G21" i="22" a="1"/>
  <c r="G21" i="22" s="1"/>
  <c r="G31" i="62" l="1" a="1"/>
  <c r="G31" i="62" s="1"/>
  <c r="G32" i="62" a="1"/>
  <c r="G32" i="62" s="1"/>
  <c r="G20" i="62" a="1"/>
  <c r="G20" i="62" s="1"/>
  <c r="Q69" i="20"/>
  <c r="S69" i="20" s="1"/>
  <c r="Y239" i="20"/>
  <c r="Y243" i="20" s="1"/>
  <c r="AK243" i="20" s="1"/>
  <c r="AK230" i="20"/>
  <c r="Q64" i="20" s="1"/>
  <c r="G284" i="22" a="1"/>
  <c r="G284" i="22" s="1"/>
  <c r="J284" i="22" s="1"/>
  <c r="P57" i="162" a="1"/>
  <c r="P57" i="162" s="1"/>
  <c r="G279" i="22" a="1"/>
  <c r="G279" i="22" s="1"/>
  <c r="J279" i="22" s="1"/>
  <c r="Q19" i="53" a="1"/>
  <c r="Q19" i="53" s="1"/>
  <c r="S19" i="53" s="1"/>
  <c r="G218" i="22" a="1"/>
  <c r="G218" i="22" s="1"/>
  <c r="J218" i="22" s="1"/>
  <c r="G152" i="22" a="1"/>
  <c r="G152" i="22" s="1"/>
  <c r="J152" i="22" s="1"/>
  <c r="G94" i="22" a="1"/>
  <c r="G94" i="22" s="1"/>
  <c r="J94" i="22" s="1"/>
  <c r="G85" i="22" a="1"/>
  <c r="G85" i="22" s="1"/>
  <c r="J85" i="22" s="1"/>
  <c r="J21" i="22"/>
  <c r="G177" i="22" a="1"/>
  <c r="G177" i="22" s="1"/>
  <c r="J177" i="22" s="1"/>
  <c r="G189" i="22" a="1"/>
  <c r="G189" i="22" s="1"/>
  <c r="J189" i="22" s="1"/>
  <c r="G173" i="22" a="1"/>
  <c r="G173" i="22" s="1"/>
  <c r="J173" i="22" s="1"/>
  <c r="G155" i="22" a="1"/>
  <c r="G155" i="22" s="1"/>
  <c r="J155" i="22" s="1"/>
  <c r="G77" i="22" a="1"/>
  <c r="G77" i="22" s="1"/>
  <c r="J77" i="22" s="1"/>
  <c r="G25" i="22" a="1"/>
  <c r="G25" i="22" s="1"/>
  <c r="J25" i="22" s="1"/>
  <c r="K23" i="63" s="1"/>
  <c r="G235" i="22" a="1"/>
  <c r="G235" i="22" s="1"/>
  <c r="J235" i="22" s="1"/>
  <c r="G183" i="22" a="1"/>
  <c r="G183" i="22" s="1"/>
  <c r="G145" i="22" a="1"/>
  <c r="G145" i="22" s="1"/>
  <c r="J145" i="22" s="1"/>
  <c r="G153" i="22" a="1"/>
  <c r="G153" i="22" s="1"/>
  <c r="J153" i="22" s="1"/>
  <c r="G217" i="22" a="1"/>
  <c r="G217" i="22" s="1"/>
  <c r="J217" i="22" s="1"/>
  <c r="G188" i="22" a="1"/>
  <c r="G188" i="22" s="1"/>
  <c r="J188" i="22" s="1"/>
  <c r="G143" i="22" a="1"/>
  <c r="G143" i="22" s="1"/>
  <c r="G24" i="22" a="1"/>
  <c r="G24" i="22" s="1"/>
  <c r="J24" i="22" s="1"/>
  <c r="K22" i="63" s="1"/>
  <c r="K52" i="63" s="1"/>
  <c r="G32" i="22" a="1"/>
  <c r="G32" i="22" s="1"/>
  <c r="G151" i="22" a="1"/>
  <c r="G151" i="22" s="1"/>
  <c r="G83" i="22" a="1"/>
  <c r="G83" i="22" s="1"/>
  <c r="J83" i="22" s="1"/>
  <c r="G260" i="22" a="1"/>
  <c r="G260" i="22" s="1"/>
  <c r="J260" i="22" s="1"/>
  <c r="G154" i="22" a="1"/>
  <c r="G154" i="22" s="1"/>
  <c r="J154" i="22" s="1"/>
  <c r="H32" i="62"/>
  <c r="G170" i="22" a="1"/>
  <c r="G170" i="22" s="1"/>
  <c r="J170" i="22" s="1"/>
  <c r="G73" i="22" a="1"/>
  <c r="G73" i="22" s="1"/>
  <c r="J73" i="22" s="1"/>
  <c r="G259" i="22" a="1"/>
  <c r="G259" i="22" s="1"/>
  <c r="J259" i="22" s="1"/>
  <c r="G263" i="22" a="1"/>
  <c r="G263" i="22" s="1"/>
  <c r="J263" i="22" s="1"/>
  <c r="E272" i="6"/>
  <c r="G185" i="22" a="1"/>
  <c r="G185" i="22" s="1"/>
  <c r="J185" i="22" s="1"/>
  <c r="G258" i="22" a="1"/>
  <c r="G258" i="22" s="1"/>
  <c r="J258" i="22" s="1"/>
  <c r="G187" i="22" a="1"/>
  <c r="G187" i="22" s="1"/>
  <c r="J187" i="22" s="1"/>
  <c r="G191" i="22" a="1"/>
  <c r="G191" i="22" s="1"/>
  <c r="J191" i="22" s="1"/>
  <c r="G156" i="22" a="1"/>
  <c r="G156" i="22" s="1"/>
  <c r="J156" i="22" s="1"/>
  <c r="G264" i="22" a="1"/>
  <c r="G264" i="22" s="1"/>
  <c r="J264" i="22" s="1"/>
  <c r="G142" i="22" a="1"/>
  <c r="G142" i="22" s="1"/>
  <c r="J142" i="22" s="1"/>
  <c r="G169" i="22" a="1"/>
  <c r="G169" i="22" s="1"/>
  <c r="G215" i="22" a="1"/>
  <c r="G215" i="22" s="1"/>
  <c r="J215" i="22" s="1"/>
  <c r="G214" i="22" a="1"/>
  <c r="G214" i="22" s="1"/>
  <c r="J214" i="22" s="1"/>
  <c r="G146" i="22" a="1"/>
  <c r="G146" i="22" s="1"/>
  <c r="J146" i="22" s="1"/>
  <c r="G176" i="22" a="1"/>
  <c r="G176" i="22" s="1"/>
  <c r="J176" i="22" s="1"/>
  <c r="G186" i="22" a="1"/>
  <c r="G186" i="22" s="1"/>
  <c r="J186" i="22" s="1"/>
  <c r="G227" i="22" a="1"/>
  <c r="G227" i="22" s="1"/>
  <c r="J227" i="22" s="1"/>
  <c r="G178" i="22" a="1"/>
  <c r="G178" i="22" s="1"/>
  <c r="J178" i="22" s="1"/>
  <c r="Q25" i="53" a="1"/>
  <c r="Q25" i="53" s="1"/>
  <c r="G261" i="22" a="1"/>
  <c r="G261" i="22" s="1"/>
  <c r="J261" i="22" s="1"/>
  <c r="G172" i="22" a="1"/>
  <c r="G172" i="22" s="1"/>
  <c r="J172" i="22" s="1"/>
  <c r="H31" i="62"/>
  <c r="G184" i="22" a="1"/>
  <c r="G184" i="22" s="1"/>
  <c r="J184" i="22" s="1"/>
  <c r="G236" i="22" a="1"/>
  <c r="G236" i="22" s="1"/>
  <c r="J236" i="22" s="1"/>
  <c r="G174" i="22" a="1"/>
  <c r="G174" i="22" s="1"/>
  <c r="J174" i="22" s="1"/>
  <c r="G171" i="22" a="1"/>
  <c r="G171" i="22" s="1"/>
  <c r="J171" i="22" s="1"/>
  <c r="G175" i="22" a="1"/>
  <c r="G175" i="22" s="1"/>
  <c r="J175" i="22" s="1"/>
  <c r="G92" i="22" a="1"/>
  <c r="G92" i="22" s="1"/>
  <c r="G141" i="22" a="1"/>
  <c r="G141" i="22" s="1"/>
  <c r="J141" i="22" s="1"/>
  <c r="G95" i="22" a="1"/>
  <c r="G95" i="22" s="1"/>
  <c r="J95" i="22" s="1"/>
  <c r="G226" i="22" a="1"/>
  <c r="G226" i="22" s="1"/>
  <c r="J226" i="22" s="1"/>
  <c r="G265" i="22" a="1"/>
  <c r="G265" i="22" s="1"/>
  <c r="J265" i="22" s="1"/>
  <c r="G190" i="22" a="1"/>
  <c r="G190" i="22" s="1"/>
  <c r="J190" i="22" s="1"/>
  <c r="Q24" i="53" a="1"/>
  <c r="Q24" i="53" s="1"/>
  <c r="G81" i="22" a="1"/>
  <c r="G81" i="22" s="1"/>
  <c r="G71" i="22" a="1"/>
  <c r="G71" i="22" s="1"/>
  <c r="G219" i="22" a="1"/>
  <c r="G219" i="22" s="1"/>
  <c r="J219" i="22" s="1"/>
  <c r="Q20" i="53" a="1"/>
  <c r="Q20" i="53" s="1"/>
  <c r="G213" i="22" a="1"/>
  <c r="G213" i="22" s="1"/>
  <c r="G163" i="22" a="1"/>
  <c r="G163" i="22" s="1"/>
  <c r="G111" i="22" a="1"/>
  <c r="G111" i="22" s="1"/>
  <c r="G137" i="22" a="1"/>
  <c r="G137" i="22" s="1"/>
  <c r="F29" i="58" a="1"/>
  <c r="F29" i="58" s="1"/>
  <c r="Q18" i="53" a="1"/>
  <c r="Q18" i="53" s="1"/>
  <c r="G102" i="22" a="1"/>
  <c r="G102" i="22" s="1"/>
  <c r="G225" i="22" a="1"/>
  <c r="G225" i="22" s="1"/>
  <c r="G216" i="22" a="1"/>
  <c r="G216" i="22" s="1"/>
  <c r="J216" i="22" s="1"/>
  <c r="G347" i="22"/>
  <c r="G234" i="22" a="1"/>
  <c r="G234" i="22" s="1"/>
  <c r="G257" i="22" a="1"/>
  <c r="G257" i="22" s="1"/>
  <c r="G29" i="22" a="1"/>
  <c r="G29" i="22" s="1"/>
  <c r="J29" i="22" s="1"/>
  <c r="G275" i="22" a="1"/>
  <c r="G275" i="22" s="1"/>
  <c r="J275" i="22" s="1"/>
  <c r="Q26" i="53" a="1"/>
  <c r="Q26" i="53" s="1"/>
  <c r="S26" i="53" s="1"/>
  <c r="G138" i="22" a="1"/>
  <c r="G138" i="22" s="1"/>
  <c r="J138" i="22" s="1"/>
  <c r="G112" i="22" a="1"/>
  <c r="G112" i="22" s="1"/>
  <c r="J112" i="22" s="1"/>
  <c r="G262" i="22" a="1"/>
  <c r="G262" i="22" s="1"/>
  <c r="J262" i="22" s="1"/>
  <c r="G113" i="22" a="1"/>
  <c r="G113" i="22" s="1"/>
  <c r="J113" i="22" s="1"/>
  <c r="G84" i="22" a="1"/>
  <c r="G84" i="22" s="1"/>
  <c r="J84" i="22" s="1"/>
  <c r="AK239" i="20" l="1"/>
  <c r="Q71" i="20"/>
  <c r="Q73" i="20" s="1"/>
  <c r="X166" i="46"/>
  <c r="G147" i="22"/>
  <c r="J143" i="22"/>
  <c r="O19" i="53"/>
  <c r="Q48" i="111"/>
  <c r="H39" i="19"/>
  <c r="S20" i="53"/>
  <c r="O20" i="53"/>
  <c r="G157" i="22"/>
  <c r="J151" i="22"/>
  <c r="J157" i="22" s="1"/>
  <c r="J257" i="22"/>
  <c r="J276" i="22" s="1"/>
  <c r="J280" i="22" s="1"/>
  <c r="H35" i="19" s="1"/>
  <c r="G28" i="62" s="1"/>
  <c r="G276" i="22"/>
  <c r="G280" i="22" s="1"/>
  <c r="S18" i="53"/>
  <c r="Q21" i="53"/>
  <c r="O18" i="53"/>
  <c r="G45" i="22"/>
  <c r="J32" i="22"/>
  <c r="J45" i="22" s="1"/>
  <c r="J183" i="22"/>
  <c r="J192" i="22" s="1"/>
  <c r="G192" i="22"/>
  <c r="J71" i="22"/>
  <c r="H20" i="62"/>
  <c r="G86" i="22"/>
  <c r="J81" i="22"/>
  <c r="J86" i="22" s="1"/>
  <c r="G96" i="22"/>
  <c r="J92" i="22"/>
  <c r="J96" i="22" s="1"/>
  <c r="K19" i="63"/>
  <c r="K49" i="63" s="1"/>
  <c r="J27" i="22"/>
  <c r="J213" i="22"/>
  <c r="J220" i="22" s="1"/>
  <c r="H32" i="19" s="1"/>
  <c r="G25" i="62" s="1"/>
  <c r="G220" i="22"/>
  <c r="J234" i="22"/>
  <c r="J237" i="22" s="1"/>
  <c r="H34" i="19" s="1"/>
  <c r="G27" i="62" s="1"/>
  <c r="G237" i="22"/>
  <c r="J347" i="22"/>
  <c r="J350" i="22" s="1"/>
  <c r="J368" i="22" s="1"/>
  <c r="G350" i="22"/>
  <c r="G368" i="22" s="1"/>
  <c r="J137" i="22"/>
  <c r="S24" i="53"/>
  <c r="Q27" i="53"/>
  <c r="O24" i="53"/>
  <c r="S25" i="53"/>
  <c r="O25" i="53"/>
  <c r="J169" i="22"/>
  <c r="J179" i="22" s="1"/>
  <c r="G179" i="22"/>
  <c r="E274" i="6"/>
  <c r="G27" i="22"/>
  <c r="J102" i="22"/>
  <c r="J103" i="22" s="1"/>
  <c r="G103" i="22"/>
  <c r="F31" i="58"/>
  <c r="H29" i="58"/>
  <c r="J111" i="22"/>
  <c r="G115" i="22"/>
  <c r="G72" i="22" a="1"/>
  <c r="G72" i="22" s="1"/>
  <c r="J72" i="22" s="1"/>
  <c r="S64" i="20"/>
  <c r="S71" i="20" s="1"/>
  <c r="J225" i="22"/>
  <c r="J229" i="22" s="1"/>
  <c r="H33" i="19" s="1"/>
  <c r="G26" i="62" s="1"/>
  <c r="G229" i="22"/>
  <c r="J163" i="22"/>
  <c r="J164" i="22" s="1"/>
  <c r="H30" i="19" s="1"/>
  <c r="G23" i="62" s="1"/>
  <c r="G164" i="22"/>
  <c r="J147" i="22" l="1"/>
  <c r="J158" i="22" s="1"/>
  <c r="H29" i="19" s="1"/>
  <c r="G158" i="22"/>
  <c r="Q50" i="111"/>
  <c r="J21" i="111" s="1"/>
  <c r="J27" i="111" s="1"/>
  <c r="X169" i="46"/>
  <c r="K30" i="46"/>
  <c r="G104" i="22"/>
  <c r="G47" i="22"/>
  <c r="O21" i="53"/>
  <c r="G193" i="22"/>
  <c r="J193" i="22"/>
  <c r="H31" i="19" s="1"/>
  <c r="H25" i="19"/>
  <c r="J115" i="22"/>
  <c r="F35" i="19"/>
  <c r="N35" i="19"/>
  <c r="R53" i="33"/>
  <c r="T53" i="33" s="1"/>
  <c r="J23" i="33" s="1"/>
  <c r="J29" i="33" s="1"/>
  <c r="H28" i="62"/>
  <c r="J78" i="22"/>
  <c r="J87" i="22" s="1"/>
  <c r="R53" i="32"/>
  <c r="T53" i="32" s="1"/>
  <c r="J23" i="32" s="1"/>
  <c r="J29" i="32" s="1"/>
  <c r="F34" i="19"/>
  <c r="N34" i="19"/>
  <c r="H27" i="62"/>
  <c r="F30" i="19"/>
  <c r="R53" i="151"/>
  <c r="T53" i="151" s="1"/>
  <c r="J23" i="151" s="1"/>
  <c r="J29" i="151" s="1"/>
  <c r="H23" i="62"/>
  <c r="N30" i="19"/>
  <c r="F33" i="19"/>
  <c r="H26" i="62"/>
  <c r="N33" i="19"/>
  <c r="R53" i="31"/>
  <c r="T53" i="31" s="1"/>
  <c r="J23" i="31" s="1"/>
  <c r="J29" i="31" s="1"/>
  <c r="J104" i="22"/>
  <c r="K24" i="63"/>
  <c r="L29" i="58"/>
  <c r="L31" i="58" s="1"/>
  <c r="H31" i="58"/>
  <c r="H19" i="19"/>
  <c r="R55" i="25"/>
  <c r="T55" i="25" s="1"/>
  <c r="J26" i="25" s="1"/>
  <c r="E276" i="6"/>
  <c r="S27" i="53"/>
  <c r="F32" i="19"/>
  <c r="H25" i="62"/>
  <c r="R53" i="30"/>
  <c r="T53" i="30" s="1"/>
  <c r="J23" i="30" s="1"/>
  <c r="J29" i="30" s="1"/>
  <c r="R53" i="34"/>
  <c r="T53" i="34" s="1"/>
  <c r="J23" i="34" s="1"/>
  <c r="J29" i="34" s="1"/>
  <c r="F39" i="19"/>
  <c r="J47" i="22"/>
  <c r="G78" i="22"/>
  <c r="G87" i="22" s="1"/>
  <c r="S21" i="53"/>
  <c r="N31" i="19" l="1"/>
  <c r="G24" i="62"/>
  <c r="H24" i="62" s="1"/>
  <c r="G22" i="62"/>
  <c r="H22" i="62" s="1"/>
  <c r="S52" i="20"/>
  <c r="O52" i="20" s="1"/>
  <c r="O73" i="20" s="1"/>
  <c r="I20" i="170"/>
  <c r="I22" i="170" s="1"/>
  <c r="I42" i="170" s="1"/>
  <c r="N25" i="19"/>
  <c r="G117" i="22"/>
  <c r="AA288" i="24"/>
  <c r="L30" i="46"/>
  <c r="M30" i="46" s="1"/>
  <c r="I30" i="46"/>
  <c r="I31" i="46" s="1"/>
  <c r="I37" i="46" s="1"/>
  <c r="I63" i="46" s="1"/>
  <c r="K31" i="46"/>
  <c r="N29" i="19"/>
  <c r="R53" i="107"/>
  <c r="T53" i="107" s="1"/>
  <c r="J23" i="107" s="1"/>
  <c r="J29" i="107" s="1"/>
  <c r="F29" i="19"/>
  <c r="O30" i="24" s="1"/>
  <c r="R53" i="29"/>
  <c r="T53" i="29" s="1"/>
  <c r="J23" i="29" s="1"/>
  <c r="J29" i="29" s="1"/>
  <c r="F31" i="19"/>
  <c r="G94" i="24" s="1"/>
  <c r="G164" i="24"/>
  <c r="G172" i="24" s="1"/>
  <c r="G174" i="24" s="1"/>
  <c r="I95" i="24"/>
  <c r="I100" i="24" s="1"/>
  <c r="E93" i="24"/>
  <c r="O98" i="24"/>
  <c r="M97" i="24"/>
  <c r="J117" i="22"/>
  <c r="F19" i="19"/>
  <c r="N19" i="19"/>
  <c r="K96" i="24"/>
  <c r="R51" i="26"/>
  <c r="T51" i="26" s="1"/>
  <c r="J22" i="26" s="1"/>
  <c r="J27" i="26" s="1"/>
  <c r="F25" i="19"/>
  <c r="C199" i="110"/>
  <c r="C200" i="110" s="1"/>
  <c r="C202" i="110" s="1"/>
  <c r="C203" i="110" s="1"/>
  <c r="U226" i="24" l="1"/>
  <c r="Q29" i="163" s="1"/>
  <c r="G281" i="22"/>
  <c r="G369" i="22" s="1"/>
  <c r="G370" i="22" s="1"/>
  <c r="AA297" i="24"/>
  <c r="Q18" i="163"/>
  <c r="Q26" i="163" s="1"/>
  <c r="L31" i="46"/>
  <c r="K37" i="46"/>
  <c r="K63" i="46" s="1"/>
  <c r="K110" i="46"/>
  <c r="E40" i="24"/>
  <c r="AM538" i="24" s="1"/>
  <c r="E33" i="24"/>
  <c r="AM531" i="24" s="1"/>
  <c r="H26" i="19"/>
  <c r="N26" i="19" s="1"/>
  <c r="J281" i="22"/>
  <c r="O100" i="24"/>
  <c r="E36" i="24"/>
  <c r="AM534" i="24" s="1"/>
  <c r="AK534" i="24" s="1"/>
  <c r="M31" i="46"/>
  <c r="Q30" i="46"/>
  <c r="Q31" i="46" s="1"/>
  <c r="G20" i="24"/>
  <c r="E20" i="24" s="1"/>
  <c r="AM518" i="24" s="1"/>
  <c r="AK518" i="24" s="1"/>
  <c r="P19" i="19" s="1"/>
  <c r="I26" i="24"/>
  <c r="E30" i="24"/>
  <c r="AM528" i="24" s="1"/>
  <c r="AK528" i="24" s="1"/>
  <c r="P29" i="19" s="1"/>
  <c r="O38" i="24"/>
  <c r="E35" i="24"/>
  <c r="AM533" i="24" s="1"/>
  <c r="AK533" i="24" s="1"/>
  <c r="M100" i="24"/>
  <c r="G177" i="24"/>
  <c r="G180" i="24" s="1"/>
  <c r="G100" i="24"/>
  <c r="E32" i="24"/>
  <c r="AM530" i="24" s="1"/>
  <c r="AK530" i="24" s="1"/>
  <c r="P31" i="19" s="1"/>
  <c r="K100" i="24"/>
  <c r="E34" i="24"/>
  <c r="AM532" i="24" s="1"/>
  <c r="AK532" i="24" s="1"/>
  <c r="E100" i="24"/>
  <c r="E31" i="24"/>
  <c r="AM529" i="24" s="1"/>
  <c r="AK529" i="24" s="1"/>
  <c r="P30" i="19" s="1"/>
  <c r="I110" i="24"/>
  <c r="I112" i="24" s="1"/>
  <c r="AA302" i="24" l="1"/>
  <c r="U240" i="24" s="1"/>
  <c r="AO552" i="24" s="1"/>
  <c r="U235" i="24"/>
  <c r="J39" i="19"/>
  <c r="N39" i="19" s="1"/>
  <c r="AO538" i="24"/>
  <c r="AK538" i="24" s="1"/>
  <c r="H61" i="19"/>
  <c r="AA298" i="24"/>
  <c r="Q31" i="163"/>
  <c r="K131" i="46"/>
  <c r="I110" i="46"/>
  <c r="K114" i="46"/>
  <c r="P33" i="19"/>
  <c r="P35" i="19"/>
  <c r="P34" i="19"/>
  <c r="M110" i="24"/>
  <c r="M112" i="24" s="1"/>
  <c r="E26" i="24"/>
  <c r="I28" i="24"/>
  <c r="I38" i="24" s="1"/>
  <c r="O110" i="24"/>
  <c r="O112" i="24" s="1"/>
  <c r="G182" i="24"/>
  <c r="G184" i="24" s="1"/>
  <c r="G185" i="24" s="1"/>
  <c r="I115" i="24"/>
  <c r="I118" i="24" s="1"/>
  <c r="H17" i="19"/>
  <c r="R51" i="25"/>
  <c r="E110" i="24"/>
  <c r="E112" i="24" s="1"/>
  <c r="K110" i="24"/>
  <c r="K112" i="24" s="1"/>
  <c r="J369" i="22"/>
  <c r="J370" i="22" s="1"/>
  <c r="K21" i="46"/>
  <c r="X159" i="46"/>
  <c r="X161" i="46" s="1"/>
  <c r="X171" i="46" s="1"/>
  <c r="O48" i="24"/>
  <c r="O50" i="24" s="1"/>
  <c r="G110" i="24"/>
  <c r="G112" i="24" s="1"/>
  <c r="R53" i="27"/>
  <c r="T53" i="27" s="1"/>
  <c r="J23" i="27" s="1"/>
  <c r="J29" i="27" s="1"/>
  <c r="F26" i="19"/>
  <c r="H27" i="19"/>
  <c r="L131" i="46" l="1"/>
  <c r="M131" i="46" s="1"/>
  <c r="P39" i="19"/>
  <c r="AA304" i="24"/>
  <c r="AA306" i="24" s="1"/>
  <c r="AA308" i="24" s="1"/>
  <c r="AA309" i="24" s="1"/>
  <c r="H37" i="19"/>
  <c r="G21" i="62"/>
  <c r="G30" i="62" s="1"/>
  <c r="L110" i="46"/>
  <c r="L114" i="46" s="1"/>
  <c r="F17" i="19"/>
  <c r="AO547" i="24"/>
  <c r="I114" i="46"/>
  <c r="I23" i="108" s="1"/>
  <c r="K173" i="24" s="1"/>
  <c r="E49" i="24" s="1"/>
  <c r="AM547" i="24" s="1"/>
  <c r="H48" i="19"/>
  <c r="I131" i="46"/>
  <c r="I136" i="46" s="1"/>
  <c r="I27" i="108" s="1"/>
  <c r="K178" i="24" s="1"/>
  <c r="E54" i="24" s="1"/>
  <c r="AM552" i="24" s="1"/>
  <c r="AK552" i="24" s="1"/>
  <c r="K136" i="46"/>
  <c r="I120" i="24"/>
  <c r="I122" i="24" s="1"/>
  <c r="I123" i="24" s="1"/>
  <c r="O115" i="24"/>
  <c r="O118" i="24" s="1"/>
  <c r="O120" i="24" s="1"/>
  <c r="O122" i="24" s="1"/>
  <c r="T51" i="25"/>
  <c r="R57" i="25"/>
  <c r="I48" i="24"/>
  <c r="I50" i="24" s="1"/>
  <c r="O53" i="24"/>
  <c r="O56" i="24" s="1"/>
  <c r="O58" i="24" s="1"/>
  <c r="O60" i="24" s="1"/>
  <c r="K115" i="24"/>
  <c r="K118" i="24" s="1"/>
  <c r="K120" i="24" s="1"/>
  <c r="K122" i="24" s="1"/>
  <c r="H20" i="19"/>
  <c r="G16" i="62" s="1"/>
  <c r="AM524" i="24"/>
  <c r="K27" i="24"/>
  <c r="F27" i="19"/>
  <c r="F37" i="19" s="1"/>
  <c r="E21" i="18"/>
  <c r="I21" i="18" s="1"/>
  <c r="X187" i="46"/>
  <c r="X176" i="46"/>
  <c r="X180" i="46" s="1"/>
  <c r="M115" i="24"/>
  <c r="M118" i="24" s="1"/>
  <c r="M120" i="24" s="1"/>
  <c r="M122" i="24" s="1"/>
  <c r="I21" i="46"/>
  <c r="K61" i="46"/>
  <c r="K66" i="46" s="1"/>
  <c r="G115" i="24"/>
  <c r="G118" i="24" s="1"/>
  <c r="G120" i="24" s="1"/>
  <c r="G122" i="24" s="1"/>
  <c r="N27" i="19"/>
  <c r="E115" i="24"/>
  <c r="E118" i="24" s="1"/>
  <c r="E120" i="24" s="1"/>
  <c r="E122" i="24" s="1"/>
  <c r="E123" i="24" s="1"/>
  <c r="L136" i="46" l="1"/>
  <c r="M110" i="46"/>
  <c r="Q110" i="46" s="1"/>
  <c r="Q114" i="46" s="1"/>
  <c r="AK547" i="24"/>
  <c r="F48" i="19"/>
  <c r="H53" i="19"/>
  <c r="F53" i="19" s="1"/>
  <c r="O123" i="24"/>
  <c r="I53" i="24"/>
  <c r="I56" i="24" s="1"/>
  <c r="I58" i="24" s="1"/>
  <c r="I60" i="24" s="1"/>
  <c r="I61" i="24" s="1"/>
  <c r="O61" i="24"/>
  <c r="AK524" i="24"/>
  <c r="E27" i="24"/>
  <c r="K28" i="24"/>
  <c r="K38" i="24" s="1"/>
  <c r="C191" i="110"/>
  <c r="C192" i="110" s="1"/>
  <c r="C194" i="110" s="1"/>
  <c r="C195" i="110" s="1"/>
  <c r="S73" i="20"/>
  <c r="M123" i="24"/>
  <c r="K76" i="46"/>
  <c r="I76" i="46" s="1"/>
  <c r="X182" i="46"/>
  <c r="T57" i="25"/>
  <c r="J22" i="25"/>
  <c r="J28" i="25" s="1"/>
  <c r="J32" i="25" s="1"/>
  <c r="K120" i="46"/>
  <c r="K72" i="46"/>
  <c r="K123" i="24"/>
  <c r="F20" i="19"/>
  <c r="G18" i="24"/>
  <c r="G123" i="24"/>
  <c r="Q131" i="46"/>
  <c r="Q136" i="46" s="1"/>
  <c r="M136" i="46"/>
  <c r="N53" i="19" s="1"/>
  <c r="H21" i="62"/>
  <c r="I61" i="46"/>
  <c r="I66" i="46" s="1"/>
  <c r="G36" i="62" l="1"/>
  <c r="M114" i="46"/>
  <c r="N48" i="19" s="1"/>
  <c r="J48" i="19" s="1"/>
  <c r="P48" i="19" s="1"/>
  <c r="J53" i="19"/>
  <c r="P53" i="19" s="1"/>
  <c r="H16" i="62"/>
  <c r="K48" i="24"/>
  <c r="K50" i="24" s="1"/>
  <c r="AM525" i="24"/>
  <c r="E28" i="24"/>
  <c r="E38" i="24" s="1"/>
  <c r="I120" i="46"/>
  <c r="I72" i="46"/>
  <c r="P25" i="19"/>
  <c r="H30" i="62"/>
  <c r="E18" i="24"/>
  <c r="G21" i="24"/>
  <c r="X185" i="46"/>
  <c r="K78" i="46"/>
  <c r="K86" i="46" s="1"/>
  <c r="H36" i="62" l="1"/>
  <c r="X186" i="46"/>
  <c r="X188" i="46"/>
  <c r="X190" i="46" s="1"/>
  <c r="X192" i="46" s="1"/>
  <c r="AK525" i="24"/>
  <c r="AM526" i="24"/>
  <c r="AM536" i="24" s="1"/>
  <c r="G48" i="24"/>
  <c r="AM516" i="24"/>
  <c r="E21" i="24"/>
  <c r="I78" i="46"/>
  <c r="I80" i="46" s="1"/>
  <c r="K80" i="46"/>
  <c r="K53" i="24"/>
  <c r="K56" i="24" s="1"/>
  <c r="K58" i="24" s="1"/>
  <c r="K60" i="24" s="1"/>
  <c r="O62" i="108" l="1"/>
  <c r="G50" i="24"/>
  <c r="G53" i="24"/>
  <c r="I122" i="46"/>
  <c r="I123" i="46" s="1"/>
  <c r="I82" i="46"/>
  <c r="P26" i="19"/>
  <c r="P27" i="19" s="1"/>
  <c r="AK526" i="24"/>
  <c r="K61" i="24"/>
  <c r="K122" i="46"/>
  <c r="K123" i="46" s="1"/>
  <c r="K82" i="46"/>
  <c r="K108" i="46" s="1"/>
  <c r="K116" i="46" s="1"/>
  <c r="X195" i="46"/>
  <c r="K125" i="46"/>
  <c r="AM519" i="24"/>
  <c r="O63" i="108" l="1"/>
  <c r="G56" i="24"/>
  <c r="G58" i="24" s="1"/>
  <c r="G60" i="24" s="1"/>
  <c r="I125" i="46"/>
  <c r="I129" i="46" s="1"/>
  <c r="K129" i="46"/>
  <c r="I108" i="46"/>
  <c r="I116" i="46" s="1"/>
  <c r="O66" i="108"/>
  <c r="O70" i="108" s="1"/>
  <c r="H47" i="19"/>
  <c r="G35" i="62" s="1"/>
  <c r="G61" i="24" l="1"/>
  <c r="K140" i="46"/>
  <c r="H52" i="19"/>
  <c r="G34" i="62" s="1"/>
  <c r="G40" i="62" s="1"/>
  <c r="I140" i="46"/>
  <c r="O67" i="108"/>
  <c r="O71" i="108" s="1"/>
  <c r="AR546" i="24"/>
  <c r="H49" i="19"/>
  <c r="F47" i="19"/>
  <c r="F49" i="19" s="1"/>
  <c r="H35" i="62"/>
  <c r="H55" i="19" l="1"/>
  <c r="H63" i="19" s="1"/>
  <c r="H68" i="19" s="1"/>
  <c r="F52" i="19"/>
  <c r="F55" i="19" s="1"/>
  <c r="F57" i="19" s="1"/>
  <c r="F59" i="19" s="1"/>
  <c r="AR552" i="24"/>
  <c r="H57" i="19" l="1"/>
  <c r="H60" i="19" s="1"/>
  <c r="H62" i="19" s="1"/>
  <c r="H34" i="62"/>
  <c r="F63" i="19"/>
  <c r="F68" i="19" s="1"/>
  <c r="H59" i="19" l="1"/>
  <c r="H40" i="62"/>
  <c r="F69" i="19"/>
  <c r="F72" i="19" s="1"/>
  <c r="F73" i="19" s="1"/>
  <c r="H69" i="19" l="1"/>
  <c r="H72" i="19" s="1"/>
  <c r="H73" i="19" s="1"/>
  <c r="G41" i="62"/>
  <c r="G73" i="62" s="1"/>
  <c r="H73" i="62" l="1"/>
  <c r="H41" i="62"/>
  <c r="C150" i="110"/>
  <c r="C152" i="110" s="1"/>
  <c r="O42" i="12"/>
  <c r="G76" i="62" l="1"/>
  <c r="I26" i="170"/>
  <c r="I28" i="170" l="1"/>
  <c r="I17" i="185" l="1"/>
  <c r="E32" i="18"/>
  <c r="I32" i="18"/>
  <c r="AC83" i="115" l="1"/>
  <c r="AC88" i="115" s="1"/>
  <c r="AA83" i="115"/>
  <c r="AA88" i="115" s="1"/>
  <c r="W83" i="115"/>
  <c r="I25" i="185"/>
  <c r="AC90" i="115" l="1"/>
  <c r="AC94" i="115" s="1"/>
  <c r="AC96" i="115" l="1"/>
  <c r="AC98" i="115" s="1"/>
  <c r="W94" i="115"/>
  <c r="L24" i="46"/>
  <c r="M24" i="46" s="1"/>
  <c r="R55" i="115" l="1"/>
  <c r="R61" i="115" s="1"/>
  <c r="AC234" i="24" s="1"/>
  <c r="L25" i="46"/>
  <c r="L37" i="46" s="1"/>
  <c r="L63" i="46" s="1"/>
  <c r="H22" i="115"/>
  <c r="H28" i="115" s="1"/>
  <c r="M25" i="46"/>
  <c r="M37" i="46" s="1"/>
  <c r="M63" i="46" s="1"/>
  <c r="Q24" i="46"/>
  <c r="AC236" i="24" l="1"/>
  <c r="AC239" i="24"/>
  <c r="N70" i="19"/>
  <c r="J70" i="19" s="1"/>
  <c r="Q25" i="46"/>
  <c r="Q37" i="46" s="1"/>
  <c r="Q63" i="46" s="1"/>
  <c r="AC242" i="24" l="1"/>
  <c r="AC244" i="24" s="1"/>
  <c r="AC246" i="24" s="1"/>
  <c r="AC247" i="24" l="1"/>
  <c r="Q55" i="154"/>
  <c r="M57" i="154"/>
  <c r="Q57" i="154" s="1"/>
  <c r="G19" i="154" l="1"/>
  <c r="G22" i="154" l="1"/>
  <c r="G26" i="154" s="1"/>
  <c r="W204" i="24"/>
  <c r="U204" i="24" l="1"/>
  <c r="D10" i="163"/>
  <c r="D26" i="163" s="1"/>
  <c r="W207" i="24"/>
  <c r="W234" i="24" l="1"/>
  <c r="J17" i="19"/>
  <c r="N17" i="19" s="1"/>
  <c r="D29" i="163"/>
  <c r="D31" i="163" s="1"/>
  <c r="U207" i="24"/>
  <c r="AO516" i="24"/>
  <c r="W236" i="24" l="1"/>
  <c r="AK516" i="24"/>
  <c r="AO519" i="24"/>
  <c r="P45" i="162"/>
  <c r="P51" i="162" s="1"/>
  <c r="P55" i="162" s="1"/>
  <c r="P59" i="162" s="1"/>
  <c r="J20" i="19"/>
  <c r="W239" i="24"/>
  <c r="AK519" i="24" l="1"/>
  <c r="P17" i="19"/>
  <c r="P20" i="19" s="1"/>
  <c r="N20" i="19"/>
  <c r="W242" i="24"/>
  <c r="W244" i="24" l="1"/>
  <c r="W246" i="24" s="1"/>
  <c r="W247" i="24" s="1"/>
  <c r="E17" i="18"/>
  <c r="I35" i="185" l="1"/>
  <c r="E18" i="18"/>
  <c r="G20" i="162" l="1"/>
  <c r="G24" i="162" s="1"/>
  <c r="U281" i="24"/>
  <c r="U219" i="24" l="1"/>
  <c r="U286" i="24"/>
  <c r="L15" i="163"/>
  <c r="L26" i="163" s="1"/>
  <c r="U224" i="24" l="1"/>
  <c r="AO531" i="24"/>
  <c r="L29" i="163"/>
  <c r="L31" i="163" s="1"/>
  <c r="J32" i="19"/>
  <c r="J37" i="19" s="1"/>
  <c r="J38" i="19" s="1"/>
  <c r="U296" i="24"/>
  <c r="U301" i="24" l="1"/>
  <c r="U239" i="24" s="1"/>
  <c r="U234" i="24"/>
  <c r="L78" i="46" s="1"/>
  <c r="N32" i="19"/>
  <c r="N37" i="19" s="1"/>
  <c r="U298" i="24"/>
  <c r="AK531" i="24"/>
  <c r="AO536" i="24"/>
  <c r="U304" i="24" l="1"/>
  <c r="U306" i="24" s="1"/>
  <c r="U308" i="24" s="1"/>
  <c r="U309" i="24" s="1"/>
  <c r="AK536" i="24"/>
  <c r="P32" i="19"/>
  <c r="P37" i="19" s="1"/>
  <c r="Q63" i="108"/>
  <c r="S63" i="108" s="1"/>
  <c r="L125" i="46"/>
  <c r="AO551" i="24"/>
  <c r="AO554" i="24" s="1"/>
  <c r="AS551" i="24" s="1"/>
  <c r="U242" i="24"/>
  <c r="AO546" i="24"/>
  <c r="AO548" i="24" s="1"/>
  <c r="AS545" i="24" s="1"/>
  <c r="Q62" i="108"/>
  <c r="S62" i="108" s="1"/>
  <c r="U236" i="24"/>
  <c r="M78" i="46"/>
  <c r="L21" i="46"/>
  <c r="L61" i="46" l="1"/>
  <c r="L66" i="46" s="1"/>
  <c r="M21" i="46"/>
  <c r="L129" i="46"/>
  <c r="M125" i="46"/>
  <c r="U244" i="24"/>
  <c r="U246" i="24" s="1"/>
  <c r="U247" i="24" s="1"/>
  <c r="E20" i="18"/>
  <c r="AO556" i="24"/>
  <c r="AO558" i="24" s="1"/>
  <c r="L80" i="46"/>
  <c r="L82" i="46" s="1"/>
  <c r="M80" i="46"/>
  <c r="L140" i="46" l="1"/>
  <c r="Q67" i="108"/>
  <c r="E23" i="18"/>
  <c r="L108" i="46"/>
  <c r="L116" i="46" s="1"/>
  <c r="Q66" i="108"/>
  <c r="L122" i="46"/>
  <c r="M61" i="46"/>
  <c r="M66" i="46" s="1"/>
  <c r="M129" i="46"/>
  <c r="L120" i="46"/>
  <c r="L72" i="46"/>
  <c r="L76" i="46" s="1"/>
  <c r="L86" i="46" s="1"/>
  <c r="M82" i="46" l="1"/>
  <c r="AS546" i="24"/>
  <c r="AS547" i="24" s="1"/>
  <c r="AQ546" i="24"/>
  <c r="M140" i="46"/>
  <c r="N52" i="19"/>
  <c r="M72" i="46"/>
  <c r="M76" i="46" s="1"/>
  <c r="M86" i="46" s="1"/>
  <c r="M120" i="46"/>
  <c r="Q71" i="108"/>
  <c r="S71" i="108" s="1"/>
  <c r="I26" i="108" s="1"/>
  <c r="S67" i="108"/>
  <c r="L123" i="46"/>
  <c r="Q70" i="108"/>
  <c r="S70" i="108" s="1"/>
  <c r="I22" i="108" s="1"/>
  <c r="S66" i="108"/>
  <c r="AS552" i="24"/>
  <c r="AS553" i="24" s="1"/>
  <c r="AQ552" i="24"/>
  <c r="K177" i="24" l="1"/>
  <c r="E53" i="24" s="1"/>
  <c r="N47" i="19"/>
  <c r="J47" i="19" s="1"/>
  <c r="M122" i="46"/>
  <c r="M123" i="46" s="1"/>
  <c r="M108" i="46"/>
  <c r="M116" i="46" s="1"/>
  <c r="J52" i="19"/>
  <c r="N55" i="19"/>
  <c r="E26" i="18" s="1"/>
  <c r="I30" i="108"/>
  <c r="I36" i="108" s="1"/>
  <c r="K172" i="24"/>
  <c r="K180" i="24" l="1"/>
  <c r="N49" i="19"/>
  <c r="E48" i="24"/>
  <c r="K174" i="24"/>
  <c r="E56" i="24"/>
  <c r="AM551" i="24"/>
  <c r="J55" i="19"/>
  <c r="J49" i="19"/>
  <c r="E25" i="18" l="1"/>
  <c r="E28" i="18" s="1"/>
  <c r="N63" i="19"/>
  <c r="N68" i="19" s="1"/>
  <c r="N57" i="19"/>
  <c r="N59" i="19" s="1"/>
  <c r="K182" i="24"/>
  <c r="K184" i="24" s="1"/>
  <c r="K185" i="24" s="1"/>
  <c r="J63" i="19"/>
  <c r="J68" i="19" s="1"/>
  <c r="J57" i="19"/>
  <c r="J59" i="19" s="1"/>
  <c r="AM554" i="24"/>
  <c r="AR551" i="24" s="1"/>
  <c r="AR553" i="24" s="1"/>
  <c r="AK551" i="24"/>
  <c r="AM546" i="24"/>
  <c r="E50" i="24"/>
  <c r="N60" i="19" l="1"/>
  <c r="I19" i="185"/>
  <c r="J69" i="19"/>
  <c r="J72" i="19" s="1"/>
  <c r="J73" i="19" s="1"/>
  <c r="AM548" i="24"/>
  <c r="AK546" i="24"/>
  <c r="N69" i="19"/>
  <c r="N72" i="19" s="1"/>
  <c r="N73" i="19" s="1"/>
  <c r="AK554" i="24"/>
  <c r="AQ551" i="24" s="1"/>
  <c r="AQ553" i="24" s="1"/>
  <c r="P52" i="19"/>
  <c r="P55" i="19" s="1"/>
  <c r="E58" i="24"/>
  <c r="E60" i="24" s="1"/>
  <c r="E61" i="24" s="1"/>
  <c r="E30" i="18"/>
  <c r="E33" i="18" l="1"/>
  <c r="AK548" i="24"/>
  <c r="P47" i="19"/>
  <c r="P49" i="19" s="1"/>
  <c r="P57" i="19" s="1"/>
  <c r="P59" i="19" s="1"/>
  <c r="I27" i="185"/>
  <c r="I31" i="185" s="1"/>
  <c r="I21" i="185"/>
  <c r="AM556" i="24"/>
  <c r="AM558" i="24" s="1"/>
  <c r="AR545" i="24"/>
  <c r="AR547" i="24" s="1"/>
  <c r="AQ545" i="24" l="1"/>
  <c r="AQ547" i="24" s="1"/>
  <c r="AQ557" i="24" s="1"/>
  <c r="AK556" i="24"/>
  <c r="AK558" i="24" s="1"/>
  <c r="I33" i="185" l="1"/>
  <c r="P50" i="18"/>
  <c r="I17" i="18"/>
  <c r="P54" i="18" l="1"/>
  <c r="I37" i="185"/>
  <c r="P57" i="18"/>
  <c r="G22" i="18" s="1"/>
  <c r="I22" i="18" s="1"/>
  <c r="P59" i="18" l="1"/>
  <c r="G20" i="18"/>
  <c r="P61" i="18" l="1"/>
  <c r="G23" i="18"/>
  <c r="I20" i="18"/>
  <c r="P63" i="18" l="1"/>
  <c r="P65" i="18" s="1"/>
  <c r="G26" i="18" s="1"/>
  <c r="I26" i="18" s="1"/>
  <c r="I23" i="18"/>
  <c r="O21" i="46"/>
  <c r="P67" i="18" l="1"/>
  <c r="P69" i="18" s="1"/>
  <c r="G25" i="18"/>
  <c r="O61" i="46"/>
  <c r="O66" i="46" s="1"/>
  <c r="Q21" i="46"/>
  <c r="O72" i="46" l="1"/>
  <c r="O76" i="46" s="1"/>
  <c r="O78" i="46" s="1"/>
  <c r="O120" i="46"/>
  <c r="Q61" i="46"/>
  <c r="Q66" i="46" s="1"/>
  <c r="I25" i="18"/>
  <c r="G28" i="18"/>
  <c r="G30" i="18" s="1"/>
  <c r="I30" i="18" s="1"/>
  <c r="I33" i="18" s="1"/>
  <c r="I28" i="18" l="1"/>
  <c r="Q120" i="46"/>
  <c r="Q72" i="46"/>
  <c r="Q76" i="46" s="1"/>
  <c r="O80" i="46"/>
  <c r="O82" i="46" s="1"/>
  <c r="Q78" i="46"/>
  <c r="Q86" i="46" l="1"/>
  <c r="O108" i="46"/>
  <c r="O116" i="46" s="1"/>
  <c r="O122" i="46"/>
  <c r="O123" i="46" s="1"/>
  <c r="O125" i="46" s="1"/>
  <c r="Q80" i="46"/>
  <c r="Q82" i="46" s="1"/>
  <c r="Q108" i="46" l="1"/>
  <c r="Q116" i="46" s="1"/>
  <c r="Q122" i="46"/>
  <c r="Q123" i="46" s="1"/>
  <c r="O129" i="46"/>
  <c r="O140" i="46" s="1"/>
  <c r="Q125" i="46"/>
  <c r="Q129" i="46" l="1"/>
  <c r="Q140" i="46" s="1"/>
  <c r="AM91" i="131" l="1"/>
  <c r="AM93" i="131"/>
  <c r="AM99" i="131" s="1"/>
  <c r="AI99" i="13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<sst xmlns="http://schemas.openxmlformats.org/spreadsheetml/2006/main" count="11061" uniqueCount="3168">
  <si>
    <t>Revenue Increase Requested</t>
  </si>
  <si>
    <t>Change</t>
  </si>
  <si>
    <t>Description</t>
  </si>
  <si>
    <t>Revenue Requirement</t>
  </si>
  <si>
    <t>DUKE ENERGY KENTUCKY, INC.</t>
  </si>
  <si>
    <t>AUTOMATED RATE CASE FILING SYSTEM</t>
  </si>
  <si>
    <t>Range Name</t>
  </si>
  <si>
    <t>Company:</t>
  </si>
  <si>
    <t>Witnesses:</t>
  </si>
  <si>
    <t>Periods:</t>
  </si>
  <si>
    <t>Case:</t>
  </si>
  <si>
    <t>WIT1:</t>
  </si>
  <si>
    <t>L. D. STEINKUHL</t>
  </si>
  <si>
    <t>Base</t>
  </si>
  <si>
    <t>Forecast</t>
  </si>
  <si>
    <t>Period:</t>
  </si>
  <si>
    <t>WIT2:</t>
  </si>
  <si>
    <t>J. E. ZIOLKOWSKI</t>
  </si>
  <si>
    <t>PeriodF:</t>
  </si>
  <si>
    <t>WIT3:</t>
  </si>
  <si>
    <t>J. R. PANIZZA</t>
  </si>
  <si>
    <t>Department:</t>
  </si>
  <si>
    <t>ELECTRIC DEPARTMENT</t>
  </si>
  <si>
    <t>WIT4:</t>
  </si>
  <si>
    <t>T. J. HEATH JR.</t>
  </si>
  <si>
    <t>Base Period:</t>
  </si>
  <si>
    <t>WIT5:</t>
  </si>
  <si>
    <t>G. S. CARPENTER / L. D. STEINKUHL</t>
  </si>
  <si>
    <t>Forecast Period:</t>
  </si>
  <si>
    <t>WIT6:</t>
  </si>
  <si>
    <t>G. S. CARPENTER / D. L. WEATHERSTON</t>
  </si>
  <si>
    <t>Data:</t>
  </si>
  <si>
    <r>
      <t xml:space="preserve">DATA: </t>
    </r>
    <r>
      <rPr>
        <b/>
        <sz val="10"/>
        <color rgb="FF0000FF"/>
        <rFont val="Arial"/>
        <family val="2"/>
      </rPr>
      <t>"X" BASE PERIOD</t>
    </r>
    <r>
      <rPr>
        <sz val="10"/>
        <color rgb="FF0000FF"/>
        <rFont val="Arial"/>
        <family val="2"/>
      </rPr>
      <t xml:space="preserve">   FORECASTED PERIOD</t>
    </r>
  </si>
  <si>
    <t>WIT7:</t>
  </si>
  <si>
    <t>G. S. CARPENTER / S. S. MITCHELL</t>
  </si>
  <si>
    <t>DataF:</t>
  </si>
  <si>
    <r>
      <t xml:space="preserve">DATA:  BASE PERIOD  </t>
    </r>
    <r>
      <rPr>
        <b/>
        <sz val="10"/>
        <color rgb="FF0000FF"/>
        <rFont val="Arial"/>
        <family val="2"/>
      </rPr>
      <t>"X" FORECASTED PERIOD</t>
    </r>
  </si>
  <si>
    <t>WIT8:</t>
  </si>
  <si>
    <t>S. A. CALDWELL</t>
  </si>
  <si>
    <t>DataBoth:</t>
  </si>
  <si>
    <t>DATA: "X" BASE PERIOD  "X" FORECASTED PERIOD</t>
  </si>
  <si>
    <t>WIT9:</t>
  </si>
  <si>
    <t>S. S. MITCHELL</t>
  </si>
  <si>
    <t>Type:</t>
  </si>
  <si>
    <t xml:space="preserve">TYPE OF FILING:  "X" ORIGINAL   UPDATED    REVISED  </t>
  </si>
  <si>
    <t>WIT10:</t>
  </si>
  <si>
    <t>G. S. CARPENTER</t>
  </si>
  <si>
    <t>WIT11:</t>
  </si>
  <si>
    <t>D. L. WEATHERSON</t>
  </si>
  <si>
    <t>Test Year</t>
  </si>
  <si>
    <t>JUNE 30, 2026</t>
  </si>
  <si>
    <t>WIT12:</t>
  </si>
  <si>
    <t>J. S. COLLEY</t>
  </si>
  <si>
    <t>UNCOLLECTIBLE ACCOUNTS</t>
  </si>
  <si>
    <t>KPSC MAINTENANCE</t>
  </si>
  <si>
    <t>.</t>
  </si>
  <si>
    <t>STATE OF KENTUCKY INC TAX</t>
  </si>
  <si>
    <t>FEDERAL INCOME</t>
  </si>
  <si>
    <t>COMPOSITE TAX RATE</t>
  </si>
  <si>
    <t>SFR MODEL - NAVIGATION TOOL</t>
  </si>
  <si>
    <t>To get to the "GO TO" menu while in the model,</t>
  </si>
  <si>
    <r>
      <t xml:space="preserve">click  </t>
    </r>
    <r>
      <rPr>
        <sz val="12"/>
        <color indexed="10"/>
        <rFont val="Arial"/>
        <family val="2"/>
      </rPr>
      <t xml:space="preserve">"Model Navigation" </t>
    </r>
    <r>
      <rPr>
        <sz val="12"/>
        <rFont val="Arial"/>
        <family val="2"/>
      </rPr>
      <t xml:space="preserve">on the </t>
    </r>
  </si>
  <si>
    <t>worksheet menubar.</t>
  </si>
  <si>
    <t>To get to the "GO TO" menu while in the</t>
  </si>
  <si>
    <r>
      <t xml:space="preserve">model, click  </t>
    </r>
    <r>
      <rPr>
        <sz val="12"/>
        <color indexed="10"/>
        <rFont val="Arial"/>
        <family val="2"/>
      </rPr>
      <t xml:space="preserve">"Model Navigation" </t>
    </r>
    <r>
      <rPr>
        <sz val="12"/>
        <rFont val="Arial"/>
        <family val="2"/>
      </rPr>
      <t xml:space="preserve">on the </t>
    </r>
  </si>
  <si>
    <t>Depr-Expense</t>
  </si>
  <si>
    <t>Meter Amortization</t>
  </si>
  <si>
    <t>Regulatory Debits</t>
  </si>
  <si>
    <t>NC &amp; MW Coal As Amort Exp</t>
  </si>
  <si>
    <t>DSM Deferral - Electric</t>
  </si>
  <si>
    <t>Carrying Charges</t>
  </si>
  <si>
    <t>Taxes Property-Allocated</t>
  </si>
  <si>
    <t>Franchise Tax - Non Electric</t>
  </si>
  <si>
    <t>Taxes Property-Operating</t>
  </si>
  <si>
    <t>State Unemployment Tax</t>
  </si>
  <si>
    <t>Federal Unemployment Tax</t>
  </si>
  <si>
    <t>Employer FICA Tax</t>
  </si>
  <si>
    <t>Highway Use Tax</t>
  </si>
  <si>
    <t>Franchise Tax</t>
  </si>
  <si>
    <t>Fed Social Security Tax-Elec</t>
  </si>
  <si>
    <t>Federal Highway Use Tax-Elec</t>
  </si>
  <si>
    <t>Miscellaneous Taxes</t>
  </si>
  <si>
    <t>Sales &amp; Use Tax Exp</t>
  </si>
  <si>
    <t>Allocated Payroll Taxes</t>
  </si>
  <si>
    <t>Accretion Expense-ARO Ash Pond</t>
  </si>
  <si>
    <t>Gain on Asset Ret Obligation</t>
  </si>
  <si>
    <t>NOx Sales Proceeds Native</t>
  </si>
  <si>
    <t>NOx Sales COGS -Native</t>
  </si>
  <si>
    <t>Loss on Sale of AR</t>
  </si>
  <si>
    <t>I/C - Loss on Sale of AR</t>
  </si>
  <si>
    <t>IC Sale of AR Fees VIE</t>
  </si>
  <si>
    <t>Residential</t>
  </si>
  <si>
    <t>Residential Unbilled Rev</t>
  </si>
  <si>
    <t>General Service</t>
  </si>
  <si>
    <t>General Service Unbilled Rev</t>
  </si>
  <si>
    <t>Industrial Service</t>
  </si>
  <si>
    <t>Industrial Svc Unbilled Rev</t>
  </si>
  <si>
    <t>Public St &amp; Highway Lighting</t>
  </si>
  <si>
    <t>Other Sales to Public Auth</t>
  </si>
  <si>
    <t>OPA Unbilled</t>
  </si>
  <si>
    <t>Sales For Resale - Outside</t>
  </si>
  <si>
    <t>Interdepartmental Sales-Elec</t>
  </si>
  <si>
    <t>Provisions For Rate Refunds</t>
  </si>
  <si>
    <t>Tax reform - Retail</t>
  </si>
  <si>
    <t>Late Pmt and Forf Disc</t>
  </si>
  <si>
    <t>Misc Service Revenue</t>
  </si>
  <si>
    <t>Rent - Joint Use</t>
  </si>
  <si>
    <t>Extra-Facilities</t>
  </si>
  <si>
    <t>Pole &amp; Line Attachments</t>
  </si>
  <si>
    <t>Foreign Pole Revenue</t>
  </si>
  <si>
    <t>Tower Lease Revenues</t>
  </si>
  <si>
    <t>Other Electric Rents</t>
  </si>
  <si>
    <t>RSG Rev - MISO Make Whole</t>
  </si>
  <si>
    <t>Sales Use Tax Coll Fee</t>
  </si>
  <si>
    <t>Data Processing Service</t>
  </si>
  <si>
    <t>Transmission Charge PTP</t>
  </si>
  <si>
    <t>Other Transmission Revenues</t>
  </si>
  <si>
    <t>Wheel Transmission Rev - ED</t>
  </si>
  <si>
    <t>Scheduling &amp; Dispatch Revenues</t>
  </si>
  <si>
    <t>PJM Reactive Rev</t>
  </si>
  <si>
    <t>Suprvsn and Engrg - Steam Oper</t>
  </si>
  <si>
    <t>Coal Consumed-Fossil Steam</t>
  </si>
  <si>
    <t>Coal &amp; Other Fuel Handling</t>
  </si>
  <si>
    <t>Oil Consumed-Fossil Steam</t>
  </si>
  <si>
    <t>Fuel Expense</t>
  </si>
  <si>
    <t>Ammonia - Qualifying</t>
  </si>
  <si>
    <t>Fossil Steam Exp-Other</t>
  </si>
  <si>
    <t>Steam Oper-Bottom Ash/Fly Ash</t>
  </si>
  <si>
    <t>Electric Expenses-Steam Oper</t>
  </si>
  <si>
    <t>Misc Fossil Power Expenses</t>
  </si>
  <si>
    <t>SO2 Emission Expense</t>
  </si>
  <si>
    <t>Annual NOx Emission Expense</t>
  </si>
  <si>
    <t>Suprvsn and Engrng-Steam Maint</t>
  </si>
  <si>
    <t>Suprvsn &amp; Engrng-Steam Maint R</t>
  </si>
  <si>
    <t>Maintenance - Misc Steam Plant</t>
  </si>
  <si>
    <t>Suprvsn and Enginring-CT Oper</t>
  </si>
  <si>
    <t>Natural Gas</t>
  </si>
  <si>
    <t>Natural Gas Handling-CT</t>
  </si>
  <si>
    <t>Oil</t>
  </si>
  <si>
    <t>Generation Expenses-Other CT</t>
  </si>
  <si>
    <t>Prime Movers - Generators- CT</t>
  </si>
  <si>
    <t>Misc-Power Generation Expenses</t>
  </si>
  <si>
    <t>Other Power Gen Op Rents</t>
  </si>
  <si>
    <t>Suprvsn and Enginring-CT Maint</t>
  </si>
  <si>
    <t>Solar: Maint of Structures</t>
  </si>
  <si>
    <t>Maint-Gentg and Elect Equip-CT</t>
  </si>
  <si>
    <t>Misc Power Generation Plant-CT</t>
  </si>
  <si>
    <t>Purch Pwr - Non-native - net</t>
  </si>
  <si>
    <t>Purch Power-Fuel Clause</t>
  </si>
  <si>
    <t>System Cnts &amp; Load Dispatching</t>
  </si>
  <si>
    <t>Other Expenses-Oper</t>
  </si>
  <si>
    <t>Commissions/Brokerage Expense</t>
  </si>
  <si>
    <t>EA &amp; Coal Broker Fees</t>
  </si>
  <si>
    <t>Retail Deferred Fuel Expenses</t>
  </si>
  <si>
    <t>Supervsn and Engrng-Trans Oper</t>
  </si>
  <si>
    <t>Load Dispatch-Reliability</t>
  </si>
  <si>
    <t>Load Dispatch-Mnitor&amp;OprTrnSys</t>
  </si>
  <si>
    <t>Load Dispatch - TransSvc&amp;Sch</t>
  </si>
  <si>
    <t>Scheduling-Sys Cntrl&amp;Disp Svs</t>
  </si>
  <si>
    <t>Reliability Planning and Stdsdev</t>
  </si>
  <si>
    <t>Station Expenses</t>
  </si>
  <si>
    <t>Overhead Line Expenses-Trans</t>
  </si>
  <si>
    <t>Misc Trans Exp-Other</t>
  </si>
  <si>
    <t>Misc Trans-Trans Lines Related</t>
  </si>
  <si>
    <t>Rents-Trans Oper</t>
  </si>
  <si>
    <t>Maint of Computer Hardware</t>
  </si>
  <si>
    <t>Maint  Stat Equip-Other- Trans</t>
  </si>
  <si>
    <t>Main-Cir BrkrsTrnsf Mtrs-Trans</t>
  </si>
  <si>
    <t>Market Faciliation-Mntr&amp;Comp</t>
  </si>
  <si>
    <t>Supervsn and Engring-Dist Oper</t>
  </si>
  <si>
    <t>Load Dispatch-Dist of Elec</t>
  </si>
  <si>
    <t>Station Expenses-Other-Dist</t>
  </si>
  <si>
    <t>Overhead Line Exps-Other-Dist</t>
  </si>
  <si>
    <t>Transf Set Rem Reset Test-Dist</t>
  </si>
  <si>
    <t>Underground Line Expenses-Dist</t>
  </si>
  <si>
    <t>Meter Expenses-Dist</t>
  </si>
  <si>
    <t>Cust Install Exp-Other Dist</t>
  </si>
  <si>
    <t>Misc Distribution Exp-Other</t>
  </si>
  <si>
    <t>Load Mang-Gen and Control-Dist</t>
  </si>
  <si>
    <t>Intcon Study Costs (D)</t>
  </si>
  <si>
    <t>Rents-Dist Oper</t>
  </si>
  <si>
    <t>Supervsn and Engrng-Dist Maint</t>
  </si>
  <si>
    <t>Maint Station Equip-Other-Dist</t>
  </si>
  <si>
    <t>Cir BrkrsTrnsf Mters Rely-Dist</t>
  </si>
  <si>
    <t>Maint Overhd Lines-Other-Dist</t>
  </si>
  <si>
    <t>Maint-Underground Lines-Dist</t>
  </si>
  <si>
    <t>Maint Line Transfrs-Other-Dist</t>
  </si>
  <si>
    <t>Maint-StreetLightng/Signl-Dist</t>
  </si>
  <si>
    <t>Main Misc Dist Plt - Other - Dist</t>
  </si>
  <si>
    <t>Supervision-Cust Accts</t>
  </si>
  <si>
    <t>Meter Reading Expense</t>
  </si>
  <si>
    <t>Cust Records &amp; Collection Exp</t>
  </si>
  <si>
    <t>Cust Contracts &amp; Orders-Local</t>
  </si>
  <si>
    <t>Cust Billing &amp; Acct</t>
  </si>
  <si>
    <t>Cust Collecting-Local</t>
  </si>
  <si>
    <t>Cust Receiv &amp; Collect Exp-Edp</t>
  </si>
  <si>
    <t>IC Collection Agent Revenue</t>
  </si>
  <si>
    <t>Uncollectible Accounts</t>
  </si>
  <si>
    <t>Cust Acctg-Loss On Sale-A/R</t>
  </si>
  <si>
    <t>IC Loss on Sale of AR with VIE (I)</t>
  </si>
  <si>
    <t>Misc Customer Accts Expenses</t>
  </si>
  <si>
    <t>Cust Asst Exp-Conservation Pro</t>
  </si>
  <si>
    <t>Misc Advertising Expenses</t>
  </si>
  <si>
    <t>Misc Cust Serv/Inform Exp</t>
  </si>
  <si>
    <t>Exp-Rs Reg Prod/Svces-CstAccts</t>
  </si>
  <si>
    <t>Supervision</t>
  </si>
  <si>
    <t>Demonstrating &amp; Selling Exp</t>
  </si>
  <si>
    <t>Advertising Expense</t>
  </si>
  <si>
    <t>A &amp; G Salaries</t>
  </si>
  <si>
    <t>Project Development Labor</t>
  </si>
  <si>
    <t>Employee Expenses</t>
  </si>
  <si>
    <t>Employee Exp - NC</t>
  </si>
  <si>
    <t>Relocation Expenses</t>
  </si>
  <si>
    <t>Office Expenses</t>
  </si>
  <si>
    <t>Telephone And Telegraph Exp</t>
  </si>
  <si>
    <t>Computer Services Expenses</t>
  </si>
  <si>
    <t>Computer Rent (Go Only)</t>
  </si>
  <si>
    <t>Other</t>
  </si>
  <si>
    <t>Office Supplies &amp; Expenses</t>
  </si>
  <si>
    <t>Outside Services Employed</t>
  </si>
  <si>
    <t>Outside Services Employee &amp;</t>
  </si>
  <si>
    <t>Property Insurance</t>
  </si>
  <si>
    <t>Inter-Co Prop Ins Exp</t>
  </si>
  <si>
    <t>Admin-Insurance Expense</t>
  </si>
  <si>
    <t>Property Insurance For Corp.</t>
  </si>
  <si>
    <t>Injuries &amp; Damages</t>
  </si>
  <si>
    <t>Intercompany Gen Liab Expense</t>
  </si>
  <si>
    <t>Inter-Co Worker Comp Insur Exp</t>
  </si>
  <si>
    <t>Injuries And Damages-Other</t>
  </si>
  <si>
    <t>Injuries And Damages For Corp.</t>
  </si>
  <si>
    <t>Employee Benefits</t>
  </si>
  <si>
    <t>Employees'Recreation Expense</t>
  </si>
  <si>
    <t>Employee Benefits-Transferred</t>
  </si>
  <si>
    <t>Non Serv Pension (ASU 2017-07)</t>
  </si>
  <si>
    <t>Regulatory Expenses (Go)</t>
  </si>
  <si>
    <t>State Reg Comm Proceeding</t>
  </si>
  <si>
    <t>Duplicate Chrgs-Enrgy To Exp</t>
  </si>
  <si>
    <t>Admin Exp Transf</t>
  </si>
  <si>
    <t>Miscellaneous Advertising Exp</t>
  </si>
  <si>
    <t>Misc General Expenses</t>
  </si>
  <si>
    <t>Industry Association Dues</t>
  </si>
  <si>
    <t>Dues To Various Organizations</t>
  </si>
  <si>
    <t>Director'S Expenses</t>
  </si>
  <si>
    <t>Buy\Sell Transf Employee Homes</t>
  </si>
  <si>
    <t>Research &amp; Development</t>
  </si>
  <si>
    <t>General Expenses</t>
  </si>
  <si>
    <t>Rents-A&amp;G</t>
  </si>
  <si>
    <t>Lease Amortization Expense</t>
  </si>
  <si>
    <t>A&amp;G Rents-IC</t>
  </si>
  <si>
    <t>Maint General Plant-Elec</t>
  </si>
  <si>
    <t>Cust Infor &amp; Computer Control</t>
  </si>
  <si>
    <t>MONTHLY REVENUES AND EXPENSES BY ACCOUNT</t>
  </si>
  <si>
    <t>BASE PERIOD</t>
  </si>
  <si>
    <t>ACTUAL</t>
  </si>
  <si>
    <t>BUDGET</t>
  </si>
  <si>
    <t>Account</t>
  </si>
  <si>
    <t>Code</t>
  </si>
  <si>
    <t>FERC</t>
  </si>
  <si>
    <t>Total</t>
  </si>
  <si>
    <t>DEPR</t>
  </si>
  <si>
    <t>Amort of Elec Plt - Software</t>
  </si>
  <si>
    <t>AMORT</t>
  </si>
  <si>
    <t>OTH</t>
  </si>
  <si>
    <t>OTHTX</t>
  </si>
  <si>
    <t>SIT Exp-Utility</t>
  </si>
  <si>
    <t>FIT</t>
  </si>
  <si>
    <t>Current State Income Tax - PY</t>
  </si>
  <si>
    <t>Federal Income Tax-Electric-CY</t>
  </si>
  <si>
    <t>Fed Income Tax-Electric-PY</t>
  </si>
  <si>
    <t>Current FIT Elec - PY Audit</t>
  </si>
  <si>
    <t>UTP Tax Expense: Fed Util-PY</t>
  </si>
  <si>
    <t>Current State Inc Tax-Util</t>
  </si>
  <si>
    <t>DFIT: Utility: Current Year</t>
  </si>
  <si>
    <t>DSIT: Utility: Current Year</t>
  </si>
  <si>
    <t>DFIT: Utility: Prior Year</t>
  </si>
  <si>
    <t>DSIT: Utility: Prior Year</t>
  </si>
  <si>
    <t>DFIT: Utility: Curr Year CR</t>
  </si>
  <si>
    <t>DSIT: Utility: Curr Year CR</t>
  </si>
  <si>
    <t>DFIT: Utility: Prior Year CR</t>
  </si>
  <si>
    <t>DSIT: Utility: Prior Year CR</t>
  </si>
  <si>
    <t>DFIT:Utility:Prior year</t>
  </si>
  <si>
    <t>Invest Tax Credit Adj-Electric</t>
  </si>
  <si>
    <t>Fuel</t>
  </si>
  <si>
    <t>CO</t>
  </si>
  <si>
    <t>REV</t>
  </si>
  <si>
    <t>Tax Reform - Residential</t>
  </si>
  <si>
    <t>Late Payment Fees</t>
  </si>
  <si>
    <t>Other Electric Revenues</t>
  </si>
  <si>
    <t>Regional Transmission Service</t>
  </si>
  <si>
    <t>PO</t>
  </si>
  <si>
    <t>Coal Sampling &amp; Testing</t>
  </si>
  <si>
    <t>Sale of Fly Ash-Revenues</t>
  </si>
  <si>
    <t>Sale of Fly Ash-Expenses</t>
  </si>
  <si>
    <t>Oil Handling Expense</t>
  </si>
  <si>
    <t>Ammonia-Qualifying</t>
  </si>
  <si>
    <t>Cost of Lime</t>
  </si>
  <si>
    <t>Gypsum - Qualifying</t>
  </si>
  <si>
    <t>Steam Power Gen Op Rents</t>
  </si>
  <si>
    <t>EA</t>
  </si>
  <si>
    <t>PM</t>
  </si>
  <si>
    <t>Maint of Structures-Steam</t>
  </si>
  <si>
    <t>Maint of Boiler Plant-Other</t>
  </si>
  <si>
    <t>Maint of Electric Plant-Other</t>
  </si>
  <si>
    <t>Maintenance of Structures-CT</t>
  </si>
  <si>
    <t>PP</t>
  </si>
  <si>
    <t>Capacity Purchase Expense</t>
  </si>
  <si>
    <t>OPS</t>
  </si>
  <si>
    <t>TO</t>
  </si>
  <si>
    <t>ReliabilityPlanning&amp;StdsDev</t>
  </si>
  <si>
    <t>Transm of Elec By Others</t>
  </si>
  <si>
    <t>Maint of Structures-Trans</t>
  </si>
  <si>
    <t>TM</t>
  </si>
  <si>
    <t>Maint of Computer Software</t>
  </si>
  <si>
    <t>Maint of Overhead Lines-Trans</t>
  </si>
  <si>
    <t>RMO</t>
  </si>
  <si>
    <t>DO</t>
  </si>
  <si>
    <t>DM</t>
  </si>
  <si>
    <t>Maintenance of Structures-Dist</t>
  </si>
  <si>
    <t>Right-of-Way Maintenance-Dist</t>
  </si>
  <si>
    <t>Maintenance of Meters-Dist</t>
  </si>
  <si>
    <t>Bad Debt Expense</t>
  </si>
  <si>
    <t>CSI</t>
  </si>
  <si>
    <t>SE</t>
  </si>
  <si>
    <t>AGO</t>
  </si>
  <si>
    <t>Salaries &amp; Wages-Proj Supt-NCRC Rec</t>
  </si>
  <si>
    <t>Admin Expense Transfer</t>
  </si>
  <si>
    <t>Intercompany Non-Prop Ins Exp</t>
  </si>
  <si>
    <t>Accrued Inj and Damages</t>
  </si>
  <si>
    <t>Travel Expense</t>
  </si>
  <si>
    <t>Exp of Servicing Securities</t>
  </si>
  <si>
    <t>Leased Circuit Charges - Other</t>
  </si>
  <si>
    <t>Maintenance of General Plant</t>
  </si>
  <si>
    <t>AGM</t>
  </si>
  <si>
    <t>Revenues</t>
  </si>
  <si>
    <t>OperatingExpenses</t>
  </si>
  <si>
    <t>Purchased Power</t>
  </si>
  <si>
    <t>Other Power Supply</t>
  </si>
  <si>
    <t>Emission Allowances</t>
  </si>
  <si>
    <t>Operation</t>
  </si>
  <si>
    <t>Production</t>
  </si>
  <si>
    <t>Customer Accounts</t>
  </si>
  <si>
    <t>Customer Service &amp; Information</t>
  </si>
  <si>
    <t>Sales Expense</t>
  </si>
  <si>
    <t>Transmission</t>
  </si>
  <si>
    <t>Regional Marketing</t>
  </si>
  <si>
    <t>Distribution</t>
  </si>
  <si>
    <t>A&amp;G</t>
  </si>
  <si>
    <t>Maintenance</t>
  </si>
  <si>
    <t>RMM</t>
  </si>
  <si>
    <t>Operation &amp; Maintenance Expense</t>
  </si>
  <si>
    <t>Total Operating Expense</t>
  </si>
  <si>
    <t>Depreciation Expense</t>
  </si>
  <si>
    <t>Amortization of Deferred Expenses</t>
  </si>
  <si>
    <t>Taxes Other Than Income Taxes</t>
  </si>
  <si>
    <t>Income Taxes</t>
  </si>
  <si>
    <t>Operating Income</t>
  </si>
  <si>
    <t>Operating Income - Before Income Taxes</t>
  </si>
  <si>
    <t>BEFREV</t>
  </si>
  <si>
    <t>REFC</t>
  </si>
  <si>
    <t>Revenue</t>
  </si>
  <si>
    <t>BASE PERIOD REVENUES BY PRODUCT</t>
  </si>
  <si>
    <t>Product</t>
  </si>
  <si>
    <t>Product Desc.</t>
  </si>
  <si>
    <t>BBEREV</t>
  </si>
  <si>
    <t>Bundled Base Revenue Elect</t>
  </si>
  <si>
    <t>Base Elec Fuel Rev</t>
  </si>
  <si>
    <t>REDSM</t>
  </si>
  <si>
    <t>Demand Side Mgmt Elec</t>
  </si>
  <si>
    <t>Fuel Cost Adjustment</t>
  </si>
  <si>
    <t>RKEPSM</t>
  </si>
  <si>
    <t>Off-SystemSales Profit Sharing</t>
  </si>
  <si>
    <t>ROEESM</t>
  </si>
  <si>
    <t>Environmental Surcharge Mechan</t>
  </si>
  <si>
    <t>UNBILL</t>
  </si>
  <si>
    <t>Unbill Total (inc base&amp; rider)</t>
  </si>
  <si>
    <t>CAPCTY</t>
  </si>
  <si>
    <t>FACASM</t>
  </si>
  <si>
    <t>FAC-Ancillary Services</t>
  </si>
  <si>
    <t>FER668</t>
  </si>
  <si>
    <t>FERC 668 Netting</t>
  </si>
  <si>
    <t>SLSRSL</t>
  </si>
  <si>
    <t>Sales for Resale</t>
  </si>
  <si>
    <t xml:space="preserve"> </t>
  </si>
  <si>
    <t>GP0000</t>
  </si>
  <si>
    <t>Green Power</t>
  </si>
  <si>
    <t>MRJC</t>
  </si>
  <si>
    <t>Rev-Jobbing And Contract Work</t>
  </si>
  <si>
    <t>MROTH</t>
  </si>
  <si>
    <t>NonUtil Misc Serv Rev - Oth</t>
  </si>
  <si>
    <t>PDREV</t>
  </si>
  <si>
    <t>PD Revenue</t>
  </si>
  <si>
    <t>OARG</t>
  </si>
  <si>
    <t>Other Attachments Regulated</t>
  </si>
  <si>
    <t>SMCDST</t>
  </si>
  <si>
    <t>Distribution Small Cell</t>
  </si>
  <si>
    <t>SMCLRG</t>
  </si>
  <si>
    <t>Regulated Small Cell</t>
  </si>
  <si>
    <t>WRLATT</t>
  </si>
  <si>
    <t>Wireless Regulated</t>
  </si>
  <si>
    <t>BDPCHG</t>
  </si>
  <si>
    <t>Profit Or Loss On Sale Of M&amp;S</t>
  </si>
  <si>
    <t>FACFTR</t>
  </si>
  <si>
    <t>Fuel Adj Clause - FTR</t>
  </si>
  <si>
    <t>FORECASTED PERIOD</t>
  </si>
  <si>
    <t>Operating Expenses</t>
  </si>
  <si>
    <t>Various</t>
  </si>
  <si>
    <t>FORECASTED PERIOD REVENUES BY PRODUCT</t>
  </si>
  <si>
    <t>Distribution Revenue Elect</t>
  </si>
  <si>
    <t>Generation Revenue</t>
  </si>
  <si>
    <t>Transmission Revenue Elect</t>
  </si>
  <si>
    <t>Environmental Surcharge</t>
  </si>
  <si>
    <t>NO VALUE</t>
  </si>
  <si>
    <t>Intercompany Sales of Water</t>
  </si>
  <si>
    <t>OTHER</t>
  </si>
  <si>
    <t>MISO - Other Charges</t>
  </si>
  <si>
    <t>Regional Transmission Service Revenues</t>
  </si>
  <si>
    <t>Unadjusted</t>
  </si>
  <si>
    <t>Forecasted</t>
  </si>
  <si>
    <t>Period</t>
  </si>
  <si>
    <t>Amount</t>
  </si>
  <si>
    <t>%</t>
  </si>
  <si>
    <t>ALLOCTABLE</t>
  </si>
  <si>
    <t>C319</t>
  </si>
  <si>
    <t>Customer Accounts Expenses</t>
  </si>
  <si>
    <t>D149</t>
  </si>
  <si>
    <t>Distribution gross plant factor</t>
  </si>
  <si>
    <t>D249</t>
  </si>
  <si>
    <t>Distribution net plant factor</t>
  </si>
  <si>
    <t>DALL</t>
  </si>
  <si>
    <t>Direct Assign</t>
  </si>
  <si>
    <t>DE49</t>
  </si>
  <si>
    <t>Depreciation expense factor</t>
  </si>
  <si>
    <t>DEA</t>
  </si>
  <si>
    <t>Emission Allowance - Native</t>
  </si>
  <si>
    <t>DNON</t>
  </si>
  <si>
    <t>K201</t>
  </si>
  <si>
    <t>Average of 12 months demand factor</t>
  </si>
  <si>
    <t>K209</t>
  </si>
  <si>
    <t>Average of 12 months demand factor less lighting</t>
  </si>
  <si>
    <t>K301</t>
  </si>
  <si>
    <t>Total kWh energy factor</t>
  </si>
  <si>
    <t>K305</t>
  </si>
  <si>
    <t>Total kWh energy factor less lighting</t>
  </si>
  <si>
    <t>K411</t>
  </si>
  <si>
    <t>Administrative &amp; General</t>
  </si>
  <si>
    <t>NP29</t>
  </si>
  <si>
    <t>Total net plant factor</t>
  </si>
  <si>
    <t>UNBL</t>
  </si>
  <si>
    <t>Unbilled revenue factor - directly assigned</t>
  </si>
  <si>
    <t>Capitalization</t>
  </si>
  <si>
    <t>Rate of Return</t>
  </si>
  <si>
    <t>Operating Revenue</t>
  </si>
  <si>
    <t>Total Revenue</t>
  </si>
  <si>
    <t>Production Expenses</t>
  </si>
  <si>
    <t xml:space="preserve">  Fuel and Purchased Power Expense</t>
  </si>
  <si>
    <t xml:space="preserve">  Other Production Expenses</t>
  </si>
  <si>
    <t>Total Power Production Expense</t>
  </si>
  <si>
    <t>Transmission Expense</t>
  </si>
  <si>
    <t>Distribution Expense</t>
  </si>
  <si>
    <t>Customer Accounts Expense</t>
  </si>
  <si>
    <t>Customer Service &amp; Information Expense</t>
  </si>
  <si>
    <t>Administrative &amp; General Expense</t>
  </si>
  <si>
    <t xml:space="preserve">   Total Operation and Maintenance Expense</t>
  </si>
  <si>
    <t>Total Operating Expenses and Taxes</t>
  </si>
  <si>
    <t>OVERALL FINANCIAL SUMMARY</t>
  </si>
  <si>
    <t>SCHEDULE A</t>
  </si>
  <si>
    <t>PAGE  1  OF  1</t>
  </si>
  <si>
    <t>WORK PAPER REFERENCE NO(S).: SEE BELOW</t>
  </si>
  <si>
    <t>WITNESS RESPONSIBLE:</t>
  </si>
  <si>
    <t>SUPPORTING</t>
  </si>
  <si>
    <t>JURISDICTIONAL REVENUE REQUIREMENTS</t>
  </si>
  <si>
    <t>LINE</t>
  </si>
  <si>
    <t>SCHEDULE</t>
  </si>
  <si>
    <t>BASE</t>
  </si>
  <si>
    <t>FORECASTED</t>
  </si>
  <si>
    <t xml:space="preserve"> NO.</t>
  </si>
  <si>
    <t>DESCRIPTION</t>
  </si>
  <si>
    <t>REFERENCE</t>
  </si>
  <si>
    <t>PERIOD</t>
  </si>
  <si>
    <t>Rate Base</t>
  </si>
  <si>
    <t>B-1</t>
  </si>
  <si>
    <t>C-2</t>
  </si>
  <si>
    <t>Earned Rate of Return (Line 2 / Line 1)</t>
  </si>
  <si>
    <t>J-1</t>
  </si>
  <si>
    <t>Required Operating Income (Line 1 x Line 4)</t>
  </si>
  <si>
    <t>Operating Income Deficiency (Line 5 - Line 2)</t>
  </si>
  <si>
    <t>Gross Revenue Conversion Factor</t>
  </si>
  <si>
    <t>H</t>
  </si>
  <si>
    <t>Revenue Deficiency (Line 6 x Line 7)</t>
  </si>
  <si>
    <t>C-1</t>
  </si>
  <si>
    <t>N/A</t>
  </si>
  <si>
    <t>Adjusted Operating Revenues</t>
  </si>
  <si>
    <t>Revenue Requirements (Line 9 + Line 10)</t>
  </si>
  <si>
    <t>Source</t>
  </si>
  <si>
    <t>Depreciation</t>
  </si>
  <si>
    <t>Federal Income Taxes</t>
  </si>
  <si>
    <t>State Income Taxes</t>
  </si>
  <si>
    <t>JURISDICTIONAL RATE BASE SUMMARY</t>
  </si>
  <si>
    <t>SCHEDULE B-1</t>
  </si>
  <si>
    <t>13 MONTH AVG.</t>
  </si>
  <si>
    <t>FORECAST</t>
  </si>
  <si>
    <t>RATE BASE COMPONENT</t>
  </si>
  <si>
    <t>Adjusted Jurisdictional Plant in Service</t>
  </si>
  <si>
    <t>B-2</t>
  </si>
  <si>
    <t>Accumulated Depreciation and Amortization</t>
  </si>
  <si>
    <t>B-3 / B-3.2</t>
  </si>
  <si>
    <t>(1)</t>
  </si>
  <si>
    <t>Net Plant in Service (Line 1 + Line 2)</t>
  </si>
  <si>
    <t>Construction Work in Progress</t>
  </si>
  <si>
    <t>B-4</t>
  </si>
  <si>
    <t>(2)</t>
  </si>
  <si>
    <t>Cash Working Capital Allowance</t>
  </si>
  <si>
    <t>B-5</t>
  </si>
  <si>
    <t>Other Working Capital Allowances</t>
  </si>
  <si>
    <t>Other Items:</t>
  </si>
  <si>
    <t xml:space="preserve">      Customers' Advances for Construction</t>
  </si>
  <si>
    <t>B-6</t>
  </si>
  <si>
    <t xml:space="preserve">      Investment Tax Credits </t>
  </si>
  <si>
    <t xml:space="preserve">      Deferred Income Taxes</t>
  </si>
  <si>
    <t>(3)</t>
  </si>
  <si>
    <t xml:space="preserve">      Excess ADIT</t>
  </si>
  <si>
    <t xml:space="preserve">      Other Rate Base Adjustments</t>
  </si>
  <si>
    <t>WPB-1.1a</t>
  </si>
  <si>
    <t>Jurisdictional Rate Base (Line 3 through Line 12)</t>
  </si>
  <si>
    <t>(1) Includes an average of the annualized depreciation adjustment per Schedule D-2.24.</t>
  </si>
  <si>
    <t>(2) The Company is not requesting to include recovery of CWIP in base rates.</t>
  </si>
  <si>
    <t>REGULATORY ASSETS</t>
  </si>
  <si>
    <t>FOR THE BASE PERIOD AND THE FORECASTED PERIOD</t>
  </si>
  <si>
    <t>Amortization</t>
  </si>
  <si>
    <t/>
  </si>
  <si>
    <t>Monthly</t>
  </si>
  <si>
    <t>Balance as of</t>
  </si>
  <si>
    <t>13 Month Avg.</t>
  </si>
  <si>
    <t>NO.</t>
  </si>
  <si>
    <t>To Be</t>
  </si>
  <si>
    <t>Start</t>
  </si>
  <si>
    <t>February</t>
  </si>
  <si>
    <t>March - June</t>
  </si>
  <si>
    <t>June</t>
  </si>
  <si>
    <t>July  - June</t>
  </si>
  <si>
    <t>Rate Case</t>
  </si>
  <si>
    <t>Amortized</t>
  </si>
  <si>
    <t>Date</t>
  </si>
  <si>
    <t>Deferred Forced Outage Purchase Power</t>
  </si>
  <si>
    <t>5 YEAR</t>
  </si>
  <si>
    <t>Deferred Plant Outage O&amp;M</t>
  </si>
  <si>
    <t>Carbon Management Regulatory Asset</t>
  </si>
  <si>
    <t>5/1/20218</t>
  </si>
  <si>
    <t>10 YEAR</t>
  </si>
  <si>
    <t>2024-00xxx Rate Case Expense</t>
  </si>
  <si>
    <t>2019-00271 Rate Case Expense</t>
  </si>
  <si>
    <t>2022-00372 Rate Case Expense</t>
  </si>
  <si>
    <t xml:space="preserve">     |</t>
  </si>
  <si>
    <t xml:space="preserve">     V</t>
  </si>
  <si>
    <t>To SCH B1</t>
  </si>
  <si>
    <t>186xxx</t>
  </si>
  <si>
    <t>Balance</t>
  </si>
  <si>
    <t>2/2025</t>
  </si>
  <si>
    <t>3/2025</t>
  </si>
  <si>
    <t>4/2025</t>
  </si>
  <si>
    <t>5/2025</t>
  </si>
  <si>
    <t>6/2025</t>
  </si>
  <si>
    <t>7/2025</t>
  </si>
  <si>
    <t>8/2025</t>
  </si>
  <si>
    <t>9/2025</t>
  </si>
  <si>
    <t>10/2025</t>
  </si>
  <si>
    <t>11/2025</t>
  </si>
  <si>
    <t>12/2025</t>
  </si>
  <si>
    <t>13 Month Average</t>
  </si>
  <si>
    <t>PLANT IN SERVICE BY MAJOR PROPERTY GROUPING</t>
  </si>
  <si>
    <t>SCHEDULE B-2</t>
  </si>
  <si>
    <t>PAGE  1  OF  2</t>
  </si>
  <si>
    <t>WORK PAPER REFERENCE NO(S).: SCHEDULE B-2.1</t>
  </si>
  <si>
    <t>Line</t>
  </si>
  <si>
    <t>Jurisdictional</t>
  </si>
  <si>
    <t>Adjusted</t>
  </si>
  <si>
    <t>No.</t>
  </si>
  <si>
    <t>Major Property Groupings</t>
  </si>
  <si>
    <t>Adjustments</t>
  </si>
  <si>
    <t>Jurisdiction</t>
  </si>
  <si>
    <t>$</t>
  </si>
  <si>
    <t>Steam Production</t>
  </si>
  <si>
    <t>Other Production</t>
  </si>
  <si>
    <t>General</t>
  </si>
  <si>
    <t>Common (Allocated to Electric)</t>
  </si>
  <si>
    <t>Completed Construction</t>
  </si>
  <si>
    <t xml:space="preserve">  Not Classified (1)</t>
  </si>
  <si>
    <t>Other (specify)</t>
  </si>
  <si>
    <t xml:space="preserve">   TOTAL</t>
  </si>
  <si>
    <t>(1) Included in each function on Schedule B-2.1</t>
  </si>
  <si>
    <t>PAGE  2  OF  2</t>
  </si>
  <si>
    <t>13 Month</t>
  </si>
  <si>
    <t>Average</t>
  </si>
  <si>
    <t>Forecasted Period</t>
  </si>
  <si>
    <t>\F</t>
  </si>
  <si>
    <t>\B</t>
  </si>
  <si>
    <t>\A</t>
  </si>
  <si>
    <t>\C</t>
  </si>
  <si>
    <t>\D</t>
  </si>
  <si>
    <t>\E</t>
  </si>
  <si>
    <t>PLANT IN SERVICE BY ACCOUNTS AND SUBACCOUNTS</t>
  </si>
  <si>
    <t>STEAM PRODUCTION PLANT</t>
  </si>
  <si>
    <t>SCHEDULE B-2.1</t>
  </si>
  <si>
    <t>PAGE  1  OF  12</t>
  </si>
  <si>
    <t>WORK PAPER REFERENCE NO(S).: SCHEDULE B-2.2, SCHEDULE B-2.3</t>
  </si>
  <si>
    <t>Company</t>
  </si>
  <si>
    <t>Acct.</t>
  </si>
  <si>
    <t>Account Title</t>
  </si>
  <si>
    <t>Land and Land Rights</t>
  </si>
  <si>
    <t>Structures &amp; Improvements</t>
  </si>
  <si>
    <t>Boiler Plant Equipment</t>
  </si>
  <si>
    <t>Boiler Plant Equip - SCR Catalyst</t>
  </si>
  <si>
    <t>Turbogenerator Equipment</t>
  </si>
  <si>
    <t>Accessory Electric Equipment</t>
  </si>
  <si>
    <t>Miscellaneous Powerplant Equipment</t>
  </si>
  <si>
    <t>ARO - Steam Production</t>
  </si>
  <si>
    <t>Case 2015-120 Acq of DPL Share of East Bend</t>
  </si>
  <si>
    <t>Completed Construction Not Classified</t>
  </si>
  <si>
    <t xml:space="preserve">     Total Steam Production Plant </t>
  </si>
  <si>
    <t>OTHER PRODUCTION PLANT</t>
  </si>
  <si>
    <t>PAGE  2  OF  12</t>
  </si>
  <si>
    <t>1</t>
  </si>
  <si>
    <t>Rights of Way</t>
  </si>
  <si>
    <t>Fuel Holders, Producers, Accessories</t>
  </si>
  <si>
    <t>3430, 3431</t>
  </si>
  <si>
    <t>Prime Movers</t>
  </si>
  <si>
    <t>Generators</t>
  </si>
  <si>
    <t xml:space="preserve">Solar Generators </t>
  </si>
  <si>
    <t xml:space="preserve">Solar Accessory Electric Equipment </t>
  </si>
  <si>
    <t>Miscellaneous Plant Equipment</t>
  </si>
  <si>
    <t>ARO - Solar</t>
  </si>
  <si>
    <t xml:space="preserve">     Total Other Production Plant </t>
  </si>
  <si>
    <t>TRANSMISSION PLANT</t>
  </si>
  <si>
    <t>PAGE  3  OF  12</t>
  </si>
  <si>
    <t>Land</t>
  </si>
  <si>
    <t>Station Equipment</t>
  </si>
  <si>
    <t>Station Equipment - Step Up</t>
  </si>
  <si>
    <t>Station Equipment - Major</t>
  </si>
  <si>
    <t>Station Equipment - Step Up Equipment</t>
  </si>
  <si>
    <t>Poles &amp; Fixtures</t>
  </si>
  <si>
    <t>Overhead Conductors &amp; Devices</t>
  </si>
  <si>
    <t>Overhead Conductors - Clear R/W</t>
  </si>
  <si>
    <t xml:space="preserve">     Total Transmission Plant</t>
  </si>
  <si>
    <t>DISTRIBUTION PLANT</t>
  </si>
  <si>
    <t>PAGE  4  OF  12</t>
  </si>
  <si>
    <t>Storage Battery Equipment</t>
  </si>
  <si>
    <t>Poles, Towers &amp; Fixtures</t>
  </si>
  <si>
    <t>Underground Conduit</t>
  </si>
  <si>
    <t>Underground Conductors &amp; Devices</t>
  </si>
  <si>
    <t>Line Transformers</t>
  </si>
  <si>
    <t>Customers Transformer Installation</t>
  </si>
  <si>
    <t>Services - Underground</t>
  </si>
  <si>
    <t>Services - Overhead</t>
  </si>
  <si>
    <t>Meters</t>
  </si>
  <si>
    <t>AMI Meters</t>
  </si>
  <si>
    <t>3711, 3712</t>
  </si>
  <si>
    <t>Company Owned Outdoor Lighting</t>
  </si>
  <si>
    <t>Leased Property on Customers</t>
  </si>
  <si>
    <t xml:space="preserve">Street Lighting - Overhead  </t>
  </si>
  <si>
    <t>Street Lighting - Boulevard</t>
  </si>
  <si>
    <t>Street Lighting - Cust, Private Outdoor Lighting</t>
  </si>
  <si>
    <t>Light Choice OLE</t>
  </si>
  <si>
    <t xml:space="preserve">     Total Distribution Plant</t>
  </si>
  <si>
    <t>GENERAL PLANT</t>
  </si>
  <si>
    <t>PAGE  5  OF  12</t>
  </si>
  <si>
    <t>Miscellaneous Intangible Plant</t>
  </si>
  <si>
    <t>Office Furniture &amp; Equipment</t>
  </si>
  <si>
    <t>Electronic Data Proc Equip</t>
  </si>
  <si>
    <t>Transportation Equipment</t>
  </si>
  <si>
    <t>Trailers</t>
  </si>
  <si>
    <t>Tools, Shop &amp; Garage Equipment</t>
  </si>
  <si>
    <t>Power Operated Equipment</t>
  </si>
  <si>
    <t>Communication Equipment</t>
  </si>
  <si>
    <t xml:space="preserve">     Total General Plant</t>
  </si>
  <si>
    <t xml:space="preserve">     Total Electric Plant</t>
  </si>
  <si>
    <t>COMMON PLANT</t>
  </si>
  <si>
    <t>PAGE  6  OF  12</t>
  </si>
  <si>
    <t>Office Furniture &amp; Equipment - EDP Equipment</t>
  </si>
  <si>
    <t>Miscellaneous Equipment</t>
  </si>
  <si>
    <t>ARO - Common Plant</t>
  </si>
  <si>
    <t xml:space="preserve">     Total Common Plant</t>
  </si>
  <si>
    <t>Common Plant Allocated to Electric</t>
  </si>
  <si>
    <t>Total Electric Plant Including Allocated Common</t>
  </si>
  <si>
    <t>PAGE  7  OF  12</t>
  </si>
  <si>
    <t xml:space="preserve">     Total Production Plant </t>
  </si>
  <si>
    <t>PAGE  8  OF  12</t>
  </si>
  <si>
    <t>PAGE  9  OF  12</t>
  </si>
  <si>
    <t>PAGE  10  OF  12</t>
  </si>
  <si>
    <t>Poles,Towers &amp; Fixtures</t>
  </si>
  <si>
    <t>PAGE  11  OF  12</t>
  </si>
  <si>
    <t xml:space="preserve">    Total Electric Plant</t>
  </si>
  <si>
    <t>PAGE  12  OF  12</t>
  </si>
  <si>
    <t>ADJUSTMENTS TO PLANT IN SERVICE</t>
  </si>
  <si>
    <t>SCHEDULE B-2.2</t>
  </si>
  <si>
    <t>WORK PAPER REFERENCE NO(S).:</t>
  </si>
  <si>
    <t>Description and</t>
  </si>
  <si>
    <t>Workpaper</t>
  </si>
  <si>
    <t>Purpose of</t>
  </si>
  <si>
    <t>Adjustment</t>
  </si>
  <si>
    <t>Reference No.</t>
  </si>
  <si>
    <t>To remove ARO balances</t>
  </si>
  <si>
    <t>To exclude street lighting balances</t>
  </si>
  <si>
    <t>Environmental Compliance Assets</t>
  </si>
  <si>
    <t>To remove assets recovered in Rider ESM</t>
  </si>
  <si>
    <t>To add DP&amp;L Share of East Bend to Rate Base</t>
  </si>
  <si>
    <t>Total Adjustments</t>
  </si>
  <si>
    <t>GROSS ADDITIONS, RETIREMENTS, AND TRANSFERS</t>
  </si>
  <si>
    <t>SCHEDULE B-2.3</t>
  </si>
  <si>
    <t>Transfers/Reclassifications</t>
  </si>
  <si>
    <t>Beginning</t>
  </si>
  <si>
    <t>Explanation</t>
  </si>
  <si>
    <t>Other Accts.</t>
  </si>
  <si>
    <t>Ending</t>
  </si>
  <si>
    <t>Title</t>
  </si>
  <si>
    <t>Additions</t>
  </si>
  <si>
    <t>Retirements</t>
  </si>
  <si>
    <t>of Transfer</t>
  </si>
  <si>
    <t>Involved</t>
  </si>
  <si>
    <t>Miscellaneous Power Plant Equipment</t>
  </si>
  <si>
    <t>3170</t>
  </si>
  <si>
    <t xml:space="preserve">     Total Steam Production Plant</t>
  </si>
  <si>
    <t>Solar Generators</t>
  </si>
  <si>
    <t xml:space="preserve">     Total Other Production Plant</t>
  </si>
  <si>
    <t xml:space="preserve">WORK PAPER REFERENCE NO(S).: </t>
  </si>
  <si>
    <t>2</t>
  </si>
  <si>
    <t>3</t>
  </si>
  <si>
    <t>4</t>
  </si>
  <si>
    <t>5</t>
  </si>
  <si>
    <t>6</t>
  </si>
  <si>
    <t>7</t>
  </si>
  <si>
    <t>8</t>
  </si>
  <si>
    <t>9</t>
  </si>
  <si>
    <t>Solar Accessory Electric Equipment</t>
  </si>
  <si>
    <t>10</t>
  </si>
  <si>
    <t xml:space="preserve">13 Month </t>
  </si>
  <si>
    <t>PROPERTY MERGED OR ACQUIRED</t>
  </si>
  <si>
    <t>SCHEDULE B-2.4</t>
  </si>
  <si>
    <t>Commission</t>
  </si>
  <si>
    <t>Acquisition</t>
  </si>
  <si>
    <t>Cost</t>
  </si>
  <si>
    <t>Approval Date</t>
  </si>
  <si>
    <t>Date of</t>
  </si>
  <si>
    <t>of</t>
  </si>
  <si>
    <t>of Property</t>
  </si>
  <si>
    <t>Basis</t>
  </si>
  <si>
    <t>(Docket No.)</t>
  </si>
  <si>
    <t>Treatment</t>
  </si>
  <si>
    <t xml:space="preserve">    The company has not merged or acquired property from other than affiliated companies.</t>
  </si>
  <si>
    <t>LEASED PROPERTY</t>
  </si>
  <si>
    <t>ELECTRIC AND COMMON</t>
  </si>
  <si>
    <t>SCHEDULE B-2.5</t>
  </si>
  <si>
    <t>Dollar</t>
  </si>
  <si>
    <t xml:space="preserve">Identification </t>
  </si>
  <si>
    <t>Value of</t>
  </si>
  <si>
    <t>or Reference</t>
  </si>
  <si>
    <t>Description of Type</t>
  </si>
  <si>
    <t>Name of</t>
  </si>
  <si>
    <t>Frequency</t>
  </si>
  <si>
    <t>Amount of</t>
  </si>
  <si>
    <t>Property</t>
  </si>
  <si>
    <t>Explain Method of</t>
  </si>
  <si>
    <t>Number</t>
  </si>
  <si>
    <t>and Use of Property</t>
  </si>
  <si>
    <t>Lessee</t>
  </si>
  <si>
    <t>of Payment</t>
  </si>
  <si>
    <t>Lease Payment</t>
  </si>
  <si>
    <t>The company has no forecasted property leases as of June 30, 2026.</t>
  </si>
  <si>
    <t>PROPERTY HELD FOR FUTURE USE INCLUDED IN RATE BASE</t>
  </si>
  <si>
    <t>SCHEDULE B-2.6</t>
  </si>
  <si>
    <t>Net</t>
  </si>
  <si>
    <t>Revenue Realized</t>
  </si>
  <si>
    <t>Expenses Incurred</t>
  </si>
  <si>
    <t>and Location</t>
  </si>
  <si>
    <t>Original</t>
  </si>
  <si>
    <t>Accumulated</t>
  </si>
  <si>
    <t>The company has no plant held for future use included in rate base.</t>
  </si>
  <si>
    <t>PROPERTY EXCLUDED FROM RATE BASE</t>
  </si>
  <si>
    <t>(FOR REASONS OTHER THAN JURISDICTIONAL ALLOCATION)</t>
  </si>
  <si>
    <t>SCHEDULE B-2.7</t>
  </si>
  <si>
    <t>Accum.</t>
  </si>
  <si>
    <t>Base Period</t>
  </si>
  <si>
    <t>Depre.</t>
  </si>
  <si>
    <t>Revenue and Expense</t>
  </si>
  <si>
    <t>Description of</t>
  </si>
  <si>
    <t>In-Service</t>
  </si>
  <si>
    <t>and</t>
  </si>
  <si>
    <t>Reasons</t>
  </si>
  <si>
    <t>Excluded Property</t>
  </si>
  <si>
    <t>Amort.</t>
  </si>
  <si>
    <t>for Exclusion</t>
  </si>
  <si>
    <t>No property is excluded from rate base for reasons other than jurisdictional allocation.</t>
  </si>
  <si>
    <t>ACCUMULATED DEPRECIATION AND AMORTIZATION</t>
  </si>
  <si>
    <t>SCHEDULE B-3</t>
  </si>
  <si>
    <t>WORK PAPER REFERENCE NO(S).: SCHEDULE B-2.1, SCHEDULE B-3.1</t>
  </si>
  <si>
    <t>Base Period Accumulated Balances</t>
  </si>
  <si>
    <t>Company (1)</t>
  </si>
  <si>
    <t>Retirement Work in Progress</t>
  </si>
  <si>
    <t>(1) Plant Investment Includes Completed Construction Not Classified (Account 106)</t>
  </si>
  <si>
    <t>ARO Solar</t>
  </si>
  <si>
    <t>Allocation</t>
  </si>
  <si>
    <t xml:space="preserve">Allocated </t>
  </si>
  <si>
    <t xml:space="preserve">Total </t>
  </si>
  <si>
    <t>3910 - URR</t>
  </si>
  <si>
    <t>Office Furniture &amp; Equipment - Reserve Amortization</t>
  </si>
  <si>
    <t>3911 - URR</t>
  </si>
  <si>
    <t>Electronic Data Proc Equip - Reserve Amortization</t>
  </si>
  <si>
    <t>3940 - URR</t>
  </si>
  <si>
    <t>Tools, Shop &amp; Garage Equipment - Reserve Amortization</t>
  </si>
  <si>
    <t>3970 - URR</t>
  </si>
  <si>
    <t>Communication Equipment - URR</t>
  </si>
  <si>
    <t>1910 - URR</t>
  </si>
  <si>
    <t>1911 - URR</t>
  </si>
  <si>
    <t>Office Furniture &amp; Equipment - EDP Equipment - Res. Amort</t>
  </si>
  <si>
    <t>1940 - URR</t>
  </si>
  <si>
    <t>1970 - URR</t>
  </si>
  <si>
    <t>Communication Equipment - Reserve Amortization</t>
  </si>
  <si>
    <t>1980 - URR</t>
  </si>
  <si>
    <t>Miscellaneous Equipment - Reserve Amortization</t>
  </si>
  <si>
    <t>Original Cost</t>
  </si>
  <si>
    <t>Reserve for Depreciation</t>
  </si>
  <si>
    <t>13 Month Average Forecasted Period Accumulated Balances</t>
  </si>
  <si>
    <t>Period (1)</t>
  </si>
  <si>
    <t>13 Month Average Forecast Period Accumulated Balances</t>
  </si>
  <si>
    <t>11</t>
  </si>
  <si>
    <t>ADJUSTMENTS TO ACCUMULATED DEPRECIATION AND AMORTIZATION</t>
  </si>
  <si>
    <t>SCHEDULE B-3.1</t>
  </si>
  <si>
    <t>WORK PAPER REFERENCE NOS.:</t>
  </si>
  <si>
    <t>3171, 3172</t>
  </si>
  <si>
    <t>ARO - Solar - Other Production</t>
  </si>
  <si>
    <t>DEPRECIATION AND AMORTIZATION ACCRUAL RATES AND</t>
  </si>
  <si>
    <t>JURISDICTIONAL ACCUMULATED BALANCES BY ACCOUNTS,</t>
  </si>
  <si>
    <t>FUNCTIONAL CLASS OR MAJOR PROPERTY GROUP</t>
  </si>
  <si>
    <t>SCHEDULE B-3.2</t>
  </si>
  <si>
    <t>PAGE  1  OF  6</t>
  </si>
  <si>
    <t>WORK PAPER REFERENCE NOS.: SCHEDULE B-2.1, SCHEDULE B-3</t>
  </si>
  <si>
    <t>Adjusted Jurisdiction</t>
  </si>
  <si>
    <t>13-Month Average</t>
  </si>
  <si>
    <t>Proposed</t>
  </si>
  <si>
    <t>Calculated</t>
  </si>
  <si>
    <t>or Major</t>
  </si>
  <si>
    <t>Plant</t>
  </si>
  <si>
    <t>Accrual</t>
  </si>
  <si>
    <t>Depr/Amort</t>
  </si>
  <si>
    <t>% Net</t>
  </si>
  <si>
    <t>Service</t>
  </si>
  <si>
    <t>Curve</t>
  </si>
  <si>
    <t>Property Grouping</t>
  </si>
  <si>
    <t>Investment (1)</t>
  </si>
  <si>
    <t>Rate</t>
  </si>
  <si>
    <t>Expense</t>
  </si>
  <si>
    <t>Salvage</t>
  </si>
  <si>
    <t>Life</t>
  </si>
  <si>
    <t>Form</t>
  </si>
  <si>
    <t>(A)</t>
  </si>
  <si>
    <t>(B-1)</t>
  </si>
  <si>
    <t>(B-2)</t>
  </si>
  <si>
    <t>(C)</t>
  </si>
  <si>
    <t>(D)</t>
  </si>
  <si>
    <t>(E)</t>
  </si>
  <si>
    <t>(F)</t>
  </si>
  <si>
    <t>(G=DxF)</t>
  </si>
  <si>
    <t>(H)</t>
  </si>
  <si>
    <t>(I)</t>
  </si>
  <si>
    <t>(J)</t>
  </si>
  <si>
    <t>Perpetual Life</t>
  </si>
  <si>
    <t>S1</t>
  </si>
  <si>
    <t>S0</t>
  </si>
  <si>
    <t>R3</t>
  </si>
  <si>
    <t>S0.5</t>
  </si>
  <si>
    <t>R2</t>
  </si>
  <si>
    <t>AROs</t>
  </si>
  <si>
    <t>Depr charged to reg asset account</t>
  </si>
  <si>
    <t>-</t>
  </si>
  <si>
    <t>Amort. adjusted for 2038 retirement date</t>
  </si>
  <si>
    <t xml:space="preserve">Total Steam Production Plant </t>
  </si>
  <si>
    <t>(1) Plant Investment includes Completed Construction Not Classified (Account 106).</t>
  </si>
  <si>
    <t>PAGE  2  OF  6</t>
  </si>
  <si>
    <t>R4</t>
  </si>
  <si>
    <t>S1.5</t>
  </si>
  <si>
    <t>S2.5</t>
  </si>
  <si>
    <t>R1.5</t>
  </si>
  <si>
    <t xml:space="preserve">Total Other Production Plant </t>
  </si>
  <si>
    <t>PAGE  3  OF  6</t>
  </si>
  <si>
    <t>R2.5</t>
  </si>
  <si>
    <t>R1</t>
  </si>
  <si>
    <t xml:space="preserve">R1 </t>
  </si>
  <si>
    <t>Total Transmission Plant</t>
  </si>
  <si>
    <t>(1)  Plant Investment includes Completed Construction Not Classified (Account 106).</t>
  </si>
  <si>
    <t>PAGE  4  OF  6</t>
  </si>
  <si>
    <t>R0.5</t>
  </si>
  <si>
    <t>O1</t>
  </si>
  <si>
    <t xml:space="preserve">L1 </t>
  </si>
  <si>
    <t>L3</t>
  </si>
  <si>
    <t>L0.5</t>
  </si>
  <si>
    <t>L0</t>
  </si>
  <si>
    <t>Total Distribution Plant</t>
  </si>
  <si>
    <t>(2)  This account is fully depreciated.</t>
  </si>
  <si>
    <t>PAGE  5  OF  6</t>
  </si>
  <si>
    <t>SQ</t>
  </si>
  <si>
    <t>3910-URR</t>
  </si>
  <si>
    <t>NA</t>
  </si>
  <si>
    <t>3911-URR</t>
  </si>
  <si>
    <t>Transp Expense</t>
  </si>
  <si>
    <t>S3</t>
  </si>
  <si>
    <t>3940-URR</t>
  </si>
  <si>
    <t>L2</t>
  </si>
  <si>
    <t>397-URR</t>
  </si>
  <si>
    <t>Total General Plant</t>
  </si>
  <si>
    <t>Total Electric Plant</t>
  </si>
  <si>
    <t>(2)  5 year life for Unrecovered Reserve for Amortization</t>
  </si>
  <si>
    <t>PAGE  6  OF  6</t>
  </si>
  <si>
    <t>(4)</t>
  </si>
  <si>
    <t>Amortizes over 60 months</t>
  </si>
  <si>
    <t>1910-URR</t>
  </si>
  <si>
    <t>1911-URR</t>
  </si>
  <si>
    <t>1940-URR</t>
  </si>
  <si>
    <t>1970-URR</t>
  </si>
  <si>
    <t>1980-URR</t>
  </si>
  <si>
    <t>Total Common Plant</t>
  </si>
  <si>
    <t>Reserve</t>
  </si>
  <si>
    <t>Annual Provision</t>
  </si>
  <si>
    <t>(2)  Composite of four groups in Structures &amp; Improvements account.</t>
  </si>
  <si>
    <t>(3)  5 year life for Unrecovered Reserve for Amortization</t>
  </si>
  <si>
    <t>(4)  Fully Amortized</t>
  </si>
  <si>
    <t>CONSTRUCTION WORK IN PROGRESS</t>
  </si>
  <si>
    <t>SCHEDULE B-4</t>
  </si>
  <si>
    <t>Jurisdic-</t>
  </si>
  <si>
    <t>tional %</t>
  </si>
  <si>
    <t>Gross</t>
  </si>
  <si>
    <t>Total Common</t>
  </si>
  <si>
    <t>TOTAL ELECTRIC INCLUDING COMMON ALLOCATED</t>
  </si>
  <si>
    <t>Note: The Company is not requesting to include recovery of CWIP in base rates.</t>
  </si>
  <si>
    <t>ALLOWANCE FOR WORKING CAPITAL</t>
  </si>
  <si>
    <t>SCHEDULE B-5</t>
  </si>
  <si>
    <t>DESCRIPTION OF METHODOLOGY</t>
  </si>
  <si>
    <t>WORK PAPER</t>
  </si>
  <si>
    <t>TOTAL COMPANY</t>
  </si>
  <si>
    <t>JURISDICTIONAL</t>
  </si>
  <si>
    <t>USED TO DETERMINE</t>
  </si>
  <si>
    <t>WORKING CAPITAL COMPONENT</t>
  </si>
  <si>
    <t>JURISDICTIONAL REQUIREMENT</t>
  </si>
  <si>
    <t>NUMBER</t>
  </si>
  <si>
    <t>Cash Element of</t>
  </si>
  <si>
    <t xml:space="preserve">    Lead / Lag Study</t>
  </si>
  <si>
    <t xml:space="preserve">   Working Capital</t>
  </si>
  <si>
    <t>Other Working Capital:</t>
  </si>
  <si>
    <t>Fuel Inventory</t>
  </si>
  <si>
    <t>Coal</t>
  </si>
  <si>
    <t>WPB-5.1h</t>
  </si>
  <si>
    <t>Propane - Woodsdale</t>
  </si>
  <si>
    <t>Less: Fuel &amp; Limestone Accounts Payable</t>
  </si>
  <si>
    <t>WPB-5.1j</t>
  </si>
  <si>
    <t>Total Fuel Inventory</t>
  </si>
  <si>
    <t>Gas Enricher Liquids</t>
  </si>
  <si>
    <t>WPB-5.1b</t>
  </si>
  <si>
    <t>Gas Stored Underground</t>
  </si>
  <si>
    <t>WPB-5.1f</t>
  </si>
  <si>
    <t>WPB-5.1i</t>
  </si>
  <si>
    <t>Materials and Supplies</t>
  </si>
  <si>
    <t>WPB-5.1c</t>
  </si>
  <si>
    <t>Prepayments</t>
  </si>
  <si>
    <t>WPB-5.1e</t>
  </si>
  <si>
    <t>Total Other Working Capital</t>
  </si>
  <si>
    <t>Total Working Capital</t>
  </si>
  <si>
    <t xml:space="preserve">  N.C - Not calculated</t>
  </si>
  <si>
    <t>(1) The Base Period is the ending period balance.  The Forecasted Period is a 13 month average balance.</t>
  </si>
  <si>
    <t>WORKING CAPITAL COMPONENTS</t>
  </si>
  <si>
    <t>SCHEDULE B-5.1</t>
  </si>
  <si>
    <t>WORK PAPER REFERENCE NO(S).: WPB-5.1b through WPB-5.1j</t>
  </si>
  <si>
    <t>END OF BASE PERIOD BALANCE</t>
  </si>
  <si>
    <t>JURISDIC-</t>
  </si>
  <si>
    <t xml:space="preserve">     DESCRIPTION</t>
  </si>
  <si>
    <t>TOTAL</t>
  </si>
  <si>
    <t>TIONAL</t>
  </si>
  <si>
    <t>COMPANY</t>
  </si>
  <si>
    <t>AMOUNT</t>
  </si>
  <si>
    <t>(5)</t>
  </si>
  <si>
    <t>(6)</t>
  </si>
  <si>
    <t>Cash Working Capital:</t>
  </si>
  <si>
    <t>Computed</t>
  </si>
  <si>
    <t>WORK PAPER REFERENCE NO(S).: WPB-5.1b through WPB-5.1i</t>
  </si>
  <si>
    <t>13 MONTH AVERAGE FOR PERIOD</t>
  </si>
  <si>
    <t>GAS ENRICHER LIQUIDS</t>
  </si>
  <si>
    <t>ACCT 151126</t>
  </si>
  <si>
    <t>ALLOCATED</t>
  </si>
  <si>
    <t>MONTH</t>
  </si>
  <si>
    <t>ALLOC. (B)</t>
  </si>
  <si>
    <t>March 2024</t>
  </si>
  <si>
    <t>April</t>
  </si>
  <si>
    <t>May</t>
  </si>
  <si>
    <t>July</t>
  </si>
  <si>
    <t>August</t>
  </si>
  <si>
    <t>September</t>
  </si>
  <si>
    <t>October</t>
  </si>
  <si>
    <t>November</t>
  </si>
  <si>
    <t>December</t>
  </si>
  <si>
    <t>January 2025</t>
  </si>
  <si>
    <t>June 2025</t>
  </si>
  <si>
    <t>January 2026</t>
  </si>
  <si>
    <t>March</t>
  </si>
  <si>
    <t xml:space="preserve">  Total</t>
  </si>
  <si>
    <t>13 Month Average - Forecasted Period</t>
  </si>
  <si>
    <t>(A) Source: Company Records</t>
  </si>
  <si>
    <t>(B) Percent Applicable to Kentucky Customers.</t>
  </si>
  <si>
    <t>PREPAYMENTS</t>
  </si>
  <si>
    <t>ALLOC. TO</t>
  </si>
  <si>
    <t>JURIS.</t>
  </si>
  <si>
    <t>ELEC DEPT.</t>
  </si>
  <si>
    <t>ALLOCATION</t>
  </si>
  <si>
    <t xml:space="preserve"> JURISDIC.</t>
  </si>
  <si>
    <t>COMPANY (1)</t>
  </si>
  <si>
    <t xml:space="preserve">     %     </t>
  </si>
  <si>
    <t>CODE</t>
  </si>
  <si>
    <t xml:space="preserve">  AMOUNT</t>
  </si>
  <si>
    <t>Base Period - Ending Balance</t>
  </si>
  <si>
    <t>KPSC Maintenance Tax - Gas</t>
  </si>
  <si>
    <t>KPSC Maintenance Tax - Elec</t>
  </si>
  <si>
    <t>Inter-Co Prepaid Insurance - Elec</t>
  </si>
  <si>
    <t>Inter-Co Prepaid Insurance - Gas</t>
  </si>
  <si>
    <t>Collateral Asset</t>
  </si>
  <si>
    <t xml:space="preserve">    Total</t>
  </si>
  <si>
    <t>Forecasted Period - 13 Month Average Balance</t>
  </si>
  <si>
    <t>DETAIL OF MATERIALS AND SUPPLIES</t>
  </si>
  <si>
    <t>DE-KENTUCKY</t>
  </si>
  <si>
    <t>ALLOCATED TO ELEC DEPT</t>
  </si>
  <si>
    <t>ALLOCATED TO JURISDICTION</t>
  </si>
  <si>
    <t>ACCOUNT NO. and DESCRIPTION</t>
  </si>
  <si>
    <t>INVENTORY (A)</t>
  </si>
  <si>
    <t>ALLOC CODE</t>
  </si>
  <si>
    <t>M&amp;S Inventory - Gas</t>
  </si>
  <si>
    <t>M&amp;S Inventory - Electric</t>
  </si>
  <si>
    <t>Limestone Inventory - Electric</t>
  </si>
  <si>
    <t>Working Stock - Gas</t>
  </si>
  <si>
    <t>Working Stock - Electric</t>
  </si>
  <si>
    <t>Sch. M Inventory Surplus - Cr</t>
  </si>
  <si>
    <t xml:space="preserve"> Stores Expense - Gas</t>
  </si>
  <si>
    <t xml:space="preserve"> Stores Expense - Electric</t>
  </si>
  <si>
    <t>NATURAL GAS STORAGE BALANCE (ACCT NOS. 164100 &amp; 174273)</t>
  </si>
  <si>
    <t xml:space="preserve">  MONTH  </t>
  </si>
  <si>
    <t>AMOUNT (A)</t>
  </si>
  <si>
    <t>Thirteen Month Average Balance</t>
  </si>
  <si>
    <t>(A) Company Records</t>
  </si>
  <si>
    <t>WPB-5.1d</t>
  </si>
  <si>
    <t>PAGE 1 OF 1</t>
  </si>
  <si>
    <t>MATERIAL &amp; SUPPLIES</t>
  </si>
  <si>
    <t>ACCOUNT</t>
  </si>
  <si>
    <t>154100 - Gas</t>
  </si>
  <si>
    <t>154410 - Gas</t>
  </si>
  <si>
    <t>154100 - Elec</t>
  </si>
  <si>
    <t>154200 - Elec</t>
  </si>
  <si>
    <t>154410 - Elec</t>
  </si>
  <si>
    <t>154990 - Elec</t>
  </si>
  <si>
    <t>163110 - Gas</t>
  </si>
  <si>
    <t>163110 - Elec</t>
  </si>
  <si>
    <t xml:space="preserve">Base Period </t>
  </si>
  <si>
    <t>To WPB-5.1c</t>
  </si>
  <si>
    <t>Note: Source is Company general ledger.</t>
  </si>
  <si>
    <t>WPB-5.1g</t>
  </si>
  <si>
    <t>Prepaid</t>
  </si>
  <si>
    <t>Public Utility</t>
  </si>
  <si>
    <t>Insurance - Elec</t>
  </si>
  <si>
    <t>Insurance - Gas</t>
  </si>
  <si>
    <t>Fees - Gas</t>
  </si>
  <si>
    <t>Fees - Elec</t>
  </si>
  <si>
    <t>Elec</t>
  </si>
  <si>
    <t>165075 (A)</t>
  </si>
  <si>
    <t>165400 (A)</t>
  </si>
  <si>
    <t>165520 (A)</t>
  </si>
  <si>
    <t>To WPB-5.1e</t>
  </si>
  <si>
    <t>FUEL</t>
  </si>
  <si>
    <t>Coal Stocks</t>
  </si>
  <si>
    <t>Propane</t>
  </si>
  <si>
    <t>Diesel Fuel</t>
  </si>
  <si>
    <t>Woodsdale</t>
  </si>
  <si>
    <t>151130 (A)</t>
  </si>
  <si>
    <t>151131 (A)</t>
  </si>
  <si>
    <t>151140 (A)</t>
  </si>
  <si>
    <t>151660 (A)</t>
  </si>
  <si>
    <t>151700 (A)</t>
  </si>
  <si>
    <t>To SCH B-5.1</t>
  </si>
  <si>
    <t>EMISSION ALLOWANCES</t>
  </si>
  <si>
    <t>SO2 EA</t>
  </si>
  <si>
    <t>NOx</t>
  </si>
  <si>
    <t>158150 (A)</t>
  </si>
  <si>
    <t>158170 (A)</t>
  </si>
  <si>
    <t>158183 (A)</t>
  </si>
  <si>
    <t>EA Inventory</t>
  </si>
  <si>
    <t>(A) The Company recovers emission allowance inventory in its Environmental Surcharge Mechanism.</t>
  </si>
  <si>
    <t>ACCOUNTS PAYABLE FOR FUEL AND LIMESTONE INVENTORY</t>
  </si>
  <si>
    <t>Limestone</t>
  </si>
  <si>
    <t>232170 (A)</t>
  </si>
  <si>
    <t>232175 (A)</t>
  </si>
  <si>
    <t>232180 (A)</t>
  </si>
  <si>
    <t>CERTAIN DEFERRED CREDITS AND ACCUMULATED DEFERRED INCOME TAXES</t>
  </si>
  <si>
    <t>SCHEDULE B-6</t>
  </si>
  <si>
    <t>WORK PAPER REFERENCE NO(S).: WPB-6a</t>
  </si>
  <si>
    <t>ADJUSTED</t>
  </si>
  <si>
    <t>ADJUSTMENT</t>
  </si>
  <si>
    <t>Investment Tax Credits: (A)</t>
  </si>
  <si>
    <t xml:space="preserve">  3% Credit</t>
  </si>
  <si>
    <t xml:space="preserve">  4% Credit</t>
  </si>
  <si>
    <t>10% Credit</t>
  </si>
  <si>
    <t>30% Credit</t>
  </si>
  <si>
    <t>Total Investment Tax Credits</t>
  </si>
  <si>
    <t>(B)</t>
  </si>
  <si>
    <t>190, 281,</t>
  </si>
  <si>
    <t>Deferred Income Taxes:</t>
  </si>
  <si>
    <t>282, 283</t>
  </si>
  <si>
    <t xml:space="preserve">   Total Deferred Income Taxes</t>
  </si>
  <si>
    <t>Total Regulatory Liability - Excess Deferred Taxes</t>
  </si>
  <si>
    <t>Total Regulatory Liability - State Excess Deferred Taxes</t>
  </si>
  <si>
    <t>Sources:</t>
  </si>
  <si>
    <t>(A) The company elected the ratable flow through option in 1971 as provided under Section 46(f)(2).</t>
  </si>
  <si>
    <t>(B) Included on Schedule B-1 as Investment Tax Credits, Line 9.</t>
  </si>
  <si>
    <t>(C) Included on Schedule B-1 as Deferred Income Taxes, Line 10.</t>
  </si>
  <si>
    <t>(D) Included on Schedule B-1 as Excess Deferred Income Taxes, Line 11.</t>
  </si>
  <si>
    <t>(E) Excluded from Rate Base.</t>
  </si>
  <si>
    <t>Note:</t>
  </si>
  <si>
    <t xml:space="preserve"> - Amounts are electric only</t>
  </si>
  <si>
    <t xml:space="preserve"> - Non-cash transactions not included in these amounts</t>
  </si>
  <si>
    <t>13 MONTH</t>
  </si>
  <si>
    <t>AVERAGE</t>
  </si>
  <si>
    <t>190, 282, 283</t>
  </si>
  <si>
    <t>Total Deferred Income Taxes</t>
  </si>
  <si>
    <t>(D) Excluded from Rate Base.</t>
  </si>
  <si>
    <t>(E) Adjustment to eliminate ADIT for items not included in rate base.</t>
  </si>
  <si>
    <t>(F) Included on Schedule B-1 as Excess Deferred Income Taxes, Line 11.</t>
  </si>
  <si>
    <t>WPB-6a</t>
  </si>
  <si>
    <t>END OF MONTH BALANCES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</si>
  <si>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</si>
  <si>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</si>
  <si>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</si>
  <si>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</si>
  <si>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</si>
  <si>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</si>
  <si>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</si>
  <si>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</si>
  <si>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</si>
  <si>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</si>
  <si>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</si>
  <si>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GAS</t>
  </si>
  <si>
    <t>Customers' Advances for Construction</t>
  </si>
  <si>
    <t>Investment Tax Credits:</t>
  </si>
  <si>
    <t>Accumulated Deferred Income Taxes:</t>
  </si>
  <si>
    <t>Total Account 190</t>
  </si>
  <si>
    <t>Account 282 - Other</t>
  </si>
  <si>
    <t>Liberalized Depreciation</t>
  </si>
  <si>
    <t>Account 283 - Other</t>
  </si>
  <si>
    <t>Unrecovered Purchased Gas Cost</t>
  </si>
  <si>
    <t>Regulatory Liability - Excess Deferred Taxes</t>
  </si>
  <si>
    <t>Protected</t>
  </si>
  <si>
    <t>Unprotected</t>
  </si>
  <si>
    <t>Regulatory Liability - State Excess Deferred Taxes</t>
  </si>
  <si>
    <t>ELECTRIC</t>
  </si>
  <si>
    <t>Total Account 281</t>
  </si>
  <si>
    <t>Total Account 283</t>
  </si>
  <si>
    <t>NON-UTILITY</t>
  </si>
  <si>
    <t>WPB-6b</t>
  </si>
  <si>
    <t>THIRTEEN MONTH AVERAGE BALANCE</t>
  </si>
  <si>
    <t>JULY</t>
  </si>
  <si>
    <t>PRORATED</t>
  </si>
  <si>
    <t>ADIT</t>
  </si>
  <si>
    <t>Total Account 282</t>
  </si>
  <si>
    <t>Monthly Change 282 ADIT</t>
  </si>
  <si>
    <t>Monthly Proration</t>
  </si>
  <si>
    <t>Prorated 282 ADIT</t>
  </si>
  <si>
    <t>Prorated ADIT</t>
  </si>
  <si>
    <t>Monthly Change Protected Excess Deferred Taxes</t>
  </si>
  <si>
    <t>Prorated 254 Protected Excess Deferred Taxes</t>
  </si>
  <si>
    <t>Prorated Excess Protected Deferred Taxes</t>
  </si>
  <si>
    <t>WPB-6c</t>
  </si>
  <si>
    <t>FOR THE FORECASTED PERIOD</t>
  </si>
  <si>
    <t>Other Noncurrent After-tax DTA for EPRI Credit</t>
  </si>
  <si>
    <t>Paid Family &amp; Medical Leave Credit Carryforward</t>
  </si>
  <si>
    <t>Other Noncurrent After-Tax DTA for R&amp;D Credit</t>
  </si>
  <si>
    <t>Bad Debts - Tax over Book</t>
  </si>
  <si>
    <t>Leased Meters - Elec &amp; Gas</t>
  </si>
  <si>
    <t>Mark to Market - LT</t>
  </si>
  <si>
    <t>Cash Flow Hedge - Reg Asset/Liab</t>
  </si>
  <si>
    <t>Accrued Vacation</t>
  </si>
  <si>
    <t>Property Tax Reserves</t>
  </si>
  <si>
    <t>Deferred Revenue</t>
  </si>
  <si>
    <t>Extra Facility Lighting</t>
  </si>
  <si>
    <t>Workers Com Reserve</t>
  </si>
  <si>
    <t>SEVERANCE RESERVE - LT</t>
  </si>
  <si>
    <t>Demand Side Management (DSM) Defer</t>
  </si>
  <si>
    <t>Emission Allowance Expense</t>
  </si>
  <si>
    <t>Operating Lease Obligation</t>
  </si>
  <si>
    <t>Retirement Plan Expense - Underfunded</t>
  </si>
  <si>
    <t>Non-qualified Pension - Accrual</t>
  </si>
  <si>
    <t>Retirement Plan Funding - Underfunded</t>
  </si>
  <si>
    <t>Environmental Reserve</t>
  </si>
  <si>
    <t>ANNUAL INCENTIVE PLAN COMP</t>
  </si>
  <si>
    <t>PAYABLE 401 (K) MATCH</t>
  </si>
  <si>
    <t>OPEB Expense Accrual</t>
  </si>
  <si>
    <t>FAS 112 Medical Expenses Accrual</t>
  </si>
  <si>
    <t>Account 190 Total @ June 2026</t>
  </si>
  <si>
    <t>Account 190 - 13-Month Average</t>
  </si>
  <si>
    <t>Loss on Reacquired Debt-Amort</t>
  </si>
  <si>
    <t>Reg Asset/Liab Def Revenue</t>
  </si>
  <si>
    <t>Reg Asset - Accr Pension FAS158 - FAS87Qual</t>
  </si>
  <si>
    <t>Reg Asset-Pension Post Retirement PAA-FAS87Qual and Oth</t>
  </si>
  <si>
    <t>Reg Asset-Pension Post Retirement PAA-FAS87NQ and Oth</t>
  </si>
  <si>
    <t>Reg Asset-Pension Post Retirement PAA-FAS 106 and Oth</t>
  </si>
  <si>
    <t>Reg Asset - Accr Pension FAS158 - FAS87NQ</t>
  </si>
  <si>
    <t>Reg Asset - Accr Pension FAS158 - FAS 106/112</t>
  </si>
  <si>
    <t>Reg Asset - Transition from MISO to PJM</t>
  </si>
  <si>
    <t>Reg Liability - Overcollection of Revenue Refund Adj</t>
  </si>
  <si>
    <t>Storm Cost Deferral- Asset</t>
  </si>
  <si>
    <t>Non-AMI Meters Retired Early - NBV</t>
  </si>
  <si>
    <t>Vacation Carryover - Reg Asset</t>
  </si>
  <si>
    <t>Reg Asset/Liab - ESM Deferral</t>
  </si>
  <si>
    <t>REPS Incremental Costs</t>
  </si>
  <si>
    <t>Operating Lease Deferral</t>
  </si>
  <si>
    <t>Retirement Plan Expense - Overfunded</t>
  </si>
  <si>
    <t>Account 283 Total @ June 2026</t>
  </si>
  <si>
    <t>Account 283 - 13-Month Average</t>
  </si>
  <si>
    <t>190, 283</t>
  </si>
  <si>
    <t>Total Deferred Income Taxes Adjustment 13-Month Average</t>
  </si>
  <si>
    <t>WPB-6d</t>
  </si>
  <si>
    <t>DETAIL OF INCOME TAX RECONCILING ITEMS</t>
  </si>
  <si>
    <t>Prorated</t>
  </si>
  <si>
    <t>Additional</t>
  </si>
  <si>
    <t>Tax</t>
  </si>
  <si>
    <t>Deprec-Related</t>
  </si>
  <si>
    <t>Days to</t>
  </si>
  <si>
    <t>Future Days</t>
  </si>
  <si>
    <t>Month</t>
  </si>
  <si>
    <t>Book Depr</t>
  </si>
  <si>
    <t>ADFIT Bal.</t>
  </si>
  <si>
    <t>ADFIT Activity</t>
  </si>
  <si>
    <t>Prorate</t>
  </si>
  <si>
    <t>in Period</t>
  </si>
  <si>
    <t>projected</t>
  </si>
  <si>
    <t>13 Mo Avg Bal</t>
  </si>
  <si>
    <t>JURISDICTIONAL PERCENTAGE</t>
  </si>
  <si>
    <t xml:space="preserve">                SCHEDULE B-7</t>
  </si>
  <si>
    <t xml:space="preserve">                PAGE  1  OF  1</t>
  </si>
  <si>
    <t xml:space="preserve">                WITNESS RESPONSIBLE:</t>
  </si>
  <si>
    <t>DESCRIPTION OF FACTORS</t>
  </si>
  <si>
    <t>AND/OR METHOD OF</t>
  </si>
  <si>
    <t>TITLE</t>
  </si>
  <si>
    <t>Not Applicable - 100% Jurisdictional</t>
  </si>
  <si>
    <t>JURISDICTIONAL STATISTICS - RATE BASE</t>
  </si>
  <si>
    <t>SCHEDULE B-7.1</t>
  </si>
  <si>
    <t>STATISTIC</t>
  </si>
  <si>
    <t>TO TOTAL</t>
  </si>
  <si>
    <t>DESCRIPTION BY MAJOR</t>
  </si>
  <si>
    <t>FOR TOTAL</t>
  </si>
  <si>
    <t>STATISTIC FOR</t>
  </si>
  <si>
    <t>ALLOCATION FACTOR</t>
  </si>
  <si>
    <t>GROUPINGS OR ACCOUNT</t>
  </si>
  <si>
    <t>RATE AREA</t>
  </si>
  <si>
    <t>(E = C+D)</t>
  </si>
  <si>
    <t>(G = F / E)</t>
  </si>
  <si>
    <t>EXPLANATION OF CHANGES IN JURISDICTIONAL PROCEDURES</t>
  </si>
  <si>
    <t>RATE BASE</t>
  </si>
  <si>
    <t>SCHEDULE B-7.2</t>
  </si>
  <si>
    <t>PROCEDURES APPROVED IN PRIOR CASE</t>
  </si>
  <si>
    <t>RATIONALE FOR CHANGE</t>
  </si>
  <si>
    <t>COMPARATIVE BALANCE SHEETS</t>
  </si>
  <si>
    <t>AS OF DECEMBER 31, 2019-2023 AND BASE AND FORECASTED PERIODS</t>
  </si>
  <si>
    <t>SCHEDULE B-8</t>
  </si>
  <si>
    <t xml:space="preserve">  DESCRIPTION</t>
  </si>
  <si>
    <t xml:space="preserve">ASSETS </t>
  </si>
  <si>
    <t>UTILITY PLANT</t>
  </si>
  <si>
    <t xml:space="preserve">  UTILITY PLANT IN SERVICE</t>
  </si>
  <si>
    <t xml:space="preserve">  CONSTRUCTION WORK IN PROGRESS</t>
  </si>
  <si>
    <t xml:space="preserve">    TOTAL UTILITY PLANT</t>
  </si>
  <si>
    <t xml:space="preserve">  LESS: ACCUMULATED PROVISION FOR DEPRECIATION</t>
  </si>
  <si>
    <t xml:space="preserve">  NET UTILITY PLANT</t>
  </si>
  <si>
    <t>OTHER PROPERTY AND INVESTMENTS</t>
  </si>
  <si>
    <t xml:space="preserve">  NONUTILITY PROPERTY - NET</t>
  </si>
  <si>
    <t xml:space="preserve">  LESS: ACCUM. PROVISION FOR DEPR. &amp; AMORT.</t>
  </si>
  <si>
    <t xml:space="preserve">  NONCURRENT PORTION OF ALLOWANCES</t>
  </si>
  <si>
    <t xml:space="preserve">  OTHER INVESTMENTS</t>
  </si>
  <si>
    <t xml:space="preserve">  SPECIAL FUNDS</t>
  </si>
  <si>
    <t xml:space="preserve">  LONG TERM PORTION OF DERIVATIVE INSTRUMENT ASSETS</t>
  </si>
  <si>
    <t xml:space="preserve">    TOTAL OTHER PROPERTY AND INVESTMENTS</t>
  </si>
  <si>
    <t>CURRENT AND ACCRUED ASSETS</t>
  </si>
  <si>
    <t xml:space="preserve">  CASH</t>
  </si>
  <si>
    <t xml:space="preserve">  SPECIAL DEPOSITS</t>
  </si>
  <si>
    <t xml:space="preserve">  WORKING FUNDS</t>
  </si>
  <si>
    <t xml:space="preserve">  TEMPORARY CASH INVESTMENTS</t>
  </si>
  <si>
    <t xml:space="preserve">  CUSTOMER ACCOUNTS RECEIVABLE</t>
  </si>
  <si>
    <t xml:space="preserve">  OTHER ACCOUNTS RECEIVABLE</t>
  </si>
  <si>
    <t xml:space="preserve">  (LESS) ACCUM. PROVISION FOR UNCOLLECTIBLE ACCOUNTS - CREDIT</t>
  </si>
  <si>
    <t xml:space="preserve">  NOTES RECEIVABLE FROM ASSOCIATED COMPANIES</t>
  </si>
  <si>
    <t xml:space="preserve">  RECEIVABLES FROM ASSOCIATED COMPANIES</t>
  </si>
  <si>
    <t xml:space="preserve">  MATERIALS, SUPPLIES AND FUEL</t>
  </si>
  <si>
    <t xml:space="preserve">  EMISSION ALLOWANCES</t>
  </si>
  <si>
    <t xml:space="preserve">  GAS STORED - CURRENT</t>
  </si>
  <si>
    <t xml:space="preserve">  PREPAYMENTS</t>
  </si>
  <si>
    <t xml:space="preserve">  INTEREST AND DIVIDENDS RECEIVABLE</t>
  </si>
  <si>
    <t xml:space="preserve">  MISCELLANEOUS CURRENT AND ACCRUED ASSETS</t>
  </si>
  <si>
    <t xml:space="preserve">  DERIVATIVE INSTRUMENT ASSETS</t>
  </si>
  <si>
    <t xml:space="preserve">  (LESS) LONG-TERM PORTION OF DERIVATIVE INSTRUMENT ASSETS</t>
  </si>
  <si>
    <t xml:space="preserve">  DERIVATIVE INSTRUMENT ASSETS - HEDGES</t>
  </si>
  <si>
    <t xml:space="preserve">  (LESS) LONG-TERM PORTION OF DERIVATIVE INSTRUMENT ASSETS - HEDGES</t>
  </si>
  <si>
    <t xml:space="preserve">  RENTS RECEIVABLE</t>
  </si>
  <si>
    <t xml:space="preserve">    TOTAL CURRENT AND ACCRUED ASSETS</t>
  </si>
  <si>
    <t>DEFERRED DEBITS</t>
  </si>
  <si>
    <t xml:space="preserve">  UNAMORTIZED DEBT EXPENSE</t>
  </si>
  <si>
    <t xml:space="preserve">  OTHER REGULATORY ASSETS</t>
  </si>
  <si>
    <t xml:space="preserve">  PRELIM. SURVEY AND INVESTIGATION CHARGES (ELECTRIC)</t>
  </si>
  <si>
    <t xml:space="preserve">  CLEARING ACCOUNTS</t>
  </si>
  <si>
    <t xml:space="preserve">  TEMPORARY FACILITIES</t>
  </si>
  <si>
    <t xml:space="preserve">  MISCELLANEOUS DEFERRED DEBITS</t>
  </si>
  <si>
    <t xml:space="preserve">  UNAMORTIZED LOSS ON REACQUIRED DEBT</t>
  </si>
  <si>
    <t xml:space="preserve">  ACCUMULATED DEFERRED INCOME TAXES</t>
  </si>
  <si>
    <t xml:space="preserve">  UNRECOVERED PURCHASED GAS COSTS</t>
  </si>
  <si>
    <t xml:space="preserve">    TOTAL DEFERRED DEBITS</t>
  </si>
  <si>
    <t>TOTAL ASSETS</t>
  </si>
  <si>
    <t>Note: The Company does not forecast the balance sheet to the same level of detail as actuals are recorded.</t>
  </si>
  <si>
    <t>MOST RECENT FIVE CALENDAR YEARS</t>
  </si>
  <si>
    <t>LIABILITIES AND NET WORTH</t>
  </si>
  <si>
    <t>PROPRIETARY CAPITAL</t>
  </si>
  <si>
    <t xml:space="preserve">  COMMON STOCK ISSUED</t>
  </si>
  <si>
    <t xml:space="preserve">  PREMIUM ON CAPITAL STOCK</t>
  </si>
  <si>
    <t xml:space="preserve">  OTHER PAID-IN CAPITAL</t>
  </si>
  <si>
    <t xml:space="preserve">  RETAINED EARNINGS</t>
  </si>
  <si>
    <t xml:space="preserve">  ACCUMULATED OTHER COMPREHENSIVE INCOME</t>
  </si>
  <si>
    <t xml:space="preserve">    TOTAL PROPRIETARY CAPITAL</t>
  </si>
  <si>
    <t>LONG TERM DEBT</t>
  </si>
  <si>
    <t xml:space="preserve">  ADVANCES FROM ASSOCIATED COMPANIES</t>
  </si>
  <si>
    <t xml:space="preserve">  OTHER LONG TERM DEBT</t>
  </si>
  <si>
    <t xml:space="preserve">  UNAMORTIZED PREMIUM ON LONG TERM DEBT</t>
  </si>
  <si>
    <t xml:space="preserve">  UNAMORTIZED DISCOUNT ON LONG TERM DEBT - DEBIT</t>
  </si>
  <si>
    <t xml:space="preserve">  LESS: CURRENT PORTION OF LONG TERM DEBT</t>
  </si>
  <si>
    <t xml:space="preserve">    TOTAL LONG TERM DEBT</t>
  </si>
  <si>
    <t>OTHER NONCURRENT LIABILITIES</t>
  </si>
  <si>
    <t xml:space="preserve">  OBLIGATIONS UNDER CAPITAL LEASES - NONCURRENT</t>
  </si>
  <si>
    <t xml:space="preserve">  ACCUMULATED PROVISION FOR INJURIES AND DAMAGES</t>
  </si>
  <si>
    <t xml:space="preserve">  ACCUMULATED PROVISION FOR PENSIONS &amp; BENEFITS</t>
  </si>
  <si>
    <t xml:space="preserve">  ACCUMULATED PROVISION FOR OPERATING PROVISIONS</t>
  </si>
  <si>
    <t xml:space="preserve">  ACCUMULATED PROVISION FOR RATE REFUNDS</t>
  </si>
  <si>
    <t xml:space="preserve">  LONG-TERM PORTION OF DERIVATIVE INSTRUMENT LIABILITIES</t>
  </si>
  <si>
    <t xml:space="preserve">  ASSET RETIREMENT OBLIGATIONS</t>
  </si>
  <si>
    <t xml:space="preserve">    TOTAL OTHER NONCURRENT LIABILITIES</t>
  </si>
  <si>
    <t>CURRENT AND ACCRUED LIABILITIES</t>
  </si>
  <si>
    <t xml:space="preserve">  NOTES PAYABLE</t>
  </si>
  <si>
    <t xml:space="preserve">  CURRENT PORTION OF LONG TERM DEBT</t>
  </si>
  <si>
    <t xml:space="preserve">  ACCOUNTS PAYABLE</t>
  </si>
  <si>
    <t xml:space="preserve">  NOTES PAYABLE TO ASSOCIATED COMPANIES</t>
  </si>
  <si>
    <t xml:space="preserve">  ACCOUNTS PAYABLE TO ASSOCIATED COMPANIES</t>
  </si>
  <si>
    <t xml:space="preserve">  CUSTOMER DEPOSITS</t>
  </si>
  <si>
    <t xml:space="preserve">  TAXES ACCRUED</t>
  </si>
  <si>
    <t xml:space="preserve">  INTEREST ACCRUED</t>
  </si>
  <si>
    <t xml:space="preserve">  TAX COLLECTIONS PAYABLE</t>
  </si>
  <si>
    <t xml:space="preserve">  MISCELLANEOUS CURRENT AND ACCRUED LIABILITIES</t>
  </si>
  <si>
    <t xml:space="preserve">  OBLIGATIONS UNDER CAPITAL LEASES - CURRENT</t>
  </si>
  <si>
    <t xml:space="preserve">  DERIVATIVE INSTRUMENT LIABILITIES</t>
  </si>
  <si>
    <t xml:space="preserve">  (LESS) LONG-TERM PORTION OF DERIVATIVE INSTRUMENT LIABILITIES</t>
  </si>
  <si>
    <t xml:space="preserve">    TOTAL CURRENT AND ACCRUED LIABILITIES</t>
  </si>
  <si>
    <t>DEFERRED CREDITS</t>
  </si>
  <si>
    <t xml:space="preserve">  CUSTOMER ADVANCES FOR CONSTRUCTION</t>
  </si>
  <si>
    <t xml:space="preserve">  ACCUMULATED DEFERRED INVESTMENT TAX CREDITS</t>
  </si>
  <si>
    <t xml:space="preserve">  OTHER DEFERRED CREDITS</t>
  </si>
  <si>
    <t xml:space="preserve">  OTHER REGULATORY LIABILITIES</t>
  </si>
  <si>
    <t xml:space="preserve">  EXCESS DEFERRED INCOME TAXES</t>
  </si>
  <si>
    <t xml:space="preserve">    TOTAL DEFERRED CREDITS</t>
  </si>
  <si>
    <t>TOTAL LIABILITIES</t>
  </si>
  <si>
    <t>JURISDICTIONAL OPERATING INCOME SUMMARY</t>
  </si>
  <si>
    <t>SCHEDULE C-1</t>
  </si>
  <si>
    <t>WORK PAPER REFERENCE NO(S).: SCHEDULE C-2, WPC-1a</t>
  </si>
  <si>
    <t>RETURN AT</t>
  </si>
  <si>
    <t>CURRENT</t>
  </si>
  <si>
    <t>PROPOSED</t>
  </si>
  <si>
    <t xml:space="preserve">            DESCRIPTION</t>
  </si>
  <si>
    <t>RATES</t>
  </si>
  <si>
    <t>INCREASE</t>
  </si>
  <si>
    <t>($)</t>
  </si>
  <si>
    <t>Operating Revenues</t>
  </si>
  <si>
    <t xml:space="preserve">  Operation &amp; Maintenance</t>
  </si>
  <si>
    <t xml:space="preserve">  Depreciation</t>
  </si>
  <si>
    <t xml:space="preserve">  Taxes - Other</t>
  </si>
  <si>
    <t>Operating Expenses before Income Taxes</t>
  </si>
  <si>
    <t xml:space="preserve">  State Income Taxes</t>
  </si>
  <si>
    <t xml:space="preserve">  Federal Income Taxes</t>
  </si>
  <si>
    <t xml:space="preserve">      Total Operating Expenses</t>
  </si>
  <si>
    <t>Income Available for Fixed Charges</t>
  </si>
  <si>
    <t>Jurisdictional Rate Base</t>
  </si>
  <si>
    <t>Rate of Return on Rate Base</t>
  </si>
  <si>
    <t xml:space="preserve">(1) Source: Schedule M. </t>
  </si>
  <si>
    <t>WPC-1a</t>
  </si>
  <si>
    <t>TO REFLECT AMOUNT OF REQUESTED INCREASE</t>
  </si>
  <si>
    <t>SCHEDULE/</t>
  </si>
  <si>
    <t xml:space="preserve">   DESCRIPTION   </t>
  </si>
  <si>
    <t>SCH. M</t>
  </si>
  <si>
    <t>Operating Expenses:</t>
  </si>
  <si>
    <t>To Sch C-1</t>
  </si>
  <si>
    <t>SCH. H</t>
  </si>
  <si>
    <t>Operating Expenses Before Income Taxes</t>
  </si>
  <si>
    <t>Operating Income Before Income Taxes (Line 1 - Line 10)</t>
  </si>
  <si>
    <t xml:space="preserve">    Total Operating Expenses</t>
  </si>
  <si>
    <t>JURISDICTIONAL ADJUSTED OPERATING INCOME STATEMENT</t>
  </si>
  <si>
    <t xml:space="preserve">              SCHEDULE C-2</t>
  </si>
  <si>
    <t xml:space="preserve">              PAGE  1  OF  1</t>
  </si>
  <si>
    <t>WORK PAPER REFERENCE NO(S).:  SCHEDULE C-2.1, SCHEDULE D-1, WPC-2a through WPC-2e</t>
  </si>
  <si>
    <t xml:space="preserve">              WITNESS RESPONSIBLE:</t>
  </si>
  <si>
    <t>PRO FORMA ADJUSTMENTS</t>
  </si>
  <si>
    <t>MAJOR ACCOUNT</t>
  </si>
  <si>
    <t>ADJUSTMENTS TO BASE PERIOD</t>
  </si>
  <si>
    <t>TO FORECASTED PERIOD</t>
  </si>
  <si>
    <t>PRO FORMA</t>
  </si>
  <si>
    <t xml:space="preserve">ADJUSTMENTS </t>
  </si>
  <si>
    <t>OR GROUP</t>
  </si>
  <si>
    <t>PER</t>
  </si>
  <si>
    <t>CLASSIFICATION</t>
  </si>
  <si>
    <t>SCHEDULE D-1</t>
  </si>
  <si>
    <t>OPERATING REVENUE</t>
  </si>
  <si>
    <t>D-2.1</t>
  </si>
  <si>
    <t>WPC-2e</t>
  </si>
  <si>
    <t>Fuel Cost Revenue</t>
  </si>
  <si>
    <t>Other Revenue</t>
  </si>
  <si>
    <t xml:space="preserve">   Total Revenue</t>
  </si>
  <si>
    <t>OPERATING EXPENSES</t>
  </si>
  <si>
    <t xml:space="preserve"> Operation and Maintenance Expenses</t>
  </si>
  <si>
    <t xml:space="preserve">          Purchased Power Cost</t>
  </si>
  <si>
    <t>D-2.2</t>
  </si>
  <si>
    <t>D-2.3</t>
  </si>
  <si>
    <t>D-2.5</t>
  </si>
  <si>
    <t>Regional Market Expense</t>
  </si>
  <si>
    <t>D-2.6</t>
  </si>
  <si>
    <t>D-2.7</t>
  </si>
  <si>
    <t>D-2.8</t>
  </si>
  <si>
    <t>D-2.9</t>
  </si>
  <si>
    <t>D-2.10</t>
  </si>
  <si>
    <t>D-2.11</t>
  </si>
  <si>
    <t xml:space="preserve">Other </t>
  </si>
  <si>
    <t>D-2.12</t>
  </si>
  <si>
    <t>D-2.13</t>
  </si>
  <si>
    <t xml:space="preserve">  Other Federal Taxes</t>
  </si>
  <si>
    <t>D-2.14</t>
  </si>
  <si>
    <t xml:space="preserve">  State and Other Taxes</t>
  </si>
  <si>
    <t xml:space="preserve">   Total Taxes Other Than Income Taxes</t>
  </si>
  <si>
    <t xml:space="preserve">  State Income Tax - Current</t>
  </si>
  <si>
    <t>D-1, E-1</t>
  </si>
  <si>
    <t xml:space="preserve">  Provision for Deferred Income Taxes - Net</t>
  </si>
  <si>
    <t xml:space="preserve">   Total State Income Tax Expense</t>
  </si>
  <si>
    <t xml:space="preserve">  Federal Income Tax - Current</t>
  </si>
  <si>
    <t xml:space="preserve">  Amortization of Investment Tax Credit</t>
  </si>
  <si>
    <t xml:space="preserve">   Total Federal Income Tax Expense</t>
  </si>
  <si>
    <t>Net Operating Income</t>
  </si>
  <si>
    <t>Taxes</t>
  </si>
  <si>
    <t>State Inventory Credit</t>
  </si>
  <si>
    <t>ITC</t>
  </si>
  <si>
    <t>Prior Year Entries</t>
  </si>
  <si>
    <t>ARAM &amp; Flow-Thru &amp; Amort of Excess ADIT</t>
  </si>
  <si>
    <t>Tax - excl. ITC</t>
  </si>
  <si>
    <t>Income Before Tax &amp; Interest</t>
  </si>
  <si>
    <t>Interest Charges</t>
  </si>
  <si>
    <t>Permanent Differences</t>
  </si>
  <si>
    <t>Income Before Tax</t>
  </si>
  <si>
    <t>Effective Income Tax Rate</t>
  </si>
  <si>
    <t xml:space="preserve">      WPC-2a</t>
  </si>
  <si>
    <t xml:space="preserve">      WITNESS RESPONSIBLE:</t>
  </si>
  <si>
    <t xml:space="preserve">   OPERATING REVENUES</t>
  </si>
  <si>
    <t>OPERATING</t>
  </si>
  <si>
    <t>TITLE of ACCOUNT</t>
  </si>
  <si>
    <t>REVENUES</t>
  </si>
  <si>
    <t>Total Billed Revenue (A)</t>
  </si>
  <si>
    <t>Total Unbilled Revenue (A)</t>
  </si>
  <si>
    <t>Rider Revenue (A):</t>
  </si>
  <si>
    <t xml:space="preserve">  DSM Rider</t>
  </si>
  <si>
    <t xml:space="preserve">  ESM Rider</t>
  </si>
  <si>
    <t xml:space="preserve">  PSM Rider</t>
  </si>
  <si>
    <t xml:space="preserve">  FAC Rider</t>
  </si>
  <si>
    <t>Other Revenue: (B)</t>
  </si>
  <si>
    <t xml:space="preserve">  Interdepartmental</t>
  </si>
  <si>
    <t xml:space="preserve">  Sales for Resale</t>
  </si>
  <si>
    <t xml:space="preserve">  Provision for Rate Refunds</t>
  </si>
  <si>
    <t xml:space="preserve">  Late Payment Fees</t>
  </si>
  <si>
    <t xml:space="preserve">  Misc. Service Revenue</t>
  </si>
  <si>
    <t xml:space="preserve">  Rent From Electric Property</t>
  </si>
  <si>
    <t xml:space="preserve">  Other Electric Revenues</t>
  </si>
  <si>
    <t xml:space="preserve">  PJM Reactive</t>
  </si>
  <si>
    <t xml:space="preserve">   Total Other Revenue</t>
  </si>
  <si>
    <t xml:space="preserve">    Total Revenues</t>
  </si>
  <si>
    <t>Notes:</t>
  </si>
  <si>
    <t>(A) Source: WPC-2c.</t>
  </si>
  <si>
    <t>(B) Source: Schedule C-2.1, WPC-2c.</t>
  </si>
  <si>
    <t xml:space="preserve">      WPC-2b</t>
  </si>
  <si>
    <t>(A) Source: WPC-2d.</t>
  </si>
  <si>
    <t>(B) Source: Schedule C-2.1 and WPC-2d.</t>
  </si>
  <si>
    <t>WPC-2c</t>
  </si>
  <si>
    <t>REVENUE DETAIL</t>
  </si>
  <si>
    <t>Base Revenue</t>
  </si>
  <si>
    <t>Commercial</t>
  </si>
  <si>
    <t>Industrial</t>
  </si>
  <si>
    <t>Street Lighting</t>
  </si>
  <si>
    <t>OPA</t>
  </si>
  <si>
    <t>Inter-Dept</t>
  </si>
  <si>
    <t>Unbilled</t>
  </si>
  <si>
    <t>Base Fuel</t>
  </si>
  <si>
    <t>Fuel Clause</t>
  </si>
  <si>
    <t>Total Fuel</t>
  </si>
  <si>
    <t>DSM</t>
  </si>
  <si>
    <t>PSM</t>
  </si>
  <si>
    <t>ESM</t>
  </si>
  <si>
    <t>Provision for Rate Refunds</t>
  </si>
  <si>
    <t>Misc. Service Revenue</t>
  </si>
  <si>
    <t>Rent From Electric Property</t>
  </si>
  <si>
    <t>PJM Reactive</t>
  </si>
  <si>
    <t>WPC-2d</t>
  </si>
  <si>
    <t>WPC-2f</t>
  </si>
  <si>
    <t>3 YEAR AVERAGE FORCED OUTAGE PURCHASE POWER REPLACEMENT COSTS</t>
  </si>
  <si>
    <t>Cost of Purchased Power due to Forced Outage</t>
  </si>
  <si>
    <t>Cost of Purchased Power Recovered Through FAC</t>
  </si>
  <si>
    <t>Cost of Purchased Power Deferred in Reg Asset</t>
  </si>
  <si>
    <t>Miscellaneous</t>
  </si>
  <si>
    <t>OPERATING REVENUES AND EXPENSES BY ACCOUNTS</t>
  </si>
  <si>
    <t>WORK PAPER REFERENCE NO(S).: WPC-2.1a_BP</t>
  </si>
  <si>
    <t>UNADJUSTED</t>
  </si>
  <si>
    <t>METHOD /</t>
  </si>
  <si>
    <t>ACCOUNT TITLE</t>
  </si>
  <si>
    <t>JURISDICTION</t>
  </si>
  <si>
    <t>REVENUE</t>
  </si>
  <si>
    <t>Retail Revenue</t>
  </si>
  <si>
    <t>Public Street &amp; Hwy. Lighting</t>
  </si>
  <si>
    <t>Other Public Authority</t>
  </si>
  <si>
    <t>Interdepartmental</t>
  </si>
  <si>
    <t xml:space="preserve">     Total Retail Revenue</t>
  </si>
  <si>
    <t>Other Revenues</t>
  </si>
  <si>
    <t>Late Payment Charges</t>
  </si>
  <si>
    <t>Miscellaneous Service Revenues</t>
  </si>
  <si>
    <t xml:space="preserve">    Total Other Revenues</t>
  </si>
  <si>
    <t xml:space="preserve">      Total Revenue</t>
  </si>
  <si>
    <t>Power Production Expense</t>
  </si>
  <si>
    <t>Steam Power Generation</t>
  </si>
  <si>
    <t xml:space="preserve"> Supervision and Engineering</t>
  </si>
  <si>
    <t xml:space="preserve"> Fuel Consumed</t>
  </si>
  <si>
    <t xml:space="preserve"> Fuel - Miscellaneous</t>
  </si>
  <si>
    <t xml:space="preserve"> Steam Expenses</t>
  </si>
  <si>
    <t xml:space="preserve"> Electric Expenses</t>
  </si>
  <si>
    <t xml:space="preserve"> Miscellaneous</t>
  </si>
  <si>
    <t xml:space="preserve"> Miscellaneous Rents</t>
  </si>
  <si>
    <t xml:space="preserve"> Nox Sales</t>
  </si>
  <si>
    <t xml:space="preserve"> Emission Allowance Expenses</t>
  </si>
  <si>
    <t xml:space="preserve">    Total Operation</t>
  </si>
  <si>
    <t xml:space="preserve"> Maintenance of Structures</t>
  </si>
  <si>
    <t xml:space="preserve"> Maintenance of Boiler Plant</t>
  </si>
  <si>
    <t xml:space="preserve"> Maintenance of Electric Plant</t>
  </si>
  <si>
    <t xml:space="preserve"> Maintenance of Misc Steam Plant</t>
  </si>
  <si>
    <t xml:space="preserve">    Total Maintenance</t>
  </si>
  <si>
    <t xml:space="preserve">    Total Steam Power Generation</t>
  </si>
  <si>
    <t>Other Power Generation</t>
  </si>
  <si>
    <t xml:space="preserve"> Fuel</t>
  </si>
  <si>
    <t xml:space="preserve"> Generating Expense</t>
  </si>
  <si>
    <t xml:space="preserve"> Misc. Other Power Generation</t>
  </si>
  <si>
    <t xml:space="preserve"> Rents</t>
  </si>
  <si>
    <t xml:space="preserve"> Structures</t>
  </si>
  <si>
    <t xml:space="preserve"> Generating &amp; Electrical Equipment</t>
  </si>
  <si>
    <t xml:space="preserve"> Miscellaneous Other Power Gen</t>
  </si>
  <si>
    <t xml:space="preserve">    Total Other Power Generation</t>
  </si>
  <si>
    <t>Other Power Supply Expense</t>
  </si>
  <si>
    <t xml:space="preserve">  Electric Purchased Inter Co.</t>
  </si>
  <si>
    <t xml:space="preserve">    Demand Related</t>
  </si>
  <si>
    <t xml:space="preserve">    Energy Related</t>
  </si>
  <si>
    <t xml:space="preserve">  Electric Systems Operations Dept</t>
  </si>
  <si>
    <t xml:space="preserve">  Electric Other Power Supply</t>
  </si>
  <si>
    <t xml:space="preserve">  Retail Deferred Fuel Expenses</t>
  </si>
  <si>
    <t xml:space="preserve">    Total Other Power Supply Expense</t>
  </si>
  <si>
    <t xml:space="preserve">  Supervision &amp; Engineering</t>
  </si>
  <si>
    <t xml:space="preserve">  Load Dispatching</t>
  </si>
  <si>
    <t xml:space="preserve">  Station Expense</t>
  </si>
  <si>
    <t xml:space="preserve">  Overhead Lines</t>
  </si>
  <si>
    <t xml:space="preserve">  Transmission of Electricity by Others</t>
  </si>
  <si>
    <t xml:space="preserve">  Miscellaneous Transmission</t>
  </si>
  <si>
    <t xml:space="preserve">  Rents - Interco CG&amp;E</t>
  </si>
  <si>
    <t xml:space="preserve">  Structures</t>
  </si>
  <si>
    <t xml:space="preserve">  Station Equipment</t>
  </si>
  <si>
    <t xml:space="preserve">  Underground Lines</t>
  </si>
  <si>
    <t xml:space="preserve">  Miscellaneous</t>
  </si>
  <si>
    <t xml:space="preserve">    Total Transmission Expense</t>
  </si>
  <si>
    <t>Regional Marketing Expense</t>
  </si>
  <si>
    <t>Market Facilitation-Mntr&amp;Comp</t>
  </si>
  <si>
    <t xml:space="preserve">    Total Regional Marketing Expense</t>
  </si>
  <si>
    <t xml:space="preserve">  Station Expenses</t>
  </si>
  <si>
    <t xml:space="preserve">  Street Lighting &amp; Signal Systems</t>
  </si>
  <si>
    <t xml:space="preserve">  Meter Expense</t>
  </si>
  <si>
    <t xml:space="preserve">  Customer Installations</t>
  </si>
  <si>
    <t xml:space="preserve">  Miscellaneous Distribution</t>
  </si>
  <si>
    <t xml:space="preserve">  Rents - Interco - CG&amp;E</t>
  </si>
  <si>
    <t xml:space="preserve">  Underground Lines-Conduit</t>
  </si>
  <si>
    <t xml:space="preserve">  Line Transformers</t>
  </si>
  <si>
    <t xml:space="preserve">  Meters</t>
  </si>
  <si>
    <t xml:space="preserve">  Miscellaneous Distr. Plant</t>
  </si>
  <si>
    <t xml:space="preserve">    Total Distribution Expense</t>
  </si>
  <si>
    <t xml:space="preserve">  Meter Reading Expense</t>
  </si>
  <si>
    <t xml:space="preserve">  Customer Records &amp; Collections</t>
  </si>
  <si>
    <t xml:space="preserve">  Uncollectible Accounts</t>
  </si>
  <si>
    <t xml:space="preserve">  Loss on Sale of A/R</t>
  </si>
  <si>
    <t xml:space="preserve">  Sale of A/R</t>
  </si>
  <si>
    <t xml:space="preserve">  Miscellaneous Customers Accounts</t>
  </si>
  <si>
    <t xml:space="preserve">    Total Customer Accounts Expense</t>
  </si>
  <si>
    <t>Customer Services &amp; Information Expense</t>
  </si>
  <si>
    <t xml:space="preserve">  Customer Assistance Activities</t>
  </si>
  <si>
    <t xml:space="preserve">  Informational &amp; Instructional Adver.</t>
  </si>
  <si>
    <t xml:space="preserve">  Misc. Cust. Serv. &amp; Info.</t>
  </si>
  <si>
    <t xml:space="preserve">    Total Customer Services &amp;</t>
  </si>
  <si>
    <t xml:space="preserve">      Information Expense</t>
  </si>
  <si>
    <t xml:space="preserve">  Supervision</t>
  </si>
  <si>
    <t xml:space="preserve">  Demonstrating &amp; Selling Exp</t>
  </si>
  <si>
    <t xml:space="preserve">  Advertising</t>
  </si>
  <si>
    <t xml:space="preserve">    Total Sales Expense</t>
  </si>
  <si>
    <t xml:space="preserve">  Administrative &amp; General Salaries</t>
  </si>
  <si>
    <t xml:space="preserve">  Office Supplies &amp; Expenses</t>
  </si>
  <si>
    <t xml:space="preserve">  Administrative Expenses Transfer Cr.</t>
  </si>
  <si>
    <t xml:space="preserve">  Outside Services Employed</t>
  </si>
  <si>
    <t xml:space="preserve">  Property Insurance</t>
  </si>
  <si>
    <t xml:space="preserve">  Injuries &amp; Damages</t>
  </si>
  <si>
    <t xml:space="preserve">  Employee Pension &amp; Benefits</t>
  </si>
  <si>
    <t xml:space="preserve">  State Reg. Commission Expense</t>
  </si>
  <si>
    <t xml:space="preserve">  Duplicate Charges-Credit</t>
  </si>
  <si>
    <t xml:space="preserve">  Miscellaneous Advertising Exp</t>
  </si>
  <si>
    <t xml:space="preserve">  Misc General Expenses</t>
  </si>
  <si>
    <t xml:space="preserve">  Industry Association Dues</t>
  </si>
  <si>
    <t xml:space="preserve">  Exp Of Servicing Securities</t>
  </si>
  <si>
    <t xml:space="preserve">  Dues To Various Organizations</t>
  </si>
  <si>
    <t xml:space="preserve">  Director's Expenses</t>
  </si>
  <si>
    <t xml:space="preserve">  Buy\Sell Transf Employee Homes</t>
  </si>
  <si>
    <t xml:space="preserve">  Leased Circuit Charges - Other</t>
  </si>
  <si>
    <t xml:space="preserve">  Research &amp; Development</t>
  </si>
  <si>
    <t xml:space="preserve">  General Expenses</t>
  </si>
  <si>
    <t xml:space="preserve">  Rents</t>
  </si>
  <si>
    <t xml:space="preserve">  Maintenence of General Plant</t>
  </si>
  <si>
    <t xml:space="preserve">    Total Administrative &amp; General</t>
  </si>
  <si>
    <t xml:space="preserve">    Total Operating Expense</t>
  </si>
  <si>
    <t xml:space="preserve">      Total Depreciation Expense</t>
  </si>
  <si>
    <t>Other Expense</t>
  </si>
  <si>
    <t xml:space="preserve">  DSM Deferral - Electric</t>
  </si>
  <si>
    <t xml:space="preserve">  Carrying Charges</t>
  </si>
  <si>
    <t xml:space="preserve">  Meter Amortization</t>
  </si>
  <si>
    <t xml:space="preserve">  Regulatory Debits</t>
  </si>
  <si>
    <t xml:space="preserve">  NC &amp; MW Coal As Amort Exp</t>
  </si>
  <si>
    <t xml:space="preserve">      Total Other Expense</t>
  </si>
  <si>
    <t>TAXES OTHER THAN INCOME TAXES</t>
  </si>
  <si>
    <t>Other Federal Taxes</t>
  </si>
  <si>
    <t xml:space="preserve">  Insurance Contribution</t>
  </si>
  <si>
    <t xml:space="preserve">  Unemployment Compensation</t>
  </si>
  <si>
    <t xml:space="preserve">  Highway Use</t>
  </si>
  <si>
    <t xml:space="preserve">    Total Other Federal</t>
  </si>
  <si>
    <t>State and Other Taxes</t>
  </si>
  <si>
    <t xml:space="preserve">  Taxes Property-Allocated</t>
  </si>
  <si>
    <t xml:space="preserve">  Franchise Tax - Non Electric</t>
  </si>
  <si>
    <t xml:space="preserve">  Taxes Property-Operating</t>
  </si>
  <si>
    <t xml:space="preserve">  State Unemployment Tax</t>
  </si>
  <si>
    <t xml:space="preserve">  Employer FICA Tax</t>
  </si>
  <si>
    <t xml:space="preserve">  Franchise Tax</t>
  </si>
  <si>
    <t xml:space="preserve">  Sales &amp; Use Tax</t>
  </si>
  <si>
    <t xml:space="preserve">  Allocated Payroll Taxes</t>
  </si>
  <si>
    <t xml:space="preserve">    Total State and Other</t>
  </si>
  <si>
    <t xml:space="preserve">    Total Taxes Other Than Income Taxes</t>
  </si>
  <si>
    <t xml:space="preserve">  Normal and Surtax</t>
  </si>
  <si>
    <t>COMPUTED</t>
  </si>
  <si>
    <t xml:space="preserve">  SIT - Prior Year</t>
  </si>
  <si>
    <t xml:space="preserve">  Current State Inc Tax - Util</t>
  </si>
  <si>
    <t xml:space="preserve">  State Income Tax </t>
  </si>
  <si>
    <t xml:space="preserve">  Normal &amp; Surtax</t>
  </si>
  <si>
    <t xml:space="preserve">  FIT - Prior Year</t>
  </si>
  <si>
    <t xml:space="preserve">  Current FIT - Prior Year Audit</t>
  </si>
  <si>
    <t xml:space="preserve">  UTP Tax Expense - Prior Year</t>
  </si>
  <si>
    <t xml:space="preserve">    Federal Income Tax</t>
  </si>
  <si>
    <t>Provision For Deferred Income Taxes</t>
  </si>
  <si>
    <t>Deferrals - Federal</t>
  </si>
  <si>
    <t>Deferrals - State</t>
  </si>
  <si>
    <t>Writebacks - Federal</t>
  </si>
  <si>
    <t>Writebacks - State</t>
  </si>
  <si>
    <t xml:space="preserve">   Total Provision for Deferred Income Taxes</t>
  </si>
  <si>
    <t>Amortization of ITC</t>
  </si>
  <si>
    <t xml:space="preserve">    Total Income Taxes</t>
  </si>
  <si>
    <t xml:space="preserve">    Total Operating Expenses &amp; Taxes</t>
  </si>
  <si>
    <t xml:space="preserve">    Net Operating Income</t>
  </si>
  <si>
    <t>WORK PAPER REFERENCE NO(S).: WPC-2.1a_FP</t>
  </si>
  <si>
    <t xml:space="preserve"> Steam Expenses - Reagents</t>
  </si>
  <si>
    <t xml:space="preserve">  RTEP</t>
  </si>
  <si>
    <t xml:space="preserve">  Reactive</t>
  </si>
  <si>
    <t xml:space="preserve">  PJM NITS</t>
  </si>
  <si>
    <t xml:space="preserve">  Accretion Expense-ARO Ash Pond</t>
  </si>
  <si>
    <t>SUMMARY OF FORECASTED PERIOD PRO FORMA ADJUSTMENTS</t>
  </si>
  <si>
    <t>Customer</t>
  </si>
  <si>
    <t>Regional</t>
  </si>
  <si>
    <t>Service &amp;</t>
  </si>
  <si>
    <t>Other Than</t>
  </si>
  <si>
    <t>Market</t>
  </si>
  <si>
    <t>Accounting</t>
  </si>
  <si>
    <t>Informational</t>
  </si>
  <si>
    <t>Sales</t>
  </si>
  <si>
    <t>Income Taxes -</t>
  </si>
  <si>
    <t>State</t>
  </si>
  <si>
    <t>D-2.16</t>
  </si>
  <si>
    <t>Adjust Revenue</t>
  </si>
  <si>
    <t>D-2.17</t>
  </si>
  <si>
    <t>Rate Case Expense</t>
  </si>
  <si>
    <t>D-2.18</t>
  </si>
  <si>
    <t>Rider ESM Elimination</t>
  </si>
  <si>
    <t>D-2.19</t>
  </si>
  <si>
    <t>Interest Expense</t>
  </si>
  <si>
    <t>D-2.20</t>
  </si>
  <si>
    <t>Eliminate Non-Native Sales</t>
  </si>
  <si>
    <t>D-2.21</t>
  </si>
  <si>
    <t xml:space="preserve">Uncollectible Expense </t>
  </si>
  <si>
    <t>D-2.22</t>
  </si>
  <si>
    <t>DSM Elimination</t>
  </si>
  <si>
    <t>D-2.23</t>
  </si>
  <si>
    <t>Eliminate Misc. Expenses</t>
  </si>
  <si>
    <t>D-2.24</t>
  </si>
  <si>
    <t>Annualize Depreciation</t>
  </si>
  <si>
    <t>D-2.25</t>
  </si>
  <si>
    <t>Eliminate Unbilled Revenue</t>
  </si>
  <si>
    <t>D-2.26</t>
  </si>
  <si>
    <t>Credit Card Fees</t>
  </si>
  <si>
    <t>D-2.27</t>
  </si>
  <si>
    <t>Amortization of Regulatory Asset</t>
  </si>
  <si>
    <t>D-2.28</t>
  </si>
  <si>
    <t>Incentive Compensation</t>
  </si>
  <si>
    <t>D-2.29</t>
  </si>
  <si>
    <t>Pension Adjustment</t>
  </si>
  <si>
    <t>D-2.30</t>
  </si>
  <si>
    <t>Planned Outage O&amp;M</t>
  </si>
  <si>
    <t>D-2.31</t>
  </si>
  <si>
    <t>Reserved for Future Use</t>
  </si>
  <si>
    <t xml:space="preserve">Schedule D-1 </t>
  </si>
  <si>
    <t>ADJUSTMENTS TO THE BASE PERIOD</t>
  </si>
  <si>
    <t xml:space="preserve">          SCHEDULE D-1</t>
  </si>
  <si>
    <t xml:space="preserve">          PAGE  2  OF  7</t>
  </si>
  <si>
    <t xml:space="preserve">          WITNESS RESPONSIBLE:</t>
  </si>
  <si>
    <t>ADJUST</t>
  </si>
  <si>
    <t>ADJ. TO</t>
  </si>
  <si>
    <t>FUEL &amp; PURCH.</t>
  </si>
  <si>
    <t>RESERVED</t>
  </si>
  <si>
    <t>TRANSMISSION</t>
  </si>
  <si>
    <t>ELEMENT of OPERATING INCOME</t>
  </si>
  <si>
    <t>POWER COST</t>
  </si>
  <si>
    <t>PROD. EXP.</t>
  </si>
  <si>
    <t>EXPENSE</t>
  </si>
  <si>
    <t>SCHEDULE REFERENCE</t>
  </si>
  <si>
    <t>D-2.1 thru D-2.15</t>
  </si>
  <si>
    <t>D-2.4</t>
  </si>
  <si>
    <t xml:space="preserve"> Base</t>
  </si>
  <si>
    <t xml:space="preserve"> Fuel Cost Revenue</t>
  </si>
  <si>
    <t xml:space="preserve"> Other Revenue</t>
  </si>
  <si>
    <t xml:space="preserve">  Total Revenue</t>
  </si>
  <si>
    <t xml:space="preserve"> Operation and Maint. Expenses</t>
  </si>
  <si>
    <t xml:space="preserve"> Production Expenses</t>
  </si>
  <si>
    <t xml:space="preserve">  Other Production Expense</t>
  </si>
  <si>
    <t xml:space="preserve"> Total Production Expense</t>
  </si>
  <si>
    <t xml:space="preserve">  Transmission Expense</t>
  </si>
  <si>
    <t xml:space="preserve">  Regional Market Expense</t>
  </si>
  <si>
    <t xml:space="preserve">  Distribution Expense</t>
  </si>
  <si>
    <t xml:space="preserve">  Customer Accounts Expense</t>
  </si>
  <si>
    <t xml:space="preserve">  Customer Serv &amp; Info Expense </t>
  </si>
  <si>
    <t xml:space="preserve">  Sales Expense</t>
  </si>
  <si>
    <t xml:space="preserve">  Admin. &amp; General Expense</t>
  </si>
  <si>
    <t xml:space="preserve">  Other</t>
  </si>
  <si>
    <t xml:space="preserve"> Total Oper and Maint Expenses</t>
  </si>
  <si>
    <t xml:space="preserve">  Depreciation Expense</t>
  </si>
  <si>
    <t xml:space="preserve">  Taxes Other Than Income Taxes</t>
  </si>
  <si>
    <t xml:space="preserve">   Other Federal Taxes</t>
  </si>
  <si>
    <t xml:space="preserve">   State and Other Taxes</t>
  </si>
  <si>
    <t xml:space="preserve"> Total Taxes Other Than Income Tax</t>
  </si>
  <si>
    <t xml:space="preserve"> State Income Taxes</t>
  </si>
  <si>
    <t xml:space="preserve">  Deferred Inc Tax - Net</t>
  </si>
  <si>
    <t xml:space="preserve"> Total State Income Tax Expense</t>
  </si>
  <si>
    <t xml:space="preserve"> Federal Income Taxes</t>
  </si>
  <si>
    <t xml:space="preserve"> Total Federal Income Tax Expense</t>
  </si>
  <si>
    <t>Total Oper. Expenses and Tax</t>
  </si>
  <si>
    <t xml:space="preserve">          PAGE  3 OF  7</t>
  </si>
  <si>
    <t>REGIONAL MARKET</t>
  </si>
  <si>
    <t>DISTRIBUTION</t>
  </si>
  <si>
    <t>CUSTOMER</t>
  </si>
  <si>
    <t>CUST. SERV.</t>
  </si>
  <si>
    <t>SALES</t>
  </si>
  <si>
    <t>ACCOUNTS EXP.</t>
  </si>
  <si>
    <t>&amp; INFO. EXP.</t>
  </si>
  <si>
    <t xml:space="preserve"> Transmission Expense</t>
  </si>
  <si>
    <t xml:space="preserve"> Regional Market Expense</t>
  </si>
  <si>
    <t xml:space="preserve"> Distribution Expense</t>
  </si>
  <si>
    <t xml:space="preserve"> Customer Accounts Expense</t>
  </si>
  <si>
    <t xml:space="preserve"> Customer Serv &amp; Info Expense</t>
  </si>
  <si>
    <t xml:space="preserve"> Sales Expense</t>
  </si>
  <si>
    <t xml:space="preserve"> Admin &amp; General Expense</t>
  </si>
  <si>
    <t xml:space="preserve"> Other</t>
  </si>
  <si>
    <t xml:space="preserve"> Depreciation Expense</t>
  </si>
  <si>
    <t xml:space="preserve">          PAGE  4  OF  7</t>
  </si>
  <si>
    <t>OTHER OPER.</t>
  </si>
  <si>
    <t>DEPRECIATION</t>
  </si>
  <si>
    <t>INCOME</t>
  </si>
  <si>
    <t>TAX EXP.</t>
  </si>
  <si>
    <t>TAXES</t>
  </si>
  <si>
    <t>D-2.15</t>
  </si>
  <si>
    <t>PRO FORMA ADJUSTMENTS TO THE FORECASTED PERIOD</t>
  </si>
  <si>
    <t xml:space="preserve">          PAGE  5  OF  7</t>
  </si>
  <si>
    <t>RATE</t>
  </si>
  <si>
    <t>ELIMINATE</t>
  </si>
  <si>
    <t>CASE</t>
  </si>
  <si>
    <t>RIDER ESM</t>
  </si>
  <si>
    <t>INTEREST</t>
  </si>
  <si>
    <t>NON-NATIVE</t>
  </si>
  <si>
    <t>ADJUSTMENTS</t>
  </si>
  <si>
    <t>ELIMINATION</t>
  </si>
  <si>
    <t>REV &amp; EXP</t>
  </si>
  <si>
    <t>D-2.16 thru D-2.31</t>
  </si>
  <si>
    <t xml:space="preserve">          PAGE  6  OF  7</t>
  </si>
  <si>
    <t>CREDIT</t>
  </si>
  <si>
    <t>UNCOLLECTIBLE</t>
  </si>
  <si>
    <t>MISCELLANEOUS</t>
  </si>
  <si>
    <t>ANNUALIZE</t>
  </si>
  <si>
    <t>UNBILLED</t>
  </si>
  <si>
    <t>CARD</t>
  </si>
  <si>
    <t>EXPENSES</t>
  </si>
  <si>
    <t>FEES</t>
  </si>
  <si>
    <t xml:space="preserve">          PAGE  7  OF  7</t>
  </si>
  <si>
    <t>AMORTIZATION</t>
  </si>
  <si>
    <t>PLANNED</t>
  </si>
  <si>
    <t>OF REGULATORY</t>
  </si>
  <si>
    <t>INCENTIVE</t>
  </si>
  <si>
    <t>PENSION</t>
  </si>
  <si>
    <t>OUTAGE</t>
  </si>
  <si>
    <t>ASSET</t>
  </si>
  <si>
    <t>COMPENSATION</t>
  </si>
  <si>
    <t>O&amp;M</t>
  </si>
  <si>
    <t>D-2.32</t>
  </si>
  <si>
    <t xml:space="preserve">          PAGE  8  OF  7</t>
  </si>
  <si>
    <t>D-2.33</t>
  </si>
  <si>
    <t>D-2.34</t>
  </si>
  <si>
    <t>D-2.35</t>
  </si>
  <si>
    <t>D-2.36</t>
  </si>
  <si>
    <t>D-2.37</t>
  </si>
  <si>
    <t>D-2.38</t>
  </si>
  <si>
    <t xml:space="preserve">          PAGE  9  OF  7</t>
  </si>
  <si>
    <t>D-2.39</t>
  </si>
  <si>
    <t>D-2.40</t>
  </si>
  <si>
    <t>D-2.41</t>
  </si>
  <si>
    <t>D-2.42</t>
  </si>
  <si>
    <t>D-2.43</t>
  </si>
  <si>
    <t>D-2.44</t>
  </si>
  <si>
    <t>SUMMARY OF UTILITY JURISDICTIONAL ADJUSTMENTS TO</t>
  </si>
  <si>
    <t>OPERATING INCOME BY MAJOR ACCOUNTS</t>
  </si>
  <si>
    <t>PAGE 1  OF  7</t>
  </si>
  <si>
    <t>D-1</t>
  </si>
  <si>
    <t>SCH D-1, PG. 2</t>
  </si>
  <si>
    <t>SCH D-1, PG. 5</t>
  </si>
  <si>
    <t xml:space="preserve"> Total Revenue</t>
  </si>
  <si>
    <t>State Check</t>
  </si>
  <si>
    <t>Adj to BP</t>
  </si>
  <si>
    <t>Pro Forma</t>
  </si>
  <si>
    <t>Adjustment Total</t>
  </si>
  <si>
    <t>Tax Schedule</t>
  </si>
  <si>
    <t>Difference</t>
  </si>
  <si>
    <t>Fed Check</t>
  </si>
  <si>
    <t>Print Check</t>
  </si>
  <si>
    <t>ADJUST BASE PERIOD REVENUE TO FORECASTED PERIOD</t>
  </si>
  <si>
    <t xml:space="preserve">          SCHEDULE D-2.1</t>
  </si>
  <si>
    <t xml:space="preserve">          PAGE  1  OF  1</t>
  </si>
  <si>
    <t>WORK PAPER REFERENCE NO(S).:  WPD-2.1a</t>
  </si>
  <si>
    <t>PURPOSE AND DESCRIPTION</t>
  </si>
  <si>
    <t xml:space="preserve">PURPOSE AND DESCRIPTION: To adjust base period revenue to </t>
  </si>
  <si>
    <t>the level of revenue in the forecasted period.</t>
  </si>
  <si>
    <t>To Sch D-1 Summary &lt;--</t>
  </si>
  <si>
    <t xml:space="preserve">Total Revenue Adjustment </t>
  </si>
  <si>
    <t>Jurisdictional allocation percentage (A)</t>
  </si>
  <si>
    <t>Jurisdictional amount</t>
  </si>
  <si>
    <t>(A) Allocation Code   -</t>
  </si>
  <si>
    <t>WPD-2.1a</t>
  </si>
  <si>
    <t xml:space="preserve">WITNESS RESPONSIBLE: </t>
  </si>
  <si>
    <t>ADJUST BASE PERIOD REVENUE</t>
  </si>
  <si>
    <t>Fuel Cost</t>
  </si>
  <si>
    <t>To Schedule D-1</t>
  </si>
  <si>
    <t>ADJUST BASE PERIOD FUEL &amp; PURCHASED POWER COST TO FORECASTED PERIOD</t>
  </si>
  <si>
    <t>SCHEDULE D-2.2</t>
  </si>
  <si>
    <t>WORK PAPER REFERENCE NO(S).:  WPD-2.2a</t>
  </si>
  <si>
    <t>PURPOSE AND DESCRIPTION: To adjust base period fuel and purchased power</t>
  </si>
  <si>
    <t>expense to the level of expenses in the forecasted period.</t>
  </si>
  <si>
    <t>Fuel &amp; Purchased Power Expense</t>
  </si>
  <si>
    <t>To Sch D-1 Summary &lt;---</t>
  </si>
  <si>
    <t>WPD-2.2a</t>
  </si>
  <si>
    <t>ADJUST BASE PERIOD FUEL &amp; PURCHASED POWER COST</t>
  </si>
  <si>
    <t>ADJUST BASE PERIOD OTHER PRODUCTION EXPENSES TO FORECASTED PERIOD</t>
  </si>
  <si>
    <t>SCHEDULE D-2.3</t>
  </si>
  <si>
    <t>WORK PAPER REFERENCE NO(S).:  WPD-2.3a</t>
  </si>
  <si>
    <t xml:space="preserve">PURPOSE AND DESCRIPTION: To adjust base period other production expenses </t>
  </si>
  <si>
    <t>to the level of expenses in the forecasted period.</t>
  </si>
  <si>
    <t>Other Production Expenses</t>
  </si>
  <si>
    <t>WPD-2.3a</t>
  </si>
  <si>
    <t>ADJUST BASE PERIOD OTHER PRODUCTION EXPENSES</t>
  </si>
  <si>
    <t>RESERVED FOR FUTURE USE</t>
  </si>
  <si>
    <t>SCHEDULE D-2.4</t>
  </si>
  <si>
    <t>PURPOSE AND DESCRIPTION:  Reserved for future use.</t>
  </si>
  <si>
    <t>Reserved Adjustment</t>
  </si>
  <si>
    <t>ADJUST BASE PERIOD TRANSMISSION EXPENSES TO FORECASTED PERIOD</t>
  </si>
  <si>
    <t>SCHEDULE D-2.5</t>
  </si>
  <si>
    <t>WORK PAPER REFERENCE NO(S).:  WPD-2.5a</t>
  </si>
  <si>
    <t xml:space="preserve">PURPOSE AND DESCRIPTION: To adjust base period transmission expenses </t>
  </si>
  <si>
    <t>Transmission Expenses</t>
  </si>
  <si>
    <t>WPD-2.5a</t>
  </si>
  <si>
    <t>ADJUST BASE PERIOD TRANSMISSION EXPENSE</t>
  </si>
  <si>
    <t>ADJUST BASE PERIOD REGIONAL MARKET EXPENSES TO FORECASTED PERIOD</t>
  </si>
  <si>
    <t>SCHEDULE D-2.6</t>
  </si>
  <si>
    <t>WORK PAPER REFERENCE NO(S).:  WPD-2.6a</t>
  </si>
  <si>
    <t xml:space="preserve">PURPOSE AND DESCRIPTION: To adjust base period regional market expenses </t>
  </si>
  <si>
    <t>WPD-2.6a</t>
  </si>
  <si>
    <t>ADJUST BASE PERIOD REGIONAL MARKET EXPENSE</t>
  </si>
  <si>
    <t>ADJUST BASE PERIOD DISTRIBUTION EXPENSES TO FORECASTED PERIOD</t>
  </si>
  <si>
    <t>SCHEDULE D-2.7</t>
  </si>
  <si>
    <t>WORK PAPER REFERENCE NO(S).:  WPD-2.7a</t>
  </si>
  <si>
    <t xml:space="preserve">PURPOSE AND DESCRIPTION: To adjust base period distribution expenses </t>
  </si>
  <si>
    <t>Distribution Expenses</t>
  </si>
  <si>
    <t>WPD-2.7a</t>
  </si>
  <si>
    <t>ADJUST BASE PERIOD DISTRIBUTION EXPENSE</t>
  </si>
  <si>
    <t>ADJUST BASE PERIOD CUSTOMER ACCOUNTS EXPENSES TO FORECASTED PERIOD</t>
  </si>
  <si>
    <t>SCHEDULE D-2.8</t>
  </si>
  <si>
    <t>WORK PAPER REFERENCE NO(S).:  WPD-2.8a</t>
  </si>
  <si>
    <t xml:space="preserve">PURPOSE AND DESCRIPTION: To adjust base period customer accounts expenses </t>
  </si>
  <si>
    <t>WPD-2.8a</t>
  </si>
  <si>
    <t>ADJUST BASE PERIOD CUSTOMER ACCOUNTS EXPENSE</t>
  </si>
  <si>
    <t>ADJUST BASE PERIOD CUSTOMER SERVICE &amp; INFORMATION EXPENSES TO FORECASTED PERIOD</t>
  </si>
  <si>
    <t>SCHEDULE D-2.9</t>
  </si>
  <si>
    <t>WORK PAPER REFERENCE NO(S).:  WPD-2.9a</t>
  </si>
  <si>
    <t>PURPOSE AND DESCRIPTION: To adjust base period customer service &amp;</t>
  </si>
  <si>
    <t>information expense to the level of expenses in the forecasted period.</t>
  </si>
  <si>
    <t>Customer Service &amp; Information Expenses</t>
  </si>
  <si>
    <t>WPD-2.9a</t>
  </si>
  <si>
    <t>ADJUST BASE PERIOD CUSTOMER SERVICE</t>
  </si>
  <si>
    <t xml:space="preserve">   AND INFORMATION EXPENSE</t>
  </si>
  <si>
    <t>ADJUST BASE PERIOD SALES EXPENSES TO FORECASTED PERIOD</t>
  </si>
  <si>
    <t>SCHEDULE D-2.10</t>
  </si>
  <si>
    <t>WORK PAPER REFERENCE NO(S).:  WPD-2.10a</t>
  </si>
  <si>
    <t>PURPOSE AND DESCRIPTION: To adjust base period sales</t>
  </si>
  <si>
    <t>Sales Expenses</t>
  </si>
  <si>
    <t>WPD-2.10a</t>
  </si>
  <si>
    <t>ADJUST BASE PERIOD SALES EXPENSE</t>
  </si>
  <si>
    <t>ADJUST BASE PERIOD A&amp;G EXPENSES TO FORECASTED PERIOD</t>
  </si>
  <si>
    <t>SCHEDULE D-2.11</t>
  </si>
  <si>
    <t>WORK PAPER REFERENCE NO(S).:  WPD-2.11a</t>
  </si>
  <si>
    <t>PURPOSE AND DESCRIPTION: To adjust base period A&amp;G</t>
  </si>
  <si>
    <t>A&amp;G Expenses</t>
  </si>
  <si>
    <t>WPD-2.11a</t>
  </si>
  <si>
    <t>ADJUST BASE PERIOD A&amp;G EXPENSE</t>
  </si>
  <si>
    <t>A&amp;G Expense</t>
  </si>
  <si>
    <t>ADJUST OTHER OPERATING EXPENSE TO FORECASTED PERIOD</t>
  </si>
  <si>
    <t>SCHEDULE D-2.12</t>
  </si>
  <si>
    <t>WORK PAPER REFERENCE NO(S).:  WPD-2.12a</t>
  </si>
  <si>
    <t>PURPOSE AND DESCRIPTION: To adjust base period other operating</t>
  </si>
  <si>
    <t>Other Operating Expenses</t>
  </si>
  <si>
    <t>WPD-2.12a</t>
  </si>
  <si>
    <t>ADJUST OTHER OPERATING EXPENSE</t>
  </si>
  <si>
    <t>ADJUST BASE PERIOD DEPRECIATION EXPENSE TO FORECASTED PERIOD</t>
  </si>
  <si>
    <t>SCHEDULE D-2.13</t>
  </si>
  <si>
    <t>WORK PAPER REFERENCE NO(S).:  WPD-2.13a</t>
  </si>
  <si>
    <t>PURPOSE AND DESCRIPTION: To adjust base period depreciation</t>
  </si>
  <si>
    <t>WPD-2.13a</t>
  </si>
  <si>
    <t>ADJUST BASE PERIOD DEPRECIATION EXPENSE</t>
  </si>
  <si>
    <t>ADJUST BASE PERIOD OTHER TAX EXPENSE TO FORECASTED PERIOD</t>
  </si>
  <si>
    <t>SCHEDULE D-2.14</t>
  </si>
  <si>
    <t>WORK PAPER REFERENCE NO(S).:  WPD-2.14a</t>
  </si>
  <si>
    <t>PURPOSE AND DESCRIPTION: To adjust base period other tax</t>
  </si>
  <si>
    <t>Total Taxes Other than Income Taxes</t>
  </si>
  <si>
    <t>WPD-2.14a</t>
  </si>
  <si>
    <t>ADJUST BASE PERIOD OTHER TAX EXPENSE</t>
  </si>
  <si>
    <t>ADJUST INCOME TAX EXPENSE TO FORECASTED PERIOD</t>
  </si>
  <si>
    <t>SCHEDULE D-2.15</t>
  </si>
  <si>
    <t>WORK PAPER REFERENCE NO(S).:  WPD-2.15a</t>
  </si>
  <si>
    <t>SOURCE</t>
  </si>
  <si>
    <t>PURPOSE AND DESCRIPTION: To adjust base period income tax</t>
  </si>
  <si>
    <t>Current</t>
  </si>
  <si>
    <t>WPD-2.15a</t>
  </si>
  <si>
    <t>Deferrals</t>
  </si>
  <si>
    <t>Sch. E-1</t>
  </si>
  <si>
    <t>Amort of ITC</t>
  </si>
  <si>
    <t>Total Income Taxes</t>
  </si>
  <si>
    <t>ADJUST BASE PERIOD INCOME TAX EXPENSE</t>
  </si>
  <si>
    <t>Adjustments to</t>
  </si>
  <si>
    <t>Schedule D-1</t>
  </si>
  <si>
    <t>Federal</t>
  </si>
  <si>
    <t>Schedule E-1</t>
  </si>
  <si>
    <t>Total adjustment to current state income taxes as a result of adjustments made on</t>
  </si>
  <si>
    <t>Schedules D-2.1 through D-2.14.</t>
  </si>
  <si>
    <t>Total adjustment to current federal income taxes as a result of adjustments made on</t>
  </si>
  <si>
    <t>Total change in current state income taxes from the base period to the forecasted</t>
  </si>
  <si>
    <t>period per Schedule E-1.</t>
  </si>
  <si>
    <t>Total change in current federal income taxes from the base period to the forecasted</t>
  </si>
  <si>
    <t>Adjustment to current state income taxes necessary to tie the total change in state</t>
  </si>
  <si>
    <t>income taxes in the base period to the forecasted period per Schedule E-1.</t>
  </si>
  <si>
    <t>Adjustment to current federal income taxes necessary to tie the total change in federal</t>
  </si>
  <si>
    <t>ADJUST FORECASTED REVENUE</t>
  </si>
  <si>
    <t>SCHEDULE D-2.16</t>
  </si>
  <si>
    <t>WORK PAPER REFERENCE NO(S).: WPD-2.16a</t>
  </si>
  <si>
    <t>PURPOSE and DESCRIPTION:  To reconcile retail revenue calculated on Schedule M</t>
  </si>
  <si>
    <t>with revenue included in the forecast.</t>
  </si>
  <si>
    <t>Fuel Revenue</t>
  </si>
  <si>
    <t>Total Revenue Adjustment</t>
  </si>
  <si>
    <t>Jurisdictional Allocation Percentage (A)</t>
  </si>
  <si>
    <t>Jurisdictional Amount</t>
  </si>
  <si>
    <t xml:space="preserve">   To Sch D-1 Summary &lt;----</t>
  </si>
  <si>
    <t>Fuel Expense Adjustment</t>
  </si>
  <si>
    <t>WPD-2.16a</t>
  </si>
  <si>
    <t xml:space="preserve">Line </t>
  </si>
  <si>
    <t>Retail Sch. M (without riders)</t>
  </si>
  <si>
    <t>Total Revenue - Sch. C-2</t>
  </si>
  <si>
    <t>Revenue Adjustment</t>
  </si>
  <si>
    <t xml:space="preserve">(1) Source: Schedule C-2, Proforma Forecasted Period base revenue, excluding </t>
  </si>
  <si>
    <t xml:space="preserve">     Schedule D-2.16 base revenue adjustment.</t>
  </si>
  <si>
    <t>(2) Source: Schedule C-2, Forecasted Period.</t>
  </si>
  <si>
    <t>RATE CASE EXPENSE</t>
  </si>
  <si>
    <t>SCHEDULE D-2.17</t>
  </si>
  <si>
    <t>WORK PAPER REFERENCE NO(S).:  SCHEDULE F-6, WPD-2.17a.</t>
  </si>
  <si>
    <t>PURPOSE AND DESCRIPTION: To reflect the estimated cost</t>
  </si>
  <si>
    <t>of presenting this case as reflected on Schedule F-6, amortized</t>
  </si>
  <si>
    <t>over a five year period.</t>
  </si>
  <si>
    <t xml:space="preserve">    To Sch D-1 Summary &lt;---</t>
  </si>
  <si>
    <t>WPD-2.17a</t>
  </si>
  <si>
    <t>AMORTIZATION OF RATE CASE EXPENSE</t>
  </si>
  <si>
    <t>Estimated Expense</t>
  </si>
  <si>
    <t xml:space="preserve">     From Sch F-6 &lt;---</t>
  </si>
  <si>
    <t>Amortization Period</t>
  </si>
  <si>
    <t xml:space="preserve">     To Sch D-2.17 &lt;---</t>
  </si>
  <si>
    <t>ELIMINATE ESM REVENUE &amp; EXPENSE</t>
  </si>
  <si>
    <t>SCHEDULE D-2.18</t>
  </si>
  <si>
    <t>WORK PAPER REFERENCE NO(S).: WPD-2.18a</t>
  </si>
  <si>
    <t>PURPOSE AND DESCRIPTION:  To reflect the elimination of revenues and expenses recovered through Rider ESM.</t>
  </si>
  <si>
    <t>ESM Revenue</t>
  </si>
  <si>
    <t>Reagent Expense</t>
  </si>
  <si>
    <t>Amortization of Deferred Expense</t>
  </si>
  <si>
    <t>Total Environmental Expense Eliminated from Base Rates</t>
  </si>
  <si>
    <t>Property Tax Expense</t>
  </si>
  <si>
    <t>DUKE ENERGY KENTUCKY</t>
  </si>
  <si>
    <t>WPD-2.18a</t>
  </si>
  <si>
    <t>Amount included in</t>
  </si>
  <si>
    <t>in Forecasted Test Year</t>
  </si>
  <si>
    <r>
      <t>in Base Rates</t>
    </r>
    <r>
      <rPr>
        <u/>
        <vertAlign val="superscript"/>
        <sz val="10"/>
        <rFont val="Arial"/>
        <family val="2"/>
      </rPr>
      <t xml:space="preserve"> (1)</t>
    </r>
  </si>
  <si>
    <r>
      <t>Depreciation Expense</t>
    </r>
    <r>
      <rPr>
        <vertAlign val="superscript"/>
        <sz val="10"/>
        <rFont val="Arial"/>
        <family val="2"/>
      </rPr>
      <t>(2)</t>
    </r>
  </si>
  <si>
    <t>Property Taxes</t>
  </si>
  <si>
    <t>SO2 Costs</t>
  </si>
  <si>
    <t>NOx Costs</t>
  </si>
  <si>
    <t>Total EA Expense</t>
  </si>
  <si>
    <t>Ammonia</t>
  </si>
  <si>
    <t>Magnesium Hydroxide</t>
  </si>
  <si>
    <t>pH Control Treatment - Aquashade</t>
  </si>
  <si>
    <t>Total Environmental Reagents</t>
  </si>
  <si>
    <t>Amortization of Deferred Ash Pond ARO</t>
  </si>
  <si>
    <t>(1) Amount approved in base rates in ESM Case No. 2023-00374</t>
  </si>
  <si>
    <t>(2) ESM Capital Assets eliminated on B-2.2 and B-3.1</t>
  </si>
  <si>
    <t>INTEREST EXPENSE DEDUCTIBLE</t>
  </si>
  <si>
    <t xml:space="preserve">          SCHEDULE D-2.19</t>
  </si>
  <si>
    <t xml:space="preserve">          PAGE  1  OF  2</t>
  </si>
  <si>
    <t>WORK PAPER REFERENCE NO(S).: WPD-2.19a</t>
  </si>
  <si>
    <t>PURPOSE and DESCRIPTION: To reflect federal income taxes at 21.00%</t>
  </si>
  <si>
    <t>due to interest deductible for tax purposes being based on the debt portion</t>
  </si>
  <si>
    <t>Schedule B-1 and the annual cost rates as shown on Schedule J-1.</t>
  </si>
  <si>
    <t xml:space="preserve">          PAGE  2  OF  2</t>
  </si>
  <si>
    <t xml:space="preserve">              WPD-2.19a</t>
  </si>
  <si>
    <t>FEDERAL &amp; STATE INCOME TAX ON INTEREST DEDUCTION</t>
  </si>
  <si>
    <t>Schedule</t>
  </si>
  <si>
    <t>Long-Term</t>
  </si>
  <si>
    <t>Short-Term</t>
  </si>
  <si>
    <t>No</t>
  </si>
  <si>
    <t>Reference</t>
  </si>
  <si>
    <t>Debt</t>
  </si>
  <si>
    <t>Capital Structure</t>
  </si>
  <si>
    <t>J-1, page 2</t>
  </si>
  <si>
    <t>Sch. A</t>
  </si>
  <si>
    <t xml:space="preserve"> Annual Cost Rate</t>
  </si>
  <si>
    <t>Annualized Electric Interest Expense</t>
  </si>
  <si>
    <t xml:space="preserve"> for each Debt Component</t>
  </si>
  <si>
    <t>Total Annualized Electric Interest Expense</t>
  </si>
  <si>
    <t>Test Period Electric Interest Deduction</t>
  </si>
  <si>
    <t>E-1</t>
  </si>
  <si>
    <t>To Sch D-2.19, Pg. 2 &lt;--</t>
  </si>
  <si>
    <t>To Sch D-2.19, Pg. 1 &lt;--</t>
  </si>
  <si>
    <t>(A)  Source: Schedule H</t>
  </si>
  <si>
    <t>ELIMINATE NON-NATIVE REVENUE AND EXPENSE</t>
  </si>
  <si>
    <t>SCHEDULE D-2.20</t>
  </si>
  <si>
    <t>WORK PAPER REFERENCE NO(S).: WPD-2.20a</t>
  </si>
  <si>
    <t>PURPOSE AND DESCRIPTION:  To reflect the elimination of off-system sales revenue, related fuel</t>
  </si>
  <si>
    <t>and other variable expenses.</t>
  </si>
  <si>
    <t>Off-System Sales Revenue</t>
  </si>
  <si>
    <t>Ancillary Services - Reactive</t>
  </si>
  <si>
    <t>Profit Sharing Mechanism</t>
  </si>
  <si>
    <t>Total Non-Native Revenue</t>
  </si>
  <si>
    <t>Non-Native Fuel Expense</t>
  </si>
  <si>
    <t>Other Variable Costs</t>
  </si>
  <si>
    <t>Total Non-Native EA and Other Variable Expense</t>
  </si>
  <si>
    <t>WPD-2.20a</t>
  </si>
  <si>
    <t>Rider PSM</t>
  </si>
  <si>
    <t>Ancillary Service Market</t>
  </si>
  <si>
    <t>Reactive Power</t>
  </si>
  <si>
    <t>Emission Allowance</t>
  </si>
  <si>
    <t>ADJUST UNCOLLECTIBLE EXPENSE</t>
  </si>
  <si>
    <t>SCHEDULE D-2.21</t>
  </si>
  <si>
    <t>WORK PAPER REFERENCE NO(S).: WPD-2.21a</t>
  </si>
  <si>
    <t>PURPOSE AND DESCRIPTION: To reflect the reclassification of the "time value of money" portion</t>
  </si>
  <si>
    <t>of the total discount expense from uncollectible expense to interest expense.</t>
  </si>
  <si>
    <t>WPD-2.21a</t>
  </si>
  <si>
    <t>Sch. C-2</t>
  </si>
  <si>
    <t>Less: Interdepartmental Revenues</t>
  </si>
  <si>
    <t>Sch. C-2.1</t>
  </si>
  <si>
    <t>Revenue Subject to Uncollectible Ratio (1) + (2) - (3)</t>
  </si>
  <si>
    <t>Uncollectible Expense Factor</t>
  </si>
  <si>
    <t>WPH-a</t>
  </si>
  <si>
    <t>Annualized Uncollectible Expense (4) * (5)</t>
  </si>
  <si>
    <t>Adjustment to Uncollectible Expense (6) - (7)</t>
  </si>
  <si>
    <t>ELIMINATE DSM REVENUE &amp; EXPENSE</t>
  </si>
  <si>
    <t>SCHEDULE D-2.22</t>
  </si>
  <si>
    <t>WORK PAPER REFERENCE NO(S).: WPC-2b, WPD-2.22a</t>
  </si>
  <si>
    <t>PURPOSE AND DESCRIPTION:  To reflect the elimination of revenues</t>
  </si>
  <si>
    <t>and expenses recoverd through the DSM rider mechanism.</t>
  </si>
  <si>
    <t>DSM Revenue</t>
  </si>
  <si>
    <t>Other Production Expense</t>
  </si>
  <si>
    <t>Admin &amp; General Expense</t>
  </si>
  <si>
    <t>Total DSM Expense</t>
  </si>
  <si>
    <t>WPD-2.22a</t>
  </si>
  <si>
    <t>Process Code</t>
  </si>
  <si>
    <t>Process Description</t>
  </si>
  <si>
    <t>EESTAFF</t>
  </si>
  <si>
    <t>EE Staff costs</t>
  </si>
  <si>
    <t>Total Taxes Other Than Income Taxes</t>
  </si>
  <si>
    <t>EEADV</t>
  </si>
  <si>
    <t>Energy Efficiency P&amp;S Advertising</t>
  </si>
  <si>
    <t>EEINCEN</t>
  </si>
  <si>
    <t>EE Rebate &amp; Incentive Costs</t>
  </si>
  <si>
    <t>EEMAV</t>
  </si>
  <si>
    <t>EE Measure &amp; Verification cost</t>
  </si>
  <si>
    <t>EENSTAL</t>
  </si>
  <si>
    <t>EE Installation costs</t>
  </si>
  <si>
    <t>EEPDEV</t>
  </si>
  <si>
    <t>EE Product development costs</t>
  </si>
  <si>
    <t>EEPMGT</t>
  </si>
  <si>
    <t>EE Product Management</t>
  </si>
  <si>
    <t>Total Other Production Expense</t>
  </si>
  <si>
    <t>Total Admin &amp; General Expense</t>
  </si>
  <si>
    <t xml:space="preserve">Total DSM Expense </t>
  </si>
  <si>
    <t>ELIMINATE MISCELLANEOUS EXPENSES</t>
  </si>
  <si>
    <t xml:space="preserve">          SCHEDULE D-2.23</t>
  </si>
  <si>
    <t>WORK PAPER REFERENCE NO(S).:  WPD-2.23a</t>
  </si>
  <si>
    <t>PURPOSE AND DESCRIPTION: To eliminate miscellaneous expenses from the</t>
  </si>
  <si>
    <t>forecasted test period based on past Commission precedent.</t>
  </si>
  <si>
    <t xml:space="preserve">Total Miscellaneous Expense Adjustment </t>
  </si>
  <si>
    <t>WPD-2.23a</t>
  </si>
  <si>
    <t>Responsibility Center</t>
  </si>
  <si>
    <t>Adv, Acct Mgt &amp; Ops</t>
  </si>
  <si>
    <t>0920000</t>
  </si>
  <si>
    <t>AG</t>
  </si>
  <si>
    <t>0921100</t>
  </si>
  <si>
    <t>0921200</t>
  </si>
  <si>
    <t>0921400</t>
  </si>
  <si>
    <t>0923000</t>
  </si>
  <si>
    <t>0926600</t>
  </si>
  <si>
    <t>0930150</t>
  </si>
  <si>
    <t>Community Relations - OH/KY</t>
  </si>
  <si>
    <t>0912000</t>
  </si>
  <si>
    <t>Consumer Affairs MW</t>
  </si>
  <si>
    <t>0903000</t>
  </si>
  <si>
    <t>0903100</t>
  </si>
  <si>
    <t>0903200</t>
  </si>
  <si>
    <t>0903300</t>
  </si>
  <si>
    <t>0910000</t>
  </si>
  <si>
    <t>Corporate Communications</t>
  </si>
  <si>
    <t>Creative Services</t>
  </si>
  <si>
    <t>Foundation</t>
  </si>
  <si>
    <t>0930230</t>
  </si>
  <si>
    <t>Government Affairs - OH/KY</t>
  </si>
  <si>
    <t>0930200</t>
  </si>
  <si>
    <t>Social Media &amp; Content</t>
  </si>
  <si>
    <t>Schedule F-1, Dues</t>
  </si>
  <si>
    <t>Schedule F-4, Advertising</t>
  </si>
  <si>
    <t>Total Miscellaneous Expenses</t>
  </si>
  <si>
    <t>Prod</t>
  </si>
  <si>
    <t>Tran</t>
  </si>
  <si>
    <t>Dist</t>
  </si>
  <si>
    <t>Cust</t>
  </si>
  <si>
    <t>ANNUALIZE DEPRECIATION EXPENSE</t>
  </si>
  <si>
    <t>SCHEDULE D-2.24</t>
  </si>
  <si>
    <t>WORK PAPER REFERENCE NO(S).: WPD-2.24a</t>
  </si>
  <si>
    <t xml:space="preserve">PURPOSE AND DESCRIPTION: To reflect the adjustment to </t>
  </si>
  <si>
    <t>annualized depreciation expense as calculated on Schedule B-3.2</t>
  </si>
  <si>
    <t>To Sch D-1 Summary</t>
  </si>
  <si>
    <t>WPD-2.24a</t>
  </si>
  <si>
    <t>ANNUALIZATION OF DEPRECIATION EXPENSE FOR THE</t>
  </si>
  <si>
    <t>Schedule/</t>
  </si>
  <si>
    <t>Work Paper</t>
  </si>
  <si>
    <t xml:space="preserve">          Description      </t>
  </si>
  <si>
    <t>Depreciation Expense - Annualized</t>
  </si>
  <si>
    <t xml:space="preserve"> Sch B-3.2</t>
  </si>
  <si>
    <t>Depreciation Expense - Test Period</t>
  </si>
  <si>
    <t xml:space="preserve"> Sch C-2.1</t>
  </si>
  <si>
    <t xml:space="preserve">Annualized Depreciation Adjustment </t>
  </si>
  <si>
    <t xml:space="preserve"> --&gt; To Sch D-2.24</t>
  </si>
  <si>
    <t xml:space="preserve">  &amp; Sch E-1, Pg. 1</t>
  </si>
  <si>
    <t xml:space="preserve">  Ln. 11</t>
  </si>
  <si>
    <t>ELIMINATE UNBILLED REVENUE</t>
  </si>
  <si>
    <t>SCHEDULE D-2.25</t>
  </si>
  <si>
    <t>WORK PAPER REFERENCE NO(S).:  WPC-2b</t>
  </si>
  <si>
    <t>PURPOSE AND DESCRIPTION: To eliminate unbilled base revenue.</t>
  </si>
  <si>
    <t>Unbilled Base Revenue</t>
  </si>
  <si>
    <t>CREDIT CARD FEES</t>
  </si>
  <si>
    <t>SCHEDULE D-2.26</t>
  </si>
  <si>
    <t>WORK PAPER REFERENCE NO(S).: WPD-2.26a</t>
  </si>
  <si>
    <t>PURPOSE AND DESCRIPTION: To reflect expenses related to</t>
  </si>
  <si>
    <t>credit card fees</t>
  </si>
  <si>
    <t>WPD-2.26a</t>
  </si>
  <si>
    <t>Transaction</t>
  </si>
  <si>
    <t>2023 Actual</t>
  </si>
  <si>
    <t>2024 Projected</t>
  </si>
  <si>
    <t>2025 Projected</t>
  </si>
  <si>
    <t>2026 Projected</t>
  </si>
  <si>
    <t>Fee</t>
  </si>
  <si>
    <t>[1]</t>
  </si>
  <si>
    <t>[2]</t>
  </si>
  <si>
    <t>[3]</t>
  </si>
  <si>
    <t>[4]</t>
  </si>
  <si>
    <t>Total Annual Count of SpeedPay Payments - Electric</t>
  </si>
  <si>
    <t>÷ Number of Months</t>
  </si>
  <si>
    <t>Monthly Average</t>
  </si>
  <si>
    <t>[1] 2023 Actual number of transactions allocated to DEK electric only</t>
  </si>
  <si>
    <t>[2] 2024 Actual number of transactions through 9/30/24 then annualized</t>
  </si>
  <si>
    <t xml:space="preserve">[3] Company has not added a growth factor to transaction counts </t>
  </si>
  <si>
    <t>[4] Transaction fee based on Speedpay contract</t>
  </si>
  <si>
    <t>AMORTIZATION OF REGULATORY ASSET</t>
  </si>
  <si>
    <t>SCHEDULE D-2.27</t>
  </si>
  <si>
    <t>WORK PAPER REFERENCE NO(S).: WPD-2.27a</t>
  </si>
  <si>
    <t>PURPOSE AND DESCRIPTION: To include in operating expense</t>
  </si>
  <si>
    <t>the amortization of regulatory asset.</t>
  </si>
  <si>
    <t>WPD-2.27a</t>
  </si>
  <si>
    <t>Annual</t>
  </si>
  <si>
    <t>Amount (A)</t>
  </si>
  <si>
    <t>Amortization (B)</t>
  </si>
  <si>
    <t> </t>
  </si>
  <si>
    <t>Planned Outage Reg Asset</t>
  </si>
  <si>
    <t>Forced Outage Purch Power</t>
  </si>
  <si>
    <t xml:space="preserve">           Total</t>
  </si>
  <si>
    <t>(A) Source: Company Records.</t>
  </si>
  <si>
    <t>(B) Total amortization to Schedule D-2.27.</t>
  </si>
  <si>
    <t>(C) Deferral authority granted per Case No. 2017-00321</t>
  </si>
  <si>
    <t>INCENTIVE COMPENSATION</t>
  </si>
  <si>
    <t>SCHEDULE D-2.28</t>
  </si>
  <si>
    <t>WORK PAPER REFERENCE NO(S).: WPD-2.28a, WPD-2.28b, WPD-2.28c, WPD-2.28d</t>
  </si>
  <si>
    <t xml:space="preserve">PURPOSE AND DESCRIPTION: To eliminate incentive compensation related to achievement </t>
  </si>
  <si>
    <t xml:space="preserve">of financial goals and restictive stock units.  To also eliminate payroll taxes associated </t>
  </si>
  <si>
    <t>with the elimination of short-term incentive compensation.</t>
  </si>
  <si>
    <t>Short Term Incentive</t>
  </si>
  <si>
    <t>Long Term Incentive</t>
  </si>
  <si>
    <t>Restricted Stock Units</t>
  </si>
  <si>
    <t>Total Incentive Compensation Adjustment</t>
  </si>
  <si>
    <t>Incentive Payroll Tax</t>
  </si>
  <si>
    <t>WPD-2.28a</t>
  </si>
  <si>
    <t>SHORT TERM INCENTIVE</t>
  </si>
  <si>
    <t>Plan</t>
  </si>
  <si>
    <t xml:space="preserve">Total to </t>
  </si>
  <si>
    <t>Measure</t>
  </si>
  <si>
    <t>Weight</t>
  </si>
  <si>
    <t>DE Kentucky</t>
  </si>
  <si>
    <t>DE Carolinas</t>
  </si>
  <si>
    <t>DE Ohio</t>
  </si>
  <si>
    <t>DE Indiana</t>
  </si>
  <si>
    <t>DE Progress</t>
  </si>
  <si>
    <t>DE Florida</t>
  </si>
  <si>
    <t>Piedmont</t>
  </si>
  <si>
    <t>EPS</t>
  </si>
  <si>
    <t>Operational Excellence</t>
  </si>
  <si>
    <t>Customer Satisfaction (CSAT)</t>
  </si>
  <si>
    <t>Team</t>
  </si>
  <si>
    <t>Non-Utility O&amp;M and Capital Accounts including eliminations on D-2.22</t>
  </si>
  <si>
    <t>Accounts 500-935 (Income Statement) excluding eliminations on D-2.22</t>
  </si>
  <si>
    <t>EPS weighted</t>
  </si>
  <si>
    <t>EPS related recorded to Income Statement (Line 8 * Line 10)</t>
  </si>
  <si>
    <t xml:space="preserve"> To Sch D-2.28 &lt;---</t>
  </si>
  <si>
    <t>WPD-2.28b</t>
  </si>
  <si>
    <t>LONG TERM INCENTIVE PERFORMANCE SHARES</t>
  </si>
  <si>
    <t>Total Shareholder Return (TSR)</t>
  </si>
  <si>
    <t>TICR (Safety metric)</t>
  </si>
  <si>
    <t>ROE</t>
  </si>
  <si>
    <t>Non-Utility O&amp;M and Capital accounts including eliminations on D-2.22</t>
  </si>
  <si>
    <t>EPS, TSR, ROE weighted</t>
  </si>
  <si>
    <t>EPS, TSR, ROE related recorded to Income Statement (Line 7 * Line 9)</t>
  </si>
  <si>
    <t>WPD-2.28c</t>
  </si>
  <si>
    <t>RESTRICTED STOCK UNITS</t>
  </si>
  <si>
    <t>Restricted Stock Units (RSU's)</t>
  </si>
  <si>
    <t>Non-Utility Capital and O&amp;M accounts including eliminations on D-2.22</t>
  </si>
  <si>
    <t>Weight related to RSU's</t>
  </si>
  <si>
    <t>RSU's recorded to Income Statement (Line 4 x Line 6)</t>
  </si>
  <si>
    <t>WPD-2.28d</t>
  </si>
  <si>
    <t>PAYROLL TAXES</t>
  </si>
  <si>
    <t>Short Term Incentive related to EPS</t>
  </si>
  <si>
    <t>Loading Payroll Tax Rate</t>
  </si>
  <si>
    <t>Payroll Taxes on Short Term Incentives related to EPS</t>
  </si>
  <si>
    <t>--&gt; To Sch D-2.28</t>
  </si>
  <si>
    <t>PENSION ADJUSTMENT</t>
  </si>
  <si>
    <t>SCHEDULE D-2.29</t>
  </si>
  <si>
    <t>WORK PAPER REFERENCE NO(S).: WPD-2.29a, WPD-2.29b</t>
  </si>
  <si>
    <t>PURPOSE AND DESCRIPTION: To adjust expenses related to those employees participating</t>
  </si>
  <si>
    <t>in both a defined benefit pension program and 401K match and to eliminate expenses for the</t>
  </si>
  <si>
    <t>Supplemental Executive Retirement Plan (SERP).</t>
  </si>
  <si>
    <t>SERP Adjustment</t>
  </si>
  <si>
    <t>Total Adjustment</t>
  </si>
  <si>
    <t>WPD-2.29a</t>
  </si>
  <si>
    <t>Line 
No.</t>
  </si>
  <si>
    <t>DEK /
Duke Energy Kentucky (536)</t>
  </si>
  <si>
    <t>Duke Energy Business Services
 (110)</t>
  </si>
  <si>
    <t>Net periodic benefit cost - Total DEK (service cost)</t>
  </si>
  <si>
    <t>DEK - Electric portion</t>
  </si>
  <si>
    <t xml:space="preserve">O&amp;M% </t>
  </si>
  <si>
    <t>DEBS labor allocation % to DEK (electric)</t>
  </si>
  <si>
    <t>Subtotal</t>
  </si>
  <si>
    <t>Net periodic benefit cost - Total DEK (non-service cost)</t>
  </si>
  <si>
    <t>Purchase accounting amortization - Total DEK</t>
  </si>
  <si>
    <t xml:space="preserve">                             -  </t>
  </si>
  <si>
    <t>DEBS allocation % to DEK (electric)</t>
  </si>
  <si>
    <t>Total DEK (electric)</t>
  </si>
  <si>
    <t>WPD-2.29b</t>
  </si>
  <si>
    <t>SUPPLEMENTAL EXECUTIVE RETIREMENT PLAN ADJUSTMENT</t>
  </si>
  <si>
    <t>Budget</t>
  </si>
  <si>
    <t>Non-Service Cost for DEK</t>
  </si>
  <si>
    <t>DEK Electric %</t>
  </si>
  <si>
    <t>O&amp;M %</t>
  </si>
  <si>
    <t>Non-Service Cost for DEBS</t>
  </si>
  <si>
    <t>Total DEK (Electric)</t>
  </si>
  <si>
    <t>NORMALIZATION OF PLANNED OUTAGE O&amp;M</t>
  </si>
  <si>
    <t>SCHEDULE D-2.30</t>
  </si>
  <si>
    <t>WORK PAPER REFERENCE NO(S).: WPD-2.30a, WPD-2.30b</t>
  </si>
  <si>
    <t>PURPOSE AND DESCRIPTION: Normalization of Planned Outage O&amp;M.</t>
  </si>
  <si>
    <t>WPD-2.30a</t>
  </si>
  <si>
    <t>CPI</t>
  </si>
  <si>
    <t>2023=</t>
  </si>
  <si>
    <t>Year</t>
  </si>
  <si>
    <t>East Bend</t>
  </si>
  <si>
    <t>100 (A)</t>
  </si>
  <si>
    <t>8 Year Average</t>
  </si>
  <si>
    <t>Total Normalized Planned Outage O&amp;M</t>
  </si>
  <si>
    <t>Less Test Year Planned Outage O&amp;M</t>
  </si>
  <si>
    <t>Adjusted Planned Outage O&amp;M</t>
  </si>
  <si>
    <t>Note:  Excludes regular time labor hours</t>
  </si>
  <si>
    <t>WPD-2.30b</t>
  </si>
  <si>
    <t>CALCULATION OF CONSUMER PRICE INDEX</t>
  </si>
  <si>
    <t>FOR URBAN CONSUMERS</t>
  </si>
  <si>
    <t>BASED ON THE PERIOD ENDED DECEMBER 31, 2023 = 100%</t>
  </si>
  <si>
    <t>Consumer</t>
  </si>
  <si>
    <t>Price</t>
  </si>
  <si>
    <t>2023=100</t>
  </si>
  <si>
    <t>Index (A)</t>
  </si>
  <si>
    <t>To WPD-2.30a</t>
  </si>
  <si>
    <t>(A) Obtained from Bureau of Labor Statistics - Consumer Price Index - All Urban Consumers - Series ID CUUR0000SA0</t>
  </si>
  <si>
    <t>SCHEDULE D-2.31</t>
  </si>
  <si>
    <t>PURPOSE AND DESCRIPTION: Reserved for future use.</t>
  </si>
  <si>
    <t>SCHEDULE D-2.32</t>
  </si>
  <si>
    <t>SCHEDULE D-2.33</t>
  </si>
  <si>
    <t>SCHEDULE D-2.34</t>
  </si>
  <si>
    <t>SCHEDULE D-2.35</t>
  </si>
  <si>
    <t>SCHEDULE D-2.36</t>
  </si>
  <si>
    <t>SCHEDULE D-2.37</t>
  </si>
  <si>
    <t>SCHEDULE D-2.38</t>
  </si>
  <si>
    <t>SUMMARY OF JURISDICTIONAL FACTORS</t>
  </si>
  <si>
    <t>OPERATING INCOME</t>
  </si>
  <si>
    <t xml:space="preserve">                       SCHEDULE D-3</t>
  </si>
  <si>
    <t xml:space="preserve">                       PAGE  1  OF  1</t>
  </si>
  <si>
    <t xml:space="preserve">                       WITNESS RESPONSIBLE:</t>
  </si>
  <si>
    <t>FACTOR %</t>
  </si>
  <si>
    <t>JURISDICTIONAL STATISTICS</t>
  </si>
  <si>
    <t xml:space="preserve">    SCHEDULE D-4</t>
  </si>
  <si>
    <t xml:space="preserve">    PAGE  1  OF  1</t>
  </si>
  <si>
    <t xml:space="preserve">    WITNESS RESPONSIBLE:</t>
  </si>
  <si>
    <t>FACTOR</t>
  </si>
  <si>
    <t xml:space="preserve">    SCHEDULE D-5</t>
  </si>
  <si>
    <t>PROCEDURE APPROVED</t>
  </si>
  <si>
    <t>IN PRIOR CASE</t>
  </si>
  <si>
    <t>The procedures used are the same as those used in the Company's prior proceeding, Case No. 2022-00372.</t>
  </si>
  <si>
    <t>ADJUSTED JURISDICTIONAL FEDERAL AND STATE INCOME TAXES</t>
  </si>
  <si>
    <t>SCHEDULE E-1</t>
  </si>
  <si>
    <t>PAGE  1  OF  3</t>
  </si>
  <si>
    <t>WORK PAPER REFERENCE NO(S).:  WPE-1a, WPE-1b</t>
  </si>
  <si>
    <t>AT CURRENT RATES</t>
  </si>
  <si>
    <t>AT PROPOSED RATES</t>
  </si>
  <si>
    <t>(7)</t>
  </si>
  <si>
    <t>Operating Income before Federal</t>
  </si>
  <si>
    <t xml:space="preserve">      and State Income Taxes</t>
  </si>
  <si>
    <t>Reconciling Items:</t>
  </si>
  <si>
    <t xml:space="preserve">   Interest Charges</t>
  </si>
  <si>
    <t xml:space="preserve">      Net Interest Charges</t>
  </si>
  <si>
    <t>Perm</t>
  </si>
  <si>
    <t>T13A28</t>
  </si>
  <si>
    <t xml:space="preserve">   Tax Depreciation</t>
  </si>
  <si>
    <t>T13A08</t>
  </si>
  <si>
    <t xml:space="preserve">   Book Depreciation</t>
  </si>
  <si>
    <t xml:space="preserve">      Excess of Tax over Book Depreciation</t>
  </si>
  <si>
    <t>Other Reconciling Items:</t>
  </si>
  <si>
    <t>Temp</t>
  </si>
  <si>
    <t xml:space="preserve">   Total Other Reconciling Items</t>
  </si>
  <si>
    <t xml:space="preserve">      Total Reconciling Items</t>
  </si>
  <si>
    <t>PAGE  2  OF  3</t>
  </si>
  <si>
    <t xml:space="preserve">  and State Income Tax from Page 1</t>
  </si>
  <si>
    <t>Total Reconciling Items from Page 1</t>
  </si>
  <si>
    <t>Federal Taxable Income</t>
  </si>
  <si>
    <t xml:space="preserve">  before State Income Tax to Page 3</t>
  </si>
  <si>
    <t>Kentucky Income Tax Adjustments:</t>
  </si>
  <si>
    <t xml:space="preserve">   Kentucky Tax Inc. Adjustment - Misc</t>
  </si>
  <si>
    <t xml:space="preserve">      Total Kentucky Income Tax Adjustments</t>
  </si>
  <si>
    <t>Kentucky Taxable Income - Electric</t>
  </si>
  <si>
    <t xml:space="preserve">   Percent of Business Taxable in State</t>
  </si>
  <si>
    <t xml:space="preserve">      Total Kentucky Taxable Income</t>
  </si>
  <si>
    <t>Inventory Tax Credit</t>
  </si>
  <si>
    <t>State Income Tax - Deductible to Page 3</t>
  </si>
  <si>
    <t xml:space="preserve">   Prior Year Adjustments</t>
  </si>
  <si>
    <t xml:space="preserve">     State Income Tax - Current to Page 3</t>
  </si>
  <si>
    <t>(A) Calculation may be different due to rounding.</t>
  </si>
  <si>
    <t>PAGE  3  OF  3</t>
  </si>
  <si>
    <t>State Income Tax - Current from Page 2</t>
  </si>
  <si>
    <t>Deferred State Income Taxes - Net</t>
  </si>
  <si>
    <t>Deferred State Income Taxes - ARAM</t>
  </si>
  <si>
    <t>Deferred State Income Taxes - Amort. of Excess Deferred Taxes</t>
  </si>
  <si>
    <t>Deferred State Income Taxes - Prior Year</t>
  </si>
  <si>
    <t>Deferred Taxes - Net</t>
  </si>
  <si>
    <t xml:space="preserve">      Total State Income Tax Expense</t>
  </si>
  <si>
    <t xml:space="preserve">   before State Income Tax from Page 2</t>
  </si>
  <si>
    <t>State Income Tax Deductible from Page 2</t>
  </si>
  <si>
    <t xml:space="preserve">      Federal Taxable Income</t>
  </si>
  <si>
    <t xml:space="preserve">  Fuel Tax Credit</t>
  </si>
  <si>
    <t xml:space="preserve">   AMT Current Tax</t>
  </si>
  <si>
    <t xml:space="preserve">      Federal Income Tax - Current</t>
  </si>
  <si>
    <t>Deferred Federal Income Taxes - Current</t>
  </si>
  <si>
    <t>Deferred Federal Income Taxes - ARAM + EPRI Credits</t>
  </si>
  <si>
    <t>Deferred Federal Income Taxes - Amort. of Excess Deferred Taxes</t>
  </si>
  <si>
    <t>Deferred Federal Income Taxes - AMT Tax Credit Carryforward</t>
  </si>
  <si>
    <t>Deferred Federal Income Taxes - Prior Year</t>
  </si>
  <si>
    <t>Amortization of Investment Tax Credit</t>
  </si>
  <si>
    <t xml:space="preserve">      Total Federal Income Tax Expense</t>
  </si>
  <si>
    <t xml:space="preserve">      </t>
  </si>
  <si>
    <t>WPE-1a</t>
  </si>
  <si>
    <t xml:space="preserve">FORECASTED </t>
  </si>
  <si>
    <t>Twelve Months</t>
  </si>
  <si>
    <t>Oper Income Before Federal &amp; State Income Taxes</t>
  </si>
  <si>
    <t xml:space="preserve">Interest Charges  </t>
  </si>
  <si>
    <t>Book Taxable Income</t>
  </si>
  <si>
    <t>Temporary Differences:</t>
  </si>
  <si>
    <t>Accounting Depreciation</t>
  </si>
  <si>
    <t>Tax Depreciation</t>
  </si>
  <si>
    <t>Other Temporary Differences</t>
  </si>
  <si>
    <t xml:space="preserve">  Total Temporary Differences:</t>
  </si>
  <si>
    <t>F.T.I. Before S.I.T. &amp; Federal Tax Loss Carryforward</t>
  </si>
  <si>
    <t>Ky Tax Inc Adj - Misc:</t>
  </si>
  <si>
    <t xml:space="preserve">   Gross State Taxable Income</t>
  </si>
  <si>
    <t xml:space="preserve">   State Business Taxable Income (after apportionment) </t>
  </si>
  <si>
    <t xml:space="preserve">   State Income Tax Deductible</t>
  </si>
  <si>
    <t>F.T.I. Bef S.I.T. &amp; Fdrl Tax Loss Carryforward</t>
  </si>
  <si>
    <t xml:space="preserve">   Kentucky Income Tax</t>
  </si>
  <si>
    <t xml:space="preserve">   Federal Taxable Income - Ordinary</t>
  </si>
  <si>
    <t xml:space="preserve">   Fuel Tax Credit</t>
  </si>
  <si>
    <t>Federal Income Tax Payable</t>
  </si>
  <si>
    <t>WPE-1b</t>
  </si>
  <si>
    <t>Actual</t>
  </si>
  <si>
    <t>Sch. M</t>
  </si>
  <si>
    <t>2 Months Ended</t>
  </si>
  <si>
    <t>8 Months Ended</t>
  </si>
  <si>
    <t>4 Months Ended</t>
  </si>
  <si>
    <t>12 Months Ended</t>
  </si>
  <si>
    <t>ID</t>
  </si>
  <si>
    <t>February 2024</t>
  </si>
  <si>
    <t>August 2024</t>
  </si>
  <si>
    <t>December 2024</t>
  </si>
  <si>
    <t>February 2025</t>
  </si>
  <si>
    <t>Income Before Income Tax and Interest</t>
  </si>
  <si>
    <t>Interest  Charges</t>
  </si>
  <si>
    <t>P11A95</t>
  </si>
  <si>
    <t>After Tax ADC,M&amp;E,ITC Permanent</t>
  </si>
  <si>
    <t>T11A02</t>
  </si>
  <si>
    <t>Book Depreciation/Amortization</t>
  </si>
  <si>
    <t>T13A10</t>
  </si>
  <si>
    <t>Adjustment to Book Depreciation</t>
  </si>
  <si>
    <t>T13A11</t>
  </si>
  <si>
    <t>Lease Right of Use Asset</t>
  </si>
  <si>
    <t>T13A14</t>
  </si>
  <si>
    <t>Contributions in Aid (CIAC's)</t>
  </si>
  <si>
    <t>T13A16</t>
  </si>
  <si>
    <t>Cost of Removal</t>
  </si>
  <si>
    <t>T13A19</t>
  </si>
  <si>
    <t>After Tax ADC,M&amp;E, ITC Temporary</t>
  </si>
  <si>
    <t>T13A26</t>
  </si>
  <si>
    <t>Tax Interest Capitalized</t>
  </si>
  <si>
    <t>Tax Depreciation/Amortization</t>
  </si>
  <si>
    <t>T13A30</t>
  </si>
  <si>
    <t>Tax Gains/Losses</t>
  </si>
  <si>
    <t>T13A74</t>
  </si>
  <si>
    <t>Capitalized 174 R&amp;D Exp</t>
  </si>
  <si>
    <t>T13B09</t>
  </si>
  <si>
    <t>Book Depreciation Charged to Other Accounts</t>
  </si>
  <si>
    <t>T13B19</t>
  </si>
  <si>
    <t>T13B23</t>
  </si>
  <si>
    <t>Non-Cash Overhead Basis Adj</t>
  </si>
  <si>
    <t>T13B26</t>
  </si>
  <si>
    <t>Equipment Repairs - Annual Adj</t>
  </si>
  <si>
    <t>T13B33</t>
  </si>
  <si>
    <t>T &amp; D Repairs - Annual Adj.</t>
  </si>
  <si>
    <t>T15A24</t>
  </si>
  <si>
    <t>T15B02</t>
  </si>
  <si>
    <t>T15B07</t>
  </si>
  <si>
    <t>T15B28</t>
  </si>
  <si>
    <t>Reg Asset - Rate Case Expense</t>
  </si>
  <si>
    <t>T15B29</t>
  </si>
  <si>
    <t>T15B35</t>
  </si>
  <si>
    <t>Regulatory Asset - Carbon Management</t>
  </si>
  <si>
    <t>T15B37</t>
  </si>
  <si>
    <t>T15B38</t>
  </si>
  <si>
    <t>T15B41</t>
  </si>
  <si>
    <t>T15B43</t>
  </si>
  <si>
    <t>T15B51</t>
  </si>
  <si>
    <t>T15B52</t>
  </si>
  <si>
    <t>T15B77</t>
  </si>
  <si>
    <t>T15B81</t>
  </si>
  <si>
    <t>Reg Asset_Liab - Outage Costs</t>
  </si>
  <si>
    <t>T15B83</t>
  </si>
  <si>
    <t>Reg Asset - Rate Case Expense - Amortization - NC</t>
  </si>
  <si>
    <t>T17A02</t>
  </si>
  <si>
    <t>T17A40</t>
  </si>
  <si>
    <t>T18A02</t>
  </si>
  <si>
    <t>T19A51</t>
  </si>
  <si>
    <t>T19A71</t>
  </si>
  <si>
    <t>T20A38</t>
  </si>
  <si>
    <t>Regulatory Asset - Deferred Plant Costs</t>
  </si>
  <si>
    <t>T20A54</t>
  </si>
  <si>
    <t>Reg Liability - Rate Case Expense - Amortization - NC</t>
  </si>
  <si>
    <t>T20C02</t>
  </si>
  <si>
    <t>T22A06</t>
  </si>
  <si>
    <t>T22A15</t>
  </si>
  <si>
    <t>T22A23</t>
  </si>
  <si>
    <t>T22A28</t>
  </si>
  <si>
    <t>T22A30</t>
  </si>
  <si>
    <t>T22A56</t>
  </si>
  <si>
    <t>T22B13</t>
  </si>
  <si>
    <t>T22B15</t>
  </si>
  <si>
    <t>T22E02</t>
  </si>
  <si>
    <t>T22E06</t>
  </si>
  <si>
    <t xml:space="preserve">   Kentucky Tax Inc. Adjustment - Tax Gains/Losses</t>
  </si>
  <si>
    <t xml:space="preserve">   Kentucky Tax Inc. Adjustment - Bonus Depr</t>
  </si>
  <si>
    <t xml:space="preserve">   Gross State Business Taxable Income</t>
  </si>
  <si>
    <t>Kentucky Business Taxable Income</t>
  </si>
  <si>
    <t xml:space="preserve">   State Income Tax Payable Year to Date</t>
  </si>
  <si>
    <t>F.T.I. Before S.I.T. &amp; Federal Tax Loss Cryfowd</t>
  </si>
  <si>
    <t>DEVELOPMENT OF JURISDICTIONAL FEDERAL AND STATE INCOME TAXES</t>
  </si>
  <si>
    <t>BEFORE ADJUSTMENTS</t>
  </si>
  <si>
    <t>SCHEDULE E-2</t>
  </si>
  <si>
    <t>UTILITY</t>
  </si>
  <si>
    <t>CODE/EXPLANATION</t>
  </si>
  <si>
    <t>SOCIAL AND SERVICE CLUB DUES</t>
  </si>
  <si>
    <t xml:space="preserve">     SCHEDULE F-1</t>
  </si>
  <si>
    <t xml:space="preserve">     PAGE  1  OF  1</t>
  </si>
  <si>
    <t xml:space="preserve">     WITNESS RESPONSIBLE:</t>
  </si>
  <si>
    <t>SOCIAL</t>
  </si>
  <si>
    <t>ORGANIZATION/</t>
  </si>
  <si>
    <t>PERCENT</t>
  </si>
  <si>
    <t>SERVICE CLUB</t>
  </si>
  <si>
    <t>THE HOME BUILDERS ASSOC OF NORTHERN KY</t>
  </si>
  <si>
    <t>UTILITY BROADBAND ALLIANCE INC</t>
  </si>
  <si>
    <t>Various Budgeted Items</t>
  </si>
  <si>
    <t>INDOFF INCORPORATED</t>
  </si>
  <si>
    <t>ELECTRIC POWER RESEARCH INSTITUTE EPRI</t>
  </si>
  <si>
    <t>GRANT COUNTY CHAMBER OF COMMERCE</t>
  </si>
  <si>
    <t>Total Social and Service Club Dues</t>
  </si>
  <si>
    <t>(A) Allocation Code</t>
  </si>
  <si>
    <t>CHARITABLE CONTRIBUTIONS</t>
  </si>
  <si>
    <t xml:space="preserve">  SCHEDULE F-2.1</t>
  </si>
  <si>
    <t xml:space="preserve">  PAGE  1  OF  1</t>
  </si>
  <si>
    <t xml:space="preserve">  WITNESS RESPONSIBLE:</t>
  </si>
  <si>
    <t>CHARITABLE</t>
  </si>
  <si>
    <t>ORGANIZATION</t>
  </si>
  <si>
    <t>BOWLES CENTER FOR DIVERSITY OUTREACH</t>
  </si>
  <si>
    <t>BRIGHTON CENTER INC</t>
  </si>
  <si>
    <t>CINCINNATI REDS</t>
  </si>
  <si>
    <t>COVINGTON PARTNERS INC</t>
  </si>
  <si>
    <t>FC CINCINNATI HOLDINGS LLC</t>
  </si>
  <si>
    <t>FREEDOM BASEBALL CLUB LLC</t>
  </si>
  <si>
    <t>GATEWAY COMMUNITY AND TECHNICAL COLLEGE</t>
  </si>
  <si>
    <t>HORIZON COMMUNITY FUNDS OF NORTHERN</t>
  </si>
  <si>
    <t>KENTUCKY ASSOCIATION OF ECONOMIC</t>
  </si>
  <si>
    <t>KENTUCKY ASSOCIATION OF ELECTRIC</t>
  </si>
  <si>
    <t>KENTUCKY ASSOCIATION OF MANUFACTURERS</t>
  </si>
  <si>
    <t>LIFE LEARNING CENTER</t>
  </si>
  <si>
    <t>NATIONAL ASSOCIATION FOR THE ADVANCEMENT</t>
  </si>
  <si>
    <t>NORTHERN KENTUCKY COMMUNITY ACTION</t>
  </si>
  <si>
    <t>Total Charitable Contributions</t>
  </si>
  <si>
    <t>INITIATION FEES/COUNTRY CLUB EXP.</t>
  </si>
  <si>
    <t>SCHEDULE F-2.2</t>
  </si>
  <si>
    <t>PAYEE</t>
  </si>
  <si>
    <t>EMPLOYEE PARTY, OUTING, &amp; GIFT EXPENSE</t>
  </si>
  <si>
    <t>SCHEDULE F-2.3</t>
  </si>
  <si>
    <t>EMPLOYEE</t>
  </si>
  <si>
    <t>EXPENDITURES</t>
  </si>
  <si>
    <t>Safety and Service Awards</t>
  </si>
  <si>
    <t>Total Employee Party &amp; Gift Expense</t>
  </si>
  <si>
    <t>(A) Alloc Code</t>
  </si>
  <si>
    <t>CUSTOMER SERVICE AND INFORMATIONAL EXPENSE, SALES EXPENSE AND GENERAL ADVERTISING EXPENSE</t>
  </si>
  <si>
    <t>SCHEDULE F-3</t>
  </si>
  <si>
    <t>WORK PAPER REFERENCE NO(S).:  SCHEDULE C-2.1</t>
  </si>
  <si>
    <t>NON</t>
  </si>
  <si>
    <t xml:space="preserve">  NO.</t>
  </si>
  <si>
    <t xml:space="preserve">     DESCRIPTION OF EXPENSES</t>
  </si>
  <si>
    <t>LABOR</t>
  </si>
  <si>
    <t>Customer Service And Informational Expenses</t>
  </si>
  <si>
    <t xml:space="preserve">      Total Customer Service and Informational Expenses</t>
  </si>
  <si>
    <t xml:space="preserve">      Total Sales Expense</t>
  </si>
  <si>
    <t>General Advertising Expense</t>
  </si>
  <si>
    <t xml:space="preserve">      Total General Advertising Expense</t>
  </si>
  <si>
    <t>ADVERTISING</t>
  </si>
  <si>
    <t>SCHEDULE F-4</t>
  </si>
  <si>
    <t>WORK PAPER REFERENCE NO(S).: WPF-4a</t>
  </si>
  <si>
    <t>SALES OR</t>
  </si>
  <si>
    <t>PROMOTIONAL</t>
  </si>
  <si>
    <t>INSTITUTIONAL</t>
  </si>
  <si>
    <t>CONSERVATION</t>
  </si>
  <si>
    <t>ITEM</t>
  </si>
  <si>
    <t>SAFETY</t>
  </si>
  <si>
    <t>(G)</t>
  </si>
  <si>
    <t>Newspaper</t>
  </si>
  <si>
    <t>Magazines and Other</t>
  </si>
  <si>
    <t>Television</t>
  </si>
  <si>
    <t>Radio</t>
  </si>
  <si>
    <t>Direct Mail</t>
  </si>
  <si>
    <t>Sales Aids</t>
  </si>
  <si>
    <t>Undetermined</t>
  </si>
  <si>
    <t xml:space="preserve">Amount Assigned to </t>
  </si>
  <si>
    <t xml:space="preserve"> KY Retail</t>
  </si>
  <si>
    <t>WPF-4a</t>
  </si>
  <si>
    <t>Project / Description</t>
  </si>
  <si>
    <t>Conservation</t>
  </si>
  <si>
    <t>Safety</t>
  </si>
  <si>
    <t>WORK PAPER REFERENCE NO(S).: WPF-4b</t>
  </si>
  <si>
    <r>
      <t xml:space="preserve">TOTAL </t>
    </r>
    <r>
      <rPr>
        <vertAlign val="superscript"/>
        <sz val="10"/>
        <rFont val="Arial"/>
        <family val="2"/>
      </rPr>
      <t>(1)</t>
    </r>
  </si>
  <si>
    <r>
      <t xml:space="preserve">(1) </t>
    </r>
    <r>
      <rPr>
        <sz val="10"/>
        <rFont val="Arial"/>
        <family val="2"/>
      </rPr>
      <t>Eliminated on Schedule D-2.23.</t>
    </r>
  </si>
  <si>
    <t>WPF-4b</t>
  </si>
  <si>
    <t>PROFESSIONAL SERVICES EXPENSES</t>
  </si>
  <si>
    <t>SCHEDULE F-5</t>
  </si>
  <si>
    <t>WORK PAPER REFERENCE NO(S).: WPF-5a</t>
  </si>
  <si>
    <t>Expense Breakdown</t>
  </si>
  <si>
    <t>Juris.</t>
  </si>
  <si>
    <t>Electric</t>
  </si>
  <si>
    <t>Case</t>
  </si>
  <si>
    <t>Audit</t>
  </si>
  <si>
    <t xml:space="preserve">% </t>
  </si>
  <si>
    <t>Legal</t>
  </si>
  <si>
    <t>Engineering</t>
  </si>
  <si>
    <t>WORK PAPER REFERENCE NO(S).: WPF-5b</t>
  </si>
  <si>
    <t>WPF-5a</t>
  </si>
  <si>
    <t>LITIGATI - Litigation</t>
  </si>
  <si>
    <t>Total Legal Services</t>
  </si>
  <si>
    <t>None</t>
  </si>
  <si>
    <t>Total Engineering Services</t>
  </si>
  <si>
    <t>Total Accounting Services</t>
  </si>
  <si>
    <t>20JANTR - 20 - CLENAING</t>
  </si>
  <si>
    <t>21GBRM - 21 - REPAIRS &amp; MAINTENANCE</t>
  </si>
  <si>
    <t>23GRNDS - 23 - ROADS &amp; GROUNDS</t>
  </si>
  <si>
    <t>24SCLFS - 24 - SECURITY &amp; LIFE SAFETY</t>
  </si>
  <si>
    <t>25ADMIN - 25 - ADMINISTRATIVE EXPENSE</t>
  </si>
  <si>
    <t>25ADMIN - 25 - ADMINISTRATIVE SERVICES</t>
  </si>
  <si>
    <t>A&amp;GNS - NON SITE A&amp;G</t>
  </si>
  <si>
    <t>BCOAL - Coal Purchasing Svcs</t>
  </si>
  <si>
    <t>BEPRI - EPRI Dues</t>
  </si>
  <si>
    <t>BINVMGN - B INVENTORY STRATEGIES SUPPORT</t>
  </si>
  <si>
    <t>BSEXPN - Battery Storage Expenses</t>
  </si>
  <si>
    <t>COMCONT - COMMERCIAL CONTRACTS</t>
  </si>
  <si>
    <t>CONSULT - Consult</t>
  </si>
  <si>
    <t>CUSTSAP - SAP Ongoing Support</t>
  </si>
  <si>
    <t>CUSTSVC - Customer Services Function-Gen</t>
  </si>
  <si>
    <t>EVEXPN - EV Expenses</t>
  </si>
  <si>
    <t>EVPMGT - EV Program Management</t>
  </si>
  <si>
    <t>EVSTAFF - EV Staff Labor</t>
  </si>
  <si>
    <t>FCCELEC - FCC ELECTRIC</t>
  </si>
  <si>
    <t>FERC - FERC</t>
  </si>
  <si>
    <t>FNCTOFF - Offset to Functional UA Alloc</t>
  </si>
  <si>
    <t>GGMAR - Go Green Marketing</t>
  </si>
  <si>
    <t>IMCHRG - IM Chargebacks</t>
  </si>
  <si>
    <t>IMS - Information Mgt</t>
  </si>
  <si>
    <t>NRSTAFF - Nonregulated P&amp;S staff</t>
  </si>
  <si>
    <t>PDWCOM - Distribution Oper</t>
  </si>
  <si>
    <t>PRINT - Printing Svcs</t>
  </si>
  <si>
    <t>PURCH - Purchasing</t>
  </si>
  <si>
    <t>REALEST - REAL ESTATE</t>
  </si>
  <si>
    <t>SCENTRD - SUPPLY CENTER</t>
  </si>
  <si>
    <t>SNOW - Snow Removal</t>
  </si>
  <si>
    <t>STAFF - General &amp; Administrative supt</t>
  </si>
  <si>
    <t>STAFF - STAFF</t>
  </si>
  <si>
    <t>STAFFPS - P&amp;S Standard Staff costs</t>
  </si>
  <si>
    <t>STAFFPS - Staff Costs for P&amp;S</t>
  </si>
  <si>
    <t>STRAT10 - Grid Solutions Other</t>
  </si>
  <si>
    <t>TAXADM - Tax Administration</t>
  </si>
  <si>
    <t>TAXRC - Tax EY Rate Case Work</t>
  </si>
  <si>
    <t>TAXSTDY - Tax Study</t>
  </si>
  <si>
    <t>Other - Non-Specific</t>
  </si>
  <si>
    <t>Total Other Services</t>
  </si>
  <si>
    <t>WPF-5b</t>
  </si>
  <si>
    <r>
      <t>BEPRI - EPRI Dues</t>
    </r>
    <r>
      <rPr>
        <vertAlign val="superscript"/>
        <sz val="10"/>
        <rFont val="Arial"/>
        <family val="2"/>
      </rPr>
      <t>(1)</t>
    </r>
  </si>
  <si>
    <t xml:space="preserve">        SCHEDULE F-6</t>
  </si>
  <si>
    <t xml:space="preserve">        PAGE  1  OF  1</t>
  </si>
  <si>
    <t xml:space="preserve">        WITNESS RESPONSIBLE:</t>
  </si>
  <si>
    <t>COMPARISON OF PROJECTED EXPENSES ASSOCIATED WITH THE CURRENT CASE TO PRIOR RATE CASES</t>
  </si>
  <si>
    <t>CASE NO.</t>
  </si>
  <si>
    <t>JUSTIFICATION</t>
  </si>
  <si>
    <t>2022-00372 (ELEC)</t>
  </si>
  <si>
    <t>2021-00191 (GAS)</t>
  </si>
  <si>
    <t>OF SIGNIFICANT</t>
  </si>
  <si>
    <t>ITEM OF EXPENSE</t>
  </si>
  <si>
    <t>ESTIMATE</t>
  </si>
  <si>
    <t>CHANGE</t>
  </si>
  <si>
    <t>Depreciation Study</t>
  </si>
  <si>
    <t>Demolition Study</t>
  </si>
  <si>
    <t>Lead/Lag Study</t>
  </si>
  <si>
    <t>Consultants</t>
  </si>
  <si>
    <t>Rate of Return Studies</t>
  </si>
  <si>
    <t>Generation Retirement Study</t>
  </si>
  <si>
    <t>Cost of Service Studies</t>
  </si>
  <si>
    <t>Publish Legal Notice</t>
  </si>
  <si>
    <t>Transportation, Lodging, Meals</t>
  </si>
  <si>
    <t xml:space="preserve">      Total</t>
  </si>
  <si>
    <t>SCHEDULE OF RATE CASE EXPENSE AMORTIZATION</t>
  </si>
  <si>
    <t>AMORT.</t>
  </si>
  <si>
    <t>OPINION /</t>
  </si>
  <si>
    <t>DURING</t>
  </si>
  <si>
    <t>TO BE</t>
  </si>
  <si>
    <t>ORDER</t>
  </si>
  <si>
    <t>AMORTIZED</t>
  </si>
  <si>
    <t>RATE CASE</t>
  </si>
  <si>
    <t>DATE</t>
  </si>
  <si>
    <t>TO DATE</t>
  </si>
  <si>
    <t>Current Case</t>
  </si>
  <si>
    <t xml:space="preserve">    -</t>
  </si>
  <si>
    <t xml:space="preserve"> &lt;----- To WPD-2.17a</t>
  </si>
  <si>
    <t>2022-00372</t>
  </si>
  <si>
    <t>2019-00271</t>
  </si>
  <si>
    <t>Total Rate Case Expense Amortization</t>
  </si>
  <si>
    <t>(A) Represents rate case expense included on Schedule C-2, as adjusted.</t>
  </si>
  <si>
    <t>(B) Per Commission Rehearing Order in Case No. 2022-00372 on July 1, 2024.</t>
  </si>
  <si>
    <t>(C) Per Commission Order in Case No. 2022-00372 on October 12, 2023.</t>
  </si>
  <si>
    <t>CIVIC, POLITICAL AND RELATED ACTIVITIES</t>
  </si>
  <si>
    <t xml:space="preserve">     SCHEDULE F-7</t>
  </si>
  <si>
    <t>MCBRAYER PLLC</t>
  </si>
  <si>
    <t>STRATEGIC ADVISERS LLC</t>
  </si>
  <si>
    <t>Other Items</t>
  </si>
  <si>
    <t>Total Civic, Political &amp; Related Activities</t>
  </si>
  <si>
    <t>No Political Expenses are included in test year operating expenses.</t>
  </si>
  <si>
    <t>PAYROLL COSTS</t>
  </si>
  <si>
    <t xml:space="preserve">                      SCHEDULE G-1</t>
  </si>
  <si>
    <t xml:space="preserve">                      PAGE  1  OF  1</t>
  </si>
  <si>
    <t xml:space="preserve">                      WITNESS RESPONSIBLE:</t>
  </si>
  <si>
    <t xml:space="preserve">               OPERATION AND MAINTENANCE  EXPENSES               </t>
  </si>
  <si>
    <t>%  (A)</t>
  </si>
  <si>
    <t>Labor</t>
  </si>
  <si>
    <t>Incentives</t>
  </si>
  <si>
    <t>Payroll Taxes</t>
  </si>
  <si>
    <t>Total Payroll Costs</t>
  </si>
  <si>
    <t>Forecasted Period:</t>
  </si>
  <si>
    <t>(A) Allocation Code:</t>
  </si>
  <si>
    <t>PAYROLL ANALYSIS</t>
  </si>
  <si>
    <t>SCHEDULE G-2</t>
  </si>
  <si>
    <t>PAGE  1 OF 1</t>
  </si>
  <si>
    <t>MANHOURS</t>
  </si>
  <si>
    <t xml:space="preserve"> STRAIGHT TIME HOURS</t>
  </si>
  <si>
    <t xml:space="preserve"> OVERTIME HOURS</t>
  </si>
  <si>
    <t xml:space="preserve"> TOTAL MANHOURS</t>
  </si>
  <si>
    <t>RATIO OF OVERTIME HOURS TO</t>
  </si>
  <si>
    <t xml:space="preserve">       STRAIGHT TIME HOURS</t>
  </si>
  <si>
    <t xml:space="preserve">Note: The regular and straight time hours shown are September 2023 - August 2024 labor hours.  The </t>
  </si>
  <si>
    <t xml:space="preserve">         Company does not budget or forecast labor hours but does not expect to deviate materially from 2023-2024</t>
  </si>
  <si>
    <t xml:space="preserve">          </t>
  </si>
  <si>
    <t>EXECUTIVE COMPENSATION</t>
  </si>
  <si>
    <t>SCHEDULE G-3</t>
  </si>
  <si>
    <t>WORK PAPER REFERENCE NO(S).</t>
  </si>
  <si>
    <t>DIFFERENCE</t>
  </si>
  <si>
    <t>Includes 12 Officers</t>
  </si>
  <si>
    <t xml:space="preserve">Gross Payroll </t>
  </si>
  <si>
    <t>Salary</t>
  </si>
  <si>
    <t>Other Compensation</t>
  </si>
  <si>
    <t>Total Salary and Compensation</t>
  </si>
  <si>
    <t>NOTE:  This schedule contains confidential information, detail of these numbers are available upon request.</t>
  </si>
  <si>
    <t>(1)   The Company's forecast assumes an annual salary adjustment of 3.0%.</t>
  </si>
  <si>
    <r>
      <t xml:space="preserve">(2)    </t>
    </r>
    <r>
      <rPr>
        <i/>
        <sz val="10"/>
        <color theme="1"/>
        <rFont val="Arial"/>
        <family val="2"/>
      </rPr>
      <t xml:space="preserve">Other compensation includes cash based short-term incentives and stock based long term incentives at target.  </t>
    </r>
  </si>
  <si>
    <t>Positions included on this schedule are:</t>
  </si>
  <si>
    <t>Chair &amp; CEO</t>
  </si>
  <si>
    <t>EVP and CEO, Duke Energy Florida and Midwest</t>
  </si>
  <si>
    <t>EVP, Chief Legal Officer and Corporate Secretary</t>
  </si>
  <si>
    <t>EVP and CEO, Duke Energy Carolinas</t>
  </si>
  <si>
    <t>EVP &amp; CFO</t>
  </si>
  <si>
    <t>President, Duke Energy</t>
  </si>
  <si>
    <t>EVP and Chief Corporate Affairs Officer</t>
  </si>
  <si>
    <t>SVP Corporate Development &amp; Treasurer</t>
  </si>
  <si>
    <t>VP, Chief Accounting Officer &amp; Controller</t>
  </si>
  <si>
    <t>State President-OH/KY</t>
  </si>
  <si>
    <t>EVP, Chief Generation Officer and Enterprise Operational Excellence</t>
  </si>
  <si>
    <t>SVP and President, Natural Gas Business</t>
  </si>
  <si>
    <t>These costs are total costs for Duke Energy Corporation, a portion of which are allocated to Kentucky.</t>
  </si>
  <si>
    <t>COMPUTATION OF GROSS REVENUE CONVERSION FACTOR</t>
  </si>
  <si>
    <t>SCHEDULE H</t>
  </si>
  <si>
    <t>WORK PAPER REFERENCE NO(S).: WPH-a</t>
  </si>
  <si>
    <t>PERCENT OF</t>
  </si>
  <si>
    <t>INCREMENTAL</t>
  </si>
  <si>
    <t>GROSS</t>
  </si>
  <si>
    <t xml:space="preserve">   Operating Revenues</t>
  </si>
  <si>
    <t xml:space="preserve">   Less: Uncollectible Accounts Expenses</t>
  </si>
  <si>
    <t xml:space="preserve">              KPSC Maintenance Tax</t>
  </si>
  <si>
    <t xml:space="preserve">   Income before Income Tax (Line 1 - Line 6)</t>
  </si>
  <si>
    <t xml:space="preserve">   Income Taxes - State of Kentucky</t>
  </si>
  <si>
    <t xml:space="preserve">   Income before Federal Income Tax (Line 8 - Line 11)</t>
  </si>
  <si>
    <t xml:space="preserve">   Operating Income Percentage (Line 13 - Line 15) </t>
  </si>
  <si>
    <t>Expense Factor Excluding Tax</t>
  </si>
  <si>
    <t>UNCOLLECTIBLE ACCOUNTS FACTOR</t>
  </si>
  <si>
    <t>Gross Charge-offs</t>
  </si>
  <si>
    <t>Recoveries</t>
  </si>
  <si>
    <t>Net Charge-offs</t>
  </si>
  <si>
    <t>% of Revenue</t>
  </si>
  <si>
    <t>COMPARATIVE INCOME STATEMENTS</t>
  </si>
  <si>
    <t>SCHEDULE I-1</t>
  </si>
  <si>
    <t>TWO PROJECTED</t>
  </si>
  <si>
    <t>CALENDAR YEARS</t>
  </si>
  <si>
    <t>UTILITY OPERATING INCOME</t>
  </si>
  <si>
    <t xml:space="preserve">  OPERATING REVENUES</t>
  </si>
  <si>
    <t xml:space="preserve">  OPERATING EXPENSES</t>
  </si>
  <si>
    <t xml:space="preserve">    OPERATION EXPENSES</t>
  </si>
  <si>
    <t xml:space="preserve">    MAINTENANCE EXPENSES</t>
  </si>
  <si>
    <t xml:space="preserve">    DEPRECIATION EXPENSE</t>
  </si>
  <si>
    <t xml:space="preserve">    AMORT. &amp; DEPL. OF UTILITY PLANT</t>
  </si>
  <si>
    <t xml:space="preserve">    REGULATORY DEBITS</t>
  </si>
  <si>
    <t xml:space="preserve">    REGULATORY CREDITS</t>
  </si>
  <si>
    <t xml:space="preserve">    TAXES OTHER THAN INCOME TAXES</t>
  </si>
  <si>
    <t xml:space="preserve">    INCOME TAXES - FEDERAL</t>
  </si>
  <si>
    <t xml:space="preserve">    INCOME TAXES - OTHER</t>
  </si>
  <si>
    <t xml:space="preserve">    PROVISION FOR DEFERRED INCOME TAXES</t>
  </si>
  <si>
    <t xml:space="preserve">    PROVISION FOR DEFERRED INCOME TAXES - CREDIT</t>
  </si>
  <si>
    <t xml:space="preserve">    INVESTMENT TAX CREDIT ADJ - NET</t>
  </si>
  <si>
    <t xml:space="preserve"> GAINS FROM DISP OF ALLOW - CREDIT</t>
  </si>
  <si>
    <t xml:space="preserve"> ACCRETION EXPENSE</t>
  </si>
  <si>
    <t xml:space="preserve">      TOTAL UTILITY OPERATING EXPENSES</t>
  </si>
  <si>
    <t xml:space="preserve">      NET UTILITY OPERATING INCOME</t>
  </si>
  <si>
    <t>OTHER INCOME AND DEDUCTIONS</t>
  </si>
  <si>
    <t xml:space="preserve">  OTHER INCOME</t>
  </si>
  <si>
    <t xml:space="preserve">    NONUTILITY OPERATING INCOME</t>
  </si>
  <si>
    <t xml:space="preserve">    INTEREST AND DIVIDEND INCOME</t>
  </si>
  <si>
    <t xml:space="preserve">    ALLOWANCE FOR FUNDS USED DURING CONST</t>
  </si>
  <si>
    <t xml:space="preserve">    MISCELLANEOUS NONOPERATING INCOME</t>
  </si>
  <si>
    <t xml:space="preserve">    GAIN ON DISPOSITION OF PROPERTY</t>
  </si>
  <si>
    <t xml:space="preserve">      TOTAL OTHER INCOME</t>
  </si>
  <si>
    <t xml:space="preserve">  OTHER INCOME DEDUCTIONS</t>
  </si>
  <si>
    <t xml:space="preserve">    LOSS ON DISPOSITION OF PROPERTY</t>
  </si>
  <si>
    <t xml:space="preserve">    MISCELLANEOUS INCOME DEDUCTIONS</t>
  </si>
  <si>
    <t xml:space="preserve">      TOTAL OTHER INCOME DEDUCTIONS</t>
  </si>
  <si>
    <t xml:space="preserve">  TAXES APPLICABLE TO OTHER INCOME AND DEDUCTIONS</t>
  </si>
  <si>
    <t xml:space="preserve">                                   - OTHER</t>
  </si>
  <si>
    <t xml:space="preserve">      TOTAL TAXES ON OTHER INCOME AND DEDUCTIONS</t>
  </si>
  <si>
    <t xml:space="preserve">      NET OTHER INCOME AND DEDUCTIONS</t>
  </si>
  <si>
    <t xml:space="preserve">  INTEREST CHARGES</t>
  </si>
  <si>
    <t xml:space="preserve">    INTEREST ON LONG TERM DEBT</t>
  </si>
  <si>
    <t xml:space="preserve">    AMORTIZATION OF DEBT DISCOUNT AND EXPENSE</t>
  </si>
  <si>
    <t xml:space="preserve">    AMORTIZATION OF LOSS ON REACQUIRED DEBT </t>
  </si>
  <si>
    <t xml:space="preserve">    AMORTIZATION OF PREMIUM ON DEBT - CREDIT</t>
  </si>
  <si>
    <t xml:space="preserve">    INTEREST ON DEBT TO ASSOC. COMPANIES</t>
  </si>
  <si>
    <t xml:space="preserve">    OTHER INTEREST EXPENSE</t>
  </si>
  <si>
    <t xml:space="preserve">    ALLOW FOR BRWD FUNDS USED DUR CONST - CREDIT</t>
  </si>
  <si>
    <t xml:space="preserve">      NET INTEREST CHARGES</t>
  </si>
  <si>
    <t xml:space="preserve">      NET INCOME</t>
  </si>
  <si>
    <t xml:space="preserve">  Operating Revenues</t>
  </si>
  <si>
    <t>Operating Income Deductions</t>
  </si>
  <si>
    <t xml:space="preserve">  Operating and Maintenance Expenses:</t>
  </si>
  <si>
    <t>Power Production Expenses</t>
  </si>
  <si>
    <t>Purchased Power Expenses</t>
  </si>
  <si>
    <t>Regional Market Expenses</t>
  </si>
  <si>
    <t>Customer Service and Informational Expenses</t>
  </si>
  <si>
    <t>Administerative and General Expenses</t>
  </si>
  <si>
    <t>Total (Line 5 through Line 14)</t>
  </si>
  <si>
    <t>Amort. &amp; Depl. of Utility Plant</t>
  </si>
  <si>
    <t>Income Taxes - Federal</t>
  </si>
  <si>
    <t>Income Taxes - Other</t>
  </si>
  <si>
    <t>Provision for Deferred Income Taxes - Net</t>
  </si>
  <si>
    <t>Investment Tax Credit Adj - Net</t>
  </si>
  <si>
    <t>Gains From Disp of Allow - Credit</t>
  </si>
  <si>
    <t xml:space="preserve"> Accretion Expense</t>
  </si>
  <si>
    <t xml:space="preserve">      Total Utility Operating Expenses</t>
  </si>
  <si>
    <t xml:space="preserve">      Net Utility Operating Income</t>
  </si>
  <si>
    <t>Other Income And Deductions</t>
  </si>
  <si>
    <t xml:space="preserve">  Other Income:</t>
  </si>
  <si>
    <t>Nonutility Operating Income</t>
  </si>
  <si>
    <t>Equity in Earnings of Subsidiary Companies</t>
  </si>
  <si>
    <t xml:space="preserve">    Interest and Dividend Income</t>
  </si>
  <si>
    <t xml:space="preserve">    Allowance for Funds Used During Const</t>
  </si>
  <si>
    <t xml:space="preserve">    Miscellaneous Nonoperating Income</t>
  </si>
  <si>
    <t xml:space="preserve">    Gain on Disposition of Property</t>
  </si>
  <si>
    <t xml:space="preserve">      Total Other Income</t>
  </si>
  <si>
    <t xml:space="preserve">  Other Income Deductions:</t>
  </si>
  <si>
    <t xml:space="preserve">    Loss on Disposition of Property</t>
  </si>
  <si>
    <t xml:space="preserve">    Miscellaneous Income Deductions</t>
  </si>
  <si>
    <t xml:space="preserve">      Total Other Income Deductions</t>
  </si>
  <si>
    <t xml:space="preserve">  Taxes Applicable to Other Income and Deductions</t>
  </si>
  <si>
    <t xml:space="preserve">    Income Taxes and Investment Tax Credits</t>
  </si>
  <si>
    <t xml:space="preserve">      Total Taxes on Other Income and Deductions</t>
  </si>
  <si>
    <t xml:space="preserve">      Net Other Income and Deductions</t>
  </si>
  <si>
    <t xml:space="preserve">    Interest on Long Term Debt</t>
  </si>
  <si>
    <t xml:space="preserve">    Amortization of Debt Discount and Expense</t>
  </si>
  <si>
    <t xml:space="preserve">    Amortization of Loss on Reacquired Debt </t>
  </si>
  <si>
    <t xml:space="preserve">    Amortization of Premium on Debt - Credit</t>
  </si>
  <si>
    <t xml:space="preserve">    Interest on Debt to Assoc. Companies</t>
  </si>
  <si>
    <t xml:space="preserve">    Other Interest Expense</t>
  </si>
  <si>
    <t xml:space="preserve">    Allow For Brwd Funds Used Dur Const - Credit</t>
  </si>
  <si>
    <t>Net Income</t>
  </si>
  <si>
    <t>1,000 KWH Sold</t>
  </si>
  <si>
    <t>Net Income per KWH Sold</t>
  </si>
  <si>
    <t>ELECTRIC REVENUE STATISTICS-TOTAL COMPANY</t>
  </si>
  <si>
    <t>SCHEDULE I-2.1</t>
  </si>
  <si>
    <t xml:space="preserve">        MOST RECENT FIVE CALENDAR YEARS        </t>
  </si>
  <si>
    <t>REVENUE BY CUSTOMER</t>
  </si>
  <si>
    <t xml:space="preserve"> CLASS-$    (A)       </t>
  </si>
  <si>
    <t>RETAIL -</t>
  </si>
  <si>
    <t xml:space="preserve">    RESIDENTIAL</t>
  </si>
  <si>
    <t xml:space="preserve">    COMMERCIAL</t>
  </si>
  <si>
    <t xml:space="preserve">    INDUSTRIAL</t>
  </si>
  <si>
    <t xml:space="preserve">    LIGHTING</t>
  </si>
  <si>
    <t xml:space="preserve">    OTHER</t>
  </si>
  <si>
    <t xml:space="preserve">              TOTAL</t>
  </si>
  <si>
    <t>NO. OF CUSTOMERS BY</t>
  </si>
  <si>
    <t xml:space="preserve"> CLASS (YEAR END)</t>
  </si>
  <si>
    <t xml:space="preserve">        TOTAL</t>
  </si>
  <si>
    <t xml:space="preserve">NO. OF CUSTOMERS BY </t>
  </si>
  <si>
    <t xml:space="preserve"> CLASS (AVERAGE)   </t>
  </si>
  <si>
    <t xml:space="preserve">AVERAGE REVENUE PER </t>
  </si>
  <si>
    <t xml:space="preserve"> CUSTOMER          </t>
  </si>
  <si>
    <t>(A) Contains Billed and Unbilled Sales.</t>
  </si>
  <si>
    <t>REVENUE STATISTICS-TOTAL COMPANY</t>
  </si>
  <si>
    <t>(Actual)</t>
  </si>
  <si>
    <t>(Budget)</t>
  </si>
  <si>
    <t>RESIDENTIAL</t>
  </si>
  <si>
    <t>COMMERCIAL</t>
  </si>
  <si>
    <t>INDUSTRIAL</t>
  </si>
  <si>
    <t>LIGHTING</t>
  </si>
  <si>
    <t xml:space="preserve">        TOTAL RETAIL</t>
  </si>
  <si>
    <t>KWH SALES BY</t>
  </si>
  <si>
    <t xml:space="preserve"> CLASS</t>
  </si>
  <si>
    <t>(A) Represents billed sales.</t>
  </si>
  <si>
    <t>Actual Billed KWH Sales</t>
  </si>
  <si>
    <t>Base Period KWH Sales</t>
  </si>
  <si>
    <t>Lighting</t>
  </si>
  <si>
    <t>Excl. Inter-Dept</t>
  </si>
  <si>
    <t>Retail</t>
  </si>
  <si>
    <t>January</t>
  </si>
  <si>
    <t>Forecasted KWH Sales</t>
  </si>
  <si>
    <t>Source: Company Financial Records</t>
  </si>
  <si>
    <t>ELECTRIC REVENUE STATISTICS-JURISDICTIONAL</t>
  </si>
  <si>
    <t>SCHEDULE I-3</t>
  </si>
  <si>
    <t xml:space="preserve">                  MOST RECENT FIVE CALENDAR YEARS                  </t>
  </si>
  <si>
    <t xml:space="preserve">RETAIL - </t>
  </si>
  <si>
    <t>SAME AS SCHEDULE I-2.1 - 100% OF TOTAL COMPANY OPERATIONS ARE JURISDICTIONAL</t>
  </si>
  <si>
    <t xml:space="preserve"> RETAIL</t>
  </si>
  <si>
    <t>ELECTRIC SALES STATISTICS-TOTAL COMPANY</t>
  </si>
  <si>
    <t>SCHEDULE I-4</t>
  </si>
  <si>
    <t>SALES BY CUSTOMER</t>
  </si>
  <si>
    <t xml:space="preserve"> CLASS-KWH_(A)___</t>
  </si>
  <si>
    <t xml:space="preserve"> CLASS (AVERAGE)</t>
  </si>
  <si>
    <t xml:space="preserve">AVERAGE SALES PER </t>
  </si>
  <si>
    <t xml:space="preserve"> CUSTOMER-KWH</t>
  </si>
  <si>
    <t>(A) Contains Billed Sales.</t>
  </si>
  <si>
    <t>ELECTRIC SALES STATISTICS-JURISDICTIONAL</t>
  </si>
  <si>
    <t>SCHEDULE I-5</t>
  </si>
  <si>
    <t xml:space="preserve"> CLASS-KWH (A)</t>
  </si>
  <si>
    <t>SAME AS SCHEDULE I-4 - 100% OF TOTAL COMPANY OPERATIONS ARE JURISDICTIONAL</t>
  </si>
  <si>
    <t>COST OF CAPITAL SUMMARY</t>
  </si>
  <si>
    <t>SCHEDULE J-1</t>
  </si>
  <si>
    <t>DATE OF CAPITAL STRUCTURE: END OF BASE PERIOD</t>
  </si>
  <si>
    <t>WORK PAPER REFERENCE NO(S).: See Below</t>
  </si>
  <si>
    <t>% OF</t>
  </si>
  <si>
    <t>WEIGHTED</t>
  </si>
  <si>
    <t>CLASS OF CAPITAL</t>
  </si>
  <si>
    <t>COST %</t>
  </si>
  <si>
    <t>Common Equity</t>
  </si>
  <si>
    <t>Long-Term Debt</t>
  </si>
  <si>
    <t>J-3</t>
  </si>
  <si>
    <t>Short-Term Debt</t>
  </si>
  <si>
    <t>J-2</t>
  </si>
  <si>
    <t xml:space="preserve">   Total Capital</t>
  </si>
  <si>
    <t>Accumulated Deferred Investment Tax Credit</t>
  </si>
  <si>
    <t xml:space="preserve">   Account 255</t>
  </si>
  <si>
    <t>WPB-6</t>
  </si>
  <si>
    <t>Investment Tax Credit Included in Total Capital</t>
  </si>
  <si>
    <t xml:space="preserve">   Total Capital Including Investment Tax Credit</t>
  </si>
  <si>
    <t>DATE OF CAPITAL STRUCTURE: END OF FORECASTED PERIOD</t>
  </si>
  <si>
    <t>BALANCE</t>
  </si>
  <si>
    <t>EMBEDDED COST OF SHORT-TERM DEBT</t>
  </si>
  <si>
    <t>SCHEDULE J-2</t>
  </si>
  <si>
    <t>UNAMORT.</t>
  </si>
  <si>
    <t>UNAMORT. LOSS</t>
  </si>
  <si>
    <t>(DISCOUNT)</t>
  </si>
  <si>
    <t>DEBT</t>
  </si>
  <si>
    <t>ON REACQUIRED</t>
  </si>
  <si>
    <t>CARRYING</t>
  </si>
  <si>
    <t>ISSUE</t>
  </si>
  <si>
    <t>OUTSTANDING</t>
  </si>
  <si>
    <t>OR PREMIUM</t>
  </si>
  <si>
    <t>VALUE</t>
  </si>
  <si>
    <t>REQUIREMENT</t>
  </si>
  <si>
    <t>(H=D+E-F-G)</t>
  </si>
  <si>
    <t>Notes Payable to Associated Companies</t>
  </si>
  <si>
    <t>Notes Payable - Money Pool</t>
  </si>
  <si>
    <t>Current Maturities</t>
  </si>
  <si>
    <t>Unsecured - Private due 2026</t>
  </si>
  <si>
    <t>Unsecured - Private due 2025</t>
  </si>
  <si>
    <t>Totals</t>
  </si>
  <si>
    <t>Cost of Short-Term Debt</t>
  </si>
  <si>
    <t>EMBEDDED COST OF LONG-TERM DEBT</t>
  </si>
  <si>
    <t>SCHEDULE J-3</t>
  </si>
  <si>
    <t>DEBT ISSUE</t>
  </si>
  <si>
    <t>MATURITY</t>
  </si>
  <si>
    <t>FACE</t>
  </si>
  <si>
    <t>ANNUAL</t>
  </si>
  <si>
    <t>TYPE, COUPON</t>
  </si>
  <si>
    <t>ISSUED</t>
  </si>
  <si>
    <t>PRINCIPAL</t>
  </si>
  <si>
    <t>(DAY/MO/YR)</t>
  </si>
  <si>
    <r>
      <t>COST</t>
    </r>
    <r>
      <rPr>
        <vertAlign val="superscript"/>
        <sz val="10"/>
        <rFont val="Arial"/>
        <family val="2"/>
      </rPr>
      <t>(1)</t>
    </r>
  </si>
  <si>
    <t>Unamortized Loss on Reacquired Debt</t>
  </si>
  <si>
    <t>7.65% due 7/15/2025</t>
  </si>
  <si>
    <t>Variable rate PCB, due 8/1/2027</t>
  </si>
  <si>
    <t>Other Long Term Debt</t>
  </si>
  <si>
    <t>LT Commercial Paper</t>
  </si>
  <si>
    <t>Series</t>
  </si>
  <si>
    <t>Debentures</t>
  </si>
  <si>
    <t>MCF Fees</t>
  </si>
  <si>
    <t>Other fees ($26.720M - remarketing, insurance, Bilateral LC)</t>
  </si>
  <si>
    <t xml:space="preserve">Current Maturities </t>
  </si>
  <si>
    <t xml:space="preserve">     Totals</t>
  </si>
  <si>
    <t>Embedded Cost of Long-Term Debt (I / H)</t>
  </si>
  <si>
    <t>(1) Annualized interest cost plus (or minus) amortization of discount or premium plus amortization of issue costs minus (or plus) amortization of gain (or loss) on reacquired debt.</t>
  </si>
  <si>
    <t>(2) The forecasted debentures are expected to be issued in September 2025 and May 2026 and would be outstanding for 10 months and 2 months of the 13 months forecasted, respectively.</t>
  </si>
  <si>
    <t>EMBEDDED COST OF PREFERRED STOCK</t>
  </si>
  <si>
    <t>SCHEDULE J-4</t>
  </si>
  <si>
    <t>GAIN OR LOSS</t>
  </si>
  <si>
    <t xml:space="preserve"> DIVIDEND RATE,</t>
  </si>
  <si>
    <t xml:space="preserve"> PREMIUM OR</t>
  </si>
  <si>
    <t>NET</t>
  </si>
  <si>
    <t>COST RATE</t>
  </si>
  <si>
    <t>ANNUALIZED</t>
  </si>
  <si>
    <t xml:space="preserve"> TYPE, PAR VALUE</t>
  </si>
  <si>
    <t>DISCOUNT</t>
  </si>
  <si>
    <t>STOCK</t>
  </si>
  <si>
    <t>PROCEEDS</t>
  </si>
  <si>
    <t>AT ISSUE</t>
  </si>
  <si>
    <t>DIVIDENDS</t>
  </si>
  <si>
    <t>(F=B+C-D+E)</t>
  </si>
  <si>
    <t>(H=G*B)</t>
  </si>
  <si>
    <t xml:space="preserve">     Total</t>
  </si>
  <si>
    <t>Embedded Cost of Preferred Stock (G / F)</t>
  </si>
  <si>
    <t>COMPARATIVE FINANCIAL DATA</t>
  </si>
  <si>
    <t>SCHEDULE K</t>
  </si>
  <si>
    <t>PAGE 1 OF 5</t>
  </si>
  <si>
    <t>MOST RECENT CALENDAR YEARS</t>
  </si>
  <si>
    <t>PLANT DATA ($000 omitted): (a)</t>
  </si>
  <si>
    <t xml:space="preserve"> Gas Plant</t>
  </si>
  <si>
    <t xml:space="preserve">   Intangible</t>
  </si>
  <si>
    <t xml:space="preserve">   Production-Mfg. Gas</t>
  </si>
  <si>
    <t xml:space="preserve">   Underground Storage</t>
  </si>
  <si>
    <t xml:space="preserve">   Storage-Local</t>
  </si>
  <si>
    <t xml:space="preserve">   Transmission</t>
  </si>
  <si>
    <t xml:space="preserve">   Distribution</t>
  </si>
  <si>
    <t xml:space="preserve">   General</t>
  </si>
  <si>
    <t xml:space="preserve">      Total Gas Plant-Gross</t>
  </si>
  <si>
    <t xml:space="preserve">   Less: Accum. Provision for Depr. and Amort.</t>
  </si>
  <si>
    <t xml:space="preserve">      Gas Plant in Service-Net</t>
  </si>
  <si>
    <t xml:space="preserve"> Electric Plant</t>
  </si>
  <si>
    <t xml:space="preserve">   Production Plant-Steam</t>
  </si>
  <si>
    <t xml:space="preserve">   Production Plant-Hydro</t>
  </si>
  <si>
    <t xml:space="preserve">   Production Plant-Other</t>
  </si>
  <si>
    <t xml:space="preserve">      Total Electric Plant-Gross</t>
  </si>
  <si>
    <t xml:space="preserve">      Electric Plant in Service-Net</t>
  </si>
  <si>
    <t xml:space="preserve"> Common Plant</t>
  </si>
  <si>
    <t xml:space="preserve">   Common Plant</t>
  </si>
  <si>
    <t xml:space="preserve">      Common Plant in Service-Net</t>
  </si>
  <si>
    <t xml:space="preserve">   Plant Held for Future Use</t>
  </si>
  <si>
    <t xml:space="preserve">   Construction Work in Progress</t>
  </si>
  <si>
    <t xml:space="preserve">   Net Utility Plant</t>
  </si>
  <si>
    <t>Composite Depreciation Rates:</t>
  </si>
  <si>
    <t xml:space="preserve">       Gas (%)</t>
  </si>
  <si>
    <t xml:space="preserve">       Electric (%)</t>
  </si>
  <si>
    <t xml:space="preserve">       Common (%)</t>
  </si>
  <si>
    <t>(a)  Completed Construction Not Classified is included with Plant in Service by function.</t>
  </si>
  <si>
    <t>PAGE 2 OF 5</t>
  </si>
  <si>
    <t>CAPITAL STRUCTURE:</t>
  </si>
  <si>
    <t xml:space="preserve">    Long-term debt ($000)</t>
  </si>
  <si>
    <t xml:space="preserve">    Preferred stock ($000)</t>
  </si>
  <si>
    <t xml:space="preserve">    Common equity ($000)</t>
  </si>
  <si>
    <t xml:space="preserve">CONDENSED INCOME STATEMENT DATA: </t>
  </si>
  <si>
    <t xml:space="preserve">    Operating revenues ($000,000)</t>
  </si>
  <si>
    <t xml:space="preserve">    Operating expenses (excluding FIT</t>
  </si>
  <si>
    <t xml:space="preserve">       and SIT) ($000,000)</t>
  </si>
  <si>
    <t xml:space="preserve">    Operating income ($000,000)</t>
  </si>
  <si>
    <t xml:space="preserve">    Federal income taxes (current) ($000,000)</t>
  </si>
  <si>
    <t xml:space="preserve">    State income taxes (current) ($000,000)</t>
  </si>
  <si>
    <t xml:space="preserve">    Total income taxes (current) ($000,000)</t>
  </si>
  <si>
    <t xml:space="preserve">    Investment tax credits - net ($000,000)</t>
  </si>
  <si>
    <t xml:space="preserve">    AFUDC - Debt and Equity ($000,000)</t>
  </si>
  <si>
    <t xml:space="preserve">     Other income - net ($000,000) (a)</t>
  </si>
  <si>
    <t xml:space="preserve">     Extraordinary item ($000,000)</t>
  </si>
  <si>
    <t xml:space="preserve">     Net income ($000,000)</t>
  </si>
  <si>
    <t xml:space="preserve">     Net income applicable to Common Stock ($000,000)</t>
  </si>
  <si>
    <t>INCOME AVAILABLE FOR FIXED CHARGES:</t>
  </si>
  <si>
    <t xml:space="preserve">     Interest charges ($000)</t>
  </si>
  <si>
    <t xml:space="preserve">     Net income before preferred dividend requirements</t>
  </si>
  <si>
    <t xml:space="preserve">          of subsidiaries ($000)</t>
  </si>
  <si>
    <t xml:space="preserve">     Preferred dividend requirements of subsidiaries ($000)</t>
  </si>
  <si>
    <t xml:space="preserve">     Cost of reacquisition of Preferred Stock ($000)</t>
  </si>
  <si>
    <t xml:space="preserve">     Earnings available for common equity ($000)</t>
  </si>
  <si>
    <t xml:space="preserve">     AFUDC - % of net income before preferred dividend</t>
  </si>
  <si>
    <t xml:space="preserve">          requirements of subsidiaries</t>
  </si>
  <si>
    <t xml:space="preserve">     AFUDC - % of earnings available for common equity</t>
  </si>
  <si>
    <t xml:space="preserve">COST OF CAPITAL: </t>
  </si>
  <si>
    <t xml:space="preserve">     Embedded cost of long-term debt (%)</t>
  </si>
  <si>
    <t xml:space="preserve">     Embedded cost of preferred stock (%)</t>
  </si>
  <si>
    <t>(a)  Includes Interest Charges and income tax on Other Income &amp; Deductions.</t>
  </si>
  <si>
    <t>PAGE 3 OF 5</t>
  </si>
  <si>
    <t>STOCK AND BOND RATINGS:</t>
  </si>
  <si>
    <t>Duke Energy Kentucky</t>
  </si>
  <si>
    <t xml:space="preserve">    Moody's Unsecured Debt</t>
  </si>
  <si>
    <t>Baa1</t>
  </si>
  <si>
    <t xml:space="preserve">    S&amp;P's Unsecured Debt</t>
  </si>
  <si>
    <t>BBB+</t>
  </si>
  <si>
    <t>A-</t>
  </si>
  <si>
    <t xml:space="preserve">       BBB+</t>
  </si>
  <si>
    <t>FIXED CHARGE COVERAGE:</t>
  </si>
  <si>
    <t xml:space="preserve">    Pre-tax interest coverage</t>
  </si>
  <si>
    <t xml:space="preserve">    Pre-tax interest coverage (excluding AFUDC)</t>
  </si>
  <si>
    <t xml:space="preserve">    After tax interest coverage</t>
  </si>
  <si>
    <t xml:space="preserve">    Indenture provision coverage</t>
  </si>
  <si>
    <t xml:space="preserve">    Fixed charge coverage</t>
  </si>
  <si>
    <t xml:space="preserve">   Percentage of Construction Expenditures</t>
  </si>
  <si>
    <t xml:space="preserve">        Financed Internally</t>
  </si>
  <si>
    <t>PAGE 4 OF 5</t>
  </si>
  <si>
    <t>COMMON STOCK RELATED DATA:</t>
  </si>
  <si>
    <t xml:space="preserve">     Shares outstanding - year end (000)</t>
  </si>
  <si>
    <t xml:space="preserve">     Shares outstanding - weighted average</t>
  </si>
  <si>
    <t xml:space="preserve">           (monthly) (000)</t>
  </si>
  <si>
    <t xml:space="preserve">     Dividends Paid ($000,000)</t>
  </si>
  <si>
    <t xml:space="preserve">     Earnings per share - weighted average ($)</t>
  </si>
  <si>
    <t xml:space="preserve">     Earnings per share - weighted</t>
  </si>
  <si>
    <t xml:space="preserve">          average - assuming dilution ($)</t>
  </si>
  <si>
    <t xml:space="preserve">     Dividends paid per share ($)</t>
  </si>
  <si>
    <t xml:space="preserve">     Dividends declared per share ($)</t>
  </si>
  <si>
    <t xml:space="preserve">     Dividend pay out ratio (declared basis) (%)</t>
  </si>
  <si>
    <t xml:space="preserve">     Market price - High-Low ($)</t>
  </si>
  <si>
    <t xml:space="preserve">           1st quarter - High</t>
  </si>
  <si>
    <t xml:space="preserve">                            - Low</t>
  </si>
  <si>
    <t xml:space="preserve">           2nd quarter - High</t>
  </si>
  <si>
    <t xml:space="preserve">           3rd quarter - High</t>
  </si>
  <si>
    <t xml:space="preserve">           4th quarter - High</t>
  </si>
  <si>
    <t xml:space="preserve">     Book value per share (year-end) ($)</t>
  </si>
  <si>
    <t>RATE OF RETURN MEASURES:</t>
  </si>
  <si>
    <t xml:space="preserve">        Return on common equity (average) (%)</t>
  </si>
  <si>
    <t xml:space="preserve">        Return on total capital (average) (%)</t>
  </si>
  <si>
    <t xml:space="preserve">        Return on net plant in service (average) - Total Company %</t>
  </si>
  <si>
    <t xml:space="preserve">              "              "                      "                       - Gas %</t>
  </si>
  <si>
    <t xml:space="preserve">              "              "                      "                       - Electric %</t>
  </si>
  <si>
    <t xml:space="preserve"> *    Not required until eight month filing as provided by Section 1.5.</t>
  </si>
  <si>
    <t>PAGE 5 OF 5</t>
  </si>
  <si>
    <t>OTHER FINANCIAL AND OPERATING DATA:</t>
  </si>
  <si>
    <t xml:space="preserve">    Mix of Sales ($000):</t>
  </si>
  <si>
    <t xml:space="preserve">         Gas revenues</t>
  </si>
  <si>
    <t xml:space="preserve">         Electric revenues</t>
  </si>
  <si>
    <t xml:space="preserve">            Total</t>
  </si>
  <si>
    <t xml:space="preserve">    Mix of Sales (%):</t>
  </si>
  <si>
    <t xml:space="preserve">         Gas</t>
  </si>
  <si>
    <t xml:space="preserve">         Electric</t>
  </si>
  <si>
    <t xml:space="preserve">    Mix of Fuel  ($000):</t>
  </si>
  <si>
    <t xml:space="preserve">    Mix of Fuel  (%):</t>
  </si>
  <si>
    <t>CASE NO. 2024-00354</t>
  </si>
  <si>
    <t>The company has no property leases as of February 28, 2025.</t>
  </si>
  <si>
    <t>Initiation Fees/Country Club Expenses are included on Schedule F-1.</t>
  </si>
  <si>
    <t>(G) Includes an adjustment to ADIT to reflect annualized depreciation as calculated on Schedule D-1 and Schedule D-2.24.</t>
  </si>
  <si>
    <t>WORK PAPER REFERENCE NO(S).: WPB-6b, WPB-6c, WPB-6d</t>
  </si>
  <si>
    <t>(E) /(G)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</si>
</sst>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5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_)"/>
    <numFmt numFmtId="165" formatCode="0.000_)"/>
    <numFmt numFmtId="166" formatCode="0.000%"/>
    <numFmt numFmtId="167" formatCode="mm/dd/yy_)"/>
    <numFmt numFmtId="168" formatCode=";;;"/>
    <numFmt numFmtId="169" formatCode="0_)"/>
    <numFmt numFmtId="170" formatCode="#,##0;[Red]\(#,##0\)"/>
    <numFmt numFmtId="171" formatCode="&quot;$&quot;\ \ #,##0_);&quot;$&quot;\ \ \(#,##0\)"/>
    <numFmt numFmtId="172" formatCode="#,##0.0_);\(#,##0.0\)"/>
    <numFmt numFmtId="173" formatCode="0.0%"/>
    <numFmt numFmtId="174" formatCode="0.0000000_)"/>
    <numFmt numFmtId="175" formatCode="dd\-mmm\-yy_)"/>
    <numFmt numFmtId="176" formatCode="#,##0.000_);\(#,##0.000\)"/>
    <numFmt numFmtId="177" formatCode="&quot;$&quot;#,##0.0000_);\(&quot;$&quot;#,##0.0000\)"/>
    <numFmt numFmtId="178" formatCode="0.00_)"/>
    <numFmt numFmtId="179" formatCode="0.0_)"/>
    <numFmt numFmtId="180" formatCode="0.0000%"/>
    <numFmt numFmtId="181" formatCode="General_)"/>
    <numFmt numFmtId="182" formatCode="_(* #,##0.0_);_(* \(#,##0.0\);_(* &quot;-&quot;??_);_(@_)"/>
    <numFmt numFmtId="183" formatCode="_(* #,##0_);_(* \(#,##0\);_(* &quot;-&quot;??_);_(@_)"/>
    <numFmt numFmtId="184" formatCode="0.000"/>
    <numFmt numFmtId="185" formatCode="0.0"/>
    <numFmt numFmtId="186" formatCode="0.00%;\(0.00\)%"/>
    <numFmt numFmtId="187" formatCode="#,##0_);\(#,##0\);"/>
    <numFmt numFmtId="188" formatCode="00000"/>
    <numFmt numFmtId="189" formatCode="0.00_);\(0.00\)"/>
    <numFmt numFmtId="190" formatCode="0.00%;\(0.00\)%;&quot;-      &quot;"/>
    <numFmt numFmtId="191" formatCode="0.00%;\(0.00\)%;&quot;-&quot;"/>
    <numFmt numFmtId="192" formatCode="_(&quot;$&quot;\ \ \ #,##0_);_(&quot;$&quot;\ \ \ \(#,##0\);_(&quot;$&quot;\ \ \ &quot;-&quot;_);_(@_)"/>
    <numFmt numFmtId="193" formatCode="_(* #,##0_);_(* \(#,##0\)"/>
    <numFmt numFmtId="194" formatCode="_(&quot;$&quot;* #,##0_);_(&quot;$&quot;* \(#,##0\);_(&quot;$&quot;* &quot;0&quot;_);_(@_)"/>
    <numFmt numFmtId="195" formatCode="[$-409]mmm\-yy;@"/>
    <numFmt numFmtId="196" formatCode="[$-409]mmmm\ d\,\ yyyy;@"/>
    <numFmt numFmtId="197" formatCode="_(&quot;$&quot;* #,##0_);_(&quot;$&quot;* \(#,##0\);_(&quot;$&quot;* 0_);_(@_)"/>
    <numFmt numFmtId="198" formatCode="mmm\-yy_)"/>
    <numFmt numFmtId="199" formatCode="0.00000_)"/>
    <numFmt numFmtId="200" formatCode="#,##0.000000_);\(#,##0.000000\)"/>
    <numFmt numFmtId="201" formatCode="m/d/yyyy;@"/>
    <numFmt numFmtId="202" formatCode="0.000000%"/>
    <numFmt numFmtId="203" formatCode="0.000000"/>
    <numFmt numFmtId="204" formatCode="mmmm\ yyyy"/>
    <numFmt numFmtId="205" formatCode="_(&quot;$&quot;* #,##0_);_(&quot;$&quot;* \(#,##0\);_(&quot;$&quot;* &quot;-&quot;??_);_(@_)"/>
    <numFmt numFmtId="206" formatCode="_(* #,##0.00000_);_(* \(#,##0.00000\);_(* &quot;-&quot;??_);_(@_)"/>
    <numFmt numFmtId="207" formatCode="#,##0.00\ ;[Red]\(#,##0.00\)"/>
    <numFmt numFmtId="208" formatCode="&quot;$&quot;#,##0\ ;\(&quot;$&quot;#,##0\)"/>
    <numFmt numFmtId="209" formatCode="0.000000000%"/>
    <numFmt numFmtId="210" formatCode="_(* #,##0.000000_);_(* \(#,##0.000000\);_(* &quot;-&quot;??_);_(@_)"/>
    <numFmt numFmtId="211" formatCode="#,##0.00&quot; $&quot;;\-#,##0.00&quot; $&quot;"/>
    <numFmt numFmtId="212" formatCode="0.000000_)"/>
    <numFmt numFmtId="213" formatCode="#,##0_ ;[Red]\(#,##0\)\ "/>
    <numFmt numFmtId="214" formatCode="0.00000000%"/>
    <numFmt numFmtId="215" formatCode="_-* #,##0_-;\-* #,##0_-;_-* &quot;-&quot;_-;_-@_-"/>
    <numFmt numFmtId="216" formatCode="_-* #,##0.00_-;\-* #,##0.00_-;_-* &quot;-&quot;??_-;_-@_-"/>
    <numFmt numFmtId="217" formatCode="_ * #,##0_ ;_ * \-#,##0_ ;_ * &quot;-&quot;_ ;_ @_ "/>
    <numFmt numFmtId="218" formatCode="#,##0.0\ \ \ _);\(#,##0.0\)"/>
    <numFmt numFmtId="219" formatCode="0.0_);\(0.0\)"/>
    <numFmt numFmtId="220" formatCode="#."/>
    <numFmt numFmtId="221" formatCode="_ [$€-2]\ * #,##0.00_ ;_ [$€-2]\ * \-#,##0.00_ ;_ [$€-2]\ * &quot;-&quot;??_ "/>
    <numFmt numFmtId="222" formatCode="_([$€-2]* #,##0.00_);_([$€-2]* \(#,##0.00\);_([$€-2]* &quot;-&quot;??_)"/>
    <numFmt numFmtId="223" formatCode="_-* #,##0.0_-;\-* #,##0.0_-;_-* &quot;-&quot;??_-;_-@_-"/>
    <numFmt numFmtId="224" formatCode="_-&quot;$&quot;* #,##0.00_-;\-&quot;$&quot;* #,##0.00_-;_-&quot;$&quot;* &quot;-&quot;??_-;_-@_-"/>
    <numFmt numFmtId="225" formatCode="_-#,##0&quot; years&quot;"/>
    <numFmt numFmtId="226" formatCode="_(&quot;$&quot;* #,##0.000000_);_(&quot;$&quot;* \(#,##0.000000\);_(&quot;$&quot;* &quot;-&quot;??_);_(@_)"/>
    <numFmt numFmtId="227" formatCode="0.000%;\(0.000\)%"/>
    <numFmt numFmtId="228" formatCode=";;"/>
    <numFmt numFmtId="229" formatCode="#,##0;[Red]#,##0"/>
    <numFmt numFmtId="230" formatCode="0.0000"/>
    <numFmt numFmtId="231" formatCode="&quot;$&quot;#,##0"/>
  </numFmts>
  <fonts count="224">
    <font>
      <sz val="10"/>
      <name val="Arial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2"/>
      <name val="Courier"/>
      <family val="3"/>
    </font>
    <font>
      <sz val="10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sz val="11"/>
      <color indexed="10"/>
      <name val="Arial"/>
      <family val="2"/>
    </font>
    <font>
      <sz val="11"/>
      <name val="Arial"/>
      <family val="2"/>
    </font>
    <font>
      <b/>
      <sz val="11"/>
      <color indexed="8"/>
      <name val="Arial"/>
      <family val="2"/>
    </font>
    <font>
      <b/>
      <u/>
      <sz val="12"/>
      <name val="Arial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u/>
      <sz val="12"/>
      <name val="Arial"/>
      <family val="2"/>
    </font>
    <font>
      <sz val="12"/>
      <color indexed="12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sz val="12"/>
      <color indexed="21"/>
      <name val="Arial"/>
      <family val="2"/>
    </font>
    <font>
      <sz val="10"/>
      <color indexed="8"/>
      <name val="Arial"/>
      <family val="2"/>
    </font>
    <font>
      <b/>
      <sz val="10"/>
      <name val="MS Sans Serif"/>
      <family val="2"/>
    </font>
    <font>
      <u/>
      <sz val="10"/>
      <color indexed="12"/>
      <name val="Arial"/>
      <family val="2"/>
    </font>
    <font>
      <u/>
      <sz val="10"/>
      <color indexed="8"/>
      <name val="Arial"/>
      <family val="2"/>
    </font>
    <font>
      <b/>
      <sz val="11"/>
      <color rgb="FF0000FF"/>
      <name val="Arial"/>
      <family val="2"/>
    </font>
    <font>
      <sz val="10"/>
      <color rgb="FF3333FF"/>
      <name val="Arial"/>
      <family val="2"/>
    </font>
    <font>
      <sz val="10"/>
      <color rgb="FF0000FF"/>
      <name val="Arial"/>
      <family val="2"/>
    </font>
    <font>
      <b/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sz val="10"/>
      <color indexed="1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0"/>
      <name val="Times New Roman"/>
      <family val="1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0000FF"/>
      <name val="Courier"/>
      <family val="3"/>
    </font>
    <font>
      <sz val="10"/>
      <color rgb="FFFF0000"/>
      <name val="Arial"/>
      <family val="2"/>
    </font>
    <font>
      <vertAlign val="superscript"/>
      <sz val="10"/>
      <name val="Arial"/>
      <family val="2"/>
    </font>
    <font>
      <u val="double"/>
      <sz val="10"/>
      <name val="Arial"/>
      <family val="2"/>
    </font>
    <font>
      <sz val="10"/>
      <color indexed="10"/>
      <name val="Arial"/>
      <family val="2"/>
    </font>
    <font>
      <u val="double"/>
      <sz val="10"/>
      <color indexed="8"/>
      <name val="Arial"/>
      <family val="2"/>
    </font>
    <font>
      <sz val="10"/>
      <name val="Abadi MT Condensed Light"/>
      <family val="2"/>
    </font>
    <font>
      <u val="doubleAccounting"/>
      <sz val="10"/>
      <name val="Arial"/>
      <family val="2"/>
    </font>
    <font>
      <b/>
      <sz val="10"/>
      <color indexed="12"/>
      <name val="Arial"/>
      <family val="2"/>
    </font>
    <font>
      <sz val="10"/>
      <color indexed="18"/>
      <name val="Arial"/>
      <family val="2"/>
    </font>
    <font>
      <i/>
      <sz val="10"/>
      <color indexed="10"/>
      <name val="Arial"/>
      <family val="2"/>
    </font>
    <font>
      <u val="double"/>
      <sz val="10"/>
      <color indexed="12"/>
      <name val="Arial"/>
      <family val="2"/>
    </font>
    <font>
      <u/>
      <sz val="10"/>
      <color indexed="10"/>
      <name val="Arial"/>
      <family val="2"/>
    </font>
    <font>
      <u/>
      <sz val="10"/>
      <color indexed="18"/>
      <name val="Arial"/>
      <family val="2"/>
    </font>
    <font>
      <u/>
      <sz val="10"/>
      <color rgb="FF0000FF"/>
      <name val="Arial"/>
      <family val="2"/>
    </font>
    <font>
      <u val="singleAccounting"/>
      <sz val="10"/>
      <color indexed="12"/>
      <name val="Arial"/>
      <family val="2"/>
    </font>
    <font>
      <b/>
      <sz val="14"/>
      <color rgb="FF0000FF"/>
      <name val="Arial"/>
      <family val="2"/>
    </font>
    <font>
      <b/>
      <sz val="10"/>
      <color indexed="8"/>
      <name val="Arial"/>
      <family val="2"/>
    </font>
    <font>
      <b/>
      <sz val="10"/>
      <color rgb="FF0000FF"/>
      <name val="Arial"/>
      <family val="2"/>
    </font>
    <font>
      <b/>
      <sz val="10"/>
      <color indexed="9"/>
      <name val="Arial"/>
      <family val="2"/>
    </font>
    <font>
      <b/>
      <u/>
      <sz val="12"/>
      <color indexed="21"/>
      <name val="Arial"/>
      <family val="2"/>
    </font>
    <font>
      <u val="singleAccounting"/>
      <sz val="10"/>
      <color rgb="FF0000FF"/>
      <name val="Arial"/>
      <family val="2"/>
    </font>
    <font>
      <sz val="10"/>
      <color theme="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u val="singleAccounting"/>
      <sz val="10"/>
      <name val="Arial"/>
      <family val="2"/>
    </font>
    <font>
      <sz val="2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mbria"/>
      <family val="2"/>
    </font>
    <font>
      <sz val="10"/>
      <color indexed="8"/>
      <name val="Book Antiqua"/>
      <family val="1"/>
    </font>
    <font>
      <sz val="11"/>
      <color indexed="8"/>
      <name val="Arial"/>
      <family val="2"/>
    </font>
    <font>
      <b/>
      <sz val="12"/>
      <color indexed="9"/>
      <name val="Times New Roman"/>
      <family val="1"/>
    </font>
    <font>
      <sz val="11"/>
      <name val="Tms Rmn"/>
      <family val="1"/>
    </font>
    <font>
      <sz val="11"/>
      <color theme="1"/>
      <name val="Arial"/>
      <family val="2"/>
    </font>
    <font>
      <sz val="10"/>
      <color indexed="24"/>
      <name val="Times New Roman"/>
      <family val="1"/>
    </font>
    <font>
      <sz val="12"/>
      <color indexed="12"/>
      <name val="SWISS"/>
      <family val="2"/>
    </font>
    <font>
      <b/>
      <u/>
      <sz val="11"/>
      <color indexed="37"/>
      <name val="Arial"/>
      <family val="2"/>
    </font>
    <font>
      <b/>
      <i/>
      <sz val="12"/>
      <color indexed="57"/>
      <name val="Swiss"/>
      <family val="2"/>
    </font>
    <font>
      <sz val="11"/>
      <color rgb="FF3F3F76"/>
      <name val="Cambria"/>
      <family val="2"/>
    </font>
    <font>
      <sz val="11"/>
      <color indexed="32"/>
      <name val="Arial"/>
      <family val="2"/>
    </font>
    <font>
      <b/>
      <sz val="12"/>
      <name val="Swiss"/>
      <family val="2"/>
    </font>
    <font>
      <b/>
      <sz val="11"/>
      <color indexed="18"/>
      <name val="Arial"/>
      <family val="2"/>
    </font>
    <font>
      <sz val="10"/>
      <color indexed="56"/>
      <name val="Courier"/>
      <family val="3"/>
    </font>
    <font>
      <sz val="11"/>
      <color indexed="16"/>
      <name val="Arial"/>
      <family val="2"/>
    </font>
    <font>
      <i/>
      <sz val="12"/>
      <color indexed="38"/>
      <name val="Swiss"/>
      <family val="2"/>
    </font>
    <font>
      <sz val="7"/>
      <name val="Small Fonts"/>
      <family val="2"/>
    </font>
    <font>
      <b/>
      <i/>
      <sz val="16"/>
      <name val="Helv"/>
    </font>
    <font>
      <b/>
      <sz val="11"/>
      <color indexed="16"/>
      <name val="Times New Roman"/>
      <family val="1"/>
    </font>
    <font>
      <b/>
      <sz val="10"/>
      <name val="Book Antiqua"/>
      <family val="1"/>
    </font>
    <font>
      <sz val="10"/>
      <color indexed="18"/>
      <name val="Times New Roman"/>
      <family val="1"/>
    </font>
    <font>
      <b/>
      <i/>
      <sz val="10"/>
      <color indexed="38"/>
      <name val="Arial"/>
      <family val="2"/>
    </font>
    <font>
      <b/>
      <sz val="12"/>
      <color indexed="38"/>
      <name val="Swiss"/>
      <family val="2"/>
    </font>
    <font>
      <i/>
      <sz val="10"/>
      <name val="MS Sans Serif"/>
      <family val="2"/>
    </font>
    <font>
      <b/>
      <sz val="14"/>
      <color indexed="8"/>
      <name val="Helv"/>
    </font>
    <font>
      <b/>
      <sz val="12"/>
      <color indexed="18"/>
      <name val="Arial"/>
      <family val="2"/>
    </font>
    <font>
      <sz val="11"/>
      <name val="Book Antiqua"/>
      <family val="1"/>
    </font>
    <font>
      <i/>
      <sz val="12"/>
      <color indexed="50"/>
      <name val="Arial"/>
      <family val="2"/>
    </font>
    <font>
      <sz val="12"/>
      <color indexed="8"/>
      <name val="Arial MT"/>
    </font>
    <font>
      <sz val="8"/>
      <color indexed="12"/>
      <name val="Arial"/>
      <family val="2"/>
    </font>
    <font>
      <u/>
      <sz val="8.4"/>
      <color indexed="12"/>
      <name val="Arial"/>
      <family val="2"/>
    </font>
    <font>
      <b/>
      <sz val="18"/>
      <name val="Arial"/>
      <family val="2"/>
    </font>
    <font>
      <sz val="10"/>
      <name val="LJ Helvetica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color indexed="12"/>
      <name val="Arial"/>
      <family val="2"/>
    </font>
    <font>
      <sz val="1"/>
      <color indexed="16"/>
      <name val="Courier"/>
      <family val="3"/>
    </font>
    <font>
      <sz val="11"/>
      <name val="??"/>
      <family val="3"/>
      <charset val="129"/>
    </font>
    <font>
      <b/>
      <sz val="12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4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u/>
      <sz val="14"/>
      <name val="Arial Narrow"/>
      <family val="2"/>
    </font>
    <font>
      <sz val="11"/>
      <color indexed="62"/>
      <name val="Calibri"/>
      <family val="2"/>
    </font>
    <font>
      <sz val="12"/>
      <color indexed="37"/>
      <name val="swiss"/>
    </font>
    <font>
      <sz val="12"/>
      <color indexed="37"/>
      <name val="Swiss"/>
      <family val="2"/>
    </font>
    <font>
      <b/>
      <sz val="10"/>
      <color indexed="37"/>
      <name val="Arial MT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Times New Roman"/>
      <family val="2"/>
    </font>
    <font>
      <sz val="11"/>
      <color rgb="FF000000"/>
      <name val="Calibri"/>
      <family val="2"/>
      <scheme val="minor"/>
    </font>
    <font>
      <sz val="10"/>
      <name val="Calibri"/>
      <family val="1"/>
      <scheme val="minor"/>
    </font>
    <font>
      <sz val="11"/>
      <color theme="1"/>
      <name val="Times New Roman"/>
      <family val="2"/>
    </font>
    <font>
      <b/>
      <sz val="11"/>
      <color indexed="63"/>
      <name val="Calibri"/>
      <family val="2"/>
    </font>
    <font>
      <sz val="10"/>
      <color indexed="55"/>
      <name val="Arial"/>
      <family val="2"/>
    </font>
    <font>
      <sz val="11"/>
      <name val="Times New Roman"/>
      <family val="1"/>
    </font>
    <font>
      <sz val="14"/>
      <name val="Haettenschweiler"/>
      <family val="2"/>
    </font>
    <font>
      <b/>
      <sz val="9"/>
      <name val="Arial"/>
      <family val="2"/>
    </font>
    <font>
      <sz val="8"/>
      <name val="Arial Narrow"/>
      <family val="2"/>
    </font>
    <font>
      <b/>
      <u/>
      <sz val="12"/>
      <name val="Arial Narrow"/>
      <family val="2"/>
    </font>
    <font>
      <b/>
      <u/>
      <sz val="10"/>
      <name val="Arial Narrow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7"/>
      <color indexed="12"/>
      <name val="Arial"/>
      <family val="2"/>
    </font>
    <font>
      <i/>
      <sz val="12"/>
      <color indexed="8"/>
      <name val="Arial MT"/>
    </font>
    <font>
      <sz val="11"/>
      <color indexed="10"/>
      <name val="Calibri"/>
      <family val="2"/>
    </font>
    <font>
      <sz val="10"/>
      <name val="Arial"/>
      <family val="2"/>
    </font>
    <font>
      <sz val="12"/>
      <color rgb="FF000000"/>
      <name val="Arial"/>
      <family val="2"/>
    </font>
    <font>
      <i/>
      <sz val="10"/>
      <color theme="1"/>
      <name val="Arial"/>
      <family val="2"/>
    </font>
    <font>
      <sz val="11"/>
      <name val="Calibri"/>
      <family val="2"/>
      <scheme val="minor"/>
    </font>
    <font>
      <sz val="12"/>
      <name val="Helvetica-Narrow"/>
      <family val="2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sz val="12"/>
      <color rgb="FF0000FF"/>
      <name val="Arial"/>
      <family val="2"/>
    </font>
    <font>
      <sz val="11"/>
      <color rgb="FF000000"/>
      <name val="Calibri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sz val="10"/>
      <color rgb="FF000000"/>
      <name val="Arial"/>
      <family val="2"/>
    </font>
    <font>
      <sz val="12"/>
      <color rgb="FFFF0000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u/>
      <sz val="10"/>
      <color rgb="FFFF0000"/>
      <name val="Arial"/>
      <family val="2"/>
    </font>
    <font>
      <u/>
      <vertAlign val="superscript"/>
      <sz val="10"/>
      <name val="Arial"/>
      <family val="2"/>
    </font>
    <font>
      <b/>
      <u val="doubleAccounting"/>
      <sz val="10"/>
      <color theme="1"/>
      <name val="Arial"/>
      <family val="2"/>
    </font>
    <font>
      <u/>
      <sz val="10"/>
      <color theme="1"/>
      <name val="Arial"/>
      <family val="2"/>
    </font>
    <font>
      <u/>
      <sz val="10"/>
      <color rgb="FF000000"/>
      <name val="Arial"/>
      <family val="2"/>
    </font>
    <font>
      <b/>
      <sz val="10"/>
      <color rgb="FFFF0000"/>
      <name val="Courier"/>
    </font>
    <font>
      <b/>
      <sz val="10"/>
      <color rgb="FF0000FF"/>
      <name val="Courier"/>
    </font>
    <font>
      <b/>
      <sz val="10"/>
      <color rgb="FF000080"/>
      <name val="Courier"/>
    </font>
    <font>
      <b/>
      <sz val="10"/>
      <color rgb="FF008080"/>
      <name val="Courier"/>
    </font>
    <font>
      <b/>
      <sz val="10"/>
      <color rgb="FF800000"/>
      <name val="Courier"/>
    </font>
    <font>
      <b/>
      <sz val="10"/>
      <color rgb="FF000000"/>
      <name val="Times New Roman"/>
      <family val="1"/>
    </font>
    <font>
      <b/>
      <sz val="10"/>
      <color rgb="FF000000"/>
      <name val="Courier"/>
    </font>
    <font>
      <b/>
      <sz val="10"/>
      <color rgb="FF660066"/>
      <name val="Courier"/>
    </font>
    <font>
      <b/>
      <sz val="10"/>
      <color rgb="FFFF6600"/>
      <name val="Courier"/>
    </font>
    <font>
      <b/>
      <sz val="10"/>
      <color rgb="FF00FF00"/>
      <name val="Courier"/>
    </font>
    <font>
      <b/>
      <sz val="10"/>
      <color rgb="FF008080"/>
      <name val="Arial"/>
      <family val="2"/>
    </font>
    <font>
      <b/>
      <sz val="10"/>
      <color rgb="FFFFFF00"/>
      <name val="Times New Roman"/>
      <family val="1"/>
    </font>
    <font>
      <b/>
      <sz val="10"/>
      <color rgb="FF0000FF"/>
      <name val="Times New Roman"/>
      <family val="1"/>
    </font>
    <font>
      <b/>
      <sz val="10"/>
      <color rgb="FF000080"/>
      <name val="Times New Roman"/>
      <family val="1"/>
    </font>
    <font>
      <b/>
      <sz val="10"/>
      <color rgb="FF008080"/>
      <name val="Times New Roman"/>
      <family val="1"/>
    </font>
    <font>
      <b/>
      <sz val="10"/>
      <color rgb="FFFF00FF"/>
      <name val="Times New Roman"/>
      <family val="1"/>
    </font>
    <font>
      <b/>
      <sz val="10"/>
      <color rgb="FF800000"/>
      <name val="Times New Roman"/>
      <family val="1"/>
    </font>
    <font>
      <b/>
      <sz val="10"/>
      <color rgb="FFFF6600"/>
      <name val="Times New Roman"/>
      <family val="1"/>
    </font>
    <font>
      <b/>
      <sz val="10"/>
      <color rgb="FFFF00FF"/>
      <name val="Courier"/>
    </font>
    <font>
      <b/>
      <sz val="10"/>
      <color rgb="FFFFFF00"/>
      <name val="Courier"/>
    </font>
  </fonts>
  <fills count="7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55"/>
      </patternFill>
    </fill>
    <fill>
      <patternFill patternType="solid">
        <fgColor indexed="56"/>
        <bgColor indexed="64"/>
      </patternFill>
    </fill>
    <fill>
      <patternFill patternType="solid">
        <fgColor indexed="22"/>
      </patternFill>
    </fill>
    <fill>
      <patternFill patternType="solid">
        <fgColor indexed="13"/>
        <bgColor indexed="13"/>
      </patternFill>
    </fill>
    <fill>
      <patternFill patternType="solid">
        <fgColor indexed="14"/>
        <bgColor indexed="14"/>
      </patternFill>
    </fill>
    <fill>
      <patternFill patternType="solid">
        <fgColor indexed="10"/>
        <bgColor indexed="1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indexed="15"/>
      </patternFill>
    </fill>
    <fill>
      <patternFill patternType="solid">
        <fgColor indexed="15"/>
        <bgColor indexed="15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  <bgColor indexed="8"/>
      </patternFill>
    </fill>
    <fill>
      <patternFill patternType="gray0625">
        <fgColor indexed="26"/>
        <bgColor indexed="4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gray0625"/>
    </fill>
    <fill>
      <patternFill patternType="solid">
        <fgColor indexed="42"/>
        <bgColor indexed="64"/>
      </patternFill>
    </fill>
    <fill>
      <patternFill patternType="solid">
        <fgColor theme="4" tint="0.39997558519241921"/>
        <bgColor indexed="64"/>
      </patternFill>
    </fill>
  </fills>
  <borders count="13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10"/>
      </left>
      <right/>
      <top style="medium">
        <color indexed="10"/>
      </top>
      <bottom/>
      <diagonal/>
    </border>
    <border>
      <left/>
      <right/>
      <top style="medium">
        <color indexed="10"/>
      </top>
      <bottom/>
      <diagonal/>
    </border>
    <border>
      <left/>
      <right style="medium">
        <color indexed="10"/>
      </right>
      <top style="medium">
        <color indexed="10"/>
      </top>
      <bottom/>
      <diagonal/>
    </border>
    <border>
      <left style="medium">
        <color indexed="10"/>
      </left>
      <right/>
      <top/>
      <bottom/>
      <diagonal/>
    </border>
    <border>
      <left/>
      <right style="medium">
        <color indexed="10"/>
      </right>
      <top/>
      <bottom/>
      <diagonal/>
    </border>
    <border>
      <left style="medium">
        <color indexed="10"/>
      </left>
      <right/>
      <top/>
      <bottom style="medium">
        <color indexed="10"/>
      </bottom>
      <diagonal/>
    </border>
    <border>
      <left/>
      <right/>
      <top/>
      <bottom style="medium">
        <color indexed="10"/>
      </bottom>
      <diagonal/>
    </border>
    <border>
      <left/>
      <right style="medium">
        <color indexed="10"/>
      </right>
      <top/>
      <bottom style="medium">
        <color indexed="1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indexed="18"/>
      </left>
      <right style="thick">
        <color indexed="18"/>
      </right>
      <top style="thick">
        <color indexed="18"/>
      </top>
      <bottom style="thick">
        <color indexed="1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tted">
        <color indexed="23"/>
      </left>
      <right style="dotted">
        <color indexed="23"/>
      </right>
      <top style="dotted">
        <color indexed="23"/>
      </top>
      <bottom style="dotted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dotted">
        <color indexed="50"/>
      </left>
      <right/>
      <top style="dotted">
        <color indexed="50"/>
      </top>
      <bottom/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dotted">
        <color indexed="16"/>
      </left>
      <right style="dotted">
        <color indexed="16"/>
      </right>
      <top style="dotted">
        <color indexed="16"/>
      </top>
      <bottom style="dotted">
        <color indexed="16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990">
    <xf numFmtId="0" fontId="0" fillId="0" borderId="0"/>
    <xf numFmtId="43" fontId="18" fillId="0" borderId="0" applyFont="0" applyFill="0" applyBorder="0" applyAlignment="0" applyProtection="0"/>
    <xf numFmtId="0" fontId="20" fillId="0" borderId="0"/>
    <xf numFmtId="0" fontId="21" fillId="0" borderId="0" applyProtection="0"/>
    <xf numFmtId="0" fontId="23" fillId="0" borderId="0"/>
    <xf numFmtId="0" fontId="19" fillId="0" borderId="0"/>
    <xf numFmtId="0" fontId="18" fillId="0" borderId="0"/>
    <xf numFmtId="0" fontId="19" fillId="0" borderId="0"/>
    <xf numFmtId="0" fontId="20" fillId="0" borderId="0"/>
    <xf numFmtId="0" fontId="20" fillId="0" borderId="0"/>
    <xf numFmtId="181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18" fillId="0" borderId="0" applyFont="0" applyFill="0" applyBorder="0" applyAlignment="0" applyProtection="0"/>
    <xf numFmtId="0" fontId="25" fillId="0" borderId="0" applyNumberFormat="0" applyFont="0" applyFill="0" applyBorder="0" applyAlignment="0" applyProtection="0">
      <alignment horizontal="left"/>
    </xf>
    <xf numFmtId="4" fontId="25" fillId="0" borderId="0" applyFont="0" applyFill="0" applyBorder="0" applyAlignment="0" applyProtection="0"/>
    <xf numFmtId="0" fontId="44" fillId="0" borderId="1">
      <alignment horizontal="center"/>
    </xf>
    <xf numFmtId="0" fontId="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3" fillId="15" borderId="0" applyNumberFormat="0" applyBorder="0" applyAlignment="0" applyProtection="0"/>
    <xf numFmtId="0" fontId="53" fillId="19" borderId="0" applyNumberFormat="0" applyBorder="0" applyAlignment="0" applyProtection="0"/>
    <xf numFmtId="0" fontId="53" fillId="23" borderId="0" applyNumberFormat="0" applyBorder="0" applyAlignment="0" applyProtection="0"/>
    <xf numFmtId="0" fontId="53" fillId="27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53" fillId="16" borderId="0" applyNumberFormat="0" applyBorder="0" applyAlignment="0" applyProtection="0"/>
    <xf numFmtId="0" fontId="53" fillId="20" borderId="0" applyNumberFormat="0" applyBorder="0" applyAlignment="0" applyProtection="0"/>
    <xf numFmtId="0" fontId="53" fillId="24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53" fillId="36" borderId="0" applyNumberFormat="0" applyBorder="0" applyAlignment="0" applyProtection="0"/>
    <xf numFmtId="0" fontId="54" fillId="17" borderId="0" applyNumberFormat="0" applyBorder="0" applyAlignment="0" applyProtection="0"/>
    <xf numFmtId="0" fontId="54" fillId="21" borderId="0" applyNumberFormat="0" applyBorder="0" applyAlignment="0" applyProtection="0"/>
    <xf numFmtId="0" fontId="54" fillId="25" borderId="0" applyNumberFormat="0" applyBorder="0" applyAlignment="0" applyProtection="0"/>
    <xf numFmtId="0" fontId="54" fillId="29" borderId="0" applyNumberFormat="0" applyBorder="0" applyAlignment="0" applyProtection="0"/>
    <xf numFmtId="0" fontId="54" fillId="33" borderId="0" applyNumberFormat="0" applyBorder="0" applyAlignment="0" applyProtection="0"/>
    <xf numFmtId="0" fontId="54" fillId="37" borderId="0" applyNumberFormat="0" applyBorder="0" applyAlignment="0" applyProtection="0"/>
    <xf numFmtId="0" fontId="54" fillId="14" borderId="0" applyNumberFormat="0" applyBorder="0" applyAlignment="0" applyProtection="0"/>
    <xf numFmtId="0" fontId="54" fillId="18" borderId="0" applyNumberFormat="0" applyBorder="0" applyAlignment="0" applyProtection="0"/>
    <xf numFmtId="0" fontId="54" fillId="22" borderId="0" applyNumberFormat="0" applyBorder="0" applyAlignment="0" applyProtection="0"/>
    <xf numFmtId="0" fontId="54" fillId="26" borderId="0" applyNumberFormat="0" applyBorder="0" applyAlignment="0" applyProtection="0"/>
    <xf numFmtId="0" fontId="54" fillId="30" borderId="0" applyNumberFormat="0" applyBorder="0" applyAlignment="0" applyProtection="0"/>
    <xf numFmtId="0" fontId="54" fillId="34" borderId="0" applyNumberFormat="0" applyBorder="0" applyAlignment="0" applyProtection="0"/>
    <xf numFmtId="0" fontId="55" fillId="8" borderId="0" applyNumberFormat="0" applyBorder="0" applyAlignment="0" applyProtection="0"/>
    <xf numFmtId="0" fontId="56" fillId="11" borderId="35" applyNumberFormat="0" applyAlignment="0" applyProtection="0"/>
    <xf numFmtId="0" fontId="57" fillId="12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7" borderId="0" applyNumberFormat="0" applyBorder="0" applyAlignment="0" applyProtection="0"/>
    <xf numFmtId="0" fontId="60" fillId="0" borderId="32" applyNumberFormat="0" applyFill="0" applyAlignment="0" applyProtection="0"/>
    <xf numFmtId="0" fontId="61" fillId="0" borderId="33" applyNumberFormat="0" applyFill="0" applyAlignment="0" applyProtection="0"/>
    <xf numFmtId="0" fontId="62" fillId="0" borderId="34" applyNumberFormat="0" applyFill="0" applyAlignment="0" applyProtection="0"/>
    <xf numFmtId="0" fontId="62" fillId="0" borderId="0" applyNumberFormat="0" applyFill="0" applyBorder="0" applyAlignment="0" applyProtection="0"/>
    <xf numFmtId="0" fontId="63" fillId="39" borderId="0"/>
    <xf numFmtId="0" fontId="64" fillId="10" borderId="35" applyNumberFormat="0" applyAlignment="0" applyProtection="0"/>
    <xf numFmtId="0" fontId="65" fillId="0" borderId="37" applyNumberFormat="0" applyFill="0" applyAlignment="0" applyProtection="0"/>
    <xf numFmtId="0" fontId="66" fillId="9" borderId="0" applyNumberFormat="0" applyBorder="0" applyAlignment="0" applyProtection="0"/>
    <xf numFmtId="0" fontId="22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9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2" fillId="0" borderId="0"/>
    <xf numFmtId="0" fontId="18" fillId="0" borderId="0"/>
    <xf numFmtId="0" fontId="67" fillId="0" borderId="0"/>
    <xf numFmtId="0" fontId="18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13" borderId="39" applyNumberFormat="0" applyFont="0" applyAlignment="0" applyProtection="0"/>
    <xf numFmtId="0" fontId="68" fillId="11" borderId="36" applyNumberForma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69" fillId="0" borderId="40" applyNumberFormat="0" applyFill="0" applyAlignment="0" applyProtection="0"/>
    <xf numFmtId="0" fontId="70" fillId="0" borderId="0" applyNumberForma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94" fillId="0" borderId="32" applyNumberFormat="0" applyFill="0" applyAlignment="0" applyProtection="0"/>
    <xf numFmtId="0" fontId="95" fillId="0" borderId="33" applyNumberFormat="0" applyFill="0" applyAlignment="0" applyProtection="0"/>
    <xf numFmtId="0" fontId="96" fillId="0" borderId="34" applyNumberFormat="0" applyFill="0" applyAlignment="0" applyProtection="0"/>
    <xf numFmtId="0" fontId="96" fillId="0" borderId="0" applyNumberFormat="0" applyFill="0" applyBorder="0" applyAlignment="0" applyProtection="0"/>
    <xf numFmtId="0" fontId="97" fillId="7" borderId="0" applyNumberFormat="0" applyBorder="0" applyAlignment="0" applyProtection="0"/>
    <xf numFmtId="0" fontId="98" fillId="8" borderId="0" applyNumberFormat="0" applyBorder="0" applyAlignment="0" applyProtection="0"/>
    <xf numFmtId="0" fontId="99" fillId="9" borderId="0" applyNumberFormat="0" applyBorder="0" applyAlignment="0" applyProtection="0"/>
    <xf numFmtId="0" fontId="100" fillId="10" borderId="35" applyNumberFormat="0" applyAlignment="0" applyProtection="0"/>
    <xf numFmtId="0" fontId="101" fillId="11" borderId="36" applyNumberFormat="0" applyAlignment="0" applyProtection="0"/>
    <xf numFmtId="0" fontId="102" fillId="11" borderId="35" applyNumberFormat="0" applyAlignment="0" applyProtection="0"/>
    <xf numFmtId="0" fontId="103" fillId="0" borderId="37" applyNumberFormat="0" applyFill="0" applyAlignment="0" applyProtection="0"/>
    <xf numFmtId="0" fontId="104" fillId="12" borderId="38" applyNumberFormat="0" applyAlignment="0" applyProtection="0"/>
    <xf numFmtId="0" fontId="72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40" applyNumberFormat="0" applyFill="0" applyAlignment="0" applyProtection="0"/>
    <xf numFmtId="0" fontId="93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93" fillId="17" borderId="0" applyNumberFormat="0" applyBorder="0" applyAlignment="0" applyProtection="0"/>
    <xf numFmtId="0" fontId="93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93" fillId="21" borderId="0" applyNumberFormat="0" applyBorder="0" applyAlignment="0" applyProtection="0"/>
    <xf numFmtId="0" fontId="93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93" fillId="25" borderId="0" applyNumberFormat="0" applyBorder="0" applyAlignment="0" applyProtection="0"/>
    <xf numFmtId="0" fontId="93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93" fillId="29" borderId="0" applyNumberFormat="0" applyBorder="0" applyAlignment="0" applyProtection="0"/>
    <xf numFmtId="0" fontId="93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93" fillId="33" borderId="0" applyNumberFormat="0" applyBorder="0" applyAlignment="0" applyProtection="0"/>
    <xf numFmtId="0" fontId="93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93" fillId="37" borderId="0" applyNumberFormat="0" applyBorder="0" applyAlignment="0" applyProtection="0"/>
    <xf numFmtId="0" fontId="11" fillId="0" borderId="0"/>
    <xf numFmtId="0" fontId="11" fillId="13" borderId="39" applyNumberFormat="0" applyFont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13" borderId="39" applyNumberFormat="0" applyFont="0" applyAlignment="0" applyProtection="0"/>
    <xf numFmtId="37" fontId="1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39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13" borderId="39" applyNumberFormat="0" applyFont="0" applyAlignment="0" applyProtection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3" borderId="39" applyNumberFormat="0" applyFont="0" applyAlignment="0" applyProtection="0"/>
    <xf numFmtId="0" fontId="5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110" fillId="15" borderId="0" applyNumberFormat="0" applyBorder="0" applyAlignment="0" applyProtection="0"/>
    <xf numFmtId="0" fontId="53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110" fillId="19" borderId="0" applyNumberFormat="0" applyBorder="0" applyAlignment="0" applyProtection="0"/>
    <xf numFmtId="0" fontId="53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110" fillId="19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110" fillId="23" borderId="0" applyNumberFormat="0" applyBorder="0" applyAlignment="0" applyProtection="0"/>
    <xf numFmtId="0" fontId="5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110" fillId="27" borderId="0" applyNumberFormat="0" applyBorder="0" applyAlignment="0" applyProtection="0"/>
    <xf numFmtId="0" fontId="5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110" fillId="31" borderId="0" applyNumberFormat="0" applyBorder="0" applyAlignment="0" applyProtection="0"/>
    <xf numFmtId="0" fontId="53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110" fillId="35" borderId="0" applyNumberFormat="0" applyBorder="0" applyAlignment="0" applyProtection="0"/>
    <xf numFmtId="0" fontId="53" fillId="35" borderId="0" applyNumberFormat="0" applyBorder="0" applyAlignment="0" applyProtection="0"/>
    <xf numFmtId="0" fontId="110" fillId="35" borderId="0" applyNumberFormat="0" applyBorder="0" applyAlignment="0" applyProtection="0"/>
    <xf numFmtId="0" fontId="110" fillId="35" borderId="0" applyNumberFormat="0" applyBorder="0" applyAlignment="0" applyProtection="0"/>
    <xf numFmtId="0" fontId="110" fillId="35" borderId="0" applyNumberFormat="0" applyBorder="0" applyAlignment="0" applyProtection="0"/>
    <xf numFmtId="0" fontId="110" fillId="3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110" fillId="16" borderId="0" applyNumberFormat="0" applyBorder="0" applyAlignment="0" applyProtection="0"/>
    <xf numFmtId="0" fontId="53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110" fillId="20" borderId="0" applyNumberFormat="0" applyBorder="0" applyAlignment="0" applyProtection="0"/>
    <xf numFmtId="0" fontId="5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110" fillId="24" borderId="0" applyNumberFormat="0" applyBorder="0" applyAlignment="0" applyProtection="0"/>
    <xf numFmtId="0" fontId="5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10" fillId="28" borderId="0" applyNumberFormat="0" applyBorder="0" applyAlignment="0" applyProtection="0"/>
    <xf numFmtId="0" fontId="53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110" fillId="28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110" fillId="32" borderId="0" applyNumberFormat="0" applyBorder="0" applyAlignment="0" applyProtection="0"/>
    <xf numFmtId="0" fontId="5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110" fillId="36" borderId="0" applyNumberFormat="0" applyBorder="0" applyAlignment="0" applyProtection="0"/>
    <xf numFmtId="0" fontId="53" fillId="36" borderId="0" applyNumberFormat="0" applyBorder="0" applyAlignment="0" applyProtection="0"/>
    <xf numFmtId="0" fontId="110" fillId="36" borderId="0" applyNumberFormat="0" applyBorder="0" applyAlignment="0" applyProtection="0"/>
    <xf numFmtId="0" fontId="110" fillId="36" borderId="0" applyNumberFormat="0" applyBorder="0" applyAlignment="0" applyProtection="0"/>
    <xf numFmtId="0" fontId="110" fillId="36" borderId="0" applyNumberFormat="0" applyBorder="0" applyAlignment="0" applyProtection="0"/>
    <xf numFmtId="0" fontId="110" fillId="36" borderId="0" applyNumberFormat="0" applyBorder="0" applyAlignment="0" applyProtection="0"/>
    <xf numFmtId="2" fontId="18" fillId="0" borderId="47" applyNumberFormat="0" applyFont="0" applyFill="0" applyAlignment="0"/>
    <xf numFmtId="0" fontId="111" fillId="0" borderId="47"/>
    <xf numFmtId="207" fontId="18" fillId="5" borderId="48">
      <alignment horizontal="center" vertical="center"/>
    </xf>
    <xf numFmtId="166" fontId="112" fillId="40" borderId="49" applyNumberFormat="0"/>
    <xf numFmtId="37" fontId="112" fillId="0" borderId="50">
      <protection locked="0"/>
    </xf>
    <xf numFmtId="0" fontId="113" fillId="41" borderId="51" applyNumberFormat="0" applyFont="0" applyFill="0" applyAlignment="0"/>
    <xf numFmtId="0" fontId="24" fillId="0" borderId="52"/>
    <xf numFmtId="0" fontId="44" fillId="0" borderId="0" applyNumberFormat="0" applyFill="0" applyBorder="0" applyAlignment="0" applyProtection="0"/>
    <xf numFmtId="0" fontId="39" fillId="0" borderId="0" applyBorder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16" fillId="0" borderId="0" applyFont="0" applyFill="0" applyBorder="0" applyAlignment="0" applyProtection="0"/>
    <xf numFmtId="37" fontId="112" fillId="42" borderId="42"/>
    <xf numFmtId="208" fontId="116" fillId="0" borderId="0" applyFont="0" applyFill="0" applyBorder="0" applyAlignment="0" applyProtection="0"/>
    <xf numFmtId="43" fontId="18" fillId="0" borderId="0" applyBorder="0"/>
    <xf numFmtId="0" fontId="116" fillId="0" borderId="0" applyFont="0" applyFill="0" applyBorder="0" applyAlignment="0" applyProtection="0"/>
    <xf numFmtId="209" fontId="18" fillId="0" borderId="0" applyFont="0" applyFill="0" applyBorder="0" applyAlignment="0" applyProtection="0"/>
    <xf numFmtId="210" fontId="18" fillId="0" borderId="0" applyFont="0" applyFill="0" applyBorder="0" applyAlignment="0" applyProtection="0"/>
    <xf numFmtId="0" fontId="32" fillId="39" borderId="0">
      <alignment horizontal="left"/>
    </xf>
    <xf numFmtId="37" fontId="112" fillId="0" borderId="0"/>
    <xf numFmtId="205" fontId="18" fillId="0" borderId="0"/>
    <xf numFmtId="205" fontId="18" fillId="0" borderId="0"/>
    <xf numFmtId="3" fontId="24" fillId="39" borderId="53">
      <protection locked="0"/>
    </xf>
    <xf numFmtId="2" fontId="116" fillId="0" borderId="0" applyFont="0" applyFill="0" applyBorder="0" applyAlignment="0" applyProtection="0"/>
    <xf numFmtId="0" fontId="117" fillId="43" borderId="52"/>
    <xf numFmtId="38" fontId="39" fillId="39" borderId="0" applyNumberFormat="0" applyBorder="0" applyAlignment="0" applyProtection="0"/>
    <xf numFmtId="0" fontId="118" fillId="0" borderId="0" applyNumberFormat="0" applyFill="0" applyBorder="0" applyAlignment="0" applyProtection="0"/>
    <xf numFmtId="0" fontId="37" fillId="0" borderId="25" applyNumberFormat="0" applyAlignment="0" applyProtection="0">
      <alignment horizontal="left" vertical="center"/>
    </xf>
    <xf numFmtId="0" fontId="37" fillId="0" borderId="47">
      <alignment horizontal="left" vertical="center"/>
    </xf>
    <xf numFmtId="211" fontId="18" fillId="0" borderId="0">
      <protection locked="0"/>
    </xf>
    <xf numFmtId="211" fontId="18" fillId="0" borderId="0">
      <protection locked="0"/>
    </xf>
    <xf numFmtId="0" fontId="24" fillId="44" borderId="50"/>
    <xf numFmtId="0" fontId="24" fillId="45" borderId="52"/>
    <xf numFmtId="0" fontId="24" fillId="43" borderId="52"/>
    <xf numFmtId="0" fontId="36" fillId="2" borderId="0"/>
    <xf numFmtId="212" fontId="119" fillId="46" borderId="54" applyAlignment="0"/>
    <xf numFmtId="10" fontId="39" fillId="47" borderId="44" applyNumberFormat="0" applyBorder="0" applyAlignment="0" applyProtection="0"/>
    <xf numFmtId="0" fontId="120" fillId="10" borderId="35" applyNumberFormat="0" applyAlignment="0" applyProtection="0"/>
    <xf numFmtId="0" fontId="120" fillId="10" borderId="35" applyNumberFormat="0" applyAlignment="0" applyProtection="0"/>
    <xf numFmtId="0" fontId="120" fillId="10" borderId="35" applyNumberFormat="0" applyAlignment="0" applyProtection="0"/>
    <xf numFmtId="0" fontId="120" fillId="10" borderId="35" applyNumberFormat="0" applyAlignment="0" applyProtection="0"/>
    <xf numFmtId="10" fontId="121" fillId="0" borderId="55" applyFont="0" applyAlignment="0">
      <protection locked="0"/>
    </xf>
    <xf numFmtId="38" fontId="122" fillId="46" borderId="56" applyNumberFormat="0" applyFont="0" applyBorder="0" applyAlignment="0" applyProtection="0"/>
    <xf numFmtId="0" fontId="39" fillId="39" borderId="0"/>
    <xf numFmtId="167" fontId="123" fillId="39" borderId="50" applyNumberFormat="0"/>
    <xf numFmtId="0" fontId="124" fillId="5" borderId="57"/>
    <xf numFmtId="0" fontId="122" fillId="0" borderId="52"/>
    <xf numFmtId="0" fontId="24" fillId="46" borderId="54"/>
    <xf numFmtId="37" fontId="125" fillId="0" borderId="58"/>
    <xf numFmtId="38" fontId="126" fillId="0" borderId="0"/>
    <xf numFmtId="37" fontId="127" fillId="0" borderId="0"/>
    <xf numFmtId="178" fontId="12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53" fillId="0" borderId="0"/>
    <xf numFmtId="0" fontId="53" fillId="0" borderId="0"/>
    <xf numFmtId="0" fontId="18" fillId="0" borderId="0"/>
    <xf numFmtId="0" fontId="5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53" fillId="0" borderId="0"/>
    <xf numFmtId="0" fontId="18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53" fillId="0" borderId="0"/>
    <xf numFmtId="0" fontId="53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53" fillId="0" borderId="0"/>
    <xf numFmtId="0" fontId="53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53" fillId="0" borderId="0"/>
    <xf numFmtId="0" fontId="5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6" fillId="0" borderId="0"/>
    <xf numFmtId="0" fontId="116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96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110" fillId="0" borderId="0"/>
    <xf numFmtId="0" fontId="18" fillId="0" borderId="0"/>
    <xf numFmtId="0" fontId="110" fillId="0" borderId="0"/>
    <xf numFmtId="0" fontId="18" fillId="0" borderId="0"/>
    <xf numFmtId="0" fontId="110" fillId="0" borderId="0"/>
    <xf numFmtId="0" fontId="18" fillId="0" borderId="0"/>
    <xf numFmtId="0" fontId="110" fillId="0" borderId="0"/>
    <xf numFmtId="0" fontId="53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53" fillId="0" borderId="0"/>
    <xf numFmtId="0" fontId="18" fillId="0" borderId="0"/>
    <xf numFmtId="0" fontId="53" fillId="0" borderId="0"/>
    <xf numFmtId="0" fontId="18" fillId="0" borderId="0"/>
    <xf numFmtId="0" fontId="18" fillId="0" borderId="0"/>
    <xf numFmtId="0" fontId="1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53" fillId="0" borderId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110" fillId="13" borderId="39" applyNumberFormat="0" applyFont="0" applyAlignment="0" applyProtection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110" fillId="13" borderId="39" applyNumberFormat="0" applyFont="0" applyAlignment="0" applyProtection="0"/>
    <xf numFmtId="0" fontId="53" fillId="13" borderId="39" applyNumberFormat="0" applyFont="0" applyAlignment="0" applyProtection="0"/>
    <xf numFmtId="0" fontId="110" fillId="13" borderId="39" applyNumberFormat="0" applyFont="0" applyAlignment="0" applyProtection="0"/>
    <xf numFmtId="0" fontId="110" fillId="13" borderId="39" applyNumberFormat="0" applyFont="0" applyAlignment="0" applyProtection="0"/>
    <xf numFmtId="0" fontId="110" fillId="13" borderId="39" applyNumberFormat="0" applyFont="0" applyAlignment="0" applyProtection="0"/>
    <xf numFmtId="0" fontId="129" fillId="0" borderId="0" applyBorder="0">
      <alignment horizontal="centerContinuous"/>
    </xf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130" fillId="47" borderId="0" applyNumberFormat="0" applyBorder="0" applyAlignment="0" applyProtection="0"/>
    <xf numFmtId="15" fontId="25" fillId="0" borderId="0" applyFont="0" applyFill="0" applyBorder="0" applyAlignment="0" applyProtection="0"/>
    <xf numFmtId="213" fontId="131" fillId="0" borderId="28"/>
    <xf numFmtId="3" fontId="25" fillId="0" borderId="0" applyFont="0" applyFill="0" applyBorder="0" applyAlignment="0" applyProtection="0"/>
    <xf numFmtId="0" fontId="25" fillId="48" borderId="0" applyNumberFormat="0" applyFont="0" applyBorder="0" applyAlignment="0" applyProtection="0"/>
    <xf numFmtId="3" fontId="132" fillId="0" borderId="0" applyNumberFormat="0"/>
    <xf numFmtId="3" fontId="133" fillId="0" borderId="0" applyNumberFormat="0" applyFill="0" applyBorder="0" applyAlignment="0"/>
    <xf numFmtId="0" fontId="117" fillId="0" borderId="0"/>
    <xf numFmtId="0" fontId="134" fillId="0" borderId="0" applyNumberFormat="0" applyFill="0" applyBorder="0" applyAlignment="0" applyProtection="0"/>
    <xf numFmtId="37" fontId="135" fillId="0" borderId="0"/>
    <xf numFmtId="37" fontId="135" fillId="49" borderId="50"/>
    <xf numFmtId="0" fontId="136" fillId="39" borderId="50">
      <alignment horizontal="center"/>
    </xf>
    <xf numFmtId="0" fontId="137" fillId="0" borderId="0"/>
    <xf numFmtId="9" fontId="18" fillId="0" borderId="0" applyFont="0" applyFill="0" applyBorder="0" applyAlignment="0" applyProtection="0"/>
    <xf numFmtId="0" fontId="117" fillId="0" borderId="0"/>
    <xf numFmtId="37" fontId="138" fillId="0" borderId="0" applyNumberFormat="0"/>
    <xf numFmtId="181" fontId="139" fillId="0" borderId="0"/>
    <xf numFmtId="37" fontId="39" fillId="38" borderId="0" applyNumberFormat="0" applyBorder="0" applyAlignment="0" applyProtection="0"/>
    <xf numFmtId="37" fontId="39" fillId="0" borderId="0"/>
    <xf numFmtId="3" fontId="140" fillId="0" borderId="59" applyProtection="0"/>
    <xf numFmtId="0" fontId="24" fillId="50" borderId="52"/>
    <xf numFmtId="214" fontId="18" fillId="0" borderId="0" applyFont="0" applyFill="0" applyBorder="0" applyAlignment="0" applyProtection="0"/>
    <xf numFmtId="206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16" fontId="18" fillId="0" borderId="0" applyFont="0" applyFill="0" applyBorder="0" applyAlignment="0" applyProtection="0"/>
    <xf numFmtId="0" fontId="141" fillId="0" borderId="0" applyNumberFormat="0" applyFill="0" applyBorder="0" applyAlignment="0" applyProtection="0">
      <alignment vertical="top"/>
      <protection locked="0"/>
    </xf>
    <xf numFmtId="0" fontId="53" fillId="0" borderId="0"/>
    <xf numFmtId="0" fontId="53" fillId="0" borderId="0"/>
    <xf numFmtId="0" fontId="18" fillId="0" borderId="0"/>
    <xf numFmtId="2" fontId="18" fillId="0" borderId="92" applyNumberFormat="0" applyFont="0" applyFill="0" applyAlignment="0"/>
    <xf numFmtId="0" fontId="124" fillId="5" borderId="95"/>
    <xf numFmtId="10" fontId="39" fillId="47" borderId="79" applyNumberFormat="0" applyBorder="0" applyAlignment="0" applyProtection="0"/>
    <xf numFmtId="10" fontId="39" fillId="47" borderId="85" applyNumberFormat="0" applyBorder="0" applyAlignment="0" applyProtection="0"/>
    <xf numFmtId="0" fontId="124" fillId="5" borderId="101"/>
    <xf numFmtId="37" fontId="112" fillId="42" borderId="78"/>
    <xf numFmtId="0" fontId="24" fillId="0" borderId="93"/>
    <xf numFmtId="0" fontId="122" fillId="0" borderId="105"/>
    <xf numFmtId="37" fontId="112" fillId="42" borderId="84"/>
    <xf numFmtId="10" fontId="121" fillId="0" borderId="82" applyFont="0" applyAlignment="0">
      <protection locked="0"/>
    </xf>
    <xf numFmtId="0" fontId="24" fillId="43" borderId="93"/>
    <xf numFmtId="0" fontId="37" fillId="0" borderId="92">
      <alignment horizontal="left" vertical="center"/>
    </xf>
    <xf numFmtId="37" fontId="112" fillId="42" borderId="96"/>
    <xf numFmtId="10" fontId="121" fillId="0" borderId="94" applyFont="0" applyAlignment="0">
      <protection locked="0"/>
    </xf>
    <xf numFmtId="0" fontId="37" fillId="0" borderId="104">
      <alignment horizontal="left" vertical="center"/>
    </xf>
    <xf numFmtId="10" fontId="39" fillId="47" borderId="103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0" fontId="121" fillId="0" borderId="100" applyFont="0" applyAlignment="0">
      <protection locked="0"/>
    </xf>
    <xf numFmtId="0" fontId="124" fillId="5" borderId="107"/>
    <xf numFmtId="0" fontId="37" fillId="0" borderId="98">
      <alignment horizontal="left" vertical="center"/>
    </xf>
    <xf numFmtId="0" fontId="24" fillId="43" borderId="99"/>
    <xf numFmtId="0" fontId="24" fillId="45" borderId="99"/>
    <xf numFmtId="0" fontId="37" fillId="0" borderId="86">
      <alignment horizontal="left" vertical="center"/>
    </xf>
    <xf numFmtId="0" fontId="122" fillId="0" borderId="93"/>
    <xf numFmtId="0" fontId="24" fillId="43" borderId="87"/>
    <xf numFmtId="0" fontId="117" fillId="43" borderId="87"/>
    <xf numFmtId="0" fontId="124" fillId="5" borderId="89"/>
    <xf numFmtId="0" fontId="24" fillId="0" borderId="105"/>
    <xf numFmtId="0" fontId="111" fillId="0" borderId="98"/>
    <xf numFmtId="2" fontId="18" fillId="0" borderId="104" applyNumberFormat="0" applyFont="0" applyFill="0" applyAlignment="0"/>
    <xf numFmtId="2" fontId="18" fillId="0" borderId="74" applyNumberFormat="0" applyFont="0" applyFill="0" applyAlignment="0"/>
    <xf numFmtId="0" fontId="111" fillId="0" borderId="74"/>
    <xf numFmtId="0" fontId="24" fillId="0" borderId="75"/>
    <xf numFmtId="37" fontId="112" fillId="42" borderId="72"/>
    <xf numFmtId="0" fontId="117" fillId="43" borderId="75"/>
    <xf numFmtId="0" fontId="37" fillId="0" borderId="74">
      <alignment horizontal="left" vertical="center"/>
    </xf>
    <xf numFmtId="0" fontId="24" fillId="45" borderId="75"/>
    <xf numFmtId="0" fontId="24" fillId="43" borderId="75"/>
    <xf numFmtId="10" fontId="39" fillId="47" borderId="73" applyNumberFormat="0" applyBorder="0" applyAlignment="0" applyProtection="0"/>
    <xf numFmtId="10" fontId="121" fillId="0" borderId="76" applyFont="0" applyAlignment="0">
      <protection locked="0"/>
    </xf>
    <xf numFmtId="0" fontId="124" fillId="5" borderId="77"/>
    <xf numFmtId="0" fontId="122" fillId="0" borderId="75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39" applyNumberFormat="0" applyFont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13" borderId="3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13" borderId="39" applyNumberFormat="0" applyFont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13" borderId="39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3" borderId="39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0" borderId="87"/>
    <xf numFmtId="0" fontId="24" fillId="45" borderId="81"/>
    <xf numFmtId="10" fontId="39" fillId="47" borderId="91" applyNumberFormat="0" applyBorder="0" applyAlignment="0" applyProtection="0"/>
    <xf numFmtId="2" fontId="18" fillId="0" borderId="62" applyNumberFormat="0" applyFont="0" applyFill="0" applyAlignment="0"/>
    <xf numFmtId="0" fontId="111" fillId="0" borderId="62"/>
    <xf numFmtId="0" fontId="24" fillId="0" borderId="63"/>
    <xf numFmtId="0" fontId="24" fillId="43" borderId="105"/>
    <xf numFmtId="37" fontId="112" fillId="42" borderId="60"/>
    <xf numFmtId="0" fontId="117" fillId="43" borderId="63"/>
    <xf numFmtId="0" fontId="37" fillId="0" borderId="62">
      <alignment horizontal="left" vertical="center"/>
    </xf>
    <xf numFmtId="0" fontId="24" fillId="45" borderId="63"/>
    <xf numFmtId="0" fontId="24" fillId="43" borderId="63"/>
    <xf numFmtId="10" fontId="39" fillId="47" borderId="61" applyNumberFormat="0" applyBorder="0" applyAlignment="0" applyProtection="0"/>
    <xf numFmtId="10" fontId="121" fillId="0" borderId="64" applyFont="0" applyAlignment="0">
      <protection locked="0"/>
    </xf>
    <xf numFmtId="0" fontId="124" fillId="5" borderId="65"/>
    <xf numFmtId="0" fontId="122" fillId="0" borderId="63"/>
    <xf numFmtId="0" fontId="117" fillId="43" borderId="105"/>
    <xf numFmtId="10" fontId="121" fillId="0" borderId="88" applyFont="0" applyAlignment="0">
      <protection locked="0"/>
    </xf>
    <xf numFmtId="37" fontId="112" fillId="42" borderId="90"/>
    <xf numFmtId="0" fontId="111" fillId="0" borderId="86"/>
    <xf numFmtId="0" fontId="24" fillId="50" borderId="63"/>
    <xf numFmtId="0" fontId="18" fillId="0" borderId="0"/>
    <xf numFmtId="2" fontId="18" fillId="0" borderId="80" applyNumberFormat="0" applyFont="0" applyFill="0" applyAlignment="0"/>
    <xf numFmtId="0" fontId="24" fillId="45" borderId="87"/>
    <xf numFmtId="0" fontId="117" fillId="43" borderId="93"/>
    <xf numFmtId="0" fontId="117" fillId="43" borderId="99"/>
    <xf numFmtId="0" fontId="24" fillId="0" borderId="81"/>
    <xf numFmtId="10" fontId="39" fillId="47" borderId="97" applyNumberFormat="0" applyBorder="0" applyAlignment="0" applyProtection="0"/>
    <xf numFmtId="0" fontId="122" fillId="0" borderId="81"/>
    <xf numFmtId="0" fontId="24" fillId="45" borderId="93"/>
    <xf numFmtId="0" fontId="37" fillId="0" borderId="80">
      <alignment horizontal="left" vertical="center"/>
    </xf>
    <xf numFmtId="0" fontId="24" fillId="0" borderId="99"/>
    <xf numFmtId="0" fontId="122" fillId="0" borderId="87"/>
    <xf numFmtId="0" fontId="24" fillId="43" borderId="81"/>
    <xf numFmtId="37" fontId="112" fillId="42" borderId="102"/>
    <xf numFmtId="0" fontId="117" fillId="43" borderId="81"/>
    <xf numFmtId="0" fontId="124" fillId="5" borderId="83"/>
    <xf numFmtId="0" fontId="111" fillId="0" borderId="80"/>
    <xf numFmtId="0" fontId="24" fillId="45" borderId="105"/>
    <xf numFmtId="2" fontId="18" fillId="0" borderId="86" applyNumberFormat="0" applyFont="0" applyFill="0" applyAlignment="0"/>
    <xf numFmtId="0" fontId="111" fillId="0" borderId="92"/>
    <xf numFmtId="2" fontId="18" fillId="0" borderId="98" applyNumberFormat="0" applyFont="0" applyFill="0" applyAlignment="0"/>
    <xf numFmtId="10" fontId="121" fillId="0" borderId="106" applyFont="0" applyAlignment="0">
      <protection locked="0"/>
    </xf>
    <xf numFmtId="2" fontId="18" fillId="0" borderId="68" applyNumberFormat="0" applyFont="0" applyFill="0" applyAlignment="0"/>
    <xf numFmtId="0" fontId="111" fillId="0" borderId="68"/>
    <xf numFmtId="0" fontId="24" fillId="0" borderId="69"/>
    <xf numFmtId="0" fontId="111" fillId="0" borderId="104"/>
    <xf numFmtId="37" fontId="112" fillId="42" borderId="66"/>
    <xf numFmtId="0" fontId="117" fillId="43" borderId="69"/>
    <xf numFmtId="0" fontId="37" fillId="0" borderId="68">
      <alignment horizontal="left" vertical="center"/>
    </xf>
    <xf numFmtId="0" fontId="24" fillId="45" borderId="69"/>
    <xf numFmtId="0" fontId="24" fillId="43" borderId="69"/>
    <xf numFmtId="10" fontId="39" fillId="47" borderId="67" applyNumberFormat="0" applyBorder="0" applyAlignment="0" applyProtection="0"/>
    <xf numFmtId="10" fontId="121" fillId="0" borderId="70" applyFont="0" applyAlignment="0">
      <protection locked="0"/>
    </xf>
    <xf numFmtId="0" fontId="124" fillId="5" borderId="71"/>
    <xf numFmtId="0" fontId="122" fillId="0" borderId="69"/>
    <xf numFmtId="0" fontId="122" fillId="0" borderId="99"/>
    <xf numFmtId="0" fontId="24" fillId="50" borderId="69"/>
    <xf numFmtId="0" fontId="18" fillId="0" borderId="0"/>
    <xf numFmtId="0" fontId="24" fillId="50" borderId="75"/>
    <xf numFmtId="0" fontId="18" fillId="0" borderId="0"/>
    <xf numFmtId="0" fontId="24" fillId="50" borderId="81"/>
    <xf numFmtId="0" fontId="18" fillId="0" borderId="0"/>
    <xf numFmtId="0" fontId="24" fillId="50" borderId="87"/>
    <xf numFmtId="0" fontId="18" fillId="0" borderId="0"/>
    <xf numFmtId="0" fontId="24" fillId="50" borderId="93"/>
    <xf numFmtId="0" fontId="18" fillId="0" borderId="0"/>
    <xf numFmtId="0" fontId="24" fillId="50" borderId="99"/>
    <xf numFmtId="0" fontId="18" fillId="0" borderId="0"/>
    <xf numFmtId="0" fontId="24" fillId="50" borderId="105"/>
    <xf numFmtId="0" fontId="18" fillId="0" borderId="0"/>
    <xf numFmtId="0" fontId="22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43" fontId="4" fillId="0" borderId="0" applyFont="0" applyFill="0" applyBorder="0" applyAlignment="0" applyProtection="0"/>
    <xf numFmtId="37" fontId="112" fillId="42" borderId="45"/>
    <xf numFmtId="10" fontId="39" fillId="47" borderId="46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39" applyNumberFormat="0" applyFont="0" applyAlignment="0" applyProtection="0"/>
    <xf numFmtId="0" fontId="4" fillId="13" borderId="39" applyNumberFormat="0" applyFont="0" applyAlignment="0" applyProtection="0"/>
    <xf numFmtId="0" fontId="4" fillId="13" borderId="39" applyNumberFormat="0" applyFont="0" applyAlignment="0" applyProtection="0"/>
    <xf numFmtId="0" fontId="4" fillId="13" borderId="39" applyNumberFormat="0" applyFont="0" applyAlignment="0" applyProtection="0"/>
    <xf numFmtId="0" fontId="4" fillId="13" borderId="3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4" fillId="10" borderId="35" applyNumberFormat="0" applyAlignment="0" applyProtection="0"/>
    <xf numFmtId="0" fontId="109" fillId="0" borderId="0"/>
    <xf numFmtId="44" fontId="18" fillId="0" borderId="0" applyFont="0" applyFill="0" applyBorder="0" applyAlignment="0" applyProtection="0"/>
    <xf numFmtId="0" fontId="18" fillId="0" borderId="0"/>
    <xf numFmtId="0" fontId="53" fillId="0" borderId="0"/>
    <xf numFmtId="0" fontId="18" fillId="0" borderId="0"/>
    <xf numFmtId="0" fontId="109" fillId="0" borderId="0"/>
    <xf numFmtId="181" fontId="24" fillId="0" borderId="0"/>
    <xf numFmtId="44" fontId="53" fillId="0" borderId="0" applyFont="0" applyFill="0" applyBorder="0" applyAlignment="0" applyProtection="0"/>
    <xf numFmtId="0" fontId="53" fillId="0" borderId="0"/>
    <xf numFmtId="0" fontId="53" fillId="0" borderId="0"/>
    <xf numFmtId="43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3" fillId="0" borderId="0"/>
    <xf numFmtId="0" fontId="18" fillId="0" borderId="0"/>
    <xf numFmtId="0" fontId="18" fillId="0" borderId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53" fillId="0" borderId="0"/>
    <xf numFmtId="0" fontId="53" fillId="0" borderId="0"/>
    <xf numFmtId="3" fontId="18" fillId="0" borderId="0" applyFont="0" applyFill="0" applyBorder="0" applyAlignment="0" applyProtection="0"/>
    <xf numFmtId="0" fontId="53" fillId="13" borderId="39" applyNumberFormat="0" applyFont="0" applyAlignment="0" applyProtection="0"/>
    <xf numFmtId="0" fontId="18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53" fillId="0" borderId="0"/>
    <xf numFmtId="0" fontId="18" fillId="0" borderId="0"/>
    <xf numFmtId="0" fontId="53" fillId="0" borderId="0"/>
    <xf numFmtId="9" fontId="53" fillId="0" borderId="0" applyFont="0" applyFill="0" applyBorder="0" applyAlignment="0" applyProtection="0"/>
    <xf numFmtId="43" fontId="115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43" fillId="0" borderId="0">
      <alignment vertical="top"/>
    </xf>
    <xf numFmtId="43" fontId="43" fillId="0" borderId="0" applyFont="0" applyFill="0" applyBorder="0" applyAlignment="0" applyProtection="0">
      <alignment vertical="top"/>
    </xf>
    <xf numFmtId="0" fontId="18" fillId="0" borderId="11">
      <alignment horizontal="center" wrapText="1"/>
    </xf>
    <xf numFmtId="43" fontId="40" fillId="0" borderId="0"/>
    <xf numFmtId="0" fontId="40" fillId="0" borderId="0"/>
    <xf numFmtId="43" fontId="18" fillId="0" borderId="12"/>
    <xf numFmtId="43" fontId="18" fillId="0" borderId="0"/>
    <xf numFmtId="0" fontId="18" fillId="0" borderId="0"/>
    <xf numFmtId="0" fontId="37" fillId="0" borderId="0"/>
    <xf numFmtId="0" fontId="142" fillId="0" borderId="0"/>
    <xf numFmtId="37" fontId="143" fillId="0" borderId="0"/>
    <xf numFmtId="172" fontId="143" fillId="0" borderId="0"/>
    <xf numFmtId="39" fontId="143" fillId="0" borderId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144" fillId="52" borderId="0" applyNumberFormat="0" applyBorder="0" applyAlignment="0" applyProtection="0"/>
    <xf numFmtId="0" fontId="144" fillId="5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144" fillId="53" borderId="0" applyNumberFormat="0" applyBorder="0" applyAlignment="0" applyProtection="0"/>
    <xf numFmtId="0" fontId="144" fillId="53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144" fillId="54" borderId="0" applyNumberFormat="0" applyBorder="0" applyAlignment="0" applyProtection="0"/>
    <xf numFmtId="0" fontId="144" fillId="54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144" fillId="55" borderId="0" applyNumberFormat="0" applyBorder="0" applyAlignment="0" applyProtection="0"/>
    <xf numFmtId="0" fontId="144" fillId="55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144" fillId="56" borderId="0" applyNumberFormat="0" applyBorder="0" applyAlignment="0" applyProtection="0"/>
    <xf numFmtId="0" fontId="144" fillId="56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144" fillId="57" borderId="0" applyNumberFormat="0" applyBorder="0" applyAlignment="0" applyProtection="0"/>
    <xf numFmtId="0" fontId="144" fillId="57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144" fillId="58" borderId="0" applyNumberFormat="0" applyBorder="0" applyAlignment="0" applyProtection="0"/>
    <xf numFmtId="0" fontId="144" fillId="58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144" fillId="59" borderId="0" applyNumberFormat="0" applyBorder="0" applyAlignment="0" applyProtection="0"/>
    <xf numFmtId="0" fontId="144" fillId="5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144" fillId="60" borderId="0" applyNumberFormat="0" applyBorder="0" applyAlignment="0" applyProtection="0"/>
    <xf numFmtId="0" fontId="144" fillId="60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44" fillId="55" borderId="0" applyNumberFormat="0" applyBorder="0" applyAlignment="0" applyProtection="0"/>
    <xf numFmtId="0" fontId="144" fillId="55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144" fillId="58" borderId="0" applyNumberFormat="0" applyBorder="0" applyAlignment="0" applyProtection="0"/>
    <xf numFmtId="0" fontId="144" fillId="58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144" fillId="61" borderId="0" applyNumberFormat="0" applyBorder="0" applyAlignment="0" applyProtection="0"/>
    <xf numFmtId="0" fontId="144" fillId="61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145" fillId="62" borderId="0" applyNumberFormat="0" applyBorder="0" applyAlignment="0" applyProtection="0"/>
    <xf numFmtId="0" fontId="145" fillId="62" borderId="0" applyNumberFormat="0" applyBorder="0" applyAlignment="0" applyProtection="0"/>
    <xf numFmtId="0" fontId="145" fillId="59" borderId="0" applyNumberFormat="0" applyBorder="0" applyAlignment="0" applyProtection="0"/>
    <xf numFmtId="0" fontId="145" fillId="59" borderId="0" applyNumberFormat="0" applyBorder="0" applyAlignment="0" applyProtection="0"/>
    <xf numFmtId="0" fontId="145" fillId="60" borderId="0" applyNumberFormat="0" applyBorder="0" applyAlignment="0" applyProtection="0"/>
    <xf numFmtId="0" fontId="145" fillId="60" borderId="0" applyNumberFormat="0" applyBorder="0" applyAlignment="0" applyProtection="0"/>
    <xf numFmtId="0" fontId="145" fillId="63" borderId="0" applyNumberFormat="0" applyBorder="0" applyAlignment="0" applyProtection="0"/>
    <xf numFmtId="0" fontId="145" fillId="63" borderId="0" applyNumberFormat="0" applyBorder="0" applyAlignment="0" applyProtection="0"/>
    <xf numFmtId="0" fontId="145" fillId="64" borderId="0" applyNumberFormat="0" applyBorder="0" applyAlignment="0" applyProtection="0"/>
    <xf numFmtId="0" fontId="145" fillId="64" borderId="0" applyNumberFormat="0" applyBorder="0" applyAlignment="0" applyProtection="0"/>
    <xf numFmtId="0" fontId="145" fillId="65" borderId="0" applyNumberFormat="0" applyBorder="0" applyAlignment="0" applyProtection="0"/>
    <xf numFmtId="0" fontId="145" fillId="65" borderId="0" applyNumberFormat="0" applyBorder="0" applyAlignment="0" applyProtection="0"/>
    <xf numFmtId="0" fontId="145" fillId="66" borderId="0" applyNumberFormat="0" applyBorder="0" applyAlignment="0" applyProtection="0"/>
    <xf numFmtId="0" fontId="145" fillId="66" borderId="0" applyNumberFormat="0" applyBorder="0" applyAlignment="0" applyProtection="0"/>
    <xf numFmtId="0" fontId="145" fillId="67" borderId="0" applyNumberFormat="0" applyBorder="0" applyAlignment="0" applyProtection="0"/>
    <xf numFmtId="0" fontId="145" fillId="67" borderId="0" applyNumberFormat="0" applyBorder="0" applyAlignment="0" applyProtection="0"/>
    <xf numFmtId="0" fontId="145" fillId="68" borderId="0" applyNumberFormat="0" applyBorder="0" applyAlignment="0" applyProtection="0"/>
    <xf numFmtId="0" fontId="145" fillId="68" borderId="0" applyNumberFormat="0" applyBorder="0" applyAlignment="0" applyProtection="0"/>
    <xf numFmtId="0" fontId="145" fillId="63" borderId="0" applyNumberFormat="0" applyBorder="0" applyAlignment="0" applyProtection="0"/>
    <xf numFmtId="0" fontId="145" fillId="63" borderId="0" applyNumberFormat="0" applyBorder="0" applyAlignment="0" applyProtection="0"/>
    <xf numFmtId="0" fontId="145" fillId="64" borderId="0" applyNumberFormat="0" applyBorder="0" applyAlignment="0" applyProtection="0"/>
    <xf numFmtId="0" fontId="145" fillId="64" borderId="0" applyNumberFormat="0" applyBorder="0" applyAlignment="0" applyProtection="0"/>
    <xf numFmtId="0" fontId="145" fillId="69" borderId="0" applyNumberFormat="0" applyBorder="0" applyAlignment="0" applyProtection="0"/>
    <xf numFmtId="0" fontId="145" fillId="69" borderId="0" applyNumberFormat="0" applyBorder="0" applyAlignment="0" applyProtection="0"/>
    <xf numFmtId="217" fontId="18" fillId="5" borderId="48">
      <alignment horizontal="center" vertical="center"/>
    </xf>
    <xf numFmtId="218" fontId="146" fillId="0" borderId="0"/>
    <xf numFmtId="0" fontId="147" fillId="53" borderId="0" applyNumberFormat="0" applyBorder="0" applyAlignment="0" applyProtection="0"/>
    <xf numFmtId="0" fontId="147" fillId="53" borderId="0" applyNumberFormat="0" applyBorder="0" applyAlignment="0" applyProtection="0"/>
    <xf numFmtId="0" fontId="148" fillId="42" borderId="108" applyNumberFormat="0" applyAlignment="0" applyProtection="0"/>
    <xf numFmtId="0" fontId="148" fillId="42" borderId="108" applyNumberFormat="0" applyAlignment="0" applyProtection="0"/>
    <xf numFmtId="0" fontId="149" fillId="70" borderId="109" applyNumberFormat="0" applyAlignment="0" applyProtection="0"/>
    <xf numFmtId="0" fontId="149" fillId="70" borderId="109" applyNumberFormat="0" applyAlignment="0" applyProtection="0"/>
    <xf numFmtId="0" fontId="39" fillId="0" borderId="0" applyBorder="0"/>
    <xf numFmtId="0" fontId="39" fillId="0" borderId="0" applyBorder="0"/>
    <xf numFmtId="0" fontId="39" fillId="0" borderId="0" applyBorder="0"/>
    <xf numFmtId="0" fontId="39" fillId="0" borderId="0" applyBorder="0"/>
    <xf numFmtId="165" fontId="114" fillId="0" borderId="0"/>
    <xf numFmtId="165" fontId="114" fillId="0" borderId="0"/>
    <xf numFmtId="165" fontId="114" fillId="0" borderId="0"/>
    <xf numFmtId="165" fontId="114" fillId="0" borderId="0"/>
    <xf numFmtId="165" fontId="114" fillId="0" borderId="0"/>
    <xf numFmtId="165" fontId="114" fillId="0" borderId="0"/>
    <xf numFmtId="165" fontId="114" fillId="0" borderId="0"/>
    <xf numFmtId="165" fontId="114" fillId="0" borderId="0"/>
    <xf numFmtId="40" fontId="18" fillId="0" borderId="0" applyBorder="0" applyProtection="0"/>
    <xf numFmtId="40" fontId="18" fillId="0" borderId="0" applyBorder="0" applyProtection="0"/>
    <xf numFmtId="40" fontId="18" fillId="0" borderId="0" applyBorder="0" applyProtection="0"/>
    <xf numFmtId="40" fontId="18" fillId="0" borderId="0" applyBorder="0" applyProtection="0"/>
    <xf numFmtId="40" fontId="18" fillId="0" borderId="0" applyBorder="0" applyProtection="0"/>
    <xf numFmtId="37" fontId="43" fillId="0" borderId="0"/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18" fillId="0" borderId="0" applyFont="0" applyFill="0" applyBorder="0" applyAlignment="0" applyProtection="0">
      <alignment wrapText="1"/>
    </xf>
    <xf numFmtId="43" fontId="18" fillId="0" borderId="0" applyFont="0" applyFill="0" applyBorder="0" applyAlignment="0" applyProtection="0">
      <alignment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>
      <alignment wrapText="1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1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>
      <alignment wrapText="1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top"/>
    </xf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18" fillId="0" borderId="0" applyFont="0" applyFill="0" applyBorder="0" applyAlignment="0" applyProtection="0">
      <alignment wrapText="1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43" fillId="0" borderId="0" applyFont="0" applyFill="0" applyBorder="0" applyAlignment="0" applyProtection="0">
      <alignment vertical="top"/>
    </xf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top"/>
    </xf>
    <xf numFmtId="3" fontId="116" fillId="0" borderId="0" applyFont="0" applyFill="0" applyBorder="0" applyAlignment="0" applyProtection="0"/>
    <xf numFmtId="219" fontId="18" fillId="0" borderId="0"/>
    <xf numFmtId="0" fontId="150" fillId="0" borderId="0">
      <alignment horizontal="left" vertical="center" indent="1"/>
    </xf>
    <xf numFmtId="44" fontId="18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1" fontId="18" fillId="0" borderId="0"/>
    <xf numFmtId="41" fontId="18" fillId="0" borderId="0"/>
    <xf numFmtId="41" fontId="18" fillId="0" borderId="0"/>
    <xf numFmtId="41" fontId="18" fillId="0" borderId="0"/>
    <xf numFmtId="41" fontId="18" fillId="0" borderId="0"/>
    <xf numFmtId="220" fontId="151" fillId="0" borderId="0">
      <protection locked="0"/>
    </xf>
    <xf numFmtId="6" fontId="152" fillId="0" borderId="0">
      <protection locked="0"/>
    </xf>
    <xf numFmtId="204" fontId="153" fillId="0" borderId="0">
      <alignment horizontal="left"/>
    </xf>
    <xf numFmtId="221" fontId="18" fillId="0" borderId="0" applyFont="0" applyFill="0" applyBorder="0" applyAlignment="0" applyProtection="0"/>
    <xf numFmtId="222" fontId="18" fillId="0" borderId="0" applyFon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220" fontId="151" fillId="0" borderId="0">
      <protection locked="0"/>
    </xf>
    <xf numFmtId="223" fontId="18" fillId="0" borderId="0">
      <protection locked="0"/>
    </xf>
    <xf numFmtId="0" fontId="155" fillId="54" borderId="0" applyNumberFormat="0" applyBorder="0" applyAlignment="0" applyProtection="0"/>
    <xf numFmtId="0" fontId="155" fillId="54" borderId="0" applyNumberFormat="0" applyBorder="0" applyAlignment="0" applyProtection="0"/>
    <xf numFmtId="38" fontId="39" fillId="39" borderId="0" applyNumberFormat="0" applyBorder="0" applyAlignment="0" applyProtection="0"/>
    <xf numFmtId="38" fontId="39" fillId="39" borderId="0" applyNumberFormat="0" applyBorder="0" applyAlignment="0" applyProtection="0"/>
    <xf numFmtId="38" fontId="39" fillId="39" borderId="0" applyNumberFormat="0" applyBorder="0" applyAlignment="0" applyProtection="0"/>
    <xf numFmtId="38" fontId="39" fillId="39" borderId="0" applyNumberFormat="0" applyBorder="0" applyAlignment="0" applyProtection="0"/>
    <xf numFmtId="0" fontId="156" fillId="0" borderId="0">
      <alignment horizontal="centerContinuous"/>
    </xf>
    <xf numFmtId="220" fontId="151" fillId="0" borderId="0">
      <protection locked="0"/>
    </xf>
    <xf numFmtId="0" fontId="157" fillId="0" borderId="110" applyNumberFormat="0" applyFill="0" applyAlignment="0" applyProtection="0"/>
    <xf numFmtId="220" fontId="151" fillId="0" borderId="0">
      <protection locked="0"/>
    </xf>
    <xf numFmtId="0" fontId="157" fillId="0" borderId="110" applyNumberFormat="0" applyFill="0" applyAlignment="0" applyProtection="0"/>
    <xf numFmtId="220" fontId="151" fillId="0" borderId="0">
      <protection locked="0"/>
    </xf>
    <xf numFmtId="0" fontId="158" fillId="0" borderId="111" applyNumberFormat="0" applyFill="0" applyAlignment="0" applyProtection="0"/>
    <xf numFmtId="220" fontId="151" fillId="0" borderId="0">
      <protection locked="0"/>
    </xf>
    <xf numFmtId="0" fontId="158" fillId="0" borderId="111" applyNumberFormat="0" applyFill="0" applyAlignment="0" applyProtection="0"/>
    <xf numFmtId="0" fontId="159" fillId="0" borderId="112" applyNumberFormat="0" applyFill="0" applyAlignment="0" applyProtection="0"/>
    <xf numFmtId="0" fontId="159" fillId="0" borderId="112" applyNumberFormat="0" applyFill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/>
    <xf numFmtId="0" fontId="40" fillId="0" borderId="59" applyNumberFormat="0" applyFill="0" applyAlignment="0" applyProtection="0"/>
    <xf numFmtId="10" fontId="39" fillId="47" borderId="73" applyNumberFormat="0" applyBorder="0" applyAlignment="0" applyProtection="0"/>
    <xf numFmtId="10" fontId="39" fillId="47" borderId="73" applyNumberFormat="0" applyBorder="0" applyAlignment="0" applyProtection="0"/>
    <xf numFmtId="10" fontId="39" fillId="47" borderId="73" applyNumberFormat="0" applyBorder="0" applyAlignment="0" applyProtection="0"/>
    <xf numFmtId="10" fontId="39" fillId="47" borderId="73" applyNumberFormat="0" applyBorder="0" applyAlignment="0" applyProtection="0"/>
    <xf numFmtId="0" fontId="64" fillId="10" borderId="35" applyNumberFormat="0" applyAlignment="0" applyProtection="0"/>
    <xf numFmtId="0" fontId="64" fillId="10" borderId="35" applyNumberFormat="0" applyAlignment="0" applyProtection="0"/>
    <xf numFmtId="0" fontId="64" fillId="10" borderId="35" applyNumberFormat="0" applyAlignment="0" applyProtection="0"/>
    <xf numFmtId="0" fontId="64" fillId="10" borderId="35" applyNumberFormat="0" applyAlignment="0" applyProtection="0"/>
    <xf numFmtId="0" fontId="64" fillId="10" borderId="35" applyNumberFormat="0" applyAlignment="0" applyProtection="0"/>
    <xf numFmtId="0" fontId="64" fillId="10" borderId="35" applyNumberFormat="0" applyAlignment="0" applyProtection="0"/>
    <xf numFmtId="0" fontId="64" fillId="10" borderId="35" applyNumberFormat="0" applyAlignment="0" applyProtection="0"/>
    <xf numFmtId="0" fontId="64" fillId="10" borderId="35" applyNumberFormat="0" applyAlignment="0" applyProtection="0"/>
    <xf numFmtId="0" fontId="64" fillId="10" borderId="35" applyNumberFormat="0" applyAlignment="0" applyProtection="0"/>
    <xf numFmtId="0" fontId="64" fillId="10" borderId="35" applyNumberFormat="0" applyAlignment="0" applyProtection="0"/>
    <xf numFmtId="0" fontId="161" fillId="57" borderId="108" applyNumberFormat="0" applyAlignment="0" applyProtection="0"/>
    <xf numFmtId="0" fontId="64" fillId="10" borderId="35" applyNumberFormat="0" applyAlignment="0" applyProtection="0"/>
    <xf numFmtId="0" fontId="64" fillId="10" borderId="35" applyNumberFormat="0" applyAlignment="0" applyProtection="0"/>
    <xf numFmtId="0" fontId="161" fillId="57" borderId="108" applyNumberFormat="0" applyAlignment="0" applyProtection="0"/>
    <xf numFmtId="0" fontId="64" fillId="10" borderId="35" applyNumberFormat="0" applyAlignment="0" applyProtection="0"/>
    <xf numFmtId="0" fontId="64" fillId="10" borderId="35" applyNumberFormat="0" applyAlignment="0" applyProtection="0"/>
    <xf numFmtId="0" fontId="64" fillId="10" borderId="35" applyNumberFormat="0" applyAlignment="0" applyProtection="0"/>
    <xf numFmtId="0" fontId="64" fillId="10" borderId="35" applyNumberFormat="0" applyAlignment="0" applyProtection="0"/>
    <xf numFmtId="0" fontId="64" fillId="10" borderId="35" applyNumberFormat="0" applyAlignment="0" applyProtection="0"/>
    <xf numFmtId="0" fontId="64" fillId="10" borderId="35" applyNumberFormat="0" applyAlignment="0" applyProtection="0"/>
    <xf numFmtId="175" fontId="162" fillId="71" borderId="113" applyNumberFormat="0" applyBorder="0" applyAlignment="0" applyProtection="0"/>
    <xf numFmtId="175" fontId="162" fillId="71" borderId="113" applyNumberFormat="0" applyBorder="0" applyAlignment="0" applyProtection="0"/>
    <xf numFmtId="175" fontId="163" fillId="71" borderId="113" applyNumberFormat="0" applyBorder="0" applyAlignment="0" applyProtection="0"/>
    <xf numFmtId="0" fontId="164" fillId="72" borderId="0" applyNumberFormat="0"/>
    <xf numFmtId="0" fontId="165" fillId="0" borderId="114" applyNumberFormat="0" applyFill="0" applyAlignment="0" applyProtection="0"/>
    <xf numFmtId="0" fontId="165" fillId="0" borderId="114" applyNumberFormat="0" applyFill="0" applyAlignment="0" applyProtection="0"/>
    <xf numFmtId="216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224" fontId="18" fillId="0" borderId="0" applyFont="0" applyFill="0" applyBorder="0" applyAlignment="0" applyProtection="0"/>
    <xf numFmtId="0" fontId="166" fillId="73" borderId="0" applyNumberFormat="0" applyBorder="0" applyAlignment="0" applyProtection="0"/>
    <xf numFmtId="0" fontId="166" fillId="73" borderId="0" applyNumberFormat="0" applyBorder="0" applyAlignment="0" applyProtection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6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43" fillId="0" borderId="0">
      <alignment vertical="top"/>
    </xf>
    <xf numFmtId="0" fontId="22" fillId="0" borderId="0"/>
    <xf numFmtId="0" fontId="22" fillId="0" borderId="0"/>
    <xf numFmtId="0" fontId="43" fillId="0" borderId="0">
      <alignment vertical="top"/>
    </xf>
    <xf numFmtId="0" fontId="18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18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8" fillId="0" borderId="0"/>
    <xf numFmtId="0" fontId="43" fillId="0" borderId="0">
      <alignment vertical="top"/>
    </xf>
    <xf numFmtId="0" fontId="18" fillId="0" borderId="0">
      <alignment wrapText="1"/>
    </xf>
    <xf numFmtId="0" fontId="53" fillId="0" borderId="0"/>
    <xf numFmtId="0" fontId="53" fillId="0" borderId="0"/>
    <xf numFmtId="0" fontId="18" fillId="0" borderId="0">
      <alignment wrapText="1"/>
    </xf>
    <xf numFmtId="0" fontId="53" fillId="0" borderId="0"/>
    <xf numFmtId="0" fontId="18" fillId="0" borderId="0">
      <alignment wrapText="1"/>
    </xf>
    <xf numFmtId="0" fontId="18" fillId="0" borderId="0">
      <alignment wrapText="1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68" fillId="0" borderId="0"/>
    <xf numFmtId="0" fontId="43" fillId="0" borderId="0">
      <alignment vertical="top"/>
    </xf>
    <xf numFmtId="0" fontId="168" fillId="0" borderId="0"/>
    <xf numFmtId="0" fontId="43" fillId="0" borderId="0">
      <alignment vertical="top"/>
    </xf>
    <xf numFmtId="0" fontId="16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43" fillId="0" borderId="0">
      <alignment vertical="top"/>
    </xf>
    <xf numFmtId="0" fontId="43" fillId="0" borderId="0">
      <alignment vertical="top"/>
    </xf>
    <xf numFmtId="0" fontId="16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43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70" fillId="0" borderId="0"/>
    <xf numFmtId="0" fontId="167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18" fillId="74" borderId="115" applyNumberFormat="0" applyFont="0" applyAlignment="0" applyProtection="0"/>
    <xf numFmtId="0" fontId="18" fillId="74" borderId="115" applyNumberFormat="0" applyFont="0" applyAlignment="0" applyProtection="0"/>
    <xf numFmtId="0" fontId="18" fillId="74" borderId="115" applyNumberFormat="0" applyFont="0" applyAlignment="0" applyProtection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53" fillId="13" borderId="39" applyNumberFormat="0" applyFont="0" applyAlignment="0" applyProtection="0"/>
    <xf numFmtId="0" fontId="171" fillId="42" borderId="116" applyNumberFormat="0" applyAlignment="0" applyProtection="0"/>
    <xf numFmtId="0" fontId="171" fillId="42" borderId="116" applyNumberFormat="0" applyAlignment="0" applyProtection="0"/>
    <xf numFmtId="173" fontId="172" fillId="0" borderId="0"/>
    <xf numFmtId="9" fontId="43" fillId="0" borderId="0" applyFont="0" applyFill="0" applyBorder="0" applyAlignment="0" applyProtection="0">
      <alignment vertical="top"/>
    </xf>
    <xf numFmtId="9" fontId="18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top"/>
    </xf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8" fillId="0" borderId="0" applyFont="0" applyFill="0" applyBorder="0" applyAlignment="0" applyProtection="0">
      <alignment wrapText="1"/>
    </xf>
    <xf numFmtId="0" fontId="174" fillId="0" borderId="0"/>
    <xf numFmtId="43" fontId="175" fillId="0" borderId="11" applyFill="0" applyBorder="0">
      <alignment horizontal="right"/>
    </xf>
    <xf numFmtId="0" fontId="117" fillId="0" borderId="0"/>
    <xf numFmtId="0" fontId="117" fillId="0" borderId="0"/>
    <xf numFmtId="38" fontId="18" fillId="75" borderId="0" applyNumberFormat="0" applyFont="0" applyBorder="0" applyAlignment="0" applyProtection="0"/>
    <xf numFmtId="0" fontId="176" fillId="76" borderId="0" applyNumberFormat="0" applyFont="0" applyBorder="0" applyAlignment="0" applyProtection="0">
      <alignment horizontal="center"/>
    </xf>
    <xf numFmtId="0" fontId="177" fillId="0" borderId="0"/>
    <xf numFmtId="0" fontId="178" fillId="0" borderId="0"/>
    <xf numFmtId="0" fontId="153" fillId="0" borderId="0">
      <alignment horizontal="left"/>
    </xf>
    <xf numFmtId="0" fontId="117" fillId="0" borderId="0"/>
    <xf numFmtId="0" fontId="117" fillId="0" borderId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220" fontId="151" fillId="0" borderId="117">
      <protection locked="0"/>
    </xf>
    <xf numFmtId="211" fontId="18" fillId="0" borderId="12">
      <protection locked="0"/>
    </xf>
    <xf numFmtId="211" fontId="18" fillId="0" borderId="12">
      <protection locked="0"/>
    </xf>
    <xf numFmtId="211" fontId="18" fillId="0" borderId="12">
      <protection locked="0"/>
    </xf>
    <xf numFmtId="211" fontId="18" fillId="0" borderId="12">
      <protection locked="0"/>
    </xf>
    <xf numFmtId="220" fontId="151" fillId="0" borderId="117">
      <protection locked="0"/>
    </xf>
    <xf numFmtId="0" fontId="180" fillId="0" borderId="118" applyNumberFormat="0" applyFill="0" applyAlignment="0" applyProtection="0"/>
    <xf numFmtId="211" fontId="18" fillId="0" borderId="12">
      <protection locked="0"/>
    </xf>
    <xf numFmtId="0" fontId="69" fillId="0" borderId="40" applyNumberFormat="0" applyFill="0" applyAlignment="0" applyProtection="0"/>
    <xf numFmtId="181" fontId="181" fillId="0" borderId="0">
      <alignment horizontal="left"/>
      <protection locked="0"/>
    </xf>
    <xf numFmtId="0" fontId="182" fillId="0" borderId="0" applyNumberFormat="0" applyFont="0" applyFill="0"/>
    <xf numFmtId="37" fontId="39" fillId="38" borderId="0" applyNumberFormat="0" applyBorder="0" applyAlignment="0" applyProtection="0"/>
    <xf numFmtId="37" fontId="39" fillId="38" borderId="0" applyNumberFormat="0" applyBorder="0" applyAlignment="0" applyProtection="0"/>
    <xf numFmtId="37" fontId="39" fillId="38" borderId="0" applyNumberFormat="0" applyBorder="0" applyAlignment="0" applyProtection="0"/>
    <xf numFmtId="37" fontId="39" fillId="38" borderId="0" applyNumberFormat="0" applyBorder="0" applyAlignment="0" applyProtection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38" borderId="0" applyNumberFormat="0" applyBorder="0" applyAlignment="0" applyProtection="0"/>
    <xf numFmtId="14" fontId="176" fillId="0" borderId="0" applyNumberFormat="0" applyFont="0" applyBorder="0" applyAlignment="0" applyProtection="0">
      <alignment horizontal="center"/>
    </xf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225" fontId="39" fillId="0" borderId="0" applyFill="0" applyProtection="0"/>
    <xf numFmtId="0" fontId="53" fillId="0" borderId="0"/>
    <xf numFmtId="43" fontId="53" fillId="0" borderId="0" applyFont="0" applyFill="0" applyBorder="0" applyAlignment="0" applyProtection="0"/>
    <xf numFmtId="44" fontId="184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8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</cellStyleXfs>
  <cellXfs count="2431">
    <xf numFmtId="0" fontId="0" fillId="0" borderId="0" xfId="0"/>
    <xf numFmtId="0" fontId="30" fillId="2" borderId="3" xfId="4" applyFont="1" applyFill="1" applyBorder="1" applyAlignment="1">
      <alignment horizontal="left"/>
    </xf>
    <xf numFmtId="1" fontId="38" fillId="0" borderId="0" xfId="0" applyNumberFormat="1" applyFont="1" applyAlignment="1">
      <alignment horizontal="left"/>
    </xf>
    <xf numFmtId="17" fontId="32" fillId="0" borderId="13" xfId="2" applyNumberFormat="1" applyFont="1" applyBorder="1" applyAlignment="1">
      <alignment horizontal="center"/>
    </xf>
    <xf numFmtId="0" fontId="40" fillId="0" borderId="0" xfId="2" applyFont="1" applyAlignment="1">
      <alignment horizontal="left"/>
    </xf>
    <xf numFmtId="0" fontId="32" fillId="0" borderId="0" xfId="2" applyFont="1" applyAlignment="1">
      <alignment horizontal="center"/>
    </xf>
    <xf numFmtId="0" fontId="30" fillId="2" borderId="4" xfId="4" applyFont="1" applyFill="1" applyBorder="1" applyAlignment="1">
      <alignment horizontal="left"/>
    </xf>
    <xf numFmtId="0" fontId="42" fillId="4" borderId="0" xfId="9" applyFont="1" applyFill="1"/>
    <xf numFmtId="0" fontId="42" fillId="4" borderId="0" xfId="9" applyFont="1" applyFill="1" applyAlignment="1">
      <alignment horizontal="center"/>
    </xf>
    <xf numFmtId="37" fontId="31" fillId="0" borderId="0" xfId="10" applyNumberFormat="1" applyFont="1"/>
    <xf numFmtId="0" fontId="0" fillId="0" borderId="0" xfId="0" applyAlignment="1">
      <alignment horizontal="center"/>
    </xf>
    <xf numFmtId="0" fontId="43" fillId="0" borderId="0" xfId="50" applyFont="1" applyAlignment="1" applyProtection="1">
      <alignment horizontal="centerContinuous"/>
      <protection locked="0"/>
    </xf>
    <xf numFmtId="0" fontId="40" fillId="0" borderId="0" xfId="50" applyFont="1" applyAlignment="1" applyProtection="1">
      <alignment horizontal="centerContinuous"/>
      <protection locked="0"/>
    </xf>
    <xf numFmtId="190" fontId="40" fillId="0" borderId="0" xfId="50" applyNumberFormat="1" applyFont="1" applyAlignment="1" applyProtection="1">
      <alignment horizontal="centerContinuous"/>
      <protection locked="0"/>
    </xf>
    <xf numFmtId="172" fontId="40" fillId="0" borderId="0" xfId="50" applyNumberFormat="1" applyFont="1" applyProtection="1">
      <protection locked="0"/>
    </xf>
    <xf numFmtId="0" fontId="40" fillId="0" borderId="0" xfId="50" applyFont="1" applyProtection="1">
      <protection locked="0"/>
    </xf>
    <xf numFmtId="190" fontId="40" fillId="0" borderId="0" xfId="50" applyNumberFormat="1" applyFont="1" applyProtection="1">
      <protection locked="0"/>
    </xf>
    <xf numFmtId="0" fontId="43" fillId="0" borderId="0" xfId="50" applyFont="1" applyAlignment="1" applyProtection="1">
      <alignment horizontal="left"/>
      <protection locked="0"/>
    </xf>
    <xf numFmtId="190" fontId="38" fillId="0" borderId="0" xfId="50" applyNumberFormat="1" applyFont="1" applyAlignment="1">
      <alignment horizontal="centerContinuous"/>
    </xf>
    <xf numFmtId="0" fontId="38" fillId="0" borderId="0" xfId="50" applyFont="1" applyAlignment="1">
      <alignment horizontal="center"/>
    </xf>
    <xf numFmtId="0" fontId="38" fillId="0" borderId="0" xfId="50" applyFont="1" applyAlignment="1">
      <alignment horizontal="left"/>
    </xf>
    <xf numFmtId="190" fontId="46" fillId="0" borderId="0" xfId="50" applyNumberFormat="1" applyFont="1" applyAlignment="1" applyProtection="1">
      <alignment horizontal="center"/>
      <protection locked="0"/>
    </xf>
    <xf numFmtId="0" fontId="46" fillId="0" borderId="0" xfId="50" applyFont="1" applyAlignment="1">
      <alignment horizontal="center"/>
    </xf>
    <xf numFmtId="190" fontId="38" fillId="0" borderId="0" xfId="50" applyNumberFormat="1" applyFont="1" applyAlignment="1" applyProtection="1">
      <alignment horizontal="center"/>
      <protection locked="0"/>
    </xf>
    <xf numFmtId="0" fontId="33" fillId="0" borderId="0" xfId="50" applyFont="1" applyAlignment="1">
      <alignment horizontal="left"/>
    </xf>
    <xf numFmtId="0" fontId="33" fillId="0" borderId="0" xfId="50" applyFont="1"/>
    <xf numFmtId="17" fontId="38" fillId="0" borderId="0" xfId="50" applyNumberFormat="1" applyFont="1" applyAlignment="1" applyProtection="1">
      <alignment horizontal="center"/>
      <protection locked="0"/>
    </xf>
    <xf numFmtId="0" fontId="33" fillId="5" borderId="1" xfId="2" applyFont="1" applyFill="1" applyBorder="1" applyAlignment="1">
      <alignment horizontal="centerContinuous"/>
    </xf>
    <xf numFmtId="37" fontId="0" fillId="0" borderId="0" xfId="0" applyNumberFormat="1"/>
    <xf numFmtId="0" fontId="18" fillId="0" borderId="0" xfId="0" applyFont="1"/>
    <xf numFmtId="37" fontId="18" fillId="0" borderId="0" xfId="0" applyNumberFormat="1" applyFont="1"/>
    <xf numFmtId="181" fontId="34" fillId="0" borderId="0" xfId="10" applyFont="1" applyAlignment="1">
      <alignment horizontal="centerContinuous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32" fillId="0" borderId="13" xfId="2" applyFont="1" applyBorder="1" applyAlignment="1">
      <alignment horizontal="center"/>
    </xf>
    <xf numFmtId="0" fontId="18" fillId="0" borderId="26" xfId="61" applyFont="1" applyBorder="1" applyAlignment="1">
      <alignment horizontal="left"/>
    </xf>
    <xf numFmtId="0" fontId="18" fillId="0" borderId="0" xfId="2" applyFont="1" applyAlignment="1">
      <alignment horizontal="left"/>
    </xf>
    <xf numFmtId="0" fontId="18" fillId="0" borderId="0" xfId="2" applyFont="1" applyAlignment="1">
      <alignment horizontal="center"/>
    </xf>
    <xf numFmtId="0" fontId="18" fillId="0" borderId="0" xfId="2" applyFont="1"/>
    <xf numFmtId="37" fontId="18" fillId="0" borderId="0" xfId="2" applyNumberFormat="1" applyFont="1"/>
    <xf numFmtId="0" fontId="0" fillId="0" borderId="0" xfId="0" applyAlignment="1">
      <alignment horizontal="left"/>
    </xf>
    <xf numFmtId="37" fontId="49" fillId="0" borderId="0" xfId="2" applyNumberFormat="1" applyFont="1"/>
    <xf numFmtId="37" fontId="49" fillId="0" borderId="0" xfId="7" applyNumberFormat="1" applyFont="1"/>
    <xf numFmtId="1" fontId="18" fillId="0" borderId="0" xfId="0" applyNumberFormat="1" applyFont="1" applyAlignment="1">
      <alignment horizontal="left" indent="1"/>
    </xf>
    <xf numFmtId="1" fontId="18" fillId="0" borderId="0" xfId="0" applyNumberFormat="1" applyFont="1" applyAlignment="1">
      <alignment horizontal="center"/>
    </xf>
    <xf numFmtId="181" fontId="22" fillId="0" borderId="0" xfId="10" quotePrefix="1" applyFont="1" applyAlignment="1">
      <alignment horizontal="left"/>
    </xf>
    <xf numFmtId="181" fontId="22" fillId="0" borderId="0" xfId="10" applyFont="1" applyAlignment="1">
      <alignment horizontal="left"/>
    </xf>
    <xf numFmtId="0" fontId="18" fillId="0" borderId="0" xfId="57" applyFont="1" applyAlignment="1">
      <alignment horizontal="centerContinuous"/>
    </xf>
    <xf numFmtId="37" fontId="43" fillId="0" borderId="0" xfId="58" applyNumberFormat="1" applyFont="1" applyAlignment="1">
      <alignment horizontal="center"/>
    </xf>
    <xf numFmtId="0" fontId="18" fillId="0" borderId="0" xfId="58" quotePrefix="1" applyFont="1" applyAlignment="1">
      <alignment horizontal="center"/>
    </xf>
    <xf numFmtId="0" fontId="18" fillId="0" borderId="0" xfId="12" applyFont="1"/>
    <xf numFmtId="37" fontId="18" fillId="0" borderId="0" xfId="12" applyNumberFormat="1" applyFont="1"/>
    <xf numFmtId="0" fontId="43" fillId="0" borderId="0" xfId="58" applyFont="1"/>
    <xf numFmtId="0" fontId="18" fillId="0" borderId="0" xfId="58" applyFont="1" applyAlignment="1">
      <alignment horizontal="center"/>
    </xf>
    <xf numFmtId="10" fontId="43" fillId="0" borderId="0" xfId="58" applyNumberFormat="1" applyFont="1"/>
    <xf numFmtId="37" fontId="43" fillId="0" borderId="0" xfId="58" applyNumberFormat="1" applyFont="1"/>
    <xf numFmtId="0" fontId="43" fillId="0" borderId="0" xfId="58" applyFont="1" applyAlignment="1">
      <alignment horizontal="center"/>
    </xf>
    <xf numFmtId="0" fontId="18" fillId="0" borderId="0" xfId="57" applyFont="1" applyAlignment="1">
      <alignment horizontal="left"/>
    </xf>
    <xf numFmtId="39" fontId="43" fillId="0" borderId="0" xfId="58" applyNumberFormat="1" applyFont="1"/>
    <xf numFmtId="0" fontId="18" fillId="0" borderId="0" xfId="58" applyFont="1" applyAlignment="1">
      <alignment horizontal="centerContinuous"/>
    </xf>
    <xf numFmtId="37" fontId="40" fillId="0" borderId="0" xfId="58" applyNumberFormat="1" applyFont="1"/>
    <xf numFmtId="37" fontId="40" fillId="0" borderId="0" xfId="0" applyNumberFormat="1" applyFont="1"/>
    <xf numFmtId="0" fontId="43" fillId="0" borderId="0" xfId="59" applyFont="1" applyAlignment="1">
      <alignment horizontal="center"/>
    </xf>
    <xf numFmtId="0" fontId="43" fillId="0" borderId="0" xfId="59" applyFont="1"/>
    <xf numFmtId="0" fontId="18" fillId="0" borderId="0" xfId="59" applyFont="1" applyAlignment="1">
      <alignment horizontal="center"/>
    </xf>
    <xf numFmtId="0" fontId="18" fillId="0" borderId="0" xfId="59" applyFont="1"/>
    <xf numFmtId="0" fontId="43" fillId="0" borderId="0" xfId="59" applyFont="1" applyAlignment="1">
      <alignment horizontal="centerContinuous"/>
    </xf>
    <xf numFmtId="0" fontId="18" fillId="0" borderId="0" xfId="59" applyFont="1" applyAlignment="1">
      <alignment horizontal="left"/>
    </xf>
    <xf numFmtId="37" fontId="18" fillId="0" borderId="0" xfId="59" applyNumberFormat="1" applyFont="1"/>
    <xf numFmtId="37" fontId="43" fillId="0" borderId="0" xfId="59" applyNumberFormat="1" applyFont="1"/>
    <xf numFmtId="0" fontId="18" fillId="0" borderId="0" xfId="60" applyFont="1"/>
    <xf numFmtId="0" fontId="18" fillId="0" borderId="0" xfId="13" applyFont="1" applyAlignment="1">
      <alignment horizontal="left"/>
    </xf>
    <xf numFmtId="0" fontId="43" fillId="0" borderId="0" xfId="13" applyFont="1" applyAlignment="1">
      <alignment horizontal="left"/>
    </xf>
    <xf numFmtId="0" fontId="43" fillId="0" borderId="0" xfId="13" quotePrefix="1" applyFont="1" applyAlignment="1">
      <alignment horizontal="center"/>
    </xf>
    <xf numFmtId="184" fontId="18" fillId="0" borderId="0" xfId="13" applyNumberFormat="1" applyFont="1"/>
    <xf numFmtId="0" fontId="18" fillId="0" borderId="0" xfId="13" applyFont="1" applyAlignment="1">
      <alignment horizontal="center"/>
    </xf>
    <xf numFmtId="0" fontId="18" fillId="0" borderId="0" xfId="13" applyFont="1"/>
    <xf numFmtId="37" fontId="18" fillId="0" borderId="0" xfId="13" applyNumberFormat="1" applyFont="1" applyAlignment="1">
      <alignment horizontal="center"/>
    </xf>
    <xf numFmtId="37" fontId="18" fillId="0" borderId="0" xfId="13" applyNumberFormat="1" applyFont="1"/>
    <xf numFmtId="184" fontId="18" fillId="0" borderId="0" xfId="13" applyNumberFormat="1" applyFont="1" applyAlignment="1">
      <alignment horizontal="center"/>
    </xf>
    <xf numFmtId="37" fontId="38" fillId="0" borderId="0" xfId="13" applyNumberFormat="1" applyFont="1"/>
    <xf numFmtId="37" fontId="74" fillId="0" borderId="0" xfId="13" applyNumberFormat="1" applyFont="1"/>
    <xf numFmtId="0" fontId="18" fillId="0" borderId="0" xfId="62" applyFont="1"/>
    <xf numFmtId="0" fontId="18" fillId="0" borderId="0" xfId="62" applyFont="1" applyAlignment="1">
      <alignment horizontal="left"/>
    </xf>
    <xf numFmtId="39" fontId="18" fillId="0" borderId="0" xfId="62" applyNumberFormat="1" applyFont="1"/>
    <xf numFmtId="0" fontId="18" fillId="0" borderId="0" xfId="62" applyFont="1" applyAlignment="1">
      <alignment horizontal="centerContinuous"/>
    </xf>
    <xf numFmtId="167" fontId="18" fillId="0" borderId="0" xfId="62" applyNumberFormat="1" applyFont="1"/>
    <xf numFmtId="0" fontId="18" fillId="0" borderId="0" xfId="62" applyFont="1" applyAlignment="1">
      <alignment horizontal="center"/>
    </xf>
    <xf numFmtId="0" fontId="38" fillId="0" borderId="0" xfId="62" applyFont="1" applyAlignment="1">
      <alignment horizontal="center"/>
    </xf>
    <xf numFmtId="0" fontId="38" fillId="0" borderId="0" xfId="62" applyFont="1" applyAlignment="1">
      <alignment horizontal="left"/>
    </xf>
    <xf numFmtId="37" fontId="18" fillId="0" borderId="0" xfId="62" applyNumberFormat="1" applyFont="1" applyAlignment="1">
      <alignment horizontal="center"/>
    </xf>
    <xf numFmtId="37" fontId="18" fillId="0" borderId="0" xfId="62" applyNumberFormat="1" applyFont="1"/>
    <xf numFmtId="37" fontId="18" fillId="0" borderId="0" xfId="62" applyNumberFormat="1" applyFont="1" applyAlignment="1">
      <alignment horizontal="fill"/>
    </xf>
    <xf numFmtId="0" fontId="18" fillId="0" borderId="0" xfId="62" quotePrefix="1" applyFont="1" applyAlignment="1">
      <alignment horizontal="left"/>
    </xf>
    <xf numFmtId="0" fontId="18" fillId="0" borderId="0" xfId="7" applyFont="1"/>
    <xf numFmtId="0" fontId="40" fillId="0" borderId="0" xfId="7" applyFont="1" applyAlignment="1">
      <alignment horizontal="left"/>
    </xf>
    <xf numFmtId="167" fontId="18" fillId="0" borderId="0" xfId="7" applyNumberFormat="1" applyFont="1"/>
    <xf numFmtId="0" fontId="38" fillId="0" borderId="0" xfId="7" applyFont="1" applyAlignment="1">
      <alignment horizontal="center"/>
    </xf>
    <xf numFmtId="0" fontId="18" fillId="0" borderId="0" xfId="7" applyFont="1" applyAlignment="1">
      <alignment horizontal="fill"/>
    </xf>
    <xf numFmtId="37" fontId="18" fillId="0" borderId="0" xfId="7" applyNumberFormat="1" applyFont="1" applyAlignment="1" applyProtection="1">
      <alignment horizontal="center"/>
      <protection locked="0"/>
    </xf>
    <xf numFmtId="37" fontId="40" fillId="0" borderId="0" xfId="7" applyNumberFormat="1" applyFont="1" applyProtection="1">
      <protection locked="0"/>
    </xf>
    <xf numFmtId="0" fontId="41" fillId="0" borderId="0" xfId="7" applyFont="1"/>
    <xf numFmtId="0" fontId="40" fillId="0" borderId="0" xfId="7" applyFont="1" applyAlignment="1" applyProtection="1">
      <alignment horizontal="left"/>
      <protection locked="0"/>
    </xf>
    <xf numFmtId="37" fontId="18" fillId="0" borderId="0" xfId="7" quotePrefix="1" applyNumberFormat="1" applyFont="1" applyAlignment="1">
      <alignment horizontal="left"/>
    </xf>
    <xf numFmtId="37" fontId="18" fillId="0" borderId="0" xfId="7" applyNumberFormat="1" applyFont="1" applyAlignment="1">
      <alignment horizontal="right"/>
    </xf>
    <xf numFmtId="7" fontId="40" fillId="0" borderId="0" xfId="7" applyNumberFormat="1" applyFont="1" applyProtection="1">
      <protection locked="0"/>
    </xf>
    <xf numFmtId="37" fontId="18" fillId="0" borderId="0" xfId="7" applyNumberFormat="1" applyFont="1" applyAlignment="1">
      <alignment horizontal="center"/>
    </xf>
    <xf numFmtId="0" fontId="18" fillId="0" borderId="0" xfId="62" applyFont="1" applyProtection="1">
      <protection locked="0"/>
    </xf>
    <xf numFmtId="0" fontId="38" fillId="0" borderId="0" xfId="62" applyFont="1" applyAlignment="1">
      <alignment horizontal="centerContinuous"/>
    </xf>
    <xf numFmtId="0" fontId="18" fillId="0" borderId="0" xfId="62" quotePrefix="1" applyFont="1" applyAlignment="1">
      <alignment horizontal="center"/>
    </xf>
    <xf numFmtId="0" fontId="38" fillId="0" borderId="0" xfId="62" applyFont="1"/>
    <xf numFmtId="3" fontId="18" fillId="0" borderId="0" xfId="62" applyNumberFormat="1" applyFont="1"/>
    <xf numFmtId="10" fontId="18" fillId="0" borderId="0" xfId="62" applyNumberFormat="1" applyFont="1"/>
    <xf numFmtId="0" fontId="18" fillId="0" borderId="0" xfId="62" quotePrefix="1" applyFont="1"/>
    <xf numFmtId="184" fontId="18" fillId="0" borderId="0" xfId="62" applyNumberFormat="1" applyFont="1"/>
    <xf numFmtId="10" fontId="18" fillId="0" borderId="0" xfId="62" applyNumberFormat="1" applyFont="1" applyProtection="1">
      <protection locked="0"/>
    </xf>
    <xf numFmtId="0" fontId="40" fillId="0" borderId="0" xfId="62" applyFont="1" applyAlignment="1">
      <alignment horizontal="left"/>
    </xf>
    <xf numFmtId="37" fontId="40" fillId="0" borderId="0" xfId="62" applyNumberFormat="1" applyFont="1" applyProtection="1">
      <protection locked="0"/>
    </xf>
    <xf numFmtId="37" fontId="74" fillId="0" borderId="0" xfId="62" applyNumberFormat="1" applyFont="1"/>
    <xf numFmtId="0" fontId="40" fillId="0" borderId="0" xfId="62" applyFont="1" applyProtection="1">
      <protection locked="0"/>
    </xf>
    <xf numFmtId="37" fontId="18" fillId="0" borderId="0" xfId="62" applyNumberFormat="1" applyFont="1" applyProtection="1">
      <protection locked="0"/>
    </xf>
    <xf numFmtId="165" fontId="18" fillId="0" borderId="0" xfId="62" applyNumberFormat="1" applyFont="1"/>
    <xf numFmtId="37" fontId="38" fillId="0" borderId="0" xfId="62" applyNumberFormat="1" applyFont="1" applyProtection="1">
      <protection locked="0"/>
    </xf>
    <xf numFmtId="37" fontId="38" fillId="0" borderId="0" xfId="62" applyNumberFormat="1" applyFont="1"/>
    <xf numFmtId="0" fontId="40" fillId="0" borderId="0" xfId="7" applyFont="1" applyProtection="1">
      <protection locked="0"/>
    </xf>
    <xf numFmtId="0" fontId="18" fillId="0" borderId="0" xfId="7" applyFont="1" applyAlignment="1">
      <alignment horizontal="centerContinuous"/>
    </xf>
    <xf numFmtId="0" fontId="18" fillId="0" borderId="0" xfId="7" applyFont="1" applyAlignment="1">
      <alignment horizontal="center"/>
    </xf>
    <xf numFmtId="0" fontId="38" fillId="0" borderId="0" xfId="7" applyFont="1"/>
    <xf numFmtId="17" fontId="18" fillId="0" borderId="0" xfId="7" quotePrefix="1" applyNumberFormat="1" applyFont="1"/>
    <xf numFmtId="17" fontId="18" fillId="0" borderId="0" xfId="7" quotePrefix="1" applyNumberFormat="1" applyFont="1" applyAlignment="1" applyProtection="1">
      <alignment horizontal="left"/>
      <protection locked="0"/>
    </xf>
    <xf numFmtId="0" fontId="18" fillId="0" borderId="0" xfId="7" applyFont="1" applyAlignment="1">
      <alignment horizontal="right"/>
    </xf>
    <xf numFmtId="177" fontId="40" fillId="0" borderId="0" xfId="7" applyNumberFormat="1" applyFont="1" applyProtection="1">
      <protection locked="0"/>
    </xf>
    <xf numFmtId="178" fontId="40" fillId="0" borderId="0" xfId="7" applyNumberFormat="1" applyFont="1" applyProtection="1">
      <protection locked="0"/>
    </xf>
    <xf numFmtId="179" fontId="40" fillId="0" borderId="0" xfId="7" applyNumberFormat="1" applyFont="1" applyProtection="1">
      <protection locked="0"/>
    </xf>
    <xf numFmtId="0" fontId="32" fillId="0" borderId="0" xfId="7" applyFont="1" applyAlignment="1">
      <alignment horizontal="center"/>
    </xf>
    <xf numFmtId="185" fontId="18" fillId="0" borderId="0" xfId="62" applyNumberFormat="1" applyFont="1" applyProtection="1">
      <protection locked="0"/>
    </xf>
    <xf numFmtId="3" fontId="18" fillId="0" borderId="0" xfId="62" applyNumberFormat="1" applyFont="1" applyProtection="1">
      <protection locked="0"/>
    </xf>
    <xf numFmtId="2" fontId="18" fillId="0" borderId="0" xfId="62" applyNumberFormat="1" applyFont="1" applyProtection="1">
      <protection locked="0"/>
    </xf>
    <xf numFmtId="185" fontId="18" fillId="0" borderId="0" xfId="62" applyNumberFormat="1" applyFont="1"/>
    <xf numFmtId="2" fontId="18" fillId="0" borderId="0" xfId="62" applyNumberFormat="1" applyFont="1"/>
    <xf numFmtId="14" fontId="18" fillId="0" borderId="0" xfId="62" applyNumberFormat="1" applyFont="1"/>
    <xf numFmtId="3" fontId="38" fillId="0" borderId="0" xfId="62" applyNumberFormat="1" applyFont="1" applyAlignment="1">
      <alignment horizontal="centerContinuous"/>
    </xf>
    <xf numFmtId="2" fontId="38" fillId="0" borderId="0" xfId="62" applyNumberFormat="1" applyFont="1" applyAlignment="1">
      <alignment horizontal="centerContinuous"/>
    </xf>
    <xf numFmtId="2" fontId="18" fillId="0" borderId="0" xfId="62" applyNumberFormat="1" applyFont="1" applyAlignment="1">
      <alignment horizontal="center"/>
    </xf>
    <xf numFmtId="3" fontId="18" fillId="0" borderId="0" xfId="62" applyNumberFormat="1" applyFont="1" applyAlignment="1">
      <alignment horizontal="center"/>
    </xf>
    <xf numFmtId="185" fontId="38" fillId="0" borderId="0" xfId="62" applyNumberFormat="1" applyFont="1"/>
    <xf numFmtId="3" fontId="38" fillId="0" borderId="0" xfId="62" applyNumberFormat="1" applyFont="1"/>
    <xf numFmtId="3" fontId="74" fillId="0" borderId="0" xfId="62" applyNumberFormat="1" applyFont="1"/>
    <xf numFmtId="37" fontId="18" fillId="0" borderId="0" xfId="14" applyNumberFormat="1" applyFont="1" applyProtection="1">
      <protection locked="0"/>
    </xf>
    <xf numFmtId="0" fontId="18" fillId="0" borderId="0" xfId="14" applyFont="1"/>
    <xf numFmtId="0" fontId="18" fillId="0" borderId="0" xfId="14" applyFont="1" applyAlignment="1">
      <alignment horizontal="centerContinuous"/>
    </xf>
    <xf numFmtId="0" fontId="18" fillId="0" borderId="0" xfId="14" applyFont="1" applyAlignment="1">
      <alignment horizontal="left"/>
    </xf>
    <xf numFmtId="0" fontId="18" fillId="0" borderId="0" xfId="14" applyFont="1" applyAlignment="1">
      <alignment horizontal="right"/>
    </xf>
    <xf numFmtId="0" fontId="18" fillId="0" borderId="0" xfId="14" applyFont="1" applyAlignment="1">
      <alignment horizontal="center"/>
    </xf>
    <xf numFmtId="0" fontId="18" fillId="0" borderId="0" xfId="14" applyFont="1" applyAlignment="1">
      <alignment horizontal="fill"/>
    </xf>
    <xf numFmtId="17" fontId="40" fillId="0" borderId="0" xfId="7" applyNumberFormat="1" applyFont="1" applyAlignment="1">
      <alignment horizontal="center"/>
    </xf>
    <xf numFmtId="0" fontId="18" fillId="0" borderId="0" xfId="14" quotePrefix="1" applyFont="1" applyAlignment="1">
      <alignment horizontal="center"/>
    </xf>
    <xf numFmtId="0" fontId="18" fillId="0" borderId="0" xfId="14" quotePrefix="1" applyFont="1" applyAlignment="1">
      <alignment horizontal="centerContinuous"/>
    </xf>
    <xf numFmtId="0" fontId="33" fillId="0" borderId="0" xfId="14" applyFont="1"/>
    <xf numFmtId="37" fontId="18" fillId="0" borderId="0" xfId="14" applyNumberFormat="1" applyFont="1"/>
    <xf numFmtId="37" fontId="18" fillId="0" borderId="0" xfId="14" applyNumberFormat="1" applyFont="1" applyAlignment="1">
      <alignment horizontal="center"/>
    </xf>
    <xf numFmtId="37" fontId="38" fillId="0" borderId="0" xfId="14" applyNumberFormat="1" applyFont="1"/>
    <xf numFmtId="0" fontId="18" fillId="0" borderId="0" xfId="14" applyFont="1" applyAlignment="1">
      <alignment horizontal="left" indent="1"/>
    </xf>
    <xf numFmtId="37" fontId="40" fillId="0" borderId="0" xfId="14" applyNumberFormat="1" applyFont="1"/>
    <xf numFmtId="0" fontId="18" fillId="0" borderId="0" xfId="14" applyFont="1" applyAlignment="1">
      <alignment horizontal="left" indent="2"/>
    </xf>
    <xf numFmtId="37" fontId="40" fillId="0" borderId="0" xfId="14" applyNumberFormat="1" applyFont="1" applyProtection="1">
      <protection locked="0"/>
    </xf>
    <xf numFmtId="37" fontId="18" fillId="0" borderId="0" xfId="7" applyNumberFormat="1" applyFont="1"/>
    <xf numFmtId="37" fontId="18" fillId="0" borderId="0" xfId="14" applyNumberFormat="1" applyFont="1" applyAlignment="1">
      <alignment horizontal="right"/>
    </xf>
    <xf numFmtId="0" fontId="77" fillId="0" borderId="0" xfId="7" applyFont="1"/>
    <xf numFmtId="0" fontId="18" fillId="0" borderId="0" xfId="7" applyFont="1" applyAlignment="1">
      <alignment horizontal="left"/>
    </xf>
    <xf numFmtId="37" fontId="18" fillId="0" borderId="0" xfId="7" applyNumberFormat="1" applyFont="1" applyProtection="1">
      <protection locked="0"/>
    </xf>
    <xf numFmtId="0" fontId="18" fillId="0" borderId="0" xfId="7" quotePrefix="1" applyFont="1" applyAlignment="1">
      <alignment horizontal="left"/>
    </xf>
    <xf numFmtId="0" fontId="18" fillId="0" borderId="0" xfId="7" quotePrefix="1" applyFont="1"/>
    <xf numFmtId="0" fontId="43" fillId="0" borderId="0" xfId="15" applyFont="1" applyAlignment="1">
      <alignment horizontal="center"/>
    </xf>
    <xf numFmtId="0" fontId="43" fillId="0" borderId="0" xfId="15" applyFont="1" applyAlignment="1">
      <alignment horizontal="right"/>
    </xf>
    <xf numFmtId="165" fontId="43" fillId="0" borderId="0" xfId="15" applyNumberFormat="1" applyFont="1" applyAlignment="1">
      <alignment horizontal="right"/>
    </xf>
    <xf numFmtId="165" fontId="43" fillId="0" borderId="0" xfId="15" applyNumberFormat="1" applyFont="1" applyAlignment="1">
      <alignment horizontal="left"/>
    </xf>
    <xf numFmtId="0" fontId="43" fillId="0" borderId="0" xfId="15" applyFont="1" applyAlignment="1" applyProtection="1">
      <alignment horizontal="center"/>
      <protection locked="0"/>
    </xf>
    <xf numFmtId="165" fontId="40" fillId="0" borderId="0" xfId="15" applyNumberFormat="1" applyFont="1" applyAlignment="1">
      <alignment horizontal="right"/>
    </xf>
    <xf numFmtId="0" fontId="18" fillId="0" borderId="0" xfId="18" applyFont="1" applyAlignment="1">
      <alignment horizontal="centerContinuous"/>
    </xf>
    <xf numFmtId="0" fontId="18" fillId="0" borderId="0" xfId="18" applyFont="1"/>
    <xf numFmtId="0" fontId="18" fillId="0" borderId="0" xfId="18" applyFont="1" applyAlignment="1">
      <alignment horizontal="left"/>
    </xf>
    <xf numFmtId="37" fontId="18" fillId="0" borderId="0" xfId="18" applyNumberFormat="1" applyFont="1"/>
    <xf numFmtId="0" fontId="18" fillId="0" borderId="0" xfId="18" applyFont="1" applyAlignment="1">
      <alignment horizontal="center"/>
    </xf>
    <xf numFmtId="0" fontId="18" fillId="0" borderId="0" xfId="18" applyFont="1" applyProtection="1">
      <protection locked="0"/>
    </xf>
    <xf numFmtId="37" fontId="18" fillId="0" borderId="0" xfId="18" applyNumberFormat="1" applyFont="1" applyProtection="1">
      <protection locked="0"/>
    </xf>
    <xf numFmtId="0" fontId="18" fillId="0" borderId="0" xfId="18" applyFont="1" applyAlignment="1" applyProtection="1">
      <alignment horizontal="centerContinuous"/>
      <protection locked="0"/>
    </xf>
    <xf numFmtId="0" fontId="18" fillId="0" borderId="0" xfId="4" applyFont="1"/>
    <xf numFmtId="0" fontId="18" fillId="0" borderId="0" xfId="18" applyFont="1" applyAlignment="1" applyProtection="1">
      <alignment horizontal="left"/>
      <protection locked="0"/>
    </xf>
    <xf numFmtId="0" fontId="38" fillId="0" borderId="0" xfId="18" applyFont="1" applyAlignment="1">
      <alignment horizontal="centerContinuous"/>
    </xf>
    <xf numFmtId="0" fontId="38" fillId="0" borderId="0" xfId="18" applyFont="1" applyAlignment="1">
      <alignment horizontal="center"/>
    </xf>
    <xf numFmtId="0" fontId="18" fillId="0" borderId="0" xfId="7" applyFont="1" applyProtection="1">
      <protection locked="0"/>
    </xf>
    <xf numFmtId="0" fontId="40" fillId="0" borderId="0" xfId="7" applyFont="1"/>
    <xf numFmtId="37" fontId="40" fillId="0" borderId="0" xfId="7" applyNumberFormat="1" applyFont="1" applyAlignment="1">
      <alignment horizontal="center"/>
    </xf>
    <xf numFmtId="39" fontId="18" fillId="0" borderId="0" xfId="7" applyNumberFormat="1" applyFont="1"/>
    <xf numFmtId="165" fontId="18" fillId="0" borderId="0" xfId="7" applyNumberFormat="1" applyFont="1"/>
    <xf numFmtId="37" fontId="38" fillId="0" borderId="0" xfId="7" applyNumberFormat="1" applyFont="1"/>
    <xf numFmtId="0" fontId="49" fillId="0" borderId="0" xfId="7" applyFont="1"/>
    <xf numFmtId="0" fontId="18" fillId="0" borderId="0" xfId="7" applyFont="1" applyAlignment="1">
      <alignment horizontal="left" indent="1"/>
    </xf>
    <xf numFmtId="37" fontId="40" fillId="0" borderId="0" xfId="7" applyNumberFormat="1" applyFont="1"/>
    <xf numFmtId="0" fontId="18" fillId="0" borderId="0" xfId="0" applyFont="1" applyAlignment="1">
      <alignment horizontal="centerContinuous"/>
    </xf>
    <xf numFmtId="0" fontId="38" fillId="0" borderId="0" xfId="0" applyFont="1" applyAlignment="1">
      <alignment horizontal="center"/>
    </xf>
    <xf numFmtId="0" fontId="18" fillId="0" borderId="0" xfId="19" applyFont="1"/>
    <xf numFmtId="0" fontId="18" fillId="0" borderId="0" xfId="19" applyFont="1" applyAlignment="1">
      <alignment horizontal="centerContinuous"/>
    </xf>
    <xf numFmtId="0" fontId="33" fillId="0" borderId="0" xfId="19" applyFont="1" applyAlignment="1">
      <alignment horizontal="left"/>
    </xf>
    <xf numFmtId="0" fontId="18" fillId="0" borderId="0" xfId="19" quotePrefix="1" applyFont="1" applyAlignment="1">
      <alignment horizontal="center"/>
    </xf>
    <xf numFmtId="0" fontId="18" fillId="0" borderId="0" xfId="19" applyFont="1" applyAlignment="1">
      <alignment horizontal="fill"/>
    </xf>
    <xf numFmtId="0" fontId="33" fillId="0" borderId="0" xfId="19" applyFont="1"/>
    <xf numFmtId="0" fontId="18" fillId="0" borderId="0" xfId="19" applyFont="1" applyAlignment="1">
      <alignment horizontal="center"/>
    </xf>
    <xf numFmtId="164" fontId="18" fillId="0" borderId="0" xfId="19" applyNumberFormat="1" applyFont="1" applyAlignment="1">
      <alignment horizontal="center"/>
    </xf>
    <xf numFmtId="37" fontId="18" fillId="0" borderId="0" xfId="19" applyNumberFormat="1" applyFont="1" applyAlignment="1">
      <alignment horizontal="fill"/>
    </xf>
    <xf numFmtId="0" fontId="18" fillId="0" borderId="0" xfId="19" applyFont="1" applyAlignment="1">
      <alignment horizontal="right"/>
    </xf>
    <xf numFmtId="165" fontId="18" fillId="0" borderId="0" xfId="19" applyNumberFormat="1" applyFont="1" applyAlignment="1">
      <alignment horizontal="center"/>
    </xf>
    <xf numFmtId="43" fontId="18" fillId="0" borderId="0" xfId="1" applyFont="1" applyFill="1" applyAlignment="1" applyProtection="1">
      <alignment horizontal="center"/>
    </xf>
    <xf numFmtId="164" fontId="18" fillId="0" borderId="0" xfId="19" applyNumberFormat="1" applyFont="1"/>
    <xf numFmtId="37" fontId="18" fillId="0" borderId="0" xfId="19" applyNumberFormat="1" applyFont="1"/>
    <xf numFmtId="0" fontId="40" fillId="0" borderId="0" xfId="19" applyFont="1" applyProtection="1">
      <protection locked="0"/>
    </xf>
    <xf numFmtId="37" fontId="18" fillId="0" borderId="0" xfId="19" quotePrefix="1" applyNumberFormat="1" applyFont="1"/>
    <xf numFmtId="0" fontId="18" fillId="0" borderId="0" xfId="19" quotePrefix="1" applyFont="1" applyAlignment="1">
      <alignment horizontal="right"/>
    </xf>
    <xf numFmtId="3" fontId="18" fillId="0" borderId="0" xfId="19" quotePrefix="1" applyNumberFormat="1" applyFont="1" applyAlignment="1">
      <alignment horizontal="center"/>
    </xf>
    <xf numFmtId="0" fontId="18" fillId="0" borderId="0" xfId="5" applyFont="1" applyAlignment="1">
      <alignment horizontal="left"/>
    </xf>
    <xf numFmtId="168" fontId="18" fillId="0" borderId="0" xfId="19" applyNumberFormat="1" applyFont="1"/>
    <xf numFmtId="10" fontId="40" fillId="0" borderId="0" xfId="19" applyNumberFormat="1" applyFont="1"/>
    <xf numFmtId="0" fontId="38" fillId="0" borderId="0" xfId="19" applyFont="1" applyAlignment="1">
      <alignment horizontal="center"/>
    </xf>
    <xf numFmtId="37" fontId="49" fillId="0" borderId="0" xfId="19" applyNumberFormat="1" applyFont="1"/>
    <xf numFmtId="37" fontId="38" fillId="0" borderId="0" xfId="19" applyNumberFormat="1" applyFont="1" applyAlignment="1">
      <alignment horizontal="center"/>
    </xf>
    <xf numFmtId="37" fontId="40" fillId="0" borderId="0" xfId="19" applyNumberFormat="1" applyFont="1"/>
    <xf numFmtId="191" fontId="18" fillId="0" borderId="0" xfId="10" quotePrefix="1" applyNumberFormat="1" applyFont="1" applyAlignment="1">
      <alignment horizontal="right"/>
    </xf>
    <xf numFmtId="0" fontId="18" fillId="0" borderId="0" xfId="20" applyFont="1" applyAlignment="1">
      <alignment horizontal="centerContinuous"/>
    </xf>
    <xf numFmtId="0" fontId="18" fillId="0" borderId="0" xfId="20" applyFont="1"/>
    <xf numFmtId="37" fontId="18" fillId="0" borderId="0" xfId="20" applyNumberFormat="1" applyFont="1" applyAlignment="1">
      <alignment horizontal="centerContinuous"/>
    </xf>
    <xf numFmtId="165" fontId="18" fillId="0" borderId="0" xfId="20" applyNumberFormat="1" applyFont="1" applyAlignment="1">
      <alignment horizontal="centerContinuous"/>
    </xf>
    <xf numFmtId="165" fontId="33" fillId="0" borderId="0" xfId="20" applyNumberFormat="1" applyFont="1" applyAlignment="1">
      <alignment horizontal="centerContinuous"/>
    </xf>
    <xf numFmtId="0" fontId="18" fillId="0" borderId="0" xfId="20" quotePrefix="1" applyFont="1" applyAlignment="1">
      <alignment horizontal="left"/>
    </xf>
    <xf numFmtId="0" fontId="18" fillId="0" borderId="0" xfId="20" applyFont="1" applyAlignment="1">
      <alignment horizontal="left"/>
    </xf>
    <xf numFmtId="165" fontId="18" fillId="0" borderId="0" xfId="20" applyNumberFormat="1" applyFont="1" applyAlignment="1">
      <alignment horizontal="center"/>
    </xf>
    <xf numFmtId="37" fontId="18" fillId="0" borderId="0" xfId="20" applyNumberFormat="1" applyFont="1" applyAlignment="1">
      <alignment horizontal="center"/>
    </xf>
    <xf numFmtId="0" fontId="33" fillId="0" borderId="0" xfId="20" applyFont="1" applyAlignment="1">
      <alignment horizontal="left"/>
    </xf>
    <xf numFmtId="37" fontId="18" fillId="0" borderId="0" xfId="20" applyNumberFormat="1" applyFont="1"/>
    <xf numFmtId="37" fontId="18" fillId="0" borderId="0" xfId="20" applyNumberFormat="1" applyFont="1" applyAlignment="1">
      <alignment horizontal="right"/>
    </xf>
    <xf numFmtId="0" fontId="18" fillId="0" borderId="0" xfId="20" applyFont="1" applyAlignment="1">
      <alignment horizontal="center"/>
    </xf>
    <xf numFmtId="10" fontId="18" fillId="0" borderId="0" xfId="20" applyNumberFormat="1" applyFont="1"/>
    <xf numFmtId="0" fontId="33" fillId="0" borderId="0" xfId="20" applyFont="1"/>
    <xf numFmtId="37" fontId="75" fillId="0" borderId="0" xfId="20" applyNumberFormat="1" applyFont="1"/>
    <xf numFmtId="0" fontId="18" fillId="0" borderId="0" xfId="20" applyFont="1" applyAlignment="1">
      <alignment horizontal="fill"/>
    </xf>
    <xf numFmtId="37" fontId="40" fillId="0" borderId="0" xfId="20" applyNumberFormat="1" applyFont="1"/>
    <xf numFmtId="37" fontId="49" fillId="0" borderId="0" xfId="20" applyNumberFormat="1" applyFont="1"/>
    <xf numFmtId="0" fontId="33" fillId="0" borderId="0" xfId="4" applyFont="1" applyAlignment="1">
      <alignment horizontal="left"/>
    </xf>
    <xf numFmtId="0" fontId="18" fillId="0" borderId="0" xfId="4" applyFont="1" applyAlignment="1">
      <alignment horizontal="center"/>
    </xf>
    <xf numFmtId="0" fontId="33" fillId="0" borderId="0" xfId="4" applyFont="1"/>
    <xf numFmtId="0" fontId="18" fillId="0" borderId="0" xfId="20" applyFont="1" applyAlignment="1">
      <alignment horizontal="right"/>
    </xf>
    <xf numFmtId="37" fontId="32" fillId="0" borderId="0" xfId="5" applyNumberFormat="1" applyFont="1"/>
    <xf numFmtId="0" fontId="18" fillId="0" borderId="0" xfId="5" applyFont="1"/>
    <xf numFmtId="0" fontId="18" fillId="0" borderId="0" xfId="24" applyFont="1"/>
    <xf numFmtId="194" fontId="18" fillId="0" borderId="0" xfId="21" applyNumberFormat="1" applyFont="1"/>
    <xf numFmtId="0" fontId="18" fillId="0" borderId="0" xfId="5" applyFont="1" applyAlignment="1">
      <alignment horizontal="center"/>
    </xf>
    <xf numFmtId="37" fontId="18" fillId="0" borderId="0" xfId="5" applyNumberFormat="1" applyFont="1"/>
    <xf numFmtId="181" fontId="18" fillId="0" borderId="0" xfId="10" applyFont="1" applyAlignment="1">
      <alignment horizontal="centerContinuous"/>
    </xf>
    <xf numFmtId="181" fontId="18" fillId="0" borderId="0" xfId="10" applyFont="1"/>
    <xf numFmtId="0" fontId="18" fillId="0" borderId="0" xfId="56" applyFont="1"/>
    <xf numFmtId="0" fontId="18" fillId="0" borderId="0" xfId="57" applyFont="1"/>
    <xf numFmtId="0" fontId="18" fillId="0" borderId="0" xfId="45" applyFont="1" applyAlignment="1">
      <alignment horizontal="left"/>
    </xf>
    <xf numFmtId="181" fontId="18" fillId="0" borderId="0" xfId="10" applyFont="1" applyAlignment="1">
      <alignment horizontal="center"/>
    </xf>
    <xf numFmtId="37" fontId="18" fillId="0" borderId="0" xfId="10" applyNumberFormat="1" applyFont="1" applyProtection="1">
      <protection locked="0"/>
    </xf>
    <xf numFmtId="37" fontId="18" fillId="0" borderId="0" xfId="10" applyNumberFormat="1" applyFont="1"/>
    <xf numFmtId="181" fontId="18" fillId="0" borderId="0" xfId="10" quotePrefix="1" applyFont="1" applyAlignment="1">
      <alignment horizontal="left"/>
    </xf>
    <xf numFmtId="37" fontId="75" fillId="0" borderId="0" xfId="10" applyNumberFormat="1" applyFont="1"/>
    <xf numFmtId="181" fontId="18" fillId="0" borderId="0" xfId="10" applyFont="1" applyAlignment="1">
      <alignment horizontal="left"/>
    </xf>
    <xf numFmtId="0" fontId="18" fillId="0" borderId="0" xfId="3" applyFont="1" applyAlignment="1" applyProtection="1">
      <alignment horizontal="centerContinuous"/>
    </xf>
    <xf numFmtId="183" fontId="18" fillId="0" borderId="0" xfId="1" applyNumberFormat="1" applyFont="1" applyFill="1" applyAlignment="1" applyProtection="1">
      <alignment horizontal="centerContinuous"/>
    </xf>
    <xf numFmtId="0" fontId="18" fillId="0" borderId="0" xfId="3" applyFont="1"/>
    <xf numFmtId="0" fontId="18" fillId="0" borderId="0" xfId="3" applyFont="1" applyAlignment="1">
      <alignment horizontal="centerContinuous"/>
    </xf>
    <xf numFmtId="183" fontId="18" fillId="0" borderId="0" xfId="1" applyNumberFormat="1" applyFont="1" applyFill="1" applyAlignment="1">
      <alignment horizontal="centerContinuous"/>
    </xf>
    <xf numFmtId="0" fontId="18" fillId="0" borderId="0" xfId="3" applyFont="1" applyProtection="1"/>
    <xf numFmtId="0" fontId="18" fillId="0" borderId="0" xfId="3" applyFont="1" applyAlignment="1" applyProtection="1">
      <alignment horizontal="left"/>
    </xf>
    <xf numFmtId="0" fontId="18" fillId="0" borderId="0" xfId="3" applyFont="1" applyAlignment="1" applyProtection="1">
      <alignment horizontal="center"/>
    </xf>
    <xf numFmtId="183" fontId="18" fillId="0" borderId="0" xfId="1" applyNumberFormat="1" applyFont="1" applyFill="1" applyAlignment="1" applyProtection="1">
      <alignment horizontal="center"/>
    </xf>
    <xf numFmtId="0" fontId="75" fillId="0" borderId="0" xfId="3" applyFont="1" applyProtection="1"/>
    <xf numFmtId="183" fontId="75" fillId="0" borderId="0" xfId="1" applyNumberFormat="1" applyFont="1" applyFill="1" applyProtection="1"/>
    <xf numFmtId="0" fontId="33" fillId="0" borderId="0" xfId="3" applyFont="1" applyAlignment="1" applyProtection="1">
      <alignment horizontal="left"/>
    </xf>
    <xf numFmtId="0" fontId="33" fillId="0" borderId="0" xfId="3" applyFont="1" applyProtection="1"/>
    <xf numFmtId="0" fontId="38" fillId="0" borderId="0" xfId="3" quotePrefix="1" applyFont="1" applyAlignment="1" applyProtection="1">
      <alignment horizontal="left"/>
    </xf>
    <xf numFmtId="0" fontId="33" fillId="0" borderId="0" xfId="3" applyFont="1"/>
    <xf numFmtId="183" fontId="40" fillId="0" borderId="0" xfId="1" applyNumberFormat="1" applyFont="1" applyFill="1"/>
    <xf numFmtId="37" fontId="38" fillId="0" borderId="0" xfId="3" quotePrefix="1" applyNumberFormat="1" applyFont="1" applyAlignment="1" applyProtection="1">
      <alignment horizontal="left"/>
    </xf>
    <xf numFmtId="37" fontId="18" fillId="0" borderId="0" xfId="3" applyNumberFormat="1" applyFont="1" applyAlignment="1" applyProtection="1">
      <alignment horizontal="left"/>
    </xf>
    <xf numFmtId="0" fontId="40" fillId="0" borderId="0" xfId="3" applyFont="1"/>
    <xf numFmtId="10" fontId="40" fillId="0" borderId="0" xfId="1" applyNumberFormat="1" applyFont="1" applyFill="1" applyAlignment="1">
      <alignment horizontal="right"/>
    </xf>
    <xf numFmtId="0" fontId="18" fillId="0" borderId="0" xfId="3" applyFont="1" applyAlignment="1">
      <alignment horizontal="center"/>
    </xf>
    <xf numFmtId="183" fontId="75" fillId="0" borderId="0" xfId="1" applyNumberFormat="1" applyFont="1" applyFill="1"/>
    <xf numFmtId="0" fontId="75" fillId="0" borderId="0" xfId="3" applyFont="1"/>
    <xf numFmtId="0" fontId="18" fillId="0" borderId="0" xfId="3" applyFont="1" applyAlignment="1">
      <alignment horizontal="left"/>
    </xf>
    <xf numFmtId="186" fontId="18" fillId="0" borderId="0" xfId="10" applyNumberFormat="1" applyFont="1" applyAlignment="1">
      <alignment horizontal="centerContinuous"/>
    </xf>
    <xf numFmtId="186" fontId="18" fillId="0" borderId="0" xfId="10" applyNumberFormat="1" applyFont="1"/>
    <xf numFmtId="0" fontId="18" fillId="0" borderId="0" xfId="51" applyFont="1"/>
    <xf numFmtId="182" fontId="18" fillId="0" borderId="0" xfId="1" applyNumberFormat="1" applyFont="1" applyFill="1"/>
    <xf numFmtId="0" fontId="18" fillId="0" borderId="0" xfId="3" quotePrefix="1" applyFont="1" applyAlignment="1" applyProtection="1">
      <alignment horizontal="left"/>
    </xf>
    <xf numFmtId="0" fontId="18" fillId="0" borderId="0" xfId="52" applyFont="1"/>
    <xf numFmtId="172" fontId="18" fillId="0" borderId="0" xfId="1" applyNumberFormat="1" applyFont="1" applyFill="1"/>
    <xf numFmtId="172" fontId="40" fillId="0" borderId="0" xfId="1" applyNumberFormat="1" applyFont="1" applyFill="1"/>
    <xf numFmtId="0" fontId="18" fillId="0" borderId="0" xfId="3" quotePrefix="1" applyFont="1" applyAlignment="1">
      <alignment horizontal="left"/>
    </xf>
    <xf numFmtId="41" fontId="18" fillId="0" borderId="0" xfId="1" applyNumberFormat="1" applyFont="1" applyFill="1"/>
    <xf numFmtId="0" fontId="18" fillId="0" borderId="0" xfId="3" quotePrefix="1" applyFont="1"/>
    <xf numFmtId="2" fontId="18" fillId="0" borderId="0" xfId="1" applyNumberFormat="1" applyFont="1" applyFill="1"/>
    <xf numFmtId="0" fontId="33" fillId="0" borderId="0" xfId="3" applyFont="1" applyAlignment="1">
      <alignment horizontal="left"/>
    </xf>
    <xf numFmtId="43" fontId="18" fillId="0" borderId="0" xfId="1" applyFont="1" applyFill="1"/>
    <xf numFmtId="43" fontId="40" fillId="0" borderId="0" xfId="1" applyFont="1" applyFill="1"/>
    <xf numFmtId="183" fontId="18" fillId="0" borderId="0" xfId="1" applyNumberFormat="1" applyFont="1" applyFill="1" applyBorder="1" applyProtection="1"/>
    <xf numFmtId="43" fontId="80" fillId="0" borderId="0" xfId="1" applyFont="1" applyFill="1"/>
    <xf numFmtId="0" fontId="41" fillId="0" borderId="0" xfId="3" applyFont="1" applyAlignment="1">
      <alignment horizontal="left"/>
    </xf>
    <xf numFmtId="43" fontId="40" fillId="0" borderId="0" xfId="1" applyFont="1" applyFill="1" applyAlignment="1">
      <alignment horizontal="left"/>
    </xf>
    <xf numFmtId="183" fontId="40" fillId="0" borderId="0" xfId="1" applyNumberFormat="1" applyFont="1" applyFill="1" applyAlignment="1">
      <alignment horizontal="left"/>
    </xf>
    <xf numFmtId="4" fontId="18" fillId="0" borderId="0" xfId="1" applyNumberFormat="1" applyFont="1" applyFill="1"/>
    <xf numFmtId="4" fontId="18" fillId="0" borderId="0" xfId="3" applyNumberFormat="1" applyFont="1"/>
    <xf numFmtId="0" fontId="40" fillId="0" borderId="0" xfId="3" applyFont="1" applyAlignment="1">
      <alignment horizontal="right"/>
    </xf>
    <xf numFmtId="39" fontId="40" fillId="0" borderId="0" xfId="3" applyNumberFormat="1" applyFont="1"/>
    <xf numFmtId="39" fontId="18" fillId="0" borderId="0" xfId="3" applyNumberFormat="1" applyFont="1"/>
    <xf numFmtId="185" fontId="18" fillId="0" borderId="0" xfId="3" applyNumberFormat="1" applyFont="1"/>
    <xf numFmtId="0" fontId="40" fillId="0" borderId="0" xfId="7" applyFont="1" applyAlignment="1">
      <alignment horizontal="centerContinuous"/>
    </xf>
    <xf numFmtId="175" fontId="18" fillId="0" borderId="0" xfId="7" applyNumberFormat="1" applyFont="1" applyAlignment="1" applyProtection="1">
      <alignment horizontal="centerContinuous"/>
      <protection locked="0"/>
    </xf>
    <xf numFmtId="37" fontId="18" fillId="0" borderId="0" xfId="7" applyNumberFormat="1" applyFont="1" applyAlignment="1">
      <alignment horizontal="centerContinuous"/>
    </xf>
    <xf numFmtId="10" fontId="18" fillId="0" borderId="0" xfId="7" applyNumberFormat="1" applyFont="1" applyAlignment="1">
      <alignment horizontal="centerContinuous"/>
    </xf>
    <xf numFmtId="175" fontId="18" fillId="0" borderId="0" xfId="7" applyNumberFormat="1" applyFont="1" applyProtection="1">
      <protection locked="0"/>
    </xf>
    <xf numFmtId="10" fontId="18" fillId="0" borderId="0" xfId="7" applyNumberFormat="1" applyFont="1"/>
    <xf numFmtId="166" fontId="18" fillId="0" borderId="0" xfId="63" applyNumberFormat="1" applyFont="1" applyFill="1" applyAlignment="1">
      <alignment horizontal="left"/>
    </xf>
    <xf numFmtId="0" fontId="81" fillId="0" borderId="0" xfId="7" applyFont="1" applyAlignment="1">
      <alignment horizontal="right"/>
    </xf>
    <xf numFmtId="183" fontId="81" fillId="0" borderId="0" xfId="1" applyNumberFormat="1" applyFont="1" applyFill="1"/>
    <xf numFmtId="0" fontId="75" fillId="0" borderId="0" xfId="7" applyFont="1"/>
    <xf numFmtId="0" fontId="18" fillId="0" borderId="0" xfId="57" applyFont="1" applyAlignment="1">
      <alignment horizontal="center"/>
    </xf>
    <xf numFmtId="37" fontId="40" fillId="0" borderId="0" xfId="57" applyNumberFormat="1" applyFont="1" applyProtection="1">
      <protection locked="0"/>
    </xf>
    <xf numFmtId="166" fontId="18" fillId="0" borderId="0" xfId="57" applyNumberFormat="1" applyFont="1"/>
    <xf numFmtId="10" fontId="18" fillId="0" borderId="0" xfId="57" applyNumberFormat="1" applyFont="1"/>
    <xf numFmtId="166" fontId="18" fillId="0" borderId="0" xfId="57" applyNumberFormat="1" applyFont="1" applyProtection="1">
      <protection locked="0"/>
    </xf>
    <xf numFmtId="166" fontId="40" fillId="0" borderId="0" xfId="57" applyNumberFormat="1" applyFont="1" applyProtection="1">
      <protection locked="0"/>
    </xf>
    <xf numFmtId="37" fontId="18" fillId="0" borderId="0" xfId="57" applyNumberFormat="1" applyFont="1" applyAlignment="1">
      <alignment horizontal="center"/>
    </xf>
    <xf numFmtId="37" fontId="18" fillId="0" borderId="0" xfId="57" applyNumberFormat="1" applyFont="1"/>
    <xf numFmtId="166" fontId="38" fillId="0" borderId="0" xfId="57" applyNumberFormat="1" applyFont="1"/>
    <xf numFmtId="178" fontId="40" fillId="0" borderId="0" xfId="57" applyNumberFormat="1" applyFont="1" applyProtection="1">
      <protection locked="0"/>
    </xf>
    <xf numFmtId="166" fontId="74" fillId="0" borderId="0" xfId="57" applyNumberFormat="1" applyFont="1"/>
    <xf numFmtId="37" fontId="18" fillId="0" borderId="0" xfId="57" applyNumberFormat="1" applyFont="1" applyAlignment="1">
      <alignment horizontal="right"/>
    </xf>
    <xf numFmtId="166" fontId="18" fillId="0" borderId="0" xfId="57" applyNumberFormat="1" applyFont="1" applyAlignment="1">
      <alignment horizontal="right"/>
    </xf>
    <xf numFmtId="178" fontId="18" fillId="0" borderId="0" xfId="57" applyNumberFormat="1" applyFont="1" applyAlignment="1">
      <alignment horizontal="right"/>
    </xf>
    <xf numFmtId="178" fontId="18" fillId="0" borderId="0" xfId="57" applyNumberFormat="1" applyFont="1"/>
    <xf numFmtId="179" fontId="18" fillId="0" borderId="0" xfId="57" applyNumberFormat="1" applyFont="1"/>
    <xf numFmtId="0" fontId="38" fillId="0" borderId="0" xfId="57" applyFont="1"/>
    <xf numFmtId="0" fontId="18" fillId="0" borderId="0" xfId="57" applyFont="1" applyAlignment="1">
      <alignment horizontal="fill"/>
    </xf>
    <xf numFmtId="0" fontId="18" fillId="0" borderId="0" xfId="56" applyFont="1" applyAlignment="1">
      <alignment horizontal="centerContinuous"/>
    </xf>
    <xf numFmtId="0" fontId="18" fillId="0" borderId="0" xfId="56" quotePrefix="1" applyFont="1" applyAlignment="1">
      <alignment horizontal="center"/>
    </xf>
    <xf numFmtId="0" fontId="18" fillId="0" borderId="0" xfId="56" quotePrefix="1" applyFont="1" applyAlignment="1">
      <alignment horizontal="right"/>
    </xf>
    <xf numFmtId="0" fontId="18" fillId="0" borderId="0" xfId="56" applyFont="1" applyAlignment="1">
      <alignment horizontal="left"/>
    </xf>
    <xf numFmtId="0" fontId="18" fillId="0" borderId="0" xfId="56" applyFont="1" applyAlignment="1" applyProtection="1">
      <alignment horizontal="centerContinuous"/>
      <protection locked="0"/>
    </xf>
    <xf numFmtId="181" fontId="18" fillId="0" borderId="0" xfId="10" quotePrefix="1" applyFont="1" applyAlignment="1" applyProtection="1">
      <alignment horizontal="centerContinuous"/>
      <protection locked="0"/>
    </xf>
    <xf numFmtId="0" fontId="40" fillId="0" borderId="0" xfId="56" applyFont="1" applyAlignment="1" applyProtection="1">
      <alignment horizontal="left"/>
      <protection locked="0"/>
    </xf>
    <xf numFmtId="0" fontId="18" fillId="0" borderId="0" xfId="56" applyFont="1" applyAlignment="1">
      <alignment horizontal="center"/>
    </xf>
    <xf numFmtId="0" fontId="40" fillId="0" borderId="0" xfId="56" applyFont="1" applyAlignment="1" applyProtection="1">
      <alignment horizontal="centerContinuous"/>
      <protection locked="0"/>
    </xf>
    <xf numFmtId="0" fontId="43" fillId="0" borderId="0" xfId="56" applyFont="1" applyAlignment="1" applyProtection="1">
      <alignment horizontal="left"/>
      <protection locked="0"/>
    </xf>
    <xf numFmtId="0" fontId="18" fillId="0" borderId="0" xfId="53" applyFont="1"/>
    <xf numFmtId="0" fontId="18" fillId="0" borderId="0" xfId="54" applyFont="1" applyAlignment="1">
      <alignment horizontal="centerContinuous"/>
    </xf>
    <xf numFmtId="0" fontId="18" fillId="0" borderId="0" xfId="54" quotePrefix="1" applyFont="1" applyAlignment="1">
      <alignment horizontal="centerContinuous"/>
    </xf>
    <xf numFmtId="169" fontId="43" fillId="0" borderId="0" xfId="55" applyNumberFormat="1" applyFont="1" applyAlignment="1" applyProtection="1">
      <alignment horizontal="center"/>
      <protection locked="0"/>
    </xf>
    <xf numFmtId="0" fontId="18" fillId="0" borderId="0" xfId="54" applyFont="1" applyAlignment="1">
      <alignment horizontal="center"/>
    </xf>
    <xf numFmtId="0" fontId="38" fillId="0" borderId="0" xfId="54" applyFont="1" applyAlignment="1">
      <alignment horizontal="centerContinuous"/>
    </xf>
    <xf numFmtId="0" fontId="18" fillId="0" borderId="0" xfId="53" applyFont="1" applyAlignment="1">
      <alignment horizontal="centerContinuous"/>
    </xf>
    <xf numFmtId="0" fontId="18" fillId="0" borderId="0" xfId="56" applyFont="1" applyAlignment="1">
      <alignment horizontal="fill"/>
    </xf>
    <xf numFmtId="0" fontId="38" fillId="0" borderId="0" xfId="56" applyFont="1" applyAlignment="1">
      <alignment horizontal="left"/>
    </xf>
    <xf numFmtId="0" fontId="18" fillId="0" borderId="0" xfId="53" applyFont="1" applyAlignment="1">
      <alignment horizontal="left"/>
    </xf>
    <xf numFmtId="170" fontId="43" fillId="0" borderId="0" xfId="56" applyNumberFormat="1" applyFont="1" applyProtection="1">
      <protection locked="0"/>
    </xf>
    <xf numFmtId="170" fontId="45" fillId="0" borderId="0" xfId="56" applyNumberFormat="1" applyFont="1" applyProtection="1">
      <protection locked="0"/>
    </xf>
    <xf numFmtId="170" fontId="46" fillId="0" borderId="0" xfId="56" applyNumberFormat="1" applyFont="1" applyProtection="1">
      <protection locked="0"/>
    </xf>
    <xf numFmtId="0" fontId="18" fillId="0" borderId="0" xfId="56" applyFont="1" applyAlignment="1">
      <alignment horizontal="right"/>
    </xf>
    <xf numFmtId="0" fontId="18" fillId="0" borderId="0" xfId="56" quotePrefix="1" applyFont="1" applyAlignment="1">
      <alignment horizontal="left"/>
    </xf>
    <xf numFmtId="0" fontId="38" fillId="0" borderId="0" xfId="56" applyFont="1" applyAlignment="1">
      <alignment horizontal="center"/>
    </xf>
    <xf numFmtId="0" fontId="38" fillId="0" borderId="0" xfId="56" applyFont="1" applyAlignment="1">
      <alignment horizontal="centerContinuous"/>
    </xf>
    <xf numFmtId="0" fontId="75" fillId="0" borderId="0" xfId="56" applyFont="1" applyAlignment="1">
      <alignment horizontal="center"/>
    </xf>
    <xf numFmtId="169" fontId="46" fillId="0" borderId="0" xfId="56" applyNumberFormat="1" applyFont="1" applyAlignment="1" applyProtection="1">
      <alignment horizontal="center"/>
      <protection locked="0"/>
    </xf>
    <xf numFmtId="169" fontId="83" fillId="0" borderId="0" xfId="56" applyNumberFormat="1" applyFont="1" applyAlignment="1">
      <alignment horizontal="center"/>
    </xf>
    <xf numFmtId="170" fontId="76" fillId="0" borderId="0" xfId="56" applyNumberFormat="1" applyFont="1" applyProtection="1">
      <protection locked="0"/>
    </xf>
    <xf numFmtId="0" fontId="18" fillId="0" borderId="0" xfId="55" applyFont="1" applyAlignment="1">
      <alignment horizontal="centerContinuous"/>
    </xf>
    <xf numFmtId="0" fontId="24" fillId="0" borderId="0" xfId="55" quotePrefix="1" applyFont="1" applyAlignment="1">
      <alignment horizontal="center"/>
    </xf>
    <xf numFmtId="0" fontId="24" fillId="0" borderId="0" xfId="55" applyFont="1"/>
    <xf numFmtId="0" fontId="24" fillId="0" borderId="0" xfId="55" quotePrefix="1" applyFont="1" applyAlignment="1">
      <alignment horizontal="right"/>
    </xf>
    <xf numFmtId="0" fontId="24" fillId="0" borderId="0" xfId="55" applyFont="1" applyAlignment="1">
      <alignment horizontal="left"/>
    </xf>
    <xf numFmtId="0" fontId="18" fillId="0" borderId="0" xfId="55" applyFont="1" applyAlignment="1" applyProtection="1">
      <alignment horizontal="centerContinuous"/>
      <protection locked="0"/>
    </xf>
    <xf numFmtId="0" fontId="18" fillId="0" borderId="0" xfId="55" applyFont="1"/>
    <xf numFmtId="0" fontId="40" fillId="0" borderId="0" xfId="55" applyFont="1" applyAlignment="1" applyProtection="1">
      <alignment horizontal="left"/>
      <protection locked="0"/>
    </xf>
    <xf numFmtId="0" fontId="18" fillId="0" borderId="0" xfId="55" applyFont="1" applyAlignment="1">
      <alignment horizontal="left"/>
    </xf>
    <xf numFmtId="0" fontId="24" fillId="0" borderId="0" xfId="55" applyFont="1" applyAlignment="1">
      <alignment horizontal="center"/>
    </xf>
    <xf numFmtId="0" fontId="40" fillId="0" borderId="0" xfId="55" applyFont="1" applyAlignment="1" applyProtection="1">
      <alignment horizontal="centerContinuous"/>
      <protection locked="0"/>
    </xf>
    <xf numFmtId="0" fontId="43" fillId="0" borderId="0" xfId="55" applyFont="1" applyAlignment="1" applyProtection="1">
      <alignment horizontal="left"/>
      <protection locked="0"/>
    </xf>
    <xf numFmtId="0" fontId="18" fillId="0" borderId="0" xfId="55" applyFont="1" applyAlignment="1">
      <alignment horizontal="center"/>
    </xf>
    <xf numFmtId="0" fontId="24" fillId="0" borderId="0" xfId="55" applyFont="1" applyAlignment="1">
      <alignment horizontal="fill"/>
    </xf>
    <xf numFmtId="0" fontId="38" fillId="0" borderId="0" xfId="55" applyFont="1" applyAlignment="1">
      <alignment horizontal="left"/>
    </xf>
    <xf numFmtId="170" fontId="46" fillId="0" borderId="0" xfId="55" applyNumberFormat="1" applyFont="1" applyProtection="1">
      <protection locked="0"/>
    </xf>
    <xf numFmtId="0" fontId="18" fillId="0" borderId="0" xfId="55" applyFont="1" applyAlignment="1">
      <alignment horizontal="right"/>
    </xf>
    <xf numFmtId="170" fontId="43" fillId="0" borderId="0" xfId="55" applyNumberFormat="1" applyFont="1" applyProtection="1">
      <protection locked="0"/>
    </xf>
    <xf numFmtId="0" fontId="18" fillId="0" borderId="0" xfId="55" quotePrefix="1" applyFont="1" applyAlignment="1">
      <alignment horizontal="left"/>
    </xf>
    <xf numFmtId="0" fontId="19" fillId="0" borderId="0" xfId="55" applyFont="1"/>
    <xf numFmtId="0" fontId="19" fillId="0" borderId="0" xfId="55" applyFont="1" applyAlignment="1">
      <alignment horizontal="left"/>
    </xf>
    <xf numFmtId="0" fontId="19" fillId="0" borderId="0" xfId="55" applyFont="1" applyAlignment="1">
      <alignment horizontal="centerContinuous"/>
    </xf>
    <xf numFmtId="0" fontId="40" fillId="0" borderId="0" xfId="53" applyFont="1" applyAlignment="1" applyProtection="1">
      <alignment horizontal="centerContinuous"/>
      <protection locked="0"/>
    </xf>
    <xf numFmtId="0" fontId="18" fillId="0" borderId="0" xfId="53" quotePrefix="1" applyFont="1" applyAlignment="1">
      <alignment horizontal="center"/>
    </xf>
    <xf numFmtId="0" fontId="18" fillId="0" borderId="0" xfId="53" quotePrefix="1" applyFont="1" applyAlignment="1">
      <alignment horizontal="right"/>
    </xf>
    <xf numFmtId="170" fontId="40" fillId="0" borderId="0" xfId="53" applyNumberFormat="1" applyFont="1" applyProtection="1">
      <protection locked="0"/>
    </xf>
    <xf numFmtId="170" fontId="38" fillId="0" borderId="0" xfId="53" applyNumberFormat="1" applyFont="1"/>
    <xf numFmtId="170" fontId="18" fillId="0" borderId="0" xfId="53" applyNumberFormat="1" applyFont="1"/>
    <xf numFmtId="0" fontId="38" fillId="0" borderId="0" xfId="53" applyFont="1" applyAlignment="1">
      <alignment horizontal="centerContinuous"/>
    </xf>
    <xf numFmtId="0" fontId="18" fillId="0" borderId="0" xfId="53" applyFont="1" applyAlignment="1">
      <alignment horizontal="fill"/>
    </xf>
    <xf numFmtId="169" fontId="46" fillId="0" borderId="0" xfId="53" applyNumberFormat="1" applyFont="1" applyAlignment="1" applyProtection="1">
      <alignment horizontal="center"/>
      <protection locked="0"/>
    </xf>
    <xf numFmtId="169" fontId="83" fillId="0" borderId="0" xfId="53" applyNumberFormat="1" applyFont="1" applyAlignment="1">
      <alignment horizontal="center"/>
    </xf>
    <xf numFmtId="170" fontId="45" fillId="0" borderId="0" xfId="53" applyNumberFormat="1" applyFont="1" applyProtection="1">
      <protection locked="0"/>
    </xf>
    <xf numFmtId="170" fontId="76" fillId="0" borderId="0" xfId="53" applyNumberFormat="1" applyFont="1" applyProtection="1">
      <protection locked="0"/>
    </xf>
    <xf numFmtId="0" fontId="18" fillId="0" borderId="0" xfId="53" applyFont="1" applyAlignment="1">
      <alignment horizontal="right"/>
    </xf>
    <xf numFmtId="170" fontId="43" fillId="0" borderId="0" xfId="53" applyNumberFormat="1" applyFont="1" applyProtection="1">
      <protection locked="0"/>
    </xf>
    <xf numFmtId="0" fontId="18" fillId="0" borderId="0" xfId="53" applyFont="1" applyAlignment="1">
      <alignment horizontal="center"/>
    </xf>
    <xf numFmtId="0" fontId="18" fillId="0" borderId="0" xfId="53" applyFont="1" applyAlignment="1" applyProtection="1">
      <alignment horizontal="centerContinuous"/>
      <protection locked="0"/>
    </xf>
    <xf numFmtId="0" fontId="40" fillId="0" borderId="0" xfId="53" applyFont="1" applyAlignment="1" applyProtection="1">
      <alignment horizontal="left"/>
      <protection locked="0"/>
    </xf>
    <xf numFmtId="0" fontId="43" fillId="0" borderId="0" xfId="53" applyFont="1" applyAlignment="1" applyProtection="1">
      <alignment horizontal="left"/>
      <protection locked="0"/>
    </xf>
    <xf numFmtId="0" fontId="40" fillId="0" borderId="0" xfId="53" applyFont="1" applyAlignment="1">
      <alignment horizontal="centerContinuous"/>
    </xf>
    <xf numFmtId="0" fontId="38" fillId="0" borderId="0" xfId="53" applyFont="1" applyAlignment="1">
      <alignment horizontal="left"/>
    </xf>
    <xf numFmtId="170" fontId="74" fillId="0" borderId="0" xfId="53" applyNumberFormat="1" applyFont="1"/>
    <xf numFmtId="170" fontId="38" fillId="0" borderId="0" xfId="53" applyNumberFormat="1" applyFont="1" applyProtection="1">
      <protection locked="0"/>
    </xf>
    <xf numFmtId="170" fontId="18" fillId="0" borderId="0" xfId="53" applyNumberFormat="1" applyFont="1" applyAlignment="1">
      <alignment horizontal="right"/>
    </xf>
    <xf numFmtId="0" fontId="18" fillId="0" borderId="0" xfId="53" quotePrefix="1" applyFont="1" applyAlignment="1">
      <alignment horizontal="left"/>
    </xf>
    <xf numFmtId="0" fontId="38" fillId="0" borderId="0" xfId="53" applyFont="1" applyAlignment="1">
      <alignment horizontal="center"/>
    </xf>
    <xf numFmtId="0" fontId="75" fillId="0" borderId="0" xfId="53" applyFont="1" applyAlignment="1">
      <alignment horizontal="center"/>
    </xf>
    <xf numFmtId="181" fontId="33" fillId="0" borderId="0" xfId="10" applyFont="1"/>
    <xf numFmtId="186" fontId="18" fillId="0" borderId="0" xfId="52" applyNumberFormat="1" applyFont="1"/>
    <xf numFmtId="186" fontId="18" fillId="0" borderId="0" xfId="10" applyNumberFormat="1" applyFont="1" applyAlignment="1">
      <alignment horizontal="center"/>
    </xf>
    <xf numFmtId="181" fontId="18" fillId="0" borderId="0" xfId="10" applyFont="1" applyAlignment="1">
      <alignment horizontal="fill"/>
    </xf>
    <xf numFmtId="186" fontId="18" fillId="0" borderId="0" xfId="10" applyNumberFormat="1" applyFont="1" applyProtection="1">
      <protection locked="0"/>
    </xf>
    <xf numFmtId="37" fontId="49" fillId="0" borderId="0" xfId="10" applyNumberFormat="1" applyFont="1"/>
    <xf numFmtId="37" fontId="18" fillId="0" borderId="0" xfId="10" applyNumberFormat="1" applyFont="1" applyAlignment="1">
      <alignment horizontal="left"/>
    </xf>
    <xf numFmtId="181" fontId="18" fillId="0" borderId="0" xfId="10" applyFont="1" applyAlignment="1">
      <alignment horizontal="left" indent="1"/>
    </xf>
    <xf numFmtId="181" fontId="73" fillId="0" borderId="0" xfId="10" quotePrefix="1" applyFont="1"/>
    <xf numFmtId="0" fontId="18" fillId="0" borderId="0" xfId="46" applyFont="1" applyAlignment="1">
      <alignment horizontal="left"/>
    </xf>
    <xf numFmtId="195" fontId="18" fillId="0" borderId="0" xfId="10" applyNumberFormat="1" applyFont="1" applyAlignment="1" applyProtection="1">
      <alignment horizontal="center"/>
      <protection locked="0"/>
    </xf>
    <xf numFmtId="0" fontId="18" fillId="0" borderId="0" xfId="51" applyFont="1" applyAlignment="1">
      <alignment horizontal="centerContinuous"/>
    </xf>
    <xf numFmtId="0" fontId="18" fillId="0" borderId="0" xfId="51" applyFont="1" applyAlignment="1">
      <alignment horizontal="left"/>
    </xf>
    <xf numFmtId="0" fontId="18" fillId="0" borderId="0" xfId="51" applyFont="1" applyAlignment="1">
      <alignment horizontal="center"/>
    </xf>
    <xf numFmtId="37" fontId="18" fillId="0" borderId="0" xfId="51" applyNumberFormat="1" applyFont="1"/>
    <xf numFmtId="166" fontId="18" fillId="0" borderId="0" xfId="51" applyNumberFormat="1" applyFont="1"/>
    <xf numFmtId="166" fontId="38" fillId="0" borderId="0" xfId="51" applyNumberFormat="1" applyFont="1"/>
    <xf numFmtId="180" fontId="38" fillId="0" borderId="0" xfId="51" applyNumberFormat="1" applyFont="1"/>
    <xf numFmtId="37" fontId="18" fillId="0" borderId="0" xfId="51" applyNumberFormat="1" applyFont="1" applyAlignment="1">
      <alignment horizontal="right"/>
    </xf>
    <xf numFmtId="166" fontId="18" fillId="0" borderId="0" xfId="51" applyNumberFormat="1" applyFont="1" applyAlignment="1">
      <alignment horizontal="left"/>
    </xf>
    <xf numFmtId="0" fontId="18" fillId="0" borderId="0" xfId="51" applyFont="1" applyAlignment="1">
      <alignment horizontal="right"/>
    </xf>
    <xf numFmtId="180" fontId="74" fillId="0" borderId="0" xfId="51" applyNumberFormat="1" applyFont="1"/>
    <xf numFmtId="174" fontId="74" fillId="0" borderId="0" xfId="51" applyNumberFormat="1" applyFont="1"/>
    <xf numFmtId="202" fontId="74" fillId="0" borderId="0" xfId="51" applyNumberFormat="1" applyFont="1"/>
    <xf numFmtId="38" fontId="18" fillId="0" borderId="0" xfId="7" applyNumberFormat="1" applyFont="1"/>
    <xf numFmtId="0" fontId="38" fillId="0" borderId="0" xfId="51" applyFont="1" applyAlignment="1">
      <alignment horizontal="center"/>
    </xf>
    <xf numFmtId="180" fontId="18" fillId="0" borderId="0" xfId="7" applyNumberFormat="1" applyFont="1"/>
    <xf numFmtId="180" fontId="18" fillId="0" borderId="0" xfId="51" applyNumberFormat="1" applyFont="1"/>
    <xf numFmtId="10" fontId="18" fillId="0" borderId="0" xfId="63" applyNumberFormat="1" applyFont="1" applyFill="1" applyBorder="1" applyAlignment="1">
      <alignment horizontal="right"/>
    </xf>
    <xf numFmtId="37" fontId="18" fillId="0" borderId="0" xfId="0" applyNumberFormat="1" applyFont="1" applyAlignment="1">
      <alignment horizontal="right"/>
    </xf>
    <xf numFmtId="0" fontId="18" fillId="0" borderId="0" xfId="0" quotePrefix="1" applyFont="1" applyAlignment="1">
      <alignment horizontal="left"/>
    </xf>
    <xf numFmtId="198" fontId="18" fillId="0" borderId="0" xfId="0" quotePrefix="1" applyNumberFormat="1" applyFont="1" applyAlignment="1">
      <alignment horizontal="left"/>
    </xf>
    <xf numFmtId="0" fontId="18" fillId="0" borderId="0" xfId="49" applyFont="1"/>
    <xf numFmtId="37" fontId="18" fillId="0" borderId="0" xfId="49" applyNumberFormat="1" applyFont="1" applyAlignment="1">
      <alignment horizontal="right"/>
    </xf>
    <xf numFmtId="37" fontId="18" fillId="0" borderId="0" xfId="49" applyNumberFormat="1" applyFont="1"/>
    <xf numFmtId="0" fontId="18" fillId="0" borderId="0" xfId="50" applyFont="1" applyAlignment="1">
      <alignment horizontal="centerContinuous"/>
    </xf>
    <xf numFmtId="190" fontId="18" fillId="0" borderId="0" xfId="50" applyNumberFormat="1" applyFont="1" applyAlignment="1">
      <alignment horizontal="centerContinuous"/>
    </xf>
    <xf numFmtId="0" fontId="18" fillId="0" borderId="0" xfId="50" applyFont="1"/>
    <xf numFmtId="0" fontId="18" fillId="0" borderId="0" xfId="50" applyFont="1" applyAlignment="1">
      <alignment horizontal="left"/>
    </xf>
    <xf numFmtId="37" fontId="18" fillId="0" borderId="0" xfId="50" applyNumberFormat="1" applyFont="1"/>
    <xf numFmtId="0" fontId="18" fillId="0" borderId="0" xfId="50" applyFont="1" applyAlignment="1">
      <alignment horizontal="center"/>
    </xf>
    <xf numFmtId="10" fontId="18" fillId="0" borderId="0" xfId="50" applyNumberFormat="1" applyFont="1"/>
    <xf numFmtId="0" fontId="18" fillId="0" borderId="0" xfId="50" applyFont="1" applyAlignment="1">
      <alignment horizontal="right"/>
    </xf>
    <xf numFmtId="190" fontId="18" fillId="0" borderId="0" xfId="50" applyNumberFormat="1" applyFont="1" applyAlignment="1" applyProtection="1">
      <alignment horizontal="centerContinuous"/>
      <protection locked="0"/>
    </xf>
    <xf numFmtId="190" fontId="18" fillId="0" borderId="0" xfId="50" applyNumberFormat="1" applyFont="1" applyProtection="1">
      <protection locked="0"/>
    </xf>
    <xf numFmtId="178" fontId="18" fillId="0" borderId="0" xfId="50" applyNumberFormat="1" applyFont="1"/>
    <xf numFmtId="0" fontId="18" fillId="0" borderId="0" xfId="50" applyFont="1" applyAlignment="1" applyProtection="1">
      <alignment horizontal="left"/>
      <protection locked="0"/>
    </xf>
    <xf numFmtId="190" fontId="18" fillId="0" borderId="0" xfId="50" applyNumberFormat="1" applyFont="1" applyAlignment="1">
      <alignment horizontal="center"/>
    </xf>
    <xf numFmtId="168" fontId="18" fillId="0" borderId="0" xfId="50" applyNumberFormat="1" applyFont="1"/>
    <xf numFmtId="190" fontId="18" fillId="0" borderId="0" xfId="50" applyNumberFormat="1" applyFont="1"/>
    <xf numFmtId="190" fontId="18" fillId="0" borderId="0" xfId="50" applyNumberFormat="1" applyFont="1" applyAlignment="1">
      <alignment horizontal="right"/>
    </xf>
    <xf numFmtId="0" fontId="18" fillId="0" borderId="0" xfId="49" applyFont="1" applyAlignment="1">
      <alignment horizontal="centerContinuous"/>
    </xf>
    <xf numFmtId="37" fontId="18" fillId="0" borderId="0" xfId="49" applyNumberFormat="1" applyFont="1" applyAlignment="1">
      <alignment horizontal="centerContinuous"/>
    </xf>
    <xf numFmtId="0" fontId="18" fillId="0" borderId="0" xfId="49" quotePrefix="1" applyFont="1" applyAlignment="1">
      <alignment horizontal="left"/>
    </xf>
    <xf numFmtId="0" fontId="18" fillId="0" borderId="0" xfId="49" applyFont="1" applyAlignment="1">
      <alignment horizontal="left"/>
    </xf>
    <xf numFmtId="0" fontId="18" fillId="0" borderId="0" xfId="49" applyFont="1" applyAlignment="1">
      <alignment horizontal="center"/>
    </xf>
    <xf numFmtId="0" fontId="33" fillId="0" borderId="0" xfId="49" applyFont="1"/>
    <xf numFmtId="165" fontId="18" fillId="0" borderId="0" xfId="49" applyNumberFormat="1" applyFont="1" applyAlignment="1">
      <alignment horizontal="center"/>
    </xf>
    <xf numFmtId="37" fontId="18" fillId="0" borderId="0" xfId="49" applyNumberFormat="1" applyFont="1" applyAlignment="1">
      <alignment horizontal="fill"/>
    </xf>
    <xf numFmtId="0" fontId="40" fillId="0" borderId="0" xfId="49" applyFont="1" applyAlignment="1">
      <alignment horizontal="center"/>
    </xf>
    <xf numFmtId="0" fontId="18" fillId="0" borderId="0" xfId="49" quotePrefix="1" applyFont="1"/>
    <xf numFmtId="0" fontId="18" fillId="0" borderId="0" xfId="47" applyFont="1"/>
    <xf numFmtId="0" fontId="40" fillId="0" borderId="0" xfId="47" applyFont="1" applyAlignment="1" applyProtection="1">
      <alignment horizontal="right"/>
      <protection locked="0"/>
    </xf>
    <xf numFmtId="37" fontId="40" fillId="0" borderId="0" xfId="47" applyNumberFormat="1" applyFont="1" applyAlignment="1" applyProtection="1">
      <alignment horizontal="center"/>
      <protection locked="0"/>
    </xf>
    <xf numFmtId="37" fontId="40" fillId="0" borderId="0" xfId="47" applyNumberFormat="1" applyFont="1"/>
    <xf numFmtId="37" fontId="18" fillId="0" borderId="0" xfId="47" applyNumberFormat="1" applyFont="1"/>
    <xf numFmtId="37" fontId="40" fillId="0" borderId="0" xfId="47" applyNumberFormat="1" applyFont="1" applyProtection="1">
      <protection locked="0"/>
    </xf>
    <xf numFmtId="0" fontId="18" fillId="0" borderId="0" xfId="46" applyFont="1"/>
    <xf numFmtId="37" fontId="18" fillId="0" borderId="0" xfId="46" applyNumberFormat="1" applyFont="1" applyProtection="1">
      <protection locked="0"/>
    </xf>
    <xf numFmtId="0" fontId="18" fillId="0" borderId="0" xfId="46" applyFont="1" applyAlignment="1">
      <alignment horizontal="centerContinuous"/>
    </xf>
    <xf numFmtId="0" fontId="18" fillId="0" borderId="0" xfId="46" applyFont="1" applyAlignment="1">
      <alignment horizontal="center"/>
    </xf>
    <xf numFmtId="37" fontId="40" fillId="0" borderId="0" xfId="46" applyNumberFormat="1" applyFont="1" applyProtection="1">
      <protection locked="0"/>
    </xf>
    <xf numFmtId="37" fontId="40" fillId="0" borderId="0" xfId="46" applyNumberFormat="1" applyFont="1" applyAlignment="1" applyProtection="1">
      <alignment horizontal="center"/>
      <protection locked="0"/>
    </xf>
    <xf numFmtId="37" fontId="18" fillId="0" borderId="0" xfId="46" applyNumberFormat="1" applyFont="1"/>
    <xf numFmtId="0" fontId="18" fillId="0" borderId="0" xfId="45" applyFont="1" applyAlignment="1">
      <alignment horizontal="centerContinuous"/>
    </xf>
    <xf numFmtId="0" fontId="18" fillId="0" borderId="0" xfId="45" applyFont="1"/>
    <xf numFmtId="37" fontId="18" fillId="0" borderId="0" xfId="46" applyNumberFormat="1" applyFont="1" applyAlignment="1">
      <alignment horizontal="center"/>
    </xf>
    <xf numFmtId="37" fontId="18" fillId="0" borderId="0" xfId="45" applyNumberFormat="1" applyFont="1" applyAlignment="1">
      <alignment horizontal="centerContinuous"/>
    </xf>
    <xf numFmtId="0" fontId="18" fillId="0" borderId="0" xfId="46" quotePrefix="1" applyFont="1" applyAlignment="1">
      <alignment horizontal="left"/>
    </xf>
    <xf numFmtId="0" fontId="18" fillId="0" borderId="0" xfId="45" applyFont="1" applyAlignment="1">
      <alignment horizontal="center"/>
    </xf>
    <xf numFmtId="37" fontId="18" fillId="0" borderId="0" xfId="45" applyNumberFormat="1" applyFont="1" applyAlignment="1">
      <alignment horizontal="center"/>
    </xf>
    <xf numFmtId="165" fontId="18" fillId="0" borderId="0" xfId="45" applyNumberFormat="1" applyFont="1" applyAlignment="1">
      <alignment horizontal="centerContinuous"/>
    </xf>
    <xf numFmtId="165" fontId="18" fillId="0" borderId="0" xfId="45" applyNumberFormat="1" applyFont="1" applyAlignment="1">
      <alignment horizontal="center"/>
    </xf>
    <xf numFmtId="0" fontId="41" fillId="0" borderId="0" xfId="45" applyFont="1"/>
    <xf numFmtId="187" fontId="18" fillId="0" borderId="0" xfId="45" applyNumberFormat="1" applyFont="1"/>
    <xf numFmtId="187" fontId="18" fillId="0" borderId="0" xfId="45" applyNumberFormat="1" applyFont="1" applyAlignment="1">
      <alignment horizontal="center"/>
    </xf>
    <xf numFmtId="187" fontId="18" fillId="0" borderId="0" xfId="45" quotePrefix="1" applyNumberFormat="1" applyFont="1" applyAlignment="1">
      <alignment horizontal="centerContinuous"/>
    </xf>
    <xf numFmtId="187" fontId="18" fillId="0" borderId="0" xfId="45" applyNumberFormat="1" applyFont="1" applyAlignment="1">
      <alignment horizontal="centerContinuous"/>
    </xf>
    <xf numFmtId="37" fontId="40" fillId="0" borderId="0" xfId="45" applyNumberFormat="1" applyFont="1"/>
    <xf numFmtId="37" fontId="18" fillId="0" borderId="0" xfId="45" applyNumberFormat="1" applyFont="1" applyAlignment="1">
      <alignment horizontal="right"/>
    </xf>
    <xf numFmtId="37" fontId="18" fillId="0" borderId="0" xfId="45" applyNumberFormat="1" applyFont="1"/>
    <xf numFmtId="37" fontId="40" fillId="0" borderId="0" xfId="45" applyNumberFormat="1" applyFont="1" applyProtection="1">
      <protection locked="0"/>
    </xf>
    <xf numFmtId="37" fontId="74" fillId="0" borderId="0" xfId="45" applyNumberFormat="1" applyFont="1"/>
    <xf numFmtId="37" fontId="74" fillId="0" borderId="0" xfId="45" applyNumberFormat="1" applyFont="1" applyAlignment="1">
      <alignment horizontal="right"/>
    </xf>
    <xf numFmtId="0" fontId="73" fillId="0" borderId="0" xfId="45" applyFont="1"/>
    <xf numFmtId="37" fontId="18" fillId="0" borderId="0" xfId="46" applyNumberFormat="1" applyFont="1" applyAlignment="1">
      <alignment horizontal="centerContinuous"/>
    </xf>
    <xf numFmtId="37" fontId="18" fillId="0" borderId="0" xfId="46" applyNumberFormat="1" applyFont="1" applyAlignment="1">
      <alignment horizontal="left"/>
    </xf>
    <xf numFmtId="0" fontId="38" fillId="0" borderId="0" xfId="46" applyFont="1" applyAlignment="1" applyProtection="1">
      <alignment horizontal="left"/>
      <protection locked="0"/>
    </xf>
    <xf numFmtId="37" fontId="40" fillId="0" borderId="0" xfId="46" applyNumberFormat="1" applyFont="1"/>
    <xf numFmtId="178" fontId="18" fillId="0" borderId="0" xfId="45" applyNumberFormat="1" applyFont="1"/>
    <xf numFmtId="0" fontId="18" fillId="0" borderId="0" xfId="43" applyFont="1"/>
    <xf numFmtId="4" fontId="18" fillId="0" borderId="0" xfId="39" applyNumberFormat="1" applyFont="1" applyAlignment="1">
      <alignment horizontal="center"/>
    </xf>
    <xf numFmtId="4" fontId="18" fillId="0" borderId="0" xfId="39" applyNumberFormat="1" applyFont="1"/>
    <xf numFmtId="0" fontId="79" fillId="0" borderId="0" xfId="40" applyFont="1"/>
    <xf numFmtId="0" fontId="18" fillId="0" borderId="0" xfId="40" applyFont="1"/>
    <xf numFmtId="0" fontId="18" fillId="0" borderId="0" xfId="42" applyFont="1"/>
    <xf numFmtId="37" fontId="18" fillId="0" borderId="0" xfId="42" applyNumberFormat="1" applyFont="1"/>
    <xf numFmtId="39" fontId="40" fillId="0" borderId="0" xfId="0" applyNumberFormat="1" applyFont="1"/>
    <xf numFmtId="39" fontId="18" fillId="0" borderId="0" xfId="0" applyNumberFormat="1" applyFont="1"/>
    <xf numFmtId="0" fontId="18" fillId="0" borderId="0" xfId="40" applyFont="1" applyAlignment="1">
      <alignment horizontal="center"/>
    </xf>
    <xf numFmtId="0" fontId="38" fillId="0" borderId="0" xfId="41" applyFont="1"/>
    <xf numFmtId="0" fontId="79" fillId="0" borderId="0" xfId="42" applyFont="1"/>
    <xf numFmtId="0" fontId="18" fillId="0" borderId="0" xfId="41" applyFont="1"/>
    <xf numFmtId="0" fontId="18" fillId="0" borderId="0" xfId="41" applyFont="1" applyAlignment="1">
      <alignment horizontal="center"/>
    </xf>
    <xf numFmtId="0" fontId="18" fillId="0" borderId="0" xfId="41" applyFont="1" applyAlignment="1">
      <alignment horizontal="left"/>
    </xf>
    <xf numFmtId="39" fontId="40" fillId="0" borderId="0" xfId="41" applyNumberFormat="1" applyFont="1"/>
    <xf numFmtId="0" fontId="18" fillId="0" borderId="0" xfId="39" applyFont="1" applyAlignment="1">
      <alignment horizontal="centerContinuous"/>
    </xf>
    <xf numFmtId="0" fontId="18" fillId="0" borderId="0" xfId="39" applyFont="1"/>
    <xf numFmtId="37" fontId="18" fillId="0" borderId="0" xfId="39" applyNumberFormat="1" applyFont="1"/>
    <xf numFmtId="165" fontId="40" fillId="0" borderId="0" xfId="39" applyNumberFormat="1" applyFont="1" applyAlignment="1" applyProtection="1">
      <alignment horizontal="centerContinuous"/>
      <protection locked="0"/>
    </xf>
    <xf numFmtId="165" fontId="40" fillId="0" borderId="0" xfId="39" applyNumberFormat="1" applyFont="1" applyProtection="1">
      <protection locked="0"/>
    </xf>
    <xf numFmtId="0" fontId="18" fillId="0" borderId="0" xfId="39" applyFont="1" applyAlignment="1">
      <alignment horizontal="left"/>
    </xf>
    <xf numFmtId="43" fontId="18" fillId="0" borderId="0" xfId="39" applyNumberFormat="1" applyFont="1"/>
    <xf numFmtId="0" fontId="18" fillId="0" borderId="0" xfId="39" applyFont="1" applyAlignment="1">
      <alignment horizontal="center"/>
    </xf>
    <xf numFmtId="0" fontId="43" fillId="0" borderId="0" xfId="39" applyFont="1" applyAlignment="1">
      <alignment horizontal="center"/>
    </xf>
    <xf numFmtId="37" fontId="18" fillId="0" borderId="0" xfId="39" applyNumberFormat="1" applyFont="1" applyAlignment="1">
      <alignment horizontal="center"/>
    </xf>
    <xf numFmtId="0" fontId="43" fillId="0" borderId="0" xfId="39" applyFont="1"/>
    <xf numFmtId="41" fontId="18" fillId="0" borderId="0" xfId="39" applyNumberFormat="1" applyFont="1"/>
    <xf numFmtId="0" fontId="18" fillId="0" borderId="0" xfId="38" applyFont="1" applyAlignment="1">
      <alignment horizontal="centerContinuous"/>
    </xf>
    <xf numFmtId="0" fontId="18" fillId="0" borderId="0" xfId="38" applyFont="1" applyAlignment="1">
      <alignment horizontal="left"/>
    </xf>
    <xf numFmtId="0" fontId="18" fillId="0" borderId="0" xfId="38" applyFont="1"/>
    <xf numFmtId="0" fontId="18" fillId="0" borderId="0" xfId="38" applyFont="1" applyAlignment="1">
      <alignment horizontal="center"/>
    </xf>
    <xf numFmtId="37" fontId="18" fillId="0" borderId="0" xfId="38" applyNumberFormat="1" applyFont="1"/>
    <xf numFmtId="0" fontId="18" fillId="0" borderId="0" xfId="38" quotePrefix="1" applyFont="1" applyAlignment="1">
      <alignment horizontal="center"/>
    </xf>
    <xf numFmtId="0" fontId="18" fillId="0" borderId="0" xfId="38" applyFont="1" applyProtection="1">
      <protection locked="0"/>
    </xf>
    <xf numFmtId="37" fontId="18" fillId="0" borderId="0" xfId="38" quotePrefix="1" applyNumberFormat="1" applyFont="1"/>
    <xf numFmtId="37" fontId="18" fillId="0" borderId="0" xfId="38" applyNumberFormat="1" applyFont="1" applyAlignment="1">
      <alignment horizontal="fill"/>
    </xf>
    <xf numFmtId="37" fontId="18" fillId="0" borderId="0" xfId="38" applyNumberFormat="1" applyFont="1" applyProtection="1">
      <protection locked="0"/>
    </xf>
    <xf numFmtId="0" fontId="18" fillId="0" borderId="0" xfId="39" applyFont="1" applyAlignment="1">
      <alignment horizontal="right"/>
    </xf>
    <xf numFmtId="37" fontId="18" fillId="0" borderId="0" xfId="38" applyNumberFormat="1" applyFont="1" applyAlignment="1">
      <alignment horizontal="right"/>
    </xf>
    <xf numFmtId="0" fontId="18" fillId="0" borderId="0" xfId="38" applyFont="1" applyAlignment="1">
      <alignment horizontal="fill"/>
    </xf>
    <xf numFmtId="165" fontId="18" fillId="0" borderId="0" xfId="38" applyNumberFormat="1" applyFont="1"/>
    <xf numFmtId="37" fontId="18" fillId="0" borderId="0" xfId="39" quotePrefix="1" applyNumberFormat="1" applyFont="1"/>
    <xf numFmtId="0" fontId="18" fillId="0" borderId="0" xfId="39" quotePrefix="1" applyFont="1"/>
    <xf numFmtId="0" fontId="38" fillId="0" borderId="0" xfId="27" applyFont="1" applyAlignment="1">
      <alignment horizontal="center"/>
    </xf>
    <xf numFmtId="0" fontId="38" fillId="0" borderId="0" xfId="39" applyFont="1"/>
    <xf numFmtId="0" fontId="38" fillId="0" borderId="0" xfId="39" applyFont="1" applyAlignment="1">
      <alignment horizontal="center"/>
    </xf>
    <xf numFmtId="0" fontId="18" fillId="0" borderId="0" xfId="39" applyFont="1" applyAlignment="1">
      <alignment horizontal="fill"/>
    </xf>
    <xf numFmtId="37" fontId="38" fillId="0" borderId="0" xfId="38" applyNumberFormat="1" applyFont="1"/>
    <xf numFmtId="0" fontId="73" fillId="0" borderId="0" xfId="38" quotePrefix="1" applyFont="1"/>
    <xf numFmtId="43" fontId="49" fillId="0" borderId="0" xfId="39" applyNumberFormat="1" applyFont="1"/>
    <xf numFmtId="43" fontId="18" fillId="0" borderId="0" xfId="38" applyNumberFormat="1" applyFont="1"/>
    <xf numFmtId="0" fontId="18" fillId="0" borderId="0" xfId="37" applyFont="1"/>
    <xf numFmtId="0" fontId="18" fillId="0" borderId="0" xfId="37" applyFont="1" applyAlignment="1">
      <alignment horizontal="left"/>
    </xf>
    <xf numFmtId="165" fontId="43" fillId="0" borderId="0" xfId="37" applyNumberFormat="1" applyFont="1" applyAlignment="1">
      <alignment horizontal="left"/>
    </xf>
    <xf numFmtId="37" fontId="18" fillId="0" borderId="0" xfId="37" applyNumberFormat="1" applyFont="1"/>
    <xf numFmtId="0" fontId="43" fillId="0" borderId="0" xfId="37" applyFont="1" applyAlignment="1">
      <alignment horizontal="center"/>
    </xf>
    <xf numFmtId="0" fontId="43" fillId="0" borderId="0" xfId="36" applyFont="1" applyAlignment="1">
      <alignment horizontal="center"/>
    </xf>
    <xf numFmtId="0" fontId="43" fillId="0" borderId="0" xfId="36" applyFont="1" applyAlignment="1">
      <alignment horizontal="right"/>
    </xf>
    <xf numFmtId="165" fontId="43" fillId="0" borderId="0" xfId="36" applyNumberFormat="1" applyFont="1" applyAlignment="1">
      <alignment horizontal="right"/>
    </xf>
    <xf numFmtId="165" fontId="43" fillId="0" borderId="0" xfId="36" applyNumberFormat="1" applyFont="1" applyAlignment="1">
      <alignment horizontal="left"/>
    </xf>
    <xf numFmtId="0" fontId="43" fillId="0" borderId="0" xfId="36" applyFont="1" applyAlignment="1" applyProtection="1">
      <alignment horizontal="center"/>
      <protection locked="0"/>
    </xf>
    <xf numFmtId="0" fontId="18" fillId="0" borderId="0" xfId="28" applyFont="1" applyAlignment="1">
      <alignment horizontal="left"/>
    </xf>
    <xf numFmtId="0" fontId="18" fillId="0" borderId="0" xfId="35" applyFont="1"/>
    <xf numFmtId="0" fontId="18" fillId="0" borderId="0" xfId="22" applyFont="1"/>
    <xf numFmtId="0" fontId="18" fillId="0" borderId="0" xfId="22" applyFont="1" applyAlignment="1">
      <alignment horizontal="left"/>
    </xf>
    <xf numFmtId="0" fontId="18" fillId="0" borderId="0" xfId="22" applyFont="1" applyAlignment="1">
      <alignment horizontal="centerContinuous"/>
    </xf>
    <xf numFmtId="0" fontId="18" fillId="0" borderId="0" xfId="22" applyFont="1" applyAlignment="1">
      <alignment horizontal="center"/>
    </xf>
    <xf numFmtId="0" fontId="38" fillId="0" borderId="0" xfId="22" applyFont="1" applyAlignment="1">
      <alignment horizontal="center"/>
    </xf>
    <xf numFmtId="37" fontId="18" fillId="0" borderId="0" xfId="22" applyNumberFormat="1" applyFont="1"/>
    <xf numFmtId="166" fontId="18" fillId="0" borderId="0" xfId="22" applyNumberFormat="1" applyFont="1"/>
    <xf numFmtId="0" fontId="18" fillId="0" borderId="0" xfId="22" quotePrefix="1" applyFont="1"/>
    <xf numFmtId="0" fontId="18" fillId="0" borderId="0" xfId="21" applyFont="1"/>
    <xf numFmtId="0" fontId="18" fillId="0" borderId="0" xfId="30" applyFont="1" applyAlignment="1">
      <alignment horizontal="left"/>
    </xf>
    <xf numFmtId="0" fontId="18" fillId="0" borderId="0" xfId="30" applyFont="1"/>
    <xf numFmtId="37" fontId="38" fillId="0" borderId="0" xfId="34" applyNumberFormat="1" applyFont="1" applyProtection="1">
      <protection locked="0"/>
    </xf>
    <xf numFmtId="0" fontId="18" fillId="0" borderId="0" xfId="28" applyFont="1" applyAlignment="1">
      <alignment horizontal="center"/>
    </xf>
    <xf numFmtId="9" fontId="43" fillId="0" borderId="0" xfId="22" applyNumberFormat="1" applyFont="1" applyAlignment="1">
      <alignment horizontal="left"/>
    </xf>
    <xf numFmtId="0" fontId="43" fillId="0" borderId="0" xfId="32" applyFont="1" applyAlignment="1">
      <alignment horizontal="center"/>
    </xf>
    <xf numFmtId="0" fontId="26" fillId="0" borderId="0" xfId="8" applyFont="1" applyAlignment="1">
      <alignment horizontal="centerContinuous"/>
    </xf>
    <xf numFmtId="0" fontId="27" fillId="0" borderId="0" xfId="8" applyFont="1"/>
    <xf numFmtId="0" fontId="28" fillId="0" borderId="0" xfId="8" applyFont="1" applyAlignment="1" applyProtection="1">
      <alignment horizontal="left"/>
      <protection locked="0"/>
    </xf>
    <xf numFmtId="0" fontId="27" fillId="0" borderId="0" xfId="8" applyFont="1" applyAlignment="1">
      <alignment horizontal="centerContinuous"/>
    </xf>
    <xf numFmtId="0" fontId="87" fillId="0" borderId="0" xfId="8" applyFont="1" applyAlignment="1" applyProtection="1">
      <alignment horizontal="centerContinuous"/>
      <protection locked="0"/>
    </xf>
    <xf numFmtId="0" fontId="47" fillId="0" borderId="0" xfId="8" applyFont="1" applyAlignment="1" applyProtection="1">
      <alignment horizontal="centerContinuous"/>
      <protection locked="0"/>
    </xf>
    <xf numFmtId="0" fontId="18" fillId="0" borderId="0" xfId="8" applyFont="1"/>
    <xf numFmtId="15" fontId="79" fillId="0" borderId="0" xfId="8" quotePrefix="1" applyNumberFormat="1" applyFont="1" applyAlignment="1">
      <alignment horizontal="left"/>
    </xf>
    <xf numFmtId="0" fontId="18" fillId="0" borderId="0" xfId="8" applyFont="1" applyAlignment="1">
      <alignment horizontal="left"/>
    </xf>
    <xf numFmtId="0" fontId="90" fillId="0" borderId="0" xfId="8" applyFont="1"/>
    <xf numFmtId="0" fontId="18" fillId="0" borderId="0" xfId="8" applyFont="1" applyAlignment="1">
      <alignment horizontal="centerContinuous"/>
    </xf>
    <xf numFmtId="0" fontId="33" fillId="0" borderId="0" xfId="8" applyFont="1"/>
    <xf numFmtId="0" fontId="22" fillId="3" borderId="0" xfId="9" applyFont="1" applyFill="1"/>
    <xf numFmtId="0" fontId="29" fillId="3" borderId="0" xfId="9" applyFont="1" applyFill="1" applyAlignment="1">
      <alignment horizontal="centerContinuous"/>
    </xf>
    <xf numFmtId="0" fontId="22" fillId="3" borderId="0" xfId="9" applyFont="1" applyFill="1" applyAlignment="1">
      <alignment horizontal="center"/>
    </xf>
    <xf numFmtId="0" fontId="29" fillId="3" borderId="0" xfId="9" applyFont="1" applyFill="1" applyAlignment="1">
      <alignment horizontal="left"/>
    </xf>
    <xf numFmtId="0" fontId="22" fillId="2" borderId="4" xfId="7" applyFont="1" applyFill="1" applyBorder="1" applyAlignment="1">
      <alignment horizontal="centerContinuous"/>
    </xf>
    <xf numFmtId="0" fontId="22" fillId="2" borderId="5" xfId="7" applyFont="1" applyFill="1" applyBorder="1" applyAlignment="1">
      <alignment horizontal="centerContinuous"/>
    </xf>
    <xf numFmtId="0" fontId="22" fillId="2" borderId="6" xfId="4" applyFont="1" applyFill="1" applyBorder="1"/>
    <xf numFmtId="0" fontId="22" fillId="2" borderId="0" xfId="4" applyFont="1" applyFill="1"/>
    <xf numFmtId="0" fontId="22" fillId="2" borderId="0" xfId="7" applyFont="1" applyFill="1"/>
    <xf numFmtId="0" fontId="22" fillId="2" borderId="7" xfId="7" applyFont="1" applyFill="1" applyBorder="1"/>
    <xf numFmtId="0" fontId="22" fillId="2" borderId="6" xfId="7" applyFont="1" applyFill="1" applyBorder="1"/>
    <xf numFmtId="0" fontId="22" fillId="2" borderId="8" xfId="7" applyFont="1" applyFill="1" applyBorder="1"/>
    <xf numFmtId="0" fontId="22" fillId="2" borderId="9" xfId="7" applyFont="1" applyFill="1" applyBorder="1"/>
    <xf numFmtId="0" fontId="22" fillId="2" borderId="10" xfId="7" applyFont="1" applyFill="1" applyBorder="1"/>
    <xf numFmtId="0" fontId="91" fillId="4" borderId="0" xfId="9" applyFont="1" applyFill="1" applyAlignment="1">
      <alignment horizontal="centerContinuous"/>
    </xf>
    <xf numFmtId="0" fontId="91" fillId="4" borderId="0" xfId="9" applyFont="1" applyFill="1" applyAlignment="1">
      <alignment horizontal="left"/>
    </xf>
    <xf numFmtId="0" fontId="18" fillId="0" borderId="0" xfId="12" applyFont="1" applyAlignment="1">
      <alignment horizontal="centerContinuous"/>
    </xf>
    <xf numFmtId="0" fontId="18" fillId="0" borderId="0" xfId="11" applyFont="1" applyAlignment="1">
      <alignment horizontal="centerContinuous"/>
    </xf>
    <xf numFmtId="0" fontId="18" fillId="0" borderId="0" xfId="11" applyFont="1"/>
    <xf numFmtId="0" fontId="18" fillId="0" borderId="0" xfId="11" applyFont="1" applyAlignment="1">
      <alignment horizontal="left"/>
    </xf>
    <xf numFmtId="0" fontId="18" fillId="0" borderId="0" xfId="11" applyFont="1" applyAlignment="1">
      <alignment horizontal="center"/>
    </xf>
    <xf numFmtId="0" fontId="38" fillId="0" borderId="0" xfId="11" applyFont="1" applyAlignment="1">
      <alignment horizontal="centerContinuous"/>
    </xf>
    <xf numFmtId="37" fontId="18" fillId="0" borderId="0" xfId="11" applyNumberFormat="1" applyFont="1" applyAlignment="1">
      <alignment horizontal="center"/>
    </xf>
    <xf numFmtId="37" fontId="18" fillId="0" borderId="0" xfId="11" applyNumberFormat="1" applyFont="1"/>
    <xf numFmtId="166" fontId="18" fillId="0" borderId="0" xfId="11" applyNumberFormat="1" applyFont="1"/>
    <xf numFmtId="174" fontId="18" fillId="0" borderId="0" xfId="11" applyNumberFormat="1" applyFont="1"/>
    <xf numFmtId="0" fontId="18" fillId="0" borderId="0" xfId="11" quotePrefix="1" applyFont="1" applyAlignment="1">
      <alignment horizontal="center"/>
    </xf>
    <xf numFmtId="37" fontId="49" fillId="0" borderId="0" xfId="0" applyNumberFormat="1" applyFont="1"/>
    <xf numFmtId="0" fontId="49" fillId="0" borderId="0" xfId="62" applyFont="1" applyAlignment="1">
      <alignment horizontal="center"/>
    </xf>
    <xf numFmtId="0" fontId="49" fillId="0" borderId="0" xfId="62" applyFont="1"/>
    <xf numFmtId="0" fontId="49" fillId="0" borderId="0" xfId="0" applyFont="1"/>
    <xf numFmtId="10" fontId="49" fillId="0" borderId="0" xfId="62" applyNumberFormat="1" applyFont="1"/>
    <xf numFmtId="37" fontId="50" fillId="0" borderId="0" xfId="20" applyNumberFormat="1" applyFont="1" applyAlignment="1">
      <alignment horizontal="right"/>
    </xf>
    <xf numFmtId="0" fontId="18" fillId="0" borderId="0" xfId="23" applyFont="1"/>
    <xf numFmtId="0" fontId="49" fillId="0" borderId="0" xfId="2" applyFont="1" applyAlignment="1">
      <alignment horizontal="left"/>
    </xf>
    <xf numFmtId="0" fontId="49" fillId="0" borderId="0" xfId="2" applyFont="1" applyAlignment="1">
      <alignment horizontal="center"/>
    </xf>
    <xf numFmtId="183" fontId="18" fillId="0" borderId="0" xfId="1" quotePrefix="1" applyNumberFormat="1" applyFont="1" applyFill="1" applyBorder="1"/>
    <xf numFmtId="0" fontId="33" fillId="6" borderId="0" xfId="2" applyFont="1" applyFill="1" applyAlignment="1">
      <alignment horizontal="centerContinuous"/>
    </xf>
    <xf numFmtId="0" fontId="40" fillId="0" borderId="0" xfId="7" quotePrefix="1" applyFont="1"/>
    <xf numFmtId="0" fontId="40" fillId="0" borderId="0" xfId="7" quotePrefix="1" applyFont="1" applyAlignment="1" applyProtection="1">
      <alignment horizontal="left"/>
      <protection locked="0"/>
    </xf>
    <xf numFmtId="0" fontId="18" fillId="0" borderId="0" xfId="7" applyFont="1" applyAlignment="1" applyProtection="1">
      <alignment horizontal="center"/>
      <protection locked="0"/>
    </xf>
    <xf numFmtId="0" fontId="18" fillId="0" borderId="0" xfId="7" quotePrefix="1" applyFont="1" applyAlignment="1" applyProtection="1">
      <alignment horizontal="center"/>
      <protection locked="0"/>
    </xf>
    <xf numFmtId="166" fontId="18" fillId="0" borderId="0" xfId="7" applyNumberFormat="1" applyFont="1"/>
    <xf numFmtId="37" fontId="18" fillId="0" borderId="0" xfId="18" quotePrefix="1" applyNumberFormat="1" applyFont="1"/>
    <xf numFmtId="0" fontId="18" fillId="0" borderId="0" xfId="19" applyFont="1" applyAlignment="1">
      <alignment horizontal="left"/>
    </xf>
    <xf numFmtId="37" fontId="18" fillId="0" borderId="0" xfId="20" quotePrefix="1" applyNumberFormat="1" applyFont="1"/>
    <xf numFmtId="181" fontId="33" fillId="0" borderId="0" xfId="10" applyFont="1" applyAlignment="1">
      <alignment horizontal="left"/>
    </xf>
    <xf numFmtId="181" fontId="41" fillId="0" borderId="0" xfId="10" applyFont="1" applyAlignment="1">
      <alignment horizontal="left"/>
    </xf>
    <xf numFmtId="181" fontId="18" fillId="0" borderId="0" xfId="10" applyFont="1" applyAlignment="1">
      <alignment horizontal="left" indent="2"/>
    </xf>
    <xf numFmtId="37" fontId="18" fillId="0" borderId="0" xfId="10" applyNumberFormat="1" applyFont="1" applyAlignment="1">
      <alignment horizontal="left" indent="1"/>
    </xf>
    <xf numFmtId="44" fontId="18" fillId="0" borderId="0" xfId="10" applyNumberFormat="1" applyFont="1"/>
    <xf numFmtId="41" fontId="22" fillId="0" borderId="0" xfId="10" applyNumberFormat="1" applyFont="1"/>
    <xf numFmtId="0" fontId="18" fillId="0" borderId="0" xfId="19" applyFont="1" applyAlignment="1">
      <alignment horizontal="left" indent="1"/>
    </xf>
    <xf numFmtId="0" fontId="33" fillId="0" borderId="0" xfId="0" applyFont="1"/>
    <xf numFmtId="0" fontId="41" fillId="0" borderId="0" xfId="0" applyFont="1"/>
    <xf numFmtId="0" fontId="108" fillId="0" borderId="0" xfId="2" applyFont="1"/>
    <xf numFmtId="0" fontId="50" fillId="0" borderId="0" xfId="3" applyFont="1" applyProtection="1"/>
    <xf numFmtId="0" fontId="50" fillId="0" borderId="0" xfId="3" applyFont="1" applyAlignment="1" applyProtection="1">
      <alignment horizontal="left"/>
    </xf>
    <xf numFmtId="9" fontId="18" fillId="0" borderId="0" xfId="3" applyNumberFormat="1" applyFont="1"/>
    <xf numFmtId="0" fontId="18" fillId="0" borderId="0" xfId="45" applyFont="1" applyAlignment="1">
      <alignment horizontal="fill"/>
    </xf>
    <xf numFmtId="10" fontId="43" fillId="0" borderId="0" xfId="59" applyNumberFormat="1" applyFont="1"/>
    <xf numFmtId="10" fontId="43" fillId="0" borderId="0" xfId="59" applyNumberFormat="1" applyFont="1" applyAlignment="1">
      <alignment horizontal="centerContinuous"/>
    </xf>
    <xf numFmtId="0" fontId="18" fillId="0" borderId="0" xfId="13" applyFont="1" applyAlignment="1">
      <alignment horizontal="left" indent="2"/>
    </xf>
    <xf numFmtId="0" fontId="72" fillId="0" borderId="0" xfId="0" applyFont="1"/>
    <xf numFmtId="37" fontId="18" fillId="0" borderId="0" xfId="1487" applyNumberFormat="1" applyFont="1"/>
    <xf numFmtId="41" fontId="107" fillId="0" borderId="0" xfId="19" applyNumberFormat="1" applyFont="1"/>
    <xf numFmtId="42" fontId="18" fillId="0" borderId="0" xfId="21" applyNumberFormat="1" applyFont="1"/>
    <xf numFmtId="0" fontId="18" fillId="0" borderId="0" xfId="35" applyFont="1" applyAlignment="1">
      <alignment horizontal="left"/>
    </xf>
    <xf numFmtId="0" fontId="18" fillId="0" borderId="0" xfId="35" applyFont="1" applyAlignment="1">
      <alignment horizontal="right"/>
    </xf>
    <xf numFmtId="0" fontId="18" fillId="0" borderId="0" xfId="32" applyFont="1" applyAlignment="1">
      <alignment horizontal="right"/>
    </xf>
    <xf numFmtId="0" fontId="18" fillId="0" borderId="0" xfId="32" applyFont="1"/>
    <xf numFmtId="166" fontId="74" fillId="0" borderId="0" xfId="30" applyNumberFormat="1" applyFont="1"/>
    <xf numFmtId="42" fontId="78" fillId="0" borderId="0" xfId="21" applyNumberFormat="1" applyFont="1"/>
    <xf numFmtId="0" fontId="49" fillId="0" borderId="0" xfId="35" applyFont="1" applyAlignment="1">
      <alignment horizontal="center"/>
    </xf>
    <xf numFmtId="181" fontId="18" fillId="0" borderId="0" xfId="10" quotePrefix="1" applyFont="1"/>
    <xf numFmtId="0" fontId="18" fillId="0" borderId="0" xfId="1485"/>
    <xf numFmtId="181" fontId="22" fillId="0" borderId="0" xfId="10" applyFont="1"/>
    <xf numFmtId="37" fontId="22" fillId="0" borderId="0" xfId="10" applyNumberFormat="1" applyFont="1"/>
    <xf numFmtId="37" fontId="22" fillId="0" borderId="0" xfId="10" applyNumberFormat="1" applyFont="1" applyAlignment="1">
      <alignment horizontal="left"/>
    </xf>
    <xf numFmtId="37" fontId="22" fillId="0" borderId="0" xfId="10" applyNumberFormat="1" applyFont="1" applyProtection="1">
      <protection locked="0"/>
    </xf>
    <xf numFmtId="181" fontId="22" fillId="0" borderId="0" xfId="10" applyFont="1" applyAlignment="1">
      <alignment horizontal="center"/>
    </xf>
    <xf numFmtId="181" fontId="22" fillId="0" borderId="0" xfId="10" applyFont="1" applyAlignment="1" applyProtection="1">
      <alignment horizontal="center"/>
      <protection locked="0"/>
    </xf>
    <xf numFmtId="181" fontId="22" fillId="0" borderId="0" xfId="10" applyFont="1" applyAlignment="1">
      <alignment horizontal="centerContinuous"/>
    </xf>
    <xf numFmtId="39" fontId="22" fillId="0" borderId="0" xfId="10" applyNumberFormat="1" applyFont="1"/>
    <xf numFmtId="0" fontId="22" fillId="0" borderId="0" xfId="16" applyFont="1"/>
    <xf numFmtId="0" fontId="18" fillId="0" borderId="0" xfId="21" applyFont="1" applyAlignment="1">
      <alignment horizontal="center"/>
    </xf>
    <xf numFmtId="0" fontId="38" fillId="0" borderId="0" xfId="21" applyFont="1" applyAlignment="1">
      <alignment horizontal="center"/>
    </xf>
    <xf numFmtId="166" fontId="38" fillId="0" borderId="0" xfId="30" applyNumberFormat="1" applyFont="1"/>
    <xf numFmtId="0" fontId="18" fillId="0" borderId="0" xfId="30" applyFont="1" applyAlignment="1">
      <alignment horizontal="right"/>
    </xf>
    <xf numFmtId="194" fontId="78" fillId="0" borderId="0" xfId="21" applyNumberFormat="1" applyFont="1"/>
    <xf numFmtId="0" fontId="18" fillId="0" borderId="0" xfId="7" applyFont="1" applyAlignment="1">
      <alignment vertical="top"/>
    </xf>
    <xf numFmtId="166" fontId="18" fillId="0" borderId="0" xfId="5" applyNumberFormat="1" applyFont="1"/>
    <xf numFmtId="37" fontId="18" fillId="0" borderId="0" xfId="5" applyNumberFormat="1" applyFont="1" applyAlignment="1">
      <alignment horizontal="fill"/>
    </xf>
    <xf numFmtId="0" fontId="18" fillId="0" borderId="0" xfId="5" applyFont="1" applyAlignment="1">
      <alignment horizontal="centerContinuous"/>
    </xf>
    <xf numFmtId="0" fontId="18" fillId="0" borderId="0" xfId="31" applyFont="1" applyAlignment="1">
      <alignment horizontal="centerContinuous"/>
    </xf>
    <xf numFmtId="0" fontId="18" fillId="0" borderId="0" xfId="31" applyFont="1"/>
    <xf numFmtId="0" fontId="18" fillId="0" borderId="0" xfId="5" applyFont="1" applyAlignment="1">
      <alignment horizontal="fill"/>
    </xf>
    <xf numFmtId="166" fontId="38" fillId="0" borderId="0" xfId="31" applyNumberFormat="1" applyFont="1"/>
    <xf numFmtId="0" fontId="18" fillId="0" borderId="0" xfId="5" applyFont="1" applyAlignment="1">
      <alignment horizontal="right"/>
    </xf>
    <xf numFmtId="0" fontId="40" fillId="0" borderId="0" xfId="31" applyFont="1" applyAlignment="1">
      <alignment horizontal="left"/>
    </xf>
    <xf numFmtId="0" fontId="18" fillId="0" borderId="0" xfId="46" applyFont="1" applyAlignment="1" applyProtection="1">
      <alignment horizontal="left"/>
      <protection locked="0"/>
    </xf>
    <xf numFmtId="165" fontId="18" fillId="0" borderId="0" xfId="19" applyNumberFormat="1" applyFont="1"/>
    <xf numFmtId="37" fontId="49" fillId="0" borderId="0" xfId="5" applyNumberFormat="1" applyFont="1"/>
    <xf numFmtId="42" fontId="49" fillId="0" borderId="0" xfId="5" applyNumberFormat="1" applyFont="1"/>
    <xf numFmtId="0" fontId="18" fillId="0" borderId="0" xfId="49" applyFont="1" applyAlignment="1">
      <alignment horizontal="left" indent="1"/>
    </xf>
    <xf numFmtId="0" fontId="18" fillId="0" borderId="0" xfId="33" applyFont="1" applyAlignment="1">
      <alignment horizontal="left"/>
    </xf>
    <xf numFmtId="0" fontId="40" fillId="0" borderId="0" xfId="33" applyFont="1" applyAlignment="1">
      <alignment horizontal="center"/>
    </xf>
    <xf numFmtId="0" fontId="18" fillId="0" borderId="0" xfId="33" applyFont="1"/>
    <xf numFmtId="41" fontId="107" fillId="0" borderId="0" xfId="21" quotePrefix="1" applyNumberFormat="1" applyFont="1"/>
    <xf numFmtId="42" fontId="18" fillId="0" borderId="0" xfId="21" quotePrefix="1" applyNumberFormat="1" applyFont="1" applyAlignment="1">
      <alignment horizontal="centerContinuous"/>
    </xf>
    <xf numFmtId="0" fontId="38" fillId="0" borderId="0" xfId="1487" applyFont="1"/>
    <xf numFmtId="42" fontId="18" fillId="0" borderId="0" xfId="21" quotePrefix="1" applyNumberFormat="1" applyFont="1"/>
    <xf numFmtId="0" fontId="18" fillId="0" borderId="0" xfId="1487" applyFont="1"/>
    <xf numFmtId="41" fontId="86" fillId="0" borderId="0" xfId="21" quotePrefix="1" applyNumberFormat="1" applyFont="1"/>
    <xf numFmtId="42" fontId="40" fillId="0" borderId="0" xfId="21" quotePrefix="1" applyNumberFormat="1" applyFont="1"/>
    <xf numFmtId="183" fontId="18" fillId="0" borderId="0" xfId="7" applyNumberFormat="1" applyFont="1"/>
    <xf numFmtId="206" fontId="18" fillId="0" borderId="0" xfId="7" applyNumberFormat="1" applyFont="1"/>
    <xf numFmtId="0" fontId="18" fillId="0" borderId="0" xfId="21" applyFont="1" applyAlignment="1">
      <alignment horizontal="left"/>
    </xf>
    <xf numFmtId="0" fontId="38" fillId="0" borderId="0" xfId="30" applyFont="1" applyAlignment="1">
      <alignment horizontal="left"/>
    </xf>
    <xf numFmtId="41" fontId="18" fillId="0" borderId="0" xfId="21" applyNumberFormat="1" applyFont="1"/>
    <xf numFmtId="41" fontId="107" fillId="0" borderId="0" xfId="21" applyNumberFormat="1" applyFont="1"/>
    <xf numFmtId="0" fontId="18" fillId="0" borderId="0" xfId="58" applyFont="1" applyAlignment="1">
      <alignment horizontal="left"/>
    </xf>
    <xf numFmtId="0" fontId="0" fillId="0" borderId="0" xfId="14" applyFont="1" applyAlignment="1">
      <alignment horizontal="left" indent="1"/>
    </xf>
    <xf numFmtId="37" fontId="40" fillId="0" borderId="0" xfId="39" quotePrefix="1" applyNumberFormat="1" applyFont="1"/>
    <xf numFmtId="37" fontId="18" fillId="0" borderId="0" xfId="59" applyNumberFormat="1" applyFont="1" applyAlignment="1">
      <alignment horizontal="right"/>
    </xf>
    <xf numFmtId="37" fontId="18" fillId="0" borderId="0" xfId="38" applyNumberFormat="1" applyFont="1" applyAlignment="1">
      <alignment horizontal="centerContinuous"/>
    </xf>
    <xf numFmtId="37" fontId="18" fillId="0" borderId="0" xfId="2" quotePrefix="1" applyNumberFormat="1" applyFont="1"/>
    <xf numFmtId="37" fontId="18" fillId="0" borderId="0" xfId="43" applyNumberFormat="1" applyFont="1"/>
    <xf numFmtId="37" fontId="18" fillId="0" borderId="0" xfId="40" applyNumberFormat="1" applyFont="1"/>
    <xf numFmtId="41" fontId="49" fillId="0" borderId="0" xfId="39" applyNumberFormat="1" applyFont="1"/>
    <xf numFmtId="39" fontId="18" fillId="0" borderId="0" xfId="38" applyNumberFormat="1" applyFont="1"/>
    <xf numFmtId="10" fontId="18" fillId="0" borderId="0" xfId="58" applyNumberFormat="1" applyFont="1"/>
    <xf numFmtId="37" fontId="18" fillId="0" borderId="0" xfId="58" applyNumberFormat="1" applyFont="1"/>
    <xf numFmtId="39" fontId="18" fillId="0" borderId="0" xfId="58" applyNumberFormat="1" applyFont="1"/>
    <xf numFmtId="0" fontId="18" fillId="0" borderId="0" xfId="58" applyFont="1"/>
    <xf numFmtId="37" fontId="50" fillId="0" borderId="0" xfId="38" applyNumberFormat="1" applyFont="1" applyAlignment="1">
      <alignment horizontal="left"/>
    </xf>
    <xf numFmtId="180" fontId="18" fillId="0" borderId="0" xfId="38" applyNumberFormat="1" applyFont="1"/>
    <xf numFmtId="37" fontId="49" fillId="0" borderId="0" xfId="39" applyNumberFormat="1" applyFont="1"/>
    <xf numFmtId="17" fontId="18" fillId="0" borderId="0" xfId="7" applyNumberFormat="1" applyFont="1" applyAlignment="1">
      <alignment horizontal="center"/>
    </xf>
    <xf numFmtId="0" fontId="49" fillId="0" borderId="0" xfId="7" quotePrefix="1" applyFont="1" applyAlignment="1" applyProtection="1">
      <alignment horizontal="center"/>
      <protection locked="0"/>
    </xf>
    <xf numFmtId="0" fontId="72" fillId="0" borderId="0" xfId="20" applyFont="1"/>
    <xf numFmtId="166" fontId="0" fillId="0" borderId="0" xfId="7" applyNumberFormat="1" applyFont="1" applyAlignment="1" applyProtection="1">
      <alignment horizontal="left"/>
      <protection locked="0"/>
    </xf>
    <xf numFmtId="0" fontId="38" fillId="0" borderId="0" xfId="7" applyFont="1" applyAlignment="1">
      <alignment horizontal="left" indent="1"/>
    </xf>
    <xf numFmtId="166" fontId="18" fillId="0" borderId="0" xfId="63" applyNumberFormat="1" applyFont="1" applyFill="1"/>
    <xf numFmtId="183" fontId="48" fillId="0" borderId="0" xfId="1" applyNumberFormat="1" applyFont="1" applyFill="1" applyProtection="1">
      <protection locked="0"/>
    </xf>
    <xf numFmtId="183" fontId="18" fillId="0" borderId="0" xfId="1" applyNumberFormat="1" applyFont="1" applyFill="1" applyProtection="1"/>
    <xf numFmtId="183" fontId="49" fillId="0" borderId="0" xfId="1" applyNumberFormat="1" applyFont="1" applyFill="1" applyProtection="1">
      <protection locked="0"/>
    </xf>
    <xf numFmtId="166" fontId="18" fillId="0" borderId="0" xfId="7" applyNumberFormat="1" applyFont="1" applyAlignment="1" applyProtection="1">
      <alignment horizontal="left"/>
      <protection locked="0"/>
    </xf>
    <xf numFmtId="175" fontId="48" fillId="0" borderId="0" xfId="7" applyNumberFormat="1" applyFont="1" applyProtection="1">
      <protection locked="0"/>
    </xf>
    <xf numFmtId="166" fontId="18" fillId="0" borderId="0" xfId="63" applyNumberFormat="1" applyFont="1" applyFill="1" applyAlignment="1">
      <alignment horizontal="center"/>
    </xf>
    <xf numFmtId="0" fontId="38" fillId="0" borderId="0" xfId="7" applyFont="1" applyAlignment="1" applyProtection="1">
      <alignment horizontal="left" indent="1"/>
      <protection locked="0"/>
    </xf>
    <xf numFmtId="183" fontId="18" fillId="0" borderId="0" xfId="1" applyNumberFormat="1" applyFont="1" applyFill="1"/>
    <xf numFmtId="0" fontId="48" fillId="0" borderId="0" xfId="7" applyFont="1"/>
    <xf numFmtId="37" fontId="18" fillId="0" borderId="0" xfId="21" quotePrefix="1" applyNumberFormat="1" applyFont="1" applyAlignment="1">
      <alignment horizontal="right"/>
    </xf>
    <xf numFmtId="0" fontId="33" fillId="0" borderId="0" xfId="14" applyFont="1" applyAlignment="1">
      <alignment horizontal="left"/>
    </xf>
    <xf numFmtId="0" fontId="0" fillId="0" borderId="0" xfId="39" applyFont="1" applyAlignment="1">
      <alignment horizontal="center"/>
    </xf>
    <xf numFmtId="0" fontId="18" fillId="0" borderId="0" xfId="59" quotePrefix="1" applyFont="1" applyAlignment="1">
      <alignment horizontal="left"/>
    </xf>
    <xf numFmtId="37" fontId="48" fillId="0" borderId="0" xfId="47" applyNumberFormat="1" applyFont="1"/>
    <xf numFmtId="37" fontId="18" fillId="0" borderId="0" xfId="14" applyNumberFormat="1" applyFont="1" applyAlignment="1">
      <alignment horizontal="centerContinuous"/>
    </xf>
    <xf numFmtId="42" fontId="0" fillId="0" borderId="0" xfId="0" applyNumberFormat="1"/>
    <xf numFmtId="0" fontId="49" fillId="0" borderId="0" xfId="5" applyFont="1" applyAlignment="1">
      <alignment horizontal="center"/>
    </xf>
    <xf numFmtId="0" fontId="0" fillId="0" borderId="0" xfId="59" quotePrefix="1" applyFont="1"/>
    <xf numFmtId="0" fontId="18" fillId="0" borderId="0" xfId="34" applyFont="1" applyAlignment="1">
      <alignment horizontal="left"/>
    </xf>
    <xf numFmtId="0" fontId="18" fillId="0" borderId="0" xfId="24" applyFont="1" applyAlignment="1">
      <alignment horizontal="left"/>
    </xf>
    <xf numFmtId="0" fontId="24" fillId="0" borderId="0" xfId="58" applyFont="1"/>
    <xf numFmtId="37" fontId="49" fillId="0" borderId="0" xfId="1487" applyNumberFormat="1" applyFont="1"/>
    <xf numFmtId="0" fontId="18" fillId="0" borderId="0" xfId="59" quotePrefix="1" applyFont="1" applyAlignment="1">
      <alignment horizontal="center"/>
    </xf>
    <xf numFmtId="0" fontId="18" fillId="0" borderId="0" xfId="59" quotePrefix="1" applyFont="1"/>
    <xf numFmtId="37" fontId="18" fillId="0" borderId="0" xfId="59" applyNumberFormat="1" applyFont="1" applyAlignment="1">
      <alignment horizontal="center"/>
    </xf>
    <xf numFmtId="0" fontId="18" fillId="0" borderId="0" xfId="59" applyFont="1" applyAlignment="1">
      <alignment horizontal="centerContinuous"/>
    </xf>
    <xf numFmtId="0" fontId="18" fillId="0" borderId="0" xfId="59" quotePrefix="1" applyFont="1" applyAlignment="1">
      <alignment horizontal="centerContinuous"/>
    </xf>
    <xf numFmtId="37" fontId="18" fillId="0" borderId="0" xfId="59" applyNumberFormat="1" applyFont="1" applyAlignment="1">
      <alignment horizontal="left"/>
    </xf>
    <xf numFmtId="0" fontId="33" fillId="0" borderId="0" xfId="59" applyFont="1"/>
    <xf numFmtId="0" fontId="49" fillId="0" borderId="0" xfId="0" applyFont="1" applyAlignment="1">
      <alignment horizontal="center"/>
    </xf>
    <xf numFmtId="0" fontId="18" fillId="0" borderId="0" xfId="0" quotePrefix="1" applyFont="1" applyAlignment="1">
      <alignment horizontal="center"/>
    </xf>
    <xf numFmtId="10" fontId="18" fillId="0" borderId="0" xfId="59" applyNumberFormat="1" applyFont="1"/>
    <xf numFmtId="3" fontId="18" fillId="0" borderId="0" xfId="59" applyNumberFormat="1" applyFont="1" applyAlignment="1">
      <alignment horizontal="right"/>
    </xf>
    <xf numFmtId="37" fontId="40" fillId="0" borderId="0" xfId="62" applyNumberFormat="1" applyFont="1"/>
    <xf numFmtId="37" fontId="49" fillId="0" borderId="0" xfId="9818" applyNumberFormat="1" applyFont="1"/>
    <xf numFmtId="37" fontId="18" fillId="0" borderId="0" xfId="5" applyNumberFormat="1" applyFont="1" applyAlignment="1">
      <alignment horizontal="center"/>
    </xf>
    <xf numFmtId="166" fontId="49" fillId="0" borderId="0" xfId="15053" applyNumberFormat="1" applyFont="1" applyAlignment="1" applyProtection="1">
      <alignment horizontal="center"/>
      <protection locked="0"/>
    </xf>
    <xf numFmtId="175" fontId="49" fillId="0" borderId="0" xfId="7" applyNumberFormat="1" applyFont="1" applyProtection="1">
      <protection locked="0"/>
    </xf>
    <xf numFmtId="166" fontId="49" fillId="0" borderId="0" xfId="63" applyNumberFormat="1" applyFont="1" applyFill="1" applyAlignment="1">
      <alignment horizontal="center"/>
    </xf>
    <xf numFmtId="0" fontId="49" fillId="0" borderId="0" xfId="7" applyFont="1" applyAlignment="1">
      <alignment horizontal="left"/>
    </xf>
    <xf numFmtId="0" fontId="49" fillId="0" borderId="0" xfId="7" applyFont="1" applyAlignment="1">
      <alignment horizontal="center"/>
    </xf>
    <xf numFmtId="166" fontId="49" fillId="0" borderId="0" xfId="0" applyNumberFormat="1" applyFont="1" applyAlignment="1">
      <alignment horizontal="center"/>
    </xf>
    <xf numFmtId="166" fontId="49" fillId="0" borderId="0" xfId="0" applyNumberFormat="1" applyFont="1" applyAlignment="1">
      <alignment horizontal="left"/>
    </xf>
    <xf numFmtId="10" fontId="49" fillId="0" borderId="0" xfId="7" applyNumberFormat="1" applyFont="1"/>
    <xf numFmtId="0" fontId="18" fillId="0" borderId="0" xfId="12" quotePrefix="1" applyFont="1"/>
    <xf numFmtId="37" fontId="18" fillId="0" borderId="0" xfId="35" applyNumberFormat="1" applyFont="1" applyAlignment="1">
      <alignment horizontal="centerContinuous"/>
    </xf>
    <xf numFmtId="0" fontId="18" fillId="0" borderId="0" xfId="1487" applyFont="1" applyAlignment="1">
      <alignment horizontal="center"/>
    </xf>
    <xf numFmtId="37" fontId="18" fillId="0" borderId="0" xfId="13" applyNumberFormat="1" applyFont="1" applyAlignment="1">
      <alignment horizontal="right"/>
    </xf>
    <xf numFmtId="37" fontId="50" fillId="0" borderId="0" xfId="12" applyNumberFormat="1" applyFont="1"/>
    <xf numFmtId="0" fontId="50" fillId="0" borderId="0" xfId="0" applyFont="1"/>
    <xf numFmtId="42" fontId="18" fillId="0" borderId="0" xfId="5" applyNumberFormat="1" applyFont="1" applyAlignment="1">
      <alignment horizontal="right"/>
    </xf>
    <xf numFmtId="183" fontId="0" fillId="0" borderId="0" xfId="1" applyNumberFormat="1" applyFont="1" applyFill="1"/>
    <xf numFmtId="0" fontId="38" fillId="0" borderId="0" xfId="0" applyFont="1"/>
    <xf numFmtId="183" fontId="18" fillId="0" borderId="0" xfId="1" applyNumberFormat="1" applyFont="1" applyFill="1" applyBorder="1"/>
    <xf numFmtId="226" fontId="0" fillId="0" borderId="0" xfId="43977" applyNumberFormat="1" applyFont="1" applyFill="1"/>
    <xf numFmtId="178" fontId="18" fillId="0" borderId="0" xfId="7" applyNumberFormat="1" applyFont="1" applyAlignment="1">
      <alignment horizontal="center"/>
    </xf>
    <xf numFmtId="170" fontId="18" fillId="0" borderId="0" xfId="54" applyNumberFormat="1" applyFont="1"/>
    <xf numFmtId="0" fontId="18" fillId="0" borderId="0" xfId="54" quotePrefix="1" applyFont="1" applyAlignment="1">
      <alignment horizontal="center"/>
    </xf>
    <xf numFmtId="0" fontId="18" fillId="0" borderId="0" xfId="54" applyFont="1"/>
    <xf numFmtId="0" fontId="18" fillId="0" borderId="0" xfId="54" quotePrefix="1" applyFont="1" applyAlignment="1">
      <alignment horizontal="right"/>
    </xf>
    <xf numFmtId="0" fontId="18" fillId="0" borderId="0" xfId="54" applyFont="1" applyAlignment="1" applyProtection="1">
      <alignment horizontal="centerContinuous"/>
      <protection locked="0"/>
    </xf>
    <xf numFmtId="0" fontId="40" fillId="0" borderId="0" xfId="54" applyFont="1" applyAlignment="1" applyProtection="1">
      <alignment horizontal="left"/>
      <protection locked="0"/>
    </xf>
    <xf numFmtId="0" fontId="18" fillId="0" borderId="0" xfId="54" applyFont="1" applyAlignment="1">
      <alignment horizontal="left"/>
    </xf>
    <xf numFmtId="0" fontId="40" fillId="0" borderId="0" xfId="54" applyFont="1" applyAlignment="1" applyProtection="1">
      <alignment horizontal="centerContinuous"/>
      <protection locked="0"/>
    </xf>
    <xf numFmtId="0" fontId="43" fillId="0" borderId="0" xfId="54" applyFont="1" applyAlignment="1" applyProtection="1">
      <alignment horizontal="left"/>
      <protection locked="0"/>
    </xf>
    <xf numFmtId="0" fontId="18" fillId="0" borderId="0" xfId="54" applyFont="1" applyAlignment="1">
      <alignment horizontal="fill"/>
    </xf>
    <xf numFmtId="0" fontId="38" fillId="0" borderId="0" xfId="54" applyFont="1" applyAlignment="1">
      <alignment horizontal="left"/>
    </xf>
    <xf numFmtId="170" fontId="43" fillId="0" borderId="0" xfId="54" applyNumberFormat="1" applyFont="1" applyProtection="1">
      <protection locked="0"/>
    </xf>
    <xf numFmtId="170" fontId="38" fillId="0" borderId="0" xfId="54" applyNumberFormat="1" applyFont="1" applyProtection="1">
      <protection locked="0"/>
    </xf>
    <xf numFmtId="170" fontId="38" fillId="0" borderId="0" xfId="54" applyNumberFormat="1" applyFont="1"/>
    <xf numFmtId="170" fontId="18" fillId="0" borderId="0" xfId="54" applyNumberFormat="1" applyFont="1" applyAlignment="1">
      <alignment horizontal="right"/>
    </xf>
    <xf numFmtId="170" fontId="46" fillId="0" borderId="0" xfId="54" applyNumberFormat="1" applyFont="1" applyProtection="1">
      <protection locked="0"/>
    </xf>
    <xf numFmtId="170" fontId="38" fillId="0" borderId="0" xfId="53" applyNumberFormat="1" applyFont="1" applyAlignment="1">
      <alignment horizontal="right"/>
    </xf>
    <xf numFmtId="0" fontId="18" fillId="0" borderId="0" xfId="54" quotePrefix="1" applyFont="1" applyAlignment="1">
      <alignment horizontal="left"/>
    </xf>
    <xf numFmtId="0" fontId="33" fillId="0" borderId="0" xfId="5" applyFont="1"/>
    <xf numFmtId="0" fontId="33" fillId="0" borderId="0" xfId="5" applyFont="1" applyAlignment="1">
      <alignment horizontal="center"/>
    </xf>
    <xf numFmtId="0" fontId="41" fillId="0" borderId="0" xfId="5" applyFont="1" applyAlignment="1">
      <alignment horizontal="center"/>
    </xf>
    <xf numFmtId="0" fontId="32" fillId="0" borderId="0" xfId="5" applyFont="1" applyAlignment="1">
      <alignment horizontal="center"/>
    </xf>
    <xf numFmtId="0" fontId="18" fillId="0" borderId="0" xfId="53" quotePrefix="1" applyFont="1" applyAlignment="1">
      <alignment horizontal="centerContinuous"/>
    </xf>
    <xf numFmtId="0" fontId="18" fillId="0" borderId="0" xfId="54" quotePrefix="1" applyFont="1" applyAlignment="1" applyProtection="1">
      <alignment horizontal="centerContinuous"/>
      <protection locked="0"/>
    </xf>
    <xf numFmtId="0" fontId="18" fillId="0" borderId="0" xfId="53" quotePrefix="1" applyFont="1"/>
    <xf numFmtId="37" fontId="18" fillId="0" borderId="0" xfId="49" applyNumberFormat="1" applyFont="1" applyProtection="1">
      <protection locked="0"/>
    </xf>
    <xf numFmtId="0" fontId="18" fillId="0" borderId="0" xfId="48" applyFont="1" applyAlignment="1">
      <alignment horizontal="centerContinuous"/>
    </xf>
    <xf numFmtId="0" fontId="18" fillId="0" borderId="0" xfId="48" applyFont="1"/>
    <xf numFmtId="37" fontId="18" fillId="0" borderId="0" xfId="48" applyNumberFormat="1" applyFont="1" applyAlignment="1">
      <alignment horizontal="centerContinuous"/>
    </xf>
    <xf numFmtId="0" fontId="18" fillId="0" borderId="0" xfId="48" applyFont="1" applyAlignment="1">
      <alignment horizontal="left"/>
    </xf>
    <xf numFmtId="0" fontId="18" fillId="0" borderId="0" xfId="41" applyFont="1" applyAlignment="1">
      <alignment horizontal="fill"/>
    </xf>
    <xf numFmtId="0" fontId="18" fillId="0" borderId="0" xfId="41" applyFont="1" applyAlignment="1">
      <alignment horizontal="centerContinuous"/>
    </xf>
    <xf numFmtId="37" fontId="18" fillId="0" borderId="0" xfId="41" applyNumberFormat="1" applyFont="1" applyAlignment="1">
      <alignment horizontal="center"/>
    </xf>
    <xf numFmtId="165" fontId="18" fillId="0" borderId="0" xfId="41" applyNumberFormat="1" applyFont="1" applyAlignment="1">
      <alignment horizontal="center"/>
    </xf>
    <xf numFmtId="165" fontId="18" fillId="0" borderId="0" xfId="41" applyNumberFormat="1" applyFont="1" applyAlignment="1">
      <alignment horizontal="centerContinuous"/>
    </xf>
    <xf numFmtId="0" fontId="18" fillId="0" borderId="0" xfId="41" quotePrefix="1" applyFont="1" applyAlignment="1">
      <alignment horizontal="center"/>
    </xf>
    <xf numFmtId="37" fontId="18" fillId="0" borderId="0" xfId="48" applyNumberFormat="1" applyFont="1"/>
    <xf numFmtId="37" fontId="40" fillId="0" borderId="0" xfId="41" applyNumberFormat="1" applyFont="1"/>
    <xf numFmtId="37" fontId="18" fillId="0" borderId="0" xfId="41" applyNumberFormat="1" applyFont="1"/>
    <xf numFmtId="178" fontId="18" fillId="0" borderId="0" xfId="48" applyNumberFormat="1" applyFont="1"/>
    <xf numFmtId="39" fontId="18" fillId="0" borderId="0" xfId="41" applyNumberFormat="1" applyFont="1"/>
    <xf numFmtId="0" fontId="40" fillId="0" borderId="0" xfId="40" applyFont="1"/>
    <xf numFmtId="37" fontId="18" fillId="0" borderId="0" xfId="47" applyNumberFormat="1" applyFont="1" applyAlignment="1">
      <alignment horizontal="centerContinuous"/>
    </xf>
    <xf numFmtId="0" fontId="18" fillId="0" borderId="0" xfId="47" applyFont="1" applyAlignment="1">
      <alignment horizontal="centerContinuous"/>
    </xf>
    <xf numFmtId="0" fontId="18" fillId="0" borderId="0" xfId="47" quotePrefix="1" applyFont="1" applyAlignment="1">
      <alignment horizontal="left"/>
    </xf>
    <xf numFmtId="0" fontId="18" fillId="0" borderId="0" xfId="47" applyFont="1" applyAlignment="1">
      <alignment horizontal="left"/>
    </xf>
    <xf numFmtId="0" fontId="18" fillId="0" borderId="0" xfId="47" applyFont="1" applyAlignment="1">
      <alignment horizontal="center"/>
    </xf>
    <xf numFmtId="37" fontId="18" fillId="0" borderId="0" xfId="47" applyNumberFormat="1" applyFont="1" applyAlignment="1">
      <alignment horizontal="right"/>
    </xf>
    <xf numFmtId="0" fontId="18" fillId="0" borderId="0" xfId="47" applyFont="1" applyAlignment="1">
      <alignment horizontal="right"/>
    </xf>
    <xf numFmtId="37" fontId="18" fillId="0" borderId="0" xfId="47" applyNumberFormat="1" applyFont="1" applyAlignment="1">
      <alignment horizontal="center"/>
    </xf>
    <xf numFmtId="0" fontId="18" fillId="0" borderId="0" xfId="47" quotePrefix="1" applyFont="1"/>
    <xf numFmtId="0" fontId="40" fillId="0" borderId="0" xfId="47" applyFont="1" applyAlignment="1" applyProtection="1">
      <alignment horizontal="center"/>
      <protection locked="0"/>
    </xf>
    <xf numFmtId="0" fontId="40" fillId="0" borderId="0" xfId="47" applyFont="1" applyProtection="1">
      <protection locked="0"/>
    </xf>
    <xf numFmtId="37" fontId="49" fillId="0" borderId="0" xfId="47" applyNumberFormat="1" applyFont="1" applyProtection="1">
      <protection locked="0"/>
    </xf>
    <xf numFmtId="0" fontId="19" fillId="0" borderId="0" xfId="1487"/>
    <xf numFmtId="165" fontId="18" fillId="0" borderId="0" xfId="46" applyNumberFormat="1" applyFont="1"/>
    <xf numFmtId="0" fontId="18" fillId="0" borderId="0" xfId="46" applyFont="1" applyAlignment="1" applyProtection="1">
      <alignment horizontal="center"/>
      <protection locked="0"/>
    </xf>
    <xf numFmtId="37" fontId="45" fillId="0" borderId="0" xfId="46" applyNumberFormat="1" applyFont="1" applyProtection="1">
      <protection locked="0"/>
    </xf>
    <xf numFmtId="37" fontId="38" fillId="0" borderId="0" xfId="46" applyNumberFormat="1" applyFont="1" applyProtection="1">
      <protection locked="0"/>
    </xf>
    <xf numFmtId="37" fontId="38" fillId="0" borderId="0" xfId="46" applyNumberFormat="1" applyFont="1"/>
    <xf numFmtId="0" fontId="40" fillId="0" borderId="0" xfId="46" applyFont="1" applyAlignment="1" applyProtection="1">
      <alignment horizontal="left"/>
      <protection locked="0"/>
    </xf>
    <xf numFmtId="165" fontId="18" fillId="0" borderId="0" xfId="46" applyNumberFormat="1" applyFont="1" applyAlignment="1">
      <alignment horizontal="center"/>
    </xf>
    <xf numFmtId="0" fontId="18" fillId="0" borderId="0" xfId="46" applyFont="1" applyAlignment="1">
      <alignment horizontal="left" indent="3"/>
    </xf>
    <xf numFmtId="37" fontId="74" fillId="0" borderId="0" xfId="46" applyNumberFormat="1" applyFont="1"/>
    <xf numFmtId="10" fontId="18" fillId="0" borderId="0" xfId="46" applyNumberFormat="1" applyFont="1" applyAlignment="1">
      <alignment horizontal="center"/>
    </xf>
    <xf numFmtId="165" fontId="18" fillId="0" borderId="0" xfId="46" applyNumberFormat="1" applyFont="1" applyAlignment="1">
      <alignment horizontal="right"/>
    </xf>
    <xf numFmtId="0" fontId="18" fillId="0" borderId="0" xfId="46" applyFont="1" applyAlignment="1">
      <alignment horizontal="right"/>
    </xf>
    <xf numFmtId="0" fontId="38" fillId="0" borderId="0" xfId="46" applyFont="1" applyAlignment="1">
      <alignment horizontal="left"/>
    </xf>
    <xf numFmtId="0" fontId="18" fillId="0" borderId="0" xfId="46" quotePrefix="1" applyFont="1" applyAlignment="1" applyProtection="1">
      <alignment horizontal="left"/>
      <protection locked="0"/>
    </xf>
    <xf numFmtId="0" fontId="18" fillId="0" borderId="0" xfId="44" applyFont="1"/>
    <xf numFmtId="0" fontId="18" fillId="0" borderId="0" xfId="44" applyFont="1" applyAlignment="1">
      <alignment horizontal="center"/>
    </xf>
    <xf numFmtId="0" fontId="18" fillId="0" borderId="0" xfId="44" applyFont="1" applyAlignment="1">
      <alignment horizontal="centerContinuous"/>
    </xf>
    <xf numFmtId="0" fontId="18" fillId="0" borderId="0" xfId="44" applyFont="1" applyAlignment="1">
      <alignment horizontal="left"/>
    </xf>
    <xf numFmtId="37" fontId="18" fillId="0" borderId="0" xfId="42" applyNumberFormat="1" applyFont="1" applyAlignment="1">
      <alignment horizontal="center"/>
    </xf>
    <xf numFmtId="37" fontId="18" fillId="0" borderId="0" xfId="43" applyNumberFormat="1" applyFont="1" applyAlignment="1">
      <alignment horizontal="center"/>
    </xf>
    <xf numFmtId="0" fontId="18" fillId="0" borderId="0" xfId="42" applyFont="1" applyAlignment="1">
      <alignment horizontal="center"/>
    </xf>
    <xf numFmtId="165" fontId="18" fillId="0" borderId="0" xfId="42" applyNumberFormat="1" applyFont="1" applyAlignment="1">
      <alignment horizontal="center"/>
    </xf>
    <xf numFmtId="165" fontId="18" fillId="0" borderId="0" xfId="43" applyNumberFormat="1" applyFont="1" applyAlignment="1">
      <alignment horizontal="center"/>
    </xf>
    <xf numFmtId="0" fontId="18" fillId="0" borderId="0" xfId="43" applyFont="1" applyAlignment="1">
      <alignment horizontal="center"/>
    </xf>
    <xf numFmtId="0" fontId="18" fillId="0" borderId="0" xfId="44" applyFont="1" applyAlignment="1">
      <alignment horizontal="fill"/>
    </xf>
    <xf numFmtId="0" fontId="33" fillId="0" borderId="0" xfId="44" applyFont="1" applyAlignment="1">
      <alignment horizontal="left"/>
    </xf>
    <xf numFmtId="37" fontId="18" fillId="0" borderId="0" xfId="44" applyNumberFormat="1" applyFont="1"/>
    <xf numFmtId="165" fontId="18" fillId="0" borderId="0" xfId="44" applyNumberFormat="1" applyFont="1" applyAlignment="1">
      <alignment horizontal="center"/>
    </xf>
    <xf numFmtId="37" fontId="40" fillId="0" borderId="0" xfId="44" applyNumberFormat="1" applyFont="1" applyProtection="1">
      <protection locked="0"/>
    </xf>
    <xf numFmtId="165" fontId="18" fillId="0" borderId="0" xfId="44" applyNumberFormat="1" applyFont="1"/>
    <xf numFmtId="0" fontId="18" fillId="0" borderId="0" xfId="44" quotePrefix="1" applyFont="1" applyAlignment="1">
      <alignment horizontal="left"/>
    </xf>
    <xf numFmtId="0" fontId="40" fillId="0" borderId="0" xfId="43" applyFont="1"/>
    <xf numFmtId="0" fontId="18" fillId="0" borderId="0" xfId="43" applyFont="1" applyAlignment="1">
      <alignment horizontal="centerContinuous"/>
    </xf>
    <xf numFmtId="37" fontId="18" fillId="0" borderId="0" xfId="43" applyNumberFormat="1" applyFont="1" applyAlignment="1">
      <alignment horizontal="centerContinuous"/>
    </xf>
    <xf numFmtId="0" fontId="18" fillId="0" borderId="0" xfId="43" applyFont="1" applyAlignment="1">
      <alignment horizontal="left"/>
    </xf>
    <xf numFmtId="0" fontId="18" fillId="0" borderId="0" xfId="43" applyFont="1" applyAlignment="1">
      <alignment horizontal="fill"/>
    </xf>
    <xf numFmtId="0" fontId="18" fillId="0" borderId="0" xfId="42" applyFont="1" applyAlignment="1">
      <alignment horizontal="centerContinuous"/>
    </xf>
    <xf numFmtId="0" fontId="18" fillId="0" borderId="0" xfId="40" applyFont="1" applyAlignment="1">
      <alignment horizontal="left"/>
    </xf>
    <xf numFmtId="0" fontId="18" fillId="0" borderId="0" xfId="43" quotePrefix="1" applyFont="1"/>
    <xf numFmtId="37" fontId="40" fillId="0" borderId="0" xfId="43" applyNumberFormat="1" applyFont="1"/>
    <xf numFmtId="179" fontId="18" fillId="0" borderId="0" xfId="43" applyNumberFormat="1" applyFont="1" applyProtection="1">
      <protection locked="0"/>
    </xf>
    <xf numFmtId="179" fontId="40" fillId="0" borderId="0" xfId="43" applyNumberFormat="1" applyFont="1" applyProtection="1">
      <protection locked="0"/>
    </xf>
    <xf numFmtId="178" fontId="40" fillId="0" borderId="0" xfId="43" applyNumberFormat="1" applyFont="1" applyProtection="1">
      <protection locked="0"/>
    </xf>
    <xf numFmtId="37" fontId="40" fillId="0" borderId="0" xfId="43" applyNumberFormat="1" applyFont="1" applyProtection="1">
      <protection locked="0"/>
    </xf>
    <xf numFmtId="39" fontId="40" fillId="0" borderId="0" xfId="43" applyNumberFormat="1" applyFont="1" applyProtection="1">
      <protection locked="0"/>
    </xf>
    <xf numFmtId="39" fontId="18" fillId="0" borderId="0" xfId="43" applyNumberFormat="1" applyFont="1"/>
    <xf numFmtId="0" fontId="18" fillId="0" borderId="0" xfId="43" applyFont="1" applyAlignment="1">
      <alignment horizontal="right"/>
    </xf>
    <xf numFmtId="37" fontId="18" fillId="0" borderId="0" xfId="42" applyNumberFormat="1" applyFont="1" applyAlignment="1">
      <alignment horizontal="centerContinuous"/>
    </xf>
    <xf numFmtId="0" fontId="18" fillId="0" borderId="0" xfId="42" applyFont="1" applyAlignment="1">
      <alignment horizontal="left"/>
    </xf>
    <xf numFmtId="0" fontId="18" fillId="0" borderId="0" xfId="42" applyFont="1" applyAlignment="1">
      <alignment horizontal="fill"/>
    </xf>
    <xf numFmtId="0" fontId="18" fillId="0" borderId="0" xfId="40" applyFont="1" applyAlignment="1">
      <alignment horizontal="centerContinuous"/>
    </xf>
    <xf numFmtId="39" fontId="18" fillId="0" borderId="0" xfId="40" applyNumberFormat="1" applyFont="1"/>
    <xf numFmtId="37" fontId="40" fillId="0" borderId="0" xfId="42" applyNumberFormat="1" applyFont="1"/>
    <xf numFmtId="39" fontId="18" fillId="0" borderId="0" xfId="42" applyNumberFormat="1" applyFont="1"/>
    <xf numFmtId="37" fontId="18" fillId="0" borderId="0" xfId="41" applyNumberFormat="1" applyFont="1" applyAlignment="1">
      <alignment horizontal="centerContinuous"/>
    </xf>
    <xf numFmtId="37" fontId="18" fillId="0" borderId="0" xfId="40" applyNumberFormat="1" applyFont="1" applyAlignment="1">
      <alignment horizontal="centerContinuous"/>
    </xf>
    <xf numFmtId="0" fontId="18" fillId="0" borderId="0" xfId="40" applyFont="1" applyAlignment="1">
      <alignment horizontal="fill"/>
    </xf>
    <xf numFmtId="37" fontId="18" fillId="0" borderId="0" xfId="40" applyNumberFormat="1" applyFont="1" applyAlignment="1">
      <alignment horizontal="center"/>
    </xf>
    <xf numFmtId="0" fontId="38" fillId="0" borderId="0" xfId="40" applyFont="1"/>
    <xf numFmtId="0" fontId="89" fillId="0" borderId="0" xfId="42" applyFont="1"/>
    <xf numFmtId="0" fontId="89" fillId="0" borderId="0" xfId="40" applyFont="1"/>
    <xf numFmtId="10" fontId="93" fillId="0" borderId="0" xfId="38" applyNumberFormat="1" applyFont="1"/>
    <xf numFmtId="37" fontId="49" fillId="0" borderId="0" xfId="38" applyNumberFormat="1" applyFont="1"/>
    <xf numFmtId="0" fontId="18" fillId="0" borderId="0" xfId="37" applyFont="1" applyAlignment="1">
      <alignment horizontal="centerContinuous"/>
    </xf>
    <xf numFmtId="0" fontId="18" fillId="0" borderId="0" xfId="37" applyFont="1" applyAlignment="1">
      <alignment horizontal="center"/>
    </xf>
    <xf numFmtId="37" fontId="18" fillId="0" borderId="0" xfId="37" applyNumberFormat="1" applyFont="1" applyAlignment="1">
      <alignment horizontal="left"/>
    </xf>
    <xf numFmtId="5" fontId="18" fillId="0" borderId="0" xfId="37" applyNumberFormat="1" applyFont="1"/>
    <xf numFmtId="0" fontId="18" fillId="0" borderId="0" xfId="36" applyFont="1" applyAlignment="1">
      <alignment horizontal="left"/>
    </xf>
    <xf numFmtId="0" fontId="32" fillId="0" borderId="0" xfId="37" applyFont="1"/>
    <xf numFmtId="37" fontId="40" fillId="0" borderId="0" xfId="37" applyNumberFormat="1" applyFont="1"/>
    <xf numFmtId="166" fontId="18" fillId="0" borderId="0" xfId="37" applyNumberFormat="1" applyFont="1"/>
    <xf numFmtId="5" fontId="40" fillId="0" borderId="0" xfId="37" applyNumberFormat="1" applyFont="1"/>
    <xf numFmtId="165" fontId="18" fillId="0" borderId="0" xfId="37" applyNumberFormat="1" applyFont="1"/>
    <xf numFmtId="165" fontId="18" fillId="0" borderId="0" xfId="37" applyNumberFormat="1" applyFont="1" applyAlignment="1">
      <alignment horizontal="center"/>
    </xf>
    <xf numFmtId="0" fontId="18" fillId="0" borderId="0" xfId="36" applyFont="1" applyAlignment="1">
      <alignment horizontal="centerContinuous"/>
    </xf>
    <xf numFmtId="0" fontId="18" fillId="0" borderId="0" xfId="36" applyFont="1"/>
    <xf numFmtId="0" fontId="18" fillId="0" borderId="0" xfId="36" applyFont="1" applyAlignment="1">
      <alignment horizontal="fill"/>
    </xf>
    <xf numFmtId="0" fontId="18" fillId="0" borderId="0" xfId="36" applyFont="1" applyAlignment="1">
      <alignment horizontal="center"/>
    </xf>
    <xf numFmtId="0" fontId="40" fillId="0" borderId="0" xfId="36" applyFont="1" applyAlignment="1" applyProtection="1">
      <alignment horizontal="center"/>
      <protection locked="0"/>
    </xf>
    <xf numFmtId="0" fontId="40" fillId="0" borderId="0" xfId="36" applyFont="1" applyProtection="1">
      <protection locked="0"/>
    </xf>
    <xf numFmtId="0" fontId="18" fillId="0" borderId="0" xfId="30" applyFont="1" applyAlignment="1">
      <alignment horizontal="centerContinuous"/>
    </xf>
    <xf numFmtId="0" fontId="18" fillId="0" borderId="0" xfId="35" applyFont="1" applyAlignment="1">
      <alignment horizontal="fill"/>
    </xf>
    <xf numFmtId="0" fontId="18" fillId="0" borderId="0" xfId="35" applyFont="1" applyAlignment="1">
      <alignment horizontal="center"/>
    </xf>
    <xf numFmtId="9" fontId="18" fillId="0" borderId="0" xfId="35" applyNumberFormat="1" applyFont="1"/>
    <xf numFmtId="171" fontId="74" fillId="0" borderId="0" xfId="35" applyNumberFormat="1" applyFont="1"/>
    <xf numFmtId="9" fontId="18" fillId="0" borderId="0" xfId="35" applyNumberFormat="1" applyFont="1" applyAlignment="1">
      <alignment horizontal="centerContinuous"/>
    </xf>
    <xf numFmtId="0" fontId="18" fillId="0" borderId="0" xfId="35" applyFont="1" applyAlignment="1">
      <alignment horizontal="centerContinuous"/>
    </xf>
    <xf numFmtId="0" fontId="38" fillId="0" borderId="0" xfId="5" applyFont="1" applyAlignment="1">
      <alignment horizontal="center"/>
    </xf>
    <xf numFmtId="0" fontId="38" fillId="0" borderId="0" xfId="5" applyFont="1"/>
    <xf numFmtId="0" fontId="18" fillId="0" borderId="0" xfId="24" quotePrefix="1" applyFont="1" applyAlignment="1">
      <alignment horizontal="left"/>
    </xf>
    <xf numFmtId="0" fontId="18" fillId="0" borderId="0" xfId="25" applyFont="1"/>
    <xf numFmtId="0" fontId="18" fillId="0" borderId="0" xfId="24" applyFont="1" applyAlignment="1">
      <alignment horizontal="center"/>
    </xf>
    <xf numFmtId="37" fontId="18" fillId="0" borderId="0" xfId="0" applyNumberFormat="1" applyFont="1" applyAlignment="1">
      <alignment horizontal="left"/>
    </xf>
    <xf numFmtId="166" fontId="18" fillId="0" borderId="0" xfId="31" applyNumberFormat="1" applyFont="1"/>
    <xf numFmtId="194" fontId="18" fillId="0" borderId="0" xfId="5" applyNumberFormat="1" applyFont="1" applyAlignment="1">
      <alignment horizontal="right"/>
    </xf>
    <xf numFmtId="0" fontId="40" fillId="0" borderId="0" xfId="30" applyFont="1" applyAlignment="1">
      <alignment horizontal="center"/>
    </xf>
    <xf numFmtId="0" fontId="18" fillId="0" borderId="0" xfId="67"/>
    <xf numFmtId="0" fontId="18" fillId="0" borderId="0" xfId="21" applyFont="1" applyAlignment="1">
      <alignment horizontal="centerContinuous"/>
    </xf>
    <xf numFmtId="0" fontId="38" fillId="0" borderId="0" xfId="30" applyFont="1" applyAlignment="1">
      <alignment horizontal="center"/>
    </xf>
    <xf numFmtId="43" fontId="0" fillId="0" borderId="0" xfId="1" applyFont="1" applyFill="1"/>
    <xf numFmtId="17" fontId="18" fillId="0" borderId="0" xfId="0" applyNumberFormat="1" applyFont="1"/>
    <xf numFmtId="0" fontId="18" fillId="0" borderId="0" xfId="34" applyFont="1"/>
    <xf numFmtId="0" fontId="18" fillId="0" borderId="0" xfId="30" quotePrefix="1" applyFont="1" applyAlignment="1">
      <alignment horizontal="left"/>
    </xf>
    <xf numFmtId="0" fontId="18" fillId="0" borderId="0" xfId="30" applyFont="1" applyAlignment="1">
      <alignment horizontal="center"/>
    </xf>
    <xf numFmtId="0" fontId="40" fillId="0" borderId="0" xfId="28" applyFont="1" applyAlignment="1">
      <alignment horizontal="left"/>
    </xf>
    <xf numFmtId="0" fontId="18" fillId="0" borderId="0" xfId="34" applyFont="1" applyAlignment="1">
      <alignment horizontal="centerContinuous"/>
    </xf>
    <xf numFmtId="37" fontId="18" fillId="0" borderId="0" xfId="34" applyNumberFormat="1" applyFont="1" applyAlignment="1">
      <alignment horizontal="centerContinuous"/>
    </xf>
    <xf numFmtId="0" fontId="18" fillId="0" borderId="0" xfId="34" applyFont="1" applyAlignment="1">
      <alignment horizontal="center"/>
    </xf>
    <xf numFmtId="37" fontId="18" fillId="0" borderId="0" xfId="34" applyNumberFormat="1" applyFont="1"/>
    <xf numFmtId="0" fontId="18" fillId="0" borderId="0" xfId="34" applyFont="1" applyAlignment="1">
      <alignment horizontal="right"/>
    </xf>
    <xf numFmtId="0" fontId="18" fillId="0" borderId="0" xfId="34" applyFont="1" applyAlignment="1">
      <alignment horizontal="fill"/>
    </xf>
    <xf numFmtId="166" fontId="38" fillId="0" borderId="0" xfId="34" applyNumberFormat="1" applyFont="1"/>
    <xf numFmtId="0" fontId="40" fillId="0" borderId="0" xfId="34" applyFont="1" applyAlignment="1">
      <alignment horizontal="center"/>
    </xf>
    <xf numFmtId="167" fontId="18" fillId="0" borderId="0" xfId="34" applyNumberFormat="1" applyFont="1"/>
    <xf numFmtId="0" fontId="38" fillId="0" borderId="0" xfId="34" applyFont="1" applyAlignment="1">
      <alignment horizontal="center"/>
    </xf>
    <xf numFmtId="0" fontId="38" fillId="0" borderId="0" xfId="34" applyFont="1" applyAlignment="1">
      <alignment horizontal="left"/>
    </xf>
    <xf numFmtId="0" fontId="18" fillId="0" borderId="0" xfId="34" quotePrefix="1" applyFont="1" applyAlignment="1">
      <alignment horizontal="center"/>
    </xf>
    <xf numFmtId="174" fontId="18" fillId="0" borderId="0" xfId="34" applyNumberFormat="1" applyFont="1"/>
    <xf numFmtId="39" fontId="18" fillId="0" borderId="0" xfId="34" applyNumberFormat="1" applyFont="1"/>
    <xf numFmtId="199" fontId="18" fillId="0" borderId="0" xfId="34" applyNumberFormat="1" applyFont="1"/>
    <xf numFmtId="174" fontId="18" fillId="0" borderId="0" xfId="34" applyNumberFormat="1" applyFont="1" applyAlignment="1">
      <alignment horizontal="center"/>
    </xf>
    <xf numFmtId="173" fontId="18" fillId="0" borderId="0" xfId="34" applyNumberFormat="1" applyFont="1"/>
    <xf numFmtId="37" fontId="74" fillId="0" borderId="0" xfId="34" applyNumberFormat="1" applyFont="1"/>
    <xf numFmtId="0" fontId="18" fillId="0" borderId="0" xfId="34" quotePrefix="1" applyFont="1"/>
    <xf numFmtId="0" fontId="18" fillId="0" borderId="0" xfId="17" applyFont="1"/>
    <xf numFmtId="0" fontId="18" fillId="0" borderId="0" xfId="21" quotePrefix="1" applyFont="1" applyAlignment="1">
      <alignment horizontal="left"/>
    </xf>
    <xf numFmtId="37" fontId="38" fillId="0" borderId="0" xfId="21" applyNumberFormat="1" applyFont="1"/>
    <xf numFmtId="37" fontId="18" fillId="0" borderId="0" xfId="21" applyNumberFormat="1" applyFont="1"/>
    <xf numFmtId="41" fontId="38" fillId="0" borderId="0" xfId="21" applyNumberFormat="1" applyFont="1"/>
    <xf numFmtId="166" fontId="38" fillId="0" borderId="0" xfId="21" applyNumberFormat="1" applyFont="1"/>
    <xf numFmtId="0" fontId="18" fillId="0" borderId="0" xfId="21" applyFont="1" applyAlignment="1">
      <alignment horizontal="right"/>
    </xf>
    <xf numFmtId="0" fontId="40" fillId="0" borderId="0" xfId="21" applyFont="1" applyAlignment="1">
      <alignment horizontal="left"/>
    </xf>
    <xf numFmtId="192" fontId="18" fillId="0" borderId="0" xfId="21" applyNumberFormat="1" applyFont="1"/>
    <xf numFmtId="37" fontId="74" fillId="0" borderId="0" xfId="21" applyNumberFormat="1" applyFont="1"/>
    <xf numFmtId="0" fontId="9" fillId="0" borderId="0" xfId="9818"/>
    <xf numFmtId="0" fontId="18" fillId="0" borderId="0" xfId="21" applyFont="1" applyAlignment="1">
      <alignment horizontal="left" indent="1"/>
    </xf>
    <xf numFmtId="0" fontId="18" fillId="0" borderId="0" xfId="28" applyFont="1" applyAlignment="1">
      <alignment horizontal="centerContinuous"/>
    </xf>
    <xf numFmtId="0" fontId="18" fillId="0" borderId="0" xfId="28" applyFont="1"/>
    <xf numFmtId="165" fontId="18" fillId="0" borderId="0" xfId="28" applyNumberFormat="1" applyFont="1" applyAlignment="1">
      <alignment horizontal="centerContinuous"/>
    </xf>
    <xf numFmtId="0" fontId="18" fillId="0" borderId="0" xfId="28" applyFont="1" applyAlignment="1">
      <alignment horizontal="right"/>
    </xf>
    <xf numFmtId="171" fontId="74" fillId="0" borderId="0" xfId="23" applyNumberFormat="1" applyFont="1"/>
    <xf numFmtId="0" fontId="18" fillId="0" borderId="0" xfId="29" applyFont="1" applyAlignment="1">
      <alignment horizontal="right"/>
    </xf>
    <xf numFmtId="0" fontId="18" fillId="0" borderId="0" xfId="29" applyFont="1"/>
    <xf numFmtId="0" fontId="18" fillId="0" borderId="0" xfId="28" applyFont="1" applyAlignment="1">
      <alignment horizontal="fill"/>
    </xf>
    <xf numFmtId="0" fontId="72" fillId="0" borderId="0" xfId="7" applyFont="1"/>
    <xf numFmtId="0" fontId="18" fillId="0" borderId="0" xfId="1487" applyFont="1" applyAlignment="1">
      <alignment horizontal="centerContinuous"/>
    </xf>
    <xf numFmtId="0" fontId="38" fillId="0" borderId="0" xfId="1487" applyFont="1" applyAlignment="1">
      <alignment horizontal="center"/>
    </xf>
    <xf numFmtId="37" fontId="38" fillId="0" borderId="0" xfId="1487" applyNumberFormat="1" applyFont="1" applyAlignment="1">
      <alignment horizontal="center"/>
    </xf>
    <xf numFmtId="37" fontId="18" fillId="0" borderId="0" xfId="1487" applyNumberFormat="1" applyFont="1" applyAlignment="1">
      <alignment horizontal="center"/>
    </xf>
    <xf numFmtId="0" fontId="49" fillId="0" borderId="0" xfId="1487" applyFont="1" applyAlignment="1">
      <alignment horizontal="center" vertical="top"/>
    </xf>
    <xf numFmtId="0" fontId="18" fillId="0" borderId="0" xfId="1487" applyFont="1" applyAlignment="1">
      <alignment vertical="top"/>
    </xf>
    <xf numFmtId="0" fontId="18" fillId="0" borderId="0" xfId="1487" applyFont="1" applyAlignment="1">
      <alignment horizontal="center" vertical="top"/>
    </xf>
    <xf numFmtId="37" fontId="18" fillId="0" borderId="0" xfId="1487" applyNumberFormat="1" applyFont="1" applyAlignment="1">
      <alignment vertical="top"/>
    </xf>
    <xf numFmtId="37" fontId="18" fillId="0" borderId="0" xfId="22" applyNumberFormat="1" applyFont="1" applyAlignment="1">
      <alignment horizontal="centerContinuous"/>
    </xf>
    <xf numFmtId="0" fontId="18" fillId="0" borderId="0" xfId="22" quotePrefix="1" applyFont="1" applyAlignment="1">
      <alignment horizontal="left"/>
    </xf>
    <xf numFmtId="10" fontId="18" fillId="0" borderId="0" xfId="22" applyNumberFormat="1" applyFont="1"/>
    <xf numFmtId="0" fontId="18" fillId="0" borderId="0" xfId="22" applyFont="1" applyAlignment="1">
      <alignment horizontal="right"/>
    </xf>
    <xf numFmtId="166" fontId="38" fillId="0" borderId="0" xfId="22" applyNumberFormat="1" applyFont="1"/>
    <xf numFmtId="0" fontId="40" fillId="0" borderId="0" xfId="22" applyFont="1"/>
    <xf numFmtId="37" fontId="18" fillId="0" borderId="0" xfId="22" applyNumberFormat="1" applyFont="1" applyAlignment="1">
      <alignment horizontal="right"/>
    </xf>
    <xf numFmtId="195" fontId="38" fillId="0" borderId="0" xfId="22" applyNumberFormat="1" applyFont="1" applyAlignment="1">
      <alignment horizontal="center"/>
    </xf>
    <xf numFmtId="0" fontId="38" fillId="0" borderId="0" xfId="5" applyFont="1" applyAlignment="1">
      <alignment horizontal="left"/>
    </xf>
    <xf numFmtId="0" fontId="38" fillId="0" borderId="0" xfId="21" applyFont="1"/>
    <xf numFmtId="0" fontId="18" fillId="0" borderId="0" xfId="32" applyFont="1" applyAlignment="1">
      <alignment horizontal="centerContinuous"/>
    </xf>
    <xf numFmtId="37" fontId="18" fillId="0" borderId="0" xfId="32" applyNumberFormat="1" applyFont="1" applyAlignment="1">
      <alignment horizontal="centerContinuous"/>
    </xf>
    <xf numFmtId="0" fontId="18" fillId="0" borderId="0" xfId="32" applyFont="1" applyAlignment="1">
      <alignment horizontal="left"/>
    </xf>
    <xf numFmtId="0" fontId="18" fillId="0" borderId="0" xfId="32" applyFont="1" applyAlignment="1">
      <alignment horizontal="center"/>
    </xf>
    <xf numFmtId="167" fontId="18" fillId="0" borderId="0" xfId="32" applyNumberFormat="1" applyFont="1"/>
    <xf numFmtId="0" fontId="38" fillId="0" borderId="0" xfId="32" applyFont="1" applyAlignment="1">
      <alignment horizontal="center"/>
    </xf>
    <xf numFmtId="14" fontId="18" fillId="0" borderId="0" xfId="33" applyNumberFormat="1" applyFont="1"/>
    <xf numFmtId="0" fontId="18" fillId="0" borderId="0" xfId="33" applyFont="1" applyAlignment="1">
      <alignment horizontal="center"/>
    </xf>
    <xf numFmtId="0" fontId="38" fillId="0" borderId="0" xfId="33" applyFont="1" applyAlignment="1">
      <alignment horizontal="center"/>
    </xf>
    <xf numFmtId="0" fontId="38" fillId="0" borderId="0" xfId="33" applyFont="1"/>
    <xf numFmtId="0" fontId="38" fillId="0" borderId="0" xfId="33" applyFont="1" applyAlignment="1">
      <alignment horizontal="left"/>
    </xf>
    <xf numFmtId="0" fontId="18" fillId="0" borderId="0" xfId="33" applyFont="1" applyAlignment="1">
      <alignment horizontal="right"/>
    </xf>
    <xf numFmtId="0" fontId="18" fillId="0" borderId="0" xfId="30" applyFont="1" applyAlignment="1">
      <alignment horizontal="left" indent="1"/>
    </xf>
    <xf numFmtId="37" fontId="18" fillId="0" borderId="0" xfId="30" applyNumberFormat="1" applyFont="1"/>
    <xf numFmtId="193" fontId="18" fillId="0" borderId="0" xfId="21" applyNumberFormat="1" applyFont="1" applyAlignment="1">
      <alignment horizontal="centerContinuous"/>
    </xf>
    <xf numFmtId="0" fontId="38" fillId="0" borderId="0" xfId="21" applyFont="1" applyAlignment="1">
      <alignment horizontal="left" indent="2"/>
    </xf>
    <xf numFmtId="193" fontId="38" fillId="0" borderId="0" xfId="21" applyNumberFormat="1" applyFont="1"/>
    <xf numFmtId="37" fontId="40" fillId="0" borderId="0" xfId="30" applyNumberFormat="1" applyFont="1"/>
    <xf numFmtId="37" fontId="18" fillId="0" borderId="18" xfId="20" applyNumberFormat="1" applyFont="1" applyBorder="1"/>
    <xf numFmtId="37" fontId="18" fillId="0" borderId="23" xfId="20" applyNumberFormat="1" applyFont="1" applyBorder="1"/>
    <xf numFmtId="0" fontId="18" fillId="0" borderId="16" xfId="4" applyFont="1" applyBorder="1"/>
    <xf numFmtId="37" fontId="18" fillId="0" borderId="14" xfId="20" quotePrefix="1" applyNumberFormat="1" applyFont="1" applyBorder="1"/>
    <xf numFmtId="0" fontId="18" fillId="0" borderId="20" xfId="4" applyFont="1" applyBorder="1"/>
    <xf numFmtId="37" fontId="18" fillId="0" borderId="15" xfId="20" applyNumberFormat="1" applyFont="1" applyBorder="1"/>
    <xf numFmtId="37" fontId="18" fillId="0" borderId="24" xfId="20" applyNumberFormat="1" applyFont="1" applyBorder="1"/>
    <xf numFmtId="0" fontId="18" fillId="0" borderId="17" xfId="4" applyFont="1" applyBorder="1"/>
    <xf numFmtId="37" fontId="18" fillId="0" borderId="14" xfId="20" applyNumberFormat="1" applyFont="1" applyBorder="1"/>
    <xf numFmtId="37" fontId="18" fillId="0" borderId="19" xfId="4" applyNumberFormat="1" applyFont="1" applyBorder="1"/>
    <xf numFmtId="37" fontId="18" fillId="0" borderId="25" xfId="4" applyNumberFormat="1" applyFont="1" applyBorder="1"/>
    <xf numFmtId="0" fontId="18" fillId="0" borderId="21" xfId="4" applyFont="1" applyBorder="1"/>
    <xf numFmtId="0" fontId="18" fillId="0" borderId="0" xfId="17" applyFont="1" applyAlignment="1">
      <alignment horizontal="centerContinuous"/>
    </xf>
    <xf numFmtId="37" fontId="18" fillId="0" borderId="0" xfId="17" applyNumberFormat="1" applyFont="1"/>
    <xf numFmtId="0" fontId="18" fillId="0" borderId="0" xfId="17" applyFont="1" applyAlignment="1">
      <alignment horizontal="left"/>
    </xf>
    <xf numFmtId="0" fontId="18" fillId="0" borderId="0" xfId="17" applyFont="1" applyAlignment="1">
      <alignment horizontal="fill"/>
    </xf>
    <xf numFmtId="0" fontId="18" fillId="0" borderId="0" xfId="17" applyFont="1" applyAlignment="1">
      <alignment horizontal="center"/>
    </xf>
    <xf numFmtId="0" fontId="18" fillId="0" borderId="0" xfId="17" quotePrefix="1" applyFont="1" applyAlignment="1">
      <alignment horizontal="center"/>
    </xf>
    <xf numFmtId="37" fontId="38" fillId="0" borderId="0" xfId="17" applyNumberFormat="1" applyFont="1"/>
    <xf numFmtId="0" fontId="40" fillId="0" borderId="0" xfId="17" applyFont="1" applyProtection="1">
      <protection locked="0"/>
    </xf>
    <xf numFmtId="37" fontId="18" fillId="0" borderId="0" xfId="17" applyNumberFormat="1" applyFont="1" applyAlignment="1">
      <alignment horizontal="right"/>
    </xf>
    <xf numFmtId="37" fontId="40" fillId="0" borderId="0" xfId="17" applyNumberFormat="1" applyFont="1" applyProtection="1">
      <protection locked="0"/>
    </xf>
    <xf numFmtId="37" fontId="40" fillId="0" borderId="0" xfId="17" applyNumberFormat="1" applyFont="1"/>
    <xf numFmtId="37" fontId="74" fillId="0" borderId="0" xfId="17" applyNumberFormat="1" applyFont="1"/>
    <xf numFmtId="0" fontId="18" fillId="0" borderId="0" xfId="17" quotePrefix="1" applyFont="1" applyAlignment="1">
      <alignment horizontal="left"/>
    </xf>
    <xf numFmtId="167" fontId="18" fillId="0" borderId="0" xfId="17" applyNumberFormat="1" applyFont="1" applyAlignment="1">
      <alignment horizontal="left"/>
    </xf>
    <xf numFmtId="0" fontId="38" fillId="0" borderId="0" xfId="17" applyFont="1" applyAlignment="1">
      <alignment horizontal="center"/>
    </xf>
    <xf numFmtId="37" fontId="18" fillId="0" borderId="0" xfId="17" applyNumberFormat="1" applyFont="1" applyAlignment="1">
      <alignment horizontal="center"/>
    </xf>
    <xf numFmtId="37" fontId="74" fillId="0" borderId="0" xfId="17" applyNumberFormat="1" applyFont="1" applyAlignment="1">
      <alignment horizontal="right"/>
    </xf>
    <xf numFmtId="37" fontId="50" fillId="0" borderId="0" xfId="17" applyNumberFormat="1" applyFont="1"/>
    <xf numFmtId="0" fontId="18" fillId="0" borderId="0" xfId="17" quotePrefix="1" applyFont="1"/>
    <xf numFmtId="10" fontId="18" fillId="0" borderId="0" xfId="17" applyNumberFormat="1" applyFont="1"/>
    <xf numFmtId="181" fontId="22" fillId="0" borderId="0" xfId="10" applyFont="1" applyAlignment="1" applyProtection="1">
      <alignment horizontal="centerContinuous"/>
      <protection locked="0"/>
    </xf>
    <xf numFmtId="181" fontId="22" fillId="0" borderId="0" xfId="10" applyFont="1" applyAlignment="1">
      <alignment horizontal="right"/>
    </xf>
    <xf numFmtId="181" fontId="22" fillId="0" borderId="0" xfId="10" quotePrefix="1" applyFont="1" applyAlignment="1" applyProtection="1">
      <alignment horizontal="centerContinuous"/>
      <protection locked="0"/>
    </xf>
    <xf numFmtId="181" fontId="22" fillId="0" borderId="0" xfId="10" applyFont="1" applyAlignment="1">
      <alignment horizontal="fill"/>
    </xf>
    <xf numFmtId="37" fontId="22" fillId="0" borderId="0" xfId="10" applyNumberFormat="1" applyFont="1" applyAlignment="1" applyProtection="1">
      <alignment horizontal="left"/>
      <protection locked="0"/>
    </xf>
    <xf numFmtId="0" fontId="18" fillId="0" borderId="0" xfId="15" applyFont="1" applyAlignment="1">
      <alignment horizontal="centerContinuous"/>
    </xf>
    <xf numFmtId="0" fontId="18" fillId="0" borderId="0" xfId="15" applyFont="1"/>
    <xf numFmtId="0" fontId="18" fillId="0" borderId="0" xfId="15" applyFont="1" applyAlignment="1">
      <alignment horizontal="left"/>
    </xf>
    <xf numFmtId="0" fontId="18" fillId="0" borderId="0" xfId="15" applyFont="1" applyAlignment="1">
      <alignment horizontal="fill"/>
    </xf>
    <xf numFmtId="0" fontId="18" fillId="0" borderId="0" xfId="15" applyFont="1" applyAlignment="1">
      <alignment horizontal="center"/>
    </xf>
    <xf numFmtId="0" fontId="40" fillId="0" borderId="0" xfId="15" applyFont="1" applyAlignment="1" applyProtection="1">
      <alignment horizontal="center"/>
      <protection locked="0"/>
    </xf>
    <xf numFmtId="0" fontId="40" fillId="0" borderId="0" xfId="15" applyFont="1" applyProtection="1">
      <protection locked="0"/>
    </xf>
    <xf numFmtId="0" fontId="32" fillId="0" borderId="0" xfId="15" applyFont="1"/>
    <xf numFmtId="37" fontId="40" fillId="0" borderId="0" xfId="15" applyNumberFormat="1" applyFont="1"/>
    <xf numFmtId="37" fontId="18" fillId="0" borderId="0" xfId="15" applyNumberFormat="1" applyFont="1" applyAlignment="1">
      <alignment horizontal="left"/>
    </xf>
    <xf numFmtId="166" fontId="18" fillId="0" borderId="0" xfId="15" applyNumberFormat="1" applyFont="1"/>
    <xf numFmtId="5" fontId="18" fillId="0" borderId="0" xfId="15" applyNumberFormat="1" applyFont="1"/>
    <xf numFmtId="5" fontId="40" fillId="0" borderId="0" xfId="15" applyNumberFormat="1" applyFont="1"/>
    <xf numFmtId="165" fontId="18" fillId="0" borderId="0" xfId="15" applyNumberFormat="1" applyFont="1"/>
    <xf numFmtId="37" fontId="18" fillId="0" borderId="0" xfId="15" applyNumberFormat="1" applyFont="1"/>
    <xf numFmtId="165" fontId="18" fillId="0" borderId="0" xfId="15" applyNumberFormat="1" applyFont="1" applyAlignment="1">
      <alignment horizontal="center"/>
    </xf>
    <xf numFmtId="0" fontId="18" fillId="0" borderId="0" xfId="15" applyFont="1" applyAlignment="1">
      <alignment horizontal="left" indent="2"/>
    </xf>
    <xf numFmtId="37" fontId="40" fillId="0" borderId="0" xfId="14" applyNumberFormat="1" applyFont="1" applyAlignment="1">
      <alignment horizontal="right"/>
    </xf>
    <xf numFmtId="0" fontId="18" fillId="0" borderId="0" xfId="14" quotePrefix="1" applyFont="1"/>
    <xf numFmtId="3" fontId="18" fillId="0" borderId="0" xfId="14" applyNumberFormat="1" applyFont="1" applyAlignment="1">
      <alignment horizontal="center"/>
    </xf>
    <xf numFmtId="37" fontId="74" fillId="0" borderId="0" xfId="14" applyNumberFormat="1" applyFont="1"/>
    <xf numFmtId="0" fontId="38" fillId="0" borderId="0" xfId="14" applyFont="1"/>
    <xf numFmtId="0" fontId="18" fillId="0" borderId="0" xfId="13" applyFont="1" applyAlignment="1">
      <alignment horizontal="centerContinuous"/>
    </xf>
    <xf numFmtId="0" fontId="18" fillId="0" borderId="0" xfId="13" applyFont="1" applyAlignment="1">
      <alignment horizontal="fill"/>
    </xf>
    <xf numFmtId="0" fontId="38" fillId="0" borderId="0" xfId="13" applyFont="1" applyAlignment="1">
      <alignment horizontal="centerContinuous"/>
    </xf>
    <xf numFmtId="0" fontId="18" fillId="0" borderId="0" xfId="13" quotePrefix="1" applyFont="1" applyAlignment="1">
      <alignment horizontal="center"/>
    </xf>
    <xf numFmtId="0" fontId="18" fillId="0" borderId="0" xfId="13" applyFont="1" applyAlignment="1">
      <alignment horizontal="left" indent="1"/>
    </xf>
    <xf numFmtId="3" fontId="18" fillId="0" borderId="0" xfId="13" applyNumberFormat="1" applyFont="1"/>
    <xf numFmtId="37" fontId="40" fillId="0" borderId="0" xfId="13" applyNumberFormat="1" applyFont="1"/>
    <xf numFmtId="37" fontId="18" fillId="0" borderId="0" xfId="13" applyNumberFormat="1" applyFont="1" applyAlignment="1">
      <alignment horizontal="centerContinuous"/>
    </xf>
    <xf numFmtId="37" fontId="38" fillId="0" borderId="0" xfId="13" applyNumberFormat="1" applyFont="1" applyAlignment="1">
      <alignment horizontal="centerContinuous"/>
    </xf>
    <xf numFmtId="0" fontId="40" fillId="0" borderId="0" xfId="13" applyFont="1"/>
    <xf numFmtId="166" fontId="18" fillId="0" borderId="0" xfId="44" applyNumberFormat="1" applyFont="1" applyAlignment="1">
      <alignment horizontal="center"/>
    </xf>
    <xf numFmtId="0" fontId="18" fillId="0" borderId="0" xfId="60" applyFont="1" applyAlignment="1">
      <alignment horizontal="centerContinuous"/>
    </xf>
    <xf numFmtId="0" fontId="18" fillId="0" borderId="0" xfId="60" quotePrefix="1" applyFont="1" applyAlignment="1">
      <alignment horizontal="centerContinuous"/>
    </xf>
    <xf numFmtId="176" fontId="18" fillId="0" borderId="0" xfId="60" applyNumberFormat="1" applyFont="1"/>
    <xf numFmtId="37" fontId="18" fillId="0" borderId="0" xfId="60" applyNumberFormat="1" applyFont="1"/>
    <xf numFmtId="0" fontId="18" fillId="0" borderId="0" xfId="60" applyFont="1" applyAlignment="1">
      <alignment horizontal="left"/>
    </xf>
    <xf numFmtId="0" fontId="18" fillId="0" borderId="0" xfId="60" applyFont="1" applyAlignment="1">
      <alignment horizontal="center"/>
    </xf>
    <xf numFmtId="37" fontId="18" fillId="0" borderId="0" xfId="60" applyNumberFormat="1" applyFont="1" applyAlignment="1">
      <alignment horizontal="center"/>
    </xf>
    <xf numFmtId="10" fontId="18" fillId="0" borderId="0" xfId="60" applyNumberFormat="1" applyFont="1"/>
    <xf numFmtId="0" fontId="0" fillId="0" borderId="0" xfId="58" applyFont="1"/>
    <xf numFmtId="0" fontId="0" fillId="0" borderId="0" xfId="58" applyFont="1" applyAlignment="1">
      <alignment horizontal="left"/>
    </xf>
    <xf numFmtId="2" fontId="18" fillId="0" borderId="0" xfId="59" applyNumberFormat="1" applyFont="1"/>
    <xf numFmtId="0" fontId="38" fillId="0" borderId="0" xfId="59" applyFont="1"/>
    <xf numFmtId="0" fontId="24" fillId="0" borderId="0" xfId="59" applyFont="1" applyAlignment="1">
      <alignment horizontal="centerContinuous"/>
    </xf>
    <xf numFmtId="10" fontId="18" fillId="0" borderId="0" xfId="59" applyNumberFormat="1" applyFont="1" applyAlignment="1">
      <alignment horizontal="centerContinuous"/>
    </xf>
    <xf numFmtId="37" fontId="18" fillId="0" borderId="0" xfId="59" applyNumberFormat="1" applyFont="1" applyAlignment="1">
      <alignment horizontal="centerContinuous"/>
    </xf>
    <xf numFmtId="0" fontId="24" fillId="0" borderId="0" xfId="59" applyFont="1"/>
    <xf numFmtId="10" fontId="18" fillId="0" borderId="0" xfId="59" applyNumberFormat="1" applyFont="1" applyAlignment="1">
      <alignment horizontal="center"/>
    </xf>
    <xf numFmtId="10" fontId="49" fillId="0" borderId="0" xfId="59" applyNumberFormat="1" applyFont="1"/>
    <xf numFmtId="37" fontId="49" fillId="0" borderId="0" xfId="59" applyNumberFormat="1" applyFont="1"/>
    <xf numFmtId="10" fontId="24" fillId="0" borderId="0" xfId="59" applyNumberFormat="1" applyFont="1"/>
    <xf numFmtId="0" fontId="24" fillId="0" borderId="0" xfId="59" applyFont="1" applyAlignment="1">
      <alignment vertical="center" wrapText="1"/>
    </xf>
    <xf numFmtId="0" fontId="0" fillId="0" borderId="0" xfId="0" applyAlignment="1">
      <alignment vertical="center" wrapText="1"/>
    </xf>
    <xf numFmtId="37" fontId="24" fillId="0" borderId="0" xfId="59" applyNumberFormat="1" applyFont="1"/>
    <xf numFmtId="2" fontId="18" fillId="0" borderId="0" xfId="58" applyNumberFormat="1" applyFont="1" applyAlignment="1">
      <alignment horizontal="centerContinuous"/>
    </xf>
    <xf numFmtId="37" fontId="18" fillId="0" borderId="0" xfId="58" applyNumberFormat="1" applyFont="1" applyAlignment="1">
      <alignment horizontal="centerContinuous"/>
    </xf>
    <xf numFmtId="1" fontId="18" fillId="0" borderId="0" xfId="58" applyNumberFormat="1" applyFont="1" applyAlignment="1">
      <alignment horizontal="centerContinuous"/>
    </xf>
    <xf numFmtId="0" fontId="18" fillId="0" borderId="0" xfId="58" quotePrefix="1" applyFont="1" applyAlignment="1">
      <alignment horizontal="centerContinuous"/>
    </xf>
    <xf numFmtId="2" fontId="18" fillId="0" borderId="0" xfId="58" applyNumberFormat="1" applyFont="1"/>
    <xf numFmtId="1" fontId="18" fillId="0" borderId="0" xfId="58" applyNumberFormat="1" applyFont="1"/>
    <xf numFmtId="2" fontId="18" fillId="0" borderId="0" xfId="58" applyNumberFormat="1" applyFont="1" applyAlignment="1">
      <alignment horizontal="left"/>
    </xf>
    <xf numFmtId="2" fontId="18" fillId="0" borderId="0" xfId="58" applyNumberFormat="1" applyFont="1" applyAlignment="1">
      <alignment horizontal="center"/>
    </xf>
    <xf numFmtId="1" fontId="18" fillId="0" borderId="0" xfId="58" applyNumberFormat="1" applyFont="1" applyAlignment="1">
      <alignment horizontal="center"/>
    </xf>
    <xf numFmtId="37" fontId="18" fillId="0" borderId="0" xfId="58" applyNumberFormat="1" applyFont="1" applyAlignment="1">
      <alignment horizontal="center"/>
    </xf>
    <xf numFmtId="0" fontId="24" fillId="0" borderId="0" xfId="58" applyFont="1" applyAlignment="1">
      <alignment horizontal="centerContinuous"/>
    </xf>
    <xf numFmtId="0" fontId="35" fillId="0" borderId="0" xfId="58" applyFont="1" applyAlignment="1">
      <alignment horizontal="centerContinuous"/>
    </xf>
    <xf numFmtId="37" fontId="49" fillId="0" borderId="0" xfId="58" applyNumberFormat="1" applyFont="1"/>
    <xf numFmtId="0" fontId="18" fillId="0" borderId="0" xfId="58" applyFont="1" applyAlignment="1">
      <alignment horizontal="center" vertical="center"/>
    </xf>
    <xf numFmtId="37" fontId="18" fillId="0" borderId="0" xfId="0" applyNumberFormat="1" applyFont="1" applyAlignment="1">
      <alignment vertical="center"/>
    </xf>
    <xf numFmtId="0" fontId="18" fillId="0" borderId="0" xfId="58" applyFont="1" applyAlignment="1">
      <alignment vertical="center"/>
    </xf>
    <xf numFmtId="0" fontId="24" fillId="0" borderId="0" xfId="58" applyFont="1" applyAlignment="1">
      <alignment vertical="center"/>
    </xf>
    <xf numFmtId="0" fontId="0" fillId="0" borderId="0" xfId="0" applyAlignment="1">
      <alignment vertical="center"/>
    </xf>
    <xf numFmtId="176" fontId="18" fillId="0" borderId="0" xfId="58" applyNumberFormat="1" applyFont="1"/>
    <xf numFmtId="0" fontId="18" fillId="0" borderId="0" xfId="58" applyFont="1" applyAlignment="1">
      <alignment horizontal="center" vertical="center" wrapText="1"/>
    </xf>
    <xf numFmtId="37" fontId="18" fillId="0" borderId="0" xfId="58" applyNumberFormat="1" applyFont="1" applyAlignment="1">
      <alignment horizontal="left"/>
    </xf>
    <xf numFmtId="0" fontId="18" fillId="0" borderId="0" xfId="58" applyFont="1" applyAlignment="1">
      <alignment horizontal="right"/>
    </xf>
    <xf numFmtId="10" fontId="18" fillId="0" borderId="0" xfId="58" applyNumberFormat="1" applyFont="1" applyAlignment="1">
      <alignment horizontal="centerContinuous"/>
    </xf>
    <xf numFmtId="10" fontId="18" fillId="0" borderId="0" xfId="58" applyNumberFormat="1" applyFont="1" applyAlignment="1">
      <alignment horizontal="center"/>
    </xf>
    <xf numFmtId="37" fontId="18" fillId="0" borderId="0" xfId="58" applyNumberFormat="1" applyFont="1" applyAlignment="1">
      <alignment horizontal="right"/>
    </xf>
    <xf numFmtId="0" fontId="18" fillId="0" borderId="0" xfId="58" quotePrefix="1" applyFont="1" applyAlignment="1">
      <alignment horizontal="left"/>
    </xf>
    <xf numFmtId="169" fontId="18" fillId="0" borderId="0" xfId="58" applyNumberFormat="1" applyFont="1"/>
    <xf numFmtId="0" fontId="18" fillId="0" borderId="0" xfId="12" applyFont="1" applyAlignment="1">
      <alignment horizontal="left"/>
    </xf>
    <xf numFmtId="0" fontId="18" fillId="0" borderId="0" xfId="12" applyFont="1" applyAlignment="1">
      <alignment horizontal="fill"/>
    </xf>
    <xf numFmtId="0" fontId="18" fillId="0" borderId="0" xfId="12" applyFont="1" applyAlignment="1">
      <alignment horizontal="center"/>
    </xf>
    <xf numFmtId="0" fontId="38" fillId="0" borderId="0" xfId="12" applyFont="1" applyAlignment="1">
      <alignment horizontal="centerContinuous"/>
    </xf>
    <xf numFmtId="37" fontId="18" fillId="0" borderId="0" xfId="12" applyNumberFormat="1" applyFont="1" applyAlignment="1">
      <alignment horizontal="center"/>
    </xf>
    <xf numFmtId="10" fontId="18" fillId="0" borderId="0" xfId="60" applyNumberFormat="1" applyFont="1" applyAlignment="1">
      <alignment horizontal="center"/>
    </xf>
    <xf numFmtId="202" fontId="18" fillId="0" borderId="0" xfId="51" applyNumberFormat="1" applyFont="1"/>
    <xf numFmtId="37" fontId="38" fillId="0" borderId="0" xfId="10" applyNumberFormat="1" applyFont="1"/>
    <xf numFmtId="181" fontId="38" fillId="0" borderId="0" xfId="10" applyFont="1" applyAlignment="1">
      <alignment horizontal="center"/>
    </xf>
    <xf numFmtId="166" fontId="18" fillId="0" borderId="0" xfId="17" applyNumberFormat="1" applyFont="1"/>
    <xf numFmtId="227" fontId="18" fillId="0" borderId="0" xfId="11" applyNumberFormat="1" applyFont="1"/>
    <xf numFmtId="9" fontId="18" fillId="0" borderId="0" xfId="12257" applyFont="1" applyFill="1"/>
    <xf numFmtId="183" fontId="18" fillId="0" borderId="0" xfId="11604" applyNumberFormat="1" applyFont="1" applyFill="1"/>
    <xf numFmtId="183" fontId="18" fillId="0" borderId="0" xfId="11604" applyNumberFormat="1" applyFont="1" applyFill="1" applyProtection="1"/>
    <xf numFmtId="0" fontId="22" fillId="0" borderId="0" xfId="58" applyFont="1"/>
    <xf numFmtId="0" fontId="22" fillId="0" borderId="0" xfId="58" applyFont="1" applyAlignment="1">
      <alignment horizontal="center"/>
    </xf>
    <xf numFmtId="37" fontId="22" fillId="0" borderId="0" xfId="58" applyNumberFormat="1" applyFont="1"/>
    <xf numFmtId="0" fontId="22" fillId="0" borderId="0" xfId="58" applyFont="1" applyAlignment="1">
      <alignment horizontal="left"/>
    </xf>
    <xf numFmtId="201" fontId="22" fillId="0" borderId="0" xfId="58" applyNumberFormat="1" applyFont="1" applyAlignment="1">
      <alignment horizontal="center"/>
    </xf>
    <xf numFmtId="14" fontId="22" fillId="0" borderId="0" xfId="58" applyNumberFormat="1" applyFont="1" applyAlignment="1">
      <alignment horizontal="center" wrapText="1"/>
    </xf>
    <xf numFmtId="0" fontId="22" fillId="0" borderId="0" xfId="58" quotePrefix="1" applyFont="1" applyAlignment="1">
      <alignment horizontal="center"/>
    </xf>
    <xf numFmtId="0" fontId="22" fillId="0" borderId="0" xfId="58" applyFont="1" applyAlignment="1">
      <alignment horizontal="centerContinuous"/>
    </xf>
    <xf numFmtId="39" fontId="22" fillId="0" borderId="0" xfId="58" applyNumberFormat="1" applyFont="1"/>
    <xf numFmtId="2" fontId="22" fillId="0" borderId="0" xfId="58" applyNumberFormat="1" applyFont="1"/>
    <xf numFmtId="1" fontId="22" fillId="0" borderId="0" xfId="58" applyNumberFormat="1" applyFont="1" applyAlignment="1">
      <alignment horizontal="center"/>
    </xf>
    <xf numFmtId="1" fontId="22" fillId="0" borderId="0" xfId="58" applyNumberFormat="1" applyFont="1"/>
    <xf numFmtId="0" fontId="38" fillId="0" borderId="0" xfId="11" applyFont="1" applyAlignment="1">
      <alignment horizontal="center"/>
    </xf>
    <xf numFmtId="37" fontId="40" fillId="0" borderId="0" xfId="0" applyNumberFormat="1" applyFont="1" applyProtection="1">
      <protection locked="0"/>
    </xf>
    <xf numFmtId="37" fontId="18" fillId="0" borderId="0" xfId="0" applyNumberFormat="1" applyFont="1" applyProtection="1">
      <protection locked="0"/>
    </xf>
    <xf numFmtId="0" fontId="0" fillId="0" borderId="0" xfId="0" applyAlignment="1">
      <alignment horizontal="left" indent="2"/>
    </xf>
    <xf numFmtId="0" fontId="49" fillId="0" borderId="0" xfId="38" applyFont="1"/>
    <xf numFmtId="164" fontId="49" fillId="0" borderId="0" xfId="38" applyNumberFormat="1" applyFont="1"/>
    <xf numFmtId="37" fontId="49" fillId="0" borderId="0" xfId="18" applyNumberFormat="1" applyFont="1"/>
    <xf numFmtId="183" fontId="18" fillId="0" borderId="0" xfId="1" applyNumberFormat="1" applyFont="1"/>
    <xf numFmtId="0" fontId="18" fillId="0" borderId="0" xfId="12014"/>
    <xf numFmtId="0" fontId="18" fillId="0" borderId="0" xfId="12110" applyFont="1"/>
    <xf numFmtId="0" fontId="18" fillId="0" borderId="0" xfId="12110" applyFont="1" applyAlignment="1">
      <alignment horizontal="left" indent="1"/>
    </xf>
    <xf numFmtId="0" fontId="18" fillId="0" borderId="0" xfId="12110" applyFont="1" applyAlignment="1">
      <alignment horizontal="left" vertical="center" indent="1"/>
    </xf>
    <xf numFmtId="0" fontId="18" fillId="0" borderId="0" xfId="12110" applyFont="1" applyAlignment="1">
      <alignment vertical="center"/>
    </xf>
    <xf numFmtId="183" fontId="18" fillId="0" borderId="0" xfId="43979" applyNumberFormat="1" applyFont="1" applyFill="1" applyBorder="1"/>
    <xf numFmtId="205" fontId="18" fillId="0" borderId="0" xfId="43978" applyNumberFormat="1" applyFont="1" applyFill="1" applyBorder="1"/>
    <xf numFmtId="0" fontId="18" fillId="0" borderId="0" xfId="26" applyFont="1" applyAlignment="1">
      <alignment horizontal="centerContinuous"/>
    </xf>
    <xf numFmtId="0" fontId="18" fillId="0" borderId="0" xfId="26" applyFont="1" applyAlignment="1">
      <alignment horizontal="left"/>
    </xf>
    <xf numFmtId="0" fontId="18" fillId="0" borderId="0" xfId="26" applyFont="1"/>
    <xf numFmtId="0" fontId="18" fillId="0" borderId="0" xfId="26" applyFont="1" applyAlignment="1">
      <alignment horizontal="center"/>
    </xf>
    <xf numFmtId="0" fontId="18" fillId="0" borderId="0" xfId="23" applyFont="1" applyAlignment="1">
      <alignment horizontal="right"/>
    </xf>
    <xf numFmtId="0" fontId="40" fillId="0" borderId="0" xfId="26" applyFont="1" applyAlignment="1">
      <alignment horizontal="left"/>
    </xf>
    <xf numFmtId="166" fontId="18" fillId="0" borderId="0" xfId="28" applyNumberFormat="1" applyFont="1" applyAlignment="1">
      <alignment horizontal="center"/>
    </xf>
    <xf numFmtId="166" fontId="38" fillId="0" borderId="0" xfId="28" applyNumberFormat="1" applyFont="1" applyAlignment="1">
      <alignment horizontal="centerContinuous"/>
    </xf>
    <xf numFmtId="0" fontId="38" fillId="0" borderId="0" xfId="28" applyFont="1" applyAlignment="1">
      <alignment horizontal="center"/>
    </xf>
    <xf numFmtId="0" fontId="38" fillId="0" borderId="0" xfId="28" applyFont="1" applyAlignment="1">
      <alignment horizontal="left"/>
    </xf>
    <xf numFmtId="166" fontId="38" fillId="0" borderId="0" xfId="28" applyNumberFormat="1" applyFont="1" applyAlignment="1">
      <alignment horizontal="center"/>
    </xf>
    <xf numFmtId="0" fontId="32" fillId="0" borderId="0" xfId="28" applyFont="1" applyAlignment="1">
      <alignment horizontal="left"/>
    </xf>
    <xf numFmtId="9" fontId="40" fillId="0" borderId="0" xfId="63" applyFont="1" applyFill="1" applyAlignment="1" applyProtection="1">
      <alignment horizontal="right"/>
      <protection locked="0"/>
    </xf>
    <xf numFmtId="37" fontId="18" fillId="0" borderId="0" xfId="28" applyNumberFormat="1" applyFont="1" applyAlignment="1" applyProtection="1">
      <alignment horizontal="right"/>
      <protection locked="0"/>
    </xf>
    <xf numFmtId="183" fontId="49" fillId="0" borderId="0" xfId="1" applyNumberFormat="1" applyFont="1" applyAlignment="1" applyProtection="1">
      <alignment horizontal="right"/>
      <protection locked="0"/>
    </xf>
    <xf numFmtId="183" fontId="18" fillId="0" borderId="0" xfId="1" applyNumberFormat="1" applyFont="1" applyAlignment="1" applyProtection="1">
      <alignment horizontal="right"/>
      <protection locked="0"/>
    </xf>
    <xf numFmtId="9" fontId="40" fillId="0" borderId="0" xfId="63" applyFont="1" applyFill="1" applyAlignment="1">
      <alignment horizontal="right"/>
    </xf>
    <xf numFmtId="183" fontId="49" fillId="0" borderId="0" xfId="1" applyNumberFormat="1" applyFont="1" applyFill="1" applyAlignment="1" applyProtection="1">
      <alignment horizontal="right"/>
      <protection locked="0"/>
    </xf>
    <xf numFmtId="183" fontId="49" fillId="0" borderId="0" xfId="1" applyNumberFormat="1" applyFont="1" applyAlignment="1">
      <alignment horizontal="right"/>
    </xf>
    <xf numFmtId="183" fontId="18" fillId="0" borderId="0" xfId="1" applyNumberFormat="1" applyFont="1" applyAlignment="1">
      <alignment horizontal="right"/>
    </xf>
    <xf numFmtId="9" fontId="18" fillId="0" borderId="0" xfId="63" applyFont="1" applyFill="1" applyAlignment="1">
      <alignment horizontal="left"/>
    </xf>
    <xf numFmtId="183" fontId="18" fillId="0" borderId="0" xfId="1" applyNumberFormat="1" applyFont="1" applyAlignment="1" applyProtection="1">
      <alignment horizontal="right"/>
    </xf>
    <xf numFmtId="183" fontId="18" fillId="0" borderId="0" xfId="1" applyNumberFormat="1" applyFont="1" applyBorder="1"/>
    <xf numFmtId="9" fontId="18" fillId="0" borderId="0" xfId="0" applyNumberFormat="1" applyFont="1"/>
    <xf numFmtId="9" fontId="18" fillId="0" borderId="0" xfId="63" applyFont="1" applyAlignment="1" applyProtection="1">
      <alignment horizontal="right"/>
      <protection locked="0"/>
    </xf>
    <xf numFmtId="0" fontId="38" fillId="0" borderId="0" xfId="43980" applyFont="1" applyAlignment="1">
      <alignment horizontal="left"/>
    </xf>
    <xf numFmtId="0" fontId="2" fillId="0" borderId="0" xfId="43980"/>
    <xf numFmtId="9" fontId="0" fillId="0" borderId="0" xfId="43981" applyFont="1" applyFill="1"/>
    <xf numFmtId="0" fontId="2" fillId="0" borderId="0" xfId="43980" applyAlignment="1">
      <alignment horizontal="center"/>
    </xf>
    <xf numFmtId="205" fontId="0" fillId="0" borderId="0" xfId="43982" applyNumberFormat="1" applyFont="1" applyFill="1" applyAlignment="1">
      <alignment horizontal="center"/>
    </xf>
    <xf numFmtId="205" fontId="0" fillId="0" borderId="0" xfId="43982" applyNumberFormat="1" applyFont="1" applyFill="1" applyBorder="1" applyAlignment="1" applyProtection="1">
      <alignment horizontal="center"/>
    </xf>
    <xf numFmtId="0" fontId="186" fillId="0" borderId="0" xfId="43980" applyFont="1" applyAlignment="1">
      <alignment horizontal="left" vertical="center" indent="3"/>
    </xf>
    <xf numFmtId="10" fontId="18" fillId="0" borderId="0" xfId="43981" applyNumberFormat="1" applyFont="1"/>
    <xf numFmtId="43" fontId="27" fillId="0" borderId="0" xfId="1" applyFont="1" applyFill="1"/>
    <xf numFmtId="183" fontId="0" fillId="0" borderId="0" xfId="0" applyNumberFormat="1"/>
    <xf numFmtId="37" fontId="49" fillId="0" borderId="0" xfId="39" quotePrefix="1" applyNumberFormat="1" applyFont="1"/>
    <xf numFmtId="0" fontId="0" fillId="0" borderId="0" xfId="58" quotePrefix="1" applyFont="1" applyAlignment="1">
      <alignment horizontal="center"/>
    </xf>
    <xf numFmtId="0" fontId="0" fillId="0" borderId="0" xfId="58" applyFont="1" applyAlignment="1">
      <alignment horizontal="center"/>
    </xf>
    <xf numFmtId="0" fontId="0" fillId="0" borderId="0" xfId="59" applyFont="1" applyAlignment="1">
      <alignment horizontal="center"/>
    </xf>
    <xf numFmtId="0" fontId="0" fillId="0" borderId="0" xfId="0" quotePrefix="1" applyAlignment="1">
      <alignment horizontal="center"/>
    </xf>
    <xf numFmtId="10" fontId="0" fillId="0" borderId="0" xfId="7" applyNumberFormat="1" applyFont="1" applyAlignment="1">
      <alignment horizontal="center"/>
    </xf>
    <xf numFmtId="37" fontId="74" fillId="0" borderId="0" xfId="7" applyNumberFormat="1" applyFont="1"/>
    <xf numFmtId="166" fontId="40" fillId="0" borderId="0" xfId="15053" applyNumberFormat="1" applyFont="1" applyProtection="1">
      <protection locked="0"/>
    </xf>
    <xf numFmtId="0" fontId="0" fillId="0" borderId="0" xfId="7" applyFont="1"/>
    <xf numFmtId="0" fontId="0" fillId="0" borderId="0" xfId="7" applyFont="1" applyAlignment="1">
      <alignment horizontal="left"/>
    </xf>
    <xf numFmtId="0" fontId="0" fillId="0" borderId="0" xfId="7" quotePrefix="1" applyFont="1" applyAlignment="1">
      <alignment horizontal="left"/>
    </xf>
    <xf numFmtId="166" fontId="40" fillId="0" borderId="0" xfId="7" applyNumberFormat="1" applyFont="1" applyProtection="1">
      <protection locked="0"/>
    </xf>
    <xf numFmtId="43" fontId="40" fillId="0" borderId="0" xfId="1" applyFont="1" applyProtection="1">
      <protection locked="0"/>
    </xf>
    <xf numFmtId="41" fontId="40" fillId="0" borderId="0" xfId="7" applyNumberFormat="1" applyFont="1" applyProtection="1">
      <protection locked="0"/>
    </xf>
    <xf numFmtId="183" fontId="81" fillId="0" borderId="0" xfId="1" applyNumberFormat="1" applyFont="1"/>
    <xf numFmtId="10" fontId="49" fillId="0" borderId="0" xfId="7" applyNumberFormat="1" applyFont="1" applyAlignment="1">
      <alignment horizontal="center"/>
    </xf>
    <xf numFmtId="0" fontId="0" fillId="0" borderId="0" xfId="58" applyFont="1" applyAlignment="1">
      <alignment horizontal="center" wrapText="1"/>
    </xf>
    <xf numFmtId="0" fontId="18" fillId="0" borderId="0" xfId="24811" applyFont="1"/>
    <xf numFmtId="0" fontId="18" fillId="0" borderId="0" xfId="24811" applyFont="1" applyAlignment="1">
      <alignment horizontal="left"/>
    </xf>
    <xf numFmtId="0" fontId="18" fillId="0" borderId="0" xfId="24811" quotePrefix="1" applyFont="1"/>
    <xf numFmtId="0" fontId="38" fillId="0" borderId="0" xfId="24811" quotePrefix="1" applyFont="1"/>
    <xf numFmtId="0" fontId="0" fillId="0" borderId="0" xfId="24811" quotePrefix="1" applyFont="1"/>
    <xf numFmtId="0" fontId="18" fillId="0" borderId="0" xfId="24811" applyFont="1" applyAlignment="1">
      <alignment horizontal="center"/>
    </xf>
    <xf numFmtId="37" fontId="18" fillId="0" borderId="0" xfId="24811" applyNumberFormat="1" applyFont="1"/>
    <xf numFmtId="37" fontId="74" fillId="0" borderId="0" xfId="24811" applyNumberFormat="1" applyFont="1"/>
    <xf numFmtId="41" fontId="18" fillId="0" borderId="0" xfId="38" applyNumberFormat="1" applyFont="1"/>
    <xf numFmtId="166" fontId="49" fillId="0" borderId="0" xfId="22" applyNumberFormat="1" applyFont="1"/>
    <xf numFmtId="0" fontId="49" fillId="0" borderId="0" xfId="22" applyFont="1"/>
    <xf numFmtId="37" fontId="49" fillId="0" borderId="0" xfId="22" applyNumberFormat="1" applyFont="1"/>
    <xf numFmtId="180" fontId="49" fillId="0" borderId="0" xfId="22" applyNumberFormat="1" applyFont="1"/>
    <xf numFmtId="180" fontId="18" fillId="0" borderId="0" xfId="22" applyNumberFormat="1" applyFont="1"/>
    <xf numFmtId="37" fontId="49" fillId="0" borderId="0" xfId="22" applyNumberFormat="1" applyFont="1" applyAlignment="1">
      <alignment horizontal="right"/>
    </xf>
    <xf numFmtId="37" fontId="40" fillId="0" borderId="120" xfId="0" applyNumberFormat="1" applyFont="1" applyBorder="1" applyProtection="1">
      <protection locked="0"/>
    </xf>
    <xf numFmtId="37" fontId="76" fillId="0" borderId="0" xfId="62" applyNumberFormat="1" applyFont="1"/>
    <xf numFmtId="0" fontId="0" fillId="0" borderId="0" xfId="59" applyFont="1"/>
    <xf numFmtId="0" fontId="0" fillId="0" borderId="0" xfId="59" applyFont="1" applyAlignment="1">
      <alignment horizontal="left"/>
    </xf>
    <xf numFmtId="42" fontId="49" fillId="0" borderId="0" xfId="5" applyNumberFormat="1" applyFont="1" applyAlignment="1">
      <alignment horizontal="right"/>
    </xf>
    <xf numFmtId="42" fontId="18" fillId="0" borderId="0" xfId="1487" applyNumberFormat="1" applyFont="1"/>
    <xf numFmtId="37" fontId="18" fillId="0" borderId="0" xfId="1487" applyNumberFormat="1" applyFont="1" applyAlignment="1">
      <alignment horizontal="left"/>
    </xf>
    <xf numFmtId="37" fontId="24" fillId="0" borderId="0" xfId="58" applyNumberFormat="1" applyFont="1"/>
    <xf numFmtId="37" fontId="74" fillId="0" borderId="0" xfId="58" applyNumberFormat="1" applyFont="1"/>
    <xf numFmtId="37" fontId="18" fillId="0" borderId="120" xfId="0" applyNumberFormat="1" applyFont="1" applyBorder="1" applyProtection="1">
      <protection locked="0"/>
    </xf>
    <xf numFmtId="37" fontId="40" fillId="0" borderId="0" xfId="38" applyNumberFormat="1" applyFont="1"/>
    <xf numFmtId="0" fontId="18" fillId="0" borderId="120" xfId="47" applyFont="1" applyBorder="1"/>
    <xf numFmtId="0" fontId="18" fillId="0" borderId="120" xfId="47" applyFont="1" applyBorder="1" applyAlignment="1">
      <alignment horizontal="center"/>
    </xf>
    <xf numFmtId="183" fontId="18" fillId="0" borderId="120" xfId="1" applyNumberFormat="1" applyFont="1" applyFill="1" applyBorder="1"/>
    <xf numFmtId="183" fontId="0" fillId="0" borderId="0" xfId="1" applyNumberFormat="1" applyFont="1"/>
    <xf numFmtId="43" fontId="0" fillId="0" borderId="0" xfId="0" applyNumberFormat="1"/>
    <xf numFmtId="41" fontId="18" fillId="0" borderId="0" xfId="1487" applyNumberFormat="1" applyFont="1"/>
    <xf numFmtId="41" fontId="107" fillId="0" borderId="0" xfId="1487" applyNumberFormat="1" applyFont="1"/>
    <xf numFmtId="183" fontId="78" fillId="0" borderId="0" xfId="1" applyNumberFormat="1" applyFont="1" applyFill="1"/>
    <xf numFmtId="37" fontId="18" fillId="0" borderId="0" xfId="5" applyNumberFormat="1" applyFont="1" applyAlignment="1">
      <alignment horizontal="left"/>
    </xf>
    <xf numFmtId="17" fontId="18" fillId="0" borderId="0" xfId="5" applyNumberFormat="1" applyFont="1" applyAlignment="1">
      <alignment horizontal="left"/>
    </xf>
    <xf numFmtId="17" fontId="18" fillId="0" borderId="0" xfId="5" quotePrefix="1" applyNumberFormat="1" applyFont="1" applyAlignment="1">
      <alignment horizontal="left"/>
    </xf>
    <xf numFmtId="37" fontId="49" fillId="0" borderId="0" xfId="5" applyNumberFormat="1" applyFont="1" applyAlignment="1">
      <alignment horizontal="right"/>
    </xf>
    <xf numFmtId="37" fontId="18" fillId="0" borderId="0" xfId="5" applyNumberFormat="1" applyFont="1" applyAlignment="1">
      <alignment horizontal="right"/>
    </xf>
    <xf numFmtId="37" fontId="85" fillId="0" borderId="0" xfId="5" applyNumberFormat="1" applyFont="1" applyAlignment="1">
      <alignment horizontal="right"/>
    </xf>
    <xf numFmtId="37" fontId="18" fillId="0" borderId="0" xfId="5" quotePrefix="1" applyNumberFormat="1" applyFont="1" applyAlignment="1">
      <alignment horizontal="center"/>
    </xf>
    <xf numFmtId="37" fontId="38" fillId="0" borderId="0" xfId="5" applyNumberFormat="1" applyFont="1" applyAlignment="1">
      <alignment horizontal="right"/>
    </xf>
    <xf numFmtId="0" fontId="18" fillId="0" borderId="0" xfId="5" quotePrefix="1" applyFont="1"/>
    <xf numFmtId="205" fontId="49" fillId="0" borderId="0" xfId="43982" applyNumberFormat="1" applyFont="1" applyFill="1" applyAlignment="1" applyProtection="1">
      <alignment horizontal="center"/>
    </xf>
    <xf numFmtId="205" fontId="18" fillId="0" borderId="0" xfId="43982" applyNumberFormat="1" applyFont="1" applyFill="1" applyAlignment="1" applyProtection="1">
      <alignment horizontal="center"/>
    </xf>
    <xf numFmtId="205" fontId="18" fillId="0" borderId="119" xfId="43982" applyNumberFormat="1" applyFont="1" applyFill="1" applyBorder="1" applyAlignment="1" applyProtection="1">
      <alignment horizontal="center"/>
    </xf>
    <xf numFmtId="205" fontId="18" fillId="0" borderId="0" xfId="49" applyNumberFormat="1" applyFont="1"/>
    <xf numFmtId="0" fontId="187" fillId="0" borderId="0" xfId="0" applyFont="1"/>
    <xf numFmtId="0" fontId="188" fillId="0" borderId="0" xfId="0" applyFont="1"/>
    <xf numFmtId="42" fontId="18" fillId="0" borderId="0" xfId="33" applyNumberFormat="1" applyFont="1" applyProtection="1">
      <protection locked="0"/>
    </xf>
    <xf numFmtId="42" fontId="18" fillId="0" borderId="0" xfId="33" applyNumberFormat="1" applyFont="1"/>
    <xf numFmtId="0" fontId="38" fillId="0" borderId="0" xfId="33" applyFont="1" applyAlignment="1">
      <alignment horizontal="left" indent="1"/>
    </xf>
    <xf numFmtId="0" fontId="18" fillId="0" borderId="120" xfId="0" applyFont="1" applyBorder="1" applyAlignment="1">
      <alignment horizontal="center"/>
    </xf>
    <xf numFmtId="166" fontId="18" fillId="0" borderId="0" xfId="28" applyNumberFormat="1" applyFont="1" applyAlignment="1">
      <alignment horizontal="centerContinuous"/>
    </xf>
    <xf numFmtId="42" fontId="49" fillId="0" borderId="0" xfId="1" applyNumberFormat="1" applyFont="1" applyAlignment="1" applyProtection="1">
      <alignment horizontal="right"/>
      <protection locked="0"/>
    </xf>
    <xf numFmtId="42" fontId="49" fillId="0" borderId="0" xfId="1" applyNumberFormat="1" applyFont="1" applyFill="1" applyAlignment="1" applyProtection="1">
      <alignment horizontal="right"/>
      <protection locked="0"/>
    </xf>
    <xf numFmtId="42" fontId="18" fillId="0" borderId="0" xfId="1" applyNumberFormat="1" applyFont="1"/>
    <xf numFmtId="42" fontId="18" fillId="0" borderId="0" xfId="1" applyNumberFormat="1" applyFont="1" applyAlignment="1" applyProtection="1">
      <alignment horizontal="right"/>
      <protection locked="0"/>
    </xf>
    <xf numFmtId="10" fontId="49" fillId="0" borderId="0" xfId="0" applyNumberFormat="1" applyFont="1"/>
    <xf numFmtId="39" fontId="18" fillId="0" borderId="0" xfId="5" applyNumberFormat="1" applyFont="1" applyAlignment="1">
      <alignment horizontal="right"/>
    </xf>
    <xf numFmtId="39" fontId="40" fillId="0" borderId="0" xfId="5" applyNumberFormat="1" applyFont="1" applyAlignment="1" applyProtection="1">
      <alignment horizontal="right"/>
      <protection locked="0"/>
    </xf>
    <xf numFmtId="37" fontId="40" fillId="0" borderId="0" xfId="49" applyNumberFormat="1" applyFont="1" applyProtection="1">
      <protection locked="0"/>
    </xf>
    <xf numFmtId="37" fontId="49" fillId="0" borderId="0" xfId="50" applyNumberFormat="1" applyFont="1"/>
    <xf numFmtId="42" fontId="40" fillId="0" borderId="0" xfId="49" applyNumberFormat="1" applyFont="1" applyProtection="1">
      <protection locked="0"/>
    </xf>
    <xf numFmtId="42" fontId="18" fillId="0" borderId="0" xfId="49" applyNumberFormat="1" applyFont="1"/>
    <xf numFmtId="42" fontId="40" fillId="0" borderId="0" xfId="49" applyNumberFormat="1" applyFont="1"/>
    <xf numFmtId="41" fontId="40" fillId="0" borderId="0" xfId="49" applyNumberFormat="1" applyFont="1"/>
    <xf numFmtId="41" fontId="18" fillId="0" borderId="0" xfId="49" applyNumberFormat="1" applyFont="1"/>
    <xf numFmtId="228" fontId="33" fillId="6" borderId="0" xfId="2" applyNumberFormat="1" applyFont="1" applyFill="1" applyAlignment="1">
      <alignment horizontal="centerContinuous"/>
    </xf>
    <xf numFmtId="41" fontId="40" fillId="0" borderId="0" xfId="1" applyNumberFormat="1" applyFont="1" applyProtection="1">
      <protection locked="0"/>
    </xf>
    <xf numFmtId="41" fontId="18" fillId="0" borderId="0" xfId="1" applyNumberFormat="1" applyFont="1" applyProtection="1"/>
    <xf numFmtId="41" fontId="18" fillId="0" borderId="0" xfId="7" applyNumberFormat="1" applyFont="1"/>
    <xf numFmtId="42" fontId="40" fillId="0" borderId="0" xfId="1" applyNumberFormat="1" applyFont="1" applyProtection="1">
      <protection locked="0"/>
    </xf>
    <xf numFmtId="41" fontId="74" fillId="0" borderId="0" xfId="7" applyNumberFormat="1" applyFont="1"/>
    <xf numFmtId="41" fontId="40" fillId="0" borderId="0" xfId="7" applyNumberFormat="1" applyFont="1"/>
    <xf numFmtId="41" fontId="40" fillId="0" borderId="0" xfId="15053" applyNumberFormat="1" applyFont="1" applyProtection="1">
      <protection locked="0"/>
    </xf>
    <xf numFmtId="42" fontId="40" fillId="0" borderId="0" xfId="7" applyNumberFormat="1" applyFont="1"/>
    <xf numFmtId="42" fontId="40" fillId="0" borderId="0" xfId="15053" applyNumberFormat="1" applyFont="1" applyProtection="1">
      <protection locked="0"/>
    </xf>
    <xf numFmtId="41" fontId="49" fillId="0" borderId="0" xfId="7" applyNumberFormat="1" applyFont="1"/>
    <xf numFmtId="41" fontId="18" fillId="0" borderId="0" xfId="1" applyNumberFormat="1" applyFont="1" applyFill="1" applyProtection="1"/>
    <xf numFmtId="41" fontId="49" fillId="0" borderId="0" xfId="1" applyNumberFormat="1" applyFont="1" applyFill="1" applyProtection="1">
      <protection locked="0"/>
    </xf>
    <xf numFmtId="41" fontId="49" fillId="0" borderId="0" xfId="1" applyNumberFormat="1" applyFont="1"/>
    <xf numFmtId="41" fontId="18" fillId="0" borderId="0" xfId="1" applyNumberFormat="1" applyFont="1"/>
    <xf numFmtId="41" fontId="49" fillId="0" borderId="0" xfId="7" applyNumberFormat="1" applyFont="1" applyProtection="1">
      <protection locked="0"/>
    </xf>
    <xf numFmtId="41" fontId="48" fillId="0" borderId="0" xfId="1" applyNumberFormat="1" applyFont="1" applyFill="1" applyProtection="1">
      <protection locked="0"/>
    </xf>
    <xf numFmtId="41" fontId="48" fillId="0" borderId="0" xfId="7" applyNumberFormat="1" applyFont="1"/>
    <xf numFmtId="41" fontId="49" fillId="0" borderId="0" xfId="1" applyNumberFormat="1" applyFont="1" applyFill="1"/>
    <xf numFmtId="41" fontId="48" fillId="0" borderId="0" xfId="7" applyNumberFormat="1" applyFont="1" applyProtection="1">
      <protection locked="0"/>
    </xf>
    <xf numFmtId="41" fontId="18" fillId="0" borderId="0" xfId="1" applyNumberFormat="1" applyFont="1" applyFill="1" applyProtection="1">
      <protection locked="0"/>
    </xf>
    <xf numFmtId="42" fontId="49" fillId="0" borderId="0" xfId="7" applyNumberFormat="1" applyFont="1"/>
    <xf numFmtId="42" fontId="18" fillId="0" borderId="0" xfId="1" applyNumberFormat="1" applyFont="1" applyFill="1" applyProtection="1"/>
    <xf numFmtId="42" fontId="49" fillId="0" borderId="0" xfId="1" applyNumberFormat="1" applyFont="1" applyFill="1" applyProtection="1">
      <protection locked="0"/>
    </xf>
    <xf numFmtId="42" fontId="49" fillId="0" borderId="0" xfId="7" applyNumberFormat="1" applyFont="1" applyProtection="1">
      <protection locked="0"/>
    </xf>
    <xf numFmtId="41" fontId="49" fillId="0" borderId="0" xfId="1" applyNumberFormat="1" applyFont="1" applyFill="1" applyBorder="1" applyAlignment="1">
      <alignment horizontal="center" vertical="center"/>
    </xf>
    <xf numFmtId="41" fontId="40" fillId="0" borderId="0" xfId="57" applyNumberFormat="1" applyFont="1" applyProtection="1">
      <protection locked="0"/>
    </xf>
    <xf numFmtId="41" fontId="18" fillId="0" borderId="0" xfId="57" applyNumberFormat="1" applyFont="1" applyProtection="1">
      <protection locked="0"/>
    </xf>
    <xf numFmtId="41" fontId="38" fillId="0" borderId="0" xfId="57" applyNumberFormat="1" applyFont="1" applyProtection="1">
      <protection locked="0"/>
    </xf>
    <xf numFmtId="41" fontId="18" fillId="0" borderId="0" xfId="57" applyNumberFormat="1" applyFont="1"/>
    <xf numFmtId="41" fontId="18" fillId="0" borderId="0" xfId="57" applyNumberFormat="1" applyFont="1" applyAlignment="1">
      <alignment horizontal="right"/>
    </xf>
    <xf numFmtId="41" fontId="82" fillId="0" borderId="0" xfId="57" applyNumberFormat="1" applyFont="1" applyProtection="1">
      <protection locked="0"/>
    </xf>
    <xf numFmtId="41" fontId="38" fillId="0" borderId="0" xfId="57" applyNumberFormat="1" applyFont="1" applyAlignment="1">
      <alignment horizontal="right"/>
    </xf>
    <xf numFmtId="42" fontId="74" fillId="0" borderId="0" xfId="57" applyNumberFormat="1" applyFont="1"/>
    <xf numFmtId="42" fontId="74" fillId="0" borderId="0" xfId="57" applyNumberFormat="1" applyFont="1" applyAlignment="1">
      <alignment horizontal="right"/>
    </xf>
    <xf numFmtId="42" fontId="18" fillId="0" borderId="0" xfId="57" applyNumberFormat="1" applyFont="1" applyAlignment="1">
      <alignment horizontal="right"/>
    </xf>
    <xf numFmtId="0" fontId="18" fillId="0" borderId="0" xfId="21" quotePrefix="1" applyFont="1"/>
    <xf numFmtId="0" fontId="18" fillId="0" borderId="0" xfId="21" quotePrefix="1" applyFont="1" applyAlignment="1">
      <alignment horizontal="center"/>
    </xf>
    <xf numFmtId="37" fontId="18" fillId="0" borderId="0" xfId="21" quotePrefix="1" applyNumberFormat="1" applyFont="1" applyAlignment="1">
      <alignment horizontal="center"/>
    </xf>
    <xf numFmtId="0" fontId="18" fillId="0" borderId="120" xfId="30" applyFont="1" applyBorder="1" applyAlignment="1">
      <alignment horizontal="fill"/>
    </xf>
    <xf numFmtId="37" fontId="18" fillId="0" borderId="0" xfId="60" applyNumberFormat="1" applyFont="1" applyAlignment="1">
      <alignment horizontal="left" indent="2"/>
    </xf>
    <xf numFmtId="0" fontId="18" fillId="0" borderId="0" xfId="60" applyFont="1" applyAlignment="1">
      <alignment horizontal="left" indent="2"/>
    </xf>
    <xf numFmtId="37" fontId="18" fillId="0" borderId="0" xfId="17" quotePrefix="1" applyNumberFormat="1" applyFont="1" applyAlignment="1">
      <alignment horizontal="center"/>
    </xf>
    <xf numFmtId="0" fontId="18" fillId="77" borderId="2" xfId="4" applyFont="1" applyFill="1" applyBorder="1"/>
    <xf numFmtId="0" fontId="18" fillId="77" borderId="0" xfId="18" applyFont="1" applyFill="1"/>
    <xf numFmtId="37" fontId="18" fillId="77" borderId="0" xfId="4" quotePrefix="1" applyNumberFormat="1" applyFont="1" applyFill="1"/>
    <xf numFmtId="37" fontId="18" fillId="77" borderId="0" xfId="4" applyNumberFormat="1" applyFont="1" applyFill="1"/>
    <xf numFmtId="37" fontId="18" fillId="77" borderId="0" xfId="18" applyNumberFormat="1" applyFont="1" applyFill="1"/>
    <xf numFmtId="37" fontId="18" fillId="77" borderId="30" xfId="4" applyNumberFormat="1" applyFont="1" applyFill="1" applyBorder="1"/>
    <xf numFmtId="37" fontId="18" fillId="77" borderId="30" xfId="4" quotePrefix="1" applyNumberFormat="1" applyFont="1" applyFill="1" applyBorder="1"/>
    <xf numFmtId="37" fontId="18" fillId="77" borderId="0" xfId="18" applyNumberFormat="1" applyFont="1" applyFill="1" applyAlignment="1">
      <alignment horizontal="left"/>
    </xf>
    <xf numFmtId="10" fontId="18" fillId="77" borderId="0" xfId="4" applyNumberFormat="1" applyFont="1" applyFill="1"/>
    <xf numFmtId="10" fontId="18" fillId="77" borderId="30" xfId="4" applyNumberFormat="1" applyFont="1" applyFill="1" applyBorder="1"/>
    <xf numFmtId="0" fontId="18" fillId="77" borderId="22" xfId="4" applyFont="1" applyFill="1" applyBorder="1"/>
    <xf numFmtId="0" fontId="18" fillId="77" borderId="31" xfId="4" applyFont="1" applyFill="1" applyBorder="1"/>
    <xf numFmtId="0" fontId="18" fillId="77" borderId="28" xfId="18" applyFont="1" applyFill="1" applyBorder="1" applyAlignment="1">
      <alignment horizontal="center"/>
    </xf>
    <xf numFmtId="0" fontId="18" fillId="77" borderId="29" xfId="18" applyFont="1" applyFill="1" applyBorder="1" applyAlignment="1">
      <alignment horizontal="center"/>
    </xf>
    <xf numFmtId="0" fontId="18" fillId="77" borderId="28" xfId="18" applyFont="1" applyFill="1" applyBorder="1"/>
    <xf numFmtId="37" fontId="18" fillId="77" borderId="28" xfId="18" applyNumberFormat="1" applyFont="1" applyFill="1" applyBorder="1"/>
    <xf numFmtId="37" fontId="18" fillId="77" borderId="29" xfId="18" applyNumberFormat="1" applyFont="1" applyFill="1" applyBorder="1"/>
    <xf numFmtId="0" fontId="190" fillId="0" borderId="0" xfId="43983" applyFont="1" applyFill="1" applyAlignment="1" applyProtection="1">
      <alignment horizontal="centerContinuous"/>
    </xf>
    <xf numFmtId="37" fontId="18" fillId="0" borderId="0" xfId="43983" applyNumberFormat="1" applyFont="1" applyFill="1" applyAlignment="1" applyProtection="1">
      <alignment horizontal="center"/>
    </xf>
    <xf numFmtId="42" fontId="78" fillId="0" borderId="0" xfId="33" applyNumberFormat="1" applyFont="1"/>
    <xf numFmtId="41" fontId="107" fillId="0" borderId="0" xfId="33" applyNumberFormat="1" applyFont="1" applyProtection="1">
      <protection locked="0"/>
    </xf>
    <xf numFmtId="42" fontId="49" fillId="0" borderId="0" xfId="9818" applyNumberFormat="1" applyFont="1"/>
    <xf numFmtId="42" fontId="18" fillId="0" borderId="0" xfId="34" applyNumberFormat="1" applyFont="1" applyProtection="1">
      <protection locked="0"/>
    </xf>
    <xf numFmtId="42" fontId="74" fillId="0" borderId="0" xfId="34" applyNumberFormat="1" applyFont="1"/>
    <xf numFmtId="41" fontId="107" fillId="0" borderId="0" xfId="34" applyNumberFormat="1" applyFont="1" applyProtection="1">
      <protection locked="0"/>
    </xf>
    <xf numFmtId="42" fontId="74" fillId="0" borderId="0" xfId="28" applyNumberFormat="1" applyFont="1" applyAlignment="1">
      <alignment horizontal="right"/>
    </xf>
    <xf numFmtId="41" fontId="107" fillId="0" borderId="0" xfId="5" applyNumberFormat="1" applyFont="1" applyAlignment="1">
      <alignment horizontal="right"/>
    </xf>
    <xf numFmtId="42" fontId="74" fillId="0" borderId="0" xfId="5" applyNumberFormat="1" applyFont="1" applyAlignment="1">
      <alignment horizontal="right"/>
    </xf>
    <xf numFmtId="41" fontId="38" fillId="0" borderId="0" xfId="7" applyNumberFormat="1" applyFont="1"/>
    <xf numFmtId="37" fontId="18" fillId="0" borderId="0" xfId="12" quotePrefix="1" applyNumberFormat="1" applyFont="1" applyAlignment="1">
      <alignment horizontal="center"/>
    </xf>
    <xf numFmtId="3" fontId="40" fillId="0" borderId="0" xfId="1" applyNumberFormat="1" applyFont="1" applyFill="1"/>
    <xf numFmtId="0" fontId="18" fillId="0" borderId="120" xfId="7" applyFont="1" applyBorder="1" applyAlignment="1">
      <alignment horizontal="center"/>
    </xf>
    <xf numFmtId="0" fontId="18" fillId="0" borderId="120" xfId="7" applyFont="1" applyBorder="1"/>
    <xf numFmtId="0" fontId="18" fillId="0" borderId="120" xfId="7" applyFont="1" applyBorder="1" applyAlignment="1">
      <alignment horizontal="left"/>
    </xf>
    <xf numFmtId="0" fontId="72" fillId="0" borderId="0" xfId="3" applyFont="1" applyProtection="1"/>
    <xf numFmtId="0" fontId="72" fillId="0" borderId="0" xfId="62" applyFont="1"/>
    <xf numFmtId="0" fontId="72" fillId="0" borderId="0" xfId="19" applyFont="1"/>
    <xf numFmtId="10" fontId="27" fillId="0" borderId="0" xfId="63" applyNumberFormat="1" applyFont="1" applyFill="1"/>
    <xf numFmtId="0" fontId="72" fillId="0" borderId="0" xfId="51" applyFont="1"/>
    <xf numFmtId="0" fontId="18" fillId="0" borderId="0" xfId="28" quotePrefix="1" applyFont="1" applyAlignment="1">
      <alignment horizontal="center"/>
    </xf>
    <xf numFmtId="183" fontId="18" fillId="0" borderId="0" xfId="1" applyNumberFormat="1" applyFont="1" applyFill="1" applyBorder="1" applyAlignment="1" applyProtection="1">
      <alignment horizontal="center"/>
    </xf>
    <xf numFmtId="183" fontId="0" fillId="0" borderId="0" xfId="1" applyNumberFormat="1" applyFont="1" applyFill="1" applyBorder="1"/>
    <xf numFmtId="14" fontId="18" fillId="0" borderId="0" xfId="0" applyNumberFormat="1" applyFont="1" applyAlignment="1">
      <alignment horizontal="left"/>
    </xf>
    <xf numFmtId="0" fontId="49" fillId="0" borderId="0" xfId="1" applyNumberFormat="1" applyFont="1" applyFill="1" applyBorder="1"/>
    <xf numFmtId="205" fontId="49" fillId="0" borderId="0" xfId="43977" applyNumberFormat="1" applyFont="1" applyFill="1" applyBorder="1"/>
    <xf numFmtId="14" fontId="0" fillId="0" borderId="0" xfId="0" applyNumberFormat="1" applyAlignment="1">
      <alignment horizontal="right"/>
    </xf>
    <xf numFmtId="42" fontId="0" fillId="0" borderId="0" xfId="1" applyNumberFormat="1" applyFont="1" applyFill="1" applyBorder="1"/>
    <xf numFmtId="183" fontId="18" fillId="0" borderId="0" xfId="1" quotePrefix="1" applyNumberFormat="1" applyFont="1" applyFill="1" applyBorder="1" applyAlignment="1">
      <alignment horizontal="left"/>
    </xf>
    <xf numFmtId="0" fontId="72" fillId="0" borderId="0" xfId="21" applyFont="1"/>
    <xf numFmtId="0" fontId="72" fillId="0" borderId="0" xfId="1485" applyFont="1"/>
    <xf numFmtId="0" fontId="72" fillId="0" borderId="0" xfId="5" applyFont="1"/>
    <xf numFmtId="39" fontId="0" fillId="0" borderId="0" xfId="0" applyNumberFormat="1"/>
    <xf numFmtId="183" fontId="72" fillId="0" borderId="0" xfId="1" applyNumberFormat="1" applyFont="1" applyFill="1"/>
    <xf numFmtId="181" fontId="18" fillId="0" borderId="120" xfId="10" applyFont="1" applyBorder="1" applyAlignment="1">
      <alignment horizontal="center"/>
    </xf>
    <xf numFmtId="0" fontId="18" fillId="0" borderId="121" xfId="61" applyFont="1" applyBorder="1" applyAlignment="1">
      <alignment horizontal="left"/>
    </xf>
    <xf numFmtId="0" fontId="18" fillId="0" borderId="121" xfId="61" applyFont="1" applyBorder="1"/>
    <xf numFmtId="164" fontId="18" fillId="0" borderId="0" xfId="2" applyNumberFormat="1" applyFont="1"/>
    <xf numFmtId="1" fontId="18" fillId="0" borderId="0" xfId="0" applyNumberFormat="1" applyFont="1" applyAlignment="1">
      <alignment horizontal="left"/>
    </xf>
    <xf numFmtId="1" fontId="18" fillId="0" borderId="0" xfId="6" applyNumberFormat="1" applyAlignment="1">
      <alignment horizontal="center"/>
    </xf>
    <xf numFmtId="1" fontId="18" fillId="0" borderId="0" xfId="0" applyNumberFormat="1" applyFont="1" applyAlignment="1">
      <alignment horizontal="left" indent="2"/>
    </xf>
    <xf numFmtId="1" fontId="18" fillId="0" borderId="0" xfId="0" applyNumberFormat="1" applyFont="1"/>
    <xf numFmtId="39" fontId="18" fillId="0" borderId="0" xfId="2" applyNumberFormat="1" applyFont="1"/>
    <xf numFmtId="37" fontId="18" fillId="0" borderId="0" xfId="2" applyNumberFormat="1" applyFont="1" applyAlignment="1">
      <alignment horizontal="center"/>
    </xf>
    <xf numFmtId="0" fontId="18" fillId="0" borderId="120" xfId="11" applyFont="1" applyBorder="1" applyAlignment="1">
      <alignment horizontal="fill"/>
    </xf>
    <xf numFmtId="0" fontId="18" fillId="0" borderId="120" xfId="11" applyFont="1" applyBorder="1"/>
    <xf numFmtId="0" fontId="18" fillId="0" borderId="120" xfId="12" applyFont="1" applyBorder="1" applyAlignment="1">
      <alignment horizontal="fill"/>
    </xf>
    <xf numFmtId="0" fontId="18" fillId="0" borderId="120" xfId="12" applyFont="1" applyBorder="1" applyAlignment="1">
      <alignment horizontal="center"/>
    </xf>
    <xf numFmtId="0" fontId="18" fillId="0" borderId="120" xfId="58" applyFont="1" applyBorder="1"/>
    <xf numFmtId="37" fontId="18" fillId="0" borderId="120" xfId="58" applyNumberFormat="1" applyFont="1" applyBorder="1" applyAlignment="1">
      <alignment horizontal="center"/>
    </xf>
    <xf numFmtId="0" fontId="18" fillId="0" borderId="120" xfId="58" applyFont="1" applyBorder="1" applyAlignment="1">
      <alignment horizontal="center"/>
    </xf>
    <xf numFmtId="10" fontId="18" fillId="0" borderId="120" xfId="58" applyNumberFormat="1" applyFont="1" applyBorder="1" applyAlignment="1">
      <alignment horizontal="center"/>
    </xf>
    <xf numFmtId="37" fontId="18" fillId="0" borderId="120" xfId="58" applyNumberFormat="1" applyFont="1" applyBorder="1"/>
    <xf numFmtId="10" fontId="18" fillId="0" borderId="120" xfId="58" applyNumberFormat="1" applyFont="1" applyBorder="1"/>
    <xf numFmtId="0" fontId="43" fillId="0" borderId="120" xfId="58" applyFont="1" applyBorder="1"/>
    <xf numFmtId="0" fontId="18" fillId="0" borderId="120" xfId="58" applyFont="1" applyBorder="1" applyAlignment="1">
      <alignment horizontal="centerContinuous"/>
    </xf>
    <xf numFmtId="0" fontId="43" fillId="0" borderId="120" xfId="58" applyFont="1" applyBorder="1" applyAlignment="1">
      <alignment horizontal="centerContinuous"/>
    </xf>
    <xf numFmtId="176" fontId="18" fillId="0" borderId="120" xfId="58" applyNumberFormat="1" applyFont="1" applyBorder="1"/>
    <xf numFmtId="0" fontId="22" fillId="0" borderId="120" xfId="58" applyFont="1" applyBorder="1"/>
    <xf numFmtId="2" fontId="18" fillId="0" borderId="120" xfId="58" applyNumberFormat="1" applyFont="1" applyBorder="1"/>
    <xf numFmtId="37" fontId="18" fillId="0" borderId="120" xfId="58" applyNumberFormat="1" applyFont="1" applyBorder="1" applyAlignment="1">
      <alignment horizontal="centerContinuous"/>
    </xf>
    <xf numFmtId="1" fontId="18" fillId="0" borderId="120" xfId="58" applyNumberFormat="1" applyFont="1" applyBorder="1" applyAlignment="1">
      <alignment horizontal="centerContinuous"/>
    </xf>
    <xf numFmtId="2" fontId="18" fillId="0" borderId="120" xfId="58" applyNumberFormat="1" applyFont="1" applyBorder="1" applyAlignment="1">
      <alignment horizontal="centerContinuous"/>
    </xf>
    <xf numFmtId="0" fontId="18" fillId="0" borderId="120" xfId="59" applyFont="1" applyBorder="1"/>
    <xf numFmtId="37" fontId="18" fillId="0" borderId="120" xfId="59" applyNumberFormat="1" applyFont="1" applyBorder="1" applyAlignment="1">
      <alignment horizontal="centerContinuous"/>
    </xf>
    <xf numFmtId="37" fontId="43" fillId="0" borderId="120" xfId="59" applyNumberFormat="1" applyFont="1" applyBorder="1" applyAlignment="1">
      <alignment horizontal="centerContinuous"/>
    </xf>
    <xf numFmtId="0" fontId="18" fillId="0" borderId="120" xfId="59" applyFont="1" applyBorder="1" applyAlignment="1">
      <alignment horizontal="center"/>
    </xf>
    <xf numFmtId="37" fontId="18" fillId="0" borderId="120" xfId="59" applyNumberFormat="1" applyFont="1" applyBorder="1" applyAlignment="1">
      <alignment horizontal="center"/>
    </xf>
    <xf numFmtId="10" fontId="18" fillId="0" borderId="120" xfId="59" applyNumberFormat="1" applyFont="1" applyBorder="1" applyAlignment="1">
      <alignment horizontal="center"/>
    </xf>
    <xf numFmtId="0" fontId="18" fillId="0" borderId="120" xfId="59" applyFont="1" applyBorder="1" applyAlignment="1">
      <alignment horizontal="centerContinuous"/>
    </xf>
    <xf numFmtId="0" fontId="43" fillId="0" borderId="120" xfId="59" applyFont="1" applyBorder="1" applyAlignment="1">
      <alignment horizontal="centerContinuous"/>
    </xf>
    <xf numFmtId="37" fontId="18" fillId="0" borderId="120" xfId="59" applyNumberFormat="1" applyFont="1" applyBorder="1"/>
    <xf numFmtId="10" fontId="18" fillId="0" borderId="120" xfId="59" applyNumberFormat="1" applyFont="1" applyBorder="1"/>
    <xf numFmtId="0" fontId="18" fillId="0" borderId="120" xfId="59" quotePrefix="1" applyFont="1" applyBorder="1" applyAlignment="1">
      <alignment horizontal="center"/>
    </xf>
    <xf numFmtId="0" fontId="18" fillId="0" borderId="120" xfId="60" applyFont="1" applyBorder="1"/>
    <xf numFmtId="37" fontId="18" fillId="0" borderId="120" xfId="60" applyNumberFormat="1" applyFont="1" applyBorder="1"/>
    <xf numFmtId="0" fontId="18" fillId="0" borderId="120" xfId="13" applyFont="1" applyBorder="1" applyAlignment="1">
      <alignment horizontal="fill"/>
    </xf>
    <xf numFmtId="0" fontId="18" fillId="0" borderId="120" xfId="13" applyFont="1" applyBorder="1" applyAlignment="1">
      <alignment horizontal="center"/>
    </xf>
    <xf numFmtId="0" fontId="18" fillId="0" borderId="120" xfId="13" applyFont="1" applyBorder="1"/>
    <xf numFmtId="37" fontId="18" fillId="0" borderId="120" xfId="13" applyNumberFormat="1" applyFont="1" applyBorder="1"/>
    <xf numFmtId="37" fontId="18" fillId="0" borderId="120" xfId="13" applyNumberFormat="1" applyFont="1" applyBorder="1" applyAlignment="1">
      <alignment horizontal="center"/>
    </xf>
    <xf numFmtId="0" fontId="18" fillId="0" borderId="120" xfId="7" applyFont="1" applyBorder="1" applyAlignment="1">
      <alignment horizontal="centerContinuous"/>
    </xf>
    <xf numFmtId="0" fontId="43" fillId="0" borderId="120" xfId="59" applyFont="1" applyBorder="1"/>
    <xf numFmtId="0" fontId="18" fillId="0" borderId="120" xfId="14" applyFont="1" applyBorder="1" applyAlignment="1">
      <alignment horizontal="fill"/>
    </xf>
    <xf numFmtId="0" fontId="18" fillId="0" borderId="120" xfId="14" applyFont="1" applyBorder="1" applyAlignment="1">
      <alignment horizontal="center"/>
    </xf>
    <xf numFmtId="37" fontId="43" fillId="0" borderId="120" xfId="14" applyNumberFormat="1" applyFont="1" applyBorder="1" applyAlignment="1" applyProtection="1">
      <alignment horizontal="center"/>
      <protection locked="0"/>
    </xf>
    <xf numFmtId="37" fontId="18" fillId="0" borderId="120" xfId="14" applyNumberFormat="1" applyFont="1" applyBorder="1" applyAlignment="1">
      <alignment horizontal="right"/>
    </xf>
    <xf numFmtId="37" fontId="18" fillId="0" borderId="120" xfId="14" applyNumberFormat="1" applyFont="1" applyBorder="1"/>
    <xf numFmtId="37" fontId="18" fillId="0" borderId="120" xfId="14" applyNumberFormat="1" applyFont="1" applyBorder="1" applyAlignment="1">
      <alignment horizontal="centerContinuous"/>
    </xf>
    <xf numFmtId="0" fontId="18" fillId="0" borderId="120" xfId="14" applyFont="1" applyBorder="1"/>
    <xf numFmtId="37" fontId="18" fillId="0" borderId="120" xfId="0" applyNumberFormat="1" applyFont="1" applyBorder="1"/>
    <xf numFmtId="0" fontId="18" fillId="0" borderId="120" xfId="15" applyFont="1" applyBorder="1" applyAlignment="1">
      <alignment horizontal="fill"/>
    </xf>
    <xf numFmtId="0" fontId="18" fillId="0" borderId="120" xfId="15" applyFont="1" applyBorder="1" applyAlignment="1">
      <alignment horizontal="center"/>
    </xf>
    <xf numFmtId="181" fontId="22" fillId="0" borderId="120" xfId="10" applyFont="1" applyBorder="1" applyAlignment="1">
      <alignment horizontal="center"/>
    </xf>
    <xf numFmtId="0" fontId="18" fillId="0" borderId="120" xfId="17" applyFont="1" applyBorder="1" applyAlignment="1">
      <alignment horizontal="fill"/>
    </xf>
    <xf numFmtId="0" fontId="18" fillId="0" borderId="120" xfId="18" applyFont="1" applyBorder="1"/>
    <xf numFmtId="0" fontId="18" fillId="0" borderId="120" xfId="18" applyFont="1" applyBorder="1" applyAlignment="1">
      <alignment horizontal="centerContinuous"/>
    </xf>
    <xf numFmtId="0" fontId="18" fillId="0" borderId="120" xfId="18" applyFont="1" applyBorder="1" applyAlignment="1">
      <alignment horizontal="center"/>
    </xf>
    <xf numFmtId="37" fontId="18" fillId="0" borderId="120" xfId="18" applyNumberFormat="1" applyFont="1" applyBorder="1"/>
    <xf numFmtId="0" fontId="18" fillId="77" borderId="120" xfId="18" applyFont="1" applyFill="1" applyBorder="1"/>
    <xf numFmtId="0" fontId="18" fillId="77" borderId="120" xfId="4" applyFont="1" applyFill="1" applyBorder="1"/>
    <xf numFmtId="0" fontId="18" fillId="0" borderId="120" xfId="19" applyFont="1" applyBorder="1" applyAlignment="1">
      <alignment horizontal="left"/>
    </xf>
    <xf numFmtId="0" fontId="18" fillId="0" borderId="120" xfId="19" applyFont="1" applyBorder="1" applyAlignment="1">
      <alignment horizontal="fill"/>
    </xf>
    <xf numFmtId="0" fontId="18" fillId="0" borderId="120" xfId="19" applyFont="1" applyBorder="1"/>
    <xf numFmtId="37" fontId="18" fillId="0" borderId="120" xfId="7" applyNumberFormat="1" applyFont="1" applyBorder="1"/>
    <xf numFmtId="0" fontId="18" fillId="0" borderId="120" xfId="19" applyFont="1" applyBorder="1" applyAlignment="1">
      <alignment horizontal="center"/>
    </xf>
    <xf numFmtId="37" fontId="18" fillId="0" borderId="120" xfId="19" applyNumberFormat="1" applyFont="1" applyBorder="1"/>
    <xf numFmtId="0" fontId="18" fillId="0" borderId="120" xfId="20" applyFont="1" applyBorder="1" applyAlignment="1">
      <alignment horizontal="fill"/>
    </xf>
    <xf numFmtId="0" fontId="18" fillId="0" borderId="120" xfId="20" applyFont="1" applyBorder="1" applyAlignment="1">
      <alignment horizontal="center"/>
    </xf>
    <xf numFmtId="0" fontId="18" fillId="0" borderId="120" xfId="20" applyFont="1" applyBorder="1"/>
    <xf numFmtId="0" fontId="18" fillId="0" borderId="120" xfId="20" applyFont="1" applyBorder="1" applyAlignment="1">
      <alignment horizontal="right"/>
    </xf>
    <xf numFmtId="37" fontId="18" fillId="0" borderId="120" xfId="20" applyNumberFormat="1" applyFont="1" applyBorder="1"/>
    <xf numFmtId="0" fontId="72" fillId="0" borderId="120" xfId="20" applyFont="1" applyBorder="1" applyAlignment="1">
      <alignment horizontal="fill"/>
    </xf>
    <xf numFmtId="0" fontId="18" fillId="0" borderId="120" xfId="20" applyFont="1" applyBorder="1" applyAlignment="1">
      <alignment horizontal="centerContinuous"/>
    </xf>
    <xf numFmtId="17" fontId="18" fillId="0" borderId="120" xfId="20" quotePrefix="1" applyNumberFormat="1" applyFont="1" applyBorder="1" applyAlignment="1">
      <alignment horizontal="center"/>
    </xf>
    <xf numFmtId="0" fontId="18" fillId="0" borderId="120" xfId="21" applyFont="1" applyBorder="1" applyAlignment="1">
      <alignment horizontal="fill"/>
    </xf>
    <xf numFmtId="37" fontId="18" fillId="0" borderId="120" xfId="21" applyNumberFormat="1" applyFont="1" applyBorder="1"/>
    <xf numFmtId="193" fontId="18" fillId="0" borderId="120" xfId="21" applyNumberFormat="1" applyFont="1" applyBorder="1"/>
    <xf numFmtId="166" fontId="18" fillId="0" borderId="120" xfId="30" applyNumberFormat="1" applyFont="1" applyBorder="1"/>
    <xf numFmtId="0" fontId="18" fillId="0" borderId="120" xfId="21" applyFont="1" applyBorder="1" applyAlignment="1">
      <alignment horizontal="centerContinuous"/>
    </xf>
    <xf numFmtId="0" fontId="18" fillId="0" borderId="120" xfId="7" applyFont="1" applyBorder="1" applyAlignment="1">
      <alignment horizontal="fill"/>
    </xf>
    <xf numFmtId="0" fontId="18" fillId="0" borderId="120" xfId="32" applyFont="1" applyBorder="1" applyAlignment="1">
      <alignment horizontal="fill"/>
    </xf>
    <xf numFmtId="0" fontId="18" fillId="0" borderId="120" xfId="22" applyFont="1" applyBorder="1" applyAlignment="1">
      <alignment horizontal="fill"/>
    </xf>
    <xf numFmtId="166" fontId="18" fillId="0" borderId="120" xfId="22" applyNumberFormat="1" applyFont="1" applyBorder="1"/>
    <xf numFmtId="37" fontId="18" fillId="0" borderId="120" xfId="22" applyNumberFormat="1" applyFont="1" applyBorder="1"/>
    <xf numFmtId="0" fontId="18" fillId="0" borderId="120" xfId="28" applyFont="1" applyBorder="1" applyAlignment="1">
      <alignment horizontal="fill"/>
    </xf>
    <xf numFmtId="0" fontId="18" fillId="0" borderId="120" xfId="34" applyFont="1" applyBorder="1" applyAlignment="1">
      <alignment horizontal="fill"/>
    </xf>
    <xf numFmtId="0" fontId="18" fillId="0" borderId="120" xfId="5" applyFont="1" applyBorder="1" applyAlignment="1">
      <alignment horizontal="center"/>
    </xf>
    <xf numFmtId="0" fontId="18" fillId="0" borderId="120" xfId="5" applyFont="1" applyBorder="1"/>
    <xf numFmtId="37" fontId="18" fillId="0" borderId="120" xfId="5" applyNumberFormat="1" applyFont="1" applyBorder="1"/>
    <xf numFmtId="0" fontId="18" fillId="0" borderId="120" xfId="26" applyFont="1" applyBorder="1" applyAlignment="1">
      <alignment horizontal="left"/>
    </xf>
    <xf numFmtId="9" fontId="40" fillId="0" borderId="120" xfId="63" applyFont="1" applyFill="1" applyBorder="1" applyAlignment="1" applyProtection="1">
      <alignment horizontal="right"/>
      <protection locked="0"/>
    </xf>
    <xf numFmtId="37" fontId="18" fillId="0" borderId="120" xfId="28" applyNumberFormat="1" applyFont="1" applyBorder="1" applyAlignment="1" applyProtection="1">
      <alignment horizontal="right"/>
      <protection locked="0"/>
    </xf>
    <xf numFmtId="183" fontId="49" fillId="0" borderId="120" xfId="1" applyNumberFormat="1" applyFont="1" applyBorder="1" applyAlignment="1" applyProtection="1">
      <alignment horizontal="right"/>
      <protection locked="0"/>
    </xf>
    <xf numFmtId="183" fontId="18" fillId="0" borderId="120" xfId="1" applyNumberFormat="1" applyFont="1" applyBorder="1"/>
    <xf numFmtId="183" fontId="18" fillId="0" borderId="120" xfId="1" applyNumberFormat="1" applyFont="1" applyBorder="1" applyAlignment="1" applyProtection="1">
      <alignment horizontal="right"/>
      <protection locked="0"/>
    </xf>
    <xf numFmtId="0" fontId="18" fillId="0" borderId="120" xfId="0" applyFont="1" applyBorder="1" applyAlignment="1">
      <alignment horizontal="center" wrapText="1"/>
    </xf>
    <xf numFmtId="0" fontId="18" fillId="0" borderId="120" xfId="12014" applyBorder="1" applyAlignment="1">
      <alignment horizontal="center"/>
    </xf>
    <xf numFmtId="0" fontId="18" fillId="0" borderId="120" xfId="12110" applyFont="1" applyBorder="1" applyAlignment="1">
      <alignment horizontal="center" wrapText="1"/>
    </xf>
    <xf numFmtId="183" fontId="49" fillId="0" borderId="120" xfId="43979" applyNumberFormat="1" applyFont="1" applyFill="1" applyBorder="1"/>
    <xf numFmtId="0" fontId="18" fillId="0" borderId="120" xfId="35" applyFont="1" applyBorder="1" applyAlignment="1">
      <alignment horizontal="fill"/>
    </xf>
    <xf numFmtId="0" fontId="18" fillId="0" borderId="120" xfId="36" applyFont="1" applyBorder="1" applyAlignment="1">
      <alignment horizontal="fill"/>
    </xf>
    <xf numFmtId="0" fontId="18" fillId="0" borderId="120" xfId="37" applyFont="1" applyBorder="1" applyAlignment="1">
      <alignment horizontal="fill"/>
    </xf>
    <xf numFmtId="0" fontId="18" fillId="0" borderId="120" xfId="37" applyFont="1" applyBorder="1" applyAlignment="1">
      <alignment horizontal="center"/>
    </xf>
    <xf numFmtId="0" fontId="18" fillId="0" borderId="120" xfId="37" applyFont="1" applyBorder="1"/>
    <xf numFmtId="0" fontId="18" fillId="0" borderId="120" xfId="38" applyFont="1" applyBorder="1"/>
    <xf numFmtId="0" fontId="18" fillId="0" borderId="120" xfId="38" applyFont="1" applyBorder="1" applyAlignment="1">
      <alignment horizontal="left"/>
    </xf>
    <xf numFmtId="0" fontId="18" fillId="0" borderId="120" xfId="38" applyFont="1" applyBorder="1" applyAlignment="1">
      <alignment horizontal="center"/>
    </xf>
    <xf numFmtId="0" fontId="18" fillId="0" borderId="120" xfId="38" quotePrefix="1" applyFont="1" applyBorder="1" applyAlignment="1">
      <alignment horizontal="center"/>
    </xf>
    <xf numFmtId="37" fontId="18" fillId="0" borderId="120" xfId="38" applyNumberFormat="1" applyFont="1" applyBorder="1"/>
    <xf numFmtId="37" fontId="18" fillId="0" borderId="120" xfId="39" applyNumberFormat="1" applyFont="1" applyBorder="1"/>
    <xf numFmtId="37" fontId="49" fillId="0" borderId="120" xfId="38" applyNumberFormat="1" applyFont="1" applyBorder="1"/>
    <xf numFmtId="37" fontId="49" fillId="0" borderId="120" xfId="39" applyNumberFormat="1" applyFont="1" applyBorder="1"/>
    <xf numFmtId="37" fontId="1" fillId="0" borderId="0" xfId="39" applyNumberFormat="1" applyFont="1" applyProtection="1">
      <protection locked="0"/>
    </xf>
    <xf numFmtId="37" fontId="18" fillId="0" borderId="120" xfId="39" applyNumberFormat="1" applyFont="1" applyBorder="1" applyProtection="1">
      <protection locked="0"/>
    </xf>
    <xf numFmtId="37" fontId="49" fillId="0" borderId="120" xfId="39" applyNumberFormat="1" applyFont="1" applyBorder="1" applyProtection="1">
      <protection locked="0"/>
    </xf>
    <xf numFmtId="43" fontId="18" fillId="0" borderId="120" xfId="39" applyNumberFormat="1" applyFont="1" applyBorder="1"/>
    <xf numFmtId="0" fontId="18" fillId="0" borderId="120" xfId="39" applyFont="1" applyBorder="1" applyAlignment="1">
      <alignment horizontal="fill"/>
    </xf>
    <xf numFmtId="0" fontId="32" fillId="0" borderId="120" xfId="39" applyFont="1" applyBorder="1" applyAlignment="1">
      <alignment horizontal="fill"/>
    </xf>
    <xf numFmtId="0" fontId="18" fillId="0" borderId="120" xfId="40" applyFont="1" applyBorder="1" applyAlignment="1">
      <alignment horizontal="fill"/>
    </xf>
    <xf numFmtId="0" fontId="18" fillId="0" borderId="120" xfId="40" applyFont="1" applyBorder="1" applyAlignment="1">
      <alignment horizontal="centerContinuous"/>
    </xf>
    <xf numFmtId="188" fontId="18" fillId="0" borderId="120" xfId="40" applyNumberFormat="1" applyFont="1" applyBorder="1" applyAlignment="1">
      <alignment horizontal="center"/>
    </xf>
    <xf numFmtId="188" fontId="18" fillId="0" borderId="120" xfId="40" applyNumberFormat="1" applyFont="1" applyBorder="1"/>
    <xf numFmtId="0" fontId="18" fillId="0" borderId="120" xfId="41" applyFont="1" applyBorder="1" applyAlignment="1">
      <alignment horizontal="center"/>
    </xf>
    <xf numFmtId="0" fontId="18" fillId="0" borderId="120" xfId="41" applyFont="1" applyBorder="1" applyAlignment="1">
      <alignment horizontal="fill"/>
    </xf>
    <xf numFmtId="0" fontId="18" fillId="0" borderId="120" xfId="41" applyFont="1" applyBorder="1" applyAlignment="1">
      <alignment horizontal="centerContinuous"/>
    </xf>
    <xf numFmtId="37" fontId="40" fillId="0" borderId="120" xfId="41" applyNumberFormat="1" applyFont="1" applyBorder="1"/>
    <xf numFmtId="0" fontId="18" fillId="0" borderId="120" xfId="42" applyFont="1" applyBorder="1" applyAlignment="1">
      <alignment horizontal="fill"/>
    </xf>
    <xf numFmtId="0" fontId="18" fillId="0" borderId="120" xfId="42" applyFont="1" applyBorder="1" applyAlignment="1">
      <alignment horizontal="center"/>
    </xf>
    <xf numFmtId="0" fontId="18" fillId="0" borderId="120" xfId="43" applyFont="1" applyBorder="1" applyAlignment="1">
      <alignment horizontal="fill"/>
    </xf>
    <xf numFmtId="0" fontId="18" fillId="0" borderId="120" xfId="43" applyFont="1" applyBorder="1" applyAlignment="1">
      <alignment horizontal="center"/>
    </xf>
    <xf numFmtId="0" fontId="18" fillId="0" borderId="120" xfId="44" applyFont="1" applyBorder="1" applyAlignment="1">
      <alignment horizontal="fill"/>
    </xf>
    <xf numFmtId="0" fontId="18" fillId="0" borderId="120" xfId="44" quotePrefix="1" applyFont="1" applyBorder="1" applyAlignment="1">
      <alignment horizontal="center"/>
    </xf>
    <xf numFmtId="0" fontId="18" fillId="0" borderId="120" xfId="44" applyFont="1" applyBorder="1"/>
    <xf numFmtId="0" fontId="18" fillId="0" borderId="120" xfId="45" applyFont="1" applyBorder="1" applyAlignment="1">
      <alignment horizontal="fill"/>
    </xf>
    <xf numFmtId="0" fontId="18" fillId="0" borderId="120" xfId="45" applyFont="1" applyBorder="1" applyAlignment="1">
      <alignment horizontal="center"/>
    </xf>
    <xf numFmtId="0" fontId="18" fillId="0" borderId="120" xfId="46" applyFont="1" applyBorder="1" applyAlignment="1">
      <alignment horizontal="fill"/>
    </xf>
    <xf numFmtId="0" fontId="18" fillId="0" borderId="120" xfId="47" applyFont="1" applyBorder="1" applyAlignment="1">
      <alignment horizontal="fill"/>
    </xf>
    <xf numFmtId="0" fontId="18" fillId="0" borderId="120" xfId="48" applyFont="1" applyBorder="1" applyAlignment="1">
      <alignment horizontal="fill"/>
    </xf>
    <xf numFmtId="0" fontId="18" fillId="0" borderId="120" xfId="49" applyFont="1" applyBorder="1" applyAlignment="1">
      <alignment horizontal="fill"/>
    </xf>
    <xf numFmtId="37" fontId="18" fillId="0" borderId="120" xfId="49" applyNumberFormat="1" applyFont="1" applyBorder="1" applyAlignment="1">
      <alignment horizontal="centerContinuous"/>
    </xf>
    <xf numFmtId="0" fontId="38" fillId="0" borderId="120" xfId="49" applyFont="1" applyBorder="1" applyAlignment="1">
      <alignment horizontal="centerContinuous"/>
    </xf>
    <xf numFmtId="0" fontId="18" fillId="0" borderId="120" xfId="49" quotePrefix="1" applyFont="1" applyBorder="1" applyAlignment="1">
      <alignment horizontal="center"/>
    </xf>
    <xf numFmtId="0" fontId="18" fillId="0" borderId="120" xfId="49" applyFont="1" applyBorder="1" applyAlignment="1">
      <alignment horizontal="center"/>
    </xf>
    <xf numFmtId="0" fontId="1" fillId="0" borderId="0" xfId="43980" applyFont="1"/>
    <xf numFmtId="0" fontId="1" fillId="0" borderId="0" xfId="43980" applyFont="1" applyAlignment="1">
      <alignment horizontal="left" indent="1"/>
    </xf>
    <xf numFmtId="0" fontId="1" fillId="0" borderId="0" xfId="43980" applyFont="1" applyAlignment="1">
      <alignment horizontal="left"/>
    </xf>
    <xf numFmtId="37" fontId="1" fillId="0" borderId="0" xfId="43980" applyNumberFormat="1" applyFont="1"/>
    <xf numFmtId="0" fontId="1" fillId="0" borderId="0" xfId="43980" applyFont="1" applyAlignment="1">
      <alignment horizontal="left" vertical="center" indent="3"/>
    </xf>
    <xf numFmtId="0" fontId="18" fillId="0" borderId="120" xfId="51" applyFont="1" applyBorder="1" applyAlignment="1">
      <alignment horizontal="fill"/>
    </xf>
    <xf numFmtId="0" fontId="18" fillId="0" borderId="120" xfId="51" applyFont="1" applyBorder="1" applyAlignment="1">
      <alignment horizontal="center"/>
    </xf>
    <xf numFmtId="181" fontId="18" fillId="0" borderId="120" xfId="10" applyFont="1" applyBorder="1" applyAlignment="1">
      <alignment horizontal="centerContinuous"/>
    </xf>
    <xf numFmtId="186" fontId="38" fillId="0" borderId="120" xfId="10" applyNumberFormat="1" applyFont="1" applyBorder="1" applyAlignment="1">
      <alignment horizontal="centerContinuous"/>
    </xf>
    <xf numFmtId="186" fontId="18" fillId="0" borderId="120" xfId="10" applyNumberFormat="1" applyFont="1" applyBorder="1" applyAlignment="1">
      <alignment horizontal="centerContinuous"/>
    </xf>
    <xf numFmtId="181" fontId="18" fillId="0" borderId="120" xfId="10" applyFont="1" applyBorder="1"/>
    <xf numFmtId="181" fontId="18" fillId="0" borderId="120" xfId="10" applyFont="1" applyBorder="1" applyAlignment="1" applyProtection="1">
      <alignment horizontal="center"/>
      <protection locked="0"/>
    </xf>
    <xf numFmtId="37" fontId="18" fillId="0" borderId="120" xfId="10" applyNumberFormat="1" applyFont="1" applyBorder="1"/>
    <xf numFmtId="183" fontId="18" fillId="0" borderId="120" xfId="1" applyNumberFormat="1" applyFont="1" applyFill="1" applyBorder="1" applyProtection="1"/>
    <xf numFmtId="0" fontId="18" fillId="0" borderId="120" xfId="53" applyFont="1" applyBorder="1" applyAlignment="1">
      <alignment horizontal="left"/>
    </xf>
    <xf numFmtId="0" fontId="18" fillId="0" borderId="120" xfId="53" applyFont="1" applyBorder="1"/>
    <xf numFmtId="0" fontId="40" fillId="0" borderId="120" xfId="53" applyFont="1" applyBorder="1" applyAlignment="1" applyProtection="1">
      <alignment horizontal="centerContinuous"/>
      <protection locked="0"/>
    </xf>
    <xf numFmtId="0" fontId="18" fillId="0" borderId="120" xfId="53" applyFont="1" applyBorder="1" applyAlignment="1">
      <alignment horizontal="centerContinuous"/>
    </xf>
    <xf numFmtId="0" fontId="18" fillId="0" borderId="120" xfId="53" applyFont="1" applyBorder="1" applyAlignment="1">
      <alignment horizontal="center"/>
    </xf>
    <xf numFmtId="169" fontId="43" fillId="0" borderId="120" xfId="55" applyNumberFormat="1" applyFont="1" applyBorder="1" applyAlignment="1" applyProtection="1">
      <alignment horizontal="center"/>
      <protection locked="0"/>
    </xf>
    <xf numFmtId="169" fontId="18" fillId="0" borderId="120" xfId="55" applyNumberFormat="1" applyFont="1" applyBorder="1" applyAlignment="1" applyProtection="1">
      <alignment horizontal="center"/>
      <protection locked="0"/>
    </xf>
    <xf numFmtId="169" fontId="18" fillId="0" borderId="120" xfId="54" applyNumberFormat="1" applyFont="1" applyBorder="1" applyAlignment="1">
      <alignment horizontal="center"/>
    </xf>
    <xf numFmtId="0" fontId="18" fillId="0" borderId="120" xfId="54" applyFont="1" applyBorder="1" applyAlignment="1">
      <alignment horizontal="left"/>
    </xf>
    <xf numFmtId="0" fontId="18" fillId="0" borderId="120" xfId="54" applyFont="1" applyBorder="1"/>
    <xf numFmtId="0" fontId="40" fillId="0" borderId="120" xfId="54" applyFont="1" applyBorder="1" applyAlignment="1" applyProtection="1">
      <alignment horizontal="centerContinuous"/>
      <protection locked="0"/>
    </xf>
    <xf numFmtId="0" fontId="18" fillId="0" borderId="120" xfId="54" applyFont="1" applyBorder="1" applyAlignment="1">
      <alignment horizontal="centerContinuous"/>
    </xf>
    <xf numFmtId="0" fontId="38" fillId="0" borderId="120" xfId="54" applyFont="1" applyBorder="1" applyAlignment="1">
      <alignment horizontal="centerContinuous"/>
    </xf>
    <xf numFmtId="0" fontId="18" fillId="0" borderId="120" xfId="54" applyFont="1" applyBorder="1" applyAlignment="1">
      <alignment horizontal="center"/>
    </xf>
    <xf numFmtId="169" fontId="43" fillId="0" borderId="120" xfId="54" applyNumberFormat="1" applyFont="1" applyBorder="1" applyAlignment="1" applyProtection="1">
      <alignment horizontal="center"/>
      <protection locked="0"/>
    </xf>
    <xf numFmtId="169" fontId="18" fillId="0" borderId="120" xfId="54" quotePrefix="1" applyNumberFormat="1" applyFont="1" applyBorder="1" applyAlignment="1">
      <alignment horizontal="center"/>
    </xf>
    <xf numFmtId="0" fontId="18" fillId="0" borderId="120" xfId="55" applyFont="1" applyBorder="1" applyAlignment="1">
      <alignment horizontal="left"/>
    </xf>
    <xf numFmtId="0" fontId="18" fillId="0" borderId="120" xfId="55" applyFont="1" applyBorder="1"/>
    <xf numFmtId="0" fontId="40" fillId="0" borderId="120" xfId="55" applyFont="1" applyBorder="1" applyAlignment="1" applyProtection="1">
      <alignment horizontal="centerContinuous"/>
      <protection locked="0"/>
    </xf>
    <xf numFmtId="0" fontId="18" fillId="0" borderId="120" xfId="55" applyFont="1" applyBorder="1" applyAlignment="1">
      <alignment horizontal="centerContinuous"/>
    </xf>
    <xf numFmtId="0" fontId="38" fillId="0" borderId="120" xfId="55" applyFont="1" applyBorder="1" applyAlignment="1">
      <alignment horizontal="centerContinuous"/>
    </xf>
    <xf numFmtId="0" fontId="18" fillId="0" borderId="120" xfId="55" applyFont="1" applyBorder="1" applyAlignment="1">
      <alignment horizontal="center"/>
    </xf>
    <xf numFmtId="0" fontId="18" fillId="0" borderId="120" xfId="56" applyFont="1" applyBorder="1" applyAlignment="1">
      <alignment horizontal="left"/>
    </xf>
    <xf numFmtId="0" fontId="18" fillId="0" borderId="120" xfId="56" applyFont="1" applyBorder="1"/>
    <xf numFmtId="0" fontId="40" fillId="0" borderId="120" xfId="56" applyFont="1" applyBorder="1" applyAlignment="1" applyProtection="1">
      <alignment horizontal="centerContinuous"/>
      <protection locked="0"/>
    </xf>
    <xf numFmtId="0" fontId="18" fillId="0" borderId="120" xfId="56" applyFont="1" applyBorder="1" applyAlignment="1">
      <alignment horizontal="centerContinuous"/>
    </xf>
    <xf numFmtId="0" fontId="38" fillId="0" borderId="120" xfId="56" applyFont="1" applyBorder="1" applyAlignment="1">
      <alignment horizontal="centerContinuous"/>
    </xf>
    <xf numFmtId="0" fontId="18" fillId="0" borderId="120" xfId="56" applyFont="1" applyBorder="1" applyAlignment="1">
      <alignment horizontal="center"/>
    </xf>
    <xf numFmtId="0" fontId="18" fillId="0" borderId="120" xfId="57" applyFont="1" applyBorder="1" applyAlignment="1">
      <alignment horizontal="fill"/>
    </xf>
    <xf numFmtId="0" fontId="18" fillId="0" borderId="120" xfId="57" applyFont="1" applyBorder="1" applyAlignment="1">
      <alignment horizontal="center"/>
    </xf>
    <xf numFmtId="41" fontId="40" fillId="0" borderId="120" xfId="7" applyNumberFormat="1" applyFont="1" applyBorder="1"/>
    <xf numFmtId="0" fontId="18" fillId="0" borderId="120" xfId="3" applyFont="1" applyBorder="1" applyProtection="1"/>
    <xf numFmtId="0" fontId="18" fillId="0" borderId="120" xfId="3" applyFont="1" applyBorder="1"/>
    <xf numFmtId="0" fontId="18" fillId="0" borderId="120" xfId="3" applyFont="1" applyBorder="1" applyAlignment="1" applyProtection="1">
      <alignment horizontal="center"/>
    </xf>
    <xf numFmtId="0" fontId="18" fillId="0" borderId="120" xfId="3" applyFont="1" applyBorder="1" applyAlignment="1">
      <alignment horizontal="center"/>
    </xf>
    <xf numFmtId="183" fontId="18" fillId="0" borderId="120" xfId="1" applyNumberFormat="1" applyFont="1" applyFill="1" applyBorder="1" applyAlignment="1" applyProtection="1">
      <alignment horizontal="center"/>
    </xf>
    <xf numFmtId="183" fontId="40" fillId="0" borderId="120" xfId="1" applyNumberFormat="1" applyFont="1" applyFill="1" applyBorder="1"/>
    <xf numFmtId="172" fontId="18" fillId="0" borderId="120" xfId="1" applyNumberFormat="1" applyFont="1" applyFill="1" applyBorder="1"/>
    <xf numFmtId="0" fontId="18" fillId="0" borderId="120" xfId="1" applyNumberFormat="1" applyFont="1" applyFill="1" applyBorder="1" applyAlignment="1" applyProtection="1">
      <alignment horizontal="center"/>
    </xf>
    <xf numFmtId="6" fontId="49" fillId="0" borderId="0" xfId="1" applyNumberFormat="1" applyFont="1" applyAlignment="1" applyProtection="1">
      <alignment horizontal="right"/>
      <protection locked="0"/>
    </xf>
    <xf numFmtId="0" fontId="192" fillId="0" borderId="0" xfId="0" applyFont="1" applyAlignment="1">
      <alignment wrapText="1"/>
    </xf>
    <xf numFmtId="9" fontId="40" fillId="0" borderId="0" xfId="63" applyFont="1" applyAlignment="1" applyProtection="1">
      <alignment horizontal="right"/>
      <protection locked="0"/>
    </xf>
    <xf numFmtId="183" fontId="0" fillId="0" borderId="0" xfId="1" applyNumberFormat="1" applyFont="1" applyAlignment="1" applyProtection="1">
      <alignment horizontal="right"/>
      <protection locked="0"/>
    </xf>
    <xf numFmtId="183" fontId="18" fillId="0" borderId="0" xfId="0" applyNumberFormat="1" applyFont="1"/>
    <xf numFmtId="183" fontId="18" fillId="0" borderId="0" xfId="1" applyNumberFormat="1" applyFont="1" applyFill="1" applyAlignment="1" applyProtection="1">
      <alignment horizontal="right"/>
      <protection locked="0"/>
    </xf>
    <xf numFmtId="183" fontId="49" fillId="0" borderId="120" xfId="1" applyNumberFormat="1" applyFont="1" applyFill="1" applyBorder="1" applyAlignment="1" applyProtection="1">
      <alignment horizontal="right"/>
      <protection locked="0"/>
    </xf>
    <xf numFmtId="0" fontId="0" fillId="0" borderId="0" xfId="67" applyFont="1"/>
    <xf numFmtId="0" fontId="0" fillId="0" borderId="0" xfId="34" applyFont="1"/>
    <xf numFmtId="0" fontId="0" fillId="0" borderId="0" xfId="34" applyFont="1" applyAlignment="1">
      <alignment horizontal="left"/>
    </xf>
    <xf numFmtId="0" fontId="0" fillId="0" borderId="0" xfId="28" applyFont="1" applyAlignment="1">
      <alignment horizontal="left"/>
    </xf>
    <xf numFmtId="0" fontId="0" fillId="0" borderId="0" xfId="28" applyFont="1" applyAlignment="1">
      <alignment horizontal="center"/>
    </xf>
    <xf numFmtId="0" fontId="0" fillId="0" borderId="0" xfId="30" applyFont="1"/>
    <xf numFmtId="0" fontId="0" fillId="0" borderId="0" xfId="30" applyFont="1" applyAlignment="1">
      <alignment horizontal="center"/>
    </xf>
    <xf numFmtId="0" fontId="0" fillId="0" borderId="0" xfId="26" applyFont="1"/>
    <xf numFmtId="166" fontId="0" fillId="0" borderId="0" xfId="28" applyNumberFormat="1" applyFont="1" applyAlignment="1">
      <alignment horizontal="center"/>
    </xf>
    <xf numFmtId="0" fontId="49" fillId="0" borderId="0" xfId="30" applyFont="1"/>
    <xf numFmtId="0" fontId="0" fillId="0" borderId="0" xfId="7" applyFont="1" applyAlignment="1">
      <alignment horizontal="center"/>
    </xf>
    <xf numFmtId="41" fontId="0" fillId="0" borderId="0" xfId="1" applyNumberFormat="1" applyFont="1"/>
    <xf numFmtId="41" fontId="0" fillId="0" borderId="0" xfId="7" applyNumberFormat="1" applyFont="1"/>
    <xf numFmtId="41" fontId="40" fillId="0" borderId="120" xfId="7" applyNumberFormat="1" applyFont="1" applyBorder="1" applyProtection="1">
      <protection locked="0"/>
    </xf>
    <xf numFmtId="41" fontId="0" fillId="0" borderId="120" xfId="1" applyNumberFormat="1" applyFont="1" applyBorder="1"/>
    <xf numFmtId="41" fontId="40" fillId="0" borderId="120" xfId="15053" applyNumberFormat="1" applyFont="1" applyBorder="1" applyProtection="1">
      <protection locked="0"/>
    </xf>
    <xf numFmtId="41" fontId="0" fillId="0" borderId="120" xfId="7" applyNumberFormat="1" applyFont="1" applyBorder="1"/>
    <xf numFmtId="41" fontId="0" fillId="0" borderId="0" xfId="7" applyNumberFormat="1" applyFont="1" applyProtection="1">
      <protection locked="0"/>
    </xf>
    <xf numFmtId="41" fontId="49" fillId="0" borderId="0" xfId="1" applyNumberFormat="1" applyFont="1" applyProtection="1">
      <protection locked="0"/>
    </xf>
    <xf numFmtId="206" fontId="0" fillId="0" borderId="0" xfId="7" applyNumberFormat="1" applyFont="1"/>
    <xf numFmtId="183" fontId="49" fillId="0" borderId="0" xfId="1" applyNumberFormat="1" applyFont="1" applyProtection="1">
      <protection locked="0"/>
    </xf>
    <xf numFmtId="166" fontId="49" fillId="0" borderId="0" xfId="63" applyNumberFormat="1" applyFont="1" applyAlignment="1">
      <alignment horizontal="center"/>
    </xf>
    <xf numFmtId="10" fontId="0" fillId="0" borderId="0" xfId="7" applyNumberFormat="1" applyFont="1"/>
    <xf numFmtId="166" fontId="0" fillId="0" borderId="0" xfId="63" applyNumberFormat="1" applyFont="1" applyAlignment="1">
      <alignment horizontal="center"/>
    </xf>
    <xf numFmtId="183" fontId="48" fillId="0" borderId="0" xfId="1" applyNumberFormat="1" applyFont="1" applyProtection="1">
      <protection locked="0"/>
    </xf>
    <xf numFmtId="41" fontId="48" fillId="0" borderId="0" xfId="1" applyNumberFormat="1" applyFont="1" applyProtection="1">
      <protection locked="0"/>
    </xf>
    <xf numFmtId="41" fontId="0" fillId="0" borderId="0" xfId="1" applyNumberFormat="1" applyFont="1" applyProtection="1">
      <protection locked="0"/>
    </xf>
    <xf numFmtId="166" fontId="0" fillId="0" borderId="0" xfId="15053" applyNumberFormat="1" applyFont="1" applyAlignment="1" applyProtection="1">
      <alignment horizontal="center"/>
      <protection locked="0"/>
    </xf>
    <xf numFmtId="175" fontId="0" fillId="0" borderId="0" xfId="7" applyNumberFormat="1" applyFont="1" applyProtection="1">
      <protection locked="0"/>
    </xf>
    <xf numFmtId="183" fontId="0" fillId="0" borderId="0" xfId="7" applyNumberFormat="1" applyFont="1"/>
    <xf numFmtId="42" fontId="0" fillId="0" borderId="0" xfId="21" applyNumberFormat="1" applyFont="1"/>
    <xf numFmtId="42" fontId="18" fillId="0" borderId="0" xfId="30" applyNumberFormat="1" applyFont="1"/>
    <xf numFmtId="41" fontId="0" fillId="0" borderId="125" xfId="21" applyNumberFormat="1" applyFont="1" applyBorder="1"/>
    <xf numFmtId="0" fontId="18" fillId="0" borderId="0" xfId="2" quotePrefix="1" applyFont="1"/>
    <xf numFmtId="0" fontId="72" fillId="0" borderId="0" xfId="2" applyFont="1"/>
    <xf numFmtId="37" fontId="0" fillId="0" borderId="120" xfId="0" applyNumberFormat="1" applyBorder="1"/>
    <xf numFmtId="0" fontId="0" fillId="0" borderId="0" xfId="40" applyFont="1" applyAlignment="1">
      <alignment horizontal="left"/>
    </xf>
    <xf numFmtId="0" fontId="0" fillId="0" borderId="0" xfId="41" applyFont="1" applyAlignment="1">
      <alignment horizontal="center"/>
    </xf>
    <xf numFmtId="0" fontId="0" fillId="0" borderId="0" xfId="43" applyFont="1"/>
    <xf numFmtId="0" fontId="0" fillId="0" borderId="0" xfId="43" quotePrefix="1" applyFont="1"/>
    <xf numFmtId="4" fontId="0" fillId="0" borderId="0" xfId="39" applyNumberFormat="1" applyFont="1" applyAlignment="1">
      <alignment horizontal="center"/>
    </xf>
    <xf numFmtId="4" fontId="0" fillId="0" borderId="0" xfId="39" applyNumberFormat="1" applyFont="1"/>
    <xf numFmtId="37" fontId="0" fillId="0" borderId="0" xfId="40" applyNumberFormat="1" applyFont="1"/>
    <xf numFmtId="37" fontId="0" fillId="0" borderId="0" xfId="43" applyNumberFormat="1" applyFont="1"/>
    <xf numFmtId="41" fontId="49" fillId="0" borderId="0" xfId="0" applyNumberFormat="1" applyFont="1"/>
    <xf numFmtId="43" fontId="18" fillId="0" borderId="0" xfId="1" applyFont="1"/>
    <xf numFmtId="37" fontId="72" fillId="0" borderId="0" xfId="2" applyNumberFormat="1" applyFont="1"/>
    <xf numFmtId="0" fontId="50" fillId="0" borderId="0" xfId="30" applyFont="1"/>
    <xf numFmtId="180" fontId="38" fillId="0" borderId="0" xfId="5" applyNumberFormat="1" applyFont="1" applyAlignment="1">
      <alignment horizontal="right"/>
    </xf>
    <xf numFmtId="180" fontId="38" fillId="0" borderId="0" xfId="5" applyNumberFormat="1" applyFont="1"/>
    <xf numFmtId="17" fontId="73" fillId="0" borderId="0" xfId="5" applyNumberFormat="1" applyFont="1" applyAlignment="1">
      <alignment horizontal="left"/>
    </xf>
    <xf numFmtId="37" fontId="40" fillId="0" borderId="0" xfId="5" applyNumberFormat="1" applyFont="1" applyAlignment="1">
      <alignment horizontal="right"/>
    </xf>
    <xf numFmtId="9" fontId="0" fillId="0" borderId="0" xfId="12257" applyFont="1"/>
    <xf numFmtId="37" fontId="0" fillId="0" borderId="0" xfId="58" applyNumberFormat="1" applyFont="1"/>
    <xf numFmtId="37" fontId="18" fillId="0" borderId="12" xfId="7" applyNumberFormat="1" applyFont="1" applyBorder="1"/>
    <xf numFmtId="37" fontId="18" fillId="0" borderId="12" xfId="14" applyNumberFormat="1" applyFont="1" applyBorder="1"/>
    <xf numFmtId="37" fontId="18" fillId="0" borderId="12" xfId="14" applyNumberFormat="1" applyFont="1" applyBorder="1" applyProtection="1">
      <protection locked="0"/>
    </xf>
    <xf numFmtId="37" fontId="18" fillId="0" borderId="12" xfId="0" applyNumberFormat="1" applyFont="1" applyBorder="1" applyProtection="1">
      <protection locked="0"/>
    </xf>
    <xf numFmtId="37" fontId="40" fillId="0" borderId="12" xfId="0" applyNumberFormat="1" applyFont="1" applyBorder="1" applyProtection="1">
      <protection locked="0"/>
    </xf>
    <xf numFmtId="37" fontId="18" fillId="0" borderId="12" xfId="0" applyNumberFormat="1" applyFont="1" applyBorder="1"/>
    <xf numFmtId="42" fontId="18" fillId="0" borderId="12" xfId="21" applyNumberFormat="1" applyFont="1" applyBorder="1"/>
    <xf numFmtId="42" fontId="18" fillId="0" borderId="12" xfId="5" applyNumberFormat="1" applyFont="1" applyBorder="1"/>
    <xf numFmtId="205" fontId="18" fillId="0" borderId="12" xfId="43978" applyNumberFormat="1" applyFont="1" applyFill="1" applyBorder="1" applyAlignment="1">
      <alignment vertical="center"/>
    </xf>
    <xf numFmtId="37" fontId="18" fillId="0" borderId="12" xfId="38" applyNumberFormat="1" applyFont="1" applyBorder="1"/>
    <xf numFmtId="37" fontId="18" fillId="0" borderId="12" xfId="39" applyNumberFormat="1" applyFont="1" applyBorder="1"/>
    <xf numFmtId="37" fontId="18" fillId="0" borderId="12" xfId="47" applyNumberFormat="1" applyFont="1" applyBorder="1"/>
    <xf numFmtId="42" fontId="18" fillId="0" borderId="12" xfId="49" applyNumberFormat="1" applyFont="1" applyBorder="1"/>
    <xf numFmtId="37" fontId="18" fillId="0" borderId="12" xfId="50" applyNumberFormat="1" applyFont="1" applyBorder="1"/>
    <xf numFmtId="42" fontId="18" fillId="0" borderId="12" xfId="1" applyNumberFormat="1" applyFont="1" applyFill="1" applyBorder="1" applyProtection="1"/>
    <xf numFmtId="6" fontId="49" fillId="0" borderId="0" xfId="0" applyNumberFormat="1" applyFont="1"/>
    <xf numFmtId="6" fontId="18" fillId="0" borderId="0" xfId="0" applyNumberFormat="1" applyFont="1"/>
    <xf numFmtId="41" fontId="107" fillId="0" borderId="120" xfId="21" applyNumberFormat="1" applyFont="1" applyBorder="1"/>
    <xf numFmtId="0" fontId="0" fillId="0" borderId="0" xfId="40" applyFont="1"/>
    <xf numFmtId="0" fontId="0" fillId="0" borderId="0" xfId="40" applyFont="1" applyAlignment="1">
      <alignment horizontal="left" indent="1"/>
    </xf>
    <xf numFmtId="0" fontId="0" fillId="0" borderId="0" xfId="47" applyFont="1" applyAlignment="1">
      <alignment horizontal="left"/>
    </xf>
    <xf numFmtId="201" fontId="49" fillId="0" borderId="0" xfId="1487" applyNumberFormat="1" applyFont="1" applyAlignment="1">
      <alignment horizontal="center"/>
    </xf>
    <xf numFmtId="201" fontId="18" fillId="0" borderId="0" xfId="47" applyNumberFormat="1" applyFont="1"/>
    <xf numFmtId="0" fontId="33" fillId="0" borderId="0" xfId="8" applyFont="1" applyAlignment="1">
      <alignment horizontal="centerContinuous"/>
    </xf>
    <xf numFmtId="0" fontId="18" fillId="0" borderId="0" xfId="61" applyFont="1" applyAlignment="1">
      <alignment horizontal="left"/>
    </xf>
    <xf numFmtId="0" fontId="18" fillId="0" borderId="123" xfId="61" applyFont="1" applyBorder="1"/>
    <xf numFmtId="17" fontId="18" fillId="0" borderId="0" xfId="47" applyNumberFormat="1" applyFont="1"/>
    <xf numFmtId="37" fontId="18" fillId="0" borderId="0" xfId="47" applyNumberFormat="1" applyFont="1" applyAlignment="1">
      <alignment horizontal="left"/>
    </xf>
    <xf numFmtId="183" fontId="49" fillId="0" borderId="0" xfId="1" applyNumberFormat="1" applyFont="1" applyFill="1" applyBorder="1"/>
    <xf numFmtId="37" fontId="18" fillId="0" borderId="0" xfId="30" applyNumberFormat="1" applyFont="1" applyAlignment="1">
      <alignment horizontal="right"/>
    </xf>
    <xf numFmtId="10" fontId="40" fillId="0" borderId="0" xfId="7" applyNumberFormat="1" applyFont="1" applyAlignment="1" applyProtection="1">
      <alignment horizontal="center"/>
      <protection locked="0"/>
    </xf>
    <xf numFmtId="10" fontId="18" fillId="0" borderId="0" xfId="7" applyNumberFormat="1" applyFont="1" applyAlignment="1" applyProtection="1">
      <alignment horizontal="center"/>
      <protection locked="0"/>
    </xf>
    <xf numFmtId="0" fontId="0" fillId="0" borderId="0" xfId="46" applyFont="1" applyAlignment="1" applyProtection="1">
      <alignment horizontal="left"/>
      <protection locked="0"/>
    </xf>
    <xf numFmtId="0" fontId="0" fillId="0" borderId="0" xfId="1485" applyFont="1"/>
    <xf numFmtId="183" fontId="18" fillId="0" borderId="0" xfId="5" applyNumberFormat="1" applyFont="1"/>
    <xf numFmtId="5" fontId="0" fillId="0" borderId="0" xfId="12" applyNumberFormat="1" applyFont="1" applyProtection="1">
      <protection locked="0"/>
    </xf>
    <xf numFmtId="37" fontId="0" fillId="0" borderId="12" xfId="0" applyNumberFormat="1" applyBorder="1" applyProtection="1">
      <protection locked="0"/>
    </xf>
    <xf numFmtId="37" fontId="0" fillId="0" borderId="12" xfId="14" applyNumberFormat="1" applyFont="1" applyBorder="1" applyProtection="1">
      <protection locked="0"/>
    </xf>
    <xf numFmtId="0" fontId="0" fillId="0" borderId="0" xfId="14" quotePrefix="1" applyFont="1" applyAlignment="1">
      <alignment horizontal="centerContinuous"/>
    </xf>
    <xf numFmtId="0" fontId="0" fillId="0" borderId="0" xfId="14" quotePrefix="1" applyFont="1" applyAlignment="1">
      <alignment horizontal="center"/>
    </xf>
    <xf numFmtId="0" fontId="0" fillId="0" borderId="0" xfId="7" quotePrefix="1" applyFont="1" applyAlignment="1" applyProtection="1">
      <alignment horizontal="center"/>
      <protection locked="0"/>
    </xf>
    <xf numFmtId="17" fontId="0" fillId="0" borderId="0" xfId="7" quotePrefix="1" applyNumberFormat="1" applyFont="1" applyAlignment="1" applyProtection="1">
      <alignment horizontal="center"/>
      <protection locked="0"/>
    </xf>
    <xf numFmtId="0" fontId="0" fillId="0" borderId="0" xfId="7" applyFont="1" applyAlignment="1" applyProtection="1">
      <alignment horizontal="center"/>
      <protection locked="0"/>
    </xf>
    <xf numFmtId="0" fontId="0" fillId="0" borderId="0" xfId="14" applyFont="1" applyAlignment="1">
      <alignment horizontal="center"/>
    </xf>
    <xf numFmtId="37" fontId="0" fillId="0" borderId="0" xfId="14" applyNumberFormat="1" applyFont="1" applyAlignment="1">
      <alignment horizontal="right"/>
    </xf>
    <xf numFmtId="0" fontId="0" fillId="0" borderId="0" xfId="14" applyFont="1" applyAlignment="1">
      <alignment horizontal="centerContinuous"/>
    </xf>
    <xf numFmtId="0" fontId="0" fillId="0" borderId="0" xfId="14" applyFont="1"/>
    <xf numFmtId="37" fontId="0" fillId="0" borderId="12" xfId="14" applyNumberFormat="1" applyFont="1" applyBorder="1"/>
    <xf numFmtId="37" fontId="0" fillId="0" borderId="0" xfId="7" applyNumberFormat="1" applyFont="1"/>
    <xf numFmtId="37" fontId="0" fillId="0" borderId="0" xfId="0" applyNumberFormat="1" applyProtection="1">
      <protection locked="0"/>
    </xf>
    <xf numFmtId="37" fontId="0" fillId="0" borderId="0" xfId="14" applyNumberFormat="1" applyFont="1" applyProtection="1">
      <protection locked="0"/>
    </xf>
    <xf numFmtId="37" fontId="0" fillId="0" borderId="0" xfId="14" applyNumberFormat="1" applyFont="1" applyAlignment="1">
      <alignment horizontal="center"/>
    </xf>
    <xf numFmtId="37" fontId="0" fillId="0" borderId="0" xfId="14" applyNumberFormat="1" applyFont="1"/>
    <xf numFmtId="5" fontId="40" fillId="0" borderId="0" xfId="12" applyNumberFormat="1" applyFont="1" applyProtection="1">
      <protection locked="0"/>
    </xf>
    <xf numFmtId="5" fontId="45" fillId="0" borderId="0" xfId="12" applyNumberFormat="1" applyFont="1" applyProtection="1">
      <protection locked="0"/>
    </xf>
    <xf numFmtId="5" fontId="0" fillId="0" borderId="0" xfId="12" applyNumberFormat="1" applyFont="1"/>
    <xf numFmtId="5" fontId="49" fillId="0" borderId="0" xfId="12" applyNumberFormat="1" applyFont="1" applyProtection="1">
      <protection locked="0"/>
    </xf>
    <xf numFmtId="5" fontId="40" fillId="0" borderId="0" xfId="12" applyNumberFormat="1" applyFont="1"/>
    <xf numFmtId="183" fontId="49" fillId="0" borderId="0" xfId="0" applyNumberFormat="1" applyFont="1"/>
    <xf numFmtId="0" fontId="50" fillId="0" borderId="0" xfId="20" applyFont="1"/>
    <xf numFmtId="0" fontId="18" fillId="0" borderId="125" xfId="0" applyFont="1" applyBorder="1"/>
    <xf numFmtId="0" fontId="195" fillId="0" borderId="0" xfId="0" applyFont="1"/>
    <xf numFmtId="6" fontId="195" fillId="0" borderId="0" xfId="0" applyNumberFormat="1" applyFont="1"/>
    <xf numFmtId="10" fontId="195" fillId="0" borderId="0" xfId="0" applyNumberFormat="1" applyFont="1"/>
    <xf numFmtId="9" fontId="195" fillId="0" borderId="125" xfId="0" applyNumberFormat="1" applyFont="1" applyBorder="1"/>
    <xf numFmtId="6" fontId="195" fillId="0" borderId="12" xfId="0" applyNumberFormat="1" applyFont="1" applyBorder="1"/>
    <xf numFmtId="0" fontId="195" fillId="0" borderId="0" xfId="0" applyFont="1" applyAlignment="1">
      <alignment wrapText="1"/>
    </xf>
    <xf numFmtId="5" fontId="49" fillId="0" borderId="0" xfId="0" applyNumberFormat="1" applyFont="1"/>
    <xf numFmtId="9" fontId="49" fillId="0" borderId="0" xfId="0" applyNumberFormat="1" applyFont="1"/>
    <xf numFmtId="9" fontId="49" fillId="0" borderId="125" xfId="0" applyNumberFormat="1" applyFont="1" applyBorder="1"/>
    <xf numFmtId="37" fontId="43" fillId="0" borderId="0" xfId="47" applyNumberFormat="1" applyFont="1" applyProtection="1">
      <protection locked="0"/>
    </xf>
    <xf numFmtId="37" fontId="38" fillId="0" borderId="0" xfId="13" applyNumberFormat="1" applyFont="1" applyAlignment="1">
      <alignment horizontal="right"/>
    </xf>
    <xf numFmtId="37" fontId="72" fillId="0" borderId="0" xfId="13" applyNumberFormat="1" applyFont="1"/>
    <xf numFmtId="0" fontId="0" fillId="0" borderId="0" xfId="42" applyFont="1"/>
    <xf numFmtId="43" fontId="18" fillId="0" borderId="0" xfId="3" applyNumberFormat="1" applyFont="1"/>
    <xf numFmtId="181" fontId="18" fillId="0" borderId="0" xfId="52" applyNumberFormat="1" applyFont="1"/>
    <xf numFmtId="186" fontId="18" fillId="0" borderId="120" xfId="10" applyNumberFormat="1" applyFont="1" applyBorder="1" applyAlignment="1">
      <alignment horizontal="center"/>
    </xf>
    <xf numFmtId="181" fontId="18" fillId="0" borderId="0" xfId="10" applyFont="1" applyAlignment="1" applyProtection="1">
      <alignment horizontal="center"/>
      <protection locked="0"/>
    </xf>
    <xf numFmtId="186" fontId="18" fillId="0" borderId="0" xfId="10" applyNumberFormat="1" applyFont="1" applyAlignment="1">
      <alignment horizontal="right"/>
    </xf>
    <xf numFmtId="37" fontId="18" fillId="0" borderId="0" xfId="10" applyNumberFormat="1" applyFont="1" applyAlignment="1" applyProtection="1">
      <alignment horizontal="left"/>
      <protection locked="0"/>
    </xf>
    <xf numFmtId="181" fontId="22" fillId="0" borderId="0" xfId="10" quotePrefix="1" applyFont="1" applyAlignment="1">
      <alignment horizontal="center"/>
    </xf>
    <xf numFmtId="181" fontId="22" fillId="0" borderId="120" xfId="10" applyFont="1" applyBorder="1" applyAlignment="1">
      <alignment horizontal="centerContinuous"/>
    </xf>
    <xf numFmtId="41" fontId="22" fillId="0" borderId="0" xfId="10" applyNumberFormat="1" applyFont="1" applyAlignment="1">
      <alignment horizontal="center"/>
    </xf>
    <xf numFmtId="41" fontId="22" fillId="0" borderId="120" xfId="10" applyNumberFormat="1" applyFont="1" applyBorder="1" applyAlignment="1" applyProtection="1">
      <alignment horizontal="center"/>
      <protection locked="0"/>
    </xf>
    <xf numFmtId="181" fontId="35" fillId="0" borderId="120" xfId="10" applyFont="1" applyBorder="1" applyAlignment="1">
      <alignment horizontal="center"/>
    </xf>
    <xf numFmtId="181" fontId="37" fillId="0" borderId="0" xfId="10" applyFont="1" applyAlignment="1">
      <alignment horizontal="left"/>
    </xf>
    <xf numFmtId="0" fontId="22" fillId="0" borderId="0" xfId="10" applyNumberFormat="1" applyFont="1" applyProtection="1">
      <protection locked="0"/>
    </xf>
    <xf numFmtId="0" fontId="22" fillId="0" borderId="0" xfId="10" applyNumberFormat="1" applyFont="1" applyAlignment="1">
      <alignment horizontal="left"/>
    </xf>
    <xf numFmtId="0" fontId="22" fillId="0" borderId="0" xfId="10" applyNumberFormat="1" applyFont="1"/>
    <xf numFmtId="191" fontId="22" fillId="0" borderId="0" xfId="10" quotePrefix="1" applyNumberFormat="1" applyFont="1" applyAlignment="1">
      <alignment horizontal="right"/>
    </xf>
    <xf numFmtId="0" fontId="185" fillId="0" borderId="0" xfId="0" applyFont="1" applyAlignment="1">
      <alignment vertical="center"/>
    </xf>
    <xf numFmtId="41" fontId="22" fillId="0" borderId="0" xfId="10" applyNumberFormat="1" applyFont="1" applyAlignment="1">
      <alignment horizontal="left"/>
    </xf>
    <xf numFmtId="41" fontId="22" fillId="0" borderId="0" xfId="10" applyNumberFormat="1" applyFont="1" applyAlignment="1">
      <alignment horizontal="centerContinuous"/>
    </xf>
    <xf numFmtId="0" fontId="33" fillId="0" borderId="0" xfId="53" applyFont="1"/>
    <xf numFmtId="0" fontId="32" fillId="0" borderId="0" xfId="53" applyFont="1"/>
    <xf numFmtId="17" fontId="38" fillId="0" borderId="0" xfId="53" applyNumberFormat="1" applyFont="1" applyAlignment="1">
      <alignment horizontal="center"/>
    </xf>
    <xf numFmtId="170" fontId="40" fillId="0" borderId="0" xfId="53" applyNumberFormat="1" applyFont="1" applyAlignment="1" applyProtection="1">
      <alignment horizontal="center"/>
      <protection locked="0"/>
    </xf>
    <xf numFmtId="0" fontId="18" fillId="0" borderId="0" xfId="55" applyFont="1" applyAlignment="1">
      <alignment horizontal="fill"/>
    </xf>
    <xf numFmtId="170" fontId="40" fillId="0" borderId="0" xfId="55" applyNumberFormat="1" applyFont="1" applyProtection="1">
      <protection locked="0"/>
    </xf>
    <xf numFmtId="170" fontId="45" fillId="0" borderId="0" xfId="55" applyNumberFormat="1" applyFont="1" applyProtection="1">
      <protection locked="0"/>
    </xf>
    <xf numFmtId="37" fontId="22" fillId="0" borderId="0" xfId="10" applyNumberFormat="1" applyFont="1" applyAlignment="1">
      <alignment horizontal="center"/>
    </xf>
    <xf numFmtId="41" fontId="40" fillId="0" borderId="0" xfId="1" applyNumberFormat="1" applyFont="1" applyFill="1"/>
    <xf numFmtId="183" fontId="49" fillId="0" borderId="0" xfId="1" applyNumberFormat="1" applyFont="1" applyFill="1" applyAlignment="1">
      <alignment horizontal="right"/>
    </xf>
    <xf numFmtId="183" fontId="49" fillId="0" borderId="0" xfId="1" applyNumberFormat="1" applyFont="1" applyFill="1" applyAlignment="1">
      <alignment horizontal="left"/>
    </xf>
    <xf numFmtId="43" fontId="49" fillId="0" borderId="0" xfId="1" applyFont="1" applyFill="1"/>
    <xf numFmtId="43" fontId="49" fillId="0" borderId="0" xfId="1" applyFont="1" applyFill="1" applyAlignment="1">
      <alignment horizontal="center"/>
    </xf>
    <xf numFmtId="183" fontId="40" fillId="0" borderId="0" xfId="1" applyNumberFormat="1" applyFont="1" applyFill="1" applyBorder="1"/>
    <xf numFmtId="10" fontId="40" fillId="0" borderId="0" xfId="1" applyNumberFormat="1" applyFont="1" applyFill="1"/>
    <xf numFmtId="4" fontId="40" fillId="0" borderId="0" xfId="3" applyNumberFormat="1" applyFont="1" applyAlignment="1">
      <alignment horizontal="right"/>
    </xf>
    <xf numFmtId="2" fontId="40" fillId="0" borderId="0" xfId="3" applyNumberFormat="1" applyFont="1"/>
    <xf numFmtId="229" fontId="30" fillId="0" borderId="0" xfId="10" applyNumberFormat="1" applyFont="1"/>
    <xf numFmtId="229" fontId="22" fillId="0" borderId="0" xfId="10" applyNumberFormat="1" applyFont="1"/>
    <xf numFmtId="229" fontId="196" fillId="0" borderId="0" xfId="10" applyNumberFormat="1" applyFont="1"/>
    <xf numFmtId="0" fontId="0" fillId="0" borderId="0" xfId="40" applyFont="1" applyAlignment="1">
      <alignment horizontal="center"/>
    </xf>
    <xf numFmtId="5" fontId="0" fillId="0" borderId="120" xfId="12" applyNumberFormat="1" applyFont="1" applyBorder="1" applyProtection="1">
      <protection locked="0"/>
    </xf>
    <xf numFmtId="37" fontId="40" fillId="0" borderId="120" xfId="0" applyNumberFormat="1" applyFont="1" applyBorder="1"/>
    <xf numFmtId="37" fontId="49" fillId="0" borderId="120" xfId="0" applyNumberFormat="1" applyFont="1" applyBorder="1"/>
    <xf numFmtId="37" fontId="40" fillId="0" borderId="120" xfId="14" applyNumberFormat="1" applyFont="1" applyBorder="1"/>
    <xf numFmtId="37" fontId="0" fillId="0" borderId="120" xfId="0" applyNumberFormat="1" applyBorder="1" applyProtection="1">
      <protection locked="0"/>
    </xf>
    <xf numFmtId="0" fontId="0" fillId="0" borderId="120" xfId="14" applyFont="1" applyBorder="1" applyAlignment="1">
      <alignment horizontal="fill"/>
    </xf>
    <xf numFmtId="0" fontId="0" fillId="0" borderId="120" xfId="14" applyFont="1" applyBorder="1" applyAlignment="1">
      <alignment horizontal="center"/>
    </xf>
    <xf numFmtId="0" fontId="0" fillId="0" borderId="120" xfId="14" applyFont="1" applyBorder="1"/>
    <xf numFmtId="0" fontId="0" fillId="0" borderId="120" xfId="0" applyBorder="1" applyAlignment="1">
      <alignment horizontal="center"/>
    </xf>
    <xf numFmtId="37" fontId="0" fillId="0" borderId="120" xfId="14" applyNumberFormat="1" applyFont="1" applyBorder="1"/>
    <xf numFmtId="37" fontId="0" fillId="0" borderId="120" xfId="14" applyNumberFormat="1" applyFont="1" applyBorder="1" applyProtection="1">
      <protection locked="0"/>
    </xf>
    <xf numFmtId="0" fontId="0" fillId="0" borderId="120" xfId="0" applyBorder="1"/>
    <xf numFmtId="183" fontId="0" fillId="0" borderId="120" xfId="0" applyNumberFormat="1" applyBorder="1"/>
    <xf numFmtId="5" fontId="18" fillId="0" borderId="0" xfId="11" applyNumberFormat="1" applyFont="1"/>
    <xf numFmtId="37" fontId="72" fillId="0" borderId="0" xfId="18" applyNumberFormat="1" applyFont="1"/>
    <xf numFmtId="37" fontId="18" fillId="0" borderId="120" xfId="20" applyNumberFormat="1" applyFont="1" applyBorder="1" applyAlignment="1">
      <alignment horizontal="center"/>
    </xf>
    <xf numFmtId="0" fontId="49" fillId="0" borderId="0" xfId="58" applyFont="1" applyAlignment="1">
      <alignment horizontal="centerContinuous"/>
    </xf>
    <xf numFmtId="0" fontId="38" fillId="0" borderId="0" xfId="47" applyFont="1" applyAlignment="1">
      <alignment horizontal="left"/>
    </xf>
    <xf numFmtId="0" fontId="43" fillId="0" borderId="0" xfId="47" applyFont="1" applyAlignment="1">
      <alignment horizontal="centerContinuous"/>
    </xf>
    <xf numFmtId="0" fontId="38" fillId="0" borderId="0" xfId="47" applyFont="1" applyAlignment="1">
      <alignment horizontal="centerContinuous"/>
    </xf>
    <xf numFmtId="0" fontId="18" fillId="0" borderId="120" xfId="47" quotePrefix="1" applyFont="1" applyBorder="1" applyAlignment="1">
      <alignment horizontal="center"/>
    </xf>
    <xf numFmtId="0" fontId="18" fillId="0" borderId="120" xfId="47" applyFont="1" applyBorder="1" applyAlignment="1">
      <alignment horizontal="centerContinuous"/>
    </xf>
    <xf numFmtId="0" fontId="38" fillId="0" borderId="120" xfId="47" applyFont="1" applyBorder="1" applyAlignment="1">
      <alignment horizontal="centerContinuous"/>
    </xf>
    <xf numFmtId="38" fontId="18" fillId="0" borderId="0" xfId="0" applyNumberFormat="1" applyFont="1"/>
    <xf numFmtId="0" fontId="18" fillId="0" borderId="0" xfId="7" applyFont="1" applyAlignment="1">
      <alignment horizontal="center" vertical="center"/>
    </xf>
    <xf numFmtId="10" fontId="40" fillId="0" borderId="0" xfId="62" applyNumberFormat="1" applyFont="1" applyProtection="1">
      <protection locked="0"/>
    </xf>
    <xf numFmtId="10" fontId="49" fillId="0" borderId="0" xfId="62" applyNumberFormat="1" applyFont="1" applyProtection="1">
      <protection locked="0"/>
    </xf>
    <xf numFmtId="3" fontId="18" fillId="0" borderId="0" xfId="13" applyNumberFormat="1" applyFont="1" applyAlignment="1">
      <alignment horizontal="center"/>
    </xf>
    <xf numFmtId="3" fontId="72" fillId="0" borderId="0" xfId="13" applyNumberFormat="1" applyFont="1"/>
    <xf numFmtId="0" fontId="72" fillId="0" borderId="0" xfId="13" applyFont="1"/>
    <xf numFmtId="230" fontId="0" fillId="0" borderId="0" xfId="0" applyNumberFormat="1"/>
    <xf numFmtId="173" fontId="197" fillId="0" borderId="0" xfId="63" applyNumberFormat="1" applyFont="1" applyAlignment="1">
      <alignment horizontal="center"/>
    </xf>
    <xf numFmtId="183" fontId="197" fillId="0" borderId="0" xfId="1" applyNumberFormat="1" applyFont="1" applyAlignment="1">
      <alignment horizontal="center"/>
    </xf>
    <xf numFmtId="0" fontId="197" fillId="0" borderId="0" xfId="0" applyFont="1"/>
    <xf numFmtId="173" fontId="197" fillId="0" borderId="0" xfId="0" applyNumberFormat="1" applyFont="1" applyAlignment="1">
      <alignment horizontal="center"/>
    </xf>
    <xf numFmtId="0" fontId="197" fillId="0" borderId="0" xfId="7317" applyFont="1"/>
    <xf numFmtId="183" fontId="197" fillId="0" borderId="0" xfId="68" applyNumberFormat="1" applyFont="1"/>
    <xf numFmtId="183" fontId="197" fillId="0" borderId="0" xfId="68" applyNumberFormat="1" applyFont="1" applyFill="1" applyBorder="1"/>
    <xf numFmtId="183" fontId="197" fillId="0" borderId="0" xfId="7317" applyNumberFormat="1" applyFont="1" applyAlignment="1">
      <alignment horizontal="center"/>
    </xf>
    <xf numFmtId="0" fontId="198" fillId="0" borderId="0" xfId="0" applyFont="1"/>
    <xf numFmtId="0" fontId="1" fillId="0" borderId="0" xfId="7317" applyFont="1" applyAlignment="1">
      <alignment horizontal="left"/>
    </xf>
    <xf numFmtId="183" fontId="1" fillId="0" borderId="0" xfId="1" applyNumberFormat="1" applyFont="1" applyAlignment="1">
      <alignment horizontal="left"/>
    </xf>
    <xf numFmtId="9" fontId="1" fillId="0" borderId="0" xfId="63" applyFont="1" applyAlignment="1">
      <alignment horizontal="center"/>
    </xf>
    <xf numFmtId="173" fontId="1" fillId="0" borderId="0" xfId="63" applyNumberFormat="1" applyFont="1" applyAlignment="1">
      <alignment horizontal="center"/>
    </xf>
    <xf numFmtId="183" fontId="1" fillId="0" borderId="0" xfId="1" applyNumberFormat="1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173" fontId="1" fillId="0" borderId="0" xfId="0" applyNumberFormat="1" applyFont="1" applyAlignment="1">
      <alignment horizontal="center"/>
    </xf>
    <xf numFmtId="183" fontId="1" fillId="0" borderId="0" xfId="1" applyNumberFormat="1" applyFont="1" applyAlignment="1">
      <alignment horizontal="center" vertical="center" wrapText="1"/>
    </xf>
    <xf numFmtId="0" fontId="106" fillId="0" borderId="0" xfId="7317" applyFont="1"/>
    <xf numFmtId="0" fontId="1" fillId="0" borderId="0" xfId="7317" applyFont="1"/>
    <xf numFmtId="0" fontId="1" fillId="0" borderId="0" xfId="7317" applyFont="1" applyAlignment="1">
      <alignment horizontal="center"/>
    </xf>
    <xf numFmtId="0" fontId="1" fillId="0" borderId="120" xfId="7317" applyFont="1" applyBorder="1" applyAlignment="1">
      <alignment horizontal="center"/>
    </xf>
    <xf numFmtId="195" fontId="1" fillId="0" borderId="0" xfId="7317" applyNumberFormat="1" applyFont="1" applyAlignment="1">
      <alignment horizontal="left" wrapText="1"/>
    </xf>
    <xf numFmtId="183" fontId="1" fillId="0" borderId="0" xfId="68" applyNumberFormat="1" applyFont="1" applyFill="1"/>
    <xf numFmtId="183" fontId="1" fillId="0" borderId="0" xfId="68" applyNumberFormat="1" applyFont="1"/>
    <xf numFmtId="183" fontId="1" fillId="0" borderId="0" xfId="7317" applyNumberFormat="1" applyFont="1"/>
    <xf numFmtId="183" fontId="1" fillId="0" borderId="12" xfId="68" applyNumberFormat="1" applyFont="1" applyBorder="1"/>
    <xf numFmtId="0" fontId="72" fillId="0" borderId="0" xfId="0" applyFont="1" applyAlignment="1">
      <alignment horizontal="center"/>
    </xf>
    <xf numFmtId="183" fontId="49" fillId="0" borderId="0" xfId="1" applyNumberFormat="1" applyFont="1" applyFill="1" applyAlignment="1">
      <alignment horizontal="center" wrapText="1"/>
    </xf>
    <xf numFmtId="37" fontId="72" fillId="0" borderId="0" xfId="47" applyNumberFormat="1" applyFont="1" applyAlignment="1">
      <alignment horizontal="right"/>
    </xf>
    <xf numFmtId="37" fontId="49" fillId="0" borderId="0" xfId="47" applyNumberFormat="1" applyFont="1"/>
    <xf numFmtId="14" fontId="49" fillId="0" borderId="0" xfId="47" applyNumberFormat="1" applyFont="1" applyAlignment="1">
      <alignment horizontal="center"/>
    </xf>
    <xf numFmtId="3" fontId="49" fillId="0" borderId="0" xfId="0" applyNumberFormat="1" applyFont="1"/>
    <xf numFmtId="0" fontId="72" fillId="0" borderId="0" xfId="7" applyFont="1" applyProtection="1">
      <protection locked="0"/>
    </xf>
    <xf numFmtId="183" fontId="18" fillId="0" borderId="0" xfId="30" applyNumberFormat="1" applyFont="1"/>
    <xf numFmtId="39" fontId="18" fillId="0" borderId="0" xfId="5" applyNumberFormat="1" applyFont="1" applyAlignment="1">
      <alignment horizontal="center"/>
    </xf>
    <xf numFmtId="0" fontId="38" fillId="0" borderId="0" xfId="24" applyFont="1" applyAlignment="1">
      <alignment horizontal="center"/>
    </xf>
    <xf numFmtId="180" fontId="18" fillId="0" borderId="0" xfId="24" applyNumberFormat="1" applyFont="1"/>
    <xf numFmtId="10" fontId="18" fillId="0" borderId="0" xfId="24" applyNumberFormat="1" applyFont="1"/>
    <xf numFmtId="180" fontId="38" fillId="0" borderId="0" xfId="24" applyNumberFormat="1" applyFont="1"/>
    <xf numFmtId="10" fontId="38" fillId="0" borderId="0" xfId="24" applyNumberFormat="1" applyFont="1"/>
    <xf numFmtId="180" fontId="199" fillId="0" borderId="0" xfId="5" applyNumberFormat="1" applyFont="1"/>
    <xf numFmtId="176" fontId="18" fillId="0" borderId="0" xfId="51" applyNumberFormat="1" applyFont="1" applyAlignment="1">
      <alignment horizontal="right"/>
    </xf>
    <xf numFmtId="166" fontId="18" fillId="0" borderId="0" xfId="63" applyNumberFormat="1" applyFont="1"/>
    <xf numFmtId="173" fontId="18" fillId="0" borderId="0" xfId="63" applyNumberFormat="1" applyFont="1" applyFill="1" applyBorder="1" applyAlignment="1">
      <alignment horizontal="center"/>
    </xf>
    <xf numFmtId="0" fontId="18" fillId="0" borderId="0" xfId="23" applyFont="1" applyAlignment="1">
      <alignment horizontal="left"/>
    </xf>
    <xf numFmtId="200" fontId="18" fillId="0" borderId="0" xfId="0" applyNumberFormat="1" applyFont="1"/>
    <xf numFmtId="0" fontId="18" fillId="0" borderId="0" xfId="23" applyFont="1" applyAlignment="1">
      <alignment horizontal="center"/>
    </xf>
    <xf numFmtId="0" fontId="43" fillId="0" borderId="0" xfId="23" applyFont="1" applyAlignment="1">
      <alignment horizontal="center"/>
    </xf>
    <xf numFmtId="0" fontId="46" fillId="0" borderId="0" xfId="23" applyFont="1" applyAlignment="1">
      <alignment horizontal="center"/>
    </xf>
    <xf numFmtId="0" fontId="38" fillId="0" borderId="0" xfId="23" applyFont="1"/>
    <xf numFmtId="0" fontId="0" fillId="0" borderId="0" xfId="21" applyFont="1"/>
    <xf numFmtId="0" fontId="0" fillId="0" borderId="0" xfId="5" applyFont="1"/>
    <xf numFmtId="10" fontId="49" fillId="0" borderId="120" xfId="1" applyNumberFormat="1" applyFont="1" applyFill="1" applyBorder="1" applyAlignment="1">
      <alignment horizontal="right"/>
    </xf>
    <xf numFmtId="180" fontId="0" fillId="0" borderId="0" xfId="7" applyNumberFormat="1" applyFont="1"/>
    <xf numFmtId="42" fontId="0" fillId="0" borderId="0" xfId="1" applyNumberFormat="1" applyFont="1"/>
    <xf numFmtId="42" fontId="0" fillId="0" borderId="0" xfId="7" applyNumberFormat="1" applyFont="1"/>
    <xf numFmtId="0" fontId="0" fillId="0" borderId="0" xfId="57" applyFont="1" applyAlignment="1">
      <alignment horizontal="left"/>
    </xf>
    <xf numFmtId="205" fontId="49" fillId="0" borderId="0" xfId="43977" applyNumberFormat="1" applyFont="1" applyProtection="1">
      <protection locked="0"/>
    </xf>
    <xf numFmtId="0" fontId="0" fillId="0" borderId="0" xfId="2" applyFont="1" applyAlignment="1">
      <alignment horizontal="left"/>
    </xf>
    <xf numFmtId="0" fontId="0" fillId="0" borderId="0" xfId="2" applyFont="1" applyAlignment="1">
      <alignment horizontal="center"/>
    </xf>
    <xf numFmtId="0" fontId="0" fillId="0" borderId="0" xfId="22" applyFont="1"/>
    <xf numFmtId="0" fontId="18" fillId="0" borderId="0" xfId="2" applyFont="1" applyAlignment="1">
      <alignment horizontal="right"/>
    </xf>
    <xf numFmtId="180" fontId="0" fillId="0" borderId="0" xfId="0" applyNumberFormat="1"/>
    <xf numFmtId="180" fontId="38" fillId="0" borderId="0" xfId="0" applyNumberFormat="1" applyFont="1"/>
    <xf numFmtId="38" fontId="72" fillId="0" borderId="0" xfId="7" applyNumberFormat="1" applyFont="1"/>
    <xf numFmtId="38" fontId="80" fillId="0" borderId="0" xfId="7" applyNumberFormat="1" applyFont="1" applyAlignment="1">
      <alignment horizontal="center"/>
    </xf>
    <xf numFmtId="38" fontId="18" fillId="0" borderId="0" xfId="7" applyNumberFormat="1" applyFont="1" applyAlignment="1">
      <alignment horizontal="centerContinuous"/>
    </xf>
    <xf numFmtId="17" fontId="38" fillId="0" borderId="0" xfId="0" applyNumberFormat="1" applyFont="1" applyAlignment="1">
      <alignment horizontal="center"/>
    </xf>
    <xf numFmtId="0" fontId="18" fillId="0" borderId="0" xfId="0" applyFont="1" applyAlignment="1">
      <alignment horizontal="fill"/>
    </xf>
    <xf numFmtId="0" fontId="18" fillId="0" borderId="0" xfId="0" applyFont="1" applyAlignment="1">
      <alignment horizontal="right"/>
    </xf>
    <xf numFmtId="38" fontId="38" fillId="0" borderId="0" xfId="7" applyNumberFormat="1" applyFont="1" applyAlignment="1">
      <alignment horizontal="center"/>
    </xf>
    <xf numFmtId="38" fontId="84" fillId="0" borderId="0" xfId="7" applyNumberFormat="1" applyFont="1" applyAlignment="1">
      <alignment horizontal="center"/>
    </xf>
    <xf numFmtId="180" fontId="18" fillId="0" borderId="0" xfId="63" applyNumberFormat="1" applyFont="1" applyFill="1" applyBorder="1" applyAlignment="1">
      <alignment horizontal="right"/>
    </xf>
    <xf numFmtId="180" fontId="18" fillId="0" borderId="0" xfId="0" applyNumberFormat="1" applyFont="1" applyAlignment="1">
      <alignment horizontal="right"/>
    </xf>
    <xf numFmtId="231" fontId="18" fillId="0" borderId="0" xfId="51" applyNumberFormat="1" applyFont="1"/>
    <xf numFmtId="166" fontId="18" fillId="0" borderId="0" xfId="63" applyNumberFormat="1" applyFont="1" applyFill="1" applyBorder="1" applyAlignment="1">
      <alignment horizontal="right"/>
    </xf>
    <xf numFmtId="231" fontId="18" fillId="0" borderId="0" xfId="0" applyNumberFormat="1" applyFont="1"/>
    <xf numFmtId="231" fontId="18" fillId="0" borderId="120" xfId="0" applyNumberFormat="1" applyFont="1" applyBorder="1"/>
    <xf numFmtId="231" fontId="49" fillId="0" borderId="0" xfId="0" applyNumberFormat="1" applyFont="1"/>
    <xf numFmtId="231" fontId="49" fillId="0" borderId="0" xfId="15048" applyNumberFormat="1" applyFont="1"/>
    <xf numFmtId="231" fontId="49" fillId="0" borderId="120" xfId="0" applyNumberFormat="1" applyFont="1" applyBorder="1"/>
    <xf numFmtId="231" fontId="49" fillId="0" borderId="120" xfId="15048" applyNumberFormat="1" applyFont="1" applyBorder="1"/>
    <xf numFmtId="183" fontId="40" fillId="0" borderId="0" xfId="47" applyNumberFormat="1" applyFont="1" applyProtection="1">
      <protection locked="0"/>
    </xf>
    <xf numFmtId="0" fontId="0" fillId="0" borderId="0" xfId="38" applyFont="1"/>
    <xf numFmtId="37" fontId="0" fillId="0" borderId="0" xfId="39" applyNumberFormat="1" applyFont="1"/>
    <xf numFmtId="41" fontId="0" fillId="0" borderId="0" xfId="38" applyNumberFormat="1" applyFont="1"/>
    <xf numFmtId="43" fontId="0" fillId="0" borderId="0" xfId="39" applyNumberFormat="1" applyFont="1"/>
    <xf numFmtId="0" fontId="0" fillId="0" borderId="0" xfId="39" applyFont="1"/>
    <xf numFmtId="0" fontId="0" fillId="0" borderId="0" xfId="39" quotePrefix="1" applyFont="1"/>
    <xf numFmtId="0" fontId="0" fillId="0" borderId="0" xfId="0" quotePrefix="1"/>
    <xf numFmtId="0" fontId="0" fillId="0" borderId="0" xfId="38" applyFont="1" applyAlignment="1">
      <alignment horizontal="center"/>
    </xf>
    <xf numFmtId="37" fontId="0" fillId="0" borderId="0" xfId="38" applyNumberFormat="1" applyFont="1"/>
    <xf numFmtId="37" fontId="0" fillId="0" borderId="0" xfId="39" applyNumberFormat="1" applyFont="1" applyProtection="1">
      <protection locked="0"/>
    </xf>
    <xf numFmtId="37" fontId="49" fillId="0" borderId="0" xfId="39" applyNumberFormat="1" applyFont="1" applyProtection="1">
      <protection locked="0"/>
    </xf>
    <xf numFmtId="37" fontId="49" fillId="0" borderId="126" xfId="0" applyNumberFormat="1" applyFont="1" applyBorder="1"/>
    <xf numFmtId="37" fontId="40" fillId="0" borderId="126" xfId="0" applyNumberFormat="1" applyFont="1" applyBorder="1"/>
    <xf numFmtId="37" fontId="0" fillId="0" borderId="126" xfId="0" applyNumberFormat="1" applyBorder="1"/>
    <xf numFmtId="37" fontId="40" fillId="0" borderId="126" xfId="14" applyNumberFormat="1" applyFont="1" applyBorder="1"/>
    <xf numFmtId="37" fontId="0" fillId="0" borderId="126" xfId="14" applyNumberFormat="1" applyFont="1" applyBorder="1"/>
    <xf numFmtId="37" fontId="0" fillId="0" borderId="126" xfId="0" applyNumberFormat="1" applyBorder="1" applyProtection="1">
      <protection locked="0"/>
    </xf>
    <xf numFmtId="37" fontId="74" fillId="0" borderId="126" xfId="0" applyNumberFormat="1" applyFont="1" applyBorder="1"/>
    <xf numFmtId="0" fontId="0" fillId="0" borderId="0" xfId="24811" applyFont="1" applyAlignment="1">
      <alignment horizontal="center"/>
    </xf>
    <xf numFmtId="37" fontId="0" fillId="0" borderId="126" xfId="24811" applyNumberFormat="1" applyFont="1" applyBorder="1"/>
    <xf numFmtId="37" fontId="40" fillId="0" borderId="126" xfId="0" applyNumberFormat="1" applyFont="1" applyBorder="1" applyProtection="1">
      <protection locked="0"/>
    </xf>
    <xf numFmtId="37" fontId="18" fillId="0" borderId="126" xfId="7" applyNumberFormat="1" applyFont="1" applyBorder="1"/>
    <xf numFmtId="37" fontId="18" fillId="0" borderId="126" xfId="14" applyNumberFormat="1" applyFont="1" applyBorder="1" applyProtection="1">
      <protection locked="0"/>
    </xf>
    <xf numFmtId="37" fontId="18" fillId="0" borderId="126" xfId="14" applyNumberFormat="1" applyFont="1" applyBorder="1"/>
    <xf numFmtId="37" fontId="18" fillId="0" borderId="126" xfId="24811" applyNumberFormat="1" applyFont="1" applyBorder="1"/>
    <xf numFmtId="37" fontId="49" fillId="0" borderId="126" xfId="14" applyNumberFormat="1" applyFont="1" applyBorder="1"/>
    <xf numFmtId="37" fontId="0" fillId="0" borderId="126" xfId="14" applyNumberFormat="1" applyFont="1" applyBorder="1" applyProtection="1">
      <protection locked="0"/>
    </xf>
    <xf numFmtId="37" fontId="18" fillId="0" borderId="126" xfId="0" applyNumberFormat="1" applyFont="1" applyBorder="1" applyProtection="1">
      <protection locked="0"/>
    </xf>
    <xf numFmtId="41" fontId="22" fillId="0" borderId="126" xfId="10" applyNumberFormat="1" applyFont="1" applyBorder="1"/>
    <xf numFmtId="37" fontId="18" fillId="0" borderId="126" xfId="18" applyNumberFormat="1" applyFont="1" applyBorder="1"/>
    <xf numFmtId="37" fontId="18" fillId="0" borderId="126" xfId="19" applyNumberFormat="1" applyFont="1" applyBorder="1"/>
    <xf numFmtId="37" fontId="18" fillId="0" borderId="126" xfId="20" applyNumberFormat="1" applyFont="1" applyBorder="1"/>
    <xf numFmtId="42" fontId="18" fillId="0" borderId="126" xfId="21" applyNumberFormat="1" applyFont="1" applyBorder="1"/>
    <xf numFmtId="194" fontId="18" fillId="0" borderId="126" xfId="21" applyNumberFormat="1" applyFont="1" applyBorder="1"/>
    <xf numFmtId="37" fontId="18" fillId="0" borderId="126" xfId="22" applyNumberFormat="1" applyFont="1" applyBorder="1"/>
    <xf numFmtId="9" fontId="18" fillId="0" borderId="126" xfId="63" applyFont="1" applyFill="1" applyBorder="1" applyAlignment="1" applyProtection="1">
      <alignment horizontal="right"/>
    </xf>
    <xf numFmtId="37" fontId="18" fillId="0" borderId="126" xfId="28" applyNumberFormat="1" applyFont="1" applyBorder="1" applyAlignment="1">
      <alignment horizontal="right"/>
    </xf>
    <xf numFmtId="42" fontId="18" fillId="0" borderId="126" xfId="1" applyNumberFormat="1" applyFont="1" applyFill="1" applyBorder="1" applyAlignment="1" applyProtection="1">
      <alignment horizontal="right"/>
    </xf>
    <xf numFmtId="42" fontId="18" fillId="0" borderId="126" xfId="1" applyNumberFormat="1" applyFont="1" applyBorder="1" applyAlignment="1" applyProtection="1">
      <alignment horizontal="right"/>
    </xf>
    <xf numFmtId="183" fontId="18" fillId="0" borderId="126" xfId="1" applyNumberFormat="1" applyFont="1" applyBorder="1"/>
    <xf numFmtId="42" fontId="18" fillId="0" borderId="126" xfId="1" applyNumberFormat="1" applyFont="1" applyBorder="1" applyAlignment="1" applyProtection="1">
      <alignment horizontal="right"/>
      <protection locked="0"/>
    </xf>
    <xf numFmtId="42" fontId="18" fillId="0" borderId="126" xfId="0" applyNumberFormat="1" applyFont="1" applyBorder="1"/>
    <xf numFmtId="42" fontId="18" fillId="0" borderId="126" xfId="1" applyNumberFormat="1" applyFont="1" applyBorder="1"/>
    <xf numFmtId="3" fontId="18" fillId="0" borderId="126" xfId="30" applyNumberFormat="1" applyFont="1" applyBorder="1"/>
    <xf numFmtId="37" fontId="18" fillId="0" borderId="126" xfId="39" applyNumberFormat="1" applyFont="1" applyBorder="1"/>
    <xf numFmtId="37" fontId="18" fillId="0" borderId="126" xfId="39" quotePrefix="1" applyNumberFormat="1" applyFont="1" applyBorder="1"/>
    <xf numFmtId="37" fontId="18" fillId="0" borderId="126" xfId="40" applyNumberFormat="1" applyFont="1" applyBorder="1"/>
    <xf numFmtId="37" fontId="18" fillId="0" borderId="126" xfId="43" applyNumberFormat="1" applyFont="1" applyBorder="1"/>
    <xf numFmtId="37" fontId="18" fillId="0" borderId="126" xfId="46" applyNumberFormat="1" applyFont="1" applyBorder="1"/>
    <xf numFmtId="37" fontId="18" fillId="0" borderId="126" xfId="10" applyNumberFormat="1" applyFont="1" applyBorder="1"/>
    <xf numFmtId="42" fontId="0" fillId="0" borderId="126" xfId="7" applyNumberFormat="1" applyFont="1" applyBorder="1"/>
    <xf numFmtId="166" fontId="0" fillId="0" borderId="126" xfId="7" applyNumberFormat="1" applyFont="1" applyBorder="1"/>
    <xf numFmtId="166" fontId="18" fillId="0" borderId="126" xfId="7" applyNumberFormat="1" applyFont="1" applyBorder="1"/>
    <xf numFmtId="183" fontId="18" fillId="0" borderId="126" xfId="1" applyNumberFormat="1" applyFont="1" applyFill="1" applyBorder="1"/>
    <xf numFmtId="0" fontId="0" fillId="0" borderId="0" xfId="30" applyFont="1" applyAlignment="1">
      <alignment horizontal="left"/>
    </xf>
    <xf numFmtId="0" fontId="0" fillId="0" borderId="0" xfId="43985" applyFont="1"/>
    <xf numFmtId="0" fontId="0" fillId="0" borderId="0" xfId="24" applyFont="1" applyAlignment="1">
      <alignment horizontal="center"/>
    </xf>
    <xf numFmtId="0" fontId="0" fillId="0" borderId="0" xfId="24" applyFont="1"/>
    <xf numFmtId="0" fontId="0" fillId="0" borderId="0" xfId="24" quotePrefix="1" applyFont="1" applyAlignment="1">
      <alignment horizontal="center"/>
    </xf>
    <xf numFmtId="0" fontId="0" fillId="0" borderId="0" xfId="25" applyFont="1"/>
    <xf numFmtId="0" fontId="38" fillId="0" borderId="0" xfId="43985" applyFont="1" applyAlignment="1">
      <alignment horizontal="center"/>
    </xf>
    <xf numFmtId="0" fontId="0" fillId="0" borderId="0" xfId="5" applyFont="1" applyAlignment="1">
      <alignment horizontal="center"/>
    </xf>
    <xf numFmtId="42" fontId="0" fillId="0" borderId="0" xfId="5" applyNumberFormat="1" applyFont="1" applyAlignment="1">
      <alignment horizontal="right"/>
    </xf>
    <xf numFmtId="42" fontId="0" fillId="0" borderId="0" xfId="43985" applyNumberFormat="1" applyFont="1"/>
    <xf numFmtId="0" fontId="0" fillId="0" borderId="0" xfId="5" applyFont="1" applyAlignment="1">
      <alignment horizontal="left"/>
    </xf>
    <xf numFmtId="37" fontId="0" fillId="0" borderId="0" xfId="43987" applyNumberFormat="1" applyFont="1" applyAlignment="1">
      <alignment horizontal="left"/>
    </xf>
    <xf numFmtId="37" fontId="0" fillId="0" borderId="0" xfId="5" applyNumberFormat="1" applyFont="1"/>
    <xf numFmtId="42" fontId="0" fillId="0" borderId="0" xfId="43989" applyNumberFormat="1" applyFont="1"/>
    <xf numFmtId="194" fontId="0" fillId="0" borderId="0" xfId="21" applyNumberFormat="1" applyFont="1"/>
    <xf numFmtId="0" fontId="0" fillId="0" borderId="0" xfId="30" applyFont="1" applyAlignment="1">
      <alignment horizontal="right"/>
    </xf>
    <xf numFmtId="43" fontId="0" fillId="0" borderId="120" xfId="43985" applyNumberFormat="1" applyFont="1" applyBorder="1"/>
    <xf numFmtId="183" fontId="0" fillId="0" borderId="0" xfId="11604" applyNumberFormat="1" applyFont="1"/>
    <xf numFmtId="5" fontId="49" fillId="0" borderId="0" xfId="12" applyNumberFormat="1" applyFont="1"/>
    <xf numFmtId="183" fontId="1" fillId="0" borderId="0" xfId="43977" applyNumberFormat="1" applyFont="1" applyAlignment="1">
      <alignment horizontal="center"/>
    </xf>
    <xf numFmtId="183" fontId="197" fillId="0" borderId="0" xfId="0" applyNumberFormat="1" applyFont="1"/>
    <xf numFmtId="183" fontId="49" fillId="0" borderId="120" xfId="1" applyNumberFormat="1" applyFont="1" applyFill="1" applyBorder="1" applyAlignment="1">
      <alignment horizontal="center" wrapText="1"/>
    </xf>
    <xf numFmtId="183" fontId="1" fillId="0" borderId="0" xfId="63" applyNumberFormat="1" applyFont="1" applyAlignment="1">
      <alignment horizontal="center" wrapText="1"/>
    </xf>
    <xf numFmtId="183" fontId="1" fillId="0" borderId="0" xfId="1470" applyNumberFormat="1" applyFont="1"/>
    <xf numFmtId="183" fontId="1" fillId="0" borderId="0" xfId="63" applyNumberFormat="1" applyFont="1" applyAlignment="1">
      <alignment horizontal="center"/>
    </xf>
    <xf numFmtId="37" fontId="0" fillId="0" borderId="0" xfId="0" applyNumberFormat="1" applyAlignment="1">
      <alignment horizontal="center"/>
    </xf>
    <xf numFmtId="37" fontId="18" fillId="0" borderId="0" xfId="24811" applyNumberFormat="1" applyFont="1" applyAlignment="1">
      <alignment horizontal="center"/>
    </xf>
    <xf numFmtId="37" fontId="18" fillId="0" borderId="126" xfId="98" applyNumberFormat="1" applyFont="1" applyBorder="1"/>
    <xf numFmtId="37" fontId="0" fillId="0" borderId="0" xfId="24811" applyNumberFormat="1" applyFont="1" applyAlignment="1">
      <alignment horizontal="center"/>
    </xf>
    <xf numFmtId="37" fontId="0" fillId="0" borderId="0" xfId="24811" applyNumberFormat="1" applyFont="1"/>
    <xf numFmtId="0" fontId="106" fillId="0" borderId="0" xfId="0" applyFont="1" applyAlignment="1">
      <alignment horizontal="centerContinuous"/>
    </xf>
    <xf numFmtId="0" fontId="106" fillId="0" borderId="0" xfId="0" applyFont="1"/>
    <xf numFmtId="0" fontId="106" fillId="0" borderId="0" xfId="0" applyFont="1" applyAlignment="1">
      <alignment horizontal="center"/>
    </xf>
    <xf numFmtId="0" fontId="18" fillId="0" borderId="0" xfId="67" applyAlignment="1">
      <alignment horizontal="center"/>
    </xf>
    <xf numFmtId="0" fontId="38" fillId="0" borderId="0" xfId="67" applyFont="1" applyAlignment="1">
      <alignment horizontal="center"/>
    </xf>
    <xf numFmtId="0" fontId="38" fillId="0" borderId="0" xfId="67" applyFont="1" applyAlignment="1">
      <alignment horizontal="left" indent="1"/>
    </xf>
    <xf numFmtId="14" fontId="1" fillId="0" borderId="0" xfId="0" quotePrefix="1" applyNumberFormat="1" applyFont="1" applyAlignment="1">
      <alignment horizontal="center"/>
    </xf>
    <xf numFmtId="41" fontId="1" fillId="0" borderId="0" xfId="1" applyNumberFormat="1" applyFont="1"/>
    <xf numFmtId="44" fontId="1" fillId="0" borderId="0" xfId="0" applyNumberFormat="1" applyFont="1"/>
    <xf numFmtId="42" fontId="201" fillId="0" borderId="0" xfId="1" applyNumberFormat="1" applyFont="1"/>
    <xf numFmtId="41" fontId="1" fillId="0" borderId="12" xfId="1" applyNumberFormat="1" applyFont="1" applyBorder="1"/>
    <xf numFmtId="41" fontId="1" fillId="0" borderId="0" xfId="1" applyNumberFormat="1" applyFont="1" applyBorder="1"/>
    <xf numFmtId="183" fontId="1" fillId="0" borderId="0" xfId="1" applyNumberFormat="1" applyFont="1"/>
    <xf numFmtId="41" fontId="1" fillId="0" borderId="0" xfId="0" applyNumberFormat="1" applyFont="1"/>
    <xf numFmtId="44" fontId="49" fillId="0" borderId="0" xfId="0" applyNumberFormat="1" applyFont="1"/>
    <xf numFmtId="14" fontId="1" fillId="0" borderId="0" xfId="0" applyNumberFormat="1" applyFont="1" applyAlignment="1">
      <alignment horizontal="center"/>
    </xf>
    <xf numFmtId="42" fontId="1" fillId="0" borderId="126" xfId="1" applyNumberFormat="1" applyFont="1" applyBorder="1"/>
    <xf numFmtId="14" fontId="202" fillId="0" borderId="0" xfId="0" quotePrefix="1" applyNumberFormat="1" applyFont="1" applyAlignment="1">
      <alignment horizontal="center"/>
    </xf>
    <xf numFmtId="14" fontId="202" fillId="0" borderId="0" xfId="0" applyNumberFormat="1" applyFont="1" applyAlignment="1">
      <alignment horizontal="center"/>
    </xf>
    <xf numFmtId="0" fontId="202" fillId="0" borderId="0" xfId="0" applyFont="1" applyAlignment="1">
      <alignment horizontal="center"/>
    </xf>
    <xf numFmtId="0" fontId="18" fillId="0" borderId="0" xfId="0" quotePrefix="1" applyFont="1" applyAlignment="1">
      <alignment horizontal="center" wrapText="1"/>
    </xf>
    <xf numFmtId="0" fontId="194" fillId="0" borderId="0" xfId="62" applyFont="1"/>
    <xf numFmtId="0" fontId="50" fillId="0" borderId="0" xfId="62" applyFont="1"/>
    <xf numFmtId="205" fontId="49" fillId="0" borderId="0" xfId="47" applyNumberFormat="1" applyFont="1" applyProtection="1">
      <protection locked="0"/>
    </xf>
    <xf numFmtId="205" fontId="18" fillId="0" borderId="0" xfId="43977" applyNumberFormat="1" applyFont="1"/>
    <xf numFmtId="205" fontId="18" fillId="0" borderId="0" xfId="47" applyNumberFormat="1" applyFont="1"/>
    <xf numFmtId="205" fontId="0" fillId="0" borderId="0" xfId="0" applyNumberFormat="1"/>
    <xf numFmtId="14" fontId="49" fillId="0" borderId="0" xfId="1487" quotePrefix="1" applyNumberFormat="1" applyFont="1" applyAlignment="1">
      <alignment horizontal="center"/>
    </xf>
    <xf numFmtId="205" fontId="18" fillId="0" borderId="0" xfId="47" applyNumberFormat="1" applyFont="1" applyAlignment="1" applyProtection="1">
      <alignment horizontal="center"/>
      <protection locked="0"/>
    </xf>
    <xf numFmtId="205" fontId="18" fillId="0" borderId="0" xfId="47" applyNumberFormat="1" applyFont="1" applyProtection="1">
      <protection locked="0"/>
    </xf>
    <xf numFmtId="0" fontId="18" fillId="0" borderId="120" xfId="47" applyFont="1" applyBorder="1" applyAlignment="1">
      <alignment horizontal="left"/>
    </xf>
    <xf numFmtId="205" fontId="49" fillId="0" borderId="120" xfId="47" applyNumberFormat="1" applyFont="1" applyBorder="1" applyProtection="1">
      <protection locked="0"/>
    </xf>
    <xf numFmtId="14" fontId="49" fillId="0" borderId="120" xfId="1487" quotePrefix="1" applyNumberFormat="1" applyFont="1" applyBorder="1" applyAlignment="1">
      <alignment horizontal="center"/>
    </xf>
    <xf numFmtId="205" fontId="18" fillId="0" borderId="120" xfId="47" applyNumberFormat="1" applyFont="1" applyBorder="1" applyAlignment="1" applyProtection="1">
      <alignment horizontal="center"/>
      <protection locked="0"/>
    </xf>
    <xf numFmtId="205" fontId="18" fillId="0" borderId="120" xfId="47" applyNumberFormat="1" applyFont="1" applyBorder="1"/>
    <xf numFmtId="205" fontId="0" fillId="0" borderId="120" xfId="43977" applyNumberFormat="1" applyFont="1" applyBorder="1"/>
    <xf numFmtId="205" fontId="0" fillId="0" borderId="120" xfId="0" applyNumberFormat="1" applyBorder="1"/>
    <xf numFmtId="205" fontId="18" fillId="0" borderId="12" xfId="47" applyNumberFormat="1" applyFont="1" applyBorder="1"/>
    <xf numFmtId="205" fontId="0" fillId="0" borderId="12" xfId="0" applyNumberFormat="1" applyBorder="1"/>
    <xf numFmtId="14" fontId="18" fillId="0" borderId="0" xfId="47" applyNumberFormat="1" applyFont="1" applyAlignment="1">
      <alignment horizontal="center"/>
    </xf>
    <xf numFmtId="14" fontId="0" fillId="0" borderId="120" xfId="0" applyNumberFormat="1" applyBorder="1" applyAlignment="1">
      <alignment horizontal="center"/>
    </xf>
    <xf numFmtId="14" fontId="18" fillId="0" borderId="0" xfId="47" quotePrefix="1" applyNumberFormat="1" applyFont="1" applyAlignment="1">
      <alignment horizontal="center"/>
    </xf>
    <xf numFmtId="205" fontId="0" fillId="0" borderId="0" xfId="43977" applyNumberFormat="1" applyFont="1"/>
    <xf numFmtId="183" fontId="0" fillId="0" borderId="0" xfId="17927" applyNumberFormat="1" applyFont="1" applyAlignment="1"/>
    <xf numFmtId="42" fontId="0" fillId="0" borderId="0" xfId="17927" applyNumberFormat="1" applyFont="1" applyAlignment="1"/>
    <xf numFmtId="0" fontId="0" fillId="0" borderId="12" xfId="0" applyBorder="1" applyAlignment="1">
      <alignment horizontal="center"/>
    </xf>
    <xf numFmtId="42" fontId="0" fillId="0" borderId="12" xfId="17927" applyNumberFormat="1" applyFont="1" applyBorder="1" applyAlignment="1"/>
    <xf numFmtId="42" fontId="0" fillId="0" borderId="12" xfId="0" applyNumberFormat="1" applyBorder="1"/>
    <xf numFmtId="0" fontId="0" fillId="0" borderId="12" xfId="0" applyBorder="1"/>
    <xf numFmtId="205" fontId="40" fillId="0" borderId="0" xfId="47" applyNumberFormat="1" applyFont="1" applyAlignment="1" applyProtection="1">
      <alignment horizontal="center"/>
      <protection locked="0"/>
    </xf>
    <xf numFmtId="205" fontId="40" fillId="0" borderId="0" xfId="47" applyNumberFormat="1" applyFont="1" applyAlignment="1" applyProtection="1">
      <alignment horizontal="right"/>
      <protection locked="0"/>
    </xf>
    <xf numFmtId="205" fontId="18" fillId="0" borderId="0" xfId="47" applyNumberFormat="1" applyFont="1" applyAlignment="1">
      <alignment horizontal="center"/>
    </xf>
    <xf numFmtId="205" fontId="49" fillId="0" borderId="0" xfId="1487" quotePrefix="1" applyNumberFormat="1" applyFont="1" applyAlignment="1">
      <alignment horizontal="center"/>
    </xf>
    <xf numFmtId="205" fontId="18" fillId="0" borderId="0" xfId="47" applyNumberFormat="1" applyFont="1" applyAlignment="1">
      <alignment horizontal="left"/>
    </xf>
    <xf numFmtId="205" fontId="40" fillId="0" borderId="0" xfId="47" applyNumberFormat="1" applyFont="1" applyProtection="1">
      <protection locked="0"/>
    </xf>
    <xf numFmtId="205" fontId="19" fillId="0" borderId="0" xfId="1487" applyNumberFormat="1"/>
    <xf numFmtId="205" fontId="40" fillId="0" borderId="120" xfId="47" applyNumberFormat="1" applyFont="1" applyBorder="1" applyAlignment="1" applyProtection="1">
      <alignment horizontal="center"/>
      <protection locked="0"/>
    </xf>
    <xf numFmtId="205" fontId="0" fillId="0" borderId="120" xfId="17927" applyNumberFormat="1" applyFont="1" applyBorder="1" applyAlignment="1">
      <alignment horizontal="center"/>
    </xf>
    <xf numFmtId="205" fontId="0" fillId="0" borderId="120" xfId="17927" applyNumberFormat="1" applyFont="1" applyBorder="1" applyAlignment="1"/>
    <xf numFmtId="205" fontId="0" fillId="0" borderId="120" xfId="0" applyNumberFormat="1" applyBorder="1" applyAlignment="1">
      <alignment horizontal="center"/>
    </xf>
    <xf numFmtId="205" fontId="18" fillId="0" borderId="0" xfId="62" applyNumberFormat="1" applyFont="1"/>
    <xf numFmtId="205" fontId="18" fillId="0" borderId="0" xfId="62" applyNumberFormat="1" applyFont="1" applyAlignment="1">
      <alignment horizontal="fill"/>
    </xf>
    <xf numFmtId="205" fontId="18" fillId="0" borderId="120" xfId="17927" applyNumberFormat="1" applyFont="1" applyBorder="1" applyAlignment="1"/>
    <xf numFmtId="205" fontId="18" fillId="0" borderId="0" xfId="17927" applyNumberFormat="1" applyFont="1" applyAlignment="1"/>
    <xf numFmtId="17" fontId="0" fillId="0" borderId="0" xfId="0" applyNumberFormat="1" applyAlignment="1">
      <alignment horizontal="center"/>
    </xf>
    <xf numFmtId="0" fontId="49" fillId="0" borderId="0" xfId="47" applyFont="1" applyAlignment="1">
      <alignment horizontal="center"/>
    </xf>
    <xf numFmtId="205" fontId="49" fillId="0" borderId="0" xfId="47" applyNumberFormat="1" applyFont="1" applyAlignment="1" applyProtection="1">
      <alignment horizontal="right"/>
      <protection locked="0"/>
    </xf>
    <xf numFmtId="205" fontId="49" fillId="0" borderId="0" xfId="47" applyNumberFormat="1" applyFont="1" applyAlignment="1">
      <alignment horizontal="right"/>
    </xf>
    <xf numFmtId="205" fontId="49" fillId="0" borderId="0" xfId="1" applyNumberFormat="1" applyFont="1" applyAlignment="1">
      <alignment horizontal="right"/>
    </xf>
    <xf numFmtId="205" fontId="49" fillId="0" borderId="120" xfId="47" applyNumberFormat="1" applyFont="1" applyBorder="1" applyAlignment="1" applyProtection="1">
      <alignment horizontal="right"/>
      <protection locked="0"/>
    </xf>
    <xf numFmtId="0" fontId="203" fillId="0" borderId="0" xfId="0" applyFont="1" applyAlignment="1">
      <alignment horizontal="center"/>
    </xf>
    <xf numFmtId="37" fontId="0" fillId="77" borderId="0" xfId="4" applyNumberFormat="1" applyFont="1" applyFill="1"/>
    <xf numFmtId="0" fontId="0" fillId="0" borderId="0" xfId="46" applyFont="1"/>
    <xf numFmtId="37" fontId="0" fillId="0" borderId="0" xfId="46" applyNumberFormat="1" applyFont="1" applyProtection="1">
      <protection locked="0"/>
    </xf>
    <xf numFmtId="183" fontId="18" fillId="0" borderId="0" xfId="18" applyNumberFormat="1" applyFont="1"/>
    <xf numFmtId="37" fontId="0" fillId="0" borderId="120" xfId="18" applyNumberFormat="1" applyFont="1" applyBorder="1"/>
    <xf numFmtId="0" fontId="43" fillId="0" borderId="129" xfId="58" applyFont="1" applyBorder="1"/>
    <xf numFmtId="0" fontId="18" fillId="0" borderId="129" xfId="58" quotePrefix="1" applyFont="1" applyBorder="1" applyAlignment="1">
      <alignment horizontal="center"/>
    </xf>
    <xf numFmtId="37" fontId="43" fillId="0" borderId="129" xfId="58" applyNumberFormat="1" applyFont="1" applyBorder="1"/>
    <xf numFmtId="0" fontId="43" fillId="0" borderId="129" xfId="58" quotePrefix="1" applyFont="1" applyBorder="1" applyAlignment="1">
      <alignment horizontal="center"/>
    </xf>
    <xf numFmtId="0" fontId="18" fillId="0" borderId="129" xfId="58" applyFont="1" applyBorder="1" applyAlignment="1">
      <alignment horizontal="center"/>
    </xf>
    <xf numFmtId="10" fontId="43" fillId="0" borderId="129" xfId="58" applyNumberFormat="1" applyFont="1" applyBorder="1"/>
    <xf numFmtId="37" fontId="18" fillId="51" borderId="127" xfId="59" applyNumberFormat="1" applyFont="1" applyFill="1" applyBorder="1" applyAlignment="1">
      <alignment horizontal="center"/>
    </xf>
    <xf numFmtId="0" fontId="43" fillId="0" borderId="129" xfId="58" applyFont="1" applyBorder="1" applyAlignment="1">
      <alignment horizontal="center"/>
    </xf>
    <xf numFmtId="37" fontId="43" fillId="0" borderId="129" xfId="58" applyNumberFormat="1" applyFont="1" applyBorder="1" applyAlignment="1">
      <alignment horizontal="center"/>
    </xf>
    <xf numFmtId="0" fontId="18" fillId="0" borderId="129" xfId="58" applyFont="1" applyBorder="1"/>
    <xf numFmtId="39" fontId="43" fillId="0" borderId="129" xfId="58" applyNumberFormat="1" applyFont="1" applyBorder="1"/>
    <xf numFmtId="176" fontId="43" fillId="0" borderId="129" xfId="58" applyNumberFormat="1" applyFont="1" applyBorder="1"/>
    <xf numFmtId="0" fontId="36" fillId="0" borderId="129" xfId="58" applyFont="1" applyBorder="1"/>
    <xf numFmtId="2" fontId="43" fillId="0" borderId="129" xfId="58" applyNumberFormat="1" applyFont="1" applyBorder="1"/>
    <xf numFmtId="37" fontId="43" fillId="0" borderId="129" xfId="58" applyNumberFormat="1" applyFont="1" applyBorder="1" applyAlignment="1">
      <alignment horizontal="centerContinuous"/>
    </xf>
    <xf numFmtId="1" fontId="43" fillId="0" borderId="129" xfId="58" applyNumberFormat="1" applyFont="1" applyBorder="1" applyAlignment="1">
      <alignment horizontal="centerContinuous"/>
    </xf>
    <xf numFmtId="2" fontId="43" fillId="0" borderId="129" xfId="58" applyNumberFormat="1" applyFont="1" applyBorder="1" applyAlignment="1">
      <alignment horizontal="centerContinuous"/>
    </xf>
    <xf numFmtId="0" fontId="43" fillId="0" borderId="129" xfId="59" applyFont="1" applyBorder="1"/>
    <xf numFmtId="0" fontId="18" fillId="0" borderId="129" xfId="59" applyFont="1" applyBorder="1" applyAlignment="1">
      <alignment horizontal="center"/>
    </xf>
    <xf numFmtId="0" fontId="18" fillId="0" borderId="129" xfId="59" quotePrefix="1" applyFont="1" applyBorder="1" applyAlignment="1">
      <alignment horizontal="center"/>
    </xf>
    <xf numFmtId="37" fontId="43" fillId="0" borderId="129" xfId="59" applyNumberFormat="1" applyFont="1" applyBorder="1"/>
    <xf numFmtId="10" fontId="43" fillId="0" borderId="129" xfId="59" applyNumberFormat="1" applyFont="1" applyBorder="1"/>
    <xf numFmtId="0" fontId="18" fillId="0" borderId="129" xfId="59" applyFont="1" applyBorder="1"/>
    <xf numFmtId="10" fontId="18" fillId="0" borderId="129" xfId="59" applyNumberFormat="1" applyFont="1" applyBorder="1"/>
    <xf numFmtId="0" fontId="43" fillId="0" borderId="129" xfId="59" quotePrefix="1" applyFont="1" applyBorder="1" applyAlignment="1">
      <alignment horizontal="center"/>
    </xf>
    <xf numFmtId="0" fontId="43" fillId="0" borderId="129" xfId="59" applyFont="1" applyBorder="1" applyAlignment="1">
      <alignment horizontal="center"/>
    </xf>
    <xf numFmtId="37" fontId="18" fillId="0" borderId="129" xfId="0" applyNumberFormat="1" applyFont="1" applyBorder="1"/>
    <xf numFmtId="2" fontId="18" fillId="0" borderId="129" xfId="59" applyNumberFormat="1" applyFont="1" applyBorder="1"/>
    <xf numFmtId="37" fontId="18" fillId="0" borderId="129" xfId="59" applyNumberFormat="1" applyFont="1" applyBorder="1"/>
    <xf numFmtId="0" fontId="38" fillId="0" borderId="129" xfId="60" applyFont="1" applyBorder="1" applyAlignment="1">
      <alignment horizontal="center"/>
    </xf>
    <xf numFmtId="176" fontId="38" fillId="0" borderId="129" xfId="60" applyNumberFormat="1" applyFont="1" applyBorder="1" applyAlignment="1">
      <alignment horizontal="centerContinuous"/>
    </xf>
    <xf numFmtId="0" fontId="43" fillId="0" borderId="129" xfId="60" applyFont="1" applyBorder="1"/>
    <xf numFmtId="0" fontId="43" fillId="0" borderId="129" xfId="60" applyFont="1" applyBorder="1" applyAlignment="1">
      <alignment horizontal="center"/>
    </xf>
    <xf numFmtId="37" fontId="43" fillId="0" borderId="129" xfId="60" applyNumberFormat="1" applyFont="1" applyBorder="1"/>
    <xf numFmtId="0" fontId="18" fillId="0" borderId="132" xfId="60" applyFont="1" applyBorder="1" applyAlignment="1">
      <alignment horizontal="center"/>
    </xf>
    <xf numFmtId="0" fontId="18" fillId="0" borderId="132" xfId="60" applyFont="1" applyBorder="1"/>
    <xf numFmtId="10" fontId="18" fillId="0" borderId="132" xfId="60" applyNumberFormat="1" applyFont="1" applyBorder="1"/>
    <xf numFmtId="37" fontId="18" fillId="0" borderId="132" xfId="60" applyNumberFormat="1" applyFont="1" applyBorder="1"/>
    <xf numFmtId="0" fontId="18" fillId="0" borderId="129" xfId="14" applyFont="1" applyBorder="1"/>
    <xf numFmtId="0" fontId="18" fillId="0" borderId="129" xfId="14" applyFont="1" applyBorder="1" applyAlignment="1">
      <alignment horizontal="center"/>
    </xf>
    <xf numFmtId="183" fontId="1" fillId="0" borderId="129" xfId="1470" applyNumberFormat="1" applyFont="1" applyBorder="1"/>
    <xf numFmtId="183" fontId="1" fillId="0" borderId="129" xfId="1470" applyNumberFormat="1" applyFont="1" applyFill="1" applyBorder="1"/>
    <xf numFmtId="183" fontId="1" fillId="0" borderId="129" xfId="1470" applyNumberFormat="1" applyFont="1" applyBorder="1" applyAlignment="1">
      <alignment horizontal="center"/>
    </xf>
    <xf numFmtId="181" fontId="22" fillId="0" borderId="129" xfId="10" applyFont="1" applyBorder="1" applyAlignment="1">
      <alignment horizontal="center"/>
    </xf>
    <xf numFmtId="41" fontId="22" fillId="0" borderId="132" xfId="10" applyNumberFormat="1" applyFont="1" applyBorder="1"/>
    <xf numFmtId="41" fontId="22" fillId="0" borderId="132" xfId="10" applyNumberFormat="1" applyFont="1" applyBorder="1" applyAlignment="1">
      <alignment horizontal="center"/>
    </xf>
    <xf numFmtId="0" fontId="18" fillId="77" borderId="134" xfId="18" applyFont="1" applyFill="1" applyBorder="1" applyAlignment="1">
      <alignment horizontal="center"/>
    </xf>
    <xf numFmtId="37" fontId="18" fillId="0" borderId="132" xfId="18" applyNumberFormat="1" applyFont="1" applyBorder="1"/>
    <xf numFmtId="37" fontId="18" fillId="77" borderId="127" xfId="18" applyNumberFormat="1" applyFont="1" applyFill="1" applyBorder="1"/>
    <xf numFmtId="37" fontId="18" fillId="0" borderId="129" xfId="18" applyNumberFormat="1" applyFont="1" applyBorder="1"/>
    <xf numFmtId="37" fontId="18" fillId="77" borderId="134" xfId="18" applyNumberFormat="1" applyFont="1" applyFill="1" applyBorder="1"/>
    <xf numFmtId="0" fontId="18" fillId="77" borderId="128" xfId="4" applyFont="1" applyFill="1" applyBorder="1"/>
    <xf numFmtId="0" fontId="18" fillId="77" borderId="129" xfId="18" applyFont="1" applyFill="1" applyBorder="1"/>
    <xf numFmtId="197" fontId="18" fillId="77" borderId="129" xfId="4" applyNumberFormat="1" applyFont="1" applyFill="1" applyBorder="1"/>
    <xf numFmtId="197" fontId="18" fillId="77" borderId="130" xfId="4" applyNumberFormat="1" applyFont="1" applyFill="1" applyBorder="1"/>
    <xf numFmtId="37" fontId="18" fillId="0" borderId="129" xfId="7" applyNumberFormat="1" applyFont="1" applyBorder="1"/>
    <xf numFmtId="37" fontId="18" fillId="0" borderId="132" xfId="19" applyNumberFormat="1" applyFont="1" applyBorder="1"/>
    <xf numFmtId="0" fontId="18" fillId="0" borderId="132" xfId="20" applyFont="1" applyBorder="1"/>
    <xf numFmtId="37" fontId="18" fillId="0" borderId="132" xfId="20" applyNumberFormat="1" applyFont="1" applyBorder="1"/>
    <xf numFmtId="37" fontId="18" fillId="0" borderId="129" xfId="20" applyNumberFormat="1" applyFont="1" applyBorder="1"/>
    <xf numFmtId="0" fontId="18" fillId="0" borderId="129" xfId="20" applyFont="1" applyBorder="1"/>
    <xf numFmtId="0" fontId="18" fillId="0" borderId="129" xfId="20" applyFont="1" applyBorder="1" applyAlignment="1">
      <alignment horizontal="center"/>
    </xf>
    <xf numFmtId="0" fontId="18" fillId="0" borderId="132" xfId="20" applyFont="1" applyBorder="1" applyAlignment="1">
      <alignment horizontal="center"/>
    </xf>
    <xf numFmtId="0" fontId="18" fillId="0" borderId="129" xfId="5" applyFont="1" applyBorder="1"/>
    <xf numFmtId="0" fontId="18" fillId="0" borderId="129" xfId="7" applyFont="1" applyBorder="1"/>
    <xf numFmtId="0" fontId="18" fillId="0" borderId="129" xfId="5" applyFont="1" applyBorder="1" applyAlignment="1">
      <alignment horizontal="center"/>
    </xf>
    <xf numFmtId="194" fontId="18" fillId="0" borderId="129" xfId="21" applyNumberFormat="1" applyFont="1" applyBorder="1"/>
    <xf numFmtId="42" fontId="0" fillId="0" borderId="129" xfId="5" applyNumberFormat="1" applyFont="1" applyBorder="1" applyAlignment="1">
      <alignment horizontal="right"/>
    </xf>
    <xf numFmtId="42" fontId="49" fillId="0" borderId="129" xfId="5" applyNumberFormat="1" applyFont="1" applyBorder="1" applyAlignment="1">
      <alignment horizontal="right"/>
    </xf>
    <xf numFmtId="42" fontId="18" fillId="0" borderId="129" xfId="5" applyNumberFormat="1" applyFont="1" applyBorder="1" applyAlignment="1">
      <alignment horizontal="right"/>
    </xf>
    <xf numFmtId="205" fontId="18" fillId="0" borderId="129" xfId="43978" applyNumberFormat="1" applyFont="1" applyFill="1" applyBorder="1"/>
    <xf numFmtId="0" fontId="18" fillId="0" borderId="129" xfId="38" applyFont="1" applyBorder="1"/>
    <xf numFmtId="0" fontId="18" fillId="0" borderId="129" xfId="38" applyFont="1" applyBorder="1" applyAlignment="1">
      <alignment horizontal="left"/>
    </xf>
    <xf numFmtId="0" fontId="18" fillId="0" borderId="129" xfId="38" applyFont="1" applyBorder="1" applyAlignment="1">
      <alignment horizontal="centerContinuous"/>
    </xf>
    <xf numFmtId="0" fontId="18" fillId="0" borderId="132" xfId="38" applyFont="1" applyBorder="1" applyAlignment="1">
      <alignment horizontal="centerContinuous"/>
    </xf>
    <xf numFmtId="37" fontId="18" fillId="0" borderId="132" xfId="38" applyNumberFormat="1" applyFont="1" applyBorder="1"/>
    <xf numFmtId="37" fontId="18" fillId="0" borderId="132" xfId="39" applyNumberFormat="1" applyFont="1" applyBorder="1"/>
    <xf numFmtId="37" fontId="18" fillId="0" borderId="129" xfId="38" applyNumberFormat="1" applyFont="1" applyBorder="1"/>
    <xf numFmtId="0" fontId="18" fillId="0" borderId="132" xfId="40" applyFont="1" applyBorder="1" applyAlignment="1">
      <alignment horizontal="centerContinuous"/>
    </xf>
    <xf numFmtId="37" fontId="0" fillId="0" borderId="132" xfId="40" applyNumberFormat="1" applyFont="1" applyBorder="1"/>
    <xf numFmtId="0" fontId="18" fillId="0" borderId="132" xfId="41" applyFont="1" applyBorder="1" applyAlignment="1">
      <alignment horizontal="centerContinuous"/>
    </xf>
    <xf numFmtId="0" fontId="18" fillId="0" borderId="132" xfId="42" applyFont="1" applyBorder="1" applyAlignment="1">
      <alignment horizontal="centerContinuous"/>
    </xf>
    <xf numFmtId="37" fontId="40" fillId="0" borderId="129" xfId="43" applyNumberFormat="1" applyFont="1" applyBorder="1"/>
    <xf numFmtId="37" fontId="18" fillId="0" borderId="132" xfId="44" applyNumberFormat="1" applyFont="1" applyBorder="1"/>
    <xf numFmtId="0" fontId="18" fillId="0" borderId="129" xfId="46" applyFont="1" applyBorder="1" applyAlignment="1">
      <alignment horizontal="centerContinuous"/>
    </xf>
    <xf numFmtId="37" fontId="18" fillId="0" borderId="132" xfId="46" applyNumberFormat="1" applyFont="1" applyBorder="1" applyProtection="1">
      <protection locked="0"/>
    </xf>
    <xf numFmtId="0" fontId="18" fillId="0" borderId="132" xfId="46" applyFont="1" applyBorder="1" applyAlignment="1">
      <alignment horizontal="centerContinuous"/>
    </xf>
    <xf numFmtId="0" fontId="18" fillId="0" borderId="129" xfId="46" applyFont="1" applyBorder="1"/>
    <xf numFmtId="0" fontId="18" fillId="0" borderId="129" xfId="46" applyFont="1" applyBorder="1" applyAlignment="1">
      <alignment horizontal="center"/>
    </xf>
    <xf numFmtId="37" fontId="40" fillId="0" borderId="132" xfId="46" applyNumberFormat="1" applyFont="1" applyBorder="1" applyProtection="1">
      <protection locked="0"/>
    </xf>
    <xf numFmtId="0" fontId="18" fillId="0" borderId="132" xfId="47" applyFont="1" applyBorder="1"/>
    <xf numFmtId="205" fontId="0" fillId="0" borderId="129" xfId="43982" applyNumberFormat="1" applyFont="1" applyFill="1" applyBorder="1" applyAlignment="1" applyProtection="1">
      <alignment horizontal="center"/>
    </xf>
    <xf numFmtId="0" fontId="18" fillId="0" borderId="131" xfId="51" applyFont="1" applyBorder="1"/>
    <xf numFmtId="0" fontId="18" fillId="0" borderId="132" xfId="51" applyFont="1" applyBorder="1"/>
    <xf numFmtId="174" fontId="18" fillId="0" borderId="133" xfId="51" applyNumberFormat="1" applyFont="1" applyBorder="1"/>
    <xf numFmtId="37" fontId="18" fillId="0" borderId="132" xfId="10" applyNumberFormat="1" applyFont="1" applyBorder="1"/>
    <xf numFmtId="0" fontId="18" fillId="0" borderId="129" xfId="56" applyFont="1" applyBorder="1" applyAlignment="1">
      <alignment horizontal="centerContinuous"/>
    </xf>
    <xf numFmtId="0" fontId="18" fillId="0" borderId="129" xfId="57" applyFont="1" applyBorder="1"/>
    <xf numFmtId="0" fontId="18" fillId="0" borderId="129" xfId="7" applyFont="1" applyBorder="1" applyAlignment="1">
      <alignment horizontal="center"/>
    </xf>
    <xf numFmtId="0" fontId="18" fillId="0" borderId="129" xfId="7" applyFont="1" applyBorder="1" applyAlignment="1">
      <alignment horizontal="fill"/>
    </xf>
    <xf numFmtId="180" fontId="0" fillId="0" borderId="129" xfId="7" applyNumberFormat="1" applyFont="1" applyBorder="1"/>
    <xf numFmtId="0" fontId="0" fillId="0" borderId="129" xfId="7" applyFont="1" applyBorder="1"/>
    <xf numFmtId="0" fontId="18" fillId="0" borderId="129" xfId="7" applyFont="1" applyBorder="1" applyProtection="1">
      <protection locked="0"/>
    </xf>
    <xf numFmtId="0" fontId="40" fillId="0" borderId="132" xfId="3" applyFont="1" applyBorder="1" applyAlignment="1" applyProtection="1">
      <alignment horizontal="centerContinuous"/>
    </xf>
    <xf numFmtId="0" fontId="18" fillId="0" borderId="132" xfId="3" applyFont="1" applyBorder="1" applyAlignment="1" applyProtection="1">
      <alignment horizontal="centerContinuous"/>
    </xf>
    <xf numFmtId="183" fontId="18" fillId="0" borderId="129" xfId="1" applyNumberFormat="1" applyFont="1" applyFill="1" applyBorder="1"/>
    <xf numFmtId="172" fontId="18" fillId="0" borderId="132" xfId="1" applyNumberFormat="1" applyFont="1" applyFill="1" applyBorder="1"/>
    <xf numFmtId="183" fontId="18" fillId="0" borderId="132" xfId="1" applyNumberFormat="1" applyFont="1" applyFill="1" applyBorder="1"/>
    <xf numFmtId="185" fontId="18" fillId="0" borderId="132" xfId="3" applyNumberFormat="1" applyFont="1" applyBorder="1"/>
    <xf numFmtId="0" fontId="88" fillId="0" borderId="127" xfId="8" applyFont="1" applyBorder="1" applyAlignment="1">
      <alignment horizontal="left"/>
    </xf>
    <xf numFmtId="0" fontId="49" fillId="0" borderId="131" xfId="8" applyFont="1" applyBorder="1" applyAlignment="1" applyProtection="1">
      <alignment horizontal="left"/>
      <protection locked="0"/>
    </xf>
    <xf numFmtId="0" fontId="33" fillId="0" borderId="127" xfId="8" applyFont="1" applyBorder="1" applyAlignment="1">
      <alignment horizontal="left"/>
    </xf>
    <xf numFmtId="0" fontId="18" fillId="0" borderId="127" xfId="8" applyFont="1" applyBorder="1"/>
    <xf numFmtId="0" fontId="33" fillId="0" borderId="127" xfId="8" applyFont="1" applyBorder="1" applyAlignment="1">
      <alignment horizontal="center"/>
    </xf>
    <xf numFmtId="0" fontId="18" fillId="0" borderId="131" xfId="8" quotePrefix="1" applyFont="1" applyBorder="1" applyAlignment="1" applyProtection="1">
      <alignment horizontal="left"/>
      <protection locked="0"/>
    </xf>
    <xf numFmtId="17" fontId="18" fillId="0" borderId="127" xfId="8" applyNumberFormat="1" applyFont="1" applyBorder="1" applyAlignment="1">
      <alignment horizontal="left"/>
    </xf>
    <xf numFmtId="0" fontId="49" fillId="0" borderId="131" xfId="8" applyFont="1" applyBorder="1" applyProtection="1">
      <protection locked="0"/>
    </xf>
    <xf numFmtId="0" fontId="18" fillId="0" borderId="131" xfId="8" applyFont="1" applyBorder="1"/>
    <xf numFmtId="0" fontId="49" fillId="0" borderId="131" xfId="8" applyFont="1" applyBorder="1"/>
    <xf numFmtId="0" fontId="49" fillId="0" borderId="131" xfId="8" quotePrefix="1" applyFont="1" applyBorder="1" applyAlignment="1" applyProtection="1">
      <alignment horizontal="left"/>
      <protection locked="0"/>
    </xf>
    <xf numFmtId="170" fontId="18" fillId="0" borderId="0" xfId="53" applyNumberFormat="1" applyFont="1" applyProtection="1">
      <protection locked="0"/>
    </xf>
    <xf numFmtId="37" fontId="40" fillId="0" borderId="0" xfId="5" applyNumberFormat="1" applyFont="1"/>
    <xf numFmtId="37" fontId="40" fillId="0" borderId="120" xfId="5" applyNumberFormat="1" applyFont="1" applyBorder="1"/>
    <xf numFmtId="170" fontId="76" fillId="0" borderId="0" xfId="55" applyNumberFormat="1" applyFont="1" applyProtection="1">
      <protection locked="0"/>
    </xf>
    <xf numFmtId="170" fontId="18" fillId="0" borderId="0" xfId="55" applyNumberFormat="1" applyFont="1" applyProtection="1">
      <protection locked="0"/>
    </xf>
    <xf numFmtId="170" fontId="38" fillId="0" borderId="0" xfId="55" applyNumberFormat="1" applyFont="1" applyProtection="1">
      <protection locked="0"/>
    </xf>
    <xf numFmtId="37" fontId="49" fillId="0" borderId="120" xfId="10" applyNumberFormat="1" applyFont="1" applyBorder="1"/>
    <xf numFmtId="181" fontId="49" fillId="0" borderId="120" xfId="10" applyFont="1" applyBorder="1" applyAlignment="1">
      <alignment horizontal="center"/>
    </xf>
    <xf numFmtId="37" fontId="18" fillId="0" borderId="0" xfId="18" applyNumberFormat="1" applyFont="1" applyAlignment="1">
      <alignment horizontal="right"/>
    </xf>
    <xf numFmtId="37" fontId="18" fillId="0" borderId="120" xfId="18" quotePrefix="1" applyNumberFormat="1" applyFont="1" applyBorder="1"/>
    <xf numFmtId="37" fontId="18" fillId="0" borderId="126" xfId="18" quotePrefix="1" applyNumberFormat="1" applyFont="1" applyBorder="1"/>
    <xf numFmtId="41" fontId="31" fillId="0" borderId="0" xfId="10" applyNumberFormat="1" applyFont="1"/>
    <xf numFmtId="10" fontId="40" fillId="0" borderId="0" xfId="3" applyNumberFormat="1" applyFont="1"/>
    <xf numFmtId="0" fontId="79" fillId="0" borderId="0" xfId="3" applyFont="1"/>
    <xf numFmtId="172" fontId="40" fillId="0" borderId="120" xfId="1" applyNumberFormat="1" applyFont="1" applyFill="1" applyBorder="1"/>
    <xf numFmtId="0" fontId="49" fillId="0" borderId="0" xfId="3" applyFont="1"/>
    <xf numFmtId="37" fontId="49" fillId="0" borderId="0" xfId="3" applyNumberFormat="1" applyFont="1"/>
    <xf numFmtId="3" fontId="18" fillId="0" borderId="0" xfId="3" quotePrefix="1" applyNumberFormat="1" applyFont="1" applyAlignment="1">
      <alignment horizontal="center"/>
    </xf>
    <xf numFmtId="3" fontId="40" fillId="0" borderId="0" xfId="3" applyNumberFormat="1" applyFont="1"/>
    <xf numFmtId="2" fontId="18" fillId="0" borderId="0" xfId="3" applyNumberFormat="1" applyFont="1"/>
    <xf numFmtId="2" fontId="40" fillId="0" borderId="0" xfId="3" applyNumberFormat="1" applyFont="1" applyAlignment="1">
      <alignment horizontal="center"/>
    </xf>
    <xf numFmtId="4" fontId="40" fillId="0" borderId="0" xfId="3" applyNumberFormat="1" applyFont="1"/>
    <xf numFmtId="40" fontId="40" fillId="0" borderId="0" xfId="3" applyNumberFormat="1" applyFont="1"/>
    <xf numFmtId="39" fontId="49" fillId="0" borderId="0" xfId="3" applyNumberFormat="1" applyFont="1"/>
    <xf numFmtId="37" fontId="45" fillId="0" borderId="0" xfId="17" applyNumberFormat="1" applyFont="1"/>
    <xf numFmtId="0" fontId="72" fillId="0" borderId="0" xfId="17" applyFont="1"/>
    <xf numFmtId="183" fontId="40" fillId="0" borderId="0" xfId="1" applyNumberFormat="1" applyFont="1" applyFill="1" applyAlignment="1">
      <alignment horizontal="right"/>
    </xf>
    <xf numFmtId="0" fontId="18" fillId="0" borderId="0" xfId="3" applyFont="1" applyAlignment="1">
      <alignment horizontal="right"/>
    </xf>
    <xf numFmtId="183" fontId="18" fillId="0" borderId="0" xfId="1" applyNumberFormat="1" applyFont="1" applyFill="1" applyAlignment="1">
      <alignment horizontal="right"/>
    </xf>
    <xf numFmtId="0" fontId="72" fillId="0" borderId="0" xfId="53" applyFont="1"/>
    <xf numFmtId="0" fontId="72" fillId="0" borderId="0" xfId="57" applyFont="1" applyAlignment="1">
      <alignment horizontal="center"/>
    </xf>
    <xf numFmtId="42" fontId="49" fillId="0" borderId="0" xfId="57" applyNumberFormat="1" applyFont="1" applyProtection="1">
      <protection locked="0"/>
    </xf>
    <xf numFmtId="10" fontId="22" fillId="0" borderId="0" xfId="0" applyNumberFormat="1" applyFont="1"/>
    <xf numFmtId="203" fontId="49" fillId="0" borderId="0" xfId="0" applyNumberFormat="1" applyFont="1"/>
    <xf numFmtId="5" fontId="18" fillId="0" borderId="0" xfId="57" applyNumberFormat="1" applyFont="1" applyAlignment="1">
      <alignment horizontal="right"/>
    </xf>
    <xf numFmtId="166" fontId="72" fillId="0" borderId="0" xfId="57" applyNumberFormat="1" applyFont="1" applyAlignment="1">
      <alignment horizontal="left"/>
    </xf>
    <xf numFmtId="178" fontId="72" fillId="0" borderId="0" xfId="57" applyNumberFormat="1" applyFont="1" applyAlignment="1">
      <alignment horizontal="left"/>
    </xf>
    <xf numFmtId="0" fontId="40" fillId="0" borderId="0" xfId="3" quotePrefix="1" applyFont="1" applyAlignment="1">
      <alignment horizontal="center"/>
    </xf>
    <xf numFmtId="43" fontId="40" fillId="0" borderId="0" xfId="1" applyFont="1" applyFill="1" applyAlignment="1">
      <alignment horizontal="right"/>
    </xf>
    <xf numFmtId="43" fontId="75" fillId="0" borderId="0" xfId="1" applyFont="1" applyFill="1" applyAlignment="1">
      <alignment horizontal="right"/>
    </xf>
    <xf numFmtId="189" fontId="40" fillId="0" borderId="0" xfId="3" applyNumberFormat="1" applyFont="1"/>
    <xf numFmtId="0" fontId="50" fillId="0" borderId="0" xfId="2" applyFont="1" applyAlignment="1">
      <alignment horizontal="center"/>
    </xf>
    <xf numFmtId="0" fontId="40" fillId="0" borderId="132" xfId="8" applyFont="1" applyBorder="1" applyAlignment="1" applyProtection="1">
      <alignment horizontal="centerContinuous"/>
      <protection locked="0"/>
    </xf>
    <xf numFmtId="0" fontId="40" fillId="0" borderId="133" xfId="8" applyFont="1" applyBorder="1" applyAlignment="1" applyProtection="1">
      <alignment horizontal="centerContinuous"/>
      <protection locked="0"/>
    </xf>
    <xf numFmtId="0" fontId="40" fillId="0" borderId="0" xfId="8" applyFont="1" applyAlignment="1" applyProtection="1">
      <alignment horizontal="centerContinuous"/>
      <protection locked="0"/>
    </xf>
    <xf numFmtId="0" fontId="33" fillId="0" borderId="0" xfId="8" applyFont="1" applyAlignment="1">
      <alignment horizontal="left"/>
    </xf>
    <xf numFmtId="0" fontId="79" fillId="0" borderId="132" xfId="8" applyFont="1" applyBorder="1" applyAlignment="1" applyProtection="1">
      <alignment horizontal="centerContinuous"/>
      <protection locked="0"/>
    </xf>
    <xf numFmtId="0" fontId="79" fillId="0" borderId="127" xfId="8" applyFont="1" applyBorder="1" applyProtection="1">
      <protection locked="0"/>
    </xf>
    <xf numFmtId="0" fontId="33" fillId="0" borderId="127" xfId="8" applyFont="1" applyBorder="1"/>
    <xf numFmtId="0" fontId="79" fillId="0" borderId="127" xfId="8" applyFont="1" applyBorder="1"/>
    <xf numFmtId="0" fontId="18" fillId="0" borderId="132" xfId="8" applyFont="1" applyBorder="1"/>
    <xf numFmtId="0" fontId="40" fillId="0" borderId="133" xfId="8" applyFont="1" applyBorder="1" applyProtection="1">
      <protection locked="0"/>
    </xf>
    <xf numFmtId="0" fontId="40" fillId="0" borderId="0" xfId="8" applyFont="1" applyProtection="1">
      <protection locked="0"/>
    </xf>
    <xf numFmtId="0" fontId="18" fillId="0" borderId="133" xfId="8" applyFont="1" applyBorder="1"/>
    <xf numFmtId="0" fontId="90" fillId="0" borderId="0" xfId="8" applyFont="1" applyProtection="1">
      <protection locked="0"/>
    </xf>
    <xf numFmtId="17" fontId="18" fillId="0" borderId="0" xfId="8" applyNumberFormat="1" applyFont="1"/>
    <xf numFmtId="180" fontId="40" fillId="0" borderId="27" xfId="61" applyNumberFormat="1" applyFont="1" applyBorder="1"/>
    <xf numFmtId="196" fontId="32" fillId="0" borderId="0" xfId="8" applyNumberFormat="1" applyFont="1"/>
    <xf numFmtId="180" fontId="40" fillId="0" borderId="122" xfId="61" applyNumberFormat="1" applyFont="1" applyBorder="1"/>
    <xf numFmtId="0" fontId="72" fillId="0" borderId="0" xfId="8" applyFont="1"/>
    <xf numFmtId="166" fontId="40" fillId="0" borderId="122" xfId="61" applyNumberFormat="1" applyFont="1" applyBorder="1"/>
    <xf numFmtId="167" fontId="18" fillId="0" borderId="0" xfId="8" applyNumberFormat="1" applyFont="1"/>
    <xf numFmtId="166" fontId="18" fillId="0" borderId="124" xfId="61" applyNumberFormat="1" applyFont="1" applyBorder="1"/>
    <xf numFmtId="166" fontId="40" fillId="0" borderId="0" xfId="61" applyNumberFormat="1" applyFont="1"/>
    <xf numFmtId="0" fontId="52" fillId="0" borderId="41" xfId="0" applyFont="1" applyBorder="1" applyAlignment="1">
      <alignment horizontal="center"/>
    </xf>
    <xf numFmtId="0" fontId="33" fillId="0" borderId="41" xfId="0" applyFont="1" applyBorder="1" applyAlignment="1">
      <alignment horizontal="center"/>
    </xf>
    <xf numFmtId="195" fontId="52" fillId="0" borderId="41" xfId="0" quotePrefix="1" applyNumberFormat="1" applyFont="1" applyBorder="1" applyAlignment="1">
      <alignment horizontal="center"/>
    </xf>
    <xf numFmtId="0" fontId="18" fillId="0" borderId="43" xfId="0" applyFont="1" applyBorder="1" applyAlignment="1">
      <alignment horizontal="center"/>
    </xf>
    <xf numFmtId="0" fontId="109" fillId="0" borderId="0" xfId="0" applyFont="1"/>
    <xf numFmtId="5" fontId="0" fillId="0" borderId="0" xfId="0" applyNumberFormat="1"/>
    <xf numFmtId="5" fontId="0" fillId="0" borderId="120" xfId="12" applyNumberFormat="1" applyFont="1" applyBorder="1"/>
    <xf numFmtId="5" fontId="38" fillId="0" borderId="0" xfId="12" applyNumberFormat="1" applyFont="1"/>
    <xf numFmtId="5" fontId="0" fillId="0" borderId="126" xfId="12" applyNumberFormat="1" applyFont="1" applyBorder="1"/>
    <xf numFmtId="0" fontId="0" fillId="0" borderId="0" xfId="12" applyFont="1"/>
    <xf numFmtId="0" fontId="0" fillId="0" borderId="0" xfId="12" applyFont="1" applyAlignment="1">
      <alignment horizontal="right"/>
    </xf>
    <xf numFmtId="10" fontId="24" fillId="0" borderId="0" xfId="58" applyNumberFormat="1" applyFont="1"/>
    <xf numFmtId="10" fontId="49" fillId="0" borderId="0" xfId="58" applyNumberFormat="1" applyFont="1"/>
    <xf numFmtId="183" fontId="43" fillId="0" borderId="0" xfId="1" applyNumberFormat="1" applyFont="1" applyFill="1"/>
    <xf numFmtId="183" fontId="49" fillId="0" borderId="0" xfId="11604" applyNumberFormat="1" applyFont="1" applyFill="1" applyProtection="1"/>
    <xf numFmtId="183" fontId="49" fillId="0" borderId="0" xfId="11604" applyNumberFormat="1" applyFont="1" applyFill="1"/>
    <xf numFmtId="0" fontId="38" fillId="0" borderId="0" xfId="58" applyFont="1" applyAlignment="1">
      <alignment horizontal="left"/>
    </xf>
    <xf numFmtId="3" fontId="40" fillId="0" borderId="0" xfId="0" applyNumberFormat="1" applyFont="1"/>
    <xf numFmtId="39" fontId="49" fillId="0" borderId="0" xfId="0" applyNumberFormat="1" applyFont="1"/>
    <xf numFmtId="37" fontId="49" fillId="0" borderId="0" xfId="0" applyNumberFormat="1" applyFont="1" applyAlignment="1">
      <alignment vertical="center"/>
    </xf>
    <xf numFmtId="0" fontId="49" fillId="0" borderId="0" xfId="58" applyFont="1"/>
    <xf numFmtId="39" fontId="18" fillId="0" borderId="0" xfId="58" applyNumberFormat="1" applyFont="1" applyAlignment="1">
      <alignment horizontal="left"/>
    </xf>
    <xf numFmtId="3" fontId="40" fillId="0" borderId="0" xfId="0" applyNumberFormat="1" applyFont="1" applyAlignment="1">
      <alignment horizontal="right"/>
    </xf>
    <xf numFmtId="0" fontId="29" fillId="0" borderId="0" xfId="58" applyFont="1" applyAlignment="1">
      <alignment horizontal="left"/>
    </xf>
    <xf numFmtId="0" fontId="191" fillId="0" borderId="0" xfId="58" applyFont="1" applyAlignment="1">
      <alignment horizontal="centerContinuous"/>
    </xf>
    <xf numFmtId="0" fontId="18" fillId="0" borderId="0" xfId="1487" applyFont="1" applyAlignment="1">
      <alignment horizontal="left"/>
    </xf>
    <xf numFmtId="0" fontId="19" fillId="0" borderId="0" xfId="1487" applyAlignment="1">
      <alignment horizontal="center"/>
    </xf>
    <xf numFmtId="1" fontId="43" fillId="0" borderId="129" xfId="58" applyNumberFormat="1" applyFont="1" applyBorder="1"/>
    <xf numFmtId="1" fontId="18" fillId="0" borderId="0" xfId="58" quotePrefix="1" applyNumberFormat="1" applyFont="1"/>
    <xf numFmtId="3" fontId="18" fillId="0" borderId="0" xfId="58" applyNumberFormat="1" applyFont="1"/>
    <xf numFmtId="3" fontId="22" fillId="0" borderId="0" xfId="58" applyNumberFormat="1" applyFont="1"/>
    <xf numFmtId="1" fontId="22" fillId="0" borderId="0" xfId="58" quotePrefix="1" applyNumberFormat="1" applyFont="1"/>
    <xf numFmtId="37" fontId="49" fillId="0" borderId="0" xfId="59" applyNumberFormat="1" applyFont="1" applyAlignment="1">
      <alignment horizontal="right"/>
    </xf>
    <xf numFmtId="37" fontId="40" fillId="0" borderId="0" xfId="59" applyNumberFormat="1" applyFont="1"/>
    <xf numFmtId="0" fontId="18" fillId="0" borderId="0" xfId="59" quotePrefix="1" applyFont="1" applyAlignment="1">
      <alignment horizontal="left" vertical="center" wrapText="1"/>
    </xf>
    <xf numFmtId="10" fontId="49" fillId="0" borderId="0" xfId="59" applyNumberFormat="1" applyFont="1" applyAlignment="1">
      <alignment vertical="center" wrapText="1"/>
    </xf>
    <xf numFmtId="37" fontId="40" fillId="0" borderId="0" xfId="59" applyNumberFormat="1" applyFont="1" applyAlignment="1">
      <alignment horizontal="right" vertical="center" wrapText="1"/>
    </xf>
    <xf numFmtId="37" fontId="40" fillId="0" borderId="0" xfId="59" applyNumberFormat="1" applyFont="1" applyAlignment="1">
      <alignment horizontal="right"/>
    </xf>
    <xf numFmtId="37" fontId="40" fillId="0" borderId="0" xfId="59" applyNumberFormat="1" applyFont="1" applyAlignment="1">
      <alignment horizontal="left"/>
    </xf>
    <xf numFmtId="0" fontId="18" fillId="0" borderId="120" xfId="59" applyFont="1" applyBorder="1" applyAlignment="1">
      <alignment horizontal="left"/>
    </xf>
    <xf numFmtId="37" fontId="49" fillId="0" borderId="0" xfId="59" applyNumberFormat="1" applyFont="1" applyAlignment="1">
      <alignment horizontal="left"/>
    </xf>
    <xf numFmtId="10" fontId="71" fillId="0" borderId="0" xfId="59" applyNumberFormat="1" applyFont="1"/>
    <xf numFmtId="9" fontId="0" fillId="0" borderId="0" xfId="12257" applyFont="1" applyFill="1"/>
    <xf numFmtId="183" fontId="0" fillId="0" borderId="0" xfId="11604" applyNumberFormat="1" applyFont="1" applyFill="1"/>
    <xf numFmtId="10" fontId="49" fillId="0" borderId="0" xfId="0" applyNumberFormat="1" applyFont="1" applyAlignment="1">
      <alignment horizontal="center"/>
    </xf>
    <xf numFmtId="10" fontId="18" fillId="0" borderId="0" xfId="0" applyNumberFormat="1" applyFont="1"/>
    <xf numFmtId="10" fontId="49" fillId="0" borderId="0" xfId="67" applyNumberFormat="1" applyFont="1"/>
    <xf numFmtId="0" fontId="49" fillId="0" borderId="0" xfId="67" applyFont="1" applyAlignment="1">
      <alignment horizontal="center"/>
    </xf>
    <xf numFmtId="37" fontId="0" fillId="0" borderId="0" xfId="59" applyNumberFormat="1" applyFont="1"/>
    <xf numFmtId="10" fontId="49" fillId="0" borderId="0" xfId="67" applyNumberFormat="1" applyFont="1" applyAlignment="1">
      <alignment horizontal="center"/>
    </xf>
    <xf numFmtId="10" fontId="40" fillId="0" borderId="0" xfId="0" applyNumberFormat="1" applyFont="1" applyAlignment="1">
      <alignment horizontal="center"/>
    </xf>
    <xf numFmtId="0" fontId="40" fillId="0" borderId="0" xfId="0" applyFont="1" applyAlignment="1">
      <alignment horizontal="center"/>
    </xf>
    <xf numFmtId="10" fontId="40" fillId="0" borderId="0" xfId="0" applyNumberFormat="1" applyFont="1"/>
    <xf numFmtId="10" fontId="40" fillId="0" borderId="0" xfId="0" quotePrefix="1" applyNumberFormat="1" applyFont="1" applyAlignment="1">
      <alignment horizontal="center"/>
    </xf>
    <xf numFmtId="10" fontId="40" fillId="0" borderId="0" xfId="0" applyNumberFormat="1" applyFont="1" applyAlignment="1">
      <alignment horizontal="right"/>
    </xf>
    <xf numFmtId="0" fontId="40" fillId="0" borderId="0" xfId="0" applyFont="1" applyAlignment="1">
      <alignment horizontal="right"/>
    </xf>
    <xf numFmtId="10" fontId="18" fillId="0" borderId="0" xfId="0" applyNumberFormat="1" applyFont="1" applyAlignment="1">
      <alignment horizontal="center"/>
    </xf>
    <xf numFmtId="37" fontId="49" fillId="0" borderId="0" xfId="67" applyNumberFormat="1" applyFont="1"/>
    <xf numFmtId="10" fontId="40" fillId="0" borderId="0" xfId="59" applyNumberFormat="1" applyFont="1" applyAlignment="1">
      <alignment horizontal="center"/>
    </xf>
    <xf numFmtId="0" fontId="49" fillId="0" borderId="0" xfId="59" applyFont="1" applyAlignment="1">
      <alignment horizontal="center"/>
    </xf>
    <xf numFmtId="49" fontId="0" fillId="0" borderId="0" xfId="59" quotePrefix="1" applyNumberFormat="1" applyFont="1"/>
    <xf numFmtId="49" fontId="18" fillId="0" borderId="0" xfId="59" quotePrefix="1" applyNumberFormat="1" applyFont="1"/>
    <xf numFmtId="10" fontId="49" fillId="0" borderId="0" xfId="0" quotePrefix="1" applyNumberFormat="1" applyFont="1" applyAlignment="1">
      <alignment horizontal="center"/>
    </xf>
    <xf numFmtId="0" fontId="49" fillId="0" borderId="0" xfId="0" quotePrefix="1" applyFont="1" applyAlignment="1">
      <alignment horizontal="center"/>
    </xf>
    <xf numFmtId="0" fontId="0" fillId="0" borderId="0" xfId="59" quotePrefix="1" applyFont="1" applyAlignment="1">
      <alignment horizontal="center"/>
    </xf>
    <xf numFmtId="9" fontId="18" fillId="0" borderId="120" xfId="59" applyNumberFormat="1" applyFont="1" applyBorder="1"/>
    <xf numFmtId="176" fontId="18" fillId="0" borderId="120" xfId="60" applyNumberFormat="1" applyFont="1" applyBorder="1"/>
    <xf numFmtId="37" fontId="49" fillId="0" borderId="0" xfId="60" applyNumberFormat="1" applyFont="1"/>
    <xf numFmtId="0" fontId="46" fillId="0" borderId="0" xfId="7" applyFont="1" applyAlignment="1">
      <alignment horizontal="center"/>
    </xf>
    <xf numFmtId="37" fontId="40" fillId="0" borderId="0" xfId="7" applyNumberFormat="1" applyFont="1" applyAlignment="1" applyProtection="1">
      <alignment horizontal="centerContinuous"/>
      <protection locked="0"/>
    </xf>
    <xf numFmtId="37" fontId="33" fillId="0" borderId="0" xfId="7" applyNumberFormat="1" applyFont="1"/>
    <xf numFmtId="0" fontId="33" fillId="0" borderId="0" xfId="7" applyFont="1"/>
    <xf numFmtId="0" fontId="32" fillId="0" borderId="0" xfId="62" applyFont="1" applyAlignment="1">
      <alignment horizontal="center"/>
    </xf>
    <xf numFmtId="39" fontId="72" fillId="0" borderId="0" xfId="62" applyNumberFormat="1" applyFont="1"/>
    <xf numFmtId="183" fontId="49" fillId="0" borderId="0" xfId="1" applyNumberFormat="1" applyFont="1" applyFill="1"/>
    <xf numFmtId="0" fontId="72" fillId="0" borderId="0" xfId="18" applyFont="1"/>
    <xf numFmtId="42" fontId="18" fillId="0" borderId="0" xfId="5" applyNumberFormat="1" applyFont="1"/>
    <xf numFmtId="37" fontId="38" fillId="0" borderId="0" xfId="5" applyNumberFormat="1" applyFont="1"/>
    <xf numFmtId="194" fontId="49" fillId="0" borderId="0" xfId="21" applyNumberFormat="1" applyFont="1"/>
    <xf numFmtId="42" fontId="49" fillId="0" borderId="0" xfId="0" applyNumberFormat="1" applyFont="1"/>
    <xf numFmtId="42" fontId="92" fillId="0" borderId="0" xfId="0" applyNumberFormat="1" applyFont="1"/>
    <xf numFmtId="42" fontId="78" fillId="0" borderId="0" xfId="0" applyNumberFormat="1" applyFont="1"/>
    <xf numFmtId="41" fontId="92" fillId="0" borderId="0" xfId="0" applyNumberFormat="1" applyFont="1"/>
    <xf numFmtId="38" fontId="49" fillId="0" borderId="0" xfId="0" applyNumberFormat="1" applyFont="1"/>
    <xf numFmtId="6" fontId="18" fillId="0" borderId="12" xfId="5" applyNumberFormat="1" applyFont="1" applyBorder="1"/>
    <xf numFmtId="0" fontId="18" fillId="0" borderId="0" xfId="24" quotePrefix="1" applyFont="1" applyAlignment="1">
      <alignment horizontal="center"/>
    </xf>
    <xf numFmtId="173" fontId="18" fillId="0" borderId="0" xfId="5" applyNumberFormat="1" applyFont="1" applyAlignment="1">
      <alignment horizontal="center"/>
    </xf>
    <xf numFmtId="42" fontId="18" fillId="0" borderId="132" xfId="5" applyNumberFormat="1" applyFont="1" applyBorder="1" applyAlignment="1">
      <alignment horizontal="right"/>
    </xf>
    <xf numFmtId="37" fontId="38" fillId="0" borderId="0" xfId="0" applyNumberFormat="1" applyFont="1" applyAlignment="1">
      <alignment horizontal="center"/>
    </xf>
    <xf numFmtId="42" fontId="18" fillId="0" borderId="0" xfId="0" applyNumberFormat="1" applyFont="1" applyAlignment="1">
      <alignment horizontal="right"/>
    </xf>
    <xf numFmtId="42" fontId="18" fillId="0" borderId="0" xfId="5" applyNumberFormat="1" applyFont="1" applyAlignment="1">
      <alignment horizontal="center"/>
    </xf>
    <xf numFmtId="37" fontId="49" fillId="0" borderId="120" xfId="5" applyNumberFormat="1" applyFont="1" applyBorder="1"/>
    <xf numFmtId="42" fontId="18" fillId="0" borderId="126" xfId="5" applyNumberFormat="1" applyFont="1" applyBorder="1" applyAlignment="1">
      <alignment horizontal="center"/>
    </xf>
    <xf numFmtId="42" fontId="18" fillId="0" borderId="0" xfId="0" applyNumberFormat="1" applyFont="1"/>
    <xf numFmtId="0" fontId="38" fillId="0" borderId="0" xfId="23" applyFont="1" applyAlignment="1">
      <alignment horizontal="center"/>
    </xf>
    <xf numFmtId="0" fontId="40" fillId="0" borderId="0" xfId="24" applyFont="1" applyAlignment="1">
      <alignment horizontal="center"/>
    </xf>
    <xf numFmtId="179" fontId="40" fillId="0" borderId="0" xfId="24" applyNumberFormat="1" applyFont="1"/>
    <xf numFmtId="179" fontId="18" fillId="0" borderId="0" xfId="23" applyNumberFormat="1" applyFont="1"/>
    <xf numFmtId="173" fontId="18" fillId="0" borderId="0" xfId="24" applyNumberFormat="1" applyFont="1"/>
    <xf numFmtId="0" fontId="0" fillId="0" borderId="0" xfId="39" applyFont="1" applyAlignment="1">
      <alignment horizontal="left"/>
    </xf>
    <xf numFmtId="37" fontId="18" fillId="0" borderId="0" xfId="39" applyNumberFormat="1" applyFont="1" applyProtection="1">
      <protection locked="0"/>
    </xf>
    <xf numFmtId="37" fontId="40" fillId="0" borderId="0" xfId="39" applyNumberFormat="1" applyFont="1" applyProtection="1">
      <protection locked="0"/>
    </xf>
    <xf numFmtId="37" fontId="40" fillId="0" borderId="120" xfId="39" applyNumberFormat="1" applyFont="1" applyBorder="1" applyProtection="1">
      <protection locked="0"/>
    </xf>
    <xf numFmtId="0" fontId="50" fillId="0" borderId="0" xfId="38" applyFont="1" applyAlignment="1">
      <alignment horizontal="left"/>
    </xf>
    <xf numFmtId="180" fontId="18" fillId="0" borderId="0" xfId="39" applyNumberFormat="1" applyFont="1"/>
    <xf numFmtId="0" fontId="18" fillId="0" borderId="0" xfId="39" quotePrefix="1" applyFont="1" applyAlignment="1">
      <alignment horizontal="left"/>
    </xf>
    <xf numFmtId="37" fontId="0" fillId="0" borderId="120" xfId="39" applyNumberFormat="1" applyFont="1" applyBorder="1"/>
    <xf numFmtId="37" fontId="40" fillId="0" borderId="120" xfId="39" applyNumberFormat="1" applyFont="1" applyBorder="1"/>
    <xf numFmtId="43" fontId="18" fillId="0" borderId="120" xfId="39" applyNumberFormat="1" applyFont="1" applyBorder="1" applyAlignment="1">
      <alignment horizontal="centerContinuous"/>
    </xf>
    <xf numFmtId="43" fontId="18" fillId="0" borderId="0" xfId="39" applyNumberFormat="1" applyFont="1" applyAlignment="1">
      <alignment horizontal="center"/>
    </xf>
    <xf numFmtId="43" fontId="18" fillId="0" borderId="0" xfId="39" quotePrefix="1" applyNumberFormat="1" applyFont="1" applyAlignment="1">
      <alignment horizontal="center"/>
    </xf>
    <xf numFmtId="41" fontId="18" fillId="0" borderId="0" xfId="39" quotePrefix="1" applyNumberFormat="1" applyFont="1" applyAlignment="1">
      <alignment horizontal="center"/>
    </xf>
    <xf numFmtId="37" fontId="18" fillId="0" borderId="0" xfId="39" quotePrefix="1" applyNumberFormat="1" applyFont="1" applyAlignment="1">
      <alignment horizontal="center"/>
    </xf>
    <xf numFmtId="43" fontId="38" fillId="0" borderId="0" xfId="39" quotePrefix="1" applyNumberFormat="1" applyFont="1" applyAlignment="1">
      <alignment horizontal="center"/>
    </xf>
    <xf numFmtId="43" fontId="38" fillId="0" borderId="0" xfId="39" applyNumberFormat="1" applyFont="1" applyAlignment="1">
      <alignment horizontal="center"/>
    </xf>
    <xf numFmtId="37" fontId="38" fillId="0" borderId="0" xfId="39" applyNumberFormat="1" applyFont="1" applyAlignment="1">
      <alignment horizontal="center"/>
    </xf>
    <xf numFmtId="10" fontId="49" fillId="0" borderId="0" xfId="39" applyNumberFormat="1" applyFont="1"/>
    <xf numFmtId="180" fontId="49" fillId="0" borderId="120" xfId="39" applyNumberFormat="1" applyFont="1" applyBorder="1"/>
    <xf numFmtId="183" fontId="18" fillId="0" borderId="126" xfId="39" applyNumberFormat="1" applyFont="1" applyBorder="1"/>
    <xf numFmtId="0" fontId="18" fillId="0" borderId="0" xfId="50" applyFont="1" applyAlignment="1" applyProtection="1">
      <alignment horizontal="centerContinuous"/>
      <protection locked="0"/>
    </xf>
    <xf numFmtId="37" fontId="18" fillId="0" borderId="120" xfId="40" applyNumberFormat="1" applyFont="1" applyBorder="1"/>
    <xf numFmtId="37" fontId="40" fillId="0" borderId="120" xfId="43" applyNumberFormat="1" applyFont="1" applyBorder="1"/>
    <xf numFmtId="0" fontId="190" fillId="0" borderId="0" xfId="43983" applyFont="1" applyFill="1" applyBorder="1" applyAlignment="1" applyProtection="1">
      <alignment horizontal="centerContinuous"/>
    </xf>
    <xf numFmtId="0" fontId="18" fillId="0" borderId="0" xfId="62" applyFont="1" applyAlignment="1">
      <alignment horizontal="right"/>
    </xf>
    <xf numFmtId="0" fontId="18" fillId="0" borderId="0" xfId="62" applyFont="1" applyAlignment="1">
      <alignment horizontal="fill"/>
    </xf>
    <xf numFmtId="0" fontId="41" fillId="0" borderId="0" xfId="62" applyFont="1"/>
    <xf numFmtId="0" fontId="40" fillId="0" borderId="0" xfId="62" applyFont="1"/>
    <xf numFmtId="37" fontId="40" fillId="0" borderId="0" xfId="62" applyNumberFormat="1" applyFont="1" applyAlignment="1">
      <alignment horizontal="center"/>
    </xf>
    <xf numFmtId="0" fontId="72" fillId="0" borderId="0" xfId="34" applyFont="1" applyAlignment="1">
      <alignment horizontal="center"/>
    </xf>
    <xf numFmtId="37" fontId="18" fillId="0" borderId="0" xfId="34" applyNumberFormat="1" applyFont="1" applyProtection="1">
      <protection locked="0"/>
    </xf>
    <xf numFmtId="37" fontId="85" fillId="0" borderId="0" xfId="34" applyNumberFormat="1" applyFont="1" applyProtection="1">
      <protection locked="0"/>
    </xf>
    <xf numFmtId="41" fontId="18" fillId="0" borderId="0" xfId="34" applyNumberFormat="1" applyFont="1"/>
    <xf numFmtId="0" fontId="18" fillId="0" borderId="0" xfId="38" applyFont="1" applyAlignment="1">
      <alignment horizontal="right"/>
    </xf>
    <xf numFmtId="10" fontId="18" fillId="0" borderId="0" xfId="38" applyNumberFormat="1" applyFont="1"/>
    <xf numFmtId="10" fontId="0" fillId="0" borderId="0" xfId="38" applyNumberFormat="1" applyFont="1"/>
    <xf numFmtId="10" fontId="18" fillId="0" borderId="0" xfId="63" applyNumberFormat="1" applyFont="1" applyBorder="1"/>
    <xf numFmtId="37" fontId="85" fillId="0" borderId="0" xfId="19" applyNumberFormat="1" applyFont="1"/>
    <xf numFmtId="0" fontId="50" fillId="0" borderId="0" xfId="7" applyFont="1"/>
    <xf numFmtId="0" fontId="18" fillId="0" borderId="0" xfId="7" applyFont="1" applyAlignment="1" applyProtection="1">
      <alignment horizontal="left"/>
      <protection locked="0"/>
    </xf>
    <xf numFmtId="175" fontId="18" fillId="0" borderId="0" xfId="7" applyNumberFormat="1" applyFont="1"/>
    <xf numFmtId="10" fontId="74" fillId="0" borderId="0" xfId="7" applyNumberFormat="1" applyFont="1"/>
    <xf numFmtId="41" fontId="191" fillId="0" borderId="0" xfId="10" applyNumberFormat="1" applyFont="1" applyProtection="1">
      <protection locked="0"/>
    </xf>
    <xf numFmtId="41" fontId="191" fillId="0" borderId="120" xfId="10" applyNumberFormat="1" applyFont="1" applyBorder="1" applyProtection="1">
      <protection locked="0"/>
    </xf>
    <xf numFmtId="41" fontId="191" fillId="0" borderId="0" xfId="10" applyNumberFormat="1" applyFont="1" applyAlignment="1" applyProtection="1">
      <alignment horizontal="center"/>
      <protection locked="0"/>
    </xf>
    <xf numFmtId="41" fontId="191" fillId="0" borderId="0" xfId="10" applyNumberFormat="1" applyFont="1"/>
    <xf numFmtId="41" fontId="191" fillId="0" borderId="11" xfId="10" applyNumberFormat="1" applyFont="1" applyBorder="1" applyProtection="1">
      <protection locked="0"/>
    </xf>
    <xf numFmtId="200" fontId="18" fillId="0" borderId="0" xfId="7" applyNumberFormat="1" applyFont="1"/>
    <xf numFmtId="0" fontId="50" fillId="0" borderId="0" xfId="2" applyFont="1" applyAlignment="1">
      <alignment horizontal="center"/>
    </xf>
    <xf numFmtId="0" fontId="18" fillId="0" borderId="120" xfId="59" applyFont="1" applyBorder="1" applyAlignment="1">
      <alignment horizontal="center"/>
    </xf>
    <xf numFmtId="0" fontId="18" fillId="0" borderId="0" xfId="15" applyFont="1" applyAlignment="1">
      <alignment horizontal="center"/>
    </xf>
    <xf numFmtId="0" fontId="18" fillId="0" borderId="120" xfId="15" applyFont="1" applyBorder="1" applyAlignment="1">
      <alignment horizontal="center"/>
    </xf>
    <xf numFmtId="0" fontId="0" fillId="0" borderId="0" xfId="26" applyFont="1" applyAlignment="1">
      <alignment horizontal="left"/>
    </xf>
    <xf numFmtId="0" fontId="18" fillId="0" borderId="0" xfId="30" applyFont="1" applyAlignment="1">
      <alignment horizontal="left"/>
    </xf>
    <xf numFmtId="0" fontId="0" fillId="0" borderId="0" xfId="30" applyFont="1" applyAlignment="1">
      <alignment horizontal="left"/>
    </xf>
    <xf numFmtId="37" fontId="18" fillId="0" borderId="132" xfId="41" applyNumberFormat="1" applyFont="1" applyBorder="1" applyAlignment="1">
      <alignment horizontal="center"/>
    </xf>
    <xf numFmtId="37" fontId="18" fillId="0" borderId="120" xfId="41" applyNumberFormat="1" applyFont="1" applyBorder="1" applyAlignment="1">
      <alignment horizontal="center"/>
    </xf>
    <xf numFmtId="37" fontId="18" fillId="0" borderId="120" xfId="42" applyNumberFormat="1" applyFont="1" applyBorder="1" applyAlignment="1">
      <alignment horizontal="center"/>
    </xf>
    <xf numFmtId="37" fontId="18" fillId="0" borderId="132" xfId="43" applyNumberFormat="1" applyFont="1" applyBorder="1" applyAlignment="1">
      <alignment horizontal="center"/>
    </xf>
    <xf numFmtId="0" fontId="18" fillId="0" borderId="0" xfId="44" applyFont="1" applyAlignment="1">
      <alignment horizontal="left"/>
    </xf>
    <xf numFmtId="165" fontId="18" fillId="0" borderId="132" xfId="47" applyNumberFormat="1" applyFont="1" applyBorder="1" applyAlignment="1">
      <alignment horizontal="center"/>
    </xf>
    <xf numFmtId="0" fontId="18" fillId="0" borderId="0" xfId="49" applyFont="1" applyAlignment="1">
      <alignment horizontal="center"/>
    </xf>
    <xf numFmtId="181" fontId="18" fillId="0" borderId="0" xfId="10" applyFont="1" applyAlignment="1">
      <alignment horizontal="center"/>
    </xf>
    <xf numFmtId="181" fontId="18" fillId="0" borderId="120" xfId="10" applyFont="1" applyBorder="1" applyAlignment="1">
      <alignment horizontal="center"/>
    </xf>
    <xf numFmtId="181" fontId="33" fillId="0" borderId="0" xfId="10" applyFont="1" applyAlignment="1">
      <alignment horizontal="center"/>
    </xf>
    <xf numFmtId="0" fontId="0" fillId="0" borderId="0" xfId="7" applyFont="1" applyAlignment="1">
      <alignment horizontal="left" wrapText="1"/>
    </xf>
  </cellXfs>
  <cellStyles count="43990">
    <cellStyle name="_ColumnHeaderUL" xfId="17698" xr:uid="{00000000-0005-0000-0000-000000000000}"/>
    <cellStyle name="_EditableNumber" xfId="17699" xr:uid="{00000000-0005-0000-0000-000001000000}"/>
    <cellStyle name="_EditableRowText" xfId="17700" xr:uid="{00000000-0005-0000-0000-000002000000}"/>
    <cellStyle name="_GrandTotal" xfId="17701" xr:uid="{00000000-0005-0000-0000-000003000000}"/>
    <cellStyle name="_Number" xfId="17702" xr:uid="{00000000-0005-0000-0000-000004000000}"/>
    <cellStyle name="_RowText" xfId="17703" xr:uid="{00000000-0005-0000-0000-000005000000}"/>
    <cellStyle name="_Subtitle" xfId="17704" xr:uid="{00000000-0005-0000-0000-000006000000}"/>
    <cellStyle name="_Title" xfId="17705" xr:uid="{00000000-0005-0000-0000-000007000000}"/>
    <cellStyle name="0 Decimals" xfId="17706" xr:uid="{00000000-0005-0000-0000-000008000000}"/>
    <cellStyle name="1 Decimal" xfId="17707" xr:uid="{00000000-0005-0000-0000-000009000000}"/>
    <cellStyle name="2 Decimals" xfId="17708" xr:uid="{00000000-0005-0000-0000-00000A000000}"/>
    <cellStyle name="20% - Accent1" xfId="9263" builtinId="30" customBuiltin="1"/>
    <cellStyle name="20% - Accent1 10" xfId="17709" xr:uid="{00000000-0005-0000-0000-00000C000000}"/>
    <cellStyle name="20% - Accent1 11" xfId="17710" xr:uid="{00000000-0005-0000-0000-00000D000000}"/>
    <cellStyle name="20% - Accent1 12" xfId="17711" xr:uid="{00000000-0005-0000-0000-00000E000000}"/>
    <cellStyle name="20% - Accent1 13" xfId="17712" xr:uid="{00000000-0005-0000-0000-00000F000000}"/>
    <cellStyle name="20% - Accent1 2" xfId="71" xr:uid="{00000000-0005-0000-0000-000010000000}"/>
    <cellStyle name="20% - Accent1 2 2" xfId="11394" xr:uid="{00000000-0005-0000-0000-000011000000}"/>
    <cellStyle name="20% - Accent1 2 2 2" xfId="11395" xr:uid="{00000000-0005-0000-0000-000012000000}"/>
    <cellStyle name="20% - Accent1 2 3" xfId="11396" xr:uid="{00000000-0005-0000-0000-000013000000}"/>
    <cellStyle name="20% - Accent1 2 4" xfId="11397" xr:uid="{00000000-0005-0000-0000-000014000000}"/>
    <cellStyle name="20% - Accent1 2 5" xfId="17713" xr:uid="{00000000-0005-0000-0000-000015000000}"/>
    <cellStyle name="20% - Accent1 3" xfId="9288" xr:uid="{00000000-0005-0000-0000-000016000000}"/>
    <cellStyle name="20% - Accent1 3 2" xfId="10345" xr:uid="{00000000-0005-0000-0000-000017000000}"/>
    <cellStyle name="20% - Accent1 3 2 2" xfId="11400" xr:uid="{00000000-0005-0000-0000-000018000000}"/>
    <cellStyle name="20% - Accent1 3 2 3" xfId="11399" xr:uid="{00000000-0005-0000-0000-000019000000}"/>
    <cellStyle name="20% - Accent1 3 2 4" xfId="13939" xr:uid="{00000000-0005-0000-0000-00001A000000}"/>
    <cellStyle name="20% - Accent1 3 2 5" xfId="15055" xr:uid="{00000000-0005-0000-0000-00001B000000}"/>
    <cellStyle name="20% - Accent1 3 3" xfId="11401" xr:uid="{00000000-0005-0000-0000-00001C000000}"/>
    <cellStyle name="20% - Accent1 3 4" xfId="11402" xr:uid="{00000000-0005-0000-0000-00001D000000}"/>
    <cellStyle name="20% - Accent1 3 5" xfId="11398" xr:uid="{00000000-0005-0000-0000-00001E000000}"/>
    <cellStyle name="20% - Accent1 3 6" xfId="12886" xr:uid="{00000000-0005-0000-0000-00001F000000}"/>
    <cellStyle name="20% - Accent1 3 6 2" xfId="17714" xr:uid="{00000000-0005-0000-0000-000020000000}"/>
    <cellStyle name="20% - Accent1 3 7" xfId="15054" xr:uid="{00000000-0005-0000-0000-000021000000}"/>
    <cellStyle name="20% - Accent1 4" xfId="10331" xr:uid="{00000000-0005-0000-0000-000022000000}"/>
    <cellStyle name="20% - Accent1 4 2" xfId="11404" xr:uid="{00000000-0005-0000-0000-000023000000}"/>
    <cellStyle name="20% - Accent1 4 2 2" xfId="17716" xr:uid="{00000000-0005-0000-0000-000024000000}"/>
    <cellStyle name="20% - Accent1 4 3" xfId="11405" xr:uid="{00000000-0005-0000-0000-000025000000}"/>
    <cellStyle name="20% - Accent1 4 4" xfId="11403" xr:uid="{00000000-0005-0000-0000-000026000000}"/>
    <cellStyle name="20% - Accent1 4 5" xfId="13925" xr:uid="{00000000-0005-0000-0000-000027000000}"/>
    <cellStyle name="20% - Accent1 4 5 2" xfId="17715" xr:uid="{00000000-0005-0000-0000-000028000000}"/>
    <cellStyle name="20% - Accent1 4 6" xfId="15056" xr:uid="{00000000-0005-0000-0000-000029000000}"/>
    <cellStyle name="20% - Accent1 5" xfId="11406" xr:uid="{00000000-0005-0000-0000-00002A000000}"/>
    <cellStyle name="20% - Accent1 5 2" xfId="17718" xr:uid="{00000000-0005-0000-0000-00002B000000}"/>
    <cellStyle name="20% - Accent1 5 3" xfId="17717" xr:uid="{00000000-0005-0000-0000-00002C000000}"/>
    <cellStyle name="20% - Accent1 6" xfId="11407" xr:uid="{00000000-0005-0000-0000-00002D000000}"/>
    <cellStyle name="20% - Accent1 6 2" xfId="17719" xr:uid="{00000000-0005-0000-0000-00002E000000}"/>
    <cellStyle name="20% - Accent1 7" xfId="11408" xr:uid="{00000000-0005-0000-0000-00002F000000}"/>
    <cellStyle name="20% - Accent1 7 2" xfId="17720" xr:uid="{00000000-0005-0000-0000-000030000000}"/>
    <cellStyle name="20% - Accent1 8" xfId="11409" xr:uid="{00000000-0005-0000-0000-000031000000}"/>
    <cellStyle name="20% - Accent1 8 2" xfId="17721" xr:uid="{00000000-0005-0000-0000-000032000000}"/>
    <cellStyle name="20% - Accent1 9" xfId="12872" xr:uid="{00000000-0005-0000-0000-000033000000}"/>
    <cellStyle name="20% - Accent1 9 2" xfId="17722" xr:uid="{00000000-0005-0000-0000-000034000000}"/>
    <cellStyle name="20% - Accent2" xfId="9267" builtinId="34" customBuiltin="1"/>
    <cellStyle name="20% - Accent2 10" xfId="17723" xr:uid="{00000000-0005-0000-0000-000036000000}"/>
    <cellStyle name="20% - Accent2 11" xfId="17724" xr:uid="{00000000-0005-0000-0000-000037000000}"/>
    <cellStyle name="20% - Accent2 12" xfId="17725" xr:uid="{00000000-0005-0000-0000-000038000000}"/>
    <cellStyle name="20% - Accent2 13" xfId="17726" xr:uid="{00000000-0005-0000-0000-000039000000}"/>
    <cellStyle name="20% - Accent2 2" xfId="72" xr:uid="{00000000-0005-0000-0000-00003A000000}"/>
    <cellStyle name="20% - Accent2 2 2" xfId="11410" xr:uid="{00000000-0005-0000-0000-00003B000000}"/>
    <cellStyle name="20% - Accent2 2 2 2" xfId="11411" xr:uid="{00000000-0005-0000-0000-00003C000000}"/>
    <cellStyle name="20% - Accent2 2 3" xfId="11412" xr:uid="{00000000-0005-0000-0000-00003D000000}"/>
    <cellStyle name="20% - Accent2 2 4" xfId="11413" xr:uid="{00000000-0005-0000-0000-00003E000000}"/>
    <cellStyle name="20% - Accent2 2 5" xfId="17727" xr:uid="{00000000-0005-0000-0000-00003F000000}"/>
    <cellStyle name="20% - Accent2 3" xfId="9290" xr:uid="{00000000-0005-0000-0000-000040000000}"/>
    <cellStyle name="20% - Accent2 3 2" xfId="10347" xr:uid="{00000000-0005-0000-0000-000041000000}"/>
    <cellStyle name="20% - Accent2 3 2 2" xfId="11416" xr:uid="{00000000-0005-0000-0000-000042000000}"/>
    <cellStyle name="20% - Accent2 3 2 3" xfId="11415" xr:uid="{00000000-0005-0000-0000-000043000000}"/>
    <cellStyle name="20% - Accent2 3 2 4" xfId="13941" xr:uid="{00000000-0005-0000-0000-000044000000}"/>
    <cellStyle name="20% - Accent2 3 2 5" xfId="15058" xr:uid="{00000000-0005-0000-0000-000045000000}"/>
    <cellStyle name="20% - Accent2 3 3" xfId="11417" xr:uid="{00000000-0005-0000-0000-000046000000}"/>
    <cellStyle name="20% - Accent2 3 4" xfId="11418" xr:uid="{00000000-0005-0000-0000-000047000000}"/>
    <cellStyle name="20% - Accent2 3 5" xfId="11414" xr:uid="{00000000-0005-0000-0000-000048000000}"/>
    <cellStyle name="20% - Accent2 3 6" xfId="12888" xr:uid="{00000000-0005-0000-0000-000049000000}"/>
    <cellStyle name="20% - Accent2 3 6 2" xfId="17728" xr:uid="{00000000-0005-0000-0000-00004A000000}"/>
    <cellStyle name="20% - Accent2 3 7" xfId="15057" xr:uid="{00000000-0005-0000-0000-00004B000000}"/>
    <cellStyle name="20% - Accent2 4" xfId="10333" xr:uid="{00000000-0005-0000-0000-00004C000000}"/>
    <cellStyle name="20% - Accent2 4 2" xfId="11420" xr:uid="{00000000-0005-0000-0000-00004D000000}"/>
    <cellStyle name="20% - Accent2 4 2 2" xfId="17730" xr:uid="{00000000-0005-0000-0000-00004E000000}"/>
    <cellStyle name="20% - Accent2 4 3" xfId="11421" xr:uid="{00000000-0005-0000-0000-00004F000000}"/>
    <cellStyle name="20% - Accent2 4 4" xfId="11419" xr:uid="{00000000-0005-0000-0000-000050000000}"/>
    <cellStyle name="20% - Accent2 4 5" xfId="13927" xr:uid="{00000000-0005-0000-0000-000051000000}"/>
    <cellStyle name="20% - Accent2 4 5 2" xfId="17729" xr:uid="{00000000-0005-0000-0000-000052000000}"/>
    <cellStyle name="20% - Accent2 4 6" xfId="15059" xr:uid="{00000000-0005-0000-0000-000053000000}"/>
    <cellStyle name="20% - Accent2 5" xfId="11422" xr:uid="{00000000-0005-0000-0000-000054000000}"/>
    <cellStyle name="20% - Accent2 5 2" xfId="17732" xr:uid="{00000000-0005-0000-0000-000055000000}"/>
    <cellStyle name="20% - Accent2 5 3" xfId="17731" xr:uid="{00000000-0005-0000-0000-000056000000}"/>
    <cellStyle name="20% - Accent2 6" xfId="11423" xr:uid="{00000000-0005-0000-0000-000057000000}"/>
    <cellStyle name="20% - Accent2 6 2" xfId="17733" xr:uid="{00000000-0005-0000-0000-000058000000}"/>
    <cellStyle name="20% - Accent2 7" xfId="11424" xr:uid="{00000000-0005-0000-0000-000059000000}"/>
    <cellStyle name="20% - Accent2 7 2" xfId="17734" xr:uid="{00000000-0005-0000-0000-00005A000000}"/>
    <cellStyle name="20% - Accent2 8" xfId="11425" xr:uid="{00000000-0005-0000-0000-00005B000000}"/>
    <cellStyle name="20% - Accent2 8 2" xfId="17735" xr:uid="{00000000-0005-0000-0000-00005C000000}"/>
    <cellStyle name="20% - Accent2 9" xfId="12874" xr:uid="{00000000-0005-0000-0000-00005D000000}"/>
    <cellStyle name="20% - Accent2 9 2" xfId="17736" xr:uid="{00000000-0005-0000-0000-00005E000000}"/>
    <cellStyle name="20% - Accent3" xfId="9271" builtinId="38" customBuiltin="1"/>
    <cellStyle name="20% - Accent3 10" xfId="17737" xr:uid="{00000000-0005-0000-0000-000060000000}"/>
    <cellStyle name="20% - Accent3 11" xfId="17738" xr:uid="{00000000-0005-0000-0000-000061000000}"/>
    <cellStyle name="20% - Accent3 12" xfId="17739" xr:uid="{00000000-0005-0000-0000-000062000000}"/>
    <cellStyle name="20% - Accent3 13" xfId="17740" xr:uid="{00000000-0005-0000-0000-000063000000}"/>
    <cellStyle name="20% - Accent3 2" xfId="73" xr:uid="{00000000-0005-0000-0000-000064000000}"/>
    <cellStyle name="20% - Accent3 2 2" xfId="11426" xr:uid="{00000000-0005-0000-0000-000065000000}"/>
    <cellStyle name="20% - Accent3 2 2 2" xfId="11427" xr:uid="{00000000-0005-0000-0000-000066000000}"/>
    <cellStyle name="20% - Accent3 2 3" xfId="11428" xr:uid="{00000000-0005-0000-0000-000067000000}"/>
    <cellStyle name="20% - Accent3 2 4" xfId="11429" xr:uid="{00000000-0005-0000-0000-000068000000}"/>
    <cellStyle name="20% - Accent3 2 5" xfId="17741" xr:uid="{00000000-0005-0000-0000-000069000000}"/>
    <cellStyle name="20% - Accent3 3" xfId="9292" xr:uid="{00000000-0005-0000-0000-00006A000000}"/>
    <cellStyle name="20% - Accent3 3 2" xfId="10349" xr:uid="{00000000-0005-0000-0000-00006B000000}"/>
    <cellStyle name="20% - Accent3 3 2 2" xfId="11432" xr:uid="{00000000-0005-0000-0000-00006C000000}"/>
    <cellStyle name="20% - Accent3 3 2 3" xfId="11431" xr:uid="{00000000-0005-0000-0000-00006D000000}"/>
    <cellStyle name="20% - Accent3 3 2 4" xfId="13943" xr:uid="{00000000-0005-0000-0000-00006E000000}"/>
    <cellStyle name="20% - Accent3 3 2 5" xfId="15061" xr:uid="{00000000-0005-0000-0000-00006F000000}"/>
    <cellStyle name="20% - Accent3 3 3" xfId="11433" xr:uid="{00000000-0005-0000-0000-000070000000}"/>
    <cellStyle name="20% - Accent3 3 4" xfId="11434" xr:uid="{00000000-0005-0000-0000-000071000000}"/>
    <cellStyle name="20% - Accent3 3 5" xfId="11430" xr:uid="{00000000-0005-0000-0000-000072000000}"/>
    <cellStyle name="20% - Accent3 3 6" xfId="12890" xr:uid="{00000000-0005-0000-0000-000073000000}"/>
    <cellStyle name="20% - Accent3 3 6 2" xfId="17742" xr:uid="{00000000-0005-0000-0000-000074000000}"/>
    <cellStyle name="20% - Accent3 3 7" xfId="15060" xr:uid="{00000000-0005-0000-0000-000075000000}"/>
    <cellStyle name="20% - Accent3 4" xfId="10335" xr:uid="{00000000-0005-0000-0000-000076000000}"/>
    <cellStyle name="20% - Accent3 4 2" xfId="11436" xr:uid="{00000000-0005-0000-0000-000077000000}"/>
    <cellStyle name="20% - Accent3 4 2 2" xfId="17744" xr:uid="{00000000-0005-0000-0000-000078000000}"/>
    <cellStyle name="20% - Accent3 4 3" xfId="11437" xr:uid="{00000000-0005-0000-0000-000079000000}"/>
    <cellStyle name="20% - Accent3 4 4" xfId="11435" xr:uid="{00000000-0005-0000-0000-00007A000000}"/>
    <cellStyle name="20% - Accent3 4 5" xfId="13929" xr:uid="{00000000-0005-0000-0000-00007B000000}"/>
    <cellStyle name="20% - Accent3 4 5 2" xfId="17743" xr:uid="{00000000-0005-0000-0000-00007C000000}"/>
    <cellStyle name="20% - Accent3 4 6" xfId="15062" xr:uid="{00000000-0005-0000-0000-00007D000000}"/>
    <cellStyle name="20% - Accent3 5" xfId="11438" xr:uid="{00000000-0005-0000-0000-00007E000000}"/>
    <cellStyle name="20% - Accent3 5 2" xfId="17746" xr:uid="{00000000-0005-0000-0000-00007F000000}"/>
    <cellStyle name="20% - Accent3 5 3" xfId="17745" xr:uid="{00000000-0005-0000-0000-000080000000}"/>
    <cellStyle name="20% - Accent3 6" xfId="11439" xr:uid="{00000000-0005-0000-0000-000081000000}"/>
    <cellStyle name="20% - Accent3 6 2" xfId="17747" xr:uid="{00000000-0005-0000-0000-000082000000}"/>
    <cellStyle name="20% - Accent3 7" xfId="11440" xr:uid="{00000000-0005-0000-0000-000083000000}"/>
    <cellStyle name="20% - Accent3 7 2" xfId="17748" xr:uid="{00000000-0005-0000-0000-000084000000}"/>
    <cellStyle name="20% - Accent3 8" xfId="11441" xr:uid="{00000000-0005-0000-0000-000085000000}"/>
    <cellStyle name="20% - Accent3 8 2" xfId="17749" xr:uid="{00000000-0005-0000-0000-000086000000}"/>
    <cellStyle name="20% - Accent3 9" xfId="12876" xr:uid="{00000000-0005-0000-0000-000087000000}"/>
    <cellStyle name="20% - Accent3 9 2" xfId="17750" xr:uid="{00000000-0005-0000-0000-000088000000}"/>
    <cellStyle name="20% - Accent4" xfId="9275" builtinId="42" customBuiltin="1"/>
    <cellStyle name="20% - Accent4 10" xfId="17751" xr:uid="{00000000-0005-0000-0000-00008A000000}"/>
    <cellStyle name="20% - Accent4 11" xfId="17752" xr:uid="{00000000-0005-0000-0000-00008B000000}"/>
    <cellStyle name="20% - Accent4 12" xfId="17753" xr:uid="{00000000-0005-0000-0000-00008C000000}"/>
    <cellStyle name="20% - Accent4 13" xfId="17754" xr:uid="{00000000-0005-0000-0000-00008D000000}"/>
    <cellStyle name="20% - Accent4 2" xfId="74" xr:uid="{00000000-0005-0000-0000-00008E000000}"/>
    <cellStyle name="20% - Accent4 2 2" xfId="11442" xr:uid="{00000000-0005-0000-0000-00008F000000}"/>
    <cellStyle name="20% - Accent4 2 2 2" xfId="11443" xr:uid="{00000000-0005-0000-0000-000090000000}"/>
    <cellStyle name="20% - Accent4 2 3" xfId="11444" xr:uid="{00000000-0005-0000-0000-000091000000}"/>
    <cellStyle name="20% - Accent4 2 4" xfId="11445" xr:uid="{00000000-0005-0000-0000-000092000000}"/>
    <cellStyle name="20% - Accent4 2 5" xfId="17755" xr:uid="{00000000-0005-0000-0000-000093000000}"/>
    <cellStyle name="20% - Accent4 3" xfId="9294" xr:uid="{00000000-0005-0000-0000-000094000000}"/>
    <cellStyle name="20% - Accent4 3 2" xfId="10351" xr:uid="{00000000-0005-0000-0000-000095000000}"/>
    <cellStyle name="20% - Accent4 3 2 2" xfId="11448" xr:uid="{00000000-0005-0000-0000-000096000000}"/>
    <cellStyle name="20% - Accent4 3 2 3" xfId="11447" xr:uid="{00000000-0005-0000-0000-000097000000}"/>
    <cellStyle name="20% - Accent4 3 2 4" xfId="13945" xr:uid="{00000000-0005-0000-0000-000098000000}"/>
    <cellStyle name="20% - Accent4 3 2 5" xfId="15064" xr:uid="{00000000-0005-0000-0000-000099000000}"/>
    <cellStyle name="20% - Accent4 3 3" xfId="11449" xr:uid="{00000000-0005-0000-0000-00009A000000}"/>
    <cellStyle name="20% - Accent4 3 4" xfId="11450" xr:uid="{00000000-0005-0000-0000-00009B000000}"/>
    <cellStyle name="20% - Accent4 3 5" xfId="11446" xr:uid="{00000000-0005-0000-0000-00009C000000}"/>
    <cellStyle name="20% - Accent4 3 6" xfId="12892" xr:uid="{00000000-0005-0000-0000-00009D000000}"/>
    <cellStyle name="20% - Accent4 3 6 2" xfId="17756" xr:uid="{00000000-0005-0000-0000-00009E000000}"/>
    <cellStyle name="20% - Accent4 3 7" xfId="15063" xr:uid="{00000000-0005-0000-0000-00009F000000}"/>
    <cellStyle name="20% - Accent4 4" xfId="10337" xr:uid="{00000000-0005-0000-0000-0000A0000000}"/>
    <cellStyle name="20% - Accent4 4 2" xfId="11452" xr:uid="{00000000-0005-0000-0000-0000A1000000}"/>
    <cellStyle name="20% - Accent4 4 2 2" xfId="17758" xr:uid="{00000000-0005-0000-0000-0000A2000000}"/>
    <cellStyle name="20% - Accent4 4 3" xfId="11453" xr:uid="{00000000-0005-0000-0000-0000A3000000}"/>
    <cellStyle name="20% - Accent4 4 4" xfId="11451" xr:uid="{00000000-0005-0000-0000-0000A4000000}"/>
    <cellStyle name="20% - Accent4 4 5" xfId="13931" xr:uid="{00000000-0005-0000-0000-0000A5000000}"/>
    <cellStyle name="20% - Accent4 4 5 2" xfId="17757" xr:uid="{00000000-0005-0000-0000-0000A6000000}"/>
    <cellStyle name="20% - Accent4 4 6" xfId="15065" xr:uid="{00000000-0005-0000-0000-0000A7000000}"/>
    <cellStyle name="20% - Accent4 5" xfId="11454" xr:uid="{00000000-0005-0000-0000-0000A8000000}"/>
    <cellStyle name="20% - Accent4 5 2" xfId="17760" xr:uid="{00000000-0005-0000-0000-0000A9000000}"/>
    <cellStyle name="20% - Accent4 5 3" xfId="17759" xr:uid="{00000000-0005-0000-0000-0000AA000000}"/>
    <cellStyle name="20% - Accent4 6" xfId="11455" xr:uid="{00000000-0005-0000-0000-0000AB000000}"/>
    <cellStyle name="20% - Accent4 6 2" xfId="17761" xr:uid="{00000000-0005-0000-0000-0000AC000000}"/>
    <cellStyle name="20% - Accent4 7" xfId="11456" xr:uid="{00000000-0005-0000-0000-0000AD000000}"/>
    <cellStyle name="20% - Accent4 7 2" xfId="17762" xr:uid="{00000000-0005-0000-0000-0000AE000000}"/>
    <cellStyle name="20% - Accent4 8" xfId="11457" xr:uid="{00000000-0005-0000-0000-0000AF000000}"/>
    <cellStyle name="20% - Accent4 8 2" xfId="17763" xr:uid="{00000000-0005-0000-0000-0000B0000000}"/>
    <cellStyle name="20% - Accent4 9" xfId="12878" xr:uid="{00000000-0005-0000-0000-0000B1000000}"/>
    <cellStyle name="20% - Accent4 9 2" xfId="17764" xr:uid="{00000000-0005-0000-0000-0000B2000000}"/>
    <cellStyle name="20% - Accent5" xfId="9279" builtinId="46" customBuiltin="1"/>
    <cellStyle name="20% - Accent5 10" xfId="17765" xr:uid="{00000000-0005-0000-0000-0000B4000000}"/>
    <cellStyle name="20% - Accent5 11" xfId="17766" xr:uid="{00000000-0005-0000-0000-0000B5000000}"/>
    <cellStyle name="20% - Accent5 12" xfId="17767" xr:uid="{00000000-0005-0000-0000-0000B6000000}"/>
    <cellStyle name="20% - Accent5 13" xfId="17768" xr:uid="{00000000-0005-0000-0000-0000B7000000}"/>
    <cellStyle name="20% - Accent5 2" xfId="75" xr:uid="{00000000-0005-0000-0000-0000B8000000}"/>
    <cellStyle name="20% - Accent5 2 2" xfId="11458" xr:uid="{00000000-0005-0000-0000-0000B9000000}"/>
    <cellStyle name="20% - Accent5 2 2 2" xfId="11459" xr:uid="{00000000-0005-0000-0000-0000BA000000}"/>
    <cellStyle name="20% - Accent5 2 3" xfId="11460" xr:uid="{00000000-0005-0000-0000-0000BB000000}"/>
    <cellStyle name="20% - Accent5 2 4" xfId="11461" xr:uid="{00000000-0005-0000-0000-0000BC000000}"/>
    <cellStyle name="20% - Accent5 2 5" xfId="17769" xr:uid="{00000000-0005-0000-0000-0000BD000000}"/>
    <cellStyle name="20% - Accent5 3" xfId="9296" xr:uid="{00000000-0005-0000-0000-0000BE000000}"/>
    <cellStyle name="20% - Accent5 3 2" xfId="10353" xr:uid="{00000000-0005-0000-0000-0000BF000000}"/>
    <cellStyle name="20% - Accent5 3 2 2" xfId="11464" xr:uid="{00000000-0005-0000-0000-0000C0000000}"/>
    <cellStyle name="20% - Accent5 3 2 3" xfId="11463" xr:uid="{00000000-0005-0000-0000-0000C1000000}"/>
    <cellStyle name="20% - Accent5 3 2 4" xfId="13947" xr:uid="{00000000-0005-0000-0000-0000C2000000}"/>
    <cellStyle name="20% - Accent5 3 2 5" xfId="15067" xr:uid="{00000000-0005-0000-0000-0000C3000000}"/>
    <cellStyle name="20% - Accent5 3 3" xfId="11465" xr:uid="{00000000-0005-0000-0000-0000C4000000}"/>
    <cellStyle name="20% - Accent5 3 4" xfId="11466" xr:uid="{00000000-0005-0000-0000-0000C5000000}"/>
    <cellStyle name="20% - Accent5 3 5" xfId="11462" xr:uid="{00000000-0005-0000-0000-0000C6000000}"/>
    <cellStyle name="20% - Accent5 3 6" xfId="12894" xr:uid="{00000000-0005-0000-0000-0000C7000000}"/>
    <cellStyle name="20% - Accent5 3 6 2" xfId="17770" xr:uid="{00000000-0005-0000-0000-0000C8000000}"/>
    <cellStyle name="20% - Accent5 3 7" xfId="15066" xr:uid="{00000000-0005-0000-0000-0000C9000000}"/>
    <cellStyle name="20% - Accent5 4" xfId="10339" xr:uid="{00000000-0005-0000-0000-0000CA000000}"/>
    <cellStyle name="20% - Accent5 4 2" xfId="11468" xr:uid="{00000000-0005-0000-0000-0000CB000000}"/>
    <cellStyle name="20% - Accent5 4 2 2" xfId="17772" xr:uid="{00000000-0005-0000-0000-0000CC000000}"/>
    <cellStyle name="20% - Accent5 4 3" xfId="11469" xr:uid="{00000000-0005-0000-0000-0000CD000000}"/>
    <cellStyle name="20% - Accent5 4 4" xfId="11467" xr:uid="{00000000-0005-0000-0000-0000CE000000}"/>
    <cellStyle name="20% - Accent5 4 5" xfId="13933" xr:uid="{00000000-0005-0000-0000-0000CF000000}"/>
    <cellStyle name="20% - Accent5 4 5 2" xfId="17771" xr:uid="{00000000-0005-0000-0000-0000D0000000}"/>
    <cellStyle name="20% - Accent5 4 6" xfId="15068" xr:uid="{00000000-0005-0000-0000-0000D1000000}"/>
    <cellStyle name="20% - Accent5 5" xfId="11470" xr:uid="{00000000-0005-0000-0000-0000D2000000}"/>
    <cellStyle name="20% - Accent5 5 2" xfId="17774" xr:uid="{00000000-0005-0000-0000-0000D3000000}"/>
    <cellStyle name="20% - Accent5 5 3" xfId="17773" xr:uid="{00000000-0005-0000-0000-0000D4000000}"/>
    <cellStyle name="20% - Accent5 6" xfId="11471" xr:uid="{00000000-0005-0000-0000-0000D5000000}"/>
    <cellStyle name="20% - Accent5 6 2" xfId="17775" xr:uid="{00000000-0005-0000-0000-0000D6000000}"/>
    <cellStyle name="20% - Accent5 7" xfId="11472" xr:uid="{00000000-0005-0000-0000-0000D7000000}"/>
    <cellStyle name="20% - Accent5 7 2" xfId="17776" xr:uid="{00000000-0005-0000-0000-0000D8000000}"/>
    <cellStyle name="20% - Accent5 8" xfId="11473" xr:uid="{00000000-0005-0000-0000-0000D9000000}"/>
    <cellStyle name="20% - Accent5 8 2" xfId="17777" xr:uid="{00000000-0005-0000-0000-0000DA000000}"/>
    <cellStyle name="20% - Accent5 9" xfId="12880" xr:uid="{00000000-0005-0000-0000-0000DB000000}"/>
    <cellStyle name="20% - Accent5 9 2" xfId="17778" xr:uid="{00000000-0005-0000-0000-0000DC000000}"/>
    <cellStyle name="20% - Accent6" xfId="9283" builtinId="50" customBuiltin="1"/>
    <cellStyle name="20% - Accent6 10" xfId="17779" xr:uid="{00000000-0005-0000-0000-0000DE000000}"/>
    <cellStyle name="20% - Accent6 11" xfId="17780" xr:uid="{00000000-0005-0000-0000-0000DF000000}"/>
    <cellStyle name="20% - Accent6 12" xfId="17781" xr:uid="{00000000-0005-0000-0000-0000E0000000}"/>
    <cellStyle name="20% - Accent6 13" xfId="17782" xr:uid="{00000000-0005-0000-0000-0000E1000000}"/>
    <cellStyle name="20% - Accent6 2" xfId="76" xr:uid="{00000000-0005-0000-0000-0000E2000000}"/>
    <cellStyle name="20% - Accent6 2 2" xfId="11474" xr:uid="{00000000-0005-0000-0000-0000E3000000}"/>
    <cellStyle name="20% - Accent6 2 2 2" xfId="11475" xr:uid="{00000000-0005-0000-0000-0000E4000000}"/>
    <cellStyle name="20% - Accent6 2 3" xfId="11476" xr:uid="{00000000-0005-0000-0000-0000E5000000}"/>
    <cellStyle name="20% - Accent6 2 4" xfId="11477" xr:uid="{00000000-0005-0000-0000-0000E6000000}"/>
    <cellStyle name="20% - Accent6 2 5" xfId="17783" xr:uid="{00000000-0005-0000-0000-0000E7000000}"/>
    <cellStyle name="20% - Accent6 3" xfId="9298" xr:uid="{00000000-0005-0000-0000-0000E8000000}"/>
    <cellStyle name="20% - Accent6 3 2" xfId="10355" xr:uid="{00000000-0005-0000-0000-0000E9000000}"/>
    <cellStyle name="20% - Accent6 3 2 2" xfId="11480" xr:uid="{00000000-0005-0000-0000-0000EA000000}"/>
    <cellStyle name="20% - Accent6 3 2 3" xfId="11479" xr:uid="{00000000-0005-0000-0000-0000EB000000}"/>
    <cellStyle name="20% - Accent6 3 2 4" xfId="13949" xr:uid="{00000000-0005-0000-0000-0000EC000000}"/>
    <cellStyle name="20% - Accent6 3 2 5" xfId="15070" xr:uid="{00000000-0005-0000-0000-0000ED000000}"/>
    <cellStyle name="20% - Accent6 3 3" xfId="11481" xr:uid="{00000000-0005-0000-0000-0000EE000000}"/>
    <cellStyle name="20% - Accent6 3 4" xfId="11482" xr:uid="{00000000-0005-0000-0000-0000EF000000}"/>
    <cellStyle name="20% - Accent6 3 5" xfId="11478" xr:uid="{00000000-0005-0000-0000-0000F0000000}"/>
    <cellStyle name="20% - Accent6 3 6" xfId="12896" xr:uid="{00000000-0005-0000-0000-0000F1000000}"/>
    <cellStyle name="20% - Accent6 3 6 2" xfId="17784" xr:uid="{00000000-0005-0000-0000-0000F2000000}"/>
    <cellStyle name="20% - Accent6 3 7" xfId="15069" xr:uid="{00000000-0005-0000-0000-0000F3000000}"/>
    <cellStyle name="20% - Accent6 4" xfId="10341" xr:uid="{00000000-0005-0000-0000-0000F4000000}"/>
    <cellStyle name="20% - Accent6 4 2" xfId="11484" xr:uid="{00000000-0005-0000-0000-0000F5000000}"/>
    <cellStyle name="20% - Accent6 4 2 2" xfId="17786" xr:uid="{00000000-0005-0000-0000-0000F6000000}"/>
    <cellStyle name="20% - Accent6 4 3" xfId="11485" xr:uid="{00000000-0005-0000-0000-0000F7000000}"/>
    <cellStyle name="20% - Accent6 4 4" xfId="11483" xr:uid="{00000000-0005-0000-0000-0000F8000000}"/>
    <cellStyle name="20% - Accent6 4 5" xfId="13935" xr:uid="{00000000-0005-0000-0000-0000F9000000}"/>
    <cellStyle name="20% - Accent6 4 5 2" xfId="17785" xr:uid="{00000000-0005-0000-0000-0000FA000000}"/>
    <cellStyle name="20% - Accent6 4 6" xfId="15071" xr:uid="{00000000-0005-0000-0000-0000FB000000}"/>
    <cellStyle name="20% - Accent6 5" xfId="11486" xr:uid="{00000000-0005-0000-0000-0000FC000000}"/>
    <cellStyle name="20% - Accent6 5 2" xfId="17788" xr:uid="{00000000-0005-0000-0000-0000FD000000}"/>
    <cellStyle name="20% - Accent6 5 3" xfId="17787" xr:uid="{00000000-0005-0000-0000-0000FE000000}"/>
    <cellStyle name="20% - Accent6 6" xfId="11487" xr:uid="{00000000-0005-0000-0000-0000FF000000}"/>
    <cellStyle name="20% - Accent6 6 2" xfId="17789" xr:uid="{00000000-0005-0000-0000-000000010000}"/>
    <cellStyle name="20% - Accent6 7" xfId="11488" xr:uid="{00000000-0005-0000-0000-000001010000}"/>
    <cellStyle name="20% - Accent6 7 2" xfId="17790" xr:uid="{00000000-0005-0000-0000-000002010000}"/>
    <cellStyle name="20% - Accent6 8" xfId="11489" xr:uid="{00000000-0005-0000-0000-000003010000}"/>
    <cellStyle name="20% - Accent6 8 2" xfId="17791" xr:uid="{00000000-0005-0000-0000-000004010000}"/>
    <cellStyle name="20% - Accent6 9" xfId="12882" xr:uid="{00000000-0005-0000-0000-000005010000}"/>
    <cellStyle name="20% - Accent6 9 2" xfId="17792" xr:uid="{00000000-0005-0000-0000-000006010000}"/>
    <cellStyle name="40% - Accent1" xfId="9264" builtinId="31" customBuiltin="1"/>
    <cellStyle name="40% - Accent1 10" xfId="17793" xr:uid="{00000000-0005-0000-0000-000008010000}"/>
    <cellStyle name="40% - Accent1 11" xfId="17794" xr:uid="{00000000-0005-0000-0000-000009010000}"/>
    <cellStyle name="40% - Accent1 12" xfId="17795" xr:uid="{00000000-0005-0000-0000-00000A010000}"/>
    <cellStyle name="40% - Accent1 13" xfId="17796" xr:uid="{00000000-0005-0000-0000-00000B010000}"/>
    <cellStyle name="40% - Accent1 2" xfId="77" xr:uid="{00000000-0005-0000-0000-00000C010000}"/>
    <cellStyle name="40% - Accent1 2 2" xfId="11490" xr:uid="{00000000-0005-0000-0000-00000D010000}"/>
    <cellStyle name="40% - Accent1 2 2 2" xfId="11491" xr:uid="{00000000-0005-0000-0000-00000E010000}"/>
    <cellStyle name="40% - Accent1 2 3" xfId="11492" xr:uid="{00000000-0005-0000-0000-00000F010000}"/>
    <cellStyle name="40% - Accent1 2 4" xfId="11493" xr:uid="{00000000-0005-0000-0000-000010010000}"/>
    <cellStyle name="40% - Accent1 2 5" xfId="17797" xr:uid="{00000000-0005-0000-0000-000011010000}"/>
    <cellStyle name="40% - Accent1 3" xfId="9289" xr:uid="{00000000-0005-0000-0000-000012010000}"/>
    <cellStyle name="40% - Accent1 3 2" xfId="10346" xr:uid="{00000000-0005-0000-0000-000013010000}"/>
    <cellStyle name="40% - Accent1 3 2 2" xfId="11496" xr:uid="{00000000-0005-0000-0000-000014010000}"/>
    <cellStyle name="40% - Accent1 3 2 3" xfId="11495" xr:uid="{00000000-0005-0000-0000-000015010000}"/>
    <cellStyle name="40% - Accent1 3 2 4" xfId="13940" xr:uid="{00000000-0005-0000-0000-000016010000}"/>
    <cellStyle name="40% - Accent1 3 2 5" xfId="15073" xr:uid="{00000000-0005-0000-0000-000017010000}"/>
    <cellStyle name="40% - Accent1 3 3" xfId="11497" xr:uid="{00000000-0005-0000-0000-000018010000}"/>
    <cellStyle name="40% - Accent1 3 4" xfId="11498" xr:uid="{00000000-0005-0000-0000-000019010000}"/>
    <cellStyle name="40% - Accent1 3 5" xfId="11494" xr:uid="{00000000-0005-0000-0000-00001A010000}"/>
    <cellStyle name="40% - Accent1 3 6" xfId="12887" xr:uid="{00000000-0005-0000-0000-00001B010000}"/>
    <cellStyle name="40% - Accent1 3 6 2" xfId="17798" xr:uid="{00000000-0005-0000-0000-00001C010000}"/>
    <cellStyle name="40% - Accent1 3 7" xfId="15072" xr:uid="{00000000-0005-0000-0000-00001D010000}"/>
    <cellStyle name="40% - Accent1 4" xfId="10332" xr:uid="{00000000-0005-0000-0000-00001E010000}"/>
    <cellStyle name="40% - Accent1 4 2" xfId="11500" xr:uid="{00000000-0005-0000-0000-00001F010000}"/>
    <cellStyle name="40% - Accent1 4 2 2" xfId="17800" xr:uid="{00000000-0005-0000-0000-000020010000}"/>
    <cellStyle name="40% - Accent1 4 3" xfId="11501" xr:uid="{00000000-0005-0000-0000-000021010000}"/>
    <cellStyle name="40% - Accent1 4 4" xfId="11499" xr:uid="{00000000-0005-0000-0000-000022010000}"/>
    <cellStyle name="40% - Accent1 4 5" xfId="13926" xr:uid="{00000000-0005-0000-0000-000023010000}"/>
    <cellStyle name="40% - Accent1 4 5 2" xfId="17799" xr:uid="{00000000-0005-0000-0000-000024010000}"/>
    <cellStyle name="40% - Accent1 4 6" xfId="15074" xr:uid="{00000000-0005-0000-0000-000025010000}"/>
    <cellStyle name="40% - Accent1 5" xfId="11502" xr:uid="{00000000-0005-0000-0000-000026010000}"/>
    <cellStyle name="40% - Accent1 5 2" xfId="17802" xr:uid="{00000000-0005-0000-0000-000027010000}"/>
    <cellStyle name="40% - Accent1 5 3" xfId="17801" xr:uid="{00000000-0005-0000-0000-000028010000}"/>
    <cellStyle name="40% - Accent1 6" xfId="11503" xr:uid="{00000000-0005-0000-0000-000029010000}"/>
    <cellStyle name="40% - Accent1 6 2" xfId="17803" xr:uid="{00000000-0005-0000-0000-00002A010000}"/>
    <cellStyle name="40% - Accent1 7" xfId="11504" xr:uid="{00000000-0005-0000-0000-00002B010000}"/>
    <cellStyle name="40% - Accent1 7 2" xfId="17804" xr:uid="{00000000-0005-0000-0000-00002C010000}"/>
    <cellStyle name="40% - Accent1 8" xfId="11505" xr:uid="{00000000-0005-0000-0000-00002D010000}"/>
    <cellStyle name="40% - Accent1 8 2" xfId="17805" xr:uid="{00000000-0005-0000-0000-00002E010000}"/>
    <cellStyle name="40% - Accent1 9" xfId="12873" xr:uid="{00000000-0005-0000-0000-00002F010000}"/>
    <cellStyle name="40% - Accent1 9 2" xfId="17806" xr:uid="{00000000-0005-0000-0000-000030010000}"/>
    <cellStyle name="40% - Accent2" xfId="9268" builtinId="35" customBuiltin="1"/>
    <cellStyle name="40% - Accent2 10" xfId="17807" xr:uid="{00000000-0005-0000-0000-000032010000}"/>
    <cellStyle name="40% - Accent2 11" xfId="17808" xr:uid="{00000000-0005-0000-0000-000033010000}"/>
    <cellStyle name="40% - Accent2 12" xfId="17809" xr:uid="{00000000-0005-0000-0000-000034010000}"/>
    <cellStyle name="40% - Accent2 13" xfId="17810" xr:uid="{00000000-0005-0000-0000-000035010000}"/>
    <cellStyle name="40% - Accent2 2" xfId="78" xr:uid="{00000000-0005-0000-0000-000036010000}"/>
    <cellStyle name="40% - Accent2 2 2" xfId="11506" xr:uid="{00000000-0005-0000-0000-000037010000}"/>
    <cellStyle name="40% - Accent2 2 2 2" xfId="11507" xr:uid="{00000000-0005-0000-0000-000038010000}"/>
    <cellStyle name="40% - Accent2 2 3" xfId="11508" xr:uid="{00000000-0005-0000-0000-000039010000}"/>
    <cellStyle name="40% - Accent2 2 4" xfId="11509" xr:uid="{00000000-0005-0000-0000-00003A010000}"/>
    <cellStyle name="40% - Accent2 2 5" xfId="17811" xr:uid="{00000000-0005-0000-0000-00003B010000}"/>
    <cellStyle name="40% - Accent2 3" xfId="9291" xr:uid="{00000000-0005-0000-0000-00003C010000}"/>
    <cellStyle name="40% - Accent2 3 2" xfId="10348" xr:uid="{00000000-0005-0000-0000-00003D010000}"/>
    <cellStyle name="40% - Accent2 3 2 2" xfId="11512" xr:uid="{00000000-0005-0000-0000-00003E010000}"/>
    <cellStyle name="40% - Accent2 3 2 3" xfId="11511" xr:uid="{00000000-0005-0000-0000-00003F010000}"/>
    <cellStyle name="40% - Accent2 3 2 4" xfId="13942" xr:uid="{00000000-0005-0000-0000-000040010000}"/>
    <cellStyle name="40% - Accent2 3 2 5" xfId="15076" xr:uid="{00000000-0005-0000-0000-000041010000}"/>
    <cellStyle name="40% - Accent2 3 3" xfId="11513" xr:uid="{00000000-0005-0000-0000-000042010000}"/>
    <cellStyle name="40% - Accent2 3 4" xfId="11514" xr:uid="{00000000-0005-0000-0000-000043010000}"/>
    <cellStyle name="40% - Accent2 3 5" xfId="11510" xr:uid="{00000000-0005-0000-0000-000044010000}"/>
    <cellStyle name="40% - Accent2 3 6" xfId="12889" xr:uid="{00000000-0005-0000-0000-000045010000}"/>
    <cellStyle name="40% - Accent2 3 6 2" xfId="17812" xr:uid="{00000000-0005-0000-0000-000046010000}"/>
    <cellStyle name="40% - Accent2 3 7" xfId="15075" xr:uid="{00000000-0005-0000-0000-000047010000}"/>
    <cellStyle name="40% - Accent2 4" xfId="10334" xr:uid="{00000000-0005-0000-0000-000048010000}"/>
    <cellStyle name="40% - Accent2 4 2" xfId="11516" xr:uid="{00000000-0005-0000-0000-000049010000}"/>
    <cellStyle name="40% - Accent2 4 2 2" xfId="17814" xr:uid="{00000000-0005-0000-0000-00004A010000}"/>
    <cellStyle name="40% - Accent2 4 3" xfId="11517" xr:uid="{00000000-0005-0000-0000-00004B010000}"/>
    <cellStyle name="40% - Accent2 4 4" xfId="11515" xr:uid="{00000000-0005-0000-0000-00004C010000}"/>
    <cellStyle name="40% - Accent2 4 5" xfId="13928" xr:uid="{00000000-0005-0000-0000-00004D010000}"/>
    <cellStyle name="40% - Accent2 4 5 2" xfId="17813" xr:uid="{00000000-0005-0000-0000-00004E010000}"/>
    <cellStyle name="40% - Accent2 4 6" xfId="15077" xr:uid="{00000000-0005-0000-0000-00004F010000}"/>
    <cellStyle name="40% - Accent2 5" xfId="11518" xr:uid="{00000000-0005-0000-0000-000050010000}"/>
    <cellStyle name="40% - Accent2 5 2" xfId="17816" xr:uid="{00000000-0005-0000-0000-000051010000}"/>
    <cellStyle name="40% - Accent2 5 3" xfId="17815" xr:uid="{00000000-0005-0000-0000-000052010000}"/>
    <cellStyle name="40% - Accent2 6" xfId="11519" xr:uid="{00000000-0005-0000-0000-000053010000}"/>
    <cellStyle name="40% - Accent2 6 2" xfId="17817" xr:uid="{00000000-0005-0000-0000-000054010000}"/>
    <cellStyle name="40% - Accent2 7" xfId="11520" xr:uid="{00000000-0005-0000-0000-000055010000}"/>
    <cellStyle name="40% - Accent2 7 2" xfId="17818" xr:uid="{00000000-0005-0000-0000-000056010000}"/>
    <cellStyle name="40% - Accent2 8" xfId="11521" xr:uid="{00000000-0005-0000-0000-000057010000}"/>
    <cellStyle name="40% - Accent2 8 2" xfId="17819" xr:uid="{00000000-0005-0000-0000-000058010000}"/>
    <cellStyle name="40% - Accent2 9" xfId="12875" xr:uid="{00000000-0005-0000-0000-000059010000}"/>
    <cellStyle name="40% - Accent2 9 2" xfId="17820" xr:uid="{00000000-0005-0000-0000-00005A010000}"/>
    <cellStyle name="40% - Accent3" xfId="9272" builtinId="39" customBuiltin="1"/>
    <cellStyle name="40% - Accent3 10" xfId="17821" xr:uid="{00000000-0005-0000-0000-00005C010000}"/>
    <cellStyle name="40% - Accent3 11" xfId="17822" xr:uid="{00000000-0005-0000-0000-00005D010000}"/>
    <cellStyle name="40% - Accent3 12" xfId="17823" xr:uid="{00000000-0005-0000-0000-00005E010000}"/>
    <cellStyle name="40% - Accent3 13" xfId="17824" xr:uid="{00000000-0005-0000-0000-00005F010000}"/>
    <cellStyle name="40% - Accent3 2" xfId="79" xr:uid="{00000000-0005-0000-0000-000060010000}"/>
    <cellStyle name="40% - Accent3 2 2" xfId="11522" xr:uid="{00000000-0005-0000-0000-000061010000}"/>
    <cellStyle name="40% - Accent3 2 2 2" xfId="11523" xr:uid="{00000000-0005-0000-0000-000062010000}"/>
    <cellStyle name="40% - Accent3 2 3" xfId="11524" xr:uid="{00000000-0005-0000-0000-000063010000}"/>
    <cellStyle name="40% - Accent3 2 4" xfId="11525" xr:uid="{00000000-0005-0000-0000-000064010000}"/>
    <cellStyle name="40% - Accent3 2 5" xfId="17825" xr:uid="{00000000-0005-0000-0000-000065010000}"/>
    <cellStyle name="40% - Accent3 3" xfId="9293" xr:uid="{00000000-0005-0000-0000-000066010000}"/>
    <cellStyle name="40% - Accent3 3 2" xfId="10350" xr:uid="{00000000-0005-0000-0000-000067010000}"/>
    <cellStyle name="40% - Accent3 3 2 2" xfId="11528" xr:uid="{00000000-0005-0000-0000-000068010000}"/>
    <cellStyle name="40% - Accent3 3 2 3" xfId="11527" xr:uid="{00000000-0005-0000-0000-000069010000}"/>
    <cellStyle name="40% - Accent3 3 2 4" xfId="13944" xr:uid="{00000000-0005-0000-0000-00006A010000}"/>
    <cellStyle name="40% - Accent3 3 2 5" xfId="15079" xr:uid="{00000000-0005-0000-0000-00006B010000}"/>
    <cellStyle name="40% - Accent3 3 3" xfId="11529" xr:uid="{00000000-0005-0000-0000-00006C010000}"/>
    <cellStyle name="40% - Accent3 3 4" xfId="11530" xr:uid="{00000000-0005-0000-0000-00006D010000}"/>
    <cellStyle name="40% - Accent3 3 5" xfId="11526" xr:uid="{00000000-0005-0000-0000-00006E010000}"/>
    <cellStyle name="40% - Accent3 3 6" xfId="12891" xr:uid="{00000000-0005-0000-0000-00006F010000}"/>
    <cellStyle name="40% - Accent3 3 6 2" xfId="17826" xr:uid="{00000000-0005-0000-0000-000070010000}"/>
    <cellStyle name="40% - Accent3 3 7" xfId="15078" xr:uid="{00000000-0005-0000-0000-000071010000}"/>
    <cellStyle name="40% - Accent3 4" xfId="10336" xr:uid="{00000000-0005-0000-0000-000072010000}"/>
    <cellStyle name="40% - Accent3 4 2" xfId="11532" xr:uid="{00000000-0005-0000-0000-000073010000}"/>
    <cellStyle name="40% - Accent3 4 2 2" xfId="17828" xr:uid="{00000000-0005-0000-0000-000074010000}"/>
    <cellStyle name="40% - Accent3 4 3" xfId="11533" xr:uid="{00000000-0005-0000-0000-000075010000}"/>
    <cellStyle name="40% - Accent3 4 4" xfId="11531" xr:uid="{00000000-0005-0000-0000-000076010000}"/>
    <cellStyle name="40% - Accent3 4 5" xfId="13930" xr:uid="{00000000-0005-0000-0000-000077010000}"/>
    <cellStyle name="40% - Accent3 4 5 2" xfId="17827" xr:uid="{00000000-0005-0000-0000-000078010000}"/>
    <cellStyle name="40% - Accent3 4 6" xfId="15080" xr:uid="{00000000-0005-0000-0000-000079010000}"/>
    <cellStyle name="40% - Accent3 5" xfId="11534" xr:uid="{00000000-0005-0000-0000-00007A010000}"/>
    <cellStyle name="40% - Accent3 5 2" xfId="17830" xr:uid="{00000000-0005-0000-0000-00007B010000}"/>
    <cellStyle name="40% - Accent3 5 3" xfId="17829" xr:uid="{00000000-0005-0000-0000-00007C010000}"/>
    <cellStyle name="40% - Accent3 6" xfId="11535" xr:uid="{00000000-0005-0000-0000-00007D010000}"/>
    <cellStyle name="40% - Accent3 6 2" xfId="17831" xr:uid="{00000000-0005-0000-0000-00007E010000}"/>
    <cellStyle name="40% - Accent3 7" xfId="11536" xr:uid="{00000000-0005-0000-0000-00007F010000}"/>
    <cellStyle name="40% - Accent3 7 2" xfId="17832" xr:uid="{00000000-0005-0000-0000-000080010000}"/>
    <cellStyle name="40% - Accent3 8" xfId="11537" xr:uid="{00000000-0005-0000-0000-000081010000}"/>
    <cellStyle name="40% - Accent3 8 2" xfId="17833" xr:uid="{00000000-0005-0000-0000-000082010000}"/>
    <cellStyle name="40% - Accent3 9" xfId="12877" xr:uid="{00000000-0005-0000-0000-000083010000}"/>
    <cellStyle name="40% - Accent3 9 2" xfId="17834" xr:uid="{00000000-0005-0000-0000-000084010000}"/>
    <cellStyle name="40% - Accent4" xfId="9276" builtinId="43" customBuiltin="1"/>
    <cellStyle name="40% - Accent4 10" xfId="17835" xr:uid="{00000000-0005-0000-0000-000086010000}"/>
    <cellStyle name="40% - Accent4 11" xfId="17836" xr:uid="{00000000-0005-0000-0000-000087010000}"/>
    <cellStyle name="40% - Accent4 12" xfId="17837" xr:uid="{00000000-0005-0000-0000-000088010000}"/>
    <cellStyle name="40% - Accent4 13" xfId="17838" xr:uid="{00000000-0005-0000-0000-000089010000}"/>
    <cellStyle name="40% - Accent4 2" xfId="80" xr:uid="{00000000-0005-0000-0000-00008A010000}"/>
    <cellStyle name="40% - Accent4 2 2" xfId="11538" xr:uid="{00000000-0005-0000-0000-00008B010000}"/>
    <cellStyle name="40% - Accent4 2 2 2" xfId="11539" xr:uid="{00000000-0005-0000-0000-00008C010000}"/>
    <cellStyle name="40% - Accent4 2 3" xfId="11540" xr:uid="{00000000-0005-0000-0000-00008D010000}"/>
    <cellStyle name="40% - Accent4 2 4" xfId="11541" xr:uid="{00000000-0005-0000-0000-00008E010000}"/>
    <cellStyle name="40% - Accent4 2 5" xfId="17839" xr:uid="{00000000-0005-0000-0000-00008F010000}"/>
    <cellStyle name="40% - Accent4 3" xfId="9295" xr:uid="{00000000-0005-0000-0000-000090010000}"/>
    <cellStyle name="40% - Accent4 3 2" xfId="10352" xr:uid="{00000000-0005-0000-0000-000091010000}"/>
    <cellStyle name="40% - Accent4 3 2 2" xfId="11544" xr:uid="{00000000-0005-0000-0000-000092010000}"/>
    <cellStyle name="40% - Accent4 3 2 3" xfId="11543" xr:uid="{00000000-0005-0000-0000-000093010000}"/>
    <cellStyle name="40% - Accent4 3 2 4" xfId="13946" xr:uid="{00000000-0005-0000-0000-000094010000}"/>
    <cellStyle name="40% - Accent4 3 2 5" xfId="15082" xr:uid="{00000000-0005-0000-0000-000095010000}"/>
    <cellStyle name="40% - Accent4 3 3" xfId="11545" xr:uid="{00000000-0005-0000-0000-000096010000}"/>
    <cellStyle name="40% - Accent4 3 4" xfId="11546" xr:uid="{00000000-0005-0000-0000-000097010000}"/>
    <cellStyle name="40% - Accent4 3 5" xfId="11542" xr:uid="{00000000-0005-0000-0000-000098010000}"/>
    <cellStyle name="40% - Accent4 3 6" xfId="12893" xr:uid="{00000000-0005-0000-0000-000099010000}"/>
    <cellStyle name="40% - Accent4 3 6 2" xfId="17840" xr:uid="{00000000-0005-0000-0000-00009A010000}"/>
    <cellStyle name="40% - Accent4 3 7" xfId="15081" xr:uid="{00000000-0005-0000-0000-00009B010000}"/>
    <cellStyle name="40% - Accent4 4" xfId="10338" xr:uid="{00000000-0005-0000-0000-00009C010000}"/>
    <cellStyle name="40% - Accent4 4 2" xfId="11548" xr:uid="{00000000-0005-0000-0000-00009D010000}"/>
    <cellStyle name="40% - Accent4 4 2 2" xfId="17842" xr:uid="{00000000-0005-0000-0000-00009E010000}"/>
    <cellStyle name="40% - Accent4 4 3" xfId="11549" xr:uid="{00000000-0005-0000-0000-00009F010000}"/>
    <cellStyle name="40% - Accent4 4 4" xfId="11547" xr:uid="{00000000-0005-0000-0000-0000A0010000}"/>
    <cellStyle name="40% - Accent4 4 5" xfId="13932" xr:uid="{00000000-0005-0000-0000-0000A1010000}"/>
    <cellStyle name="40% - Accent4 4 5 2" xfId="17841" xr:uid="{00000000-0005-0000-0000-0000A2010000}"/>
    <cellStyle name="40% - Accent4 4 6" xfId="15083" xr:uid="{00000000-0005-0000-0000-0000A3010000}"/>
    <cellStyle name="40% - Accent4 5" xfId="11550" xr:uid="{00000000-0005-0000-0000-0000A4010000}"/>
    <cellStyle name="40% - Accent4 5 2" xfId="17844" xr:uid="{00000000-0005-0000-0000-0000A5010000}"/>
    <cellStyle name="40% - Accent4 5 3" xfId="17843" xr:uid="{00000000-0005-0000-0000-0000A6010000}"/>
    <cellStyle name="40% - Accent4 6" xfId="11551" xr:uid="{00000000-0005-0000-0000-0000A7010000}"/>
    <cellStyle name="40% - Accent4 6 2" xfId="17845" xr:uid="{00000000-0005-0000-0000-0000A8010000}"/>
    <cellStyle name="40% - Accent4 7" xfId="11552" xr:uid="{00000000-0005-0000-0000-0000A9010000}"/>
    <cellStyle name="40% - Accent4 7 2" xfId="17846" xr:uid="{00000000-0005-0000-0000-0000AA010000}"/>
    <cellStyle name="40% - Accent4 8" xfId="11553" xr:uid="{00000000-0005-0000-0000-0000AB010000}"/>
    <cellStyle name="40% - Accent4 8 2" xfId="17847" xr:uid="{00000000-0005-0000-0000-0000AC010000}"/>
    <cellStyle name="40% - Accent4 9" xfId="12879" xr:uid="{00000000-0005-0000-0000-0000AD010000}"/>
    <cellStyle name="40% - Accent4 9 2" xfId="17848" xr:uid="{00000000-0005-0000-0000-0000AE010000}"/>
    <cellStyle name="40% - Accent5" xfId="9280" builtinId="47" customBuiltin="1"/>
    <cellStyle name="40% - Accent5 10" xfId="17849" xr:uid="{00000000-0005-0000-0000-0000B0010000}"/>
    <cellStyle name="40% - Accent5 11" xfId="17850" xr:uid="{00000000-0005-0000-0000-0000B1010000}"/>
    <cellStyle name="40% - Accent5 12" xfId="17851" xr:uid="{00000000-0005-0000-0000-0000B2010000}"/>
    <cellStyle name="40% - Accent5 13" xfId="17852" xr:uid="{00000000-0005-0000-0000-0000B3010000}"/>
    <cellStyle name="40% - Accent5 2" xfId="81" xr:uid="{00000000-0005-0000-0000-0000B4010000}"/>
    <cellStyle name="40% - Accent5 2 2" xfId="11554" xr:uid="{00000000-0005-0000-0000-0000B5010000}"/>
    <cellStyle name="40% - Accent5 2 2 2" xfId="11555" xr:uid="{00000000-0005-0000-0000-0000B6010000}"/>
    <cellStyle name="40% - Accent5 2 3" xfId="11556" xr:uid="{00000000-0005-0000-0000-0000B7010000}"/>
    <cellStyle name="40% - Accent5 2 4" xfId="11557" xr:uid="{00000000-0005-0000-0000-0000B8010000}"/>
    <cellStyle name="40% - Accent5 2 5" xfId="17853" xr:uid="{00000000-0005-0000-0000-0000B9010000}"/>
    <cellStyle name="40% - Accent5 3" xfId="9297" xr:uid="{00000000-0005-0000-0000-0000BA010000}"/>
    <cellStyle name="40% - Accent5 3 2" xfId="10354" xr:uid="{00000000-0005-0000-0000-0000BB010000}"/>
    <cellStyle name="40% - Accent5 3 2 2" xfId="11560" xr:uid="{00000000-0005-0000-0000-0000BC010000}"/>
    <cellStyle name="40% - Accent5 3 2 3" xfId="11559" xr:uid="{00000000-0005-0000-0000-0000BD010000}"/>
    <cellStyle name="40% - Accent5 3 2 4" xfId="13948" xr:uid="{00000000-0005-0000-0000-0000BE010000}"/>
    <cellStyle name="40% - Accent5 3 2 5" xfId="15085" xr:uid="{00000000-0005-0000-0000-0000BF010000}"/>
    <cellStyle name="40% - Accent5 3 3" xfId="11561" xr:uid="{00000000-0005-0000-0000-0000C0010000}"/>
    <cellStyle name="40% - Accent5 3 4" xfId="11562" xr:uid="{00000000-0005-0000-0000-0000C1010000}"/>
    <cellStyle name="40% - Accent5 3 5" xfId="11558" xr:uid="{00000000-0005-0000-0000-0000C2010000}"/>
    <cellStyle name="40% - Accent5 3 6" xfId="12895" xr:uid="{00000000-0005-0000-0000-0000C3010000}"/>
    <cellStyle name="40% - Accent5 3 6 2" xfId="17854" xr:uid="{00000000-0005-0000-0000-0000C4010000}"/>
    <cellStyle name="40% - Accent5 3 7" xfId="15084" xr:uid="{00000000-0005-0000-0000-0000C5010000}"/>
    <cellStyle name="40% - Accent5 4" xfId="10340" xr:uid="{00000000-0005-0000-0000-0000C6010000}"/>
    <cellStyle name="40% - Accent5 4 2" xfId="11564" xr:uid="{00000000-0005-0000-0000-0000C7010000}"/>
    <cellStyle name="40% - Accent5 4 2 2" xfId="17856" xr:uid="{00000000-0005-0000-0000-0000C8010000}"/>
    <cellStyle name="40% - Accent5 4 3" xfId="11565" xr:uid="{00000000-0005-0000-0000-0000C9010000}"/>
    <cellStyle name="40% - Accent5 4 4" xfId="11563" xr:uid="{00000000-0005-0000-0000-0000CA010000}"/>
    <cellStyle name="40% - Accent5 4 5" xfId="13934" xr:uid="{00000000-0005-0000-0000-0000CB010000}"/>
    <cellStyle name="40% - Accent5 4 5 2" xfId="17855" xr:uid="{00000000-0005-0000-0000-0000CC010000}"/>
    <cellStyle name="40% - Accent5 4 6" xfId="15086" xr:uid="{00000000-0005-0000-0000-0000CD010000}"/>
    <cellStyle name="40% - Accent5 5" xfId="11566" xr:uid="{00000000-0005-0000-0000-0000CE010000}"/>
    <cellStyle name="40% - Accent5 5 2" xfId="17858" xr:uid="{00000000-0005-0000-0000-0000CF010000}"/>
    <cellStyle name="40% - Accent5 5 3" xfId="17857" xr:uid="{00000000-0005-0000-0000-0000D0010000}"/>
    <cellStyle name="40% - Accent5 6" xfId="11567" xr:uid="{00000000-0005-0000-0000-0000D1010000}"/>
    <cellStyle name="40% - Accent5 6 2" xfId="17859" xr:uid="{00000000-0005-0000-0000-0000D2010000}"/>
    <cellStyle name="40% - Accent5 7" xfId="11568" xr:uid="{00000000-0005-0000-0000-0000D3010000}"/>
    <cellStyle name="40% - Accent5 7 2" xfId="17860" xr:uid="{00000000-0005-0000-0000-0000D4010000}"/>
    <cellStyle name="40% - Accent5 8" xfId="11569" xr:uid="{00000000-0005-0000-0000-0000D5010000}"/>
    <cellStyle name="40% - Accent5 8 2" xfId="17861" xr:uid="{00000000-0005-0000-0000-0000D6010000}"/>
    <cellStyle name="40% - Accent5 9" xfId="12881" xr:uid="{00000000-0005-0000-0000-0000D7010000}"/>
    <cellStyle name="40% - Accent5 9 2" xfId="17862" xr:uid="{00000000-0005-0000-0000-0000D8010000}"/>
    <cellStyle name="40% - Accent6" xfId="9284" builtinId="51" customBuiltin="1"/>
    <cellStyle name="40% - Accent6 10" xfId="17863" xr:uid="{00000000-0005-0000-0000-0000DA010000}"/>
    <cellStyle name="40% - Accent6 11" xfId="17864" xr:uid="{00000000-0005-0000-0000-0000DB010000}"/>
    <cellStyle name="40% - Accent6 12" xfId="17865" xr:uid="{00000000-0005-0000-0000-0000DC010000}"/>
    <cellStyle name="40% - Accent6 13" xfId="17866" xr:uid="{00000000-0005-0000-0000-0000DD010000}"/>
    <cellStyle name="40% - Accent6 2" xfId="82" xr:uid="{00000000-0005-0000-0000-0000DE010000}"/>
    <cellStyle name="40% - Accent6 2 2" xfId="11570" xr:uid="{00000000-0005-0000-0000-0000DF010000}"/>
    <cellStyle name="40% - Accent6 2 2 2" xfId="11571" xr:uid="{00000000-0005-0000-0000-0000E0010000}"/>
    <cellStyle name="40% - Accent6 2 3" xfId="11572" xr:uid="{00000000-0005-0000-0000-0000E1010000}"/>
    <cellStyle name="40% - Accent6 2 4" xfId="11573" xr:uid="{00000000-0005-0000-0000-0000E2010000}"/>
    <cellStyle name="40% - Accent6 2 5" xfId="17867" xr:uid="{00000000-0005-0000-0000-0000E3010000}"/>
    <cellStyle name="40% - Accent6 3" xfId="9299" xr:uid="{00000000-0005-0000-0000-0000E4010000}"/>
    <cellStyle name="40% - Accent6 3 2" xfId="10356" xr:uid="{00000000-0005-0000-0000-0000E5010000}"/>
    <cellStyle name="40% - Accent6 3 2 2" xfId="11576" xr:uid="{00000000-0005-0000-0000-0000E6010000}"/>
    <cellStyle name="40% - Accent6 3 2 3" xfId="11575" xr:uid="{00000000-0005-0000-0000-0000E7010000}"/>
    <cellStyle name="40% - Accent6 3 2 4" xfId="13950" xr:uid="{00000000-0005-0000-0000-0000E8010000}"/>
    <cellStyle name="40% - Accent6 3 2 5" xfId="15088" xr:uid="{00000000-0005-0000-0000-0000E9010000}"/>
    <cellStyle name="40% - Accent6 3 3" xfId="11577" xr:uid="{00000000-0005-0000-0000-0000EA010000}"/>
    <cellStyle name="40% - Accent6 3 4" xfId="11578" xr:uid="{00000000-0005-0000-0000-0000EB010000}"/>
    <cellStyle name="40% - Accent6 3 5" xfId="11574" xr:uid="{00000000-0005-0000-0000-0000EC010000}"/>
    <cellStyle name="40% - Accent6 3 6" xfId="12897" xr:uid="{00000000-0005-0000-0000-0000ED010000}"/>
    <cellStyle name="40% - Accent6 3 6 2" xfId="17868" xr:uid="{00000000-0005-0000-0000-0000EE010000}"/>
    <cellStyle name="40% - Accent6 3 7" xfId="15087" xr:uid="{00000000-0005-0000-0000-0000EF010000}"/>
    <cellStyle name="40% - Accent6 4" xfId="10342" xr:uid="{00000000-0005-0000-0000-0000F0010000}"/>
    <cellStyle name="40% - Accent6 4 2" xfId="11580" xr:uid="{00000000-0005-0000-0000-0000F1010000}"/>
    <cellStyle name="40% - Accent6 4 2 2" xfId="17870" xr:uid="{00000000-0005-0000-0000-0000F2010000}"/>
    <cellStyle name="40% - Accent6 4 3" xfId="11581" xr:uid="{00000000-0005-0000-0000-0000F3010000}"/>
    <cellStyle name="40% - Accent6 4 4" xfId="11579" xr:uid="{00000000-0005-0000-0000-0000F4010000}"/>
    <cellStyle name="40% - Accent6 4 5" xfId="13936" xr:uid="{00000000-0005-0000-0000-0000F5010000}"/>
    <cellStyle name="40% - Accent6 4 5 2" xfId="17869" xr:uid="{00000000-0005-0000-0000-0000F6010000}"/>
    <cellStyle name="40% - Accent6 4 6" xfId="15089" xr:uid="{00000000-0005-0000-0000-0000F7010000}"/>
    <cellStyle name="40% - Accent6 5" xfId="11582" xr:uid="{00000000-0005-0000-0000-0000F8010000}"/>
    <cellStyle name="40% - Accent6 5 2" xfId="17872" xr:uid="{00000000-0005-0000-0000-0000F9010000}"/>
    <cellStyle name="40% - Accent6 5 3" xfId="17871" xr:uid="{00000000-0005-0000-0000-0000FA010000}"/>
    <cellStyle name="40% - Accent6 6" xfId="11583" xr:uid="{00000000-0005-0000-0000-0000FB010000}"/>
    <cellStyle name="40% - Accent6 6 2" xfId="17873" xr:uid="{00000000-0005-0000-0000-0000FC010000}"/>
    <cellStyle name="40% - Accent6 7" xfId="11584" xr:uid="{00000000-0005-0000-0000-0000FD010000}"/>
    <cellStyle name="40% - Accent6 7 2" xfId="17874" xr:uid="{00000000-0005-0000-0000-0000FE010000}"/>
    <cellStyle name="40% - Accent6 8" xfId="11585" xr:uid="{00000000-0005-0000-0000-0000FF010000}"/>
    <cellStyle name="40% - Accent6 8 2" xfId="17875" xr:uid="{00000000-0005-0000-0000-000000020000}"/>
    <cellStyle name="40% - Accent6 9" xfId="12883" xr:uid="{00000000-0005-0000-0000-000001020000}"/>
    <cellStyle name="40% - Accent6 9 2" xfId="17876" xr:uid="{00000000-0005-0000-0000-000002020000}"/>
    <cellStyle name="60% - Accent1" xfId="9265" builtinId="32" customBuiltin="1"/>
    <cellStyle name="60% - Accent1 2" xfId="83" xr:uid="{00000000-0005-0000-0000-000004020000}"/>
    <cellStyle name="60% - Accent1 2 2" xfId="17877" xr:uid="{00000000-0005-0000-0000-000005020000}"/>
    <cellStyle name="60% - Accent1 3" xfId="17878" xr:uid="{00000000-0005-0000-0000-000006020000}"/>
    <cellStyle name="60% - Accent2" xfId="9269" builtinId="36" customBuiltin="1"/>
    <cellStyle name="60% - Accent2 2" xfId="84" xr:uid="{00000000-0005-0000-0000-000008020000}"/>
    <cellStyle name="60% - Accent2 2 2" xfId="17879" xr:uid="{00000000-0005-0000-0000-000009020000}"/>
    <cellStyle name="60% - Accent2 3" xfId="17880" xr:uid="{00000000-0005-0000-0000-00000A020000}"/>
    <cellStyle name="60% - Accent3" xfId="9273" builtinId="40" customBuiltin="1"/>
    <cellStyle name="60% - Accent3 2" xfId="85" xr:uid="{00000000-0005-0000-0000-00000C020000}"/>
    <cellStyle name="60% - Accent3 2 2" xfId="17881" xr:uid="{00000000-0005-0000-0000-00000D020000}"/>
    <cellStyle name="60% - Accent3 3" xfId="17882" xr:uid="{00000000-0005-0000-0000-00000E020000}"/>
    <cellStyle name="60% - Accent4" xfId="9277" builtinId="44" customBuiltin="1"/>
    <cellStyle name="60% - Accent4 2" xfId="86" xr:uid="{00000000-0005-0000-0000-000010020000}"/>
    <cellStyle name="60% - Accent4 2 2" xfId="17883" xr:uid="{00000000-0005-0000-0000-000011020000}"/>
    <cellStyle name="60% - Accent4 3" xfId="17884" xr:uid="{00000000-0005-0000-0000-000012020000}"/>
    <cellStyle name="60% - Accent5" xfId="9281" builtinId="48" customBuiltin="1"/>
    <cellStyle name="60% - Accent5 2" xfId="87" xr:uid="{00000000-0005-0000-0000-000014020000}"/>
    <cellStyle name="60% - Accent5 2 2" xfId="17885" xr:uid="{00000000-0005-0000-0000-000015020000}"/>
    <cellStyle name="60% - Accent5 3" xfId="17886" xr:uid="{00000000-0005-0000-0000-000016020000}"/>
    <cellStyle name="60% - Accent6" xfId="9285" builtinId="52" customBuiltin="1"/>
    <cellStyle name="60% - Accent6 2" xfId="88" xr:uid="{00000000-0005-0000-0000-000018020000}"/>
    <cellStyle name="60% - Accent6 2 2" xfId="17887" xr:uid="{00000000-0005-0000-0000-000019020000}"/>
    <cellStyle name="60% - Accent6 3" xfId="17888" xr:uid="{00000000-0005-0000-0000-00001A020000}"/>
    <cellStyle name="a125body" xfId="11586" xr:uid="{00000000-0005-0000-0000-00001B020000}"/>
    <cellStyle name="a125body 2" xfId="14985" xr:uid="{00000000-0005-0000-0000-00001C020000}"/>
    <cellStyle name="a125body 3" xfId="15025" xr:uid="{00000000-0005-0000-0000-00001D020000}"/>
    <cellStyle name="a125body 4" xfId="12364" xr:uid="{00000000-0005-0000-0000-00001E020000}"/>
    <cellStyle name="a125body 5" xfId="15004" xr:uid="{00000000-0005-0000-0000-00001F020000}"/>
    <cellStyle name="a125body 6" xfId="15021" xr:uid="{00000000-0005-0000-0000-000020020000}"/>
    <cellStyle name="a125body 7" xfId="12319" xr:uid="{00000000-0005-0000-0000-000021020000}"/>
    <cellStyle name="a125body 8" xfId="15023" xr:uid="{00000000-0005-0000-0000-000022020000}"/>
    <cellStyle name="a125body 9" xfId="12363" xr:uid="{00000000-0005-0000-0000-000023020000}"/>
    <cellStyle name="Accent1" xfId="9262" builtinId="29" customBuiltin="1"/>
    <cellStyle name="Accent1 2" xfId="89" xr:uid="{00000000-0005-0000-0000-000025020000}"/>
    <cellStyle name="Accent1 2 2" xfId="17889" xr:uid="{00000000-0005-0000-0000-000026020000}"/>
    <cellStyle name="Accent1 3" xfId="17890" xr:uid="{00000000-0005-0000-0000-000027020000}"/>
    <cellStyle name="Accent2" xfId="9266" builtinId="33" customBuiltin="1"/>
    <cellStyle name="Accent2 2" xfId="90" xr:uid="{00000000-0005-0000-0000-000029020000}"/>
    <cellStyle name="Accent2 2 2" xfId="17891" xr:uid="{00000000-0005-0000-0000-00002A020000}"/>
    <cellStyle name="Accent2 3" xfId="17892" xr:uid="{00000000-0005-0000-0000-00002B020000}"/>
    <cellStyle name="Accent3" xfId="9270" builtinId="37" customBuiltin="1"/>
    <cellStyle name="Accent3 2" xfId="91" xr:uid="{00000000-0005-0000-0000-00002D020000}"/>
    <cellStyle name="Accent3 2 2" xfId="17893" xr:uid="{00000000-0005-0000-0000-00002E020000}"/>
    <cellStyle name="Accent3 3" xfId="17894" xr:uid="{00000000-0005-0000-0000-00002F020000}"/>
    <cellStyle name="Accent4" xfId="9274" builtinId="41" customBuiltin="1"/>
    <cellStyle name="Accent4 2" xfId="92" xr:uid="{00000000-0005-0000-0000-000031020000}"/>
    <cellStyle name="Accent4 2 2" xfId="17895" xr:uid="{00000000-0005-0000-0000-000032020000}"/>
    <cellStyle name="Accent4 3" xfId="17896" xr:uid="{00000000-0005-0000-0000-000033020000}"/>
    <cellStyle name="Accent5" xfId="9278" builtinId="45" customBuiltin="1"/>
    <cellStyle name="Accent5 2" xfId="93" xr:uid="{00000000-0005-0000-0000-000035020000}"/>
    <cellStyle name="Accent5 2 2" xfId="17897" xr:uid="{00000000-0005-0000-0000-000036020000}"/>
    <cellStyle name="Accent5 3" xfId="17898" xr:uid="{00000000-0005-0000-0000-000037020000}"/>
    <cellStyle name="Accent6" xfId="9282" builtinId="49" customBuiltin="1"/>
    <cellStyle name="Accent6 2" xfId="94" xr:uid="{00000000-0005-0000-0000-000039020000}"/>
    <cellStyle name="Accent6 2 2" xfId="17899" xr:uid="{00000000-0005-0000-0000-00003A020000}"/>
    <cellStyle name="Accent6 3" xfId="17900" xr:uid="{00000000-0005-0000-0000-00003B020000}"/>
    <cellStyle name="Activity" xfId="11587" xr:uid="{00000000-0005-0000-0000-00003C020000}"/>
    <cellStyle name="Activity 2" xfId="14986" xr:uid="{00000000-0005-0000-0000-00003D020000}"/>
    <cellStyle name="Activity 3" xfId="15026" xr:uid="{00000000-0005-0000-0000-00003E020000}"/>
    <cellStyle name="Activity 4" xfId="12365" xr:uid="{00000000-0005-0000-0000-00003F020000}"/>
    <cellStyle name="Activity 5" xfId="15019" xr:uid="{00000000-0005-0000-0000-000040020000}"/>
    <cellStyle name="Activity 6" xfId="15001" xr:uid="{00000000-0005-0000-0000-000041020000}"/>
    <cellStyle name="Activity 7" xfId="15022" xr:uid="{00000000-0005-0000-0000-000042020000}"/>
    <cellStyle name="Activity 8" xfId="12362" xr:uid="{00000000-0005-0000-0000-000043020000}"/>
    <cellStyle name="Activity 9" xfId="15028" xr:uid="{00000000-0005-0000-0000-000044020000}"/>
    <cellStyle name="Actual Date" xfId="11588" xr:uid="{00000000-0005-0000-0000-000045020000}"/>
    <cellStyle name="Actual Date 2" xfId="17901" xr:uid="{00000000-0005-0000-0000-000046020000}"/>
    <cellStyle name="adjusted" xfId="17902" xr:uid="{00000000-0005-0000-0000-000047020000}"/>
    <cellStyle name="Assumption" xfId="11589" xr:uid="{00000000-0005-0000-0000-000048020000}"/>
    <cellStyle name="Bad" xfId="9252" builtinId="27" customBuiltin="1"/>
    <cellStyle name="Bad 2" xfId="95" xr:uid="{00000000-0005-0000-0000-00004A020000}"/>
    <cellStyle name="Bad 2 2" xfId="17903" xr:uid="{00000000-0005-0000-0000-00004B020000}"/>
    <cellStyle name="Bad 3" xfId="17904" xr:uid="{00000000-0005-0000-0000-00004C020000}"/>
    <cellStyle name="BegBal" xfId="11590" xr:uid="{00000000-0005-0000-0000-00004D020000}"/>
    <cellStyle name="BIM" xfId="11591" xr:uid="{00000000-0005-0000-0000-00004E020000}"/>
    <cellStyle name="Calculation" xfId="9256" builtinId="22" customBuiltin="1"/>
    <cellStyle name="Calculation 2" xfId="96" xr:uid="{00000000-0005-0000-0000-000050020000}"/>
    <cellStyle name="Calculation 2 2" xfId="17905" xr:uid="{00000000-0005-0000-0000-000051020000}"/>
    <cellStyle name="Calculation 3" xfId="17906" xr:uid="{00000000-0005-0000-0000-000052020000}"/>
    <cellStyle name="Calculation in Model" xfId="11592" xr:uid="{00000000-0005-0000-0000-000053020000}"/>
    <cellStyle name="Calculation in Model 2" xfId="14987" xr:uid="{00000000-0005-0000-0000-000054020000}"/>
    <cellStyle name="Calculation in Model 3" xfId="15027" xr:uid="{00000000-0005-0000-0000-000055020000}"/>
    <cellStyle name="Calculation in Model 4" xfId="12366" xr:uid="{00000000-0005-0000-0000-000056020000}"/>
    <cellStyle name="Calculation in Model 5" xfId="15008" xr:uid="{00000000-0005-0000-0000-000057020000}"/>
    <cellStyle name="Calculation in Model 6" xfId="14982" xr:uid="{00000000-0005-0000-0000-000058020000}"/>
    <cellStyle name="Calculation in Model 7" xfId="12325" xr:uid="{00000000-0005-0000-0000-000059020000}"/>
    <cellStyle name="Calculation in Model 8" xfId="15013" xr:uid="{00000000-0005-0000-0000-00005A020000}"/>
    <cellStyle name="Calculation in Model 9" xfId="12361" xr:uid="{00000000-0005-0000-0000-00005B020000}"/>
    <cellStyle name="Check Cell" xfId="9258" builtinId="23" customBuiltin="1"/>
    <cellStyle name="Check Cell 2" xfId="97" xr:uid="{00000000-0005-0000-0000-00005D020000}"/>
    <cellStyle name="Check Cell 2 2" xfId="17907" xr:uid="{00000000-0005-0000-0000-00005E020000}"/>
    <cellStyle name="Check Cell 3" xfId="17908" xr:uid="{00000000-0005-0000-0000-00005F020000}"/>
    <cellStyle name="ColLevel_" xfId="11593" xr:uid="{00000000-0005-0000-0000-000060020000}"/>
    <cellStyle name="column1" xfId="11594" xr:uid="{00000000-0005-0000-0000-000061020000}"/>
    <cellStyle name="column1 2" xfId="17909" xr:uid="{00000000-0005-0000-0000-000062020000}"/>
    <cellStyle name="column1 3" xfId="17910" xr:uid="{00000000-0005-0000-0000-000063020000}"/>
    <cellStyle name="column1 4" xfId="17911" xr:uid="{00000000-0005-0000-0000-000064020000}"/>
    <cellStyle name="column1 5" xfId="17912" xr:uid="{00000000-0005-0000-0000-000065020000}"/>
    <cellStyle name="Comma" xfId="1" builtinId="3"/>
    <cellStyle name="Comma  - Style1" xfId="11595" xr:uid="{00000000-0005-0000-0000-000067020000}"/>
    <cellStyle name="Comma  - Style1 2" xfId="17913" xr:uid="{00000000-0005-0000-0000-000068020000}"/>
    <cellStyle name="Comma  - Style2" xfId="11596" xr:uid="{00000000-0005-0000-0000-000069020000}"/>
    <cellStyle name="Comma  - Style2 2" xfId="17914" xr:uid="{00000000-0005-0000-0000-00006A020000}"/>
    <cellStyle name="Comma  - Style3" xfId="11597" xr:uid="{00000000-0005-0000-0000-00006B020000}"/>
    <cellStyle name="Comma  - Style3 2" xfId="17915" xr:uid="{00000000-0005-0000-0000-00006C020000}"/>
    <cellStyle name="Comma  - Style4" xfId="11598" xr:uid="{00000000-0005-0000-0000-00006D020000}"/>
    <cellStyle name="Comma  - Style4 2" xfId="17916" xr:uid="{00000000-0005-0000-0000-00006E020000}"/>
    <cellStyle name="Comma  - Style5" xfId="11599" xr:uid="{00000000-0005-0000-0000-00006F020000}"/>
    <cellStyle name="Comma  - Style5 2" xfId="17917" xr:uid="{00000000-0005-0000-0000-000070020000}"/>
    <cellStyle name="Comma  - Style6" xfId="11600" xr:uid="{00000000-0005-0000-0000-000071020000}"/>
    <cellStyle name="Comma  - Style6 2" xfId="17918" xr:uid="{00000000-0005-0000-0000-000072020000}"/>
    <cellStyle name="Comma  - Style7" xfId="11601" xr:uid="{00000000-0005-0000-0000-000073020000}"/>
    <cellStyle name="Comma  - Style7 2" xfId="17919" xr:uid="{00000000-0005-0000-0000-000074020000}"/>
    <cellStyle name="Comma  - Style8" xfId="11602" xr:uid="{00000000-0005-0000-0000-000075020000}"/>
    <cellStyle name="Comma  - Style8 2" xfId="17920" xr:uid="{00000000-0005-0000-0000-000076020000}"/>
    <cellStyle name="Comma [0] 2" xfId="11603" xr:uid="{00000000-0005-0000-0000-000077020000}"/>
    <cellStyle name="Comma [2]" xfId="17921" xr:uid="{00000000-0005-0000-0000-000078020000}"/>
    <cellStyle name="Comma [2] 2" xfId="17922" xr:uid="{00000000-0005-0000-0000-000079020000}"/>
    <cellStyle name="Comma [2] 3" xfId="17923" xr:uid="{00000000-0005-0000-0000-00007A020000}"/>
    <cellStyle name="Comma [2] 4" xfId="17924" xr:uid="{00000000-0005-0000-0000-00007B020000}"/>
    <cellStyle name="Comma [2] 5" xfId="17925" xr:uid="{00000000-0005-0000-0000-00007C020000}"/>
    <cellStyle name="Comma 0 [0]" xfId="17926" xr:uid="{00000000-0005-0000-0000-00007D020000}"/>
    <cellStyle name="Comma 10" xfId="11604" xr:uid="{00000000-0005-0000-0000-00007E020000}"/>
    <cellStyle name="Comma 10 2" xfId="11605" xr:uid="{00000000-0005-0000-0000-00007F020000}"/>
    <cellStyle name="Comma 10 2 2" xfId="17927" xr:uid="{00000000-0005-0000-0000-000080020000}"/>
    <cellStyle name="Comma 10 3" xfId="11606" xr:uid="{00000000-0005-0000-0000-000081020000}"/>
    <cellStyle name="Comma 11" xfId="11607" xr:uid="{00000000-0005-0000-0000-000082020000}"/>
    <cellStyle name="Comma 11 2" xfId="11608" xr:uid="{00000000-0005-0000-0000-000083020000}"/>
    <cellStyle name="Comma 11 3" xfId="11609" xr:uid="{00000000-0005-0000-0000-000084020000}"/>
    <cellStyle name="Comma 11 4" xfId="17928" xr:uid="{00000000-0005-0000-0000-000085020000}"/>
    <cellStyle name="Comma 12" xfId="11610" xr:uid="{00000000-0005-0000-0000-000086020000}"/>
    <cellStyle name="Comma 12 2" xfId="17929" xr:uid="{00000000-0005-0000-0000-000087020000}"/>
    <cellStyle name="Comma 13" xfId="11611" xr:uid="{00000000-0005-0000-0000-000088020000}"/>
    <cellStyle name="Comma 13 2" xfId="17930" xr:uid="{00000000-0005-0000-0000-000089020000}"/>
    <cellStyle name="Comma 14" xfId="11612" xr:uid="{00000000-0005-0000-0000-00008A020000}"/>
    <cellStyle name="Comma 14 2" xfId="17931" xr:uid="{00000000-0005-0000-0000-00008B020000}"/>
    <cellStyle name="Comma 15" xfId="11613" xr:uid="{00000000-0005-0000-0000-00008C020000}"/>
    <cellStyle name="Comma 15 2" xfId="17932" xr:uid="{00000000-0005-0000-0000-00008D020000}"/>
    <cellStyle name="Comma 16" xfId="11614" xr:uid="{00000000-0005-0000-0000-00008E020000}"/>
    <cellStyle name="Comma 16 2" xfId="17933" xr:uid="{00000000-0005-0000-0000-00008F020000}"/>
    <cellStyle name="Comma 17" xfId="11615" xr:uid="{00000000-0005-0000-0000-000090020000}"/>
    <cellStyle name="Comma 17 2" xfId="17934" xr:uid="{00000000-0005-0000-0000-000091020000}"/>
    <cellStyle name="Comma 18" xfId="11616" xr:uid="{00000000-0005-0000-0000-000092020000}"/>
    <cellStyle name="Comma 18 2" xfId="17935" xr:uid="{00000000-0005-0000-0000-000093020000}"/>
    <cellStyle name="Comma 19" xfId="11617" xr:uid="{00000000-0005-0000-0000-000094020000}"/>
    <cellStyle name="Comma 19 2" xfId="17936" xr:uid="{00000000-0005-0000-0000-000095020000}"/>
    <cellStyle name="Comma 2" xfId="68" xr:uid="{00000000-0005-0000-0000-000096020000}"/>
    <cellStyle name="Comma 2 2" xfId="11618" xr:uid="{00000000-0005-0000-0000-000097020000}"/>
    <cellStyle name="Comma 2 2 2" xfId="17937" xr:uid="{00000000-0005-0000-0000-000098020000}"/>
    <cellStyle name="Comma 2 3" xfId="11619" xr:uid="{00000000-0005-0000-0000-000099020000}"/>
    <cellStyle name="Comma 2 3 2" xfId="11620" xr:uid="{00000000-0005-0000-0000-00009A020000}"/>
    <cellStyle name="Comma 2 3 2 2" xfId="11621" xr:uid="{00000000-0005-0000-0000-00009B020000}"/>
    <cellStyle name="Comma 2 3 2 3" xfId="17938" xr:uid="{00000000-0005-0000-0000-00009C020000}"/>
    <cellStyle name="Comma 2 3 3" xfId="11622" xr:uid="{00000000-0005-0000-0000-00009D020000}"/>
    <cellStyle name="Comma 2 3 4" xfId="11623" xr:uid="{00000000-0005-0000-0000-00009E020000}"/>
    <cellStyle name="Comma 2 3 5" xfId="17694" xr:uid="{00000000-0005-0000-0000-00009F020000}"/>
    <cellStyle name="Comma 2 4" xfId="11624" xr:uid="{00000000-0005-0000-0000-0000A0020000}"/>
    <cellStyle name="Comma 2 4 2" xfId="11625" xr:uid="{00000000-0005-0000-0000-0000A1020000}"/>
    <cellStyle name="Comma 2 4 2 2" xfId="11626" xr:uid="{00000000-0005-0000-0000-0000A2020000}"/>
    <cellStyle name="Comma 2 4 2 3" xfId="17940" xr:uid="{00000000-0005-0000-0000-0000A3020000}"/>
    <cellStyle name="Comma 2 4 3" xfId="11627" xr:uid="{00000000-0005-0000-0000-0000A4020000}"/>
    <cellStyle name="Comma 2 4 4" xfId="11628" xr:uid="{00000000-0005-0000-0000-0000A5020000}"/>
    <cellStyle name="Comma 2 4 5" xfId="17939" xr:uid="{00000000-0005-0000-0000-0000A6020000}"/>
    <cellStyle name="Comma 2 5" xfId="11629" xr:uid="{00000000-0005-0000-0000-0000A7020000}"/>
    <cellStyle name="Comma 2 5 2" xfId="11630" xr:uid="{00000000-0005-0000-0000-0000A8020000}"/>
    <cellStyle name="Comma 2 5 2 2" xfId="11631" xr:uid="{00000000-0005-0000-0000-0000A9020000}"/>
    <cellStyle name="Comma 2 5 3" xfId="11632" xr:uid="{00000000-0005-0000-0000-0000AA020000}"/>
    <cellStyle name="Comma 2 5 4" xfId="11633" xr:uid="{00000000-0005-0000-0000-0000AB020000}"/>
    <cellStyle name="Comma 2 6" xfId="11634" xr:uid="{00000000-0005-0000-0000-0000AC020000}"/>
    <cellStyle name="Comma 2 7" xfId="43984" xr:uid="{A67CD349-B30E-4353-BEB0-4923FAC71025}"/>
    <cellStyle name="Comma 20" xfId="11635" xr:uid="{00000000-0005-0000-0000-0000AD020000}"/>
    <cellStyle name="Comma 20 2" xfId="17941" xr:uid="{00000000-0005-0000-0000-0000AE020000}"/>
    <cellStyle name="Comma 21" xfId="11636" xr:uid="{00000000-0005-0000-0000-0000AF020000}"/>
    <cellStyle name="Comma 21 2" xfId="17942" xr:uid="{00000000-0005-0000-0000-0000B0020000}"/>
    <cellStyle name="Comma 22" xfId="11637" xr:uid="{00000000-0005-0000-0000-0000B1020000}"/>
    <cellStyle name="Comma 22 2" xfId="17943" xr:uid="{00000000-0005-0000-0000-0000B2020000}"/>
    <cellStyle name="Comma 23" xfId="11638" xr:uid="{00000000-0005-0000-0000-0000B3020000}"/>
    <cellStyle name="Comma 23 2" xfId="17944" xr:uid="{00000000-0005-0000-0000-0000B4020000}"/>
    <cellStyle name="Comma 24" xfId="11639" xr:uid="{00000000-0005-0000-0000-0000B5020000}"/>
    <cellStyle name="Comma 24 2" xfId="17945" xr:uid="{00000000-0005-0000-0000-0000B6020000}"/>
    <cellStyle name="Comma 25" xfId="11640" xr:uid="{00000000-0005-0000-0000-0000B7020000}"/>
    <cellStyle name="Comma 25 2" xfId="17946" xr:uid="{00000000-0005-0000-0000-0000B8020000}"/>
    <cellStyle name="Comma 26" xfId="11641" xr:uid="{00000000-0005-0000-0000-0000B9020000}"/>
    <cellStyle name="Comma 26 2" xfId="17948" xr:uid="{00000000-0005-0000-0000-0000BA020000}"/>
    <cellStyle name="Comma 26 3" xfId="17947" xr:uid="{00000000-0005-0000-0000-0000BB020000}"/>
    <cellStyle name="Comma 27" xfId="11642" xr:uid="{00000000-0005-0000-0000-0000BC020000}"/>
    <cellStyle name="Comma 27 2" xfId="17949" xr:uid="{00000000-0005-0000-0000-0000BD020000}"/>
    <cellStyle name="Comma 28" xfId="11643" xr:uid="{00000000-0005-0000-0000-0000BE020000}"/>
    <cellStyle name="Comma 28 2" xfId="17950" xr:uid="{00000000-0005-0000-0000-0000BF020000}"/>
    <cellStyle name="Comma 29" xfId="17951" xr:uid="{00000000-0005-0000-0000-0000C0020000}"/>
    <cellStyle name="Comma 3" xfId="98" xr:uid="{00000000-0005-0000-0000-0000C1020000}"/>
    <cellStyle name="Comma 3 10" xfId="17682" xr:uid="{00000000-0005-0000-0000-0000C2020000}"/>
    <cellStyle name="Comma 3 2" xfId="99" xr:uid="{00000000-0005-0000-0000-0000C3020000}"/>
    <cellStyle name="Comma 3 2 10" xfId="17953" xr:uid="{00000000-0005-0000-0000-0000C4020000}"/>
    <cellStyle name="Comma 3 2 10 2" xfId="17954" xr:uid="{00000000-0005-0000-0000-0000C5020000}"/>
    <cellStyle name="Comma 3 2 10 2 2" xfId="17955" xr:uid="{00000000-0005-0000-0000-0000C6020000}"/>
    <cellStyle name="Comma 3 2 10 3" xfId="17956" xr:uid="{00000000-0005-0000-0000-0000C7020000}"/>
    <cellStyle name="Comma 3 2 10 3 2" xfId="17957" xr:uid="{00000000-0005-0000-0000-0000C8020000}"/>
    <cellStyle name="Comma 3 2 10 4" xfId="17958" xr:uid="{00000000-0005-0000-0000-0000C9020000}"/>
    <cellStyle name="Comma 3 2 10 4 2" xfId="17959" xr:uid="{00000000-0005-0000-0000-0000CA020000}"/>
    <cellStyle name="Comma 3 2 10 5" xfId="17960" xr:uid="{00000000-0005-0000-0000-0000CB020000}"/>
    <cellStyle name="Comma 3 2 10 6" xfId="17961" xr:uid="{00000000-0005-0000-0000-0000CC020000}"/>
    <cellStyle name="Comma 3 2 11" xfId="17962" xr:uid="{00000000-0005-0000-0000-0000CD020000}"/>
    <cellStyle name="Comma 3 2 11 2" xfId="17963" xr:uid="{00000000-0005-0000-0000-0000CE020000}"/>
    <cellStyle name="Comma 3 2 11 2 2" xfId="17964" xr:uid="{00000000-0005-0000-0000-0000CF020000}"/>
    <cellStyle name="Comma 3 2 11 3" xfId="17965" xr:uid="{00000000-0005-0000-0000-0000D0020000}"/>
    <cellStyle name="Comma 3 2 11 3 2" xfId="17966" xr:uid="{00000000-0005-0000-0000-0000D1020000}"/>
    <cellStyle name="Comma 3 2 11 4" xfId="17967" xr:uid="{00000000-0005-0000-0000-0000D2020000}"/>
    <cellStyle name="Comma 3 2 11 5" xfId="17968" xr:uid="{00000000-0005-0000-0000-0000D3020000}"/>
    <cellStyle name="Comma 3 2 12" xfId="17969" xr:uid="{00000000-0005-0000-0000-0000D4020000}"/>
    <cellStyle name="Comma 3 2 12 2" xfId="17970" xr:uid="{00000000-0005-0000-0000-0000D5020000}"/>
    <cellStyle name="Comma 3 2 13" xfId="17971" xr:uid="{00000000-0005-0000-0000-0000D6020000}"/>
    <cellStyle name="Comma 3 2 13 2" xfId="17972" xr:uid="{00000000-0005-0000-0000-0000D7020000}"/>
    <cellStyle name="Comma 3 2 14" xfId="17973" xr:uid="{00000000-0005-0000-0000-0000D8020000}"/>
    <cellStyle name="Comma 3 2 14 2" xfId="17974" xr:uid="{00000000-0005-0000-0000-0000D9020000}"/>
    <cellStyle name="Comma 3 2 15" xfId="17975" xr:uid="{00000000-0005-0000-0000-0000DA020000}"/>
    <cellStyle name="Comma 3 2 16" xfId="17976" xr:uid="{00000000-0005-0000-0000-0000DB020000}"/>
    <cellStyle name="Comma 3 2 17" xfId="17977" xr:uid="{00000000-0005-0000-0000-0000DC020000}"/>
    <cellStyle name="Comma 3 2 18" xfId="17952" xr:uid="{00000000-0005-0000-0000-0000DD020000}"/>
    <cellStyle name="Comma 3 2 2" xfId="17978" xr:uid="{00000000-0005-0000-0000-0000DE020000}"/>
    <cellStyle name="Comma 3 2 2 10" xfId="17979" xr:uid="{00000000-0005-0000-0000-0000DF020000}"/>
    <cellStyle name="Comma 3 2 2 10 2" xfId="17980" xr:uid="{00000000-0005-0000-0000-0000E0020000}"/>
    <cellStyle name="Comma 3 2 2 11" xfId="17981" xr:uid="{00000000-0005-0000-0000-0000E1020000}"/>
    <cellStyle name="Comma 3 2 2 11 2" xfId="17982" xr:uid="{00000000-0005-0000-0000-0000E2020000}"/>
    <cellStyle name="Comma 3 2 2 12" xfId="17983" xr:uid="{00000000-0005-0000-0000-0000E3020000}"/>
    <cellStyle name="Comma 3 2 2 13" xfId="17984" xr:uid="{00000000-0005-0000-0000-0000E4020000}"/>
    <cellStyle name="Comma 3 2 2 2" xfId="17985" xr:uid="{00000000-0005-0000-0000-0000E5020000}"/>
    <cellStyle name="Comma 3 2 2 2 10" xfId="17986" xr:uid="{00000000-0005-0000-0000-0000E6020000}"/>
    <cellStyle name="Comma 3 2 2 2 11" xfId="17987" xr:uid="{00000000-0005-0000-0000-0000E7020000}"/>
    <cellStyle name="Comma 3 2 2 2 2" xfId="17988" xr:uid="{00000000-0005-0000-0000-0000E8020000}"/>
    <cellStyle name="Comma 3 2 2 2 2 2" xfId="17989" xr:uid="{00000000-0005-0000-0000-0000E9020000}"/>
    <cellStyle name="Comma 3 2 2 2 2 2 2" xfId="17990" xr:uid="{00000000-0005-0000-0000-0000EA020000}"/>
    <cellStyle name="Comma 3 2 2 2 2 3" xfId="17991" xr:uid="{00000000-0005-0000-0000-0000EB020000}"/>
    <cellStyle name="Comma 3 2 2 2 2 3 2" xfId="17992" xr:uid="{00000000-0005-0000-0000-0000EC020000}"/>
    <cellStyle name="Comma 3 2 2 2 2 4" xfId="17993" xr:uid="{00000000-0005-0000-0000-0000ED020000}"/>
    <cellStyle name="Comma 3 2 2 2 2 4 2" xfId="17994" xr:uid="{00000000-0005-0000-0000-0000EE020000}"/>
    <cellStyle name="Comma 3 2 2 2 2 5" xfId="17995" xr:uid="{00000000-0005-0000-0000-0000EF020000}"/>
    <cellStyle name="Comma 3 2 2 2 2 6" xfId="17996" xr:uid="{00000000-0005-0000-0000-0000F0020000}"/>
    <cellStyle name="Comma 3 2 2 2 3" xfId="17997" xr:uid="{00000000-0005-0000-0000-0000F1020000}"/>
    <cellStyle name="Comma 3 2 2 2 3 2" xfId="17998" xr:uid="{00000000-0005-0000-0000-0000F2020000}"/>
    <cellStyle name="Comma 3 2 2 2 3 2 2" xfId="17999" xr:uid="{00000000-0005-0000-0000-0000F3020000}"/>
    <cellStyle name="Comma 3 2 2 2 3 3" xfId="18000" xr:uid="{00000000-0005-0000-0000-0000F4020000}"/>
    <cellStyle name="Comma 3 2 2 2 3 3 2" xfId="18001" xr:uid="{00000000-0005-0000-0000-0000F5020000}"/>
    <cellStyle name="Comma 3 2 2 2 3 4" xfId="18002" xr:uid="{00000000-0005-0000-0000-0000F6020000}"/>
    <cellStyle name="Comma 3 2 2 2 3 4 2" xfId="18003" xr:uid="{00000000-0005-0000-0000-0000F7020000}"/>
    <cellStyle name="Comma 3 2 2 2 3 5" xfId="18004" xr:uid="{00000000-0005-0000-0000-0000F8020000}"/>
    <cellStyle name="Comma 3 2 2 2 3 6" xfId="18005" xr:uid="{00000000-0005-0000-0000-0000F9020000}"/>
    <cellStyle name="Comma 3 2 2 2 4" xfId="18006" xr:uid="{00000000-0005-0000-0000-0000FA020000}"/>
    <cellStyle name="Comma 3 2 2 2 4 2" xfId="18007" xr:uid="{00000000-0005-0000-0000-0000FB020000}"/>
    <cellStyle name="Comma 3 2 2 2 4 2 2" xfId="18008" xr:uid="{00000000-0005-0000-0000-0000FC020000}"/>
    <cellStyle name="Comma 3 2 2 2 4 3" xfId="18009" xr:uid="{00000000-0005-0000-0000-0000FD020000}"/>
    <cellStyle name="Comma 3 2 2 2 4 3 2" xfId="18010" xr:uid="{00000000-0005-0000-0000-0000FE020000}"/>
    <cellStyle name="Comma 3 2 2 2 4 4" xfId="18011" xr:uid="{00000000-0005-0000-0000-0000FF020000}"/>
    <cellStyle name="Comma 3 2 2 2 4 4 2" xfId="18012" xr:uid="{00000000-0005-0000-0000-000000030000}"/>
    <cellStyle name="Comma 3 2 2 2 4 5" xfId="18013" xr:uid="{00000000-0005-0000-0000-000001030000}"/>
    <cellStyle name="Comma 3 2 2 2 4 6" xfId="18014" xr:uid="{00000000-0005-0000-0000-000002030000}"/>
    <cellStyle name="Comma 3 2 2 2 5" xfId="18015" xr:uid="{00000000-0005-0000-0000-000003030000}"/>
    <cellStyle name="Comma 3 2 2 2 5 2" xfId="18016" xr:uid="{00000000-0005-0000-0000-000004030000}"/>
    <cellStyle name="Comma 3 2 2 2 5 2 2" xfId="18017" xr:uid="{00000000-0005-0000-0000-000005030000}"/>
    <cellStyle name="Comma 3 2 2 2 5 3" xfId="18018" xr:uid="{00000000-0005-0000-0000-000006030000}"/>
    <cellStyle name="Comma 3 2 2 2 5 3 2" xfId="18019" xr:uid="{00000000-0005-0000-0000-000007030000}"/>
    <cellStyle name="Comma 3 2 2 2 5 4" xfId="18020" xr:uid="{00000000-0005-0000-0000-000008030000}"/>
    <cellStyle name="Comma 3 2 2 2 5 4 2" xfId="18021" xr:uid="{00000000-0005-0000-0000-000009030000}"/>
    <cellStyle name="Comma 3 2 2 2 5 5" xfId="18022" xr:uid="{00000000-0005-0000-0000-00000A030000}"/>
    <cellStyle name="Comma 3 2 2 2 5 6" xfId="18023" xr:uid="{00000000-0005-0000-0000-00000B030000}"/>
    <cellStyle name="Comma 3 2 2 2 6" xfId="18024" xr:uid="{00000000-0005-0000-0000-00000C030000}"/>
    <cellStyle name="Comma 3 2 2 2 6 2" xfId="18025" xr:uid="{00000000-0005-0000-0000-00000D030000}"/>
    <cellStyle name="Comma 3 2 2 2 6 2 2" xfId="18026" xr:uid="{00000000-0005-0000-0000-00000E030000}"/>
    <cellStyle name="Comma 3 2 2 2 6 3" xfId="18027" xr:uid="{00000000-0005-0000-0000-00000F030000}"/>
    <cellStyle name="Comma 3 2 2 2 6 3 2" xfId="18028" xr:uid="{00000000-0005-0000-0000-000010030000}"/>
    <cellStyle name="Comma 3 2 2 2 6 4" xfId="18029" xr:uid="{00000000-0005-0000-0000-000011030000}"/>
    <cellStyle name="Comma 3 2 2 2 6 5" xfId="18030" xr:uid="{00000000-0005-0000-0000-000012030000}"/>
    <cellStyle name="Comma 3 2 2 2 7" xfId="18031" xr:uid="{00000000-0005-0000-0000-000013030000}"/>
    <cellStyle name="Comma 3 2 2 2 7 2" xfId="18032" xr:uid="{00000000-0005-0000-0000-000014030000}"/>
    <cellStyle name="Comma 3 2 2 2 8" xfId="18033" xr:uid="{00000000-0005-0000-0000-000015030000}"/>
    <cellStyle name="Comma 3 2 2 2 8 2" xfId="18034" xr:uid="{00000000-0005-0000-0000-000016030000}"/>
    <cellStyle name="Comma 3 2 2 2 9" xfId="18035" xr:uid="{00000000-0005-0000-0000-000017030000}"/>
    <cellStyle name="Comma 3 2 2 2 9 2" xfId="18036" xr:uid="{00000000-0005-0000-0000-000018030000}"/>
    <cellStyle name="Comma 3 2 2 3" xfId="18037" xr:uid="{00000000-0005-0000-0000-000019030000}"/>
    <cellStyle name="Comma 3 2 2 3 10" xfId="18038" xr:uid="{00000000-0005-0000-0000-00001A030000}"/>
    <cellStyle name="Comma 3 2 2 3 2" xfId="18039" xr:uid="{00000000-0005-0000-0000-00001B030000}"/>
    <cellStyle name="Comma 3 2 2 3 2 2" xfId="18040" xr:uid="{00000000-0005-0000-0000-00001C030000}"/>
    <cellStyle name="Comma 3 2 2 3 2 2 2" xfId="18041" xr:uid="{00000000-0005-0000-0000-00001D030000}"/>
    <cellStyle name="Comma 3 2 2 3 2 3" xfId="18042" xr:uid="{00000000-0005-0000-0000-00001E030000}"/>
    <cellStyle name="Comma 3 2 2 3 2 3 2" xfId="18043" xr:uid="{00000000-0005-0000-0000-00001F030000}"/>
    <cellStyle name="Comma 3 2 2 3 2 4" xfId="18044" xr:uid="{00000000-0005-0000-0000-000020030000}"/>
    <cellStyle name="Comma 3 2 2 3 2 4 2" xfId="18045" xr:uid="{00000000-0005-0000-0000-000021030000}"/>
    <cellStyle name="Comma 3 2 2 3 2 5" xfId="18046" xr:uid="{00000000-0005-0000-0000-000022030000}"/>
    <cellStyle name="Comma 3 2 2 3 2 6" xfId="18047" xr:uid="{00000000-0005-0000-0000-000023030000}"/>
    <cellStyle name="Comma 3 2 2 3 3" xfId="18048" xr:uid="{00000000-0005-0000-0000-000024030000}"/>
    <cellStyle name="Comma 3 2 2 3 3 2" xfId="18049" xr:uid="{00000000-0005-0000-0000-000025030000}"/>
    <cellStyle name="Comma 3 2 2 3 3 2 2" xfId="18050" xr:uid="{00000000-0005-0000-0000-000026030000}"/>
    <cellStyle name="Comma 3 2 2 3 3 3" xfId="18051" xr:uid="{00000000-0005-0000-0000-000027030000}"/>
    <cellStyle name="Comma 3 2 2 3 3 3 2" xfId="18052" xr:uid="{00000000-0005-0000-0000-000028030000}"/>
    <cellStyle name="Comma 3 2 2 3 3 4" xfId="18053" xr:uid="{00000000-0005-0000-0000-000029030000}"/>
    <cellStyle name="Comma 3 2 2 3 3 4 2" xfId="18054" xr:uid="{00000000-0005-0000-0000-00002A030000}"/>
    <cellStyle name="Comma 3 2 2 3 3 5" xfId="18055" xr:uid="{00000000-0005-0000-0000-00002B030000}"/>
    <cellStyle name="Comma 3 2 2 3 3 6" xfId="18056" xr:uid="{00000000-0005-0000-0000-00002C030000}"/>
    <cellStyle name="Comma 3 2 2 3 4" xfId="18057" xr:uid="{00000000-0005-0000-0000-00002D030000}"/>
    <cellStyle name="Comma 3 2 2 3 4 2" xfId="18058" xr:uid="{00000000-0005-0000-0000-00002E030000}"/>
    <cellStyle name="Comma 3 2 2 3 4 2 2" xfId="18059" xr:uid="{00000000-0005-0000-0000-00002F030000}"/>
    <cellStyle name="Comma 3 2 2 3 4 3" xfId="18060" xr:uid="{00000000-0005-0000-0000-000030030000}"/>
    <cellStyle name="Comma 3 2 2 3 4 3 2" xfId="18061" xr:uid="{00000000-0005-0000-0000-000031030000}"/>
    <cellStyle name="Comma 3 2 2 3 4 4" xfId="18062" xr:uid="{00000000-0005-0000-0000-000032030000}"/>
    <cellStyle name="Comma 3 2 2 3 4 4 2" xfId="18063" xr:uid="{00000000-0005-0000-0000-000033030000}"/>
    <cellStyle name="Comma 3 2 2 3 4 5" xfId="18064" xr:uid="{00000000-0005-0000-0000-000034030000}"/>
    <cellStyle name="Comma 3 2 2 3 4 6" xfId="18065" xr:uid="{00000000-0005-0000-0000-000035030000}"/>
    <cellStyle name="Comma 3 2 2 3 5" xfId="18066" xr:uid="{00000000-0005-0000-0000-000036030000}"/>
    <cellStyle name="Comma 3 2 2 3 5 2" xfId="18067" xr:uid="{00000000-0005-0000-0000-000037030000}"/>
    <cellStyle name="Comma 3 2 2 3 5 2 2" xfId="18068" xr:uid="{00000000-0005-0000-0000-000038030000}"/>
    <cellStyle name="Comma 3 2 2 3 5 3" xfId="18069" xr:uid="{00000000-0005-0000-0000-000039030000}"/>
    <cellStyle name="Comma 3 2 2 3 5 3 2" xfId="18070" xr:uid="{00000000-0005-0000-0000-00003A030000}"/>
    <cellStyle name="Comma 3 2 2 3 5 4" xfId="18071" xr:uid="{00000000-0005-0000-0000-00003B030000}"/>
    <cellStyle name="Comma 3 2 2 3 5 5" xfId="18072" xr:uid="{00000000-0005-0000-0000-00003C030000}"/>
    <cellStyle name="Comma 3 2 2 3 6" xfId="18073" xr:uid="{00000000-0005-0000-0000-00003D030000}"/>
    <cellStyle name="Comma 3 2 2 3 6 2" xfId="18074" xr:uid="{00000000-0005-0000-0000-00003E030000}"/>
    <cellStyle name="Comma 3 2 2 3 7" xfId="18075" xr:uid="{00000000-0005-0000-0000-00003F030000}"/>
    <cellStyle name="Comma 3 2 2 3 7 2" xfId="18076" xr:uid="{00000000-0005-0000-0000-000040030000}"/>
    <cellStyle name="Comma 3 2 2 3 8" xfId="18077" xr:uid="{00000000-0005-0000-0000-000041030000}"/>
    <cellStyle name="Comma 3 2 2 3 8 2" xfId="18078" xr:uid="{00000000-0005-0000-0000-000042030000}"/>
    <cellStyle name="Comma 3 2 2 3 9" xfId="18079" xr:uid="{00000000-0005-0000-0000-000043030000}"/>
    <cellStyle name="Comma 3 2 2 4" xfId="18080" xr:uid="{00000000-0005-0000-0000-000044030000}"/>
    <cellStyle name="Comma 3 2 2 4 10" xfId="18081" xr:uid="{00000000-0005-0000-0000-000045030000}"/>
    <cellStyle name="Comma 3 2 2 4 2" xfId="18082" xr:uid="{00000000-0005-0000-0000-000046030000}"/>
    <cellStyle name="Comma 3 2 2 4 2 2" xfId="18083" xr:uid="{00000000-0005-0000-0000-000047030000}"/>
    <cellStyle name="Comma 3 2 2 4 2 2 2" xfId="18084" xr:uid="{00000000-0005-0000-0000-000048030000}"/>
    <cellStyle name="Comma 3 2 2 4 2 3" xfId="18085" xr:uid="{00000000-0005-0000-0000-000049030000}"/>
    <cellStyle name="Comma 3 2 2 4 2 3 2" xfId="18086" xr:uid="{00000000-0005-0000-0000-00004A030000}"/>
    <cellStyle name="Comma 3 2 2 4 2 4" xfId="18087" xr:uid="{00000000-0005-0000-0000-00004B030000}"/>
    <cellStyle name="Comma 3 2 2 4 2 4 2" xfId="18088" xr:uid="{00000000-0005-0000-0000-00004C030000}"/>
    <cellStyle name="Comma 3 2 2 4 2 5" xfId="18089" xr:uid="{00000000-0005-0000-0000-00004D030000}"/>
    <cellStyle name="Comma 3 2 2 4 2 6" xfId="18090" xr:uid="{00000000-0005-0000-0000-00004E030000}"/>
    <cellStyle name="Comma 3 2 2 4 3" xfId="18091" xr:uid="{00000000-0005-0000-0000-00004F030000}"/>
    <cellStyle name="Comma 3 2 2 4 3 2" xfId="18092" xr:uid="{00000000-0005-0000-0000-000050030000}"/>
    <cellStyle name="Comma 3 2 2 4 3 2 2" xfId="18093" xr:uid="{00000000-0005-0000-0000-000051030000}"/>
    <cellStyle name="Comma 3 2 2 4 3 3" xfId="18094" xr:uid="{00000000-0005-0000-0000-000052030000}"/>
    <cellStyle name="Comma 3 2 2 4 3 3 2" xfId="18095" xr:uid="{00000000-0005-0000-0000-000053030000}"/>
    <cellStyle name="Comma 3 2 2 4 3 4" xfId="18096" xr:uid="{00000000-0005-0000-0000-000054030000}"/>
    <cellStyle name="Comma 3 2 2 4 3 4 2" xfId="18097" xr:uid="{00000000-0005-0000-0000-000055030000}"/>
    <cellStyle name="Comma 3 2 2 4 3 5" xfId="18098" xr:uid="{00000000-0005-0000-0000-000056030000}"/>
    <cellStyle name="Comma 3 2 2 4 3 6" xfId="18099" xr:uid="{00000000-0005-0000-0000-000057030000}"/>
    <cellStyle name="Comma 3 2 2 4 4" xfId="18100" xr:uid="{00000000-0005-0000-0000-000058030000}"/>
    <cellStyle name="Comma 3 2 2 4 4 2" xfId="18101" xr:uid="{00000000-0005-0000-0000-000059030000}"/>
    <cellStyle name="Comma 3 2 2 4 4 2 2" xfId="18102" xr:uid="{00000000-0005-0000-0000-00005A030000}"/>
    <cellStyle name="Comma 3 2 2 4 4 3" xfId="18103" xr:uid="{00000000-0005-0000-0000-00005B030000}"/>
    <cellStyle name="Comma 3 2 2 4 4 3 2" xfId="18104" xr:uid="{00000000-0005-0000-0000-00005C030000}"/>
    <cellStyle name="Comma 3 2 2 4 4 4" xfId="18105" xr:uid="{00000000-0005-0000-0000-00005D030000}"/>
    <cellStyle name="Comma 3 2 2 4 4 4 2" xfId="18106" xr:uid="{00000000-0005-0000-0000-00005E030000}"/>
    <cellStyle name="Comma 3 2 2 4 4 5" xfId="18107" xr:uid="{00000000-0005-0000-0000-00005F030000}"/>
    <cellStyle name="Comma 3 2 2 4 4 6" xfId="18108" xr:uid="{00000000-0005-0000-0000-000060030000}"/>
    <cellStyle name="Comma 3 2 2 4 5" xfId="18109" xr:uid="{00000000-0005-0000-0000-000061030000}"/>
    <cellStyle name="Comma 3 2 2 4 5 2" xfId="18110" xr:uid="{00000000-0005-0000-0000-000062030000}"/>
    <cellStyle name="Comma 3 2 2 4 5 2 2" xfId="18111" xr:uid="{00000000-0005-0000-0000-000063030000}"/>
    <cellStyle name="Comma 3 2 2 4 5 3" xfId="18112" xr:uid="{00000000-0005-0000-0000-000064030000}"/>
    <cellStyle name="Comma 3 2 2 4 5 3 2" xfId="18113" xr:uid="{00000000-0005-0000-0000-000065030000}"/>
    <cellStyle name="Comma 3 2 2 4 5 4" xfId="18114" xr:uid="{00000000-0005-0000-0000-000066030000}"/>
    <cellStyle name="Comma 3 2 2 4 5 5" xfId="18115" xr:uid="{00000000-0005-0000-0000-000067030000}"/>
    <cellStyle name="Comma 3 2 2 4 6" xfId="18116" xr:uid="{00000000-0005-0000-0000-000068030000}"/>
    <cellStyle name="Comma 3 2 2 4 6 2" xfId="18117" xr:uid="{00000000-0005-0000-0000-000069030000}"/>
    <cellStyle name="Comma 3 2 2 4 7" xfId="18118" xr:uid="{00000000-0005-0000-0000-00006A030000}"/>
    <cellStyle name="Comma 3 2 2 4 7 2" xfId="18119" xr:uid="{00000000-0005-0000-0000-00006B030000}"/>
    <cellStyle name="Comma 3 2 2 4 8" xfId="18120" xr:uid="{00000000-0005-0000-0000-00006C030000}"/>
    <cellStyle name="Comma 3 2 2 4 8 2" xfId="18121" xr:uid="{00000000-0005-0000-0000-00006D030000}"/>
    <cellStyle name="Comma 3 2 2 4 9" xfId="18122" xr:uid="{00000000-0005-0000-0000-00006E030000}"/>
    <cellStyle name="Comma 3 2 2 5" xfId="18123" xr:uid="{00000000-0005-0000-0000-00006F030000}"/>
    <cellStyle name="Comma 3 2 2 5 2" xfId="18124" xr:uid="{00000000-0005-0000-0000-000070030000}"/>
    <cellStyle name="Comma 3 2 2 5 2 2" xfId="18125" xr:uid="{00000000-0005-0000-0000-000071030000}"/>
    <cellStyle name="Comma 3 2 2 5 3" xfId="18126" xr:uid="{00000000-0005-0000-0000-000072030000}"/>
    <cellStyle name="Comma 3 2 2 5 3 2" xfId="18127" xr:uid="{00000000-0005-0000-0000-000073030000}"/>
    <cellStyle name="Comma 3 2 2 5 4" xfId="18128" xr:uid="{00000000-0005-0000-0000-000074030000}"/>
    <cellStyle name="Comma 3 2 2 5 4 2" xfId="18129" xr:uid="{00000000-0005-0000-0000-000075030000}"/>
    <cellStyle name="Comma 3 2 2 5 5" xfId="18130" xr:uid="{00000000-0005-0000-0000-000076030000}"/>
    <cellStyle name="Comma 3 2 2 5 6" xfId="18131" xr:uid="{00000000-0005-0000-0000-000077030000}"/>
    <cellStyle name="Comma 3 2 2 6" xfId="18132" xr:uid="{00000000-0005-0000-0000-000078030000}"/>
    <cellStyle name="Comma 3 2 2 6 2" xfId="18133" xr:uid="{00000000-0005-0000-0000-000079030000}"/>
    <cellStyle name="Comma 3 2 2 6 2 2" xfId="18134" xr:uid="{00000000-0005-0000-0000-00007A030000}"/>
    <cellStyle name="Comma 3 2 2 6 3" xfId="18135" xr:uid="{00000000-0005-0000-0000-00007B030000}"/>
    <cellStyle name="Comma 3 2 2 6 3 2" xfId="18136" xr:uid="{00000000-0005-0000-0000-00007C030000}"/>
    <cellStyle name="Comma 3 2 2 6 4" xfId="18137" xr:uid="{00000000-0005-0000-0000-00007D030000}"/>
    <cellStyle name="Comma 3 2 2 6 4 2" xfId="18138" xr:uid="{00000000-0005-0000-0000-00007E030000}"/>
    <cellStyle name="Comma 3 2 2 6 5" xfId="18139" xr:uid="{00000000-0005-0000-0000-00007F030000}"/>
    <cellStyle name="Comma 3 2 2 6 6" xfId="18140" xr:uid="{00000000-0005-0000-0000-000080030000}"/>
    <cellStyle name="Comma 3 2 2 7" xfId="18141" xr:uid="{00000000-0005-0000-0000-000081030000}"/>
    <cellStyle name="Comma 3 2 2 7 2" xfId="18142" xr:uid="{00000000-0005-0000-0000-000082030000}"/>
    <cellStyle name="Comma 3 2 2 7 2 2" xfId="18143" xr:uid="{00000000-0005-0000-0000-000083030000}"/>
    <cellStyle name="Comma 3 2 2 7 3" xfId="18144" xr:uid="{00000000-0005-0000-0000-000084030000}"/>
    <cellStyle name="Comma 3 2 2 7 3 2" xfId="18145" xr:uid="{00000000-0005-0000-0000-000085030000}"/>
    <cellStyle name="Comma 3 2 2 7 4" xfId="18146" xr:uid="{00000000-0005-0000-0000-000086030000}"/>
    <cellStyle name="Comma 3 2 2 7 4 2" xfId="18147" xr:uid="{00000000-0005-0000-0000-000087030000}"/>
    <cellStyle name="Comma 3 2 2 7 5" xfId="18148" xr:uid="{00000000-0005-0000-0000-000088030000}"/>
    <cellStyle name="Comma 3 2 2 7 6" xfId="18149" xr:uid="{00000000-0005-0000-0000-000089030000}"/>
    <cellStyle name="Comma 3 2 2 8" xfId="18150" xr:uid="{00000000-0005-0000-0000-00008A030000}"/>
    <cellStyle name="Comma 3 2 2 8 2" xfId="18151" xr:uid="{00000000-0005-0000-0000-00008B030000}"/>
    <cellStyle name="Comma 3 2 2 8 2 2" xfId="18152" xr:uid="{00000000-0005-0000-0000-00008C030000}"/>
    <cellStyle name="Comma 3 2 2 8 3" xfId="18153" xr:uid="{00000000-0005-0000-0000-00008D030000}"/>
    <cellStyle name="Comma 3 2 2 8 3 2" xfId="18154" xr:uid="{00000000-0005-0000-0000-00008E030000}"/>
    <cellStyle name="Comma 3 2 2 8 4" xfId="18155" xr:uid="{00000000-0005-0000-0000-00008F030000}"/>
    <cellStyle name="Comma 3 2 2 8 5" xfId="18156" xr:uid="{00000000-0005-0000-0000-000090030000}"/>
    <cellStyle name="Comma 3 2 2 9" xfId="18157" xr:uid="{00000000-0005-0000-0000-000091030000}"/>
    <cellStyle name="Comma 3 2 2 9 2" xfId="18158" xr:uid="{00000000-0005-0000-0000-000092030000}"/>
    <cellStyle name="Comma 3 2 3" xfId="18159" xr:uid="{00000000-0005-0000-0000-000093030000}"/>
    <cellStyle name="Comma 3 2 3 10" xfId="18160" xr:uid="{00000000-0005-0000-0000-000094030000}"/>
    <cellStyle name="Comma 3 2 3 10 2" xfId="18161" xr:uid="{00000000-0005-0000-0000-000095030000}"/>
    <cellStyle name="Comma 3 2 3 11" xfId="18162" xr:uid="{00000000-0005-0000-0000-000096030000}"/>
    <cellStyle name="Comma 3 2 3 11 2" xfId="18163" xr:uid="{00000000-0005-0000-0000-000097030000}"/>
    <cellStyle name="Comma 3 2 3 12" xfId="18164" xr:uid="{00000000-0005-0000-0000-000098030000}"/>
    <cellStyle name="Comma 3 2 3 13" xfId="18165" xr:uid="{00000000-0005-0000-0000-000099030000}"/>
    <cellStyle name="Comma 3 2 3 2" xfId="18166" xr:uid="{00000000-0005-0000-0000-00009A030000}"/>
    <cellStyle name="Comma 3 2 3 2 10" xfId="18167" xr:uid="{00000000-0005-0000-0000-00009B030000}"/>
    <cellStyle name="Comma 3 2 3 2 11" xfId="18168" xr:uid="{00000000-0005-0000-0000-00009C030000}"/>
    <cellStyle name="Comma 3 2 3 2 2" xfId="18169" xr:uid="{00000000-0005-0000-0000-00009D030000}"/>
    <cellStyle name="Comma 3 2 3 2 2 2" xfId="18170" xr:uid="{00000000-0005-0000-0000-00009E030000}"/>
    <cellStyle name="Comma 3 2 3 2 2 2 2" xfId="18171" xr:uid="{00000000-0005-0000-0000-00009F030000}"/>
    <cellStyle name="Comma 3 2 3 2 2 3" xfId="18172" xr:uid="{00000000-0005-0000-0000-0000A0030000}"/>
    <cellStyle name="Comma 3 2 3 2 2 3 2" xfId="18173" xr:uid="{00000000-0005-0000-0000-0000A1030000}"/>
    <cellStyle name="Comma 3 2 3 2 2 4" xfId="18174" xr:uid="{00000000-0005-0000-0000-0000A2030000}"/>
    <cellStyle name="Comma 3 2 3 2 2 4 2" xfId="18175" xr:uid="{00000000-0005-0000-0000-0000A3030000}"/>
    <cellStyle name="Comma 3 2 3 2 2 5" xfId="18176" xr:uid="{00000000-0005-0000-0000-0000A4030000}"/>
    <cellStyle name="Comma 3 2 3 2 2 6" xfId="18177" xr:uid="{00000000-0005-0000-0000-0000A5030000}"/>
    <cellStyle name="Comma 3 2 3 2 3" xfId="18178" xr:uid="{00000000-0005-0000-0000-0000A6030000}"/>
    <cellStyle name="Comma 3 2 3 2 3 2" xfId="18179" xr:uid="{00000000-0005-0000-0000-0000A7030000}"/>
    <cellStyle name="Comma 3 2 3 2 3 2 2" xfId="18180" xr:uid="{00000000-0005-0000-0000-0000A8030000}"/>
    <cellStyle name="Comma 3 2 3 2 3 3" xfId="18181" xr:uid="{00000000-0005-0000-0000-0000A9030000}"/>
    <cellStyle name="Comma 3 2 3 2 3 3 2" xfId="18182" xr:uid="{00000000-0005-0000-0000-0000AA030000}"/>
    <cellStyle name="Comma 3 2 3 2 3 4" xfId="18183" xr:uid="{00000000-0005-0000-0000-0000AB030000}"/>
    <cellStyle name="Comma 3 2 3 2 3 4 2" xfId="18184" xr:uid="{00000000-0005-0000-0000-0000AC030000}"/>
    <cellStyle name="Comma 3 2 3 2 3 5" xfId="18185" xr:uid="{00000000-0005-0000-0000-0000AD030000}"/>
    <cellStyle name="Comma 3 2 3 2 3 6" xfId="18186" xr:uid="{00000000-0005-0000-0000-0000AE030000}"/>
    <cellStyle name="Comma 3 2 3 2 4" xfId="18187" xr:uid="{00000000-0005-0000-0000-0000AF030000}"/>
    <cellStyle name="Comma 3 2 3 2 4 2" xfId="18188" xr:uid="{00000000-0005-0000-0000-0000B0030000}"/>
    <cellStyle name="Comma 3 2 3 2 4 2 2" xfId="18189" xr:uid="{00000000-0005-0000-0000-0000B1030000}"/>
    <cellStyle name="Comma 3 2 3 2 4 3" xfId="18190" xr:uid="{00000000-0005-0000-0000-0000B2030000}"/>
    <cellStyle name="Comma 3 2 3 2 4 3 2" xfId="18191" xr:uid="{00000000-0005-0000-0000-0000B3030000}"/>
    <cellStyle name="Comma 3 2 3 2 4 4" xfId="18192" xr:uid="{00000000-0005-0000-0000-0000B4030000}"/>
    <cellStyle name="Comma 3 2 3 2 4 4 2" xfId="18193" xr:uid="{00000000-0005-0000-0000-0000B5030000}"/>
    <cellStyle name="Comma 3 2 3 2 4 5" xfId="18194" xr:uid="{00000000-0005-0000-0000-0000B6030000}"/>
    <cellStyle name="Comma 3 2 3 2 4 6" xfId="18195" xr:uid="{00000000-0005-0000-0000-0000B7030000}"/>
    <cellStyle name="Comma 3 2 3 2 5" xfId="18196" xr:uid="{00000000-0005-0000-0000-0000B8030000}"/>
    <cellStyle name="Comma 3 2 3 2 5 2" xfId="18197" xr:uid="{00000000-0005-0000-0000-0000B9030000}"/>
    <cellStyle name="Comma 3 2 3 2 5 2 2" xfId="18198" xr:uid="{00000000-0005-0000-0000-0000BA030000}"/>
    <cellStyle name="Comma 3 2 3 2 5 3" xfId="18199" xr:uid="{00000000-0005-0000-0000-0000BB030000}"/>
    <cellStyle name="Comma 3 2 3 2 5 3 2" xfId="18200" xr:uid="{00000000-0005-0000-0000-0000BC030000}"/>
    <cellStyle name="Comma 3 2 3 2 5 4" xfId="18201" xr:uid="{00000000-0005-0000-0000-0000BD030000}"/>
    <cellStyle name="Comma 3 2 3 2 5 4 2" xfId="18202" xr:uid="{00000000-0005-0000-0000-0000BE030000}"/>
    <cellStyle name="Comma 3 2 3 2 5 5" xfId="18203" xr:uid="{00000000-0005-0000-0000-0000BF030000}"/>
    <cellStyle name="Comma 3 2 3 2 5 6" xfId="18204" xr:uid="{00000000-0005-0000-0000-0000C0030000}"/>
    <cellStyle name="Comma 3 2 3 2 6" xfId="18205" xr:uid="{00000000-0005-0000-0000-0000C1030000}"/>
    <cellStyle name="Comma 3 2 3 2 6 2" xfId="18206" xr:uid="{00000000-0005-0000-0000-0000C2030000}"/>
    <cellStyle name="Comma 3 2 3 2 6 2 2" xfId="18207" xr:uid="{00000000-0005-0000-0000-0000C3030000}"/>
    <cellStyle name="Comma 3 2 3 2 6 3" xfId="18208" xr:uid="{00000000-0005-0000-0000-0000C4030000}"/>
    <cellStyle name="Comma 3 2 3 2 6 3 2" xfId="18209" xr:uid="{00000000-0005-0000-0000-0000C5030000}"/>
    <cellStyle name="Comma 3 2 3 2 6 4" xfId="18210" xr:uid="{00000000-0005-0000-0000-0000C6030000}"/>
    <cellStyle name="Comma 3 2 3 2 6 5" xfId="18211" xr:uid="{00000000-0005-0000-0000-0000C7030000}"/>
    <cellStyle name="Comma 3 2 3 2 7" xfId="18212" xr:uid="{00000000-0005-0000-0000-0000C8030000}"/>
    <cellStyle name="Comma 3 2 3 2 7 2" xfId="18213" xr:uid="{00000000-0005-0000-0000-0000C9030000}"/>
    <cellStyle name="Comma 3 2 3 2 8" xfId="18214" xr:uid="{00000000-0005-0000-0000-0000CA030000}"/>
    <cellStyle name="Comma 3 2 3 2 8 2" xfId="18215" xr:uid="{00000000-0005-0000-0000-0000CB030000}"/>
    <cellStyle name="Comma 3 2 3 2 9" xfId="18216" xr:uid="{00000000-0005-0000-0000-0000CC030000}"/>
    <cellStyle name="Comma 3 2 3 2 9 2" xfId="18217" xr:uid="{00000000-0005-0000-0000-0000CD030000}"/>
    <cellStyle name="Comma 3 2 3 3" xfId="18218" xr:uid="{00000000-0005-0000-0000-0000CE030000}"/>
    <cellStyle name="Comma 3 2 3 3 10" xfId="18219" xr:uid="{00000000-0005-0000-0000-0000CF030000}"/>
    <cellStyle name="Comma 3 2 3 3 2" xfId="18220" xr:uid="{00000000-0005-0000-0000-0000D0030000}"/>
    <cellStyle name="Comma 3 2 3 3 2 2" xfId="18221" xr:uid="{00000000-0005-0000-0000-0000D1030000}"/>
    <cellStyle name="Comma 3 2 3 3 2 2 2" xfId="18222" xr:uid="{00000000-0005-0000-0000-0000D2030000}"/>
    <cellStyle name="Comma 3 2 3 3 2 3" xfId="18223" xr:uid="{00000000-0005-0000-0000-0000D3030000}"/>
    <cellStyle name="Comma 3 2 3 3 2 3 2" xfId="18224" xr:uid="{00000000-0005-0000-0000-0000D4030000}"/>
    <cellStyle name="Comma 3 2 3 3 2 4" xfId="18225" xr:uid="{00000000-0005-0000-0000-0000D5030000}"/>
    <cellStyle name="Comma 3 2 3 3 2 4 2" xfId="18226" xr:uid="{00000000-0005-0000-0000-0000D6030000}"/>
    <cellStyle name="Comma 3 2 3 3 2 5" xfId="18227" xr:uid="{00000000-0005-0000-0000-0000D7030000}"/>
    <cellStyle name="Comma 3 2 3 3 2 6" xfId="18228" xr:uid="{00000000-0005-0000-0000-0000D8030000}"/>
    <cellStyle name="Comma 3 2 3 3 3" xfId="18229" xr:uid="{00000000-0005-0000-0000-0000D9030000}"/>
    <cellStyle name="Comma 3 2 3 3 3 2" xfId="18230" xr:uid="{00000000-0005-0000-0000-0000DA030000}"/>
    <cellStyle name="Comma 3 2 3 3 3 2 2" xfId="18231" xr:uid="{00000000-0005-0000-0000-0000DB030000}"/>
    <cellStyle name="Comma 3 2 3 3 3 3" xfId="18232" xr:uid="{00000000-0005-0000-0000-0000DC030000}"/>
    <cellStyle name="Comma 3 2 3 3 3 3 2" xfId="18233" xr:uid="{00000000-0005-0000-0000-0000DD030000}"/>
    <cellStyle name="Comma 3 2 3 3 3 4" xfId="18234" xr:uid="{00000000-0005-0000-0000-0000DE030000}"/>
    <cellStyle name="Comma 3 2 3 3 3 4 2" xfId="18235" xr:uid="{00000000-0005-0000-0000-0000DF030000}"/>
    <cellStyle name="Comma 3 2 3 3 3 5" xfId="18236" xr:uid="{00000000-0005-0000-0000-0000E0030000}"/>
    <cellStyle name="Comma 3 2 3 3 3 6" xfId="18237" xr:uid="{00000000-0005-0000-0000-0000E1030000}"/>
    <cellStyle name="Comma 3 2 3 3 4" xfId="18238" xr:uid="{00000000-0005-0000-0000-0000E2030000}"/>
    <cellStyle name="Comma 3 2 3 3 4 2" xfId="18239" xr:uid="{00000000-0005-0000-0000-0000E3030000}"/>
    <cellStyle name="Comma 3 2 3 3 4 2 2" xfId="18240" xr:uid="{00000000-0005-0000-0000-0000E4030000}"/>
    <cellStyle name="Comma 3 2 3 3 4 3" xfId="18241" xr:uid="{00000000-0005-0000-0000-0000E5030000}"/>
    <cellStyle name="Comma 3 2 3 3 4 3 2" xfId="18242" xr:uid="{00000000-0005-0000-0000-0000E6030000}"/>
    <cellStyle name="Comma 3 2 3 3 4 4" xfId="18243" xr:uid="{00000000-0005-0000-0000-0000E7030000}"/>
    <cellStyle name="Comma 3 2 3 3 4 4 2" xfId="18244" xr:uid="{00000000-0005-0000-0000-0000E8030000}"/>
    <cellStyle name="Comma 3 2 3 3 4 5" xfId="18245" xr:uid="{00000000-0005-0000-0000-0000E9030000}"/>
    <cellStyle name="Comma 3 2 3 3 4 6" xfId="18246" xr:uid="{00000000-0005-0000-0000-0000EA030000}"/>
    <cellStyle name="Comma 3 2 3 3 5" xfId="18247" xr:uid="{00000000-0005-0000-0000-0000EB030000}"/>
    <cellStyle name="Comma 3 2 3 3 5 2" xfId="18248" xr:uid="{00000000-0005-0000-0000-0000EC030000}"/>
    <cellStyle name="Comma 3 2 3 3 5 2 2" xfId="18249" xr:uid="{00000000-0005-0000-0000-0000ED030000}"/>
    <cellStyle name="Comma 3 2 3 3 5 3" xfId="18250" xr:uid="{00000000-0005-0000-0000-0000EE030000}"/>
    <cellStyle name="Comma 3 2 3 3 5 3 2" xfId="18251" xr:uid="{00000000-0005-0000-0000-0000EF030000}"/>
    <cellStyle name="Comma 3 2 3 3 5 4" xfId="18252" xr:uid="{00000000-0005-0000-0000-0000F0030000}"/>
    <cellStyle name="Comma 3 2 3 3 5 5" xfId="18253" xr:uid="{00000000-0005-0000-0000-0000F1030000}"/>
    <cellStyle name="Comma 3 2 3 3 6" xfId="18254" xr:uid="{00000000-0005-0000-0000-0000F2030000}"/>
    <cellStyle name="Comma 3 2 3 3 6 2" xfId="18255" xr:uid="{00000000-0005-0000-0000-0000F3030000}"/>
    <cellStyle name="Comma 3 2 3 3 7" xfId="18256" xr:uid="{00000000-0005-0000-0000-0000F4030000}"/>
    <cellStyle name="Comma 3 2 3 3 7 2" xfId="18257" xr:uid="{00000000-0005-0000-0000-0000F5030000}"/>
    <cellStyle name="Comma 3 2 3 3 8" xfId="18258" xr:uid="{00000000-0005-0000-0000-0000F6030000}"/>
    <cellStyle name="Comma 3 2 3 3 8 2" xfId="18259" xr:uid="{00000000-0005-0000-0000-0000F7030000}"/>
    <cellStyle name="Comma 3 2 3 3 9" xfId="18260" xr:uid="{00000000-0005-0000-0000-0000F8030000}"/>
    <cellStyle name="Comma 3 2 3 4" xfId="18261" xr:uid="{00000000-0005-0000-0000-0000F9030000}"/>
    <cellStyle name="Comma 3 2 3 4 10" xfId="18262" xr:uid="{00000000-0005-0000-0000-0000FA030000}"/>
    <cellStyle name="Comma 3 2 3 4 2" xfId="18263" xr:uid="{00000000-0005-0000-0000-0000FB030000}"/>
    <cellStyle name="Comma 3 2 3 4 2 2" xfId="18264" xr:uid="{00000000-0005-0000-0000-0000FC030000}"/>
    <cellStyle name="Comma 3 2 3 4 2 2 2" xfId="18265" xr:uid="{00000000-0005-0000-0000-0000FD030000}"/>
    <cellStyle name="Comma 3 2 3 4 2 3" xfId="18266" xr:uid="{00000000-0005-0000-0000-0000FE030000}"/>
    <cellStyle name="Comma 3 2 3 4 2 3 2" xfId="18267" xr:uid="{00000000-0005-0000-0000-0000FF030000}"/>
    <cellStyle name="Comma 3 2 3 4 2 4" xfId="18268" xr:uid="{00000000-0005-0000-0000-000000040000}"/>
    <cellStyle name="Comma 3 2 3 4 2 4 2" xfId="18269" xr:uid="{00000000-0005-0000-0000-000001040000}"/>
    <cellStyle name="Comma 3 2 3 4 2 5" xfId="18270" xr:uid="{00000000-0005-0000-0000-000002040000}"/>
    <cellStyle name="Comma 3 2 3 4 2 6" xfId="18271" xr:uid="{00000000-0005-0000-0000-000003040000}"/>
    <cellStyle name="Comma 3 2 3 4 3" xfId="18272" xr:uid="{00000000-0005-0000-0000-000004040000}"/>
    <cellStyle name="Comma 3 2 3 4 3 2" xfId="18273" xr:uid="{00000000-0005-0000-0000-000005040000}"/>
    <cellStyle name="Comma 3 2 3 4 3 2 2" xfId="18274" xr:uid="{00000000-0005-0000-0000-000006040000}"/>
    <cellStyle name="Comma 3 2 3 4 3 3" xfId="18275" xr:uid="{00000000-0005-0000-0000-000007040000}"/>
    <cellStyle name="Comma 3 2 3 4 3 3 2" xfId="18276" xr:uid="{00000000-0005-0000-0000-000008040000}"/>
    <cellStyle name="Comma 3 2 3 4 3 4" xfId="18277" xr:uid="{00000000-0005-0000-0000-000009040000}"/>
    <cellStyle name="Comma 3 2 3 4 3 4 2" xfId="18278" xr:uid="{00000000-0005-0000-0000-00000A040000}"/>
    <cellStyle name="Comma 3 2 3 4 3 5" xfId="18279" xr:uid="{00000000-0005-0000-0000-00000B040000}"/>
    <cellStyle name="Comma 3 2 3 4 3 6" xfId="18280" xr:uid="{00000000-0005-0000-0000-00000C040000}"/>
    <cellStyle name="Comma 3 2 3 4 4" xfId="18281" xr:uid="{00000000-0005-0000-0000-00000D040000}"/>
    <cellStyle name="Comma 3 2 3 4 4 2" xfId="18282" xr:uid="{00000000-0005-0000-0000-00000E040000}"/>
    <cellStyle name="Comma 3 2 3 4 4 2 2" xfId="18283" xr:uid="{00000000-0005-0000-0000-00000F040000}"/>
    <cellStyle name="Comma 3 2 3 4 4 3" xfId="18284" xr:uid="{00000000-0005-0000-0000-000010040000}"/>
    <cellStyle name="Comma 3 2 3 4 4 3 2" xfId="18285" xr:uid="{00000000-0005-0000-0000-000011040000}"/>
    <cellStyle name="Comma 3 2 3 4 4 4" xfId="18286" xr:uid="{00000000-0005-0000-0000-000012040000}"/>
    <cellStyle name="Comma 3 2 3 4 4 4 2" xfId="18287" xr:uid="{00000000-0005-0000-0000-000013040000}"/>
    <cellStyle name="Comma 3 2 3 4 4 5" xfId="18288" xr:uid="{00000000-0005-0000-0000-000014040000}"/>
    <cellStyle name="Comma 3 2 3 4 4 6" xfId="18289" xr:uid="{00000000-0005-0000-0000-000015040000}"/>
    <cellStyle name="Comma 3 2 3 4 5" xfId="18290" xr:uid="{00000000-0005-0000-0000-000016040000}"/>
    <cellStyle name="Comma 3 2 3 4 5 2" xfId="18291" xr:uid="{00000000-0005-0000-0000-000017040000}"/>
    <cellStyle name="Comma 3 2 3 4 5 2 2" xfId="18292" xr:uid="{00000000-0005-0000-0000-000018040000}"/>
    <cellStyle name="Comma 3 2 3 4 5 3" xfId="18293" xr:uid="{00000000-0005-0000-0000-000019040000}"/>
    <cellStyle name="Comma 3 2 3 4 5 3 2" xfId="18294" xr:uid="{00000000-0005-0000-0000-00001A040000}"/>
    <cellStyle name="Comma 3 2 3 4 5 4" xfId="18295" xr:uid="{00000000-0005-0000-0000-00001B040000}"/>
    <cellStyle name="Comma 3 2 3 4 5 5" xfId="18296" xr:uid="{00000000-0005-0000-0000-00001C040000}"/>
    <cellStyle name="Comma 3 2 3 4 6" xfId="18297" xr:uid="{00000000-0005-0000-0000-00001D040000}"/>
    <cellStyle name="Comma 3 2 3 4 6 2" xfId="18298" xr:uid="{00000000-0005-0000-0000-00001E040000}"/>
    <cellStyle name="Comma 3 2 3 4 7" xfId="18299" xr:uid="{00000000-0005-0000-0000-00001F040000}"/>
    <cellStyle name="Comma 3 2 3 4 7 2" xfId="18300" xr:uid="{00000000-0005-0000-0000-000020040000}"/>
    <cellStyle name="Comma 3 2 3 4 8" xfId="18301" xr:uid="{00000000-0005-0000-0000-000021040000}"/>
    <cellStyle name="Comma 3 2 3 4 8 2" xfId="18302" xr:uid="{00000000-0005-0000-0000-000022040000}"/>
    <cellStyle name="Comma 3 2 3 4 9" xfId="18303" xr:uid="{00000000-0005-0000-0000-000023040000}"/>
    <cellStyle name="Comma 3 2 3 5" xfId="18304" xr:uid="{00000000-0005-0000-0000-000024040000}"/>
    <cellStyle name="Comma 3 2 3 5 2" xfId="18305" xr:uid="{00000000-0005-0000-0000-000025040000}"/>
    <cellStyle name="Comma 3 2 3 5 2 2" xfId="18306" xr:uid="{00000000-0005-0000-0000-000026040000}"/>
    <cellStyle name="Comma 3 2 3 5 3" xfId="18307" xr:uid="{00000000-0005-0000-0000-000027040000}"/>
    <cellStyle name="Comma 3 2 3 5 3 2" xfId="18308" xr:uid="{00000000-0005-0000-0000-000028040000}"/>
    <cellStyle name="Comma 3 2 3 5 4" xfId="18309" xr:uid="{00000000-0005-0000-0000-000029040000}"/>
    <cellStyle name="Comma 3 2 3 5 4 2" xfId="18310" xr:uid="{00000000-0005-0000-0000-00002A040000}"/>
    <cellStyle name="Comma 3 2 3 5 5" xfId="18311" xr:uid="{00000000-0005-0000-0000-00002B040000}"/>
    <cellStyle name="Comma 3 2 3 5 6" xfId="18312" xr:uid="{00000000-0005-0000-0000-00002C040000}"/>
    <cellStyle name="Comma 3 2 3 6" xfId="18313" xr:uid="{00000000-0005-0000-0000-00002D040000}"/>
    <cellStyle name="Comma 3 2 3 6 2" xfId="18314" xr:uid="{00000000-0005-0000-0000-00002E040000}"/>
    <cellStyle name="Comma 3 2 3 6 2 2" xfId="18315" xr:uid="{00000000-0005-0000-0000-00002F040000}"/>
    <cellStyle name="Comma 3 2 3 6 3" xfId="18316" xr:uid="{00000000-0005-0000-0000-000030040000}"/>
    <cellStyle name="Comma 3 2 3 6 3 2" xfId="18317" xr:uid="{00000000-0005-0000-0000-000031040000}"/>
    <cellStyle name="Comma 3 2 3 6 4" xfId="18318" xr:uid="{00000000-0005-0000-0000-000032040000}"/>
    <cellStyle name="Comma 3 2 3 6 4 2" xfId="18319" xr:uid="{00000000-0005-0000-0000-000033040000}"/>
    <cellStyle name="Comma 3 2 3 6 5" xfId="18320" xr:uid="{00000000-0005-0000-0000-000034040000}"/>
    <cellStyle name="Comma 3 2 3 6 6" xfId="18321" xr:uid="{00000000-0005-0000-0000-000035040000}"/>
    <cellStyle name="Comma 3 2 3 7" xfId="18322" xr:uid="{00000000-0005-0000-0000-000036040000}"/>
    <cellStyle name="Comma 3 2 3 7 2" xfId="18323" xr:uid="{00000000-0005-0000-0000-000037040000}"/>
    <cellStyle name="Comma 3 2 3 7 2 2" xfId="18324" xr:uid="{00000000-0005-0000-0000-000038040000}"/>
    <cellStyle name="Comma 3 2 3 7 3" xfId="18325" xr:uid="{00000000-0005-0000-0000-000039040000}"/>
    <cellStyle name="Comma 3 2 3 7 3 2" xfId="18326" xr:uid="{00000000-0005-0000-0000-00003A040000}"/>
    <cellStyle name="Comma 3 2 3 7 4" xfId="18327" xr:uid="{00000000-0005-0000-0000-00003B040000}"/>
    <cellStyle name="Comma 3 2 3 7 4 2" xfId="18328" xr:uid="{00000000-0005-0000-0000-00003C040000}"/>
    <cellStyle name="Comma 3 2 3 7 5" xfId="18329" xr:uid="{00000000-0005-0000-0000-00003D040000}"/>
    <cellStyle name="Comma 3 2 3 7 6" xfId="18330" xr:uid="{00000000-0005-0000-0000-00003E040000}"/>
    <cellStyle name="Comma 3 2 3 8" xfId="18331" xr:uid="{00000000-0005-0000-0000-00003F040000}"/>
    <cellStyle name="Comma 3 2 3 8 2" xfId="18332" xr:uid="{00000000-0005-0000-0000-000040040000}"/>
    <cellStyle name="Comma 3 2 3 8 2 2" xfId="18333" xr:uid="{00000000-0005-0000-0000-000041040000}"/>
    <cellStyle name="Comma 3 2 3 8 3" xfId="18334" xr:uid="{00000000-0005-0000-0000-000042040000}"/>
    <cellStyle name="Comma 3 2 3 8 3 2" xfId="18335" xr:uid="{00000000-0005-0000-0000-000043040000}"/>
    <cellStyle name="Comma 3 2 3 8 4" xfId="18336" xr:uid="{00000000-0005-0000-0000-000044040000}"/>
    <cellStyle name="Comma 3 2 3 8 5" xfId="18337" xr:uid="{00000000-0005-0000-0000-000045040000}"/>
    <cellStyle name="Comma 3 2 3 9" xfId="18338" xr:uid="{00000000-0005-0000-0000-000046040000}"/>
    <cellStyle name="Comma 3 2 3 9 2" xfId="18339" xr:uid="{00000000-0005-0000-0000-000047040000}"/>
    <cellStyle name="Comma 3 2 4" xfId="18340" xr:uid="{00000000-0005-0000-0000-000048040000}"/>
    <cellStyle name="Comma 3 2 4 10" xfId="18341" xr:uid="{00000000-0005-0000-0000-000049040000}"/>
    <cellStyle name="Comma 3 2 4 10 2" xfId="18342" xr:uid="{00000000-0005-0000-0000-00004A040000}"/>
    <cellStyle name="Comma 3 2 4 11" xfId="18343" xr:uid="{00000000-0005-0000-0000-00004B040000}"/>
    <cellStyle name="Comma 3 2 4 12" xfId="18344" xr:uid="{00000000-0005-0000-0000-00004C040000}"/>
    <cellStyle name="Comma 3 2 4 2" xfId="18345" xr:uid="{00000000-0005-0000-0000-00004D040000}"/>
    <cellStyle name="Comma 3 2 4 2 10" xfId="18346" xr:uid="{00000000-0005-0000-0000-00004E040000}"/>
    <cellStyle name="Comma 3 2 4 2 2" xfId="18347" xr:uid="{00000000-0005-0000-0000-00004F040000}"/>
    <cellStyle name="Comma 3 2 4 2 2 2" xfId="18348" xr:uid="{00000000-0005-0000-0000-000050040000}"/>
    <cellStyle name="Comma 3 2 4 2 2 2 2" xfId="18349" xr:uid="{00000000-0005-0000-0000-000051040000}"/>
    <cellStyle name="Comma 3 2 4 2 2 3" xfId="18350" xr:uid="{00000000-0005-0000-0000-000052040000}"/>
    <cellStyle name="Comma 3 2 4 2 2 3 2" xfId="18351" xr:uid="{00000000-0005-0000-0000-000053040000}"/>
    <cellStyle name="Comma 3 2 4 2 2 4" xfId="18352" xr:uid="{00000000-0005-0000-0000-000054040000}"/>
    <cellStyle name="Comma 3 2 4 2 2 4 2" xfId="18353" xr:uid="{00000000-0005-0000-0000-000055040000}"/>
    <cellStyle name="Comma 3 2 4 2 2 5" xfId="18354" xr:uid="{00000000-0005-0000-0000-000056040000}"/>
    <cellStyle name="Comma 3 2 4 2 2 6" xfId="18355" xr:uid="{00000000-0005-0000-0000-000057040000}"/>
    <cellStyle name="Comma 3 2 4 2 3" xfId="18356" xr:uid="{00000000-0005-0000-0000-000058040000}"/>
    <cellStyle name="Comma 3 2 4 2 3 2" xfId="18357" xr:uid="{00000000-0005-0000-0000-000059040000}"/>
    <cellStyle name="Comma 3 2 4 2 3 2 2" xfId="18358" xr:uid="{00000000-0005-0000-0000-00005A040000}"/>
    <cellStyle name="Comma 3 2 4 2 3 3" xfId="18359" xr:uid="{00000000-0005-0000-0000-00005B040000}"/>
    <cellStyle name="Comma 3 2 4 2 3 3 2" xfId="18360" xr:uid="{00000000-0005-0000-0000-00005C040000}"/>
    <cellStyle name="Comma 3 2 4 2 3 4" xfId="18361" xr:uid="{00000000-0005-0000-0000-00005D040000}"/>
    <cellStyle name="Comma 3 2 4 2 3 4 2" xfId="18362" xr:uid="{00000000-0005-0000-0000-00005E040000}"/>
    <cellStyle name="Comma 3 2 4 2 3 5" xfId="18363" xr:uid="{00000000-0005-0000-0000-00005F040000}"/>
    <cellStyle name="Comma 3 2 4 2 3 6" xfId="18364" xr:uid="{00000000-0005-0000-0000-000060040000}"/>
    <cellStyle name="Comma 3 2 4 2 4" xfId="18365" xr:uid="{00000000-0005-0000-0000-000061040000}"/>
    <cellStyle name="Comma 3 2 4 2 4 2" xfId="18366" xr:uid="{00000000-0005-0000-0000-000062040000}"/>
    <cellStyle name="Comma 3 2 4 2 4 2 2" xfId="18367" xr:uid="{00000000-0005-0000-0000-000063040000}"/>
    <cellStyle name="Comma 3 2 4 2 4 3" xfId="18368" xr:uid="{00000000-0005-0000-0000-000064040000}"/>
    <cellStyle name="Comma 3 2 4 2 4 3 2" xfId="18369" xr:uid="{00000000-0005-0000-0000-000065040000}"/>
    <cellStyle name="Comma 3 2 4 2 4 4" xfId="18370" xr:uid="{00000000-0005-0000-0000-000066040000}"/>
    <cellStyle name="Comma 3 2 4 2 4 4 2" xfId="18371" xr:uid="{00000000-0005-0000-0000-000067040000}"/>
    <cellStyle name="Comma 3 2 4 2 4 5" xfId="18372" xr:uid="{00000000-0005-0000-0000-000068040000}"/>
    <cellStyle name="Comma 3 2 4 2 4 6" xfId="18373" xr:uid="{00000000-0005-0000-0000-000069040000}"/>
    <cellStyle name="Comma 3 2 4 2 5" xfId="18374" xr:uid="{00000000-0005-0000-0000-00006A040000}"/>
    <cellStyle name="Comma 3 2 4 2 5 2" xfId="18375" xr:uid="{00000000-0005-0000-0000-00006B040000}"/>
    <cellStyle name="Comma 3 2 4 2 5 2 2" xfId="18376" xr:uid="{00000000-0005-0000-0000-00006C040000}"/>
    <cellStyle name="Comma 3 2 4 2 5 3" xfId="18377" xr:uid="{00000000-0005-0000-0000-00006D040000}"/>
    <cellStyle name="Comma 3 2 4 2 5 3 2" xfId="18378" xr:uid="{00000000-0005-0000-0000-00006E040000}"/>
    <cellStyle name="Comma 3 2 4 2 5 4" xfId="18379" xr:uid="{00000000-0005-0000-0000-00006F040000}"/>
    <cellStyle name="Comma 3 2 4 2 5 5" xfId="18380" xr:uid="{00000000-0005-0000-0000-000070040000}"/>
    <cellStyle name="Comma 3 2 4 2 6" xfId="18381" xr:uid="{00000000-0005-0000-0000-000071040000}"/>
    <cellStyle name="Comma 3 2 4 2 6 2" xfId="18382" xr:uid="{00000000-0005-0000-0000-000072040000}"/>
    <cellStyle name="Comma 3 2 4 2 7" xfId="18383" xr:uid="{00000000-0005-0000-0000-000073040000}"/>
    <cellStyle name="Comma 3 2 4 2 7 2" xfId="18384" xr:uid="{00000000-0005-0000-0000-000074040000}"/>
    <cellStyle name="Comma 3 2 4 2 8" xfId="18385" xr:uid="{00000000-0005-0000-0000-000075040000}"/>
    <cellStyle name="Comma 3 2 4 2 8 2" xfId="18386" xr:uid="{00000000-0005-0000-0000-000076040000}"/>
    <cellStyle name="Comma 3 2 4 2 9" xfId="18387" xr:uid="{00000000-0005-0000-0000-000077040000}"/>
    <cellStyle name="Comma 3 2 4 3" xfId="18388" xr:uid="{00000000-0005-0000-0000-000078040000}"/>
    <cellStyle name="Comma 3 2 4 3 10" xfId="18389" xr:uid="{00000000-0005-0000-0000-000079040000}"/>
    <cellStyle name="Comma 3 2 4 3 2" xfId="18390" xr:uid="{00000000-0005-0000-0000-00007A040000}"/>
    <cellStyle name="Comma 3 2 4 3 2 2" xfId="18391" xr:uid="{00000000-0005-0000-0000-00007B040000}"/>
    <cellStyle name="Comma 3 2 4 3 2 2 2" xfId="18392" xr:uid="{00000000-0005-0000-0000-00007C040000}"/>
    <cellStyle name="Comma 3 2 4 3 2 3" xfId="18393" xr:uid="{00000000-0005-0000-0000-00007D040000}"/>
    <cellStyle name="Comma 3 2 4 3 2 3 2" xfId="18394" xr:uid="{00000000-0005-0000-0000-00007E040000}"/>
    <cellStyle name="Comma 3 2 4 3 2 4" xfId="18395" xr:uid="{00000000-0005-0000-0000-00007F040000}"/>
    <cellStyle name="Comma 3 2 4 3 2 4 2" xfId="18396" xr:uid="{00000000-0005-0000-0000-000080040000}"/>
    <cellStyle name="Comma 3 2 4 3 2 5" xfId="18397" xr:uid="{00000000-0005-0000-0000-000081040000}"/>
    <cellStyle name="Comma 3 2 4 3 2 6" xfId="18398" xr:uid="{00000000-0005-0000-0000-000082040000}"/>
    <cellStyle name="Comma 3 2 4 3 3" xfId="18399" xr:uid="{00000000-0005-0000-0000-000083040000}"/>
    <cellStyle name="Comma 3 2 4 3 3 2" xfId="18400" xr:uid="{00000000-0005-0000-0000-000084040000}"/>
    <cellStyle name="Comma 3 2 4 3 3 2 2" xfId="18401" xr:uid="{00000000-0005-0000-0000-000085040000}"/>
    <cellStyle name="Comma 3 2 4 3 3 3" xfId="18402" xr:uid="{00000000-0005-0000-0000-000086040000}"/>
    <cellStyle name="Comma 3 2 4 3 3 3 2" xfId="18403" xr:uid="{00000000-0005-0000-0000-000087040000}"/>
    <cellStyle name="Comma 3 2 4 3 3 4" xfId="18404" xr:uid="{00000000-0005-0000-0000-000088040000}"/>
    <cellStyle name="Comma 3 2 4 3 3 4 2" xfId="18405" xr:uid="{00000000-0005-0000-0000-000089040000}"/>
    <cellStyle name="Comma 3 2 4 3 3 5" xfId="18406" xr:uid="{00000000-0005-0000-0000-00008A040000}"/>
    <cellStyle name="Comma 3 2 4 3 3 6" xfId="18407" xr:uid="{00000000-0005-0000-0000-00008B040000}"/>
    <cellStyle name="Comma 3 2 4 3 4" xfId="18408" xr:uid="{00000000-0005-0000-0000-00008C040000}"/>
    <cellStyle name="Comma 3 2 4 3 4 2" xfId="18409" xr:uid="{00000000-0005-0000-0000-00008D040000}"/>
    <cellStyle name="Comma 3 2 4 3 4 2 2" xfId="18410" xr:uid="{00000000-0005-0000-0000-00008E040000}"/>
    <cellStyle name="Comma 3 2 4 3 4 3" xfId="18411" xr:uid="{00000000-0005-0000-0000-00008F040000}"/>
    <cellStyle name="Comma 3 2 4 3 4 3 2" xfId="18412" xr:uid="{00000000-0005-0000-0000-000090040000}"/>
    <cellStyle name="Comma 3 2 4 3 4 4" xfId="18413" xr:uid="{00000000-0005-0000-0000-000091040000}"/>
    <cellStyle name="Comma 3 2 4 3 4 4 2" xfId="18414" xr:uid="{00000000-0005-0000-0000-000092040000}"/>
    <cellStyle name="Comma 3 2 4 3 4 5" xfId="18415" xr:uid="{00000000-0005-0000-0000-000093040000}"/>
    <cellStyle name="Comma 3 2 4 3 4 6" xfId="18416" xr:uid="{00000000-0005-0000-0000-000094040000}"/>
    <cellStyle name="Comma 3 2 4 3 5" xfId="18417" xr:uid="{00000000-0005-0000-0000-000095040000}"/>
    <cellStyle name="Comma 3 2 4 3 5 2" xfId="18418" xr:uid="{00000000-0005-0000-0000-000096040000}"/>
    <cellStyle name="Comma 3 2 4 3 5 2 2" xfId="18419" xr:uid="{00000000-0005-0000-0000-000097040000}"/>
    <cellStyle name="Comma 3 2 4 3 5 3" xfId="18420" xr:uid="{00000000-0005-0000-0000-000098040000}"/>
    <cellStyle name="Comma 3 2 4 3 5 3 2" xfId="18421" xr:uid="{00000000-0005-0000-0000-000099040000}"/>
    <cellStyle name="Comma 3 2 4 3 5 4" xfId="18422" xr:uid="{00000000-0005-0000-0000-00009A040000}"/>
    <cellStyle name="Comma 3 2 4 3 5 5" xfId="18423" xr:uid="{00000000-0005-0000-0000-00009B040000}"/>
    <cellStyle name="Comma 3 2 4 3 6" xfId="18424" xr:uid="{00000000-0005-0000-0000-00009C040000}"/>
    <cellStyle name="Comma 3 2 4 3 6 2" xfId="18425" xr:uid="{00000000-0005-0000-0000-00009D040000}"/>
    <cellStyle name="Comma 3 2 4 3 7" xfId="18426" xr:uid="{00000000-0005-0000-0000-00009E040000}"/>
    <cellStyle name="Comma 3 2 4 3 7 2" xfId="18427" xr:uid="{00000000-0005-0000-0000-00009F040000}"/>
    <cellStyle name="Comma 3 2 4 3 8" xfId="18428" xr:uid="{00000000-0005-0000-0000-0000A0040000}"/>
    <cellStyle name="Comma 3 2 4 3 8 2" xfId="18429" xr:uid="{00000000-0005-0000-0000-0000A1040000}"/>
    <cellStyle name="Comma 3 2 4 3 9" xfId="18430" xr:uid="{00000000-0005-0000-0000-0000A2040000}"/>
    <cellStyle name="Comma 3 2 4 4" xfId="18431" xr:uid="{00000000-0005-0000-0000-0000A3040000}"/>
    <cellStyle name="Comma 3 2 4 4 2" xfId="18432" xr:uid="{00000000-0005-0000-0000-0000A4040000}"/>
    <cellStyle name="Comma 3 2 4 4 2 2" xfId="18433" xr:uid="{00000000-0005-0000-0000-0000A5040000}"/>
    <cellStyle name="Comma 3 2 4 4 3" xfId="18434" xr:uid="{00000000-0005-0000-0000-0000A6040000}"/>
    <cellStyle name="Comma 3 2 4 4 3 2" xfId="18435" xr:uid="{00000000-0005-0000-0000-0000A7040000}"/>
    <cellStyle name="Comma 3 2 4 4 4" xfId="18436" xr:uid="{00000000-0005-0000-0000-0000A8040000}"/>
    <cellStyle name="Comma 3 2 4 4 4 2" xfId="18437" xr:uid="{00000000-0005-0000-0000-0000A9040000}"/>
    <cellStyle name="Comma 3 2 4 4 5" xfId="18438" xr:uid="{00000000-0005-0000-0000-0000AA040000}"/>
    <cellStyle name="Comma 3 2 4 4 6" xfId="18439" xr:uid="{00000000-0005-0000-0000-0000AB040000}"/>
    <cellStyle name="Comma 3 2 4 5" xfId="18440" xr:uid="{00000000-0005-0000-0000-0000AC040000}"/>
    <cellStyle name="Comma 3 2 4 5 2" xfId="18441" xr:uid="{00000000-0005-0000-0000-0000AD040000}"/>
    <cellStyle name="Comma 3 2 4 5 2 2" xfId="18442" xr:uid="{00000000-0005-0000-0000-0000AE040000}"/>
    <cellStyle name="Comma 3 2 4 5 3" xfId="18443" xr:uid="{00000000-0005-0000-0000-0000AF040000}"/>
    <cellStyle name="Comma 3 2 4 5 3 2" xfId="18444" xr:uid="{00000000-0005-0000-0000-0000B0040000}"/>
    <cellStyle name="Comma 3 2 4 5 4" xfId="18445" xr:uid="{00000000-0005-0000-0000-0000B1040000}"/>
    <cellStyle name="Comma 3 2 4 5 4 2" xfId="18446" xr:uid="{00000000-0005-0000-0000-0000B2040000}"/>
    <cellStyle name="Comma 3 2 4 5 5" xfId="18447" xr:uid="{00000000-0005-0000-0000-0000B3040000}"/>
    <cellStyle name="Comma 3 2 4 5 6" xfId="18448" xr:uid="{00000000-0005-0000-0000-0000B4040000}"/>
    <cellStyle name="Comma 3 2 4 6" xfId="18449" xr:uid="{00000000-0005-0000-0000-0000B5040000}"/>
    <cellStyle name="Comma 3 2 4 6 2" xfId="18450" xr:uid="{00000000-0005-0000-0000-0000B6040000}"/>
    <cellStyle name="Comma 3 2 4 6 2 2" xfId="18451" xr:uid="{00000000-0005-0000-0000-0000B7040000}"/>
    <cellStyle name="Comma 3 2 4 6 3" xfId="18452" xr:uid="{00000000-0005-0000-0000-0000B8040000}"/>
    <cellStyle name="Comma 3 2 4 6 3 2" xfId="18453" xr:uid="{00000000-0005-0000-0000-0000B9040000}"/>
    <cellStyle name="Comma 3 2 4 6 4" xfId="18454" xr:uid="{00000000-0005-0000-0000-0000BA040000}"/>
    <cellStyle name="Comma 3 2 4 6 4 2" xfId="18455" xr:uid="{00000000-0005-0000-0000-0000BB040000}"/>
    <cellStyle name="Comma 3 2 4 6 5" xfId="18456" xr:uid="{00000000-0005-0000-0000-0000BC040000}"/>
    <cellStyle name="Comma 3 2 4 6 6" xfId="18457" xr:uid="{00000000-0005-0000-0000-0000BD040000}"/>
    <cellStyle name="Comma 3 2 4 7" xfId="18458" xr:uid="{00000000-0005-0000-0000-0000BE040000}"/>
    <cellStyle name="Comma 3 2 4 7 2" xfId="18459" xr:uid="{00000000-0005-0000-0000-0000BF040000}"/>
    <cellStyle name="Comma 3 2 4 7 2 2" xfId="18460" xr:uid="{00000000-0005-0000-0000-0000C0040000}"/>
    <cellStyle name="Comma 3 2 4 7 3" xfId="18461" xr:uid="{00000000-0005-0000-0000-0000C1040000}"/>
    <cellStyle name="Comma 3 2 4 7 3 2" xfId="18462" xr:uid="{00000000-0005-0000-0000-0000C2040000}"/>
    <cellStyle name="Comma 3 2 4 7 4" xfId="18463" xr:uid="{00000000-0005-0000-0000-0000C3040000}"/>
    <cellStyle name="Comma 3 2 4 7 5" xfId="18464" xr:uid="{00000000-0005-0000-0000-0000C4040000}"/>
    <cellStyle name="Comma 3 2 4 8" xfId="18465" xr:uid="{00000000-0005-0000-0000-0000C5040000}"/>
    <cellStyle name="Comma 3 2 4 8 2" xfId="18466" xr:uid="{00000000-0005-0000-0000-0000C6040000}"/>
    <cellStyle name="Comma 3 2 4 9" xfId="18467" xr:uid="{00000000-0005-0000-0000-0000C7040000}"/>
    <cellStyle name="Comma 3 2 4 9 2" xfId="18468" xr:uid="{00000000-0005-0000-0000-0000C8040000}"/>
    <cellStyle name="Comma 3 2 5" xfId="18469" xr:uid="{00000000-0005-0000-0000-0000C9040000}"/>
    <cellStyle name="Comma 3 2 5 10" xfId="18470" xr:uid="{00000000-0005-0000-0000-0000CA040000}"/>
    <cellStyle name="Comma 3 2 5 11" xfId="18471" xr:uid="{00000000-0005-0000-0000-0000CB040000}"/>
    <cellStyle name="Comma 3 2 5 2" xfId="18472" xr:uid="{00000000-0005-0000-0000-0000CC040000}"/>
    <cellStyle name="Comma 3 2 5 2 2" xfId="18473" xr:uid="{00000000-0005-0000-0000-0000CD040000}"/>
    <cellStyle name="Comma 3 2 5 2 2 2" xfId="18474" xr:uid="{00000000-0005-0000-0000-0000CE040000}"/>
    <cellStyle name="Comma 3 2 5 2 3" xfId="18475" xr:uid="{00000000-0005-0000-0000-0000CF040000}"/>
    <cellStyle name="Comma 3 2 5 2 3 2" xfId="18476" xr:uid="{00000000-0005-0000-0000-0000D0040000}"/>
    <cellStyle name="Comma 3 2 5 2 4" xfId="18477" xr:uid="{00000000-0005-0000-0000-0000D1040000}"/>
    <cellStyle name="Comma 3 2 5 2 4 2" xfId="18478" xr:uid="{00000000-0005-0000-0000-0000D2040000}"/>
    <cellStyle name="Comma 3 2 5 2 5" xfId="18479" xr:uid="{00000000-0005-0000-0000-0000D3040000}"/>
    <cellStyle name="Comma 3 2 5 2 6" xfId="18480" xr:uid="{00000000-0005-0000-0000-0000D4040000}"/>
    <cellStyle name="Comma 3 2 5 3" xfId="18481" xr:uid="{00000000-0005-0000-0000-0000D5040000}"/>
    <cellStyle name="Comma 3 2 5 3 2" xfId="18482" xr:uid="{00000000-0005-0000-0000-0000D6040000}"/>
    <cellStyle name="Comma 3 2 5 3 2 2" xfId="18483" xr:uid="{00000000-0005-0000-0000-0000D7040000}"/>
    <cellStyle name="Comma 3 2 5 3 3" xfId="18484" xr:uid="{00000000-0005-0000-0000-0000D8040000}"/>
    <cellStyle name="Comma 3 2 5 3 3 2" xfId="18485" xr:uid="{00000000-0005-0000-0000-0000D9040000}"/>
    <cellStyle name="Comma 3 2 5 3 4" xfId="18486" xr:uid="{00000000-0005-0000-0000-0000DA040000}"/>
    <cellStyle name="Comma 3 2 5 3 4 2" xfId="18487" xr:uid="{00000000-0005-0000-0000-0000DB040000}"/>
    <cellStyle name="Comma 3 2 5 3 5" xfId="18488" xr:uid="{00000000-0005-0000-0000-0000DC040000}"/>
    <cellStyle name="Comma 3 2 5 3 6" xfId="18489" xr:uid="{00000000-0005-0000-0000-0000DD040000}"/>
    <cellStyle name="Comma 3 2 5 4" xfId="18490" xr:uid="{00000000-0005-0000-0000-0000DE040000}"/>
    <cellStyle name="Comma 3 2 5 4 2" xfId="18491" xr:uid="{00000000-0005-0000-0000-0000DF040000}"/>
    <cellStyle name="Comma 3 2 5 4 2 2" xfId="18492" xr:uid="{00000000-0005-0000-0000-0000E0040000}"/>
    <cellStyle name="Comma 3 2 5 4 3" xfId="18493" xr:uid="{00000000-0005-0000-0000-0000E1040000}"/>
    <cellStyle name="Comma 3 2 5 4 3 2" xfId="18494" xr:uid="{00000000-0005-0000-0000-0000E2040000}"/>
    <cellStyle name="Comma 3 2 5 4 4" xfId="18495" xr:uid="{00000000-0005-0000-0000-0000E3040000}"/>
    <cellStyle name="Comma 3 2 5 4 4 2" xfId="18496" xr:uid="{00000000-0005-0000-0000-0000E4040000}"/>
    <cellStyle name="Comma 3 2 5 4 5" xfId="18497" xr:uid="{00000000-0005-0000-0000-0000E5040000}"/>
    <cellStyle name="Comma 3 2 5 4 6" xfId="18498" xr:uid="{00000000-0005-0000-0000-0000E6040000}"/>
    <cellStyle name="Comma 3 2 5 5" xfId="18499" xr:uid="{00000000-0005-0000-0000-0000E7040000}"/>
    <cellStyle name="Comma 3 2 5 5 2" xfId="18500" xr:uid="{00000000-0005-0000-0000-0000E8040000}"/>
    <cellStyle name="Comma 3 2 5 5 2 2" xfId="18501" xr:uid="{00000000-0005-0000-0000-0000E9040000}"/>
    <cellStyle name="Comma 3 2 5 5 3" xfId="18502" xr:uid="{00000000-0005-0000-0000-0000EA040000}"/>
    <cellStyle name="Comma 3 2 5 5 3 2" xfId="18503" xr:uid="{00000000-0005-0000-0000-0000EB040000}"/>
    <cellStyle name="Comma 3 2 5 5 4" xfId="18504" xr:uid="{00000000-0005-0000-0000-0000EC040000}"/>
    <cellStyle name="Comma 3 2 5 5 4 2" xfId="18505" xr:uid="{00000000-0005-0000-0000-0000ED040000}"/>
    <cellStyle name="Comma 3 2 5 5 5" xfId="18506" xr:uid="{00000000-0005-0000-0000-0000EE040000}"/>
    <cellStyle name="Comma 3 2 5 5 6" xfId="18507" xr:uid="{00000000-0005-0000-0000-0000EF040000}"/>
    <cellStyle name="Comma 3 2 5 6" xfId="18508" xr:uid="{00000000-0005-0000-0000-0000F0040000}"/>
    <cellStyle name="Comma 3 2 5 6 2" xfId="18509" xr:uid="{00000000-0005-0000-0000-0000F1040000}"/>
    <cellStyle name="Comma 3 2 5 6 2 2" xfId="18510" xr:uid="{00000000-0005-0000-0000-0000F2040000}"/>
    <cellStyle name="Comma 3 2 5 6 3" xfId="18511" xr:uid="{00000000-0005-0000-0000-0000F3040000}"/>
    <cellStyle name="Comma 3 2 5 6 3 2" xfId="18512" xr:uid="{00000000-0005-0000-0000-0000F4040000}"/>
    <cellStyle name="Comma 3 2 5 6 4" xfId="18513" xr:uid="{00000000-0005-0000-0000-0000F5040000}"/>
    <cellStyle name="Comma 3 2 5 6 5" xfId="18514" xr:uid="{00000000-0005-0000-0000-0000F6040000}"/>
    <cellStyle name="Comma 3 2 5 7" xfId="18515" xr:uid="{00000000-0005-0000-0000-0000F7040000}"/>
    <cellStyle name="Comma 3 2 5 7 2" xfId="18516" xr:uid="{00000000-0005-0000-0000-0000F8040000}"/>
    <cellStyle name="Comma 3 2 5 8" xfId="18517" xr:uid="{00000000-0005-0000-0000-0000F9040000}"/>
    <cellStyle name="Comma 3 2 5 8 2" xfId="18518" xr:uid="{00000000-0005-0000-0000-0000FA040000}"/>
    <cellStyle name="Comma 3 2 5 9" xfId="18519" xr:uid="{00000000-0005-0000-0000-0000FB040000}"/>
    <cellStyle name="Comma 3 2 5 9 2" xfId="18520" xr:uid="{00000000-0005-0000-0000-0000FC040000}"/>
    <cellStyle name="Comma 3 2 6" xfId="18521" xr:uid="{00000000-0005-0000-0000-0000FD040000}"/>
    <cellStyle name="Comma 3 2 6 10" xfId="18522" xr:uid="{00000000-0005-0000-0000-0000FE040000}"/>
    <cellStyle name="Comma 3 2 6 2" xfId="18523" xr:uid="{00000000-0005-0000-0000-0000FF040000}"/>
    <cellStyle name="Comma 3 2 6 2 2" xfId="18524" xr:uid="{00000000-0005-0000-0000-000000050000}"/>
    <cellStyle name="Comma 3 2 6 2 2 2" xfId="18525" xr:uid="{00000000-0005-0000-0000-000001050000}"/>
    <cellStyle name="Comma 3 2 6 2 3" xfId="18526" xr:uid="{00000000-0005-0000-0000-000002050000}"/>
    <cellStyle name="Comma 3 2 6 2 3 2" xfId="18527" xr:uid="{00000000-0005-0000-0000-000003050000}"/>
    <cellStyle name="Comma 3 2 6 2 4" xfId="18528" xr:uid="{00000000-0005-0000-0000-000004050000}"/>
    <cellStyle name="Comma 3 2 6 2 4 2" xfId="18529" xr:uid="{00000000-0005-0000-0000-000005050000}"/>
    <cellStyle name="Comma 3 2 6 2 5" xfId="18530" xr:uid="{00000000-0005-0000-0000-000006050000}"/>
    <cellStyle name="Comma 3 2 6 2 6" xfId="18531" xr:uid="{00000000-0005-0000-0000-000007050000}"/>
    <cellStyle name="Comma 3 2 6 3" xfId="18532" xr:uid="{00000000-0005-0000-0000-000008050000}"/>
    <cellStyle name="Comma 3 2 6 3 2" xfId="18533" xr:uid="{00000000-0005-0000-0000-000009050000}"/>
    <cellStyle name="Comma 3 2 6 3 2 2" xfId="18534" xr:uid="{00000000-0005-0000-0000-00000A050000}"/>
    <cellStyle name="Comma 3 2 6 3 3" xfId="18535" xr:uid="{00000000-0005-0000-0000-00000B050000}"/>
    <cellStyle name="Comma 3 2 6 3 3 2" xfId="18536" xr:uid="{00000000-0005-0000-0000-00000C050000}"/>
    <cellStyle name="Comma 3 2 6 3 4" xfId="18537" xr:uid="{00000000-0005-0000-0000-00000D050000}"/>
    <cellStyle name="Comma 3 2 6 3 4 2" xfId="18538" xr:uid="{00000000-0005-0000-0000-00000E050000}"/>
    <cellStyle name="Comma 3 2 6 3 5" xfId="18539" xr:uid="{00000000-0005-0000-0000-00000F050000}"/>
    <cellStyle name="Comma 3 2 6 3 6" xfId="18540" xr:uid="{00000000-0005-0000-0000-000010050000}"/>
    <cellStyle name="Comma 3 2 6 4" xfId="18541" xr:uid="{00000000-0005-0000-0000-000011050000}"/>
    <cellStyle name="Comma 3 2 6 4 2" xfId="18542" xr:uid="{00000000-0005-0000-0000-000012050000}"/>
    <cellStyle name="Comma 3 2 6 4 2 2" xfId="18543" xr:uid="{00000000-0005-0000-0000-000013050000}"/>
    <cellStyle name="Comma 3 2 6 4 3" xfId="18544" xr:uid="{00000000-0005-0000-0000-000014050000}"/>
    <cellStyle name="Comma 3 2 6 4 3 2" xfId="18545" xr:uid="{00000000-0005-0000-0000-000015050000}"/>
    <cellStyle name="Comma 3 2 6 4 4" xfId="18546" xr:uid="{00000000-0005-0000-0000-000016050000}"/>
    <cellStyle name="Comma 3 2 6 4 4 2" xfId="18547" xr:uid="{00000000-0005-0000-0000-000017050000}"/>
    <cellStyle name="Comma 3 2 6 4 5" xfId="18548" xr:uid="{00000000-0005-0000-0000-000018050000}"/>
    <cellStyle name="Comma 3 2 6 4 6" xfId="18549" xr:uid="{00000000-0005-0000-0000-000019050000}"/>
    <cellStyle name="Comma 3 2 6 5" xfId="18550" xr:uid="{00000000-0005-0000-0000-00001A050000}"/>
    <cellStyle name="Comma 3 2 6 5 2" xfId="18551" xr:uid="{00000000-0005-0000-0000-00001B050000}"/>
    <cellStyle name="Comma 3 2 6 5 2 2" xfId="18552" xr:uid="{00000000-0005-0000-0000-00001C050000}"/>
    <cellStyle name="Comma 3 2 6 5 3" xfId="18553" xr:uid="{00000000-0005-0000-0000-00001D050000}"/>
    <cellStyle name="Comma 3 2 6 5 3 2" xfId="18554" xr:uid="{00000000-0005-0000-0000-00001E050000}"/>
    <cellStyle name="Comma 3 2 6 5 4" xfId="18555" xr:uid="{00000000-0005-0000-0000-00001F050000}"/>
    <cellStyle name="Comma 3 2 6 5 5" xfId="18556" xr:uid="{00000000-0005-0000-0000-000020050000}"/>
    <cellStyle name="Comma 3 2 6 6" xfId="18557" xr:uid="{00000000-0005-0000-0000-000021050000}"/>
    <cellStyle name="Comma 3 2 6 6 2" xfId="18558" xr:uid="{00000000-0005-0000-0000-000022050000}"/>
    <cellStyle name="Comma 3 2 6 7" xfId="18559" xr:uid="{00000000-0005-0000-0000-000023050000}"/>
    <cellStyle name="Comma 3 2 6 7 2" xfId="18560" xr:uid="{00000000-0005-0000-0000-000024050000}"/>
    <cellStyle name="Comma 3 2 6 8" xfId="18561" xr:uid="{00000000-0005-0000-0000-000025050000}"/>
    <cellStyle name="Comma 3 2 6 8 2" xfId="18562" xr:uid="{00000000-0005-0000-0000-000026050000}"/>
    <cellStyle name="Comma 3 2 6 9" xfId="18563" xr:uid="{00000000-0005-0000-0000-000027050000}"/>
    <cellStyle name="Comma 3 2 7" xfId="18564" xr:uid="{00000000-0005-0000-0000-000028050000}"/>
    <cellStyle name="Comma 3 2 7 10" xfId="18565" xr:uid="{00000000-0005-0000-0000-000029050000}"/>
    <cellStyle name="Comma 3 2 7 2" xfId="18566" xr:uid="{00000000-0005-0000-0000-00002A050000}"/>
    <cellStyle name="Comma 3 2 7 2 2" xfId="18567" xr:uid="{00000000-0005-0000-0000-00002B050000}"/>
    <cellStyle name="Comma 3 2 7 2 2 2" xfId="18568" xr:uid="{00000000-0005-0000-0000-00002C050000}"/>
    <cellStyle name="Comma 3 2 7 2 3" xfId="18569" xr:uid="{00000000-0005-0000-0000-00002D050000}"/>
    <cellStyle name="Comma 3 2 7 2 3 2" xfId="18570" xr:uid="{00000000-0005-0000-0000-00002E050000}"/>
    <cellStyle name="Comma 3 2 7 2 4" xfId="18571" xr:uid="{00000000-0005-0000-0000-00002F050000}"/>
    <cellStyle name="Comma 3 2 7 2 4 2" xfId="18572" xr:uid="{00000000-0005-0000-0000-000030050000}"/>
    <cellStyle name="Comma 3 2 7 2 5" xfId="18573" xr:uid="{00000000-0005-0000-0000-000031050000}"/>
    <cellStyle name="Comma 3 2 7 2 6" xfId="18574" xr:uid="{00000000-0005-0000-0000-000032050000}"/>
    <cellStyle name="Comma 3 2 7 3" xfId="18575" xr:uid="{00000000-0005-0000-0000-000033050000}"/>
    <cellStyle name="Comma 3 2 7 3 2" xfId="18576" xr:uid="{00000000-0005-0000-0000-000034050000}"/>
    <cellStyle name="Comma 3 2 7 3 2 2" xfId="18577" xr:uid="{00000000-0005-0000-0000-000035050000}"/>
    <cellStyle name="Comma 3 2 7 3 3" xfId="18578" xr:uid="{00000000-0005-0000-0000-000036050000}"/>
    <cellStyle name="Comma 3 2 7 3 3 2" xfId="18579" xr:uid="{00000000-0005-0000-0000-000037050000}"/>
    <cellStyle name="Comma 3 2 7 3 4" xfId="18580" xr:uid="{00000000-0005-0000-0000-000038050000}"/>
    <cellStyle name="Comma 3 2 7 3 4 2" xfId="18581" xr:uid="{00000000-0005-0000-0000-000039050000}"/>
    <cellStyle name="Comma 3 2 7 3 5" xfId="18582" xr:uid="{00000000-0005-0000-0000-00003A050000}"/>
    <cellStyle name="Comma 3 2 7 3 6" xfId="18583" xr:uid="{00000000-0005-0000-0000-00003B050000}"/>
    <cellStyle name="Comma 3 2 7 4" xfId="18584" xr:uid="{00000000-0005-0000-0000-00003C050000}"/>
    <cellStyle name="Comma 3 2 7 4 2" xfId="18585" xr:uid="{00000000-0005-0000-0000-00003D050000}"/>
    <cellStyle name="Comma 3 2 7 4 2 2" xfId="18586" xr:uid="{00000000-0005-0000-0000-00003E050000}"/>
    <cellStyle name="Comma 3 2 7 4 3" xfId="18587" xr:uid="{00000000-0005-0000-0000-00003F050000}"/>
    <cellStyle name="Comma 3 2 7 4 3 2" xfId="18588" xr:uid="{00000000-0005-0000-0000-000040050000}"/>
    <cellStyle name="Comma 3 2 7 4 4" xfId="18589" xr:uid="{00000000-0005-0000-0000-000041050000}"/>
    <cellStyle name="Comma 3 2 7 4 4 2" xfId="18590" xr:uid="{00000000-0005-0000-0000-000042050000}"/>
    <cellStyle name="Comma 3 2 7 4 5" xfId="18591" xr:uid="{00000000-0005-0000-0000-000043050000}"/>
    <cellStyle name="Comma 3 2 7 4 6" xfId="18592" xr:uid="{00000000-0005-0000-0000-000044050000}"/>
    <cellStyle name="Comma 3 2 7 5" xfId="18593" xr:uid="{00000000-0005-0000-0000-000045050000}"/>
    <cellStyle name="Comma 3 2 7 5 2" xfId="18594" xr:uid="{00000000-0005-0000-0000-000046050000}"/>
    <cellStyle name="Comma 3 2 7 5 2 2" xfId="18595" xr:uid="{00000000-0005-0000-0000-000047050000}"/>
    <cellStyle name="Comma 3 2 7 5 3" xfId="18596" xr:uid="{00000000-0005-0000-0000-000048050000}"/>
    <cellStyle name="Comma 3 2 7 5 3 2" xfId="18597" xr:uid="{00000000-0005-0000-0000-000049050000}"/>
    <cellStyle name="Comma 3 2 7 5 4" xfId="18598" xr:uid="{00000000-0005-0000-0000-00004A050000}"/>
    <cellStyle name="Comma 3 2 7 5 5" xfId="18599" xr:uid="{00000000-0005-0000-0000-00004B050000}"/>
    <cellStyle name="Comma 3 2 7 6" xfId="18600" xr:uid="{00000000-0005-0000-0000-00004C050000}"/>
    <cellStyle name="Comma 3 2 7 6 2" xfId="18601" xr:uid="{00000000-0005-0000-0000-00004D050000}"/>
    <cellStyle name="Comma 3 2 7 7" xfId="18602" xr:uid="{00000000-0005-0000-0000-00004E050000}"/>
    <cellStyle name="Comma 3 2 7 7 2" xfId="18603" xr:uid="{00000000-0005-0000-0000-00004F050000}"/>
    <cellStyle name="Comma 3 2 7 8" xfId="18604" xr:uid="{00000000-0005-0000-0000-000050050000}"/>
    <cellStyle name="Comma 3 2 7 8 2" xfId="18605" xr:uid="{00000000-0005-0000-0000-000051050000}"/>
    <cellStyle name="Comma 3 2 7 9" xfId="18606" xr:uid="{00000000-0005-0000-0000-000052050000}"/>
    <cellStyle name="Comma 3 2 8" xfId="18607" xr:uid="{00000000-0005-0000-0000-000053050000}"/>
    <cellStyle name="Comma 3 2 8 2" xfId="18608" xr:uid="{00000000-0005-0000-0000-000054050000}"/>
    <cellStyle name="Comma 3 2 8 2 2" xfId="18609" xr:uid="{00000000-0005-0000-0000-000055050000}"/>
    <cellStyle name="Comma 3 2 8 3" xfId="18610" xr:uid="{00000000-0005-0000-0000-000056050000}"/>
    <cellStyle name="Comma 3 2 8 3 2" xfId="18611" xr:uid="{00000000-0005-0000-0000-000057050000}"/>
    <cellStyle name="Comma 3 2 8 4" xfId="18612" xr:uid="{00000000-0005-0000-0000-000058050000}"/>
    <cellStyle name="Comma 3 2 8 4 2" xfId="18613" xr:uid="{00000000-0005-0000-0000-000059050000}"/>
    <cellStyle name="Comma 3 2 8 5" xfId="18614" xr:uid="{00000000-0005-0000-0000-00005A050000}"/>
    <cellStyle name="Comma 3 2 8 6" xfId="18615" xr:uid="{00000000-0005-0000-0000-00005B050000}"/>
    <cellStyle name="Comma 3 2 9" xfId="18616" xr:uid="{00000000-0005-0000-0000-00005C050000}"/>
    <cellStyle name="Comma 3 2 9 2" xfId="18617" xr:uid="{00000000-0005-0000-0000-00005D050000}"/>
    <cellStyle name="Comma 3 2 9 2 2" xfId="18618" xr:uid="{00000000-0005-0000-0000-00005E050000}"/>
    <cellStyle name="Comma 3 2 9 3" xfId="18619" xr:uid="{00000000-0005-0000-0000-00005F050000}"/>
    <cellStyle name="Comma 3 2 9 3 2" xfId="18620" xr:uid="{00000000-0005-0000-0000-000060050000}"/>
    <cellStyle name="Comma 3 2 9 4" xfId="18621" xr:uid="{00000000-0005-0000-0000-000061050000}"/>
    <cellStyle name="Comma 3 2 9 4 2" xfId="18622" xr:uid="{00000000-0005-0000-0000-000062050000}"/>
    <cellStyle name="Comma 3 2 9 5" xfId="18623" xr:uid="{00000000-0005-0000-0000-000063050000}"/>
    <cellStyle name="Comma 3 2 9 6" xfId="18624" xr:uid="{00000000-0005-0000-0000-000064050000}"/>
    <cellStyle name="Comma 3 3" xfId="100" xr:uid="{00000000-0005-0000-0000-000065050000}"/>
    <cellStyle name="Comma 3 3 10" xfId="101" xr:uid="{00000000-0005-0000-0000-000066050000}"/>
    <cellStyle name="Comma 3 3 10 2" xfId="102" xr:uid="{00000000-0005-0000-0000-000067050000}"/>
    <cellStyle name="Comma 3 3 10 2 2" xfId="103" xr:uid="{00000000-0005-0000-0000-000068050000}"/>
    <cellStyle name="Comma 3 3 10 3" xfId="104" xr:uid="{00000000-0005-0000-0000-000069050000}"/>
    <cellStyle name="Comma 3 3 10 3 2" xfId="105" xr:uid="{00000000-0005-0000-0000-00006A050000}"/>
    <cellStyle name="Comma 3 3 10 4" xfId="106" xr:uid="{00000000-0005-0000-0000-00006B050000}"/>
    <cellStyle name="Comma 3 3 11" xfId="107" xr:uid="{00000000-0005-0000-0000-00006C050000}"/>
    <cellStyle name="Comma 3 3 11 2" xfId="108" xr:uid="{00000000-0005-0000-0000-00006D050000}"/>
    <cellStyle name="Comma 3 3 11 3" xfId="109" xr:uid="{00000000-0005-0000-0000-00006E050000}"/>
    <cellStyle name="Comma 3 3 12" xfId="110" xr:uid="{00000000-0005-0000-0000-00006F050000}"/>
    <cellStyle name="Comma 3 3 12 2" xfId="111" xr:uid="{00000000-0005-0000-0000-000070050000}"/>
    <cellStyle name="Comma 3 3 13" xfId="112" xr:uid="{00000000-0005-0000-0000-000071050000}"/>
    <cellStyle name="Comma 3 3 13 2" xfId="113" xr:uid="{00000000-0005-0000-0000-000072050000}"/>
    <cellStyle name="Comma 3 3 14" xfId="114" xr:uid="{00000000-0005-0000-0000-000073050000}"/>
    <cellStyle name="Comma 3 3 15" xfId="18625" xr:uid="{00000000-0005-0000-0000-000074050000}"/>
    <cellStyle name="Comma 3 3 2" xfId="115" xr:uid="{00000000-0005-0000-0000-000075050000}"/>
    <cellStyle name="Comma 3 3 2 10" xfId="116" xr:uid="{00000000-0005-0000-0000-000076050000}"/>
    <cellStyle name="Comma 3 3 2 10 2" xfId="117" xr:uid="{00000000-0005-0000-0000-000077050000}"/>
    <cellStyle name="Comma 3 3 2 11" xfId="118" xr:uid="{00000000-0005-0000-0000-000078050000}"/>
    <cellStyle name="Comma 3 3 2 11 2" xfId="119" xr:uid="{00000000-0005-0000-0000-000079050000}"/>
    <cellStyle name="Comma 3 3 2 12" xfId="120" xr:uid="{00000000-0005-0000-0000-00007A050000}"/>
    <cellStyle name="Comma 3 3 2 2" xfId="121" xr:uid="{00000000-0005-0000-0000-00007B050000}"/>
    <cellStyle name="Comma 3 3 2 2 10" xfId="122" xr:uid="{00000000-0005-0000-0000-00007C050000}"/>
    <cellStyle name="Comma 3 3 2 2 2" xfId="123" xr:uid="{00000000-0005-0000-0000-00007D050000}"/>
    <cellStyle name="Comma 3 3 2 2 2 2" xfId="124" xr:uid="{00000000-0005-0000-0000-00007E050000}"/>
    <cellStyle name="Comma 3 3 2 2 2 2 2" xfId="125" xr:uid="{00000000-0005-0000-0000-00007F050000}"/>
    <cellStyle name="Comma 3 3 2 2 2 2 2 2" xfId="126" xr:uid="{00000000-0005-0000-0000-000080050000}"/>
    <cellStyle name="Comma 3 3 2 2 2 2 2 3" xfId="127" xr:uid="{00000000-0005-0000-0000-000081050000}"/>
    <cellStyle name="Comma 3 3 2 2 2 2 3" xfId="128" xr:uid="{00000000-0005-0000-0000-000082050000}"/>
    <cellStyle name="Comma 3 3 2 2 2 2 3 2" xfId="129" xr:uid="{00000000-0005-0000-0000-000083050000}"/>
    <cellStyle name="Comma 3 3 2 2 2 2 4" xfId="130" xr:uid="{00000000-0005-0000-0000-000084050000}"/>
    <cellStyle name="Comma 3 3 2 2 2 2 4 2" xfId="131" xr:uid="{00000000-0005-0000-0000-000085050000}"/>
    <cellStyle name="Comma 3 3 2 2 2 2 5" xfId="132" xr:uid="{00000000-0005-0000-0000-000086050000}"/>
    <cellStyle name="Comma 3 3 2 2 2 3" xfId="133" xr:uid="{00000000-0005-0000-0000-000087050000}"/>
    <cellStyle name="Comma 3 3 2 2 2 3 2" xfId="134" xr:uid="{00000000-0005-0000-0000-000088050000}"/>
    <cellStyle name="Comma 3 3 2 2 2 3 2 2" xfId="135" xr:uid="{00000000-0005-0000-0000-000089050000}"/>
    <cellStyle name="Comma 3 3 2 2 2 3 3" xfId="136" xr:uid="{00000000-0005-0000-0000-00008A050000}"/>
    <cellStyle name="Comma 3 3 2 2 2 3 3 2" xfId="137" xr:uid="{00000000-0005-0000-0000-00008B050000}"/>
    <cellStyle name="Comma 3 3 2 2 2 3 4" xfId="138" xr:uid="{00000000-0005-0000-0000-00008C050000}"/>
    <cellStyle name="Comma 3 3 2 2 2 4" xfId="139" xr:uid="{00000000-0005-0000-0000-00008D050000}"/>
    <cellStyle name="Comma 3 3 2 2 2 4 2" xfId="140" xr:uid="{00000000-0005-0000-0000-00008E050000}"/>
    <cellStyle name="Comma 3 3 2 2 2 4 3" xfId="141" xr:uid="{00000000-0005-0000-0000-00008F050000}"/>
    <cellStyle name="Comma 3 3 2 2 2 5" xfId="142" xr:uid="{00000000-0005-0000-0000-000090050000}"/>
    <cellStyle name="Comma 3 3 2 2 2 5 2" xfId="143" xr:uid="{00000000-0005-0000-0000-000091050000}"/>
    <cellStyle name="Comma 3 3 2 2 2 6" xfId="144" xr:uid="{00000000-0005-0000-0000-000092050000}"/>
    <cellStyle name="Comma 3 3 2 2 2 6 2" xfId="145" xr:uid="{00000000-0005-0000-0000-000093050000}"/>
    <cellStyle name="Comma 3 3 2 2 2 7" xfId="146" xr:uid="{00000000-0005-0000-0000-000094050000}"/>
    <cellStyle name="Comma 3 3 2 2 3" xfId="147" xr:uid="{00000000-0005-0000-0000-000095050000}"/>
    <cellStyle name="Comma 3 3 2 2 3 2" xfId="148" xr:uid="{00000000-0005-0000-0000-000096050000}"/>
    <cellStyle name="Comma 3 3 2 2 3 2 2" xfId="149" xr:uid="{00000000-0005-0000-0000-000097050000}"/>
    <cellStyle name="Comma 3 3 2 2 3 2 2 2" xfId="150" xr:uid="{00000000-0005-0000-0000-000098050000}"/>
    <cellStyle name="Comma 3 3 2 2 3 2 2 3" xfId="151" xr:uid="{00000000-0005-0000-0000-000099050000}"/>
    <cellStyle name="Comma 3 3 2 2 3 2 3" xfId="152" xr:uid="{00000000-0005-0000-0000-00009A050000}"/>
    <cellStyle name="Comma 3 3 2 2 3 2 3 2" xfId="153" xr:uid="{00000000-0005-0000-0000-00009B050000}"/>
    <cellStyle name="Comma 3 3 2 2 3 2 4" xfId="154" xr:uid="{00000000-0005-0000-0000-00009C050000}"/>
    <cellStyle name="Comma 3 3 2 2 3 2 4 2" xfId="155" xr:uid="{00000000-0005-0000-0000-00009D050000}"/>
    <cellStyle name="Comma 3 3 2 2 3 2 5" xfId="156" xr:uid="{00000000-0005-0000-0000-00009E050000}"/>
    <cellStyle name="Comma 3 3 2 2 3 3" xfId="157" xr:uid="{00000000-0005-0000-0000-00009F050000}"/>
    <cellStyle name="Comma 3 3 2 2 3 3 2" xfId="158" xr:uid="{00000000-0005-0000-0000-0000A0050000}"/>
    <cellStyle name="Comma 3 3 2 2 3 3 2 2" xfId="159" xr:uid="{00000000-0005-0000-0000-0000A1050000}"/>
    <cellStyle name="Comma 3 3 2 2 3 3 3" xfId="160" xr:uid="{00000000-0005-0000-0000-0000A2050000}"/>
    <cellStyle name="Comma 3 3 2 2 3 3 3 2" xfId="161" xr:uid="{00000000-0005-0000-0000-0000A3050000}"/>
    <cellStyle name="Comma 3 3 2 2 3 3 4" xfId="162" xr:uid="{00000000-0005-0000-0000-0000A4050000}"/>
    <cellStyle name="Comma 3 3 2 2 3 4" xfId="163" xr:uid="{00000000-0005-0000-0000-0000A5050000}"/>
    <cellStyle name="Comma 3 3 2 2 3 4 2" xfId="164" xr:uid="{00000000-0005-0000-0000-0000A6050000}"/>
    <cellStyle name="Comma 3 3 2 2 3 4 3" xfId="165" xr:uid="{00000000-0005-0000-0000-0000A7050000}"/>
    <cellStyle name="Comma 3 3 2 2 3 5" xfId="166" xr:uid="{00000000-0005-0000-0000-0000A8050000}"/>
    <cellStyle name="Comma 3 3 2 2 3 5 2" xfId="167" xr:uid="{00000000-0005-0000-0000-0000A9050000}"/>
    <cellStyle name="Comma 3 3 2 2 3 6" xfId="168" xr:uid="{00000000-0005-0000-0000-0000AA050000}"/>
    <cellStyle name="Comma 3 3 2 2 3 6 2" xfId="169" xr:uid="{00000000-0005-0000-0000-0000AB050000}"/>
    <cellStyle name="Comma 3 3 2 2 3 7" xfId="170" xr:uid="{00000000-0005-0000-0000-0000AC050000}"/>
    <cellStyle name="Comma 3 3 2 2 4" xfId="171" xr:uid="{00000000-0005-0000-0000-0000AD050000}"/>
    <cellStyle name="Comma 3 3 2 2 4 2" xfId="172" xr:uid="{00000000-0005-0000-0000-0000AE050000}"/>
    <cellStyle name="Comma 3 3 2 2 4 2 2" xfId="173" xr:uid="{00000000-0005-0000-0000-0000AF050000}"/>
    <cellStyle name="Comma 3 3 2 2 4 2 2 2" xfId="174" xr:uid="{00000000-0005-0000-0000-0000B0050000}"/>
    <cellStyle name="Comma 3 3 2 2 4 2 3" xfId="175" xr:uid="{00000000-0005-0000-0000-0000B1050000}"/>
    <cellStyle name="Comma 3 3 2 2 4 2 3 2" xfId="176" xr:uid="{00000000-0005-0000-0000-0000B2050000}"/>
    <cellStyle name="Comma 3 3 2 2 4 2 4" xfId="177" xr:uid="{00000000-0005-0000-0000-0000B3050000}"/>
    <cellStyle name="Comma 3 3 2 2 4 3" xfId="178" xr:uid="{00000000-0005-0000-0000-0000B4050000}"/>
    <cellStyle name="Comma 3 3 2 2 4 3 2" xfId="179" xr:uid="{00000000-0005-0000-0000-0000B5050000}"/>
    <cellStyle name="Comma 3 3 2 2 4 3 3" xfId="180" xr:uid="{00000000-0005-0000-0000-0000B6050000}"/>
    <cellStyle name="Comma 3 3 2 2 4 4" xfId="181" xr:uid="{00000000-0005-0000-0000-0000B7050000}"/>
    <cellStyle name="Comma 3 3 2 2 4 4 2" xfId="182" xr:uid="{00000000-0005-0000-0000-0000B8050000}"/>
    <cellStyle name="Comma 3 3 2 2 4 5" xfId="183" xr:uid="{00000000-0005-0000-0000-0000B9050000}"/>
    <cellStyle name="Comma 3 3 2 2 4 5 2" xfId="184" xr:uid="{00000000-0005-0000-0000-0000BA050000}"/>
    <cellStyle name="Comma 3 3 2 2 4 6" xfId="185" xr:uid="{00000000-0005-0000-0000-0000BB050000}"/>
    <cellStyle name="Comma 3 3 2 2 5" xfId="186" xr:uid="{00000000-0005-0000-0000-0000BC050000}"/>
    <cellStyle name="Comma 3 3 2 2 5 2" xfId="187" xr:uid="{00000000-0005-0000-0000-0000BD050000}"/>
    <cellStyle name="Comma 3 3 2 2 5 2 2" xfId="188" xr:uid="{00000000-0005-0000-0000-0000BE050000}"/>
    <cellStyle name="Comma 3 3 2 2 5 3" xfId="189" xr:uid="{00000000-0005-0000-0000-0000BF050000}"/>
    <cellStyle name="Comma 3 3 2 2 5 3 2" xfId="190" xr:uid="{00000000-0005-0000-0000-0000C0050000}"/>
    <cellStyle name="Comma 3 3 2 2 5 4" xfId="191" xr:uid="{00000000-0005-0000-0000-0000C1050000}"/>
    <cellStyle name="Comma 3 3 2 2 6" xfId="192" xr:uid="{00000000-0005-0000-0000-0000C2050000}"/>
    <cellStyle name="Comma 3 3 2 2 6 2" xfId="193" xr:uid="{00000000-0005-0000-0000-0000C3050000}"/>
    <cellStyle name="Comma 3 3 2 2 6 2 2" xfId="194" xr:uid="{00000000-0005-0000-0000-0000C4050000}"/>
    <cellStyle name="Comma 3 3 2 2 6 3" xfId="195" xr:uid="{00000000-0005-0000-0000-0000C5050000}"/>
    <cellStyle name="Comma 3 3 2 2 6 3 2" xfId="196" xr:uid="{00000000-0005-0000-0000-0000C6050000}"/>
    <cellStyle name="Comma 3 3 2 2 6 4" xfId="197" xr:uid="{00000000-0005-0000-0000-0000C7050000}"/>
    <cellStyle name="Comma 3 3 2 2 7" xfId="198" xr:uid="{00000000-0005-0000-0000-0000C8050000}"/>
    <cellStyle name="Comma 3 3 2 2 7 2" xfId="199" xr:uid="{00000000-0005-0000-0000-0000C9050000}"/>
    <cellStyle name="Comma 3 3 2 2 7 3" xfId="200" xr:uid="{00000000-0005-0000-0000-0000CA050000}"/>
    <cellStyle name="Comma 3 3 2 2 8" xfId="201" xr:uid="{00000000-0005-0000-0000-0000CB050000}"/>
    <cellStyle name="Comma 3 3 2 2 8 2" xfId="202" xr:uid="{00000000-0005-0000-0000-0000CC050000}"/>
    <cellStyle name="Comma 3 3 2 2 9" xfId="203" xr:uid="{00000000-0005-0000-0000-0000CD050000}"/>
    <cellStyle name="Comma 3 3 2 2 9 2" xfId="204" xr:uid="{00000000-0005-0000-0000-0000CE050000}"/>
    <cellStyle name="Comma 3 3 2 3" xfId="205" xr:uid="{00000000-0005-0000-0000-0000CF050000}"/>
    <cellStyle name="Comma 3 3 2 3 2" xfId="206" xr:uid="{00000000-0005-0000-0000-0000D0050000}"/>
    <cellStyle name="Comma 3 3 2 3 2 2" xfId="207" xr:uid="{00000000-0005-0000-0000-0000D1050000}"/>
    <cellStyle name="Comma 3 3 2 3 2 2 2" xfId="208" xr:uid="{00000000-0005-0000-0000-0000D2050000}"/>
    <cellStyle name="Comma 3 3 2 3 2 2 2 2" xfId="209" xr:uid="{00000000-0005-0000-0000-0000D3050000}"/>
    <cellStyle name="Comma 3 3 2 3 2 2 2 3" xfId="210" xr:uid="{00000000-0005-0000-0000-0000D4050000}"/>
    <cellStyle name="Comma 3 3 2 3 2 2 3" xfId="211" xr:uid="{00000000-0005-0000-0000-0000D5050000}"/>
    <cellStyle name="Comma 3 3 2 3 2 2 3 2" xfId="212" xr:uid="{00000000-0005-0000-0000-0000D6050000}"/>
    <cellStyle name="Comma 3 3 2 3 2 2 4" xfId="213" xr:uid="{00000000-0005-0000-0000-0000D7050000}"/>
    <cellStyle name="Comma 3 3 2 3 2 2 4 2" xfId="214" xr:uid="{00000000-0005-0000-0000-0000D8050000}"/>
    <cellStyle name="Comma 3 3 2 3 2 2 5" xfId="215" xr:uid="{00000000-0005-0000-0000-0000D9050000}"/>
    <cellStyle name="Comma 3 3 2 3 2 3" xfId="216" xr:uid="{00000000-0005-0000-0000-0000DA050000}"/>
    <cellStyle name="Comma 3 3 2 3 2 3 2" xfId="217" xr:uid="{00000000-0005-0000-0000-0000DB050000}"/>
    <cellStyle name="Comma 3 3 2 3 2 3 2 2" xfId="218" xr:uid="{00000000-0005-0000-0000-0000DC050000}"/>
    <cellStyle name="Comma 3 3 2 3 2 3 3" xfId="219" xr:uid="{00000000-0005-0000-0000-0000DD050000}"/>
    <cellStyle name="Comma 3 3 2 3 2 3 3 2" xfId="220" xr:uid="{00000000-0005-0000-0000-0000DE050000}"/>
    <cellStyle name="Comma 3 3 2 3 2 3 4" xfId="221" xr:uid="{00000000-0005-0000-0000-0000DF050000}"/>
    <cellStyle name="Comma 3 3 2 3 2 4" xfId="222" xr:uid="{00000000-0005-0000-0000-0000E0050000}"/>
    <cellStyle name="Comma 3 3 2 3 2 4 2" xfId="223" xr:uid="{00000000-0005-0000-0000-0000E1050000}"/>
    <cellStyle name="Comma 3 3 2 3 2 4 3" xfId="224" xr:uid="{00000000-0005-0000-0000-0000E2050000}"/>
    <cellStyle name="Comma 3 3 2 3 2 5" xfId="225" xr:uid="{00000000-0005-0000-0000-0000E3050000}"/>
    <cellStyle name="Comma 3 3 2 3 2 5 2" xfId="226" xr:uid="{00000000-0005-0000-0000-0000E4050000}"/>
    <cellStyle name="Comma 3 3 2 3 2 6" xfId="227" xr:uid="{00000000-0005-0000-0000-0000E5050000}"/>
    <cellStyle name="Comma 3 3 2 3 2 6 2" xfId="228" xr:uid="{00000000-0005-0000-0000-0000E6050000}"/>
    <cellStyle name="Comma 3 3 2 3 2 7" xfId="229" xr:uid="{00000000-0005-0000-0000-0000E7050000}"/>
    <cellStyle name="Comma 3 3 2 3 3" xfId="230" xr:uid="{00000000-0005-0000-0000-0000E8050000}"/>
    <cellStyle name="Comma 3 3 2 3 3 2" xfId="231" xr:uid="{00000000-0005-0000-0000-0000E9050000}"/>
    <cellStyle name="Comma 3 3 2 3 3 2 2" xfId="232" xr:uid="{00000000-0005-0000-0000-0000EA050000}"/>
    <cellStyle name="Comma 3 3 2 3 3 2 3" xfId="233" xr:uid="{00000000-0005-0000-0000-0000EB050000}"/>
    <cellStyle name="Comma 3 3 2 3 3 3" xfId="234" xr:uid="{00000000-0005-0000-0000-0000EC050000}"/>
    <cellStyle name="Comma 3 3 2 3 3 3 2" xfId="235" xr:uid="{00000000-0005-0000-0000-0000ED050000}"/>
    <cellStyle name="Comma 3 3 2 3 3 4" xfId="236" xr:uid="{00000000-0005-0000-0000-0000EE050000}"/>
    <cellStyle name="Comma 3 3 2 3 3 4 2" xfId="237" xr:uid="{00000000-0005-0000-0000-0000EF050000}"/>
    <cellStyle name="Comma 3 3 2 3 3 5" xfId="238" xr:uid="{00000000-0005-0000-0000-0000F0050000}"/>
    <cellStyle name="Comma 3 3 2 3 4" xfId="239" xr:uid="{00000000-0005-0000-0000-0000F1050000}"/>
    <cellStyle name="Comma 3 3 2 3 4 2" xfId="240" xr:uid="{00000000-0005-0000-0000-0000F2050000}"/>
    <cellStyle name="Comma 3 3 2 3 4 2 2" xfId="241" xr:uid="{00000000-0005-0000-0000-0000F3050000}"/>
    <cellStyle name="Comma 3 3 2 3 4 3" xfId="242" xr:uid="{00000000-0005-0000-0000-0000F4050000}"/>
    <cellStyle name="Comma 3 3 2 3 4 3 2" xfId="243" xr:uid="{00000000-0005-0000-0000-0000F5050000}"/>
    <cellStyle name="Comma 3 3 2 3 4 4" xfId="244" xr:uid="{00000000-0005-0000-0000-0000F6050000}"/>
    <cellStyle name="Comma 3 3 2 3 5" xfId="245" xr:uid="{00000000-0005-0000-0000-0000F7050000}"/>
    <cellStyle name="Comma 3 3 2 3 5 2" xfId="246" xr:uid="{00000000-0005-0000-0000-0000F8050000}"/>
    <cellStyle name="Comma 3 3 2 3 5 3" xfId="247" xr:uid="{00000000-0005-0000-0000-0000F9050000}"/>
    <cellStyle name="Comma 3 3 2 3 6" xfId="248" xr:uid="{00000000-0005-0000-0000-0000FA050000}"/>
    <cellStyle name="Comma 3 3 2 3 6 2" xfId="249" xr:uid="{00000000-0005-0000-0000-0000FB050000}"/>
    <cellStyle name="Comma 3 3 2 3 7" xfId="250" xr:uid="{00000000-0005-0000-0000-0000FC050000}"/>
    <cellStyle name="Comma 3 3 2 3 7 2" xfId="251" xr:uid="{00000000-0005-0000-0000-0000FD050000}"/>
    <cellStyle name="Comma 3 3 2 3 8" xfId="252" xr:uid="{00000000-0005-0000-0000-0000FE050000}"/>
    <cellStyle name="Comma 3 3 2 4" xfId="253" xr:uid="{00000000-0005-0000-0000-0000FF050000}"/>
    <cellStyle name="Comma 3 3 2 4 2" xfId="254" xr:uid="{00000000-0005-0000-0000-000000060000}"/>
    <cellStyle name="Comma 3 3 2 4 2 2" xfId="255" xr:uid="{00000000-0005-0000-0000-000001060000}"/>
    <cellStyle name="Comma 3 3 2 4 2 2 2" xfId="256" xr:uid="{00000000-0005-0000-0000-000002060000}"/>
    <cellStyle name="Comma 3 3 2 4 2 2 3" xfId="257" xr:uid="{00000000-0005-0000-0000-000003060000}"/>
    <cellStyle name="Comma 3 3 2 4 2 3" xfId="258" xr:uid="{00000000-0005-0000-0000-000004060000}"/>
    <cellStyle name="Comma 3 3 2 4 2 3 2" xfId="259" xr:uid="{00000000-0005-0000-0000-000005060000}"/>
    <cellStyle name="Comma 3 3 2 4 2 4" xfId="260" xr:uid="{00000000-0005-0000-0000-000006060000}"/>
    <cellStyle name="Comma 3 3 2 4 2 4 2" xfId="261" xr:uid="{00000000-0005-0000-0000-000007060000}"/>
    <cellStyle name="Comma 3 3 2 4 2 5" xfId="262" xr:uid="{00000000-0005-0000-0000-000008060000}"/>
    <cellStyle name="Comma 3 3 2 4 3" xfId="263" xr:uid="{00000000-0005-0000-0000-000009060000}"/>
    <cellStyle name="Comma 3 3 2 4 3 2" xfId="264" xr:uid="{00000000-0005-0000-0000-00000A060000}"/>
    <cellStyle name="Comma 3 3 2 4 3 2 2" xfId="265" xr:uid="{00000000-0005-0000-0000-00000B060000}"/>
    <cellStyle name="Comma 3 3 2 4 3 3" xfId="266" xr:uid="{00000000-0005-0000-0000-00000C060000}"/>
    <cellStyle name="Comma 3 3 2 4 3 3 2" xfId="267" xr:uid="{00000000-0005-0000-0000-00000D060000}"/>
    <cellStyle name="Comma 3 3 2 4 3 4" xfId="268" xr:uid="{00000000-0005-0000-0000-00000E060000}"/>
    <cellStyle name="Comma 3 3 2 4 4" xfId="269" xr:uid="{00000000-0005-0000-0000-00000F060000}"/>
    <cellStyle name="Comma 3 3 2 4 4 2" xfId="270" xr:uid="{00000000-0005-0000-0000-000010060000}"/>
    <cellStyle name="Comma 3 3 2 4 4 3" xfId="271" xr:uid="{00000000-0005-0000-0000-000011060000}"/>
    <cellStyle name="Comma 3 3 2 4 5" xfId="272" xr:uid="{00000000-0005-0000-0000-000012060000}"/>
    <cellStyle name="Comma 3 3 2 4 5 2" xfId="273" xr:uid="{00000000-0005-0000-0000-000013060000}"/>
    <cellStyle name="Comma 3 3 2 4 6" xfId="274" xr:uid="{00000000-0005-0000-0000-000014060000}"/>
    <cellStyle name="Comma 3 3 2 4 6 2" xfId="275" xr:uid="{00000000-0005-0000-0000-000015060000}"/>
    <cellStyle name="Comma 3 3 2 4 7" xfId="276" xr:uid="{00000000-0005-0000-0000-000016060000}"/>
    <cellStyle name="Comma 3 3 2 5" xfId="277" xr:uid="{00000000-0005-0000-0000-000017060000}"/>
    <cellStyle name="Comma 3 3 2 5 2" xfId="278" xr:uid="{00000000-0005-0000-0000-000018060000}"/>
    <cellStyle name="Comma 3 3 2 5 2 2" xfId="279" xr:uid="{00000000-0005-0000-0000-000019060000}"/>
    <cellStyle name="Comma 3 3 2 5 2 2 2" xfId="280" xr:uid="{00000000-0005-0000-0000-00001A060000}"/>
    <cellStyle name="Comma 3 3 2 5 2 2 3" xfId="281" xr:uid="{00000000-0005-0000-0000-00001B060000}"/>
    <cellStyle name="Comma 3 3 2 5 2 3" xfId="282" xr:uid="{00000000-0005-0000-0000-00001C060000}"/>
    <cellStyle name="Comma 3 3 2 5 2 3 2" xfId="283" xr:uid="{00000000-0005-0000-0000-00001D060000}"/>
    <cellStyle name="Comma 3 3 2 5 2 4" xfId="284" xr:uid="{00000000-0005-0000-0000-00001E060000}"/>
    <cellStyle name="Comma 3 3 2 5 2 4 2" xfId="285" xr:uid="{00000000-0005-0000-0000-00001F060000}"/>
    <cellStyle name="Comma 3 3 2 5 2 5" xfId="286" xr:uid="{00000000-0005-0000-0000-000020060000}"/>
    <cellStyle name="Comma 3 3 2 5 3" xfId="287" xr:uid="{00000000-0005-0000-0000-000021060000}"/>
    <cellStyle name="Comma 3 3 2 5 3 2" xfId="288" xr:uid="{00000000-0005-0000-0000-000022060000}"/>
    <cellStyle name="Comma 3 3 2 5 3 2 2" xfId="289" xr:uid="{00000000-0005-0000-0000-000023060000}"/>
    <cellStyle name="Comma 3 3 2 5 3 3" xfId="290" xr:uid="{00000000-0005-0000-0000-000024060000}"/>
    <cellStyle name="Comma 3 3 2 5 3 3 2" xfId="291" xr:uid="{00000000-0005-0000-0000-000025060000}"/>
    <cellStyle name="Comma 3 3 2 5 3 4" xfId="292" xr:uid="{00000000-0005-0000-0000-000026060000}"/>
    <cellStyle name="Comma 3 3 2 5 4" xfId="293" xr:uid="{00000000-0005-0000-0000-000027060000}"/>
    <cellStyle name="Comma 3 3 2 5 4 2" xfId="294" xr:uid="{00000000-0005-0000-0000-000028060000}"/>
    <cellStyle name="Comma 3 3 2 5 4 3" xfId="295" xr:uid="{00000000-0005-0000-0000-000029060000}"/>
    <cellStyle name="Comma 3 3 2 5 5" xfId="296" xr:uid="{00000000-0005-0000-0000-00002A060000}"/>
    <cellStyle name="Comma 3 3 2 5 5 2" xfId="297" xr:uid="{00000000-0005-0000-0000-00002B060000}"/>
    <cellStyle name="Comma 3 3 2 5 6" xfId="298" xr:uid="{00000000-0005-0000-0000-00002C060000}"/>
    <cellStyle name="Comma 3 3 2 5 6 2" xfId="299" xr:uid="{00000000-0005-0000-0000-00002D060000}"/>
    <cellStyle name="Comma 3 3 2 5 7" xfId="300" xr:uid="{00000000-0005-0000-0000-00002E060000}"/>
    <cellStyle name="Comma 3 3 2 6" xfId="301" xr:uid="{00000000-0005-0000-0000-00002F060000}"/>
    <cellStyle name="Comma 3 3 2 6 2" xfId="302" xr:uid="{00000000-0005-0000-0000-000030060000}"/>
    <cellStyle name="Comma 3 3 2 6 2 2" xfId="303" xr:uid="{00000000-0005-0000-0000-000031060000}"/>
    <cellStyle name="Comma 3 3 2 6 2 2 2" xfId="304" xr:uid="{00000000-0005-0000-0000-000032060000}"/>
    <cellStyle name="Comma 3 3 2 6 2 3" xfId="305" xr:uid="{00000000-0005-0000-0000-000033060000}"/>
    <cellStyle name="Comma 3 3 2 6 2 3 2" xfId="306" xr:uid="{00000000-0005-0000-0000-000034060000}"/>
    <cellStyle name="Comma 3 3 2 6 2 4" xfId="307" xr:uid="{00000000-0005-0000-0000-000035060000}"/>
    <cellStyle name="Comma 3 3 2 6 3" xfId="308" xr:uid="{00000000-0005-0000-0000-000036060000}"/>
    <cellStyle name="Comma 3 3 2 6 3 2" xfId="309" xr:uid="{00000000-0005-0000-0000-000037060000}"/>
    <cellStyle name="Comma 3 3 2 6 3 3" xfId="310" xr:uid="{00000000-0005-0000-0000-000038060000}"/>
    <cellStyle name="Comma 3 3 2 6 4" xfId="311" xr:uid="{00000000-0005-0000-0000-000039060000}"/>
    <cellStyle name="Comma 3 3 2 6 4 2" xfId="312" xr:uid="{00000000-0005-0000-0000-00003A060000}"/>
    <cellStyle name="Comma 3 3 2 6 5" xfId="313" xr:uid="{00000000-0005-0000-0000-00003B060000}"/>
    <cellStyle name="Comma 3 3 2 6 5 2" xfId="314" xr:uid="{00000000-0005-0000-0000-00003C060000}"/>
    <cellStyle name="Comma 3 3 2 6 6" xfId="315" xr:uid="{00000000-0005-0000-0000-00003D060000}"/>
    <cellStyle name="Comma 3 3 2 7" xfId="316" xr:uid="{00000000-0005-0000-0000-00003E060000}"/>
    <cellStyle name="Comma 3 3 2 7 2" xfId="317" xr:uid="{00000000-0005-0000-0000-00003F060000}"/>
    <cellStyle name="Comma 3 3 2 7 2 2" xfId="318" xr:uid="{00000000-0005-0000-0000-000040060000}"/>
    <cellStyle name="Comma 3 3 2 7 3" xfId="319" xr:uid="{00000000-0005-0000-0000-000041060000}"/>
    <cellStyle name="Comma 3 3 2 7 3 2" xfId="320" xr:uid="{00000000-0005-0000-0000-000042060000}"/>
    <cellStyle name="Comma 3 3 2 7 4" xfId="321" xr:uid="{00000000-0005-0000-0000-000043060000}"/>
    <cellStyle name="Comma 3 3 2 8" xfId="322" xr:uid="{00000000-0005-0000-0000-000044060000}"/>
    <cellStyle name="Comma 3 3 2 8 2" xfId="323" xr:uid="{00000000-0005-0000-0000-000045060000}"/>
    <cellStyle name="Comma 3 3 2 8 2 2" xfId="324" xr:uid="{00000000-0005-0000-0000-000046060000}"/>
    <cellStyle name="Comma 3 3 2 8 3" xfId="325" xr:uid="{00000000-0005-0000-0000-000047060000}"/>
    <cellStyle name="Comma 3 3 2 8 3 2" xfId="326" xr:uid="{00000000-0005-0000-0000-000048060000}"/>
    <cellStyle name="Comma 3 3 2 8 4" xfId="327" xr:uid="{00000000-0005-0000-0000-000049060000}"/>
    <cellStyle name="Comma 3 3 2 9" xfId="328" xr:uid="{00000000-0005-0000-0000-00004A060000}"/>
    <cellStyle name="Comma 3 3 2 9 2" xfId="329" xr:uid="{00000000-0005-0000-0000-00004B060000}"/>
    <cellStyle name="Comma 3 3 2 9 3" xfId="330" xr:uid="{00000000-0005-0000-0000-00004C060000}"/>
    <cellStyle name="Comma 3 3 3" xfId="331" xr:uid="{00000000-0005-0000-0000-00004D060000}"/>
    <cellStyle name="Comma 3 3 3 10" xfId="332" xr:uid="{00000000-0005-0000-0000-00004E060000}"/>
    <cellStyle name="Comma 3 3 3 10 2" xfId="333" xr:uid="{00000000-0005-0000-0000-00004F060000}"/>
    <cellStyle name="Comma 3 3 3 11" xfId="334" xr:uid="{00000000-0005-0000-0000-000050060000}"/>
    <cellStyle name="Comma 3 3 3 2" xfId="335" xr:uid="{00000000-0005-0000-0000-000051060000}"/>
    <cellStyle name="Comma 3 3 3 2 2" xfId="336" xr:uid="{00000000-0005-0000-0000-000052060000}"/>
    <cellStyle name="Comma 3 3 3 2 2 2" xfId="337" xr:uid="{00000000-0005-0000-0000-000053060000}"/>
    <cellStyle name="Comma 3 3 3 2 2 2 2" xfId="338" xr:uid="{00000000-0005-0000-0000-000054060000}"/>
    <cellStyle name="Comma 3 3 3 2 2 2 2 2" xfId="339" xr:uid="{00000000-0005-0000-0000-000055060000}"/>
    <cellStyle name="Comma 3 3 3 2 2 2 2 3" xfId="340" xr:uid="{00000000-0005-0000-0000-000056060000}"/>
    <cellStyle name="Comma 3 3 3 2 2 2 3" xfId="341" xr:uid="{00000000-0005-0000-0000-000057060000}"/>
    <cellStyle name="Comma 3 3 3 2 2 2 3 2" xfId="342" xr:uid="{00000000-0005-0000-0000-000058060000}"/>
    <cellStyle name="Comma 3 3 3 2 2 2 4" xfId="343" xr:uid="{00000000-0005-0000-0000-000059060000}"/>
    <cellStyle name="Comma 3 3 3 2 2 2 4 2" xfId="344" xr:uid="{00000000-0005-0000-0000-00005A060000}"/>
    <cellStyle name="Comma 3 3 3 2 2 2 5" xfId="345" xr:uid="{00000000-0005-0000-0000-00005B060000}"/>
    <cellStyle name="Comma 3 3 3 2 2 3" xfId="346" xr:uid="{00000000-0005-0000-0000-00005C060000}"/>
    <cellStyle name="Comma 3 3 3 2 2 3 2" xfId="347" xr:uid="{00000000-0005-0000-0000-00005D060000}"/>
    <cellStyle name="Comma 3 3 3 2 2 3 2 2" xfId="348" xr:uid="{00000000-0005-0000-0000-00005E060000}"/>
    <cellStyle name="Comma 3 3 3 2 2 3 3" xfId="349" xr:uid="{00000000-0005-0000-0000-00005F060000}"/>
    <cellStyle name="Comma 3 3 3 2 2 3 3 2" xfId="350" xr:uid="{00000000-0005-0000-0000-000060060000}"/>
    <cellStyle name="Comma 3 3 3 2 2 3 4" xfId="351" xr:uid="{00000000-0005-0000-0000-000061060000}"/>
    <cellStyle name="Comma 3 3 3 2 2 4" xfId="352" xr:uid="{00000000-0005-0000-0000-000062060000}"/>
    <cellStyle name="Comma 3 3 3 2 2 4 2" xfId="353" xr:uid="{00000000-0005-0000-0000-000063060000}"/>
    <cellStyle name="Comma 3 3 3 2 2 4 3" xfId="354" xr:uid="{00000000-0005-0000-0000-000064060000}"/>
    <cellStyle name="Comma 3 3 3 2 2 5" xfId="355" xr:uid="{00000000-0005-0000-0000-000065060000}"/>
    <cellStyle name="Comma 3 3 3 2 2 5 2" xfId="356" xr:uid="{00000000-0005-0000-0000-000066060000}"/>
    <cellStyle name="Comma 3 3 3 2 2 6" xfId="357" xr:uid="{00000000-0005-0000-0000-000067060000}"/>
    <cellStyle name="Comma 3 3 3 2 2 6 2" xfId="358" xr:uid="{00000000-0005-0000-0000-000068060000}"/>
    <cellStyle name="Comma 3 3 3 2 2 7" xfId="359" xr:uid="{00000000-0005-0000-0000-000069060000}"/>
    <cellStyle name="Comma 3 3 3 2 3" xfId="360" xr:uid="{00000000-0005-0000-0000-00006A060000}"/>
    <cellStyle name="Comma 3 3 3 2 3 2" xfId="361" xr:uid="{00000000-0005-0000-0000-00006B060000}"/>
    <cellStyle name="Comma 3 3 3 2 3 2 2" xfId="362" xr:uid="{00000000-0005-0000-0000-00006C060000}"/>
    <cellStyle name="Comma 3 3 3 2 3 2 3" xfId="363" xr:uid="{00000000-0005-0000-0000-00006D060000}"/>
    <cellStyle name="Comma 3 3 3 2 3 3" xfId="364" xr:uid="{00000000-0005-0000-0000-00006E060000}"/>
    <cellStyle name="Comma 3 3 3 2 3 3 2" xfId="365" xr:uid="{00000000-0005-0000-0000-00006F060000}"/>
    <cellStyle name="Comma 3 3 3 2 3 4" xfId="366" xr:uid="{00000000-0005-0000-0000-000070060000}"/>
    <cellStyle name="Comma 3 3 3 2 3 4 2" xfId="367" xr:uid="{00000000-0005-0000-0000-000071060000}"/>
    <cellStyle name="Comma 3 3 3 2 3 5" xfId="368" xr:uid="{00000000-0005-0000-0000-000072060000}"/>
    <cellStyle name="Comma 3 3 3 2 4" xfId="369" xr:uid="{00000000-0005-0000-0000-000073060000}"/>
    <cellStyle name="Comma 3 3 3 2 4 2" xfId="370" xr:uid="{00000000-0005-0000-0000-000074060000}"/>
    <cellStyle name="Comma 3 3 3 2 4 2 2" xfId="371" xr:uid="{00000000-0005-0000-0000-000075060000}"/>
    <cellStyle name="Comma 3 3 3 2 4 3" xfId="372" xr:uid="{00000000-0005-0000-0000-000076060000}"/>
    <cellStyle name="Comma 3 3 3 2 4 3 2" xfId="373" xr:uid="{00000000-0005-0000-0000-000077060000}"/>
    <cellStyle name="Comma 3 3 3 2 4 4" xfId="374" xr:uid="{00000000-0005-0000-0000-000078060000}"/>
    <cellStyle name="Comma 3 3 3 2 5" xfId="375" xr:uid="{00000000-0005-0000-0000-000079060000}"/>
    <cellStyle name="Comma 3 3 3 2 5 2" xfId="376" xr:uid="{00000000-0005-0000-0000-00007A060000}"/>
    <cellStyle name="Comma 3 3 3 2 5 3" xfId="377" xr:uid="{00000000-0005-0000-0000-00007B060000}"/>
    <cellStyle name="Comma 3 3 3 2 6" xfId="378" xr:uid="{00000000-0005-0000-0000-00007C060000}"/>
    <cellStyle name="Comma 3 3 3 2 6 2" xfId="379" xr:uid="{00000000-0005-0000-0000-00007D060000}"/>
    <cellStyle name="Comma 3 3 3 2 7" xfId="380" xr:uid="{00000000-0005-0000-0000-00007E060000}"/>
    <cellStyle name="Comma 3 3 3 2 7 2" xfId="381" xr:uid="{00000000-0005-0000-0000-00007F060000}"/>
    <cellStyle name="Comma 3 3 3 2 8" xfId="382" xr:uid="{00000000-0005-0000-0000-000080060000}"/>
    <cellStyle name="Comma 3 3 3 3" xfId="383" xr:uid="{00000000-0005-0000-0000-000081060000}"/>
    <cellStyle name="Comma 3 3 3 3 2" xfId="384" xr:uid="{00000000-0005-0000-0000-000082060000}"/>
    <cellStyle name="Comma 3 3 3 3 2 2" xfId="385" xr:uid="{00000000-0005-0000-0000-000083060000}"/>
    <cellStyle name="Comma 3 3 3 3 2 2 2" xfId="386" xr:uid="{00000000-0005-0000-0000-000084060000}"/>
    <cellStyle name="Comma 3 3 3 3 2 2 3" xfId="387" xr:uid="{00000000-0005-0000-0000-000085060000}"/>
    <cellStyle name="Comma 3 3 3 3 2 3" xfId="388" xr:uid="{00000000-0005-0000-0000-000086060000}"/>
    <cellStyle name="Comma 3 3 3 3 2 3 2" xfId="389" xr:uid="{00000000-0005-0000-0000-000087060000}"/>
    <cellStyle name="Comma 3 3 3 3 2 4" xfId="390" xr:uid="{00000000-0005-0000-0000-000088060000}"/>
    <cellStyle name="Comma 3 3 3 3 2 4 2" xfId="391" xr:uid="{00000000-0005-0000-0000-000089060000}"/>
    <cellStyle name="Comma 3 3 3 3 2 5" xfId="392" xr:uid="{00000000-0005-0000-0000-00008A060000}"/>
    <cellStyle name="Comma 3 3 3 3 3" xfId="393" xr:uid="{00000000-0005-0000-0000-00008B060000}"/>
    <cellStyle name="Comma 3 3 3 3 3 2" xfId="394" xr:uid="{00000000-0005-0000-0000-00008C060000}"/>
    <cellStyle name="Comma 3 3 3 3 3 2 2" xfId="395" xr:uid="{00000000-0005-0000-0000-00008D060000}"/>
    <cellStyle name="Comma 3 3 3 3 3 3" xfId="396" xr:uid="{00000000-0005-0000-0000-00008E060000}"/>
    <cellStyle name="Comma 3 3 3 3 3 3 2" xfId="397" xr:uid="{00000000-0005-0000-0000-00008F060000}"/>
    <cellStyle name="Comma 3 3 3 3 3 4" xfId="398" xr:uid="{00000000-0005-0000-0000-000090060000}"/>
    <cellStyle name="Comma 3 3 3 3 4" xfId="399" xr:uid="{00000000-0005-0000-0000-000091060000}"/>
    <cellStyle name="Comma 3 3 3 3 4 2" xfId="400" xr:uid="{00000000-0005-0000-0000-000092060000}"/>
    <cellStyle name="Comma 3 3 3 3 4 3" xfId="401" xr:uid="{00000000-0005-0000-0000-000093060000}"/>
    <cellStyle name="Comma 3 3 3 3 5" xfId="402" xr:uid="{00000000-0005-0000-0000-000094060000}"/>
    <cellStyle name="Comma 3 3 3 3 5 2" xfId="403" xr:uid="{00000000-0005-0000-0000-000095060000}"/>
    <cellStyle name="Comma 3 3 3 3 6" xfId="404" xr:uid="{00000000-0005-0000-0000-000096060000}"/>
    <cellStyle name="Comma 3 3 3 3 6 2" xfId="405" xr:uid="{00000000-0005-0000-0000-000097060000}"/>
    <cellStyle name="Comma 3 3 3 3 7" xfId="406" xr:uid="{00000000-0005-0000-0000-000098060000}"/>
    <cellStyle name="Comma 3 3 3 4" xfId="407" xr:uid="{00000000-0005-0000-0000-000099060000}"/>
    <cellStyle name="Comma 3 3 3 4 2" xfId="408" xr:uid="{00000000-0005-0000-0000-00009A060000}"/>
    <cellStyle name="Comma 3 3 3 4 2 2" xfId="409" xr:uid="{00000000-0005-0000-0000-00009B060000}"/>
    <cellStyle name="Comma 3 3 3 4 2 2 2" xfId="410" xr:uid="{00000000-0005-0000-0000-00009C060000}"/>
    <cellStyle name="Comma 3 3 3 4 2 2 3" xfId="411" xr:uid="{00000000-0005-0000-0000-00009D060000}"/>
    <cellStyle name="Comma 3 3 3 4 2 3" xfId="412" xr:uid="{00000000-0005-0000-0000-00009E060000}"/>
    <cellStyle name="Comma 3 3 3 4 2 3 2" xfId="413" xr:uid="{00000000-0005-0000-0000-00009F060000}"/>
    <cellStyle name="Comma 3 3 3 4 2 4" xfId="414" xr:uid="{00000000-0005-0000-0000-0000A0060000}"/>
    <cellStyle name="Comma 3 3 3 4 2 4 2" xfId="415" xr:uid="{00000000-0005-0000-0000-0000A1060000}"/>
    <cellStyle name="Comma 3 3 3 4 2 5" xfId="416" xr:uid="{00000000-0005-0000-0000-0000A2060000}"/>
    <cellStyle name="Comma 3 3 3 4 3" xfId="417" xr:uid="{00000000-0005-0000-0000-0000A3060000}"/>
    <cellStyle name="Comma 3 3 3 4 3 2" xfId="418" xr:uid="{00000000-0005-0000-0000-0000A4060000}"/>
    <cellStyle name="Comma 3 3 3 4 3 2 2" xfId="419" xr:uid="{00000000-0005-0000-0000-0000A5060000}"/>
    <cellStyle name="Comma 3 3 3 4 3 3" xfId="420" xr:uid="{00000000-0005-0000-0000-0000A6060000}"/>
    <cellStyle name="Comma 3 3 3 4 3 3 2" xfId="421" xr:uid="{00000000-0005-0000-0000-0000A7060000}"/>
    <cellStyle name="Comma 3 3 3 4 3 4" xfId="422" xr:uid="{00000000-0005-0000-0000-0000A8060000}"/>
    <cellStyle name="Comma 3 3 3 4 4" xfId="423" xr:uid="{00000000-0005-0000-0000-0000A9060000}"/>
    <cellStyle name="Comma 3 3 3 4 4 2" xfId="424" xr:uid="{00000000-0005-0000-0000-0000AA060000}"/>
    <cellStyle name="Comma 3 3 3 4 4 3" xfId="425" xr:uid="{00000000-0005-0000-0000-0000AB060000}"/>
    <cellStyle name="Comma 3 3 3 4 5" xfId="426" xr:uid="{00000000-0005-0000-0000-0000AC060000}"/>
    <cellStyle name="Comma 3 3 3 4 5 2" xfId="427" xr:uid="{00000000-0005-0000-0000-0000AD060000}"/>
    <cellStyle name="Comma 3 3 3 4 6" xfId="428" xr:uid="{00000000-0005-0000-0000-0000AE060000}"/>
    <cellStyle name="Comma 3 3 3 4 6 2" xfId="429" xr:uid="{00000000-0005-0000-0000-0000AF060000}"/>
    <cellStyle name="Comma 3 3 3 4 7" xfId="430" xr:uid="{00000000-0005-0000-0000-0000B0060000}"/>
    <cellStyle name="Comma 3 3 3 5" xfId="431" xr:uid="{00000000-0005-0000-0000-0000B1060000}"/>
    <cellStyle name="Comma 3 3 3 5 2" xfId="432" xr:uid="{00000000-0005-0000-0000-0000B2060000}"/>
    <cellStyle name="Comma 3 3 3 5 2 2" xfId="433" xr:uid="{00000000-0005-0000-0000-0000B3060000}"/>
    <cellStyle name="Comma 3 3 3 5 2 2 2" xfId="434" xr:uid="{00000000-0005-0000-0000-0000B4060000}"/>
    <cellStyle name="Comma 3 3 3 5 2 3" xfId="435" xr:uid="{00000000-0005-0000-0000-0000B5060000}"/>
    <cellStyle name="Comma 3 3 3 5 2 3 2" xfId="436" xr:uid="{00000000-0005-0000-0000-0000B6060000}"/>
    <cellStyle name="Comma 3 3 3 5 2 4" xfId="437" xr:uid="{00000000-0005-0000-0000-0000B7060000}"/>
    <cellStyle name="Comma 3 3 3 5 3" xfId="438" xr:uid="{00000000-0005-0000-0000-0000B8060000}"/>
    <cellStyle name="Comma 3 3 3 5 3 2" xfId="439" xr:uid="{00000000-0005-0000-0000-0000B9060000}"/>
    <cellStyle name="Comma 3 3 3 5 3 3" xfId="440" xr:uid="{00000000-0005-0000-0000-0000BA060000}"/>
    <cellStyle name="Comma 3 3 3 5 4" xfId="441" xr:uid="{00000000-0005-0000-0000-0000BB060000}"/>
    <cellStyle name="Comma 3 3 3 5 4 2" xfId="442" xr:uid="{00000000-0005-0000-0000-0000BC060000}"/>
    <cellStyle name="Comma 3 3 3 5 5" xfId="443" xr:uid="{00000000-0005-0000-0000-0000BD060000}"/>
    <cellStyle name="Comma 3 3 3 5 5 2" xfId="444" xr:uid="{00000000-0005-0000-0000-0000BE060000}"/>
    <cellStyle name="Comma 3 3 3 5 6" xfId="445" xr:uid="{00000000-0005-0000-0000-0000BF060000}"/>
    <cellStyle name="Comma 3 3 3 6" xfId="446" xr:uid="{00000000-0005-0000-0000-0000C0060000}"/>
    <cellStyle name="Comma 3 3 3 6 2" xfId="447" xr:uid="{00000000-0005-0000-0000-0000C1060000}"/>
    <cellStyle name="Comma 3 3 3 6 2 2" xfId="448" xr:uid="{00000000-0005-0000-0000-0000C2060000}"/>
    <cellStyle name="Comma 3 3 3 6 3" xfId="449" xr:uid="{00000000-0005-0000-0000-0000C3060000}"/>
    <cellStyle name="Comma 3 3 3 6 3 2" xfId="450" xr:uid="{00000000-0005-0000-0000-0000C4060000}"/>
    <cellStyle name="Comma 3 3 3 6 4" xfId="451" xr:uid="{00000000-0005-0000-0000-0000C5060000}"/>
    <cellStyle name="Comma 3 3 3 7" xfId="452" xr:uid="{00000000-0005-0000-0000-0000C6060000}"/>
    <cellStyle name="Comma 3 3 3 7 2" xfId="453" xr:uid="{00000000-0005-0000-0000-0000C7060000}"/>
    <cellStyle name="Comma 3 3 3 7 2 2" xfId="454" xr:uid="{00000000-0005-0000-0000-0000C8060000}"/>
    <cellStyle name="Comma 3 3 3 7 3" xfId="455" xr:uid="{00000000-0005-0000-0000-0000C9060000}"/>
    <cellStyle name="Comma 3 3 3 7 3 2" xfId="456" xr:uid="{00000000-0005-0000-0000-0000CA060000}"/>
    <cellStyle name="Comma 3 3 3 7 4" xfId="457" xr:uid="{00000000-0005-0000-0000-0000CB060000}"/>
    <cellStyle name="Comma 3 3 3 8" xfId="458" xr:uid="{00000000-0005-0000-0000-0000CC060000}"/>
    <cellStyle name="Comma 3 3 3 8 2" xfId="459" xr:uid="{00000000-0005-0000-0000-0000CD060000}"/>
    <cellStyle name="Comma 3 3 3 8 3" xfId="460" xr:uid="{00000000-0005-0000-0000-0000CE060000}"/>
    <cellStyle name="Comma 3 3 3 9" xfId="461" xr:uid="{00000000-0005-0000-0000-0000CF060000}"/>
    <cellStyle name="Comma 3 3 3 9 2" xfId="462" xr:uid="{00000000-0005-0000-0000-0000D0060000}"/>
    <cellStyle name="Comma 3 3 4" xfId="463" xr:uid="{00000000-0005-0000-0000-0000D1060000}"/>
    <cellStyle name="Comma 3 3 4 10" xfId="464" xr:uid="{00000000-0005-0000-0000-0000D2060000}"/>
    <cellStyle name="Comma 3 3 4 2" xfId="465" xr:uid="{00000000-0005-0000-0000-0000D3060000}"/>
    <cellStyle name="Comma 3 3 4 2 2" xfId="466" xr:uid="{00000000-0005-0000-0000-0000D4060000}"/>
    <cellStyle name="Comma 3 3 4 2 2 2" xfId="467" xr:uid="{00000000-0005-0000-0000-0000D5060000}"/>
    <cellStyle name="Comma 3 3 4 2 2 2 2" xfId="468" xr:uid="{00000000-0005-0000-0000-0000D6060000}"/>
    <cellStyle name="Comma 3 3 4 2 2 2 3" xfId="469" xr:uid="{00000000-0005-0000-0000-0000D7060000}"/>
    <cellStyle name="Comma 3 3 4 2 2 3" xfId="470" xr:uid="{00000000-0005-0000-0000-0000D8060000}"/>
    <cellStyle name="Comma 3 3 4 2 2 3 2" xfId="471" xr:uid="{00000000-0005-0000-0000-0000D9060000}"/>
    <cellStyle name="Comma 3 3 4 2 2 4" xfId="472" xr:uid="{00000000-0005-0000-0000-0000DA060000}"/>
    <cellStyle name="Comma 3 3 4 2 2 4 2" xfId="473" xr:uid="{00000000-0005-0000-0000-0000DB060000}"/>
    <cellStyle name="Comma 3 3 4 2 2 5" xfId="474" xr:uid="{00000000-0005-0000-0000-0000DC060000}"/>
    <cellStyle name="Comma 3 3 4 2 3" xfId="475" xr:uid="{00000000-0005-0000-0000-0000DD060000}"/>
    <cellStyle name="Comma 3 3 4 2 3 2" xfId="476" xr:uid="{00000000-0005-0000-0000-0000DE060000}"/>
    <cellStyle name="Comma 3 3 4 2 3 2 2" xfId="477" xr:uid="{00000000-0005-0000-0000-0000DF060000}"/>
    <cellStyle name="Comma 3 3 4 2 3 3" xfId="478" xr:uid="{00000000-0005-0000-0000-0000E0060000}"/>
    <cellStyle name="Comma 3 3 4 2 3 3 2" xfId="479" xr:uid="{00000000-0005-0000-0000-0000E1060000}"/>
    <cellStyle name="Comma 3 3 4 2 3 4" xfId="480" xr:uid="{00000000-0005-0000-0000-0000E2060000}"/>
    <cellStyle name="Comma 3 3 4 2 4" xfId="481" xr:uid="{00000000-0005-0000-0000-0000E3060000}"/>
    <cellStyle name="Comma 3 3 4 2 4 2" xfId="482" xr:uid="{00000000-0005-0000-0000-0000E4060000}"/>
    <cellStyle name="Comma 3 3 4 2 4 3" xfId="483" xr:uid="{00000000-0005-0000-0000-0000E5060000}"/>
    <cellStyle name="Comma 3 3 4 2 5" xfId="484" xr:uid="{00000000-0005-0000-0000-0000E6060000}"/>
    <cellStyle name="Comma 3 3 4 2 5 2" xfId="485" xr:uid="{00000000-0005-0000-0000-0000E7060000}"/>
    <cellStyle name="Comma 3 3 4 2 6" xfId="486" xr:uid="{00000000-0005-0000-0000-0000E8060000}"/>
    <cellStyle name="Comma 3 3 4 2 6 2" xfId="487" xr:uid="{00000000-0005-0000-0000-0000E9060000}"/>
    <cellStyle name="Comma 3 3 4 2 7" xfId="488" xr:uid="{00000000-0005-0000-0000-0000EA060000}"/>
    <cellStyle name="Comma 3 3 4 3" xfId="489" xr:uid="{00000000-0005-0000-0000-0000EB060000}"/>
    <cellStyle name="Comma 3 3 4 3 2" xfId="490" xr:uid="{00000000-0005-0000-0000-0000EC060000}"/>
    <cellStyle name="Comma 3 3 4 3 2 2" xfId="491" xr:uid="{00000000-0005-0000-0000-0000ED060000}"/>
    <cellStyle name="Comma 3 3 4 3 2 2 2" xfId="492" xr:uid="{00000000-0005-0000-0000-0000EE060000}"/>
    <cellStyle name="Comma 3 3 4 3 2 2 3" xfId="493" xr:uid="{00000000-0005-0000-0000-0000EF060000}"/>
    <cellStyle name="Comma 3 3 4 3 2 3" xfId="494" xr:uid="{00000000-0005-0000-0000-0000F0060000}"/>
    <cellStyle name="Comma 3 3 4 3 2 3 2" xfId="495" xr:uid="{00000000-0005-0000-0000-0000F1060000}"/>
    <cellStyle name="Comma 3 3 4 3 2 4" xfId="496" xr:uid="{00000000-0005-0000-0000-0000F2060000}"/>
    <cellStyle name="Comma 3 3 4 3 2 4 2" xfId="497" xr:uid="{00000000-0005-0000-0000-0000F3060000}"/>
    <cellStyle name="Comma 3 3 4 3 2 5" xfId="498" xr:uid="{00000000-0005-0000-0000-0000F4060000}"/>
    <cellStyle name="Comma 3 3 4 3 3" xfId="499" xr:uid="{00000000-0005-0000-0000-0000F5060000}"/>
    <cellStyle name="Comma 3 3 4 3 3 2" xfId="500" xr:uid="{00000000-0005-0000-0000-0000F6060000}"/>
    <cellStyle name="Comma 3 3 4 3 3 2 2" xfId="501" xr:uid="{00000000-0005-0000-0000-0000F7060000}"/>
    <cellStyle name="Comma 3 3 4 3 3 3" xfId="502" xr:uid="{00000000-0005-0000-0000-0000F8060000}"/>
    <cellStyle name="Comma 3 3 4 3 3 3 2" xfId="503" xr:uid="{00000000-0005-0000-0000-0000F9060000}"/>
    <cellStyle name="Comma 3 3 4 3 3 4" xfId="504" xr:uid="{00000000-0005-0000-0000-0000FA060000}"/>
    <cellStyle name="Comma 3 3 4 3 4" xfId="505" xr:uid="{00000000-0005-0000-0000-0000FB060000}"/>
    <cellStyle name="Comma 3 3 4 3 4 2" xfId="506" xr:uid="{00000000-0005-0000-0000-0000FC060000}"/>
    <cellStyle name="Comma 3 3 4 3 4 3" xfId="507" xr:uid="{00000000-0005-0000-0000-0000FD060000}"/>
    <cellStyle name="Comma 3 3 4 3 5" xfId="508" xr:uid="{00000000-0005-0000-0000-0000FE060000}"/>
    <cellStyle name="Comma 3 3 4 3 5 2" xfId="509" xr:uid="{00000000-0005-0000-0000-0000FF060000}"/>
    <cellStyle name="Comma 3 3 4 3 6" xfId="510" xr:uid="{00000000-0005-0000-0000-000000070000}"/>
    <cellStyle name="Comma 3 3 4 3 6 2" xfId="511" xr:uid="{00000000-0005-0000-0000-000001070000}"/>
    <cellStyle name="Comma 3 3 4 3 7" xfId="512" xr:uid="{00000000-0005-0000-0000-000002070000}"/>
    <cellStyle name="Comma 3 3 4 4" xfId="513" xr:uid="{00000000-0005-0000-0000-000003070000}"/>
    <cellStyle name="Comma 3 3 4 4 2" xfId="514" xr:uid="{00000000-0005-0000-0000-000004070000}"/>
    <cellStyle name="Comma 3 3 4 4 2 2" xfId="515" xr:uid="{00000000-0005-0000-0000-000005070000}"/>
    <cellStyle name="Comma 3 3 4 4 2 2 2" xfId="516" xr:uid="{00000000-0005-0000-0000-000006070000}"/>
    <cellStyle name="Comma 3 3 4 4 2 3" xfId="517" xr:uid="{00000000-0005-0000-0000-000007070000}"/>
    <cellStyle name="Comma 3 3 4 4 2 3 2" xfId="518" xr:uid="{00000000-0005-0000-0000-000008070000}"/>
    <cellStyle name="Comma 3 3 4 4 2 4" xfId="519" xr:uid="{00000000-0005-0000-0000-000009070000}"/>
    <cellStyle name="Comma 3 3 4 4 3" xfId="520" xr:uid="{00000000-0005-0000-0000-00000A070000}"/>
    <cellStyle name="Comma 3 3 4 4 3 2" xfId="521" xr:uid="{00000000-0005-0000-0000-00000B070000}"/>
    <cellStyle name="Comma 3 3 4 4 3 3" xfId="522" xr:uid="{00000000-0005-0000-0000-00000C070000}"/>
    <cellStyle name="Comma 3 3 4 4 4" xfId="523" xr:uid="{00000000-0005-0000-0000-00000D070000}"/>
    <cellStyle name="Comma 3 3 4 4 4 2" xfId="524" xr:uid="{00000000-0005-0000-0000-00000E070000}"/>
    <cellStyle name="Comma 3 3 4 4 5" xfId="525" xr:uid="{00000000-0005-0000-0000-00000F070000}"/>
    <cellStyle name="Comma 3 3 4 4 5 2" xfId="526" xr:uid="{00000000-0005-0000-0000-000010070000}"/>
    <cellStyle name="Comma 3 3 4 4 6" xfId="527" xr:uid="{00000000-0005-0000-0000-000011070000}"/>
    <cellStyle name="Comma 3 3 4 5" xfId="528" xr:uid="{00000000-0005-0000-0000-000012070000}"/>
    <cellStyle name="Comma 3 3 4 5 2" xfId="529" xr:uid="{00000000-0005-0000-0000-000013070000}"/>
    <cellStyle name="Comma 3 3 4 5 2 2" xfId="530" xr:uid="{00000000-0005-0000-0000-000014070000}"/>
    <cellStyle name="Comma 3 3 4 5 3" xfId="531" xr:uid="{00000000-0005-0000-0000-000015070000}"/>
    <cellStyle name="Comma 3 3 4 5 3 2" xfId="532" xr:uid="{00000000-0005-0000-0000-000016070000}"/>
    <cellStyle name="Comma 3 3 4 5 4" xfId="533" xr:uid="{00000000-0005-0000-0000-000017070000}"/>
    <cellStyle name="Comma 3 3 4 6" xfId="534" xr:uid="{00000000-0005-0000-0000-000018070000}"/>
    <cellStyle name="Comma 3 3 4 6 2" xfId="535" xr:uid="{00000000-0005-0000-0000-000019070000}"/>
    <cellStyle name="Comma 3 3 4 6 2 2" xfId="536" xr:uid="{00000000-0005-0000-0000-00001A070000}"/>
    <cellStyle name="Comma 3 3 4 6 3" xfId="537" xr:uid="{00000000-0005-0000-0000-00001B070000}"/>
    <cellStyle name="Comma 3 3 4 6 3 2" xfId="538" xr:uid="{00000000-0005-0000-0000-00001C070000}"/>
    <cellStyle name="Comma 3 3 4 6 4" xfId="539" xr:uid="{00000000-0005-0000-0000-00001D070000}"/>
    <cellStyle name="Comma 3 3 4 7" xfId="540" xr:uid="{00000000-0005-0000-0000-00001E070000}"/>
    <cellStyle name="Comma 3 3 4 7 2" xfId="541" xr:uid="{00000000-0005-0000-0000-00001F070000}"/>
    <cellStyle name="Comma 3 3 4 7 3" xfId="542" xr:uid="{00000000-0005-0000-0000-000020070000}"/>
    <cellStyle name="Comma 3 3 4 8" xfId="543" xr:uid="{00000000-0005-0000-0000-000021070000}"/>
    <cellStyle name="Comma 3 3 4 8 2" xfId="544" xr:uid="{00000000-0005-0000-0000-000022070000}"/>
    <cellStyle name="Comma 3 3 4 9" xfId="545" xr:uid="{00000000-0005-0000-0000-000023070000}"/>
    <cellStyle name="Comma 3 3 4 9 2" xfId="546" xr:uid="{00000000-0005-0000-0000-000024070000}"/>
    <cellStyle name="Comma 3 3 5" xfId="547" xr:uid="{00000000-0005-0000-0000-000025070000}"/>
    <cellStyle name="Comma 3 3 5 2" xfId="548" xr:uid="{00000000-0005-0000-0000-000026070000}"/>
    <cellStyle name="Comma 3 3 5 2 2" xfId="549" xr:uid="{00000000-0005-0000-0000-000027070000}"/>
    <cellStyle name="Comma 3 3 5 2 2 2" xfId="550" xr:uid="{00000000-0005-0000-0000-000028070000}"/>
    <cellStyle name="Comma 3 3 5 2 2 2 2" xfId="551" xr:uid="{00000000-0005-0000-0000-000029070000}"/>
    <cellStyle name="Comma 3 3 5 2 2 2 3" xfId="552" xr:uid="{00000000-0005-0000-0000-00002A070000}"/>
    <cellStyle name="Comma 3 3 5 2 2 3" xfId="553" xr:uid="{00000000-0005-0000-0000-00002B070000}"/>
    <cellStyle name="Comma 3 3 5 2 2 3 2" xfId="554" xr:uid="{00000000-0005-0000-0000-00002C070000}"/>
    <cellStyle name="Comma 3 3 5 2 2 4" xfId="555" xr:uid="{00000000-0005-0000-0000-00002D070000}"/>
    <cellStyle name="Comma 3 3 5 2 2 4 2" xfId="556" xr:uid="{00000000-0005-0000-0000-00002E070000}"/>
    <cellStyle name="Comma 3 3 5 2 2 5" xfId="557" xr:uid="{00000000-0005-0000-0000-00002F070000}"/>
    <cellStyle name="Comma 3 3 5 2 3" xfId="558" xr:uid="{00000000-0005-0000-0000-000030070000}"/>
    <cellStyle name="Comma 3 3 5 2 3 2" xfId="559" xr:uid="{00000000-0005-0000-0000-000031070000}"/>
    <cellStyle name="Comma 3 3 5 2 3 2 2" xfId="560" xr:uid="{00000000-0005-0000-0000-000032070000}"/>
    <cellStyle name="Comma 3 3 5 2 3 3" xfId="561" xr:uid="{00000000-0005-0000-0000-000033070000}"/>
    <cellStyle name="Comma 3 3 5 2 3 3 2" xfId="562" xr:uid="{00000000-0005-0000-0000-000034070000}"/>
    <cellStyle name="Comma 3 3 5 2 3 4" xfId="563" xr:uid="{00000000-0005-0000-0000-000035070000}"/>
    <cellStyle name="Comma 3 3 5 2 4" xfId="564" xr:uid="{00000000-0005-0000-0000-000036070000}"/>
    <cellStyle name="Comma 3 3 5 2 4 2" xfId="565" xr:uid="{00000000-0005-0000-0000-000037070000}"/>
    <cellStyle name="Comma 3 3 5 2 4 3" xfId="566" xr:uid="{00000000-0005-0000-0000-000038070000}"/>
    <cellStyle name="Comma 3 3 5 2 5" xfId="567" xr:uid="{00000000-0005-0000-0000-000039070000}"/>
    <cellStyle name="Comma 3 3 5 2 5 2" xfId="568" xr:uid="{00000000-0005-0000-0000-00003A070000}"/>
    <cellStyle name="Comma 3 3 5 2 6" xfId="569" xr:uid="{00000000-0005-0000-0000-00003B070000}"/>
    <cellStyle name="Comma 3 3 5 2 6 2" xfId="570" xr:uid="{00000000-0005-0000-0000-00003C070000}"/>
    <cellStyle name="Comma 3 3 5 2 7" xfId="571" xr:uid="{00000000-0005-0000-0000-00003D070000}"/>
    <cellStyle name="Comma 3 3 5 3" xfId="572" xr:uid="{00000000-0005-0000-0000-00003E070000}"/>
    <cellStyle name="Comma 3 3 5 3 2" xfId="573" xr:uid="{00000000-0005-0000-0000-00003F070000}"/>
    <cellStyle name="Comma 3 3 5 3 2 2" xfId="574" xr:uid="{00000000-0005-0000-0000-000040070000}"/>
    <cellStyle name="Comma 3 3 5 3 2 3" xfId="575" xr:uid="{00000000-0005-0000-0000-000041070000}"/>
    <cellStyle name="Comma 3 3 5 3 3" xfId="576" xr:uid="{00000000-0005-0000-0000-000042070000}"/>
    <cellStyle name="Comma 3 3 5 3 3 2" xfId="577" xr:uid="{00000000-0005-0000-0000-000043070000}"/>
    <cellStyle name="Comma 3 3 5 3 4" xfId="578" xr:uid="{00000000-0005-0000-0000-000044070000}"/>
    <cellStyle name="Comma 3 3 5 3 4 2" xfId="579" xr:uid="{00000000-0005-0000-0000-000045070000}"/>
    <cellStyle name="Comma 3 3 5 3 5" xfId="580" xr:uid="{00000000-0005-0000-0000-000046070000}"/>
    <cellStyle name="Comma 3 3 5 4" xfId="581" xr:uid="{00000000-0005-0000-0000-000047070000}"/>
    <cellStyle name="Comma 3 3 5 4 2" xfId="582" xr:uid="{00000000-0005-0000-0000-000048070000}"/>
    <cellStyle name="Comma 3 3 5 4 2 2" xfId="583" xr:uid="{00000000-0005-0000-0000-000049070000}"/>
    <cellStyle name="Comma 3 3 5 4 3" xfId="584" xr:uid="{00000000-0005-0000-0000-00004A070000}"/>
    <cellStyle name="Comma 3 3 5 4 3 2" xfId="585" xr:uid="{00000000-0005-0000-0000-00004B070000}"/>
    <cellStyle name="Comma 3 3 5 4 4" xfId="586" xr:uid="{00000000-0005-0000-0000-00004C070000}"/>
    <cellStyle name="Comma 3 3 5 5" xfId="587" xr:uid="{00000000-0005-0000-0000-00004D070000}"/>
    <cellStyle name="Comma 3 3 5 5 2" xfId="588" xr:uid="{00000000-0005-0000-0000-00004E070000}"/>
    <cellStyle name="Comma 3 3 5 5 3" xfId="589" xr:uid="{00000000-0005-0000-0000-00004F070000}"/>
    <cellStyle name="Comma 3 3 5 6" xfId="590" xr:uid="{00000000-0005-0000-0000-000050070000}"/>
    <cellStyle name="Comma 3 3 5 6 2" xfId="591" xr:uid="{00000000-0005-0000-0000-000051070000}"/>
    <cellStyle name="Comma 3 3 5 7" xfId="592" xr:uid="{00000000-0005-0000-0000-000052070000}"/>
    <cellStyle name="Comma 3 3 5 7 2" xfId="593" xr:uid="{00000000-0005-0000-0000-000053070000}"/>
    <cellStyle name="Comma 3 3 5 8" xfId="594" xr:uid="{00000000-0005-0000-0000-000054070000}"/>
    <cellStyle name="Comma 3 3 6" xfId="595" xr:uid="{00000000-0005-0000-0000-000055070000}"/>
    <cellStyle name="Comma 3 3 6 2" xfId="596" xr:uid="{00000000-0005-0000-0000-000056070000}"/>
    <cellStyle name="Comma 3 3 6 2 2" xfId="597" xr:uid="{00000000-0005-0000-0000-000057070000}"/>
    <cellStyle name="Comma 3 3 6 2 2 2" xfId="598" xr:uid="{00000000-0005-0000-0000-000058070000}"/>
    <cellStyle name="Comma 3 3 6 2 2 3" xfId="599" xr:uid="{00000000-0005-0000-0000-000059070000}"/>
    <cellStyle name="Comma 3 3 6 2 3" xfId="600" xr:uid="{00000000-0005-0000-0000-00005A070000}"/>
    <cellStyle name="Comma 3 3 6 2 3 2" xfId="601" xr:uid="{00000000-0005-0000-0000-00005B070000}"/>
    <cellStyle name="Comma 3 3 6 2 4" xfId="602" xr:uid="{00000000-0005-0000-0000-00005C070000}"/>
    <cellStyle name="Comma 3 3 6 2 4 2" xfId="603" xr:uid="{00000000-0005-0000-0000-00005D070000}"/>
    <cellStyle name="Comma 3 3 6 2 5" xfId="604" xr:uid="{00000000-0005-0000-0000-00005E070000}"/>
    <cellStyle name="Comma 3 3 6 3" xfId="605" xr:uid="{00000000-0005-0000-0000-00005F070000}"/>
    <cellStyle name="Comma 3 3 6 3 2" xfId="606" xr:uid="{00000000-0005-0000-0000-000060070000}"/>
    <cellStyle name="Comma 3 3 6 3 2 2" xfId="607" xr:uid="{00000000-0005-0000-0000-000061070000}"/>
    <cellStyle name="Comma 3 3 6 3 3" xfId="608" xr:uid="{00000000-0005-0000-0000-000062070000}"/>
    <cellStyle name="Comma 3 3 6 3 3 2" xfId="609" xr:uid="{00000000-0005-0000-0000-000063070000}"/>
    <cellStyle name="Comma 3 3 6 3 4" xfId="610" xr:uid="{00000000-0005-0000-0000-000064070000}"/>
    <cellStyle name="Comma 3 3 6 4" xfId="611" xr:uid="{00000000-0005-0000-0000-000065070000}"/>
    <cellStyle name="Comma 3 3 6 4 2" xfId="612" xr:uid="{00000000-0005-0000-0000-000066070000}"/>
    <cellStyle name="Comma 3 3 6 4 3" xfId="613" xr:uid="{00000000-0005-0000-0000-000067070000}"/>
    <cellStyle name="Comma 3 3 6 5" xfId="614" xr:uid="{00000000-0005-0000-0000-000068070000}"/>
    <cellStyle name="Comma 3 3 6 5 2" xfId="615" xr:uid="{00000000-0005-0000-0000-000069070000}"/>
    <cellStyle name="Comma 3 3 6 6" xfId="616" xr:uid="{00000000-0005-0000-0000-00006A070000}"/>
    <cellStyle name="Comma 3 3 6 6 2" xfId="617" xr:uid="{00000000-0005-0000-0000-00006B070000}"/>
    <cellStyle name="Comma 3 3 6 7" xfId="618" xr:uid="{00000000-0005-0000-0000-00006C070000}"/>
    <cellStyle name="Comma 3 3 7" xfId="619" xr:uid="{00000000-0005-0000-0000-00006D070000}"/>
    <cellStyle name="Comma 3 3 7 2" xfId="620" xr:uid="{00000000-0005-0000-0000-00006E070000}"/>
    <cellStyle name="Comma 3 3 7 2 2" xfId="621" xr:uid="{00000000-0005-0000-0000-00006F070000}"/>
    <cellStyle name="Comma 3 3 7 2 2 2" xfId="622" xr:uid="{00000000-0005-0000-0000-000070070000}"/>
    <cellStyle name="Comma 3 3 7 2 2 3" xfId="623" xr:uid="{00000000-0005-0000-0000-000071070000}"/>
    <cellStyle name="Comma 3 3 7 2 3" xfId="624" xr:uid="{00000000-0005-0000-0000-000072070000}"/>
    <cellStyle name="Comma 3 3 7 2 3 2" xfId="625" xr:uid="{00000000-0005-0000-0000-000073070000}"/>
    <cellStyle name="Comma 3 3 7 2 4" xfId="626" xr:uid="{00000000-0005-0000-0000-000074070000}"/>
    <cellStyle name="Comma 3 3 7 2 4 2" xfId="627" xr:uid="{00000000-0005-0000-0000-000075070000}"/>
    <cellStyle name="Comma 3 3 7 2 5" xfId="628" xr:uid="{00000000-0005-0000-0000-000076070000}"/>
    <cellStyle name="Comma 3 3 7 3" xfId="629" xr:uid="{00000000-0005-0000-0000-000077070000}"/>
    <cellStyle name="Comma 3 3 7 3 2" xfId="630" xr:uid="{00000000-0005-0000-0000-000078070000}"/>
    <cellStyle name="Comma 3 3 7 3 2 2" xfId="631" xr:uid="{00000000-0005-0000-0000-000079070000}"/>
    <cellStyle name="Comma 3 3 7 3 3" xfId="632" xr:uid="{00000000-0005-0000-0000-00007A070000}"/>
    <cellStyle name="Comma 3 3 7 3 3 2" xfId="633" xr:uid="{00000000-0005-0000-0000-00007B070000}"/>
    <cellStyle name="Comma 3 3 7 3 4" xfId="634" xr:uid="{00000000-0005-0000-0000-00007C070000}"/>
    <cellStyle name="Comma 3 3 7 4" xfId="635" xr:uid="{00000000-0005-0000-0000-00007D070000}"/>
    <cellStyle name="Comma 3 3 7 4 2" xfId="636" xr:uid="{00000000-0005-0000-0000-00007E070000}"/>
    <cellStyle name="Comma 3 3 7 4 3" xfId="637" xr:uid="{00000000-0005-0000-0000-00007F070000}"/>
    <cellStyle name="Comma 3 3 7 5" xfId="638" xr:uid="{00000000-0005-0000-0000-000080070000}"/>
    <cellStyle name="Comma 3 3 7 5 2" xfId="639" xr:uid="{00000000-0005-0000-0000-000081070000}"/>
    <cellStyle name="Comma 3 3 7 6" xfId="640" xr:uid="{00000000-0005-0000-0000-000082070000}"/>
    <cellStyle name="Comma 3 3 7 6 2" xfId="641" xr:uid="{00000000-0005-0000-0000-000083070000}"/>
    <cellStyle name="Comma 3 3 7 7" xfId="642" xr:uid="{00000000-0005-0000-0000-000084070000}"/>
    <cellStyle name="Comma 3 3 8" xfId="643" xr:uid="{00000000-0005-0000-0000-000085070000}"/>
    <cellStyle name="Comma 3 3 8 2" xfId="644" xr:uid="{00000000-0005-0000-0000-000086070000}"/>
    <cellStyle name="Comma 3 3 8 2 2" xfId="645" xr:uid="{00000000-0005-0000-0000-000087070000}"/>
    <cellStyle name="Comma 3 3 8 2 2 2" xfId="646" xr:uid="{00000000-0005-0000-0000-000088070000}"/>
    <cellStyle name="Comma 3 3 8 2 3" xfId="647" xr:uid="{00000000-0005-0000-0000-000089070000}"/>
    <cellStyle name="Comma 3 3 8 2 3 2" xfId="648" xr:uid="{00000000-0005-0000-0000-00008A070000}"/>
    <cellStyle name="Comma 3 3 8 2 4" xfId="649" xr:uid="{00000000-0005-0000-0000-00008B070000}"/>
    <cellStyle name="Comma 3 3 8 3" xfId="650" xr:uid="{00000000-0005-0000-0000-00008C070000}"/>
    <cellStyle name="Comma 3 3 8 3 2" xfId="651" xr:uid="{00000000-0005-0000-0000-00008D070000}"/>
    <cellStyle name="Comma 3 3 8 3 3" xfId="652" xr:uid="{00000000-0005-0000-0000-00008E070000}"/>
    <cellStyle name="Comma 3 3 8 4" xfId="653" xr:uid="{00000000-0005-0000-0000-00008F070000}"/>
    <cellStyle name="Comma 3 3 8 4 2" xfId="654" xr:uid="{00000000-0005-0000-0000-000090070000}"/>
    <cellStyle name="Comma 3 3 8 5" xfId="655" xr:uid="{00000000-0005-0000-0000-000091070000}"/>
    <cellStyle name="Comma 3 3 8 5 2" xfId="656" xr:uid="{00000000-0005-0000-0000-000092070000}"/>
    <cellStyle name="Comma 3 3 8 6" xfId="657" xr:uid="{00000000-0005-0000-0000-000093070000}"/>
    <cellStyle name="Comma 3 3 9" xfId="658" xr:uid="{00000000-0005-0000-0000-000094070000}"/>
    <cellStyle name="Comma 3 3 9 2" xfId="659" xr:uid="{00000000-0005-0000-0000-000095070000}"/>
    <cellStyle name="Comma 3 3 9 2 2" xfId="660" xr:uid="{00000000-0005-0000-0000-000096070000}"/>
    <cellStyle name="Comma 3 3 9 3" xfId="661" xr:uid="{00000000-0005-0000-0000-000097070000}"/>
    <cellStyle name="Comma 3 3 9 3 2" xfId="662" xr:uid="{00000000-0005-0000-0000-000098070000}"/>
    <cellStyle name="Comma 3 3 9 4" xfId="663" xr:uid="{00000000-0005-0000-0000-000099070000}"/>
    <cellStyle name="Comma 3 4" xfId="664" xr:uid="{00000000-0005-0000-0000-00009A070000}"/>
    <cellStyle name="Comma 3 4 10" xfId="665" xr:uid="{00000000-0005-0000-0000-00009B070000}"/>
    <cellStyle name="Comma 3 4 10 2" xfId="666" xr:uid="{00000000-0005-0000-0000-00009C070000}"/>
    <cellStyle name="Comma 3 4 11" xfId="667" xr:uid="{00000000-0005-0000-0000-00009D070000}"/>
    <cellStyle name="Comma 3 4 12" xfId="18626" xr:uid="{00000000-0005-0000-0000-00009E070000}"/>
    <cellStyle name="Comma 3 4 2" xfId="668" xr:uid="{00000000-0005-0000-0000-00009F070000}"/>
    <cellStyle name="Comma 3 4 2 2" xfId="669" xr:uid="{00000000-0005-0000-0000-0000A0070000}"/>
    <cellStyle name="Comma 3 4 2 2 2" xfId="670" xr:uid="{00000000-0005-0000-0000-0000A1070000}"/>
    <cellStyle name="Comma 3 4 2 2 2 2" xfId="671" xr:uid="{00000000-0005-0000-0000-0000A2070000}"/>
    <cellStyle name="Comma 3 4 2 2 2 2 2" xfId="672" xr:uid="{00000000-0005-0000-0000-0000A3070000}"/>
    <cellStyle name="Comma 3 4 2 2 2 2 3" xfId="673" xr:uid="{00000000-0005-0000-0000-0000A4070000}"/>
    <cellStyle name="Comma 3 4 2 2 2 3" xfId="674" xr:uid="{00000000-0005-0000-0000-0000A5070000}"/>
    <cellStyle name="Comma 3 4 2 2 2 3 2" xfId="675" xr:uid="{00000000-0005-0000-0000-0000A6070000}"/>
    <cellStyle name="Comma 3 4 2 2 2 4" xfId="676" xr:uid="{00000000-0005-0000-0000-0000A7070000}"/>
    <cellStyle name="Comma 3 4 2 2 2 4 2" xfId="677" xr:uid="{00000000-0005-0000-0000-0000A8070000}"/>
    <cellStyle name="Comma 3 4 2 2 2 5" xfId="678" xr:uid="{00000000-0005-0000-0000-0000A9070000}"/>
    <cellStyle name="Comma 3 4 2 2 3" xfId="679" xr:uid="{00000000-0005-0000-0000-0000AA070000}"/>
    <cellStyle name="Comma 3 4 2 2 3 2" xfId="680" xr:uid="{00000000-0005-0000-0000-0000AB070000}"/>
    <cellStyle name="Comma 3 4 2 2 3 2 2" xfId="681" xr:uid="{00000000-0005-0000-0000-0000AC070000}"/>
    <cellStyle name="Comma 3 4 2 2 3 3" xfId="682" xr:uid="{00000000-0005-0000-0000-0000AD070000}"/>
    <cellStyle name="Comma 3 4 2 2 3 3 2" xfId="683" xr:uid="{00000000-0005-0000-0000-0000AE070000}"/>
    <cellStyle name="Comma 3 4 2 2 3 4" xfId="684" xr:uid="{00000000-0005-0000-0000-0000AF070000}"/>
    <cellStyle name="Comma 3 4 2 2 4" xfId="685" xr:uid="{00000000-0005-0000-0000-0000B0070000}"/>
    <cellStyle name="Comma 3 4 2 2 4 2" xfId="686" xr:uid="{00000000-0005-0000-0000-0000B1070000}"/>
    <cellStyle name="Comma 3 4 2 2 4 3" xfId="687" xr:uid="{00000000-0005-0000-0000-0000B2070000}"/>
    <cellStyle name="Comma 3 4 2 2 5" xfId="688" xr:uid="{00000000-0005-0000-0000-0000B3070000}"/>
    <cellStyle name="Comma 3 4 2 2 5 2" xfId="689" xr:uid="{00000000-0005-0000-0000-0000B4070000}"/>
    <cellStyle name="Comma 3 4 2 2 6" xfId="690" xr:uid="{00000000-0005-0000-0000-0000B5070000}"/>
    <cellStyle name="Comma 3 4 2 2 6 2" xfId="691" xr:uid="{00000000-0005-0000-0000-0000B6070000}"/>
    <cellStyle name="Comma 3 4 2 2 7" xfId="692" xr:uid="{00000000-0005-0000-0000-0000B7070000}"/>
    <cellStyle name="Comma 3 4 2 3" xfId="693" xr:uid="{00000000-0005-0000-0000-0000B8070000}"/>
    <cellStyle name="Comma 3 4 2 3 2" xfId="694" xr:uid="{00000000-0005-0000-0000-0000B9070000}"/>
    <cellStyle name="Comma 3 4 2 3 2 2" xfId="695" xr:uid="{00000000-0005-0000-0000-0000BA070000}"/>
    <cellStyle name="Comma 3 4 2 3 2 3" xfId="696" xr:uid="{00000000-0005-0000-0000-0000BB070000}"/>
    <cellStyle name="Comma 3 4 2 3 3" xfId="697" xr:uid="{00000000-0005-0000-0000-0000BC070000}"/>
    <cellStyle name="Comma 3 4 2 3 3 2" xfId="698" xr:uid="{00000000-0005-0000-0000-0000BD070000}"/>
    <cellStyle name="Comma 3 4 2 3 4" xfId="699" xr:uid="{00000000-0005-0000-0000-0000BE070000}"/>
    <cellStyle name="Comma 3 4 2 3 4 2" xfId="700" xr:uid="{00000000-0005-0000-0000-0000BF070000}"/>
    <cellStyle name="Comma 3 4 2 3 5" xfId="701" xr:uid="{00000000-0005-0000-0000-0000C0070000}"/>
    <cellStyle name="Comma 3 4 2 4" xfId="702" xr:uid="{00000000-0005-0000-0000-0000C1070000}"/>
    <cellStyle name="Comma 3 4 2 4 2" xfId="703" xr:uid="{00000000-0005-0000-0000-0000C2070000}"/>
    <cellStyle name="Comma 3 4 2 4 2 2" xfId="704" xr:uid="{00000000-0005-0000-0000-0000C3070000}"/>
    <cellStyle name="Comma 3 4 2 4 3" xfId="705" xr:uid="{00000000-0005-0000-0000-0000C4070000}"/>
    <cellStyle name="Comma 3 4 2 4 3 2" xfId="706" xr:uid="{00000000-0005-0000-0000-0000C5070000}"/>
    <cellStyle name="Comma 3 4 2 4 4" xfId="707" xr:uid="{00000000-0005-0000-0000-0000C6070000}"/>
    <cellStyle name="Comma 3 4 2 5" xfId="708" xr:uid="{00000000-0005-0000-0000-0000C7070000}"/>
    <cellStyle name="Comma 3 4 2 5 2" xfId="709" xr:uid="{00000000-0005-0000-0000-0000C8070000}"/>
    <cellStyle name="Comma 3 4 2 5 3" xfId="710" xr:uid="{00000000-0005-0000-0000-0000C9070000}"/>
    <cellStyle name="Comma 3 4 2 6" xfId="711" xr:uid="{00000000-0005-0000-0000-0000CA070000}"/>
    <cellStyle name="Comma 3 4 2 6 2" xfId="712" xr:uid="{00000000-0005-0000-0000-0000CB070000}"/>
    <cellStyle name="Comma 3 4 2 7" xfId="713" xr:uid="{00000000-0005-0000-0000-0000CC070000}"/>
    <cellStyle name="Comma 3 4 2 7 2" xfId="714" xr:uid="{00000000-0005-0000-0000-0000CD070000}"/>
    <cellStyle name="Comma 3 4 2 8" xfId="715" xr:uid="{00000000-0005-0000-0000-0000CE070000}"/>
    <cellStyle name="Comma 3 4 3" xfId="716" xr:uid="{00000000-0005-0000-0000-0000CF070000}"/>
    <cellStyle name="Comma 3 4 3 2" xfId="717" xr:uid="{00000000-0005-0000-0000-0000D0070000}"/>
    <cellStyle name="Comma 3 4 3 2 2" xfId="718" xr:uid="{00000000-0005-0000-0000-0000D1070000}"/>
    <cellStyle name="Comma 3 4 3 2 2 2" xfId="719" xr:uid="{00000000-0005-0000-0000-0000D2070000}"/>
    <cellStyle name="Comma 3 4 3 2 2 3" xfId="720" xr:uid="{00000000-0005-0000-0000-0000D3070000}"/>
    <cellStyle name="Comma 3 4 3 2 3" xfId="721" xr:uid="{00000000-0005-0000-0000-0000D4070000}"/>
    <cellStyle name="Comma 3 4 3 2 3 2" xfId="722" xr:uid="{00000000-0005-0000-0000-0000D5070000}"/>
    <cellStyle name="Comma 3 4 3 2 4" xfId="723" xr:uid="{00000000-0005-0000-0000-0000D6070000}"/>
    <cellStyle name="Comma 3 4 3 2 4 2" xfId="724" xr:uid="{00000000-0005-0000-0000-0000D7070000}"/>
    <cellStyle name="Comma 3 4 3 2 5" xfId="725" xr:uid="{00000000-0005-0000-0000-0000D8070000}"/>
    <cellStyle name="Comma 3 4 3 3" xfId="726" xr:uid="{00000000-0005-0000-0000-0000D9070000}"/>
    <cellStyle name="Comma 3 4 3 3 2" xfId="727" xr:uid="{00000000-0005-0000-0000-0000DA070000}"/>
    <cellStyle name="Comma 3 4 3 3 2 2" xfId="728" xr:uid="{00000000-0005-0000-0000-0000DB070000}"/>
    <cellStyle name="Comma 3 4 3 3 3" xfId="729" xr:uid="{00000000-0005-0000-0000-0000DC070000}"/>
    <cellStyle name="Comma 3 4 3 3 3 2" xfId="730" xr:uid="{00000000-0005-0000-0000-0000DD070000}"/>
    <cellStyle name="Comma 3 4 3 3 4" xfId="731" xr:uid="{00000000-0005-0000-0000-0000DE070000}"/>
    <cellStyle name="Comma 3 4 3 4" xfId="732" xr:uid="{00000000-0005-0000-0000-0000DF070000}"/>
    <cellStyle name="Comma 3 4 3 4 2" xfId="733" xr:uid="{00000000-0005-0000-0000-0000E0070000}"/>
    <cellStyle name="Comma 3 4 3 4 3" xfId="734" xr:uid="{00000000-0005-0000-0000-0000E1070000}"/>
    <cellStyle name="Comma 3 4 3 5" xfId="735" xr:uid="{00000000-0005-0000-0000-0000E2070000}"/>
    <cellStyle name="Comma 3 4 3 5 2" xfId="736" xr:uid="{00000000-0005-0000-0000-0000E3070000}"/>
    <cellStyle name="Comma 3 4 3 6" xfId="737" xr:uid="{00000000-0005-0000-0000-0000E4070000}"/>
    <cellStyle name="Comma 3 4 3 6 2" xfId="738" xr:uid="{00000000-0005-0000-0000-0000E5070000}"/>
    <cellStyle name="Comma 3 4 3 7" xfId="739" xr:uid="{00000000-0005-0000-0000-0000E6070000}"/>
    <cellStyle name="Comma 3 4 4" xfId="740" xr:uid="{00000000-0005-0000-0000-0000E7070000}"/>
    <cellStyle name="Comma 3 4 4 2" xfId="741" xr:uid="{00000000-0005-0000-0000-0000E8070000}"/>
    <cellStyle name="Comma 3 4 4 2 2" xfId="742" xr:uid="{00000000-0005-0000-0000-0000E9070000}"/>
    <cellStyle name="Comma 3 4 4 2 2 2" xfId="743" xr:uid="{00000000-0005-0000-0000-0000EA070000}"/>
    <cellStyle name="Comma 3 4 4 2 2 3" xfId="744" xr:uid="{00000000-0005-0000-0000-0000EB070000}"/>
    <cellStyle name="Comma 3 4 4 2 3" xfId="745" xr:uid="{00000000-0005-0000-0000-0000EC070000}"/>
    <cellStyle name="Comma 3 4 4 2 3 2" xfId="746" xr:uid="{00000000-0005-0000-0000-0000ED070000}"/>
    <cellStyle name="Comma 3 4 4 2 4" xfId="747" xr:uid="{00000000-0005-0000-0000-0000EE070000}"/>
    <cellStyle name="Comma 3 4 4 2 4 2" xfId="748" xr:uid="{00000000-0005-0000-0000-0000EF070000}"/>
    <cellStyle name="Comma 3 4 4 2 5" xfId="749" xr:uid="{00000000-0005-0000-0000-0000F0070000}"/>
    <cellStyle name="Comma 3 4 4 3" xfId="750" xr:uid="{00000000-0005-0000-0000-0000F1070000}"/>
    <cellStyle name="Comma 3 4 4 3 2" xfId="751" xr:uid="{00000000-0005-0000-0000-0000F2070000}"/>
    <cellStyle name="Comma 3 4 4 3 2 2" xfId="752" xr:uid="{00000000-0005-0000-0000-0000F3070000}"/>
    <cellStyle name="Comma 3 4 4 3 3" xfId="753" xr:uid="{00000000-0005-0000-0000-0000F4070000}"/>
    <cellStyle name="Comma 3 4 4 3 3 2" xfId="754" xr:uid="{00000000-0005-0000-0000-0000F5070000}"/>
    <cellStyle name="Comma 3 4 4 3 4" xfId="755" xr:uid="{00000000-0005-0000-0000-0000F6070000}"/>
    <cellStyle name="Comma 3 4 4 4" xfId="756" xr:uid="{00000000-0005-0000-0000-0000F7070000}"/>
    <cellStyle name="Comma 3 4 4 4 2" xfId="757" xr:uid="{00000000-0005-0000-0000-0000F8070000}"/>
    <cellStyle name="Comma 3 4 4 4 3" xfId="758" xr:uid="{00000000-0005-0000-0000-0000F9070000}"/>
    <cellStyle name="Comma 3 4 4 5" xfId="759" xr:uid="{00000000-0005-0000-0000-0000FA070000}"/>
    <cellStyle name="Comma 3 4 4 5 2" xfId="760" xr:uid="{00000000-0005-0000-0000-0000FB070000}"/>
    <cellStyle name="Comma 3 4 4 6" xfId="761" xr:uid="{00000000-0005-0000-0000-0000FC070000}"/>
    <cellStyle name="Comma 3 4 4 6 2" xfId="762" xr:uid="{00000000-0005-0000-0000-0000FD070000}"/>
    <cellStyle name="Comma 3 4 4 7" xfId="763" xr:uid="{00000000-0005-0000-0000-0000FE070000}"/>
    <cellStyle name="Comma 3 4 5" xfId="764" xr:uid="{00000000-0005-0000-0000-0000FF070000}"/>
    <cellStyle name="Comma 3 4 5 2" xfId="765" xr:uid="{00000000-0005-0000-0000-000000080000}"/>
    <cellStyle name="Comma 3 4 5 2 2" xfId="766" xr:uid="{00000000-0005-0000-0000-000001080000}"/>
    <cellStyle name="Comma 3 4 5 2 2 2" xfId="767" xr:uid="{00000000-0005-0000-0000-000002080000}"/>
    <cellStyle name="Comma 3 4 5 2 3" xfId="768" xr:uid="{00000000-0005-0000-0000-000003080000}"/>
    <cellStyle name="Comma 3 4 5 2 3 2" xfId="769" xr:uid="{00000000-0005-0000-0000-000004080000}"/>
    <cellStyle name="Comma 3 4 5 2 4" xfId="770" xr:uid="{00000000-0005-0000-0000-000005080000}"/>
    <cellStyle name="Comma 3 4 5 3" xfId="771" xr:uid="{00000000-0005-0000-0000-000006080000}"/>
    <cellStyle name="Comma 3 4 5 3 2" xfId="772" xr:uid="{00000000-0005-0000-0000-000007080000}"/>
    <cellStyle name="Comma 3 4 5 3 3" xfId="773" xr:uid="{00000000-0005-0000-0000-000008080000}"/>
    <cellStyle name="Comma 3 4 5 4" xfId="774" xr:uid="{00000000-0005-0000-0000-000009080000}"/>
    <cellStyle name="Comma 3 4 5 4 2" xfId="775" xr:uid="{00000000-0005-0000-0000-00000A080000}"/>
    <cellStyle name="Comma 3 4 5 5" xfId="776" xr:uid="{00000000-0005-0000-0000-00000B080000}"/>
    <cellStyle name="Comma 3 4 5 5 2" xfId="777" xr:uid="{00000000-0005-0000-0000-00000C080000}"/>
    <cellStyle name="Comma 3 4 5 6" xfId="778" xr:uid="{00000000-0005-0000-0000-00000D080000}"/>
    <cellStyle name="Comma 3 4 6" xfId="779" xr:uid="{00000000-0005-0000-0000-00000E080000}"/>
    <cellStyle name="Comma 3 4 6 2" xfId="780" xr:uid="{00000000-0005-0000-0000-00000F080000}"/>
    <cellStyle name="Comma 3 4 6 2 2" xfId="781" xr:uid="{00000000-0005-0000-0000-000010080000}"/>
    <cellStyle name="Comma 3 4 6 3" xfId="782" xr:uid="{00000000-0005-0000-0000-000011080000}"/>
    <cellStyle name="Comma 3 4 6 3 2" xfId="783" xr:uid="{00000000-0005-0000-0000-000012080000}"/>
    <cellStyle name="Comma 3 4 6 4" xfId="784" xr:uid="{00000000-0005-0000-0000-000013080000}"/>
    <cellStyle name="Comma 3 4 7" xfId="785" xr:uid="{00000000-0005-0000-0000-000014080000}"/>
    <cellStyle name="Comma 3 4 7 2" xfId="786" xr:uid="{00000000-0005-0000-0000-000015080000}"/>
    <cellStyle name="Comma 3 4 7 2 2" xfId="787" xr:uid="{00000000-0005-0000-0000-000016080000}"/>
    <cellStyle name="Comma 3 4 7 3" xfId="788" xr:uid="{00000000-0005-0000-0000-000017080000}"/>
    <cellStyle name="Comma 3 4 7 3 2" xfId="789" xr:uid="{00000000-0005-0000-0000-000018080000}"/>
    <cellStyle name="Comma 3 4 7 4" xfId="790" xr:uid="{00000000-0005-0000-0000-000019080000}"/>
    <cellStyle name="Comma 3 4 8" xfId="791" xr:uid="{00000000-0005-0000-0000-00001A080000}"/>
    <cellStyle name="Comma 3 4 8 2" xfId="792" xr:uid="{00000000-0005-0000-0000-00001B080000}"/>
    <cellStyle name="Comma 3 4 8 3" xfId="793" xr:uid="{00000000-0005-0000-0000-00001C080000}"/>
    <cellStyle name="Comma 3 4 9" xfId="794" xr:uid="{00000000-0005-0000-0000-00001D080000}"/>
    <cellStyle name="Comma 3 4 9 2" xfId="795" xr:uid="{00000000-0005-0000-0000-00001E080000}"/>
    <cellStyle name="Comma 3 5" xfId="796" xr:uid="{00000000-0005-0000-0000-00001F080000}"/>
    <cellStyle name="Comma 3 5 10" xfId="797" xr:uid="{00000000-0005-0000-0000-000020080000}"/>
    <cellStyle name="Comma 3 5 2" xfId="798" xr:uid="{00000000-0005-0000-0000-000021080000}"/>
    <cellStyle name="Comma 3 5 2 2" xfId="799" xr:uid="{00000000-0005-0000-0000-000022080000}"/>
    <cellStyle name="Comma 3 5 2 2 2" xfId="800" xr:uid="{00000000-0005-0000-0000-000023080000}"/>
    <cellStyle name="Comma 3 5 2 2 2 2" xfId="801" xr:uid="{00000000-0005-0000-0000-000024080000}"/>
    <cellStyle name="Comma 3 5 2 2 2 3" xfId="802" xr:uid="{00000000-0005-0000-0000-000025080000}"/>
    <cellStyle name="Comma 3 5 2 2 3" xfId="803" xr:uid="{00000000-0005-0000-0000-000026080000}"/>
    <cellStyle name="Comma 3 5 2 2 3 2" xfId="804" xr:uid="{00000000-0005-0000-0000-000027080000}"/>
    <cellStyle name="Comma 3 5 2 2 4" xfId="805" xr:uid="{00000000-0005-0000-0000-000028080000}"/>
    <cellStyle name="Comma 3 5 2 2 4 2" xfId="806" xr:uid="{00000000-0005-0000-0000-000029080000}"/>
    <cellStyle name="Comma 3 5 2 2 5" xfId="807" xr:uid="{00000000-0005-0000-0000-00002A080000}"/>
    <cellStyle name="Comma 3 5 2 3" xfId="808" xr:uid="{00000000-0005-0000-0000-00002B080000}"/>
    <cellStyle name="Comma 3 5 2 3 2" xfId="809" xr:uid="{00000000-0005-0000-0000-00002C080000}"/>
    <cellStyle name="Comma 3 5 2 3 2 2" xfId="810" xr:uid="{00000000-0005-0000-0000-00002D080000}"/>
    <cellStyle name="Comma 3 5 2 3 3" xfId="811" xr:uid="{00000000-0005-0000-0000-00002E080000}"/>
    <cellStyle name="Comma 3 5 2 3 3 2" xfId="812" xr:uid="{00000000-0005-0000-0000-00002F080000}"/>
    <cellStyle name="Comma 3 5 2 3 4" xfId="813" xr:uid="{00000000-0005-0000-0000-000030080000}"/>
    <cellStyle name="Comma 3 5 2 4" xfId="814" xr:uid="{00000000-0005-0000-0000-000031080000}"/>
    <cellStyle name="Comma 3 5 2 4 2" xfId="815" xr:uid="{00000000-0005-0000-0000-000032080000}"/>
    <cellStyle name="Comma 3 5 2 4 3" xfId="816" xr:uid="{00000000-0005-0000-0000-000033080000}"/>
    <cellStyle name="Comma 3 5 2 5" xfId="817" xr:uid="{00000000-0005-0000-0000-000034080000}"/>
    <cellStyle name="Comma 3 5 2 5 2" xfId="818" xr:uid="{00000000-0005-0000-0000-000035080000}"/>
    <cellStyle name="Comma 3 5 2 6" xfId="819" xr:uid="{00000000-0005-0000-0000-000036080000}"/>
    <cellStyle name="Comma 3 5 2 6 2" xfId="820" xr:uid="{00000000-0005-0000-0000-000037080000}"/>
    <cellStyle name="Comma 3 5 2 7" xfId="821" xr:uid="{00000000-0005-0000-0000-000038080000}"/>
    <cellStyle name="Comma 3 5 3" xfId="822" xr:uid="{00000000-0005-0000-0000-000039080000}"/>
    <cellStyle name="Comma 3 5 3 2" xfId="823" xr:uid="{00000000-0005-0000-0000-00003A080000}"/>
    <cellStyle name="Comma 3 5 3 2 2" xfId="824" xr:uid="{00000000-0005-0000-0000-00003B080000}"/>
    <cellStyle name="Comma 3 5 3 2 2 2" xfId="825" xr:uid="{00000000-0005-0000-0000-00003C080000}"/>
    <cellStyle name="Comma 3 5 3 2 2 3" xfId="826" xr:uid="{00000000-0005-0000-0000-00003D080000}"/>
    <cellStyle name="Comma 3 5 3 2 3" xfId="827" xr:uid="{00000000-0005-0000-0000-00003E080000}"/>
    <cellStyle name="Comma 3 5 3 2 3 2" xfId="828" xr:uid="{00000000-0005-0000-0000-00003F080000}"/>
    <cellStyle name="Comma 3 5 3 2 4" xfId="829" xr:uid="{00000000-0005-0000-0000-000040080000}"/>
    <cellStyle name="Comma 3 5 3 2 4 2" xfId="830" xr:uid="{00000000-0005-0000-0000-000041080000}"/>
    <cellStyle name="Comma 3 5 3 2 5" xfId="831" xr:uid="{00000000-0005-0000-0000-000042080000}"/>
    <cellStyle name="Comma 3 5 3 3" xfId="832" xr:uid="{00000000-0005-0000-0000-000043080000}"/>
    <cellStyle name="Comma 3 5 3 3 2" xfId="833" xr:uid="{00000000-0005-0000-0000-000044080000}"/>
    <cellStyle name="Comma 3 5 3 3 2 2" xfId="834" xr:uid="{00000000-0005-0000-0000-000045080000}"/>
    <cellStyle name="Comma 3 5 3 3 3" xfId="835" xr:uid="{00000000-0005-0000-0000-000046080000}"/>
    <cellStyle name="Comma 3 5 3 3 3 2" xfId="836" xr:uid="{00000000-0005-0000-0000-000047080000}"/>
    <cellStyle name="Comma 3 5 3 3 4" xfId="837" xr:uid="{00000000-0005-0000-0000-000048080000}"/>
    <cellStyle name="Comma 3 5 3 4" xfId="838" xr:uid="{00000000-0005-0000-0000-000049080000}"/>
    <cellStyle name="Comma 3 5 3 4 2" xfId="839" xr:uid="{00000000-0005-0000-0000-00004A080000}"/>
    <cellStyle name="Comma 3 5 3 4 3" xfId="840" xr:uid="{00000000-0005-0000-0000-00004B080000}"/>
    <cellStyle name="Comma 3 5 3 5" xfId="841" xr:uid="{00000000-0005-0000-0000-00004C080000}"/>
    <cellStyle name="Comma 3 5 3 5 2" xfId="842" xr:uid="{00000000-0005-0000-0000-00004D080000}"/>
    <cellStyle name="Comma 3 5 3 6" xfId="843" xr:uid="{00000000-0005-0000-0000-00004E080000}"/>
    <cellStyle name="Comma 3 5 3 6 2" xfId="844" xr:uid="{00000000-0005-0000-0000-00004F080000}"/>
    <cellStyle name="Comma 3 5 3 7" xfId="845" xr:uid="{00000000-0005-0000-0000-000050080000}"/>
    <cellStyle name="Comma 3 5 4" xfId="846" xr:uid="{00000000-0005-0000-0000-000051080000}"/>
    <cellStyle name="Comma 3 5 4 2" xfId="847" xr:uid="{00000000-0005-0000-0000-000052080000}"/>
    <cellStyle name="Comma 3 5 4 2 2" xfId="848" xr:uid="{00000000-0005-0000-0000-000053080000}"/>
    <cellStyle name="Comma 3 5 4 2 2 2" xfId="849" xr:uid="{00000000-0005-0000-0000-000054080000}"/>
    <cellStyle name="Comma 3 5 4 2 3" xfId="850" xr:uid="{00000000-0005-0000-0000-000055080000}"/>
    <cellStyle name="Comma 3 5 4 2 3 2" xfId="851" xr:uid="{00000000-0005-0000-0000-000056080000}"/>
    <cellStyle name="Comma 3 5 4 2 4" xfId="852" xr:uid="{00000000-0005-0000-0000-000057080000}"/>
    <cellStyle name="Comma 3 5 4 3" xfId="853" xr:uid="{00000000-0005-0000-0000-000058080000}"/>
    <cellStyle name="Comma 3 5 4 3 2" xfId="854" xr:uid="{00000000-0005-0000-0000-000059080000}"/>
    <cellStyle name="Comma 3 5 4 3 3" xfId="855" xr:uid="{00000000-0005-0000-0000-00005A080000}"/>
    <cellStyle name="Comma 3 5 4 4" xfId="856" xr:uid="{00000000-0005-0000-0000-00005B080000}"/>
    <cellStyle name="Comma 3 5 4 4 2" xfId="857" xr:uid="{00000000-0005-0000-0000-00005C080000}"/>
    <cellStyle name="Comma 3 5 4 5" xfId="858" xr:uid="{00000000-0005-0000-0000-00005D080000}"/>
    <cellStyle name="Comma 3 5 4 5 2" xfId="859" xr:uid="{00000000-0005-0000-0000-00005E080000}"/>
    <cellStyle name="Comma 3 5 4 6" xfId="860" xr:uid="{00000000-0005-0000-0000-00005F080000}"/>
    <cellStyle name="Comma 3 5 5" xfId="861" xr:uid="{00000000-0005-0000-0000-000060080000}"/>
    <cellStyle name="Comma 3 5 5 2" xfId="862" xr:uid="{00000000-0005-0000-0000-000061080000}"/>
    <cellStyle name="Comma 3 5 5 2 2" xfId="863" xr:uid="{00000000-0005-0000-0000-000062080000}"/>
    <cellStyle name="Comma 3 5 5 3" xfId="864" xr:uid="{00000000-0005-0000-0000-000063080000}"/>
    <cellStyle name="Comma 3 5 5 3 2" xfId="865" xr:uid="{00000000-0005-0000-0000-000064080000}"/>
    <cellStyle name="Comma 3 5 5 4" xfId="866" xr:uid="{00000000-0005-0000-0000-000065080000}"/>
    <cellStyle name="Comma 3 5 6" xfId="867" xr:uid="{00000000-0005-0000-0000-000066080000}"/>
    <cellStyle name="Comma 3 5 6 2" xfId="868" xr:uid="{00000000-0005-0000-0000-000067080000}"/>
    <cellStyle name="Comma 3 5 6 2 2" xfId="869" xr:uid="{00000000-0005-0000-0000-000068080000}"/>
    <cellStyle name="Comma 3 5 6 3" xfId="870" xr:uid="{00000000-0005-0000-0000-000069080000}"/>
    <cellStyle name="Comma 3 5 6 3 2" xfId="871" xr:uid="{00000000-0005-0000-0000-00006A080000}"/>
    <cellStyle name="Comma 3 5 6 4" xfId="872" xr:uid="{00000000-0005-0000-0000-00006B080000}"/>
    <cellStyle name="Comma 3 5 7" xfId="873" xr:uid="{00000000-0005-0000-0000-00006C080000}"/>
    <cellStyle name="Comma 3 5 7 2" xfId="874" xr:uid="{00000000-0005-0000-0000-00006D080000}"/>
    <cellStyle name="Comma 3 5 7 3" xfId="875" xr:uid="{00000000-0005-0000-0000-00006E080000}"/>
    <cellStyle name="Comma 3 5 8" xfId="876" xr:uid="{00000000-0005-0000-0000-00006F080000}"/>
    <cellStyle name="Comma 3 5 8 2" xfId="877" xr:uid="{00000000-0005-0000-0000-000070080000}"/>
    <cellStyle name="Comma 3 5 9" xfId="878" xr:uid="{00000000-0005-0000-0000-000071080000}"/>
    <cellStyle name="Comma 3 5 9 2" xfId="879" xr:uid="{00000000-0005-0000-0000-000072080000}"/>
    <cellStyle name="Comma 3 6" xfId="880" xr:uid="{00000000-0005-0000-0000-000073080000}"/>
    <cellStyle name="Comma 3 6 2" xfId="881" xr:uid="{00000000-0005-0000-0000-000074080000}"/>
    <cellStyle name="Comma 3 6 2 2" xfId="882" xr:uid="{00000000-0005-0000-0000-000075080000}"/>
    <cellStyle name="Comma 3 6 2 2 2" xfId="883" xr:uid="{00000000-0005-0000-0000-000076080000}"/>
    <cellStyle name="Comma 3 6 2 3" xfId="884" xr:uid="{00000000-0005-0000-0000-000077080000}"/>
    <cellStyle name="Comma 3 6 2 3 2" xfId="885" xr:uid="{00000000-0005-0000-0000-000078080000}"/>
    <cellStyle name="Comma 3 6 2 4" xfId="886" xr:uid="{00000000-0005-0000-0000-000079080000}"/>
    <cellStyle name="Comma 3 6 3" xfId="887" xr:uid="{00000000-0005-0000-0000-00007A080000}"/>
    <cellStyle name="Comma 3 6 3 2" xfId="888" xr:uid="{00000000-0005-0000-0000-00007B080000}"/>
    <cellStyle name="Comma 3 6 3 3" xfId="889" xr:uid="{00000000-0005-0000-0000-00007C080000}"/>
    <cellStyle name="Comma 3 6 4" xfId="890" xr:uid="{00000000-0005-0000-0000-00007D080000}"/>
    <cellStyle name="Comma 3 6 4 2" xfId="891" xr:uid="{00000000-0005-0000-0000-00007E080000}"/>
    <cellStyle name="Comma 3 6 5" xfId="892" xr:uid="{00000000-0005-0000-0000-00007F080000}"/>
    <cellStyle name="Comma 3 6 5 2" xfId="893" xr:uid="{00000000-0005-0000-0000-000080080000}"/>
    <cellStyle name="Comma 3 6 6" xfId="894" xr:uid="{00000000-0005-0000-0000-000081080000}"/>
    <cellStyle name="Comma 3 7" xfId="895" xr:uid="{00000000-0005-0000-0000-000082080000}"/>
    <cellStyle name="Comma 3 7 2" xfId="896" xr:uid="{00000000-0005-0000-0000-000083080000}"/>
    <cellStyle name="Comma 3 7 2 2" xfId="897" xr:uid="{00000000-0005-0000-0000-000084080000}"/>
    <cellStyle name="Comma 3 7 3" xfId="898" xr:uid="{00000000-0005-0000-0000-000085080000}"/>
    <cellStyle name="Comma 3 7 3 2" xfId="899" xr:uid="{00000000-0005-0000-0000-000086080000}"/>
    <cellStyle name="Comma 3 7 4" xfId="900" xr:uid="{00000000-0005-0000-0000-000087080000}"/>
    <cellStyle name="Comma 3 8" xfId="901" xr:uid="{00000000-0005-0000-0000-000088080000}"/>
    <cellStyle name="Comma 3 8 2" xfId="902" xr:uid="{00000000-0005-0000-0000-000089080000}"/>
    <cellStyle name="Comma 3 9" xfId="903" xr:uid="{00000000-0005-0000-0000-00008A080000}"/>
    <cellStyle name="Comma 30" xfId="18627" xr:uid="{00000000-0005-0000-0000-00008B080000}"/>
    <cellStyle name="Comma 31" xfId="18628" xr:uid="{00000000-0005-0000-0000-00008C080000}"/>
    <cellStyle name="Comma 32" xfId="18629" xr:uid="{00000000-0005-0000-0000-00008D080000}"/>
    <cellStyle name="Comma 33" xfId="18630" xr:uid="{00000000-0005-0000-0000-00008E080000}"/>
    <cellStyle name="Comma 34" xfId="18631" xr:uid="{00000000-0005-0000-0000-00008F080000}"/>
    <cellStyle name="Comma 35" xfId="18632" xr:uid="{00000000-0005-0000-0000-000090080000}"/>
    <cellStyle name="Comma 36" xfId="18633" xr:uid="{00000000-0005-0000-0000-000091080000}"/>
    <cellStyle name="Comma 37" xfId="18634" xr:uid="{00000000-0005-0000-0000-000092080000}"/>
    <cellStyle name="Comma 38" xfId="18635" xr:uid="{00000000-0005-0000-0000-000093080000}"/>
    <cellStyle name="Comma 39" xfId="18636" xr:uid="{00000000-0005-0000-0000-000094080000}"/>
    <cellStyle name="Comma 4" xfId="904" xr:uid="{00000000-0005-0000-0000-000095080000}"/>
    <cellStyle name="Comma 4 10" xfId="905" xr:uid="{00000000-0005-0000-0000-000096080000}"/>
    <cellStyle name="Comma 4 10 2" xfId="906" xr:uid="{00000000-0005-0000-0000-000097080000}"/>
    <cellStyle name="Comma 4 10 2 2" xfId="907" xr:uid="{00000000-0005-0000-0000-000098080000}"/>
    <cellStyle name="Comma 4 10 3" xfId="908" xr:uid="{00000000-0005-0000-0000-000099080000}"/>
    <cellStyle name="Comma 4 10 3 2" xfId="909" xr:uid="{00000000-0005-0000-0000-00009A080000}"/>
    <cellStyle name="Comma 4 10 4" xfId="910" xr:uid="{00000000-0005-0000-0000-00009B080000}"/>
    <cellStyle name="Comma 4 11" xfId="911" xr:uid="{00000000-0005-0000-0000-00009C080000}"/>
    <cellStyle name="Comma 4 11 2" xfId="912" xr:uid="{00000000-0005-0000-0000-00009D080000}"/>
    <cellStyle name="Comma 4 11 3" xfId="913" xr:uid="{00000000-0005-0000-0000-00009E080000}"/>
    <cellStyle name="Comma 4 12" xfId="914" xr:uid="{00000000-0005-0000-0000-00009F080000}"/>
    <cellStyle name="Comma 4 12 2" xfId="915" xr:uid="{00000000-0005-0000-0000-0000A0080000}"/>
    <cellStyle name="Comma 4 13" xfId="916" xr:uid="{00000000-0005-0000-0000-0000A1080000}"/>
    <cellStyle name="Comma 4 13 2" xfId="917" xr:uid="{00000000-0005-0000-0000-0000A2080000}"/>
    <cellStyle name="Comma 4 14" xfId="918" xr:uid="{00000000-0005-0000-0000-0000A3080000}"/>
    <cellStyle name="Comma 4 15" xfId="17677" xr:uid="{00000000-0005-0000-0000-0000A4080000}"/>
    <cellStyle name="Comma 4 2" xfId="919" xr:uid="{00000000-0005-0000-0000-0000A5080000}"/>
    <cellStyle name="Comma 4 2 10" xfId="920" xr:uid="{00000000-0005-0000-0000-0000A6080000}"/>
    <cellStyle name="Comma 4 2 10 2" xfId="921" xr:uid="{00000000-0005-0000-0000-0000A7080000}"/>
    <cellStyle name="Comma 4 2 11" xfId="922" xr:uid="{00000000-0005-0000-0000-0000A8080000}"/>
    <cellStyle name="Comma 4 2 11 2" xfId="923" xr:uid="{00000000-0005-0000-0000-0000A9080000}"/>
    <cellStyle name="Comma 4 2 12" xfId="924" xr:uid="{00000000-0005-0000-0000-0000AA080000}"/>
    <cellStyle name="Comma 4 2 13" xfId="18637" xr:uid="{00000000-0005-0000-0000-0000AB080000}"/>
    <cellStyle name="Comma 4 2 2" xfId="925" xr:uid="{00000000-0005-0000-0000-0000AC080000}"/>
    <cellStyle name="Comma 4 2 2 10" xfId="926" xr:uid="{00000000-0005-0000-0000-0000AD080000}"/>
    <cellStyle name="Comma 4 2 2 11" xfId="18638" xr:uid="{00000000-0005-0000-0000-0000AE080000}"/>
    <cellStyle name="Comma 4 2 2 2" xfId="927" xr:uid="{00000000-0005-0000-0000-0000AF080000}"/>
    <cellStyle name="Comma 4 2 2 2 2" xfId="928" xr:uid="{00000000-0005-0000-0000-0000B0080000}"/>
    <cellStyle name="Comma 4 2 2 2 2 2" xfId="929" xr:uid="{00000000-0005-0000-0000-0000B1080000}"/>
    <cellStyle name="Comma 4 2 2 2 2 2 2" xfId="930" xr:uid="{00000000-0005-0000-0000-0000B2080000}"/>
    <cellStyle name="Comma 4 2 2 2 2 2 3" xfId="931" xr:uid="{00000000-0005-0000-0000-0000B3080000}"/>
    <cellStyle name="Comma 4 2 2 2 2 3" xfId="932" xr:uid="{00000000-0005-0000-0000-0000B4080000}"/>
    <cellStyle name="Comma 4 2 2 2 2 3 2" xfId="933" xr:uid="{00000000-0005-0000-0000-0000B5080000}"/>
    <cellStyle name="Comma 4 2 2 2 2 4" xfId="934" xr:uid="{00000000-0005-0000-0000-0000B6080000}"/>
    <cellStyle name="Comma 4 2 2 2 2 4 2" xfId="935" xr:uid="{00000000-0005-0000-0000-0000B7080000}"/>
    <cellStyle name="Comma 4 2 2 2 2 5" xfId="936" xr:uid="{00000000-0005-0000-0000-0000B8080000}"/>
    <cellStyle name="Comma 4 2 2 2 3" xfId="937" xr:uid="{00000000-0005-0000-0000-0000B9080000}"/>
    <cellStyle name="Comma 4 2 2 2 3 2" xfId="938" xr:uid="{00000000-0005-0000-0000-0000BA080000}"/>
    <cellStyle name="Comma 4 2 2 2 3 2 2" xfId="939" xr:uid="{00000000-0005-0000-0000-0000BB080000}"/>
    <cellStyle name="Comma 4 2 2 2 3 3" xfId="940" xr:uid="{00000000-0005-0000-0000-0000BC080000}"/>
    <cellStyle name="Comma 4 2 2 2 3 3 2" xfId="941" xr:uid="{00000000-0005-0000-0000-0000BD080000}"/>
    <cellStyle name="Comma 4 2 2 2 3 4" xfId="942" xr:uid="{00000000-0005-0000-0000-0000BE080000}"/>
    <cellStyle name="Comma 4 2 2 2 4" xfId="943" xr:uid="{00000000-0005-0000-0000-0000BF080000}"/>
    <cellStyle name="Comma 4 2 2 2 4 2" xfId="944" xr:uid="{00000000-0005-0000-0000-0000C0080000}"/>
    <cellStyle name="Comma 4 2 2 2 4 3" xfId="945" xr:uid="{00000000-0005-0000-0000-0000C1080000}"/>
    <cellStyle name="Comma 4 2 2 2 5" xfId="946" xr:uid="{00000000-0005-0000-0000-0000C2080000}"/>
    <cellStyle name="Comma 4 2 2 2 5 2" xfId="947" xr:uid="{00000000-0005-0000-0000-0000C3080000}"/>
    <cellStyle name="Comma 4 2 2 2 6" xfId="948" xr:uid="{00000000-0005-0000-0000-0000C4080000}"/>
    <cellStyle name="Comma 4 2 2 2 6 2" xfId="949" xr:uid="{00000000-0005-0000-0000-0000C5080000}"/>
    <cellStyle name="Comma 4 2 2 2 7" xfId="950" xr:uid="{00000000-0005-0000-0000-0000C6080000}"/>
    <cellStyle name="Comma 4 2 2 3" xfId="951" xr:uid="{00000000-0005-0000-0000-0000C7080000}"/>
    <cellStyle name="Comma 4 2 2 3 2" xfId="952" xr:uid="{00000000-0005-0000-0000-0000C8080000}"/>
    <cellStyle name="Comma 4 2 2 3 2 2" xfId="953" xr:uid="{00000000-0005-0000-0000-0000C9080000}"/>
    <cellStyle name="Comma 4 2 2 3 2 2 2" xfId="954" xr:uid="{00000000-0005-0000-0000-0000CA080000}"/>
    <cellStyle name="Comma 4 2 2 3 2 2 3" xfId="955" xr:uid="{00000000-0005-0000-0000-0000CB080000}"/>
    <cellStyle name="Comma 4 2 2 3 2 3" xfId="956" xr:uid="{00000000-0005-0000-0000-0000CC080000}"/>
    <cellStyle name="Comma 4 2 2 3 2 3 2" xfId="957" xr:uid="{00000000-0005-0000-0000-0000CD080000}"/>
    <cellStyle name="Comma 4 2 2 3 2 4" xfId="958" xr:uid="{00000000-0005-0000-0000-0000CE080000}"/>
    <cellStyle name="Comma 4 2 2 3 2 4 2" xfId="959" xr:uid="{00000000-0005-0000-0000-0000CF080000}"/>
    <cellStyle name="Comma 4 2 2 3 2 5" xfId="960" xr:uid="{00000000-0005-0000-0000-0000D0080000}"/>
    <cellStyle name="Comma 4 2 2 3 3" xfId="961" xr:uid="{00000000-0005-0000-0000-0000D1080000}"/>
    <cellStyle name="Comma 4 2 2 3 3 2" xfId="962" xr:uid="{00000000-0005-0000-0000-0000D2080000}"/>
    <cellStyle name="Comma 4 2 2 3 3 2 2" xfId="963" xr:uid="{00000000-0005-0000-0000-0000D3080000}"/>
    <cellStyle name="Comma 4 2 2 3 3 3" xfId="964" xr:uid="{00000000-0005-0000-0000-0000D4080000}"/>
    <cellStyle name="Comma 4 2 2 3 3 3 2" xfId="965" xr:uid="{00000000-0005-0000-0000-0000D5080000}"/>
    <cellStyle name="Comma 4 2 2 3 3 4" xfId="966" xr:uid="{00000000-0005-0000-0000-0000D6080000}"/>
    <cellStyle name="Comma 4 2 2 3 4" xfId="967" xr:uid="{00000000-0005-0000-0000-0000D7080000}"/>
    <cellStyle name="Comma 4 2 2 3 4 2" xfId="968" xr:uid="{00000000-0005-0000-0000-0000D8080000}"/>
    <cellStyle name="Comma 4 2 2 3 4 3" xfId="969" xr:uid="{00000000-0005-0000-0000-0000D9080000}"/>
    <cellStyle name="Comma 4 2 2 3 5" xfId="970" xr:uid="{00000000-0005-0000-0000-0000DA080000}"/>
    <cellStyle name="Comma 4 2 2 3 5 2" xfId="971" xr:uid="{00000000-0005-0000-0000-0000DB080000}"/>
    <cellStyle name="Comma 4 2 2 3 6" xfId="972" xr:uid="{00000000-0005-0000-0000-0000DC080000}"/>
    <cellStyle name="Comma 4 2 2 3 6 2" xfId="973" xr:uid="{00000000-0005-0000-0000-0000DD080000}"/>
    <cellStyle name="Comma 4 2 2 3 7" xfId="974" xr:uid="{00000000-0005-0000-0000-0000DE080000}"/>
    <cellStyle name="Comma 4 2 2 4" xfId="975" xr:uid="{00000000-0005-0000-0000-0000DF080000}"/>
    <cellStyle name="Comma 4 2 2 4 2" xfId="976" xr:uid="{00000000-0005-0000-0000-0000E0080000}"/>
    <cellStyle name="Comma 4 2 2 4 2 2" xfId="977" xr:uid="{00000000-0005-0000-0000-0000E1080000}"/>
    <cellStyle name="Comma 4 2 2 4 2 2 2" xfId="978" xr:uid="{00000000-0005-0000-0000-0000E2080000}"/>
    <cellStyle name="Comma 4 2 2 4 2 3" xfId="979" xr:uid="{00000000-0005-0000-0000-0000E3080000}"/>
    <cellStyle name="Comma 4 2 2 4 2 3 2" xfId="980" xr:uid="{00000000-0005-0000-0000-0000E4080000}"/>
    <cellStyle name="Comma 4 2 2 4 2 4" xfId="981" xr:uid="{00000000-0005-0000-0000-0000E5080000}"/>
    <cellStyle name="Comma 4 2 2 4 3" xfId="982" xr:uid="{00000000-0005-0000-0000-0000E6080000}"/>
    <cellStyle name="Comma 4 2 2 4 3 2" xfId="983" xr:uid="{00000000-0005-0000-0000-0000E7080000}"/>
    <cellStyle name="Comma 4 2 2 4 3 3" xfId="984" xr:uid="{00000000-0005-0000-0000-0000E8080000}"/>
    <cellStyle name="Comma 4 2 2 4 4" xfId="985" xr:uid="{00000000-0005-0000-0000-0000E9080000}"/>
    <cellStyle name="Comma 4 2 2 4 4 2" xfId="986" xr:uid="{00000000-0005-0000-0000-0000EA080000}"/>
    <cellStyle name="Comma 4 2 2 4 5" xfId="987" xr:uid="{00000000-0005-0000-0000-0000EB080000}"/>
    <cellStyle name="Comma 4 2 2 4 5 2" xfId="988" xr:uid="{00000000-0005-0000-0000-0000EC080000}"/>
    <cellStyle name="Comma 4 2 2 4 6" xfId="989" xr:uid="{00000000-0005-0000-0000-0000ED080000}"/>
    <cellStyle name="Comma 4 2 2 5" xfId="990" xr:uid="{00000000-0005-0000-0000-0000EE080000}"/>
    <cellStyle name="Comma 4 2 2 5 2" xfId="991" xr:uid="{00000000-0005-0000-0000-0000EF080000}"/>
    <cellStyle name="Comma 4 2 2 5 2 2" xfId="992" xr:uid="{00000000-0005-0000-0000-0000F0080000}"/>
    <cellStyle name="Comma 4 2 2 5 3" xfId="993" xr:uid="{00000000-0005-0000-0000-0000F1080000}"/>
    <cellStyle name="Comma 4 2 2 5 3 2" xfId="994" xr:uid="{00000000-0005-0000-0000-0000F2080000}"/>
    <cellStyle name="Comma 4 2 2 5 4" xfId="995" xr:uid="{00000000-0005-0000-0000-0000F3080000}"/>
    <cellStyle name="Comma 4 2 2 6" xfId="996" xr:uid="{00000000-0005-0000-0000-0000F4080000}"/>
    <cellStyle name="Comma 4 2 2 6 2" xfId="997" xr:uid="{00000000-0005-0000-0000-0000F5080000}"/>
    <cellStyle name="Comma 4 2 2 6 2 2" xfId="998" xr:uid="{00000000-0005-0000-0000-0000F6080000}"/>
    <cellStyle name="Comma 4 2 2 6 3" xfId="999" xr:uid="{00000000-0005-0000-0000-0000F7080000}"/>
    <cellStyle name="Comma 4 2 2 6 3 2" xfId="1000" xr:uid="{00000000-0005-0000-0000-0000F8080000}"/>
    <cellStyle name="Comma 4 2 2 6 4" xfId="1001" xr:uid="{00000000-0005-0000-0000-0000F9080000}"/>
    <cellStyle name="Comma 4 2 2 7" xfId="1002" xr:uid="{00000000-0005-0000-0000-0000FA080000}"/>
    <cellStyle name="Comma 4 2 2 7 2" xfId="1003" xr:uid="{00000000-0005-0000-0000-0000FB080000}"/>
    <cellStyle name="Comma 4 2 2 7 3" xfId="1004" xr:uid="{00000000-0005-0000-0000-0000FC080000}"/>
    <cellStyle name="Comma 4 2 2 8" xfId="1005" xr:uid="{00000000-0005-0000-0000-0000FD080000}"/>
    <cellStyle name="Comma 4 2 2 8 2" xfId="1006" xr:uid="{00000000-0005-0000-0000-0000FE080000}"/>
    <cellStyle name="Comma 4 2 2 9" xfId="1007" xr:uid="{00000000-0005-0000-0000-0000FF080000}"/>
    <cellStyle name="Comma 4 2 2 9 2" xfId="1008" xr:uid="{00000000-0005-0000-0000-000000090000}"/>
    <cellStyle name="Comma 4 2 3" xfId="1009" xr:uid="{00000000-0005-0000-0000-000001090000}"/>
    <cellStyle name="Comma 4 2 3 2" xfId="1010" xr:uid="{00000000-0005-0000-0000-000002090000}"/>
    <cellStyle name="Comma 4 2 3 2 2" xfId="1011" xr:uid="{00000000-0005-0000-0000-000003090000}"/>
    <cellStyle name="Comma 4 2 3 2 2 2" xfId="1012" xr:uid="{00000000-0005-0000-0000-000004090000}"/>
    <cellStyle name="Comma 4 2 3 2 2 2 2" xfId="1013" xr:uid="{00000000-0005-0000-0000-000005090000}"/>
    <cellStyle name="Comma 4 2 3 2 2 2 3" xfId="1014" xr:uid="{00000000-0005-0000-0000-000006090000}"/>
    <cellStyle name="Comma 4 2 3 2 2 3" xfId="1015" xr:uid="{00000000-0005-0000-0000-000007090000}"/>
    <cellStyle name="Comma 4 2 3 2 2 3 2" xfId="1016" xr:uid="{00000000-0005-0000-0000-000008090000}"/>
    <cellStyle name="Comma 4 2 3 2 2 4" xfId="1017" xr:uid="{00000000-0005-0000-0000-000009090000}"/>
    <cellStyle name="Comma 4 2 3 2 2 4 2" xfId="1018" xr:uid="{00000000-0005-0000-0000-00000A090000}"/>
    <cellStyle name="Comma 4 2 3 2 2 5" xfId="1019" xr:uid="{00000000-0005-0000-0000-00000B090000}"/>
    <cellStyle name="Comma 4 2 3 2 3" xfId="1020" xr:uid="{00000000-0005-0000-0000-00000C090000}"/>
    <cellStyle name="Comma 4 2 3 2 3 2" xfId="1021" xr:uid="{00000000-0005-0000-0000-00000D090000}"/>
    <cellStyle name="Comma 4 2 3 2 3 2 2" xfId="1022" xr:uid="{00000000-0005-0000-0000-00000E090000}"/>
    <cellStyle name="Comma 4 2 3 2 3 3" xfId="1023" xr:uid="{00000000-0005-0000-0000-00000F090000}"/>
    <cellStyle name="Comma 4 2 3 2 3 3 2" xfId="1024" xr:uid="{00000000-0005-0000-0000-000010090000}"/>
    <cellStyle name="Comma 4 2 3 2 3 4" xfId="1025" xr:uid="{00000000-0005-0000-0000-000011090000}"/>
    <cellStyle name="Comma 4 2 3 2 4" xfId="1026" xr:uid="{00000000-0005-0000-0000-000012090000}"/>
    <cellStyle name="Comma 4 2 3 2 4 2" xfId="1027" xr:uid="{00000000-0005-0000-0000-000013090000}"/>
    <cellStyle name="Comma 4 2 3 2 4 3" xfId="1028" xr:uid="{00000000-0005-0000-0000-000014090000}"/>
    <cellStyle name="Comma 4 2 3 2 5" xfId="1029" xr:uid="{00000000-0005-0000-0000-000015090000}"/>
    <cellStyle name="Comma 4 2 3 2 5 2" xfId="1030" xr:uid="{00000000-0005-0000-0000-000016090000}"/>
    <cellStyle name="Comma 4 2 3 2 6" xfId="1031" xr:uid="{00000000-0005-0000-0000-000017090000}"/>
    <cellStyle name="Comma 4 2 3 2 6 2" xfId="1032" xr:uid="{00000000-0005-0000-0000-000018090000}"/>
    <cellStyle name="Comma 4 2 3 2 7" xfId="1033" xr:uid="{00000000-0005-0000-0000-000019090000}"/>
    <cellStyle name="Comma 4 2 3 3" xfId="1034" xr:uid="{00000000-0005-0000-0000-00001A090000}"/>
    <cellStyle name="Comma 4 2 3 3 2" xfId="1035" xr:uid="{00000000-0005-0000-0000-00001B090000}"/>
    <cellStyle name="Comma 4 2 3 3 2 2" xfId="1036" xr:uid="{00000000-0005-0000-0000-00001C090000}"/>
    <cellStyle name="Comma 4 2 3 3 2 3" xfId="1037" xr:uid="{00000000-0005-0000-0000-00001D090000}"/>
    <cellStyle name="Comma 4 2 3 3 3" xfId="1038" xr:uid="{00000000-0005-0000-0000-00001E090000}"/>
    <cellStyle name="Comma 4 2 3 3 3 2" xfId="1039" xr:uid="{00000000-0005-0000-0000-00001F090000}"/>
    <cellStyle name="Comma 4 2 3 3 4" xfId="1040" xr:uid="{00000000-0005-0000-0000-000020090000}"/>
    <cellStyle name="Comma 4 2 3 3 4 2" xfId="1041" xr:uid="{00000000-0005-0000-0000-000021090000}"/>
    <cellStyle name="Comma 4 2 3 3 5" xfId="1042" xr:uid="{00000000-0005-0000-0000-000022090000}"/>
    <cellStyle name="Comma 4 2 3 4" xfId="1043" xr:uid="{00000000-0005-0000-0000-000023090000}"/>
    <cellStyle name="Comma 4 2 3 4 2" xfId="1044" xr:uid="{00000000-0005-0000-0000-000024090000}"/>
    <cellStyle name="Comma 4 2 3 4 2 2" xfId="1045" xr:uid="{00000000-0005-0000-0000-000025090000}"/>
    <cellStyle name="Comma 4 2 3 4 3" xfId="1046" xr:uid="{00000000-0005-0000-0000-000026090000}"/>
    <cellStyle name="Comma 4 2 3 4 3 2" xfId="1047" xr:uid="{00000000-0005-0000-0000-000027090000}"/>
    <cellStyle name="Comma 4 2 3 4 4" xfId="1048" xr:uid="{00000000-0005-0000-0000-000028090000}"/>
    <cellStyle name="Comma 4 2 3 5" xfId="1049" xr:uid="{00000000-0005-0000-0000-000029090000}"/>
    <cellStyle name="Comma 4 2 3 5 2" xfId="1050" xr:uid="{00000000-0005-0000-0000-00002A090000}"/>
    <cellStyle name="Comma 4 2 3 5 3" xfId="1051" xr:uid="{00000000-0005-0000-0000-00002B090000}"/>
    <cellStyle name="Comma 4 2 3 6" xfId="1052" xr:uid="{00000000-0005-0000-0000-00002C090000}"/>
    <cellStyle name="Comma 4 2 3 6 2" xfId="1053" xr:uid="{00000000-0005-0000-0000-00002D090000}"/>
    <cellStyle name="Comma 4 2 3 7" xfId="1054" xr:uid="{00000000-0005-0000-0000-00002E090000}"/>
    <cellStyle name="Comma 4 2 3 7 2" xfId="1055" xr:uid="{00000000-0005-0000-0000-00002F090000}"/>
    <cellStyle name="Comma 4 2 3 8" xfId="1056" xr:uid="{00000000-0005-0000-0000-000030090000}"/>
    <cellStyle name="Comma 4 2 4" xfId="1057" xr:uid="{00000000-0005-0000-0000-000031090000}"/>
    <cellStyle name="Comma 4 2 4 2" xfId="1058" xr:uid="{00000000-0005-0000-0000-000032090000}"/>
    <cellStyle name="Comma 4 2 4 2 2" xfId="1059" xr:uid="{00000000-0005-0000-0000-000033090000}"/>
    <cellStyle name="Comma 4 2 4 2 2 2" xfId="1060" xr:uid="{00000000-0005-0000-0000-000034090000}"/>
    <cellStyle name="Comma 4 2 4 2 2 3" xfId="1061" xr:uid="{00000000-0005-0000-0000-000035090000}"/>
    <cellStyle name="Comma 4 2 4 2 3" xfId="1062" xr:uid="{00000000-0005-0000-0000-000036090000}"/>
    <cellStyle name="Comma 4 2 4 2 3 2" xfId="1063" xr:uid="{00000000-0005-0000-0000-000037090000}"/>
    <cellStyle name="Comma 4 2 4 2 4" xfId="1064" xr:uid="{00000000-0005-0000-0000-000038090000}"/>
    <cellStyle name="Comma 4 2 4 2 4 2" xfId="1065" xr:uid="{00000000-0005-0000-0000-000039090000}"/>
    <cellStyle name="Comma 4 2 4 2 5" xfId="1066" xr:uid="{00000000-0005-0000-0000-00003A090000}"/>
    <cellStyle name="Comma 4 2 4 3" xfId="1067" xr:uid="{00000000-0005-0000-0000-00003B090000}"/>
    <cellStyle name="Comma 4 2 4 3 2" xfId="1068" xr:uid="{00000000-0005-0000-0000-00003C090000}"/>
    <cellStyle name="Comma 4 2 4 3 2 2" xfId="1069" xr:uid="{00000000-0005-0000-0000-00003D090000}"/>
    <cellStyle name="Comma 4 2 4 3 3" xfId="1070" xr:uid="{00000000-0005-0000-0000-00003E090000}"/>
    <cellStyle name="Comma 4 2 4 3 3 2" xfId="1071" xr:uid="{00000000-0005-0000-0000-00003F090000}"/>
    <cellStyle name="Comma 4 2 4 3 4" xfId="1072" xr:uid="{00000000-0005-0000-0000-000040090000}"/>
    <cellStyle name="Comma 4 2 4 4" xfId="1073" xr:uid="{00000000-0005-0000-0000-000041090000}"/>
    <cellStyle name="Comma 4 2 4 4 2" xfId="1074" xr:uid="{00000000-0005-0000-0000-000042090000}"/>
    <cellStyle name="Comma 4 2 4 4 3" xfId="1075" xr:uid="{00000000-0005-0000-0000-000043090000}"/>
    <cellStyle name="Comma 4 2 4 5" xfId="1076" xr:uid="{00000000-0005-0000-0000-000044090000}"/>
    <cellStyle name="Comma 4 2 4 5 2" xfId="1077" xr:uid="{00000000-0005-0000-0000-000045090000}"/>
    <cellStyle name="Comma 4 2 4 6" xfId="1078" xr:uid="{00000000-0005-0000-0000-000046090000}"/>
    <cellStyle name="Comma 4 2 4 6 2" xfId="1079" xr:uid="{00000000-0005-0000-0000-000047090000}"/>
    <cellStyle name="Comma 4 2 4 7" xfId="1080" xr:uid="{00000000-0005-0000-0000-000048090000}"/>
    <cellStyle name="Comma 4 2 5" xfId="1081" xr:uid="{00000000-0005-0000-0000-000049090000}"/>
    <cellStyle name="Comma 4 2 5 2" xfId="1082" xr:uid="{00000000-0005-0000-0000-00004A090000}"/>
    <cellStyle name="Comma 4 2 5 2 2" xfId="1083" xr:uid="{00000000-0005-0000-0000-00004B090000}"/>
    <cellStyle name="Comma 4 2 5 2 2 2" xfId="1084" xr:uid="{00000000-0005-0000-0000-00004C090000}"/>
    <cellStyle name="Comma 4 2 5 2 2 3" xfId="1085" xr:uid="{00000000-0005-0000-0000-00004D090000}"/>
    <cellStyle name="Comma 4 2 5 2 3" xfId="1086" xr:uid="{00000000-0005-0000-0000-00004E090000}"/>
    <cellStyle name="Comma 4 2 5 2 3 2" xfId="1087" xr:uid="{00000000-0005-0000-0000-00004F090000}"/>
    <cellStyle name="Comma 4 2 5 2 4" xfId="1088" xr:uid="{00000000-0005-0000-0000-000050090000}"/>
    <cellStyle name="Comma 4 2 5 2 4 2" xfId="1089" xr:uid="{00000000-0005-0000-0000-000051090000}"/>
    <cellStyle name="Comma 4 2 5 2 5" xfId="1090" xr:uid="{00000000-0005-0000-0000-000052090000}"/>
    <cellStyle name="Comma 4 2 5 3" xfId="1091" xr:uid="{00000000-0005-0000-0000-000053090000}"/>
    <cellStyle name="Comma 4 2 5 3 2" xfId="1092" xr:uid="{00000000-0005-0000-0000-000054090000}"/>
    <cellStyle name="Comma 4 2 5 3 2 2" xfId="1093" xr:uid="{00000000-0005-0000-0000-000055090000}"/>
    <cellStyle name="Comma 4 2 5 3 3" xfId="1094" xr:uid="{00000000-0005-0000-0000-000056090000}"/>
    <cellStyle name="Comma 4 2 5 3 3 2" xfId="1095" xr:uid="{00000000-0005-0000-0000-000057090000}"/>
    <cellStyle name="Comma 4 2 5 3 4" xfId="1096" xr:uid="{00000000-0005-0000-0000-000058090000}"/>
    <cellStyle name="Comma 4 2 5 4" xfId="1097" xr:uid="{00000000-0005-0000-0000-000059090000}"/>
    <cellStyle name="Comma 4 2 5 4 2" xfId="1098" xr:uid="{00000000-0005-0000-0000-00005A090000}"/>
    <cellStyle name="Comma 4 2 5 4 3" xfId="1099" xr:uid="{00000000-0005-0000-0000-00005B090000}"/>
    <cellStyle name="Comma 4 2 5 5" xfId="1100" xr:uid="{00000000-0005-0000-0000-00005C090000}"/>
    <cellStyle name="Comma 4 2 5 5 2" xfId="1101" xr:uid="{00000000-0005-0000-0000-00005D090000}"/>
    <cellStyle name="Comma 4 2 5 6" xfId="1102" xr:uid="{00000000-0005-0000-0000-00005E090000}"/>
    <cellStyle name="Comma 4 2 5 6 2" xfId="1103" xr:uid="{00000000-0005-0000-0000-00005F090000}"/>
    <cellStyle name="Comma 4 2 5 7" xfId="1104" xr:uid="{00000000-0005-0000-0000-000060090000}"/>
    <cellStyle name="Comma 4 2 6" xfId="1105" xr:uid="{00000000-0005-0000-0000-000061090000}"/>
    <cellStyle name="Comma 4 2 6 2" xfId="1106" xr:uid="{00000000-0005-0000-0000-000062090000}"/>
    <cellStyle name="Comma 4 2 6 2 2" xfId="1107" xr:uid="{00000000-0005-0000-0000-000063090000}"/>
    <cellStyle name="Comma 4 2 6 2 2 2" xfId="1108" xr:uid="{00000000-0005-0000-0000-000064090000}"/>
    <cellStyle name="Comma 4 2 6 2 3" xfId="1109" xr:uid="{00000000-0005-0000-0000-000065090000}"/>
    <cellStyle name="Comma 4 2 6 2 3 2" xfId="1110" xr:uid="{00000000-0005-0000-0000-000066090000}"/>
    <cellStyle name="Comma 4 2 6 2 4" xfId="1111" xr:uid="{00000000-0005-0000-0000-000067090000}"/>
    <cellStyle name="Comma 4 2 6 3" xfId="1112" xr:uid="{00000000-0005-0000-0000-000068090000}"/>
    <cellStyle name="Comma 4 2 6 3 2" xfId="1113" xr:uid="{00000000-0005-0000-0000-000069090000}"/>
    <cellStyle name="Comma 4 2 6 3 3" xfId="1114" xr:uid="{00000000-0005-0000-0000-00006A090000}"/>
    <cellStyle name="Comma 4 2 6 4" xfId="1115" xr:uid="{00000000-0005-0000-0000-00006B090000}"/>
    <cellStyle name="Comma 4 2 6 4 2" xfId="1116" xr:uid="{00000000-0005-0000-0000-00006C090000}"/>
    <cellStyle name="Comma 4 2 6 5" xfId="1117" xr:uid="{00000000-0005-0000-0000-00006D090000}"/>
    <cellStyle name="Comma 4 2 6 5 2" xfId="1118" xr:uid="{00000000-0005-0000-0000-00006E090000}"/>
    <cellStyle name="Comma 4 2 6 6" xfId="1119" xr:uid="{00000000-0005-0000-0000-00006F090000}"/>
    <cellStyle name="Comma 4 2 7" xfId="1120" xr:uid="{00000000-0005-0000-0000-000070090000}"/>
    <cellStyle name="Comma 4 2 7 2" xfId="1121" xr:uid="{00000000-0005-0000-0000-000071090000}"/>
    <cellStyle name="Comma 4 2 7 2 2" xfId="1122" xr:uid="{00000000-0005-0000-0000-000072090000}"/>
    <cellStyle name="Comma 4 2 7 3" xfId="1123" xr:uid="{00000000-0005-0000-0000-000073090000}"/>
    <cellStyle name="Comma 4 2 7 3 2" xfId="1124" xr:uid="{00000000-0005-0000-0000-000074090000}"/>
    <cellStyle name="Comma 4 2 7 4" xfId="1125" xr:uid="{00000000-0005-0000-0000-000075090000}"/>
    <cellStyle name="Comma 4 2 8" xfId="1126" xr:uid="{00000000-0005-0000-0000-000076090000}"/>
    <cellStyle name="Comma 4 2 8 2" xfId="1127" xr:uid="{00000000-0005-0000-0000-000077090000}"/>
    <cellStyle name="Comma 4 2 8 2 2" xfId="1128" xr:uid="{00000000-0005-0000-0000-000078090000}"/>
    <cellStyle name="Comma 4 2 8 3" xfId="1129" xr:uid="{00000000-0005-0000-0000-000079090000}"/>
    <cellStyle name="Comma 4 2 8 3 2" xfId="1130" xr:uid="{00000000-0005-0000-0000-00007A090000}"/>
    <cellStyle name="Comma 4 2 8 4" xfId="1131" xr:uid="{00000000-0005-0000-0000-00007B090000}"/>
    <cellStyle name="Comma 4 2 9" xfId="1132" xr:uid="{00000000-0005-0000-0000-00007C090000}"/>
    <cellStyle name="Comma 4 2 9 2" xfId="1133" xr:uid="{00000000-0005-0000-0000-00007D090000}"/>
    <cellStyle name="Comma 4 2 9 3" xfId="1134" xr:uid="{00000000-0005-0000-0000-00007E090000}"/>
    <cellStyle name="Comma 4 3" xfId="1135" xr:uid="{00000000-0005-0000-0000-00007F090000}"/>
    <cellStyle name="Comma 4 3 10" xfId="1136" xr:uid="{00000000-0005-0000-0000-000080090000}"/>
    <cellStyle name="Comma 4 3 10 2" xfId="1137" xr:uid="{00000000-0005-0000-0000-000081090000}"/>
    <cellStyle name="Comma 4 3 11" xfId="1138" xr:uid="{00000000-0005-0000-0000-000082090000}"/>
    <cellStyle name="Comma 4 3 12" xfId="18639" xr:uid="{00000000-0005-0000-0000-000083090000}"/>
    <cellStyle name="Comma 4 3 2" xfId="1139" xr:uid="{00000000-0005-0000-0000-000084090000}"/>
    <cellStyle name="Comma 4 3 2 2" xfId="1140" xr:uid="{00000000-0005-0000-0000-000085090000}"/>
    <cellStyle name="Comma 4 3 2 2 2" xfId="1141" xr:uid="{00000000-0005-0000-0000-000086090000}"/>
    <cellStyle name="Comma 4 3 2 2 2 2" xfId="1142" xr:uid="{00000000-0005-0000-0000-000087090000}"/>
    <cellStyle name="Comma 4 3 2 2 2 2 2" xfId="1143" xr:uid="{00000000-0005-0000-0000-000088090000}"/>
    <cellStyle name="Comma 4 3 2 2 2 2 3" xfId="1144" xr:uid="{00000000-0005-0000-0000-000089090000}"/>
    <cellStyle name="Comma 4 3 2 2 2 3" xfId="1145" xr:uid="{00000000-0005-0000-0000-00008A090000}"/>
    <cellStyle name="Comma 4 3 2 2 2 3 2" xfId="1146" xr:uid="{00000000-0005-0000-0000-00008B090000}"/>
    <cellStyle name="Comma 4 3 2 2 2 4" xfId="1147" xr:uid="{00000000-0005-0000-0000-00008C090000}"/>
    <cellStyle name="Comma 4 3 2 2 2 4 2" xfId="1148" xr:uid="{00000000-0005-0000-0000-00008D090000}"/>
    <cellStyle name="Comma 4 3 2 2 2 5" xfId="1149" xr:uid="{00000000-0005-0000-0000-00008E090000}"/>
    <cellStyle name="Comma 4 3 2 2 3" xfId="1150" xr:uid="{00000000-0005-0000-0000-00008F090000}"/>
    <cellStyle name="Comma 4 3 2 2 3 2" xfId="1151" xr:uid="{00000000-0005-0000-0000-000090090000}"/>
    <cellStyle name="Comma 4 3 2 2 3 2 2" xfId="1152" xr:uid="{00000000-0005-0000-0000-000091090000}"/>
    <cellStyle name="Comma 4 3 2 2 3 3" xfId="1153" xr:uid="{00000000-0005-0000-0000-000092090000}"/>
    <cellStyle name="Comma 4 3 2 2 3 3 2" xfId="1154" xr:uid="{00000000-0005-0000-0000-000093090000}"/>
    <cellStyle name="Comma 4 3 2 2 3 4" xfId="1155" xr:uid="{00000000-0005-0000-0000-000094090000}"/>
    <cellStyle name="Comma 4 3 2 2 4" xfId="1156" xr:uid="{00000000-0005-0000-0000-000095090000}"/>
    <cellStyle name="Comma 4 3 2 2 4 2" xfId="1157" xr:uid="{00000000-0005-0000-0000-000096090000}"/>
    <cellStyle name="Comma 4 3 2 2 4 3" xfId="1158" xr:uid="{00000000-0005-0000-0000-000097090000}"/>
    <cellStyle name="Comma 4 3 2 2 5" xfId="1159" xr:uid="{00000000-0005-0000-0000-000098090000}"/>
    <cellStyle name="Comma 4 3 2 2 5 2" xfId="1160" xr:uid="{00000000-0005-0000-0000-000099090000}"/>
    <cellStyle name="Comma 4 3 2 2 6" xfId="1161" xr:uid="{00000000-0005-0000-0000-00009A090000}"/>
    <cellStyle name="Comma 4 3 2 2 6 2" xfId="1162" xr:uid="{00000000-0005-0000-0000-00009B090000}"/>
    <cellStyle name="Comma 4 3 2 2 7" xfId="1163" xr:uid="{00000000-0005-0000-0000-00009C090000}"/>
    <cellStyle name="Comma 4 3 2 3" xfId="1164" xr:uid="{00000000-0005-0000-0000-00009D090000}"/>
    <cellStyle name="Comma 4 3 2 3 2" xfId="1165" xr:uid="{00000000-0005-0000-0000-00009E090000}"/>
    <cellStyle name="Comma 4 3 2 3 2 2" xfId="1166" xr:uid="{00000000-0005-0000-0000-00009F090000}"/>
    <cellStyle name="Comma 4 3 2 3 2 3" xfId="1167" xr:uid="{00000000-0005-0000-0000-0000A0090000}"/>
    <cellStyle name="Comma 4 3 2 3 3" xfId="1168" xr:uid="{00000000-0005-0000-0000-0000A1090000}"/>
    <cellStyle name="Comma 4 3 2 3 3 2" xfId="1169" xr:uid="{00000000-0005-0000-0000-0000A2090000}"/>
    <cellStyle name="Comma 4 3 2 3 4" xfId="1170" xr:uid="{00000000-0005-0000-0000-0000A3090000}"/>
    <cellStyle name="Comma 4 3 2 3 4 2" xfId="1171" xr:uid="{00000000-0005-0000-0000-0000A4090000}"/>
    <cellStyle name="Comma 4 3 2 3 5" xfId="1172" xr:uid="{00000000-0005-0000-0000-0000A5090000}"/>
    <cellStyle name="Comma 4 3 2 4" xfId="1173" xr:uid="{00000000-0005-0000-0000-0000A6090000}"/>
    <cellStyle name="Comma 4 3 2 4 2" xfId="1174" xr:uid="{00000000-0005-0000-0000-0000A7090000}"/>
    <cellStyle name="Comma 4 3 2 4 2 2" xfId="1175" xr:uid="{00000000-0005-0000-0000-0000A8090000}"/>
    <cellStyle name="Comma 4 3 2 4 3" xfId="1176" xr:uid="{00000000-0005-0000-0000-0000A9090000}"/>
    <cellStyle name="Comma 4 3 2 4 3 2" xfId="1177" xr:uid="{00000000-0005-0000-0000-0000AA090000}"/>
    <cellStyle name="Comma 4 3 2 4 4" xfId="1178" xr:uid="{00000000-0005-0000-0000-0000AB090000}"/>
    <cellStyle name="Comma 4 3 2 5" xfId="1179" xr:uid="{00000000-0005-0000-0000-0000AC090000}"/>
    <cellStyle name="Comma 4 3 2 5 2" xfId="1180" xr:uid="{00000000-0005-0000-0000-0000AD090000}"/>
    <cellStyle name="Comma 4 3 2 5 3" xfId="1181" xr:uid="{00000000-0005-0000-0000-0000AE090000}"/>
    <cellStyle name="Comma 4 3 2 6" xfId="1182" xr:uid="{00000000-0005-0000-0000-0000AF090000}"/>
    <cellStyle name="Comma 4 3 2 6 2" xfId="1183" xr:uid="{00000000-0005-0000-0000-0000B0090000}"/>
    <cellStyle name="Comma 4 3 2 7" xfId="1184" xr:uid="{00000000-0005-0000-0000-0000B1090000}"/>
    <cellStyle name="Comma 4 3 2 7 2" xfId="1185" xr:uid="{00000000-0005-0000-0000-0000B2090000}"/>
    <cellStyle name="Comma 4 3 2 8" xfId="1186" xr:uid="{00000000-0005-0000-0000-0000B3090000}"/>
    <cellStyle name="Comma 4 3 3" xfId="1187" xr:uid="{00000000-0005-0000-0000-0000B4090000}"/>
    <cellStyle name="Comma 4 3 3 2" xfId="1188" xr:uid="{00000000-0005-0000-0000-0000B5090000}"/>
    <cellStyle name="Comma 4 3 3 2 2" xfId="1189" xr:uid="{00000000-0005-0000-0000-0000B6090000}"/>
    <cellStyle name="Comma 4 3 3 2 2 2" xfId="1190" xr:uid="{00000000-0005-0000-0000-0000B7090000}"/>
    <cellStyle name="Comma 4 3 3 2 2 3" xfId="1191" xr:uid="{00000000-0005-0000-0000-0000B8090000}"/>
    <cellStyle name="Comma 4 3 3 2 3" xfId="1192" xr:uid="{00000000-0005-0000-0000-0000B9090000}"/>
    <cellStyle name="Comma 4 3 3 2 3 2" xfId="1193" xr:uid="{00000000-0005-0000-0000-0000BA090000}"/>
    <cellStyle name="Comma 4 3 3 2 4" xfId="1194" xr:uid="{00000000-0005-0000-0000-0000BB090000}"/>
    <cellStyle name="Comma 4 3 3 2 4 2" xfId="1195" xr:uid="{00000000-0005-0000-0000-0000BC090000}"/>
    <cellStyle name="Comma 4 3 3 2 5" xfId="1196" xr:uid="{00000000-0005-0000-0000-0000BD090000}"/>
    <cellStyle name="Comma 4 3 3 3" xfId="1197" xr:uid="{00000000-0005-0000-0000-0000BE090000}"/>
    <cellStyle name="Comma 4 3 3 3 2" xfId="1198" xr:uid="{00000000-0005-0000-0000-0000BF090000}"/>
    <cellStyle name="Comma 4 3 3 3 2 2" xfId="1199" xr:uid="{00000000-0005-0000-0000-0000C0090000}"/>
    <cellStyle name="Comma 4 3 3 3 3" xfId="1200" xr:uid="{00000000-0005-0000-0000-0000C1090000}"/>
    <cellStyle name="Comma 4 3 3 3 3 2" xfId="1201" xr:uid="{00000000-0005-0000-0000-0000C2090000}"/>
    <cellStyle name="Comma 4 3 3 3 4" xfId="1202" xr:uid="{00000000-0005-0000-0000-0000C3090000}"/>
    <cellStyle name="Comma 4 3 3 4" xfId="1203" xr:uid="{00000000-0005-0000-0000-0000C4090000}"/>
    <cellStyle name="Comma 4 3 3 4 2" xfId="1204" xr:uid="{00000000-0005-0000-0000-0000C5090000}"/>
    <cellStyle name="Comma 4 3 3 4 3" xfId="1205" xr:uid="{00000000-0005-0000-0000-0000C6090000}"/>
    <cellStyle name="Comma 4 3 3 5" xfId="1206" xr:uid="{00000000-0005-0000-0000-0000C7090000}"/>
    <cellStyle name="Comma 4 3 3 5 2" xfId="1207" xr:uid="{00000000-0005-0000-0000-0000C8090000}"/>
    <cellStyle name="Comma 4 3 3 6" xfId="1208" xr:uid="{00000000-0005-0000-0000-0000C9090000}"/>
    <cellStyle name="Comma 4 3 3 6 2" xfId="1209" xr:uid="{00000000-0005-0000-0000-0000CA090000}"/>
    <cellStyle name="Comma 4 3 3 7" xfId="1210" xr:uid="{00000000-0005-0000-0000-0000CB090000}"/>
    <cellStyle name="Comma 4 3 4" xfId="1211" xr:uid="{00000000-0005-0000-0000-0000CC090000}"/>
    <cellStyle name="Comma 4 3 4 2" xfId="1212" xr:uid="{00000000-0005-0000-0000-0000CD090000}"/>
    <cellStyle name="Comma 4 3 4 2 2" xfId="1213" xr:uid="{00000000-0005-0000-0000-0000CE090000}"/>
    <cellStyle name="Comma 4 3 4 2 2 2" xfId="1214" xr:uid="{00000000-0005-0000-0000-0000CF090000}"/>
    <cellStyle name="Comma 4 3 4 2 2 3" xfId="1215" xr:uid="{00000000-0005-0000-0000-0000D0090000}"/>
    <cellStyle name="Comma 4 3 4 2 3" xfId="1216" xr:uid="{00000000-0005-0000-0000-0000D1090000}"/>
    <cellStyle name="Comma 4 3 4 2 3 2" xfId="1217" xr:uid="{00000000-0005-0000-0000-0000D2090000}"/>
    <cellStyle name="Comma 4 3 4 2 4" xfId="1218" xr:uid="{00000000-0005-0000-0000-0000D3090000}"/>
    <cellStyle name="Comma 4 3 4 2 4 2" xfId="1219" xr:uid="{00000000-0005-0000-0000-0000D4090000}"/>
    <cellStyle name="Comma 4 3 4 2 5" xfId="1220" xr:uid="{00000000-0005-0000-0000-0000D5090000}"/>
    <cellStyle name="Comma 4 3 4 3" xfId="1221" xr:uid="{00000000-0005-0000-0000-0000D6090000}"/>
    <cellStyle name="Comma 4 3 4 3 2" xfId="1222" xr:uid="{00000000-0005-0000-0000-0000D7090000}"/>
    <cellStyle name="Comma 4 3 4 3 2 2" xfId="1223" xr:uid="{00000000-0005-0000-0000-0000D8090000}"/>
    <cellStyle name="Comma 4 3 4 3 3" xfId="1224" xr:uid="{00000000-0005-0000-0000-0000D9090000}"/>
    <cellStyle name="Comma 4 3 4 3 3 2" xfId="1225" xr:uid="{00000000-0005-0000-0000-0000DA090000}"/>
    <cellStyle name="Comma 4 3 4 3 4" xfId="1226" xr:uid="{00000000-0005-0000-0000-0000DB090000}"/>
    <cellStyle name="Comma 4 3 4 4" xfId="1227" xr:uid="{00000000-0005-0000-0000-0000DC090000}"/>
    <cellStyle name="Comma 4 3 4 4 2" xfId="1228" xr:uid="{00000000-0005-0000-0000-0000DD090000}"/>
    <cellStyle name="Comma 4 3 4 4 3" xfId="1229" xr:uid="{00000000-0005-0000-0000-0000DE090000}"/>
    <cellStyle name="Comma 4 3 4 5" xfId="1230" xr:uid="{00000000-0005-0000-0000-0000DF090000}"/>
    <cellStyle name="Comma 4 3 4 5 2" xfId="1231" xr:uid="{00000000-0005-0000-0000-0000E0090000}"/>
    <cellStyle name="Comma 4 3 4 6" xfId="1232" xr:uid="{00000000-0005-0000-0000-0000E1090000}"/>
    <cellStyle name="Comma 4 3 4 6 2" xfId="1233" xr:uid="{00000000-0005-0000-0000-0000E2090000}"/>
    <cellStyle name="Comma 4 3 4 7" xfId="1234" xr:uid="{00000000-0005-0000-0000-0000E3090000}"/>
    <cellStyle name="Comma 4 3 5" xfId="1235" xr:uid="{00000000-0005-0000-0000-0000E4090000}"/>
    <cellStyle name="Comma 4 3 5 2" xfId="1236" xr:uid="{00000000-0005-0000-0000-0000E5090000}"/>
    <cellStyle name="Comma 4 3 5 2 2" xfId="1237" xr:uid="{00000000-0005-0000-0000-0000E6090000}"/>
    <cellStyle name="Comma 4 3 5 2 2 2" xfId="1238" xr:uid="{00000000-0005-0000-0000-0000E7090000}"/>
    <cellStyle name="Comma 4 3 5 2 3" xfId="1239" xr:uid="{00000000-0005-0000-0000-0000E8090000}"/>
    <cellStyle name="Comma 4 3 5 2 3 2" xfId="1240" xr:uid="{00000000-0005-0000-0000-0000E9090000}"/>
    <cellStyle name="Comma 4 3 5 2 4" xfId="1241" xr:uid="{00000000-0005-0000-0000-0000EA090000}"/>
    <cellStyle name="Comma 4 3 5 3" xfId="1242" xr:uid="{00000000-0005-0000-0000-0000EB090000}"/>
    <cellStyle name="Comma 4 3 5 3 2" xfId="1243" xr:uid="{00000000-0005-0000-0000-0000EC090000}"/>
    <cellStyle name="Comma 4 3 5 3 3" xfId="1244" xr:uid="{00000000-0005-0000-0000-0000ED090000}"/>
    <cellStyle name="Comma 4 3 5 4" xfId="1245" xr:uid="{00000000-0005-0000-0000-0000EE090000}"/>
    <cellStyle name="Comma 4 3 5 4 2" xfId="1246" xr:uid="{00000000-0005-0000-0000-0000EF090000}"/>
    <cellStyle name="Comma 4 3 5 5" xfId="1247" xr:uid="{00000000-0005-0000-0000-0000F0090000}"/>
    <cellStyle name="Comma 4 3 5 5 2" xfId="1248" xr:uid="{00000000-0005-0000-0000-0000F1090000}"/>
    <cellStyle name="Comma 4 3 5 6" xfId="1249" xr:uid="{00000000-0005-0000-0000-0000F2090000}"/>
    <cellStyle name="Comma 4 3 6" xfId="1250" xr:uid="{00000000-0005-0000-0000-0000F3090000}"/>
    <cellStyle name="Comma 4 3 6 2" xfId="1251" xr:uid="{00000000-0005-0000-0000-0000F4090000}"/>
    <cellStyle name="Comma 4 3 6 2 2" xfId="1252" xr:uid="{00000000-0005-0000-0000-0000F5090000}"/>
    <cellStyle name="Comma 4 3 6 3" xfId="1253" xr:uid="{00000000-0005-0000-0000-0000F6090000}"/>
    <cellStyle name="Comma 4 3 6 3 2" xfId="1254" xr:uid="{00000000-0005-0000-0000-0000F7090000}"/>
    <cellStyle name="Comma 4 3 6 4" xfId="1255" xr:uid="{00000000-0005-0000-0000-0000F8090000}"/>
    <cellStyle name="Comma 4 3 7" xfId="1256" xr:uid="{00000000-0005-0000-0000-0000F9090000}"/>
    <cellStyle name="Comma 4 3 7 2" xfId="1257" xr:uid="{00000000-0005-0000-0000-0000FA090000}"/>
    <cellStyle name="Comma 4 3 7 2 2" xfId="1258" xr:uid="{00000000-0005-0000-0000-0000FB090000}"/>
    <cellStyle name="Comma 4 3 7 3" xfId="1259" xr:uid="{00000000-0005-0000-0000-0000FC090000}"/>
    <cellStyle name="Comma 4 3 7 3 2" xfId="1260" xr:uid="{00000000-0005-0000-0000-0000FD090000}"/>
    <cellStyle name="Comma 4 3 7 4" xfId="1261" xr:uid="{00000000-0005-0000-0000-0000FE090000}"/>
    <cellStyle name="Comma 4 3 8" xfId="1262" xr:uid="{00000000-0005-0000-0000-0000FF090000}"/>
    <cellStyle name="Comma 4 3 8 2" xfId="1263" xr:uid="{00000000-0005-0000-0000-0000000A0000}"/>
    <cellStyle name="Comma 4 3 8 3" xfId="1264" xr:uid="{00000000-0005-0000-0000-0000010A0000}"/>
    <cellStyle name="Comma 4 3 9" xfId="1265" xr:uid="{00000000-0005-0000-0000-0000020A0000}"/>
    <cellStyle name="Comma 4 3 9 2" xfId="1266" xr:uid="{00000000-0005-0000-0000-0000030A0000}"/>
    <cellStyle name="Comma 4 4" xfId="1267" xr:uid="{00000000-0005-0000-0000-0000040A0000}"/>
    <cellStyle name="Comma 4 4 10" xfId="1268" xr:uid="{00000000-0005-0000-0000-0000050A0000}"/>
    <cellStyle name="Comma 4 4 11" xfId="18640" xr:uid="{00000000-0005-0000-0000-0000060A0000}"/>
    <cellStyle name="Comma 4 4 2" xfId="1269" xr:uid="{00000000-0005-0000-0000-0000070A0000}"/>
    <cellStyle name="Comma 4 4 2 2" xfId="1270" xr:uid="{00000000-0005-0000-0000-0000080A0000}"/>
    <cellStyle name="Comma 4 4 2 2 2" xfId="1271" xr:uid="{00000000-0005-0000-0000-0000090A0000}"/>
    <cellStyle name="Comma 4 4 2 2 2 2" xfId="1272" xr:uid="{00000000-0005-0000-0000-00000A0A0000}"/>
    <cellStyle name="Comma 4 4 2 2 2 3" xfId="1273" xr:uid="{00000000-0005-0000-0000-00000B0A0000}"/>
    <cellStyle name="Comma 4 4 2 2 3" xfId="1274" xr:uid="{00000000-0005-0000-0000-00000C0A0000}"/>
    <cellStyle name="Comma 4 4 2 2 3 2" xfId="1275" xr:uid="{00000000-0005-0000-0000-00000D0A0000}"/>
    <cellStyle name="Comma 4 4 2 2 4" xfId="1276" xr:uid="{00000000-0005-0000-0000-00000E0A0000}"/>
    <cellStyle name="Comma 4 4 2 2 4 2" xfId="1277" xr:uid="{00000000-0005-0000-0000-00000F0A0000}"/>
    <cellStyle name="Comma 4 4 2 2 5" xfId="1278" xr:uid="{00000000-0005-0000-0000-0000100A0000}"/>
    <cellStyle name="Comma 4 4 2 3" xfId="1279" xr:uid="{00000000-0005-0000-0000-0000110A0000}"/>
    <cellStyle name="Comma 4 4 2 3 2" xfId="1280" xr:uid="{00000000-0005-0000-0000-0000120A0000}"/>
    <cellStyle name="Comma 4 4 2 3 2 2" xfId="1281" xr:uid="{00000000-0005-0000-0000-0000130A0000}"/>
    <cellStyle name="Comma 4 4 2 3 3" xfId="1282" xr:uid="{00000000-0005-0000-0000-0000140A0000}"/>
    <cellStyle name="Comma 4 4 2 3 3 2" xfId="1283" xr:uid="{00000000-0005-0000-0000-0000150A0000}"/>
    <cellStyle name="Comma 4 4 2 3 4" xfId="1284" xr:uid="{00000000-0005-0000-0000-0000160A0000}"/>
    <cellStyle name="Comma 4 4 2 4" xfId="1285" xr:uid="{00000000-0005-0000-0000-0000170A0000}"/>
    <cellStyle name="Comma 4 4 2 4 2" xfId="1286" xr:uid="{00000000-0005-0000-0000-0000180A0000}"/>
    <cellStyle name="Comma 4 4 2 4 3" xfId="1287" xr:uid="{00000000-0005-0000-0000-0000190A0000}"/>
    <cellStyle name="Comma 4 4 2 5" xfId="1288" xr:uid="{00000000-0005-0000-0000-00001A0A0000}"/>
    <cellStyle name="Comma 4 4 2 5 2" xfId="1289" xr:uid="{00000000-0005-0000-0000-00001B0A0000}"/>
    <cellStyle name="Comma 4 4 2 6" xfId="1290" xr:uid="{00000000-0005-0000-0000-00001C0A0000}"/>
    <cellStyle name="Comma 4 4 2 6 2" xfId="1291" xr:uid="{00000000-0005-0000-0000-00001D0A0000}"/>
    <cellStyle name="Comma 4 4 2 7" xfId="1292" xr:uid="{00000000-0005-0000-0000-00001E0A0000}"/>
    <cellStyle name="Comma 4 4 3" xfId="1293" xr:uid="{00000000-0005-0000-0000-00001F0A0000}"/>
    <cellStyle name="Comma 4 4 3 2" xfId="1294" xr:uid="{00000000-0005-0000-0000-0000200A0000}"/>
    <cellStyle name="Comma 4 4 3 2 2" xfId="1295" xr:uid="{00000000-0005-0000-0000-0000210A0000}"/>
    <cellStyle name="Comma 4 4 3 2 2 2" xfId="1296" xr:uid="{00000000-0005-0000-0000-0000220A0000}"/>
    <cellStyle name="Comma 4 4 3 2 2 3" xfId="1297" xr:uid="{00000000-0005-0000-0000-0000230A0000}"/>
    <cellStyle name="Comma 4 4 3 2 3" xfId="1298" xr:uid="{00000000-0005-0000-0000-0000240A0000}"/>
    <cellStyle name="Comma 4 4 3 2 3 2" xfId="1299" xr:uid="{00000000-0005-0000-0000-0000250A0000}"/>
    <cellStyle name="Comma 4 4 3 2 4" xfId="1300" xr:uid="{00000000-0005-0000-0000-0000260A0000}"/>
    <cellStyle name="Comma 4 4 3 2 4 2" xfId="1301" xr:uid="{00000000-0005-0000-0000-0000270A0000}"/>
    <cellStyle name="Comma 4 4 3 2 5" xfId="1302" xr:uid="{00000000-0005-0000-0000-0000280A0000}"/>
    <cellStyle name="Comma 4 4 3 3" xfId="1303" xr:uid="{00000000-0005-0000-0000-0000290A0000}"/>
    <cellStyle name="Comma 4 4 3 3 2" xfId="1304" xr:uid="{00000000-0005-0000-0000-00002A0A0000}"/>
    <cellStyle name="Comma 4 4 3 3 2 2" xfId="1305" xr:uid="{00000000-0005-0000-0000-00002B0A0000}"/>
    <cellStyle name="Comma 4 4 3 3 3" xfId="1306" xr:uid="{00000000-0005-0000-0000-00002C0A0000}"/>
    <cellStyle name="Comma 4 4 3 3 3 2" xfId="1307" xr:uid="{00000000-0005-0000-0000-00002D0A0000}"/>
    <cellStyle name="Comma 4 4 3 3 4" xfId="1308" xr:uid="{00000000-0005-0000-0000-00002E0A0000}"/>
    <cellStyle name="Comma 4 4 3 4" xfId="1309" xr:uid="{00000000-0005-0000-0000-00002F0A0000}"/>
    <cellStyle name="Comma 4 4 3 4 2" xfId="1310" xr:uid="{00000000-0005-0000-0000-0000300A0000}"/>
    <cellStyle name="Comma 4 4 3 4 3" xfId="1311" xr:uid="{00000000-0005-0000-0000-0000310A0000}"/>
    <cellStyle name="Comma 4 4 3 5" xfId="1312" xr:uid="{00000000-0005-0000-0000-0000320A0000}"/>
    <cellStyle name="Comma 4 4 3 5 2" xfId="1313" xr:uid="{00000000-0005-0000-0000-0000330A0000}"/>
    <cellStyle name="Comma 4 4 3 6" xfId="1314" xr:uid="{00000000-0005-0000-0000-0000340A0000}"/>
    <cellStyle name="Comma 4 4 3 6 2" xfId="1315" xr:uid="{00000000-0005-0000-0000-0000350A0000}"/>
    <cellStyle name="Comma 4 4 3 7" xfId="1316" xr:uid="{00000000-0005-0000-0000-0000360A0000}"/>
    <cellStyle name="Comma 4 4 4" xfId="1317" xr:uid="{00000000-0005-0000-0000-0000370A0000}"/>
    <cellStyle name="Comma 4 4 4 2" xfId="1318" xr:uid="{00000000-0005-0000-0000-0000380A0000}"/>
    <cellStyle name="Comma 4 4 4 2 2" xfId="1319" xr:uid="{00000000-0005-0000-0000-0000390A0000}"/>
    <cellStyle name="Comma 4 4 4 2 2 2" xfId="1320" xr:uid="{00000000-0005-0000-0000-00003A0A0000}"/>
    <cellStyle name="Comma 4 4 4 2 3" xfId="1321" xr:uid="{00000000-0005-0000-0000-00003B0A0000}"/>
    <cellStyle name="Comma 4 4 4 2 3 2" xfId="1322" xr:uid="{00000000-0005-0000-0000-00003C0A0000}"/>
    <cellStyle name="Comma 4 4 4 2 4" xfId="1323" xr:uid="{00000000-0005-0000-0000-00003D0A0000}"/>
    <cellStyle name="Comma 4 4 4 3" xfId="1324" xr:uid="{00000000-0005-0000-0000-00003E0A0000}"/>
    <cellStyle name="Comma 4 4 4 3 2" xfId="1325" xr:uid="{00000000-0005-0000-0000-00003F0A0000}"/>
    <cellStyle name="Comma 4 4 4 3 3" xfId="1326" xr:uid="{00000000-0005-0000-0000-0000400A0000}"/>
    <cellStyle name="Comma 4 4 4 4" xfId="1327" xr:uid="{00000000-0005-0000-0000-0000410A0000}"/>
    <cellStyle name="Comma 4 4 4 4 2" xfId="1328" xr:uid="{00000000-0005-0000-0000-0000420A0000}"/>
    <cellStyle name="Comma 4 4 4 5" xfId="1329" xr:uid="{00000000-0005-0000-0000-0000430A0000}"/>
    <cellStyle name="Comma 4 4 4 5 2" xfId="1330" xr:uid="{00000000-0005-0000-0000-0000440A0000}"/>
    <cellStyle name="Comma 4 4 4 6" xfId="1331" xr:uid="{00000000-0005-0000-0000-0000450A0000}"/>
    <cellStyle name="Comma 4 4 5" xfId="1332" xr:uid="{00000000-0005-0000-0000-0000460A0000}"/>
    <cellStyle name="Comma 4 4 5 2" xfId="1333" xr:uid="{00000000-0005-0000-0000-0000470A0000}"/>
    <cellStyle name="Comma 4 4 5 2 2" xfId="1334" xr:uid="{00000000-0005-0000-0000-0000480A0000}"/>
    <cellStyle name="Comma 4 4 5 3" xfId="1335" xr:uid="{00000000-0005-0000-0000-0000490A0000}"/>
    <cellStyle name="Comma 4 4 5 3 2" xfId="1336" xr:uid="{00000000-0005-0000-0000-00004A0A0000}"/>
    <cellStyle name="Comma 4 4 5 4" xfId="1337" xr:uid="{00000000-0005-0000-0000-00004B0A0000}"/>
    <cellStyle name="Comma 4 4 6" xfId="1338" xr:uid="{00000000-0005-0000-0000-00004C0A0000}"/>
    <cellStyle name="Comma 4 4 6 2" xfId="1339" xr:uid="{00000000-0005-0000-0000-00004D0A0000}"/>
    <cellStyle name="Comma 4 4 6 2 2" xfId="1340" xr:uid="{00000000-0005-0000-0000-00004E0A0000}"/>
    <cellStyle name="Comma 4 4 6 3" xfId="1341" xr:uid="{00000000-0005-0000-0000-00004F0A0000}"/>
    <cellStyle name="Comma 4 4 6 3 2" xfId="1342" xr:uid="{00000000-0005-0000-0000-0000500A0000}"/>
    <cellStyle name="Comma 4 4 6 4" xfId="1343" xr:uid="{00000000-0005-0000-0000-0000510A0000}"/>
    <cellStyle name="Comma 4 4 7" xfId="1344" xr:uid="{00000000-0005-0000-0000-0000520A0000}"/>
    <cellStyle name="Comma 4 4 7 2" xfId="1345" xr:uid="{00000000-0005-0000-0000-0000530A0000}"/>
    <cellStyle name="Comma 4 4 7 3" xfId="1346" xr:uid="{00000000-0005-0000-0000-0000540A0000}"/>
    <cellStyle name="Comma 4 4 8" xfId="1347" xr:uid="{00000000-0005-0000-0000-0000550A0000}"/>
    <cellStyle name="Comma 4 4 8 2" xfId="1348" xr:uid="{00000000-0005-0000-0000-0000560A0000}"/>
    <cellStyle name="Comma 4 4 9" xfId="1349" xr:uid="{00000000-0005-0000-0000-0000570A0000}"/>
    <cellStyle name="Comma 4 4 9 2" xfId="1350" xr:uid="{00000000-0005-0000-0000-0000580A0000}"/>
    <cellStyle name="Comma 4 5" xfId="1351" xr:uid="{00000000-0005-0000-0000-0000590A0000}"/>
    <cellStyle name="Comma 4 5 2" xfId="1352" xr:uid="{00000000-0005-0000-0000-00005A0A0000}"/>
    <cellStyle name="Comma 4 5 2 2" xfId="1353" xr:uid="{00000000-0005-0000-0000-00005B0A0000}"/>
    <cellStyle name="Comma 4 5 2 2 2" xfId="1354" xr:uid="{00000000-0005-0000-0000-00005C0A0000}"/>
    <cellStyle name="Comma 4 5 2 2 2 2" xfId="1355" xr:uid="{00000000-0005-0000-0000-00005D0A0000}"/>
    <cellStyle name="Comma 4 5 2 2 2 3" xfId="1356" xr:uid="{00000000-0005-0000-0000-00005E0A0000}"/>
    <cellStyle name="Comma 4 5 2 2 3" xfId="1357" xr:uid="{00000000-0005-0000-0000-00005F0A0000}"/>
    <cellStyle name="Comma 4 5 2 2 3 2" xfId="1358" xr:uid="{00000000-0005-0000-0000-0000600A0000}"/>
    <cellStyle name="Comma 4 5 2 2 4" xfId="1359" xr:uid="{00000000-0005-0000-0000-0000610A0000}"/>
    <cellStyle name="Comma 4 5 2 2 4 2" xfId="1360" xr:uid="{00000000-0005-0000-0000-0000620A0000}"/>
    <cellStyle name="Comma 4 5 2 2 5" xfId="1361" xr:uid="{00000000-0005-0000-0000-0000630A0000}"/>
    <cellStyle name="Comma 4 5 2 3" xfId="1362" xr:uid="{00000000-0005-0000-0000-0000640A0000}"/>
    <cellStyle name="Comma 4 5 2 3 2" xfId="1363" xr:uid="{00000000-0005-0000-0000-0000650A0000}"/>
    <cellStyle name="Comma 4 5 2 3 2 2" xfId="1364" xr:uid="{00000000-0005-0000-0000-0000660A0000}"/>
    <cellStyle name="Comma 4 5 2 3 3" xfId="1365" xr:uid="{00000000-0005-0000-0000-0000670A0000}"/>
    <cellStyle name="Comma 4 5 2 3 3 2" xfId="1366" xr:uid="{00000000-0005-0000-0000-0000680A0000}"/>
    <cellStyle name="Comma 4 5 2 3 4" xfId="1367" xr:uid="{00000000-0005-0000-0000-0000690A0000}"/>
    <cellStyle name="Comma 4 5 2 4" xfId="1368" xr:uid="{00000000-0005-0000-0000-00006A0A0000}"/>
    <cellStyle name="Comma 4 5 2 4 2" xfId="1369" xr:uid="{00000000-0005-0000-0000-00006B0A0000}"/>
    <cellStyle name="Comma 4 5 2 4 3" xfId="1370" xr:uid="{00000000-0005-0000-0000-00006C0A0000}"/>
    <cellStyle name="Comma 4 5 2 5" xfId="1371" xr:uid="{00000000-0005-0000-0000-00006D0A0000}"/>
    <cellStyle name="Comma 4 5 2 5 2" xfId="1372" xr:uid="{00000000-0005-0000-0000-00006E0A0000}"/>
    <cellStyle name="Comma 4 5 2 6" xfId="1373" xr:uid="{00000000-0005-0000-0000-00006F0A0000}"/>
    <cellStyle name="Comma 4 5 2 6 2" xfId="1374" xr:uid="{00000000-0005-0000-0000-0000700A0000}"/>
    <cellStyle name="Comma 4 5 2 7" xfId="1375" xr:uid="{00000000-0005-0000-0000-0000710A0000}"/>
    <cellStyle name="Comma 4 5 3" xfId="1376" xr:uid="{00000000-0005-0000-0000-0000720A0000}"/>
    <cellStyle name="Comma 4 5 3 2" xfId="1377" xr:uid="{00000000-0005-0000-0000-0000730A0000}"/>
    <cellStyle name="Comma 4 5 3 2 2" xfId="1378" xr:uid="{00000000-0005-0000-0000-0000740A0000}"/>
    <cellStyle name="Comma 4 5 3 2 3" xfId="1379" xr:uid="{00000000-0005-0000-0000-0000750A0000}"/>
    <cellStyle name="Comma 4 5 3 3" xfId="1380" xr:uid="{00000000-0005-0000-0000-0000760A0000}"/>
    <cellStyle name="Comma 4 5 3 3 2" xfId="1381" xr:uid="{00000000-0005-0000-0000-0000770A0000}"/>
    <cellStyle name="Comma 4 5 3 4" xfId="1382" xr:uid="{00000000-0005-0000-0000-0000780A0000}"/>
    <cellStyle name="Comma 4 5 3 4 2" xfId="1383" xr:uid="{00000000-0005-0000-0000-0000790A0000}"/>
    <cellStyle name="Comma 4 5 3 5" xfId="1384" xr:uid="{00000000-0005-0000-0000-00007A0A0000}"/>
    <cellStyle name="Comma 4 5 4" xfId="1385" xr:uid="{00000000-0005-0000-0000-00007B0A0000}"/>
    <cellStyle name="Comma 4 5 4 2" xfId="1386" xr:uid="{00000000-0005-0000-0000-00007C0A0000}"/>
    <cellStyle name="Comma 4 5 4 2 2" xfId="1387" xr:uid="{00000000-0005-0000-0000-00007D0A0000}"/>
    <cellStyle name="Comma 4 5 4 3" xfId="1388" xr:uid="{00000000-0005-0000-0000-00007E0A0000}"/>
    <cellStyle name="Comma 4 5 4 3 2" xfId="1389" xr:uid="{00000000-0005-0000-0000-00007F0A0000}"/>
    <cellStyle name="Comma 4 5 4 4" xfId="1390" xr:uid="{00000000-0005-0000-0000-0000800A0000}"/>
    <cellStyle name="Comma 4 5 5" xfId="1391" xr:uid="{00000000-0005-0000-0000-0000810A0000}"/>
    <cellStyle name="Comma 4 5 5 2" xfId="1392" xr:uid="{00000000-0005-0000-0000-0000820A0000}"/>
    <cellStyle name="Comma 4 5 5 3" xfId="1393" xr:uid="{00000000-0005-0000-0000-0000830A0000}"/>
    <cellStyle name="Comma 4 5 6" xfId="1394" xr:uid="{00000000-0005-0000-0000-0000840A0000}"/>
    <cellStyle name="Comma 4 5 6 2" xfId="1395" xr:uid="{00000000-0005-0000-0000-0000850A0000}"/>
    <cellStyle name="Comma 4 5 7" xfId="1396" xr:uid="{00000000-0005-0000-0000-0000860A0000}"/>
    <cellStyle name="Comma 4 5 7 2" xfId="1397" xr:uid="{00000000-0005-0000-0000-0000870A0000}"/>
    <cellStyle name="Comma 4 5 8" xfId="1398" xr:uid="{00000000-0005-0000-0000-0000880A0000}"/>
    <cellStyle name="Comma 4 6" xfId="1399" xr:uid="{00000000-0005-0000-0000-0000890A0000}"/>
    <cellStyle name="Comma 4 6 2" xfId="1400" xr:uid="{00000000-0005-0000-0000-00008A0A0000}"/>
    <cellStyle name="Comma 4 6 2 2" xfId="1401" xr:uid="{00000000-0005-0000-0000-00008B0A0000}"/>
    <cellStyle name="Comma 4 6 2 2 2" xfId="1402" xr:uid="{00000000-0005-0000-0000-00008C0A0000}"/>
    <cellStyle name="Comma 4 6 2 2 3" xfId="1403" xr:uid="{00000000-0005-0000-0000-00008D0A0000}"/>
    <cellStyle name="Comma 4 6 2 3" xfId="1404" xr:uid="{00000000-0005-0000-0000-00008E0A0000}"/>
    <cellStyle name="Comma 4 6 2 3 2" xfId="1405" xr:uid="{00000000-0005-0000-0000-00008F0A0000}"/>
    <cellStyle name="Comma 4 6 2 4" xfId="1406" xr:uid="{00000000-0005-0000-0000-0000900A0000}"/>
    <cellStyle name="Comma 4 6 2 4 2" xfId="1407" xr:uid="{00000000-0005-0000-0000-0000910A0000}"/>
    <cellStyle name="Comma 4 6 2 5" xfId="1408" xr:uid="{00000000-0005-0000-0000-0000920A0000}"/>
    <cellStyle name="Comma 4 6 3" xfId="1409" xr:uid="{00000000-0005-0000-0000-0000930A0000}"/>
    <cellStyle name="Comma 4 6 3 2" xfId="1410" xr:uid="{00000000-0005-0000-0000-0000940A0000}"/>
    <cellStyle name="Comma 4 6 3 2 2" xfId="1411" xr:uid="{00000000-0005-0000-0000-0000950A0000}"/>
    <cellStyle name="Comma 4 6 3 3" xfId="1412" xr:uid="{00000000-0005-0000-0000-0000960A0000}"/>
    <cellStyle name="Comma 4 6 3 3 2" xfId="1413" xr:uid="{00000000-0005-0000-0000-0000970A0000}"/>
    <cellStyle name="Comma 4 6 3 4" xfId="1414" xr:uid="{00000000-0005-0000-0000-0000980A0000}"/>
    <cellStyle name="Comma 4 6 4" xfId="1415" xr:uid="{00000000-0005-0000-0000-0000990A0000}"/>
    <cellStyle name="Comma 4 6 4 2" xfId="1416" xr:uid="{00000000-0005-0000-0000-00009A0A0000}"/>
    <cellStyle name="Comma 4 6 4 3" xfId="1417" xr:uid="{00000000-0005-0000-0000-00009B0A0000}"/>
    <cellStyle name="Comma 4 6 5" xfId="1418" xr:uid="{00000000-0005-0000-0000-00009C0A0000}"/>
    <cellStyle name="Comma 4 6 5 2" xfId="1419" xr:uid="{00000000-0005-0000-0000-00009D0A0000}"/>
    <cellStyle name="Comma 4 6 6" xfId="1420" xr:uid="{00000000-0005-0000-0000-00009E0A0000}"/>
    <cellStyle name="Comma 4 6 6 2" xfId="1421" xr:uid="{00000000-0005-0000-0000-00009F0A0000}"/>
    <cellStyle name="Comma 4 6 7" xfId="1422" xr:uid="{00000000-0005-0000-0000-0000A00A0000}"/>
    <cellStyle name="Comma 4 7" xfId="1423" xr:uid="{00000000-0005-0000-0000-0000A10A0000}"/>
    <cellStyle name="Comma 4 7 2" xfId="1424" xr:uid="{00000000-0005-0000-0000-0000A20A0000}"/>
    <cellStyle name="Comma 4 7 2 2" xfId="1425" xr:uid="{00000000-0005-0000-0000-0000A30A0000}"/>
    <cellStyle name="Comma 4 7 2 2 2" xfId="1426" xr:uid="{00000000-0005-0000-0000-0000A40A0000}"/>
    <cellStyle name="Comma 4 7 2 2 3" xfId="1427" xr:uid="{00000000-0005-0000-0000-0000A50A0000}"/>
    <cellStyle name="Comma 4 7 2 3" xfId="1428" xr:uid="{00000000-0005-0000-0000-0000A60A0000}"/>
    <cellStyle name="Comma 4 7 2 3 2" xfId="1429" xr:uid="{00000000-0005-0000-0000-0000A70A0000}"/>
    <cellStyle name="Comma 4 7 2 4" xfId="1430" xr:uid="{00000000-0005-0000-0000-0000A80A0000}"/>
    <cellStyle name="Comma 4 7 2 4 2" xfId="1431" xr:uid="{00000000-0005-0000-0000-0000A90A0000}"/>
    <cellStyle name="Comma 4 7 2 5" xfId="1432" xr:uid="{00000000-0005-0000-0000-0000AA0A0000}"/>
    <cellStyle name="Comma 4 7 3" xfId="1433" xr:uid="{00000000-0005-0000-0000-0000AB0A0000}"/>
    <cellStyle name="Comma 4 7 3 2" xfId="1434" xr:uid="{00000000-0005-0000-0000-0000AC0A0000}"/>
    <cellStyle name="Comma 4 7 3 2 2" xfId="1435" xr:uid="{00000000-0005-0000-0000-0000AD0A0000}"/>
    <cellStyle name="Comma 4 7 3 3" xfId="1436" xr:uid="{00000000-0005-0000-0000-0000AE0A0000}"/>
    <cellStyle name="Comma 4 7 3 3 2" xfId="1437" xr:uid="{00000000-0005-0000-0000-0000AF0A0000}"/>
    <cellStyle name="Comma 4 7 3 4" xfId="1438" xr:uid="{00000000-0005-0000-0000-0000B00A0000}"/>
    <cellStyle name="Comma 4 7 4" xfId="1439" xr:uid="{00000000-0005-0000-0000-0000B10A0000}"/>
    <cellStyle name="Comma 4 7 4 2" xfId="1440" xr:uid="{00000000-0005-0000-0000-0000B20A0000}"/>
    <cellStyle name="Comma 4 7 4 3" xfId="1441" xr:uid="{00000000-0005-0000-0000-0000B30A0000}"/>
    <cellStyle name="Comma 4 7 5" xfId="1442" xr:uid="{00000000-0005-0000-0000-0000B40A0000}"/>
    <cellStyle name="Comma 4 7 5 2" xfId="1443" xr:uid="{00000000-0005-0000-0000-0000B50A0000}"/>
    <cellStyle name="Comma 4 7 6" xfId="1444" xr:uid="{00000000-0005-0000-0000-0000B60A0000}"/>
    <cellStyle name="Comma 4 7 6 2" xfId="1445" xr:uid="{00000000-0005-0000-0000-0000B70A0000}"/>
    <cellStyle name="Comma 4 7 7" xfId="1446" xr:uid="{00000000-0005-0000-0000-0000B80A0000}"/>
    <cellStyle name="Comma 4 8" xfId="1447" xr:uid="{00000000-0005-0000-0000-0000B90A0000}"/>
    <cellStyle name="Comma 4 8 2" xfId="1448" xr:uid="{00000000-0005-0000-0000-0000BA0A0000}"/>
    <cellStyle name="Comma 4 8 2 2" xfId="1449" xr:uid="{00000000-0005-0000-0000-0000BB0A0000}"/>
    <cellStyle name="Comma 4 8 2 2 2" xfId="1450" xr:uid="{00000000-0005-0000-0000-0000BC0A0000}"/>
    <cellStyle name="Comma 4 8 2 3" xfId="1451" xr:uid="{00000000-0005-0000-0000-0000BD0A0000}"/>
    <cellStyle name="Comma 4 8 2 3 2" xfId="1452" xr:uid="{00000000-0005-0000-0000-0000BE0A0000}"/>
    <cellStyle name="Comma 4 8 2 4" xfId="1453" xr:uid="{00000000-0005-0000-0000-0000BF0A0000}"/>
    <cellStyle name="Comma 4 8 3" xfId="1454" xr:uid="{00000000-0005-0000-0000-0000C00A0000}"/>
    <cellStyle name="Comma 4 8 3 2" xfId="1455" xr:uid="{00000000-0005-0000-0000-0000C10A0000}"/>
    <cellStyle name="Comma 4 8 3 3" xfId="1456" xr:uid="{00000000-0005-0000-0000-0000C20A0000}"/>
    <cellStyle name="Comma 4 8 4" xfId="1457" xr:uid="{00000000-0005-0000-0000-0000C30A0000}"/>
    <cellStyle name="Comma 4 8 4 2" xfId="1458" xr:uid="{00000000-0005-0000-0000-0000C40A0000}"/>
    <cellStyle name="Comma 4 8 5" xfId="1459" xr:uid="{00000000-0005-0000-0000-0000C50A0000}"/>
    <cellStyle name="Comma 4 8 5 2" xfId="1460" xr:uid="{00000000-0005-0000-0000-0000C60A0000}"/>
    <cellStyle name="Comma 4 8 6" xfId="1461" xr:uid="{00000000-0005-0000-0000-0000C70A0000}"/>
    <cellStyle name="Comma 4 9" xfId="1462" xr:uid="{00000000-0005-0000-0000-0000C80A0000}"/>
    <cellStyle name="Comma 4 9 2" xfId="1463" xr:uid="{00000000-0005-0000-0000-0000C90A0000}"/>
    <cellStyle name="Comma 4 9 2 2" xfId="1464" xr:uid="{00000000-0005-0000-0000-0000CA0A0000}"/>
    <cellStyle name="Comma 4 9 3" xfId="1465" xr:uid="{00000000-0005-0000-0000-0000CB0A0000}"/>
    <cellStyle name="Comma 4 9 3 2" xfId="1466" xr:uid="{00000000-0005-0000-0000-0000CC0A0000}"/>
    <cellStyle name="Comma 4 9 4" xfId="1467" xr:uid="{00000000-0005-0000-0000-0000CD0A0000}"/>
    <cellStyle name="Comma 40" xfId="18641" xr:uid="{00000000-0005-0000-0000-0000CE0A0000}"/>
    <cellStyle name="Comma 41" xfId="18642" xr:uid="{00000000-0005-0000-0000-0000CF0A0000}"/>
    <cellStyle name="Comma 42" xfId="18643" xr:uid="{00000000-0005-0000-0000-0000D00A0000}"/>
    <cellStyle name="Comma 43" xfId="18644" xr:uid="{00000000-0005-0000-0000-0000D10A0000}"/>
    <cellStyle name="Comma 44" xfId="18645" xr:uid="{00000000-0005-0000-0000-0000D20A0000}"/>
    <cellStyle name="Comma 45" xfId="18646" xr:uid="{00000000-0005-0000-0000-0000D30A0000}"/>
    <cellStyle name="Comma 46" xfId="18647" xr:uid="{00000000-0005-0000-0000-0000D40A0000}"/>
    <cellStyle name="Comma 47" xfId="18648" xr:uid="{00000000-0005-0000-0000-0000D50A0000}"/>
    <cellStyle name="Comma 48" xfId="18649" xr:uid="{00000000-0005-0000-0000-0000D60A0000}"/>
    <cellStyle name="Comma 49" xfId="18650" xr:uid="{00000000-0005-0000-0000-0000D70A0000}"/>
    <cellStyle name="Comma 5" xfId="1468" xr:uid="{00000000-0005-0000-0000-0000D80A0000}"/>
    <cellStyle name="Comma 5 2" xfId="11644" xr:uid="{00000000-0005-0000-0000-0000D90A0000}"/>
    <cellStyle name="Comma 5 2 2" xfId="11645" xr:uid="{00000000-0005-0000-0000-0000DA0A0000}"/>
    <cellStyle name="Comma 5 2 2 2" xfId="11646" xr:uid="{00000000-0005-0000-0000-0000DB0A0000}"/>
    <cellStyle name="Comma 5 2 2 2 2" xfId="11647" xr:uid="{00000000-0005-0000-0000-0000DC0A0000}"/>
    <cellStyle name="Comma 5 2 2 3" xfId="11648" xr:uid="{00000000-0005-0000-0000-0000DD0A0000}"/>
    <cellStyle name="Comma 5 2 2 4" xfId="11649" xr:uid="{00000000-0005-0000-0000-0000DE0A0000}"/>
    <cellStyle name="Comma 5 2 3" xfId="11650" xr:uid="{00000000-0005-0000-0000-0000DF0A0000}"/>
    <cellStyle name="Comma 5 2 3 2" xfId="11651" xr:uid="{00000000-0005-0000-0000-0000E00A0000}"/>
    <cellStyle name="Comma 5 2 4" xfId="11652" xr:uid="{00000000-0005-0000-0000-0000E10A0000}"/>
    <cellStyle name="Comma 5 2 5" xfId="11653" xr:uid="{00000000-0005-0000-0000-0000E20A0000}"/>
    <cellStyle name="Comma 5 3" xfId="11654" xr:uid="{00000000-0005-0000-0000-0000E30A0000}"/>
    <cellStyle name="Comma 5 3 2" xfId="11655" xr:uid="{00000000-0005-0000-0000-0000E40A0000}"/>
    <cellStyle name="Comma 5 3 2 2" xfId="11656" xr:uid="{00000000-0005-0000-0000-0000E50A0000}"/>
    <cellStyle name="Comma 5 3 3" xfId="11657" xr:uid="{00000000-0005-0000-0000-0000E60A0000}"/>
    <cellStyle name="Comma 5 3 4" xfId="11658" xr:uid="{00000000-0005-0000-0000-0000E70A0000}"/>
    <cellStyle name="Comma 5 4" xfId="11659" xr:uid="{00000000-0005-0000-0000-0000E80A0000}"/>
    <cellStyle name="Comma 5 4 2" xfId="11660" xr:uid="{00000000-0005-0000-0000-0000E90A0000}"/>
    <cellStyle name="Comma 5 4 2 2" xfId="11661" xr:uid="{00000000-0005-0000-0000-0000EA0A0000}"/>
    <cellStyle name="Comma 5 4 3" xfId="11662" xr:uid="{00000000-0005-0000-0000-0000EB0A0000}"/>
    <cellStyle name="Comma 5 4 4" xfId="11663" xr:uid="{00000000-0005-0000-0000-0000EC0A0000}"/>
    <cellStyle name="Comma 5 5" xfId="11664" xr:uid="{00000000-0005-0000-0000-0000ED0A0000}"/>
    <cellStyle name="Comma 5 5 2" xfId="11665" xr:uid="{00000000-0005-0000-0000-0000EE0A0000}"/>
    <cellStyle name="Comma 5 5 2 2" xfId="11666" xr:uid="{00000000-0005-0000-0000-0000EF0A0000}"/>
    <cellStyle name="Comma 5 5 3" xfId="11667" xr:uid="{00000000-0005-0000-0000-0000F00A0000}"/>
    <cellStyle name="Comma 5 5 4" xfId="11668" xr:uid="{00000000-0005-0000-0000-0000F10A0000}"/>
    <cellStyle name="Comma 5 6" xfId="11669" xr:uid="{00000000-0005-0000-0000-0000F20A0000}"/>
    <cellStyle name="Comma 5 6 2" xfId="11670" xr:uid="{00000000-0005-0000-0000-0000F30A0000}"/>
    <cellStyle name="Comma 5 7" xfId="11671" xr:uid="{00000000-0005-0000-0000-0000F40A0000}"/>
    <cellStyle name="Comma 5 8" xfId="11672" xr:uid="{00000000-0005-0000-0000-0000F50A0000}"/>
    <cellStyle name="Comma 5 9" xfId="17697" xr:uid="{00000000-0005-0000-0000-0000F60A0000}"/>
    <cellStyle name="Comma 50" xfId="18651" xr:uid="{00000000-0005-0000-0000-0000F70A0000}"/>
    <cellStyle name="Comma 51" xfId="18652" xr:uid="{00000000-0005-0000-0000-0000F80A0000}"/>
    <cellStyle name="Comma 52" xfId="18653" xr:uid="{00000000-0005-0000-0000-0000F90A0000}"/>
    <cellStyle name="Comma 53" xfId="18654" xr:uid="{00000000-0005-0000-0000-0000FA0A0000}"/>
    <cellStyle name="Comma 54" xfId="18655" xr:uid="{00000000-0005-0000-0000-0000FB0A0000}"/>
    <cellStyle name="Comma 55" xfId="18656" xr:uid="{00000000-0005-0000-0000-0000FC0A0000}"/>
    <cellStyle name="Comma 56" xfId="18657" xr:uid="{00000000-0005-0000-0000-0000FD0A0000}"/>
    <cellStyle name="Comma 57" xfId="18658" xr:uid="{00000000-0005-0000-0000-0000FE0A0000}"/>
    <cellStyle name="Comma 58" xfId="18659" xr:uid="{00000000-0005-0000-0000-0000FF0A0000}"/>
    <cellStyle name="Comma 59" xfId="18660" xr:uid="{00000000-0005-0000-0000-0000000B0000}"/>
    <cellStyle name="Comma 6" xfId="1469" xr:uid="{00000000-0005-0000-0000-0000010B0000}"/>
    <cellStyle name="Comma 6 2" xfId="11673" xr:uid="{00000000-0005-0000-0000-0000020B0000}"/>
    <cellStyle name="Comma 6 2 2" xfId="11674" xr:uid="{00000000-0005-0000-0000-0000030B0000}"/>
    <cellStyle name="Comma 6 2 3" xfId="18661" xr:uid="{00000000-0005-0000-0000-0000040B0000}"/>
    <cellStyle name="Comma 6 3" xfId="11675" xr:uid="{00000000-0005-0000-0000-0000050B0000}"/>
    <cellStyle name="Comma 6 3 2" xfId="11676" xr:uid="{00000000-0005-0000-0000-0000060B0000}"/>
    <cellStyle name="Comma 6 3 3" xfId="11677" xr:uid="{00000000-0005-0000-0000-0000070B0000}"/>
    <cellStyle name="Comma 6 4" xfId="11678" xr:uid="{00000000-0005-0000-0000-0000080B0000}"/>
    <cellStyle name="Comma 60" xfId="18662" xr:uid="{00000000-0005-0000-0000-0000090B0000}"/>
    <cellStyle name="Comma 61" xfId="18663" xr:uid="{00000000-0005-0000-0000-00000A0B0000}"/>
    <cellStyle name="Comma 62" xfId="18664" xr:uid="{00000000-0005-0000-0000-00000B0B0000}"/>
    <cellStyle name="Comma 63" xfId="18665" xr:uid="{00000000-0005-0000-0000-00000C0B0000}"/>
    <cellStyle name="Comma 64" xfId="18666" xr:uid="{00000000-0005-0000-0000-00000D0B0000}"/>
    <cellStyle name="Comma 65" xfId="18667" xr:uid="{00000000-0005-0000-0000-00000E0B0000}"/>
    <cellStyle name="Comma 66" xfId="18668" xr:uid="{00000000-0005-0000-0000-00000F0B0000}"/>
    <cellStyle name="Comma 67" xfId="18669" xr:uid="{00000000-0005-0000-0000-0000100B0000}"/>
    <cellStyle name="Comma 68" xfId="18670" xr:uid="{00000000-0005-0000-0000-0000110B0000}"/>
    <cellStyle name="Comma 69" xfId="18671" xr:uid="{00000000-0005-0000-0000-0000120B0000}"/>
    <cellStyle name="Comma 7" xfId="9301" xr:uid="{00000000-0005-0000-0000-0000130B0000}"/>
    <cellStyle name="Comma 7 10" xfId="18672" xr:uid="{00000000-0005-0000-0000-0000140B0000}"/>
    <cellStyle name="Comma 7 10 2" xfId="18673" xr:uid="{00000000-0005-0000-0000-0000150B0000}"/>
    <cellStyle name="Comma 7 10 2 2" xfId="18674" xr:uid="{00000000-0005-0000-0000-0000160B0000}"/>
    <cellStyle name="Comma 7 10 3" xfId="18675" xr:uid="{00000000-0005-0000-0000-0000170B0000}"/>
    <cellStyle name="Comma 7 10 3 2" xfId="18676" xr:uid="{00000000-0005-0000-0000-0000180B0000}"/>
    <cellStyle name="Comma 7 10 4" xfId="18677" xr:uid="{00000000-0005-0000-0000-0000190B0000}"/>
    <cellStyle name="Comma 7 10 4 2" xfId="18678" xr:uid="{00000000-0005-0000-0000-00001A0B0000}"/>
    <cellStyle name="Comma 7 10 5" xfId="18679" xr:uid="{00000000-0005-0000-0000-00001B0B0000}"/>
    <cellStyle name="Comma 7 10 6" xfId="18680" xr:uid="{00000000-0005-0000-0000-00001C0B0000}"/>
    <cellStyle name="Comma 7 11" xfId="18681" xr:uid="{00000000-0005-0000-0000-00001D0B0000}"/>
    <cellStyle name="Comma 7 11 2" xfId="18682" xr:uid="{00000000-0005-0000-0000-00001E0B0000}"/>
    <cellStyle name="Comma 7 11 2 2" xfId="18683" xr:uid="{00000000-0005-0000-0000-00001F0B0000}"/>
    <cellStyle name="Comma 7 11 3" xfId="18684" xr:uid="{00000000-0005-0000-0000-0000200B0000}"/>
    <cellStyle name="Comma 7 11 3 2" xfId="18685" xr:uid="{00000000-0005-0000-0000-0000210B0000}"/>
    <cellStyle name="Comma 7 11 4" xfId="18686" xr:uid="{00000000-0005-0000-0000-0000220B0000}"/>
    <cellStyle name="Comma 7 11 5" xfId="18687" xr:uid="{00000000-0005-0000-0000-0000230B0000}"/>
    <cellStyle name="Comma 7 12" xfId="18688" xr:uid="{00000000-0005-0000-0000-0000240B0000}"/>
    <cellStyle name="Comma 7 12 2" xfId="18689" xr:uid="{00000000-0005-0000-0000-0000250B0000}"/>
    <cellStyle name="Comma 7 13" xfId="18690" xr:uid="{00000000-0005-0000-0000-0000260B0000}"/>
    <cellStyle name="Comma 7 13 2" xfId="18691" xr:uid="{00000000-0005-0000-0000-0000270B0000}"/>
    <cellStyle name="Comma 7 14" xfId="18692" xr:uid="{00000000-0005-0000-0000-0000280B0000}"/>
    <cellStyle name="Comma 7 14 2" xfId="18693" xr:uid="{00000000-0005-0000-0000-0000290B0000}"/>
    <cellStyle name="Comma 7 15" xfId="18694" xr:uid="{00000000-0005-0000-0000-00002A0B0000}"/>
    <cellStyle name="Comma 7 16" xfId="18695" xr:uid="{00000000-0005-0000-0000-00002B0B0000}"/>
    <cellStyle name="Comma 7 17" xfId="18696" xr:uid="{00000000-0005-0000-0000-00002C0B0000}"/>
    <cellStyle name="Comma 7 2" xfId="11680" xr:uid="{00000000-0005-0000-0000-00002D0B0000}"/>
    <cellStyle name="Comma 7 2 10" xfId="18698" xr:uid="{00000000-0005-0000-0000-00002E0B0000}"/>
    <cellStyle name="Comma 7 2 10 2" xfId="18699" xr:uid="{00000000-0005-0000-0000-00002F0B0000}"/>
    <cellStyle name="Comma 7 2 11" xfId="18700" xr:uid="{00000000-0005-0000-0000-0000300B0000}"/>
    <cellStyle name="Comma 7 2 11 2" xfId="18701" xr:uid="{00000000-0005-0000-0000-0000310B0000}"/>
    <cellStyle name="Comma 7 2 12" xfId="18702" xr:uid="{00000000-0005-0000-0000-0000320B0000}"/>
    <cellStyle name="Comma 7 2 13" xfId="18703" xr:uid="{00000000-0005-0000-0000-0000330B0000}"/>
    <cellStyle name="Comma 7 2 14" xfId="18697" xr:uid="{00000000-0005-0000-0000-0000340B0000}"/>
    <cellStyle name="Comma 7 2 2" xfId="11681" xr:uid="{00000000-0005-0000-0000-0000350B0000}"/>
    <cellStyle name="Comma 7 2 2 10" xfId="18705" xr:uid="{00000000-0005-0000-0000-0000360B0000}"/>
    <cellStyle name="Comma 7 2 2 11" xfId="18706" xr:uid="{00000000-0005-0000-0000-0000370B0000}"/>
    <cellStyle name="Comma 7 2 2 12" xfId="18704" xr:uid="{00000000-0005-0000-0000-0000380B0000}"/>
    <cellStyle name="Comma 7 2 2 2" xfId="18707" xr:uid="{00000000-0005-0000-0000-0000390B0000}"/>
    <cellStyle name="Comma 7 2 2 2 2" xfId="18708" xr:uid="{00000000-0005-0000-0000-00003A0B0000}"/>
    <cellStyle name="Comma 7 2 2 2 2 2" xfId="18709" xr:uid="{00000000-0005-0000-0000-00003B0B0000}"/>
    <cellStyle name="Comma 7 2 2 2 3" xfId="18710" xr:uid="{00000000-0005-0000-0000-00003C0B0000}"/>
    <cellStyle name="Comma 7 2 2 2 3 2" xfId="18711" xr:uid="{00000000-0005-0000-0000-00003D0B0000}"/>
    <cellStyle name="Comma 7 2 2 2 4" xfId="18712" xr:uid="{00000000-0005-0000-0000-00003E0B0000}"/>
    <cellStyle name="Comma 7 2 2 2 4 2" xfId="18713" xr:uid="{00000000-0005-0000-0000-00003F0B0000}"/>
    <cellStyle name="Comma 7 2 2 2 5" xfId="18714" xr:uid="{00000000-0005-0000-0000-0000400B0000}"/>
    <cellStyle name="Comma 7 2 2 2 6" xfId="18715" xr:uid="{00000000-0005-0000-0000-0000410B0000}"/>
    <cellStyle name="Comma 7 2 2 3" xfId="18716" xr:uid="{00000000-0005-0000-0000-0000420B0000}"/>
    <cellStyle name="Comma 7 2 2 3 2" xfId="18717" xr:uid="{00000000-0005-0000-0000-0000430B0000}"/>
    <cellStyle name="Comma 7 2 2 3 2 2" xfId="18718" xr:uid="{00000000-0005-0000-0000-0000440B0000}"/>
    <cellStyle name="Comma 7 2 2 3 3" xfId="18719" xr:uid="{00000000-0005-0000-0000-0000450B0000}"/>
    <cellStyle name="Comma 7 2 2 3 3 2" xfId="18720" xr:uid="{00000000-0005-0000-0000-0000460B0000}"/>
    <cellStyle name="Comma 7 2 2 3 4" xfId="18721" xr:uid="{00000000-0005-0000-0000-0000470B0000}"/>
    <cellStyle name="Comma 7 2 2 3 4 2" xfId="18722" xr:uid="{00000000-0005-0000-0000-0000480B0000}"/>
    <cellStyle name="Comma 7 2 2 3 5" xfId="18723" xr:uid="{00000000-0005-0000-0000-0000490B0000}"/>
    <cellStyle name="Comma 7 2 2 3 6" xfId="18724" xr:uid="{00000000-0005-0000-0000-00004A0B0000}"/>
    <cellStyle name="Comma 7 2 2 4" xfId="18725" xr:uid="{00000000-0005-0000-0000-00004B0B0000}"/>
    <cellStyle name="Comma 7 2 2 4 2" xfId="18726" xr:uid="{00000000-0005-0000-0000-00004C0B0000}"/>
    <cellStyle name="Comma 7 2 2 4 2 2" xfId="18727" xr:uid="{00000000-0005-0000-0000-00004D0B0000}"/>
    <cellStyle name="Comma 7 2 2 4 3" xfId="18728" xr:uid="{00000000-0005-0000-0000-00004E0B0000}"/>
    <cellStyle name="Comma 7 2 2 4 3 2" xfId="18729" xr:uid="{00000000-0005-0000-0000-00004F0B0000}"/>
    <cellStyle name="Comma 7 2 2 4 4" xfId="18730" xr:uid="{00000000-0005-0000-0000-0000500B0000}"/>
    <cellStyle name="Comma 7 2 2 4 4 2" xfId="18731" xr:uid="{00000000-0005-0000-0000-0000510B0000}"/>
    <cellStyle name="Comma 7 2 2 4 5" xfId="18732" xr:uid="{00000000-0005-0000-0000-0000520B0000}"/>
    <cellStyle name="Comma 7 2 2 4 6" xfId="18733" xr:uid="{00000000-0005-0000-0000-0000530B0000}"/>
    <cellStyle name="Comma 7 2 2 5" xfId="18734" xr:uid="{00000000-0005-0000-0000-0000540B0000}"/>
    <cellStyle name="Comma 7 2 2 5 2" xfId="18735" xr:uid="{00000000-0005-0000-0000-0000550B0000}"/>
    <cellStyle name="Comma 7 2 2 5 2 2" xfId="18736" xr:uid="{00000000-0005-0000-0000-0000560B0000}"/>
    <cellStyle name="Comma 7 2 2 5 3" xfId="18737" xr:uid="{00000000-0005-0000-0000-0000570B0000}"/>
    <cellStyle name="Comma 7 2 2 5 3 2" xfId="18738" xr:uid="{00000000-0005-0000-0000-0000580B0000}"/>
    <cellStyle name="Comma 7 2 2 5 4" xfId="18739" xr:uid="{00000000-0005-0000-0000-0000590B0000}"/>
    <cellStyle name="Comma 7 2 2 5 4 2" xfId="18740" xr:uid="{00000000-0005-0000-0000-00005A0B0000}"/>
    <cellStyle name="Comma 7 2 2 5 5" xfId="18741" xr:uid="{00000000-0005-0000-0000-00005B0B0000}"/>
    <cellStyle name="Comma 7 2 2 5 6" xfId="18742" xr:uid="{00000000-0005-0000-0000-00005C0B0000}"/>
    <cellStyle name="Comma 7 2 2 6" xfId="18743" xr:uid="{00000000-0005-0000-0000-00005D0B0000}"/>
    <cellStyle name="Comma 7 2 2 6 2" xfId="18744" xr:uid="{00000000-0005-0000-0000-00005E0B0000}"/>
    <cellStyle name="Comma 7 2 2 6 2 2" xfId="18745" xr:uid="{00000000-0005-0000-0000-00005F0B0000}"/>
    <cellStyle name="Comma 7 2 2 6 3" xfId="18746" xr:uid="{00000000-0005-0000-0000-0000600B0000}"/>
    <cellStyle name="Comma 7 2 2 6 3 2" xfId="18747" xr:uid="{00000000-0005-0000-0000-0000610B0000}"/>
    <cellStyle name="Comma 7 2 2 6 4" xfId="18748" xr:uid="{00000000-0005-0000-0000-0000620B0000}"/>
    <cellStyle name="Comma 7 2 2 6 5" xfId="18749" xr:uid="{00000000-0005-0000-0000-0000630B0000}"/>
    <cellStyle name="Comma 7 2 2 7" xfId="18750" xr:uid="{00000000-0005-0000-0000-0000640B0000}"/>
    <cellStyle name="Comma 7 2 2 7 2" xfId="18751" xr:uid="{00000000-0005-0000-0000-0000650B0000}"/>
    <cellStyle name="Comma 7 2 2 8" xfId="18752" xr:uid="{00000000-0005-0000-0000-0000660B0000}"/>
    <cellStyle name="Comma 7 2 2 8 2" xfId="18753" xr:uid="{00000000-0005-0000-0000-0000670B0000}"/>
    <cellStyle name="Comma 7 2 2 9" xfId="18754" xr:uid="{00000000-0005-0000-0000-0000680B0000}"/>
    <cellStyle name="Comma 7 2 2 9 2" xfId="18755" xr:uid="{00000000-0005-0000-0000-0000690B0000}"/>
    <cellStyle name="Comma 7 2 3" xfId="18756" xr:uid="{00000000-0005-0000-0000-00006A0B0000}"/>
    <cellStyle name="Comma 7 2 3 10" xfId="18757" xr:uid="{00000000-0005-0000-0000-00006B0B0000}"/>
    <cellStyle name="Comma 7 2 3 2" xfId="18758" xr:uid="{00000000-0005-0000-0000-00006C0B0000}"/>
    <cellStyle name="Comma 7 2 3 2 2" xfId="18759" xr:uid="{00000000-0005-0000-0000-00006D0B0000}"/>
    <cellStyle name="Comma 7 2 3 2 2 2" xfId="18760" xr:uid="{00000000-0005-0000-0000-00006E0B0000}"/>
    <cellStyle name="Comma 7 2 3 2 3" xfId="18761" xr:uid="{00000000-0005-0000-0000-00006F0B0000}"/>
    <cellStyle name="Comma 7 2 3 2 3 2" xfId="18762" xr:uid="{00000000-0005-0000-0000-0000700B0000}"/>
    <cellStyle name="Comma 7 2 3 2 4" xfId="18763" xr:uid="{00000000-0005-0000-0000-0000710B0000}"/>
    <cellStyle name="Comma 7 2 3 2 4 2" xfId="18764" xr:uid="{00000000-0005-0000-0000-0000720B0000}"/>
    <cellStyle name="Comma 7 2 3 2 5" xfId="18765" xr:uid="{00000000-0005-0000-0000-0000730B0000}"/>
    <cellStyle name="Comma 7 2 3 2 6" xfId="18766" xr:uid="{00000000-0005-0000-0000-0000740B0000}"/>
    <cellStyle name="Comma 7 2 3 3" xfId="18767" xr:uid="{00000000-0005-0000-0000-0000750B0000}"/>
    <cellStyle name="Comma 7 2 3 3 2" xfId="18768" xr:uid="{00000000-0005-0000-0000-0000760B0000}"/>
    <cellStyle name="Comma 7 2 3 3 2 2" xfId="18769" xr:uid="{00000000-0005-0000-0000-0000770B0000}"/>
    <cellStyle name="Comma 7 2 3 3 3" xfId="18770" xr:uid="{00000000-0005-0000-0000-0000780B0000}"/>
    <cellStyle name="Comma 7 2 3 3 3 2" xfId="18771" xr:uid="{00000000-0005-0000-0000-0000790B0000}"/>
    <cellStyle name="Comma 7 2 3 3 4" xfId="18772" xr:uid="{00000000-0005-0000-0000-00007A0B0000}"/>
    <cellStyle name="Comma 7 2 3 3 4 2" xfId="18773" xr:uid="{00000000-0005-0000-0000-00007B0B0000}"/>
    <cellStyle name="Comma 7 2 3 3 5" xfId="18774" xr:uid="{00000000-0005-0000-0000-00007C0B0000}"/>
    <cellStyle name="Comma 7 2 3 3 6" xfId="18775" xr:uid="{00000000-0005-0000-0000-00007D0B0000}"/>
    <cellStyle name="Comma 7 2 3 4" xfId="18776" xr:uid="{00000000-0005-0000-0000-00007E0B0000}"/>
    <cellStyle name="Comma 7 2 3 4 2" xfId="18777" xr:uid="{00000000-0005-0000-0000-00007F0B0000}"/>
    <cellStyle name="Comma 7 2 3 4 2 2" xfId="18778" xr:uid="{00000000-0005-0000-0000-0000800B0000}"/>
    <cellStyle name="Comma 7 2 3 4 3" xfId="18779" xr:uid="{00000000-0005-0000-0000-0000810B0000}"/>
    <cellStyle name="Comma 7 2 3 4 3 2" xfId="18780" xr:uid="{00000000-0005-0000-0000-0000820B0000}"/>
    <cellStyle name="Comma 7 2 3 4 4" xfId="18781" xr:uid="{00000000-0005-0000-0000-0000830B0000}"/>
    <cellStyle name="Comma 7 2 3 4 4 2" xfId="18782" xr:uid="{00000000-0005-0000-0000-0000840B0000}"/>
    <cellStyle name="Comma 7 2 3 4 5" xfId="18783" xr:uid="{00000000-0005-0000-0000-0000850B0000}"/>
    <cellStyle name="Comma 7 2 3 4 6" xfId="18784" xr:uid="{00000000-0005-0000-0000-0000860B0000}"/>
    <cellStyle name="Comma 7 2 3 5" xfId="18785" xr:uid="{00000000-0005-0000-0000-0000870B0000}"/>
    <cellStyle name="Comma 7 2 3 5 2" xfId="18786" xr:uid="{00000000-0005-0000-0000-0000880B0000}"/>
    <cellStyle name="Comma 7 2 3 5 2 2" xfId="18787" xr:uid="{00000000-0005-0000-0000-0000890B0000}"/>
    <cellStyle name="Comma 7 2 3 5 3" xfId="18788" xr:uid="{00000000-0005-0000-0000-00008A0B0000}"/>
    <cellStyle name="Comma 7 2 3 5 3 2" xfId="18789" xr:uid="{00000000-0005-0000-0000-00008B0B0000}"/>
    <cellStyle name="Comma 7 2 3 5 4" xfId="18790" xr:uid="{00000000-0005-0000-0000-00008C0B0000}"/>
    <cellStyle name="Comma 7 2 3 5 5" xfId="18791" xr:uid="{00000000-0005-0000-0000-00008D0B0000}"/>
    <cellStyle name="Comma 7 2 3 6" xfId="18792" xr:uid="{00000000-0005-0000-0000-00008E0B0000}"/>
    <cellStyle name="Comma 7 2 3 6 2" xfId="18793" xr:uid="{00000000-0005-0000-0000-00008F0B0000}"/>
    <cellStyle name="Comma 7 2 3 7" xfId="18794" xr:uid="{00000000-0005-0000-0000-0000900B0000}"/>
    <cellStyle name="Comma 7 2 3 7 2" xfId="18795" xr:uid="{00000000-0005-0000-0000-0000910B0000}"/>
    <cellStyle name="Comma 7 2 3 8" xfId="18796" xr:uid="{00000000-0005-0000-0000-0000920B0000}"/>
    <cellStyle name="Comma 7 2 3 8 2" xfId="18797" xr:uid="{00000000-0005-0000-0000-0000930B0000}"/>
    <cellStyle name="Comma 7 2 3 9" xfId="18798" xr:uid="{00000000-0005-0000-0000-0000940B0000}"/>
    <cellStyle name="Comma 7 2 4" xfId="18799" xr:uid="{00000000-0005-0000-0000-0000950B0000}"/>
    <cellStyle name="Comma 7 2 4 10" xfId="18800" xr:uid="{00000000-0005-0000-0000-0000960B0000}"/>
    <cellStyle name="Comma 7 2 4 2" xfId="18801" xr:uid="{00000000-0005-0000-0000-0000970B0000}"/>
    <cellStyle name="Comma 7 2 4 2 2" xfId="18802" xr:uid="{00000000-0005-0000-0000-0000980B0000}"/>
    <cellStyle name="Comma 7 2 4 2 2 2" xfId="18803" xr:uid="{00000000-0005-0000-0000-0000990B0000}"/>
    <cellStyle name="Comma 7 2 4 2 3" xfId="18804" xr:uid="{00000000-0005-0000-0000-00009A0B0000}"/>
    <cellStyle name="Comma 7 2 4 2 3 2" xfId="18805" xr:uid="{00000000-0005-0000-0000-00009B0B0000}"/>
    <cellStyle name="Comma 7 2 4 2 4" xfId="18806" xr:uid="{00000000-0005-0000-0000-00009C0B0000}"/>
    <cellStyle name="Comma 7 2 4 2 4 2" xfId="18807" xr:uid="{00000000-0005-0000-0000-00009D0B0000}"/>
    <cellStyle name="Comma 7 2 4 2 5" xfId="18808" xr:uid="{00000000-0005-0000-0000-00009E0B0000}"/>
    <cellStyle name="Comma 7 2 4 2 6" xfId="18809" xr:uid="{00000000-0005-0000-0000-00009F0B0000}"/>
    <cellStyle name="Comma 7 2 4 3" xfId="18810" xr:uid="{00000000-0005-0000-0000-0000A00B0000}"/>
    <cellStyle name="Comma 7 2 4 3 2" xfId="18811" xr:uid="{00000000-0005-0000-0000-0000A10B0000}"/>
    <cellStyle name="Comma 7 2 4 3 2 2" xfId="18812" xr:uid="{00000000-0005-0000-0000-0000A20B0000}"/>
    <cellStyle name="Comma 7 2 4 3 3" xfId="18813" xr:uid="{00000000-0005-0000-0000-0000A30B0000}"/>
    <cellStyle name="Comma 7 2 4 3 3 2" xfId="18814" xr:uid="{00000000-0005-0000-0000-0000A40B0000}"/>
    <cellStyle name="Comma 7 2 4 3 4" xfId="18815" xr:uid="{00000000-0005-0000-0000-0000A50B0000}"/>
    <cellStyle name="Comma 7 2 4 3 4 2" xfId="18816" xr:uid="{00000000-0005-0000-0000-0000A60B0000}"/>
    <cellStyle name="Comma 7 2 4 3 5" xfId="18817" xr:uid="{00000000-0005-0000-0000-0000A70B0000}"/>
    <cellStyle name="Comma 7 2 4 3 6" xfId="18818" xr:uid="{00000000-0005-0000-0000-0000A80B0000}"/>
    <cellStyle name="Comma 7 2 4 4" xfId="18819" xr:uid="{00000000-0005-0000-0000-0000A90B0000}"/>
    <cellStyle name="Comma 7 2 4 4 2" xfId="18820" xr:uid="{00000000-0005-0000-0000-0000AA0B0000}"/>
    <cellStyle name="Comma 7 2 4 4 2 2" xfId="18821" xr:uid="{00000000-0005-0000-0000-0000AB0B0000}"/>
    <cellStyle name="Comma 7 2 4 4 3" xfId="18822" xr:uid="{00000000-0005-0000-0000-0000AC0B0000}"/>
    <cellStyle name="Comma 7 2 4 4 3 2" xfId="18823" xr:uid="{00000000-0005-0000-0000-0000AD0B0000}"/>
    <cellStyle name="Comma 7 2 4 4 4" xfId="18824" xr:uid="{00000000-0005-0000-0000-0000AE0B0000}"/>
    <cellStyle name="Comma 7 2 4 4 4 2" xfId="18825" xr:uid="{00000000-0005-0000-0000-0000AF0B0000}"/>
    <cellStyle name="Comma 7 2 4 4 5" xfId="18826" xr:uid="{00000000-0005-0000-0000-0000B00B0000}"/>
    <cellStyle name="Comma 7 2 4 4 6" xfId="18827" xr:uid="{00000000-0005-0000-0000-0000B10B0000}"/>
    <cellStyle name="Comma 7 2 4 5" xfId="18828" xr:uid="{00000000-0005-0000-0000-0000B20B0000}"/>
    <cellStyle name="Comma 7 2 4 5 2" xfId="18829" xr:uid="{00000000-0005-0000-0000-0000B30B0000}"/>
    <cellStyle name="Comma 7 2 4 5 2 2" xfId="18830" xr:uid="{00000000-0005-0000-0000-0000B40B0000}"/>
    <cellStyle name="Comma 7 2 4 5 3" xfId="18831" xr:uid="{00000000-0005-0000-0000-0000B50B0000}"/>
    <cellStyle name="Comma 7 2 4 5 3 2" xfId="18832" xr:uid="{00000000-0005-0000-0000-0000B60B0000}"/>
    <cellStyle name="Comma 7 2 4 5 4" xfId="18833" xr:uid="{00000000-0005-0000-0000-0000B70B0000}"/>
    <cellStyle name="Comma 7 2 4 5 5" xfId="18834" xr:uid="{00000000-0005-0000-0000-0000B80B0000}"/>
    <cellStyle name="Comma 7 2 4 6" xfId="18835" xr:uid="{00000000-0005-0000-0000-0000B90B0000}"/>
    <cellStyle name="Comma 7 2 4 6 2" xfId="18836" xr:uid="{00000000-0005-0000-0000-0000BA0B0000}"/>
    <cellStyle name="Comma 7 2 4 7" xfId="18837" xr:uid="{00000000-0005-0000-0000-0000BB0B0000}"/>
    <cellStyle name="Comma 7 2 4 7 2" xfId="18838" xr:uid="{00000000-0005-0000-0000-0000BC0B0000}"/>
    <cellStyle name="Comma 7 2 4 8" xfId="18839" xr:uid="{00000000-0005-0000-0000-0000BD0B0000}"/>
    <cellStyle name="Comma 7 2 4 8 2" xfId="18840" xr:uid="{00000000-0005-0000-0000-0000BE0B0000}"/>
    <cellStyle name="Comma 7 2 4 9" xfId="18841" xr:uid="{00000000-0005-0000-0000-0000BF0B0000}"/>
    <cellStyle name="Comma 7 2 5" xfId="18842" xr:uid="{00000000-0005-0000-0000-0000C00B0000}"/>
    <cellStyle name="Comma 7 2 5 2" xfId="18843" xr:uid="{00000000-0005-0000-0000-0000C10B0000}"/>
    <cellStyle name="Comma 7 2 5 2 2" xfId="18844" xr:uid="{00000000-0005-0000-0000-0000C20B0000}"/>
    <cellStyle name="Comma 7 2 5 3" xfId="18845" xr:uid="{00000000-0005-0000-0000-0000C30B0000}"/>
    <cellStyle name="Comma 7 2 5 3 2" xfId="18846" xr:uid="{00000000-0005-0000-0000-0000C40B0000}"/>
    <cellStyle name="Comma 7 2 5 4" xfId="18847" xr:uid="{00000000-0005-0000-0000-0000C50B0000}"/>
    <cellStyle name="Comma 7 2 5 4 2" xfId="18848" xr:uid="{00000000-0005-0000-0000-0000C60B0000}"/>
    <cellStyle name="Comma 7 2 5 5" xfId="18849" xr:uid="{00000000-0005-0000-0000-0000C70B0000}"/>
    <cellStyle name="Comma 7 2 5 6" xfId="18850" xr:uid="{00000000-0005-0000-0000-0000C80B0000}"/>
    <cellStyle name="Comma 7 2 6" xfId="18851" xr:uid="{00000000-0005-0000-0000-0000C90B0000}"/>
    <cellStyle name="Comma 7 2 6 2" xfId="18852" xr:uid="{00000000-0005-0000-0000-0000CA0B0000}"/>
    <cellStyle name="Comma 7 2 6 2 2" xfId="18853" xr:uid="{00000000-0005-0000-0000-0000CB0B0000}"/>
    <cellStyle name="Comma 7 2 6 3" xfId="18854" xr:uid="{00000000-0005-0000-0000-0000CC0B0000}"/>
    <cellStyle name="Comma 7 2 6 3 2" xfId="18855" xr:uid="{00000000-0005-0000-0000-0000CD0B0000}"/>
    <cellStyle name="Comma 7 2 6 4" xfId="18856" xr:uid="{00000000-0005-0000-0000-0000CE0B0000}"/>
    <cellStyle name="Comma 7 2 6 4 2" xfId="18857" xr:uid="{00000000-0005-0000-0000-0000CF0B0000}"/>
    <cellStyle name="Comma 7 2 6 5" xfId="18858" xr:uid="{00000000-0005-0000-0000-0000D00B0000}"/>
    <cellStyle name="Comma 7 2 6 6" xfId="18859" xr:uid="{00000000-0005-0000-0000-0000D10B0000}"/>
    <cellStyle name="Comma 7 2 7" xfId="18860" xr:uid="{00000000-0005-0000-0000-0000D20B0000}"/>
    <cellStyle name="Comma 7 2 7 2" xfId="18861" xr:uid="{00000000-0005-0000-0000-0000D30B0000}"/>
    <cellStyle name="Comma 7 2 7 2 2" xfId="18862" xr:uid="{00000000-0005-0000-0000-0000D40B0000}"/>
    <cellStyle name="Comma 7 2 7 3" xfId="18863" xr:uid="{00000000-0005-0000-0000-0000D50B0000}"/>
    <cellStyle name="Comma 7 2 7 3 2" xfId="18864" xr:uid="{00000000-0005-0000-0000-0000D60B0000}"/>
    <cellStyle name="Comma 7 2 7 4" xfId="18865" xr:uid="{00000000-0005-0000-0000-0000D70B0000}"/>
    <cellStyle name="Comma 7 2 7 4 2" xfId="18866" xr:uid="{00000000-0005-0000-0000-0000D80B0000}"/>
    <cellStyle name="Comma 7 2 7 5" xfId="18867" xr:uid="{00000000-0005-0000-0000-0000D90B0000}"/>
    <cellStyle name="Comma 7 2 7 6" xfId="18868" xr:uid="{00000000-0005-0000-0000-0000DA0B0000}"/>
    <cellStyle name="Comma 7 2 8" xfId="18869" xr:uid="{00000000-0005-0000-0000-0000DB0B0000}"/>
    <cellStyle name="Comma 7 2 8 2" xfId="18870" xr:uid="{00000000-0005-0000-0000-0000DC0B0000}"/>
    <cellStyle name="Comma 7 2 8 2 2" xfId="18871" xr:uid="{00000000-0005-0000-0000-0000DD0B0000}"/>
    <cellStyle name="Comma 7 2 8 3" xfId="18872" xr:uid="{00000000-0005-0000-0000-0000DE0B0000}"/>
    <cellStyle name="Comma 7 2 8 3 2" xfId="18873" xr:uid="{00000000-0005-0000-0000-0000DF0B0000}"/>
    <cellStyle name="Comma 7 2 8 4" xfId="18874" xr:uid="{00000000-0005-0000-0000-0000E00B0000}"/>
    <cellStyle name="Comma 7 2 8 5" xfId="18875" xr:uid="{00000000-0005-0000-0000-0000E10B0000}"/>
    <cellStyle name="Comma 7 2 9" xfId="18876" xr:uid="{00000000-0005-0000-0000-0000E20B0000}"/>
    <cellStyle name="Comma 7 2 9 2" xfId="18877" xr:uid="{00000000-0005-0000-0000-0000E30B0000}"/>
    <cellStyle name="Comma 7 3" xfId="11682" xr:uid="{00000000-0005-0000-0000-0000E40B0000}"/>
    <cellStyle name="Comma 7 3 10" xfId="18879" xr:uid="{00000000-0005-0000-0000-0000E50B0000}"/>
    <cellStyle name="Comma 7 3 10 2" xfId="18880" xr:uid="{00000000-0005-0000-0000-0000E60B0000}"/>
    <cellStyle name="Comma 7 3 11" xfId="18881" xr:uid="{00000000-0005-0000-0000-0000E70B0000}"/>
    <cellStyle name="Comma 7 3 11 2" xfId="18882" xr:uid="{00000000-0005-0000-0000-0000E80B0000}"/>
    <cellStyle name="Comma 7 3 12" xfId="18883" xr:uid="{00000000-0005-0000-0000-0000E90B0000}"/>
    <cellStyle name="Comma 7 3 13" xfId="18884" xr:uid="{00000000-0005-0000-0000-0000EA0B0000}"/>
    <cellStyle name="Comma 7 3 14" xfId="18878" xr:uid="{00000000-0005-0000-0000-0000EB0B0000}"/>
    <cellStyle name="Comma 7 3 2" xfId="11683" xr:uid="{00000000-0005-0000-0000-0000EC0B0000}"/>
    <cellStyle name="Comma 7 3 2 10" xfId="18886" xr:uid="{00000000-0005-0000-0000-0000ED0B0000}"/>
    <cellStyle name="Comma 7 3 2 11" xfId="18887" xr:uid="{00000000-0005-0000-0000-0000EE0B0000}"/>
    <cellStyle name="Comma 7 3 2 12" xfId="18885" xr:uid="{00000000-0005-0000-0000-0000EF0B0000}"/>
    <cellStyle name="Comma 7 3 2 2" xfId="18888" xr:uid="{00000000-0005-0000-0000-0000F00B0000}"/>
    <cellStyle name="Comma 7 3 2 2 2" xfId="18889" xr:uid="{00000000-0005-0000-0000-0000F10B0000}"/>
    <cellStyle name="Comma 7 3 2 2 2 2" xfId="18890" xr:uid="{00000000-0005-0000-0000-0000F20B0000}"/>
    <cellStyle name="Comma 7 3 2 2 3" xfId="18891" xr:uid="{00000000-0005-0000-0000-0000F30B0000}"/>
    <cellStyle name="Comma 7 3 2 2 3 2" xfId="18892" xr:uid="{00000000-0005-0000-0000-0000F40B0000}"/>
    <cellStyle name="Comma 7 3 2 2 4" xfId="18893" xr:uid="{00000000-0005-0000-0000-0000F50B0000}"/>
    <cellStyle name="Comma 7 3 2 2 4 2" xfId="18894" xr:uid="{00000000-0005-0000-0000-0000F60B0000}"/>
    <cellStyle name="Comma 7 3 2 2 5" xfId="18895" xr:uid="{00000000-0005-0000-0000-0000F70B0000}"/>
    <cellStyle name="Comma 7 3 2 2 6" xfId="18896" xr:uid="{00000000-0005-0000-0000-0000F80B0000}"/>
    <cellStyle name="Comma 7 3 2 3" xfId="18897" xr:uid="{00000000-0005-0000-0000-0000F90B0000}"/>
    <cellStyle name="Comma 7 3 2 3 2" xfId="18898" xr:uid="{00000000-0005-0000-0000-0000FA0B0000}"/>
    <cellStyle name="Comma 7 3 2 3 2 2" xfId="18899" xr:uid="{00000000-0005-0000-0000-0000FB0B0000}"/>
    <cellStyle name="Comma 7 3 2 3 3" xfId="18900" xr:uid="{00000000-0005-0000-0000-0000FC0B0000}"/>
    <cellStyle name="Comma 7 3 2 3 3 2" xfId="18901" xr:uid="{00000000-0005-0000-0000-0000FD0B0000}"/>
    <cellStyle name="Comma 7 3 2 3 4" xfId="18902" xr:uid="{00000000-0005-0000-0000-0000FE0B0000}"/>
    <cellStyle name="Comma 7 3 2 3 4 2" xfId="18903" xr:uid="{00000000-0005-0000-0000-0000FF0B0000}"/>
    <cellStyle name="Comma 7 3 2 3 5" xfId="18904" xr:uid="{00000000-0005-0000-0000-0000000C0000}"/>
    <cellStyle name="Comma 7 3 2 3 6" xfId="18905" xr:uid="{00000000-0005-0000-0000-0000010C0000}"/>
    <cellStyle name="Comma 7 3 2 4" xfId="18906" xr:uid="{00000000-0005-0000-0000-0000020C0000}"/>
    <cellStyle name="Comma 7 3 2 4 2" xfId="18907" xr:uid="{00000000-0005-0000-0000-0000030C0000}"/>
    <cellStyle name="Comma 7 3 2 4 2 2" xfId="18908" xr:uid="{00000000-0005-0000-0000-0000040C0000}"/>
    <cellStyle name="Comma 7 3 2 4 3" xfId="18909" xr:uid="{00000000-0005-0000-0000-0000050C0000}"/>
    <cellStyle name="Comma 7 3 2 4 3 2" xfId="18910" xr:uid="{00000000-0005-0000-0000-0000060C0000}"/>
    <cellStyle name="Comma 7 3 2 4 4" xfId="18911" xr:uid="{00000000-0005-0000-0000-0000070C0000}"/>
    <cellStyle name="Comma 7 3 2 4 4 2" xfId="18912" xr:uid="{00000000-0005-0000-0000-0000080C0000}"/>
    <cellStyle name="Comma 7 3 2 4 5" xfId="18913" xr:uid="{00000000-0005-0000-0000-0000090C0000}"/>
    <cellStyle name="Comma 7 3 2 4 6" xfId="18914" xr:uid="{00000000-0005-0000-0000-00000A0C0000}"/>
    <cellStyle name="Comma 7 3 2 5" xfId="18915" xr:uid="{00000000-0005-0000-0000-00000B0C0000}"/>
    <cellStyle name="Comma 7 3 2 5 2" xfId="18916" xr:uid="{00000000-0005-0000-0000-00000C0C0000}"/>
    <cellStyle name="Comma 7 3 2 5 2 2" xfId="18917" xr:uid="{00000000-0005-0000-0000-00000D0C0000}"/>
    <cellStyle name="Comma 7 3 2 5 3" xfId="18918" xr:uid="{00000000-0005-0000-0000-00000E0C0000}"/>
    <cellStyle name="Comma 7 3 2 5 3 2" xfId="18919" xr:uid="{00000000-0005-0000-0000-00000F0C0000}"/>
    <cellStyle name="Comma 7 3 2 5 4" xfId="18920" xr:uid="{00000000-0005-0000-0000-0000100C0000}"/>
    <cellStyle name="Comma 7 3 2 5 4 2" xfId="18921" xr:uid="{00000000-0005-0000-0000-0000110C0000}"/>
    <cellStyle name="Comma 7 3 2 5 5" xfId="18922" xr:uid="{00000000-0005-0000-0000-0000120C0000}"/>
    <cellStyle name="Comma 7 3 2 5 6" xfId="18923" xr:uid="{00000000-0005-0000-0000-0000130C0000}"/>
    <cellStyle name="Comma 7 3 2 6" xfId="18924" xr:uid="{00000000-0005-0000-0000-0000140C0000}"/>
    <cellStyle name="Comma 7 3 2 6 2" xfId="18925" xr:uid="{00000000-0005-0000-0000-0000150C0000}"/>
    <cellStyle name="Comma 7 3 2 6 2 2" xfId="18926" xr:uid="{00000000-0005-0000-0000-0000160C0000}"/>
    <cellStyle name="Comma 7 3 2 6 3" xfId="18927" xr:uid="{00000000-0005-0000-0000-0000170C0000}"/>
    <cellStyle name="Comma 7 3 2 6 3 2" xfId="18928" xr:uid="{00000000-0005-0000-0000-0000180C0000}"/>
    <cellStyle name="Comma 7 3 2 6 4" xfId="18929" xr:uid="{00000000-0005-0000-0000-0000190C0000}"/>
    <cellStyle name="Comma 7 3 2 6 5" xfId="18930" xr:uid="{00000000-0005-0000-0000-00001A0C0000}"/>
    <cellStyle name="Comma 7 3 2 7" xfId="18931" xr:uid="{00000000-0005-0000-0000-00001B0C0000}"/>
    <cellStyle name="Comma 7 3 2 7 2" xfId="18932" xr:uid="{00000000-0005-0000-0000-00001C0C0000}"/>
    <cellStyle name="Comma 7 3 2 8" xfId="18933" xr:uid="{00000000-0005-0000-0000-00001D0C0000}"/>
    <cellStyle name="Comma 7 3 2 8 2" xfId="18934" xr:uid="{00000000-0005-0000-0000-00001E0C0000}"/>
    <cellStyle name="Comma 7 3 2 9" xfId="18935" xr:uid="{00000000-0005-0000-0000-00001F0C0000}"/>
    <cellStyle name="Comma 7 3 2 9 2" xfId="18936" xr:uid="{00000000-0005-0000-0000-0000200C0000}"/>
    <cellStyle name="Comma 7 3 3" xfId="18937" xr:uid="{00000000-0005-0000-0000-0000210C0000}"/>
    <cellStyle name="Comma 7 3 3 10" xfId="18938" xr:uid="{00000000-0005-0000-0000-0000220C0000}"/>
    <cellStyle name="Comma 7 3 3 2" xfId="18939" xr:uid="{00000000-0005-0000-0000-0000230C0000}"/>
    <cellStyle name="Comma 7 3 3 2 2" xfId="18940" xr:uid="{00000000-0005-0000-0000-0000240C0000}"/>
    <cellStyle name="Comma 7 3 3 2 2 2" xfId="18941" xr:uid="{00000000-0005-0000-0000-0000250C0000}"/>
    <cellStyle name="Comma 7 3 3 2 3" xfId="18942" xr:uid="{00000000-0005-0000-0000-0000260C0000}"/>
    <cellStyle name="Comma 7 3 3 2 3 2" xfId="18943" xr:uid="{00000000-0005-0000-0000-0000270C0000}"/>
    <cellStyle name="Comma 7 3 3 2 4" xfId="18944" xr:uid="{00000000-0005-0000-0000-0000280C0000}"/>
    <cellStyle name="Comma 7 3 3 2 4 2" xfId="18945" xr:uid="{00000000-0005-0000-0000-0000290C0000}"/>
    <cellStyle name="Comma 7 3 3 2 5" xfId="18946" xr:uid="{00000000-0005-0000-0000-00002A0C0000}"/>
    <cellStyle name="Comma 7 3 3 2 6" xfId="18947" xr:uid="{00000000-0005-0000-0000-00002B0C0000}"/>
    <cellStyle name="Comma 7 3 3 3" xfId="18948" xr:uid="{00000000-0005-0000-0000-00002C0C0000}"/>
    <cellStyle name="Comma 7 3 3 3 2" xfId="18949" xr:uid="{00000000-0005-0000-0000-00002D0C0000}"/>
    <cellStyle name="Comma 7 3 3 3 2 2" xfId="18950" xr:uid="{00000000-0005-0000-0000-00002E0C0000}"/>
    <cellStyle name="Comma 7 3 3 3 3" xfId="18951" xr:uid="{00000000-0005-0000-0000-00002F0C0000}"/>
    <cellStyle name="Comma 7 3 3 3 3 2" xfId="18952" xr:uid="{00000000-0005-0000-0000-0000300C0000}"/>
    <cellStyle name="Comma 7 3 3 3 4" xfId="18953" xr:uid="{00000000-0005-0000-0000-0000310C0000}"/>
    <cellStyle name="Comma 7 3 3 3 4 2" xfId="18954" xr:uid="{00000000-0005-0000-0000-0000320C0000}"/>
    <cellStyle name="Comma 7 3 3 3 5" xfId="18955" xr:uid="{00000000-0005-0000-0000-0000330C0000}"/>
    <cellStyle name="Comma 7 3 3 3 6" xfId="18956" xr:uid="{00000000-0005-0000-0000-0000340C0000}"/>
    <cellStyle name="Comma 7 3 3 4" xfId="18957" xr:uid="{00000000-0005-0000-0000-0000350C0000}"/>
    <cellStyle name="Comma 7 3 3 4 2" xfId="18958" xr:uid="{00000000-0005-0000-0000-0000360C0000}"/>
    <cellStyle name="Comma 7 3 3 4 2 2" xfId="18959" xr:uid="{00000000-0005-0000-0000-0000370C0000}"/>
    <cellStyle name="Comma 7 3 3 4 3" xfId="18960" xr:uid="{00000000-0005-0000-0000-0000380C0000}"/>
    <cellStyle name="Comma 7 3 3 4 3 2" xfId="18961" xr:uid="{00000000-0005-0000-0000-0000390C0000}"/>
    <cellStyle name="Comma 7 3 3 4 4" xfId="18962" xr:uid="{00000000-0005-0000-0000-00003A0C0000}"/>
    <cellStyle name="Comma 7 3 3 4 4 2" xfId="18963" xr:uid="{00000000-0005-0000-0000-00003B0C0000}"/>
    <cellStyle name="Comma 7 3 3 4 5" xfId="18964" xr:uid="{00000000-0005-0000-0000-00003C0C0000}"/>
    <cellStyle name="Comma 7 3 3 4 6" xfId="18965" xr:uid="{00000000-0005-0000-0000-00003D0C0000}"/>
    <cellStyle name="Comma 7 3 3 5" xfId="18966" xr:uid="{00000000-0005-0000-0000-00003E0C0000}"/>
    <cellStyle name="Comma 7 3 3 5 2" xfId="18967" xr:uid="{00000000-0005-0000-0000-00003F0C0000}"/>
    <cellStyle name="Comma 7 3 3 5 2 2" xfId="18968" xr:uid="{00000000-0005-0000-0000-0000400C0000}"/>
    <cellStyle name="Comma 7 3 3 5 3" xfId="18969" xr:uid="{00000000-0005-0000-0000-0000410C0000}"/>
    <cellStyle name="Comma 7 3 3 5 3 2" xfId="18970" xr:uid="{00000000-0005-0000-0000-0000420C0000}"/>
    <cellStyle name="Comma 7 3 3 5 4" xfId="18971" xr:uid="{00000000-0005-0000-0000-0000430C0000}"/>
    <cellStyle name="Comma 7 3 3 5 5" xfId="18972" xr:uid="{00000000-0005-0000-0000-0000440C0000}"/>
    <cellStyle name="Comma 7 3 3 6" xfId="18973" xr:uid="{00000000-0005-0000-0000-0000450C0000}"/>
    <cellStyle name="Comma 7 3 3 6 2" xfId="18974" xr:uid="{00000000-0005-0000-0000-0000460C0000}"/>
    <cellStyle name="Comma 7 3 3 7" xfId="18975" xr:uid="{00000000-0005-0000-0000-0000470C0000}"/>
    <cellStyle name="Comma 7 3 3 7 2" xfId="18976" xr:uid="{00000000-0005-0000-0000-0000480C0000}"/>
    <cellStyle name="Comma 7 3 3 8" xfId="18977" xr:uid="{00000000-0005-0000-0000-0000490C0000}"/>
    <cellStyle name="Comma 7 3 3 8 2" xfId="18978" xr:uid="{00000000-0005-0000-0000-00004A0C0000}"/>
    <cellStyle name="Comma 7 3 3 9" xfId="18979" xr:uid="{00000000-0005-0000-0000-00004B0C0000}"/>
    <cellStyle name="Comma 7 3 4" xfId="18980" xr:uid="{00000000-0005-0000-0000-00004C0C0000}"/>
    <cellStyle name="Comma 7 3 4 10" xfId="18981" xr:uid="{00000000-0005-0000-0000-00004D0C0000}"/>
    <cellStyle name="Comma 7 3 4 2" xfId="18982" xr:uid="{00000000-0005-0000-0000-00004E0C0000}"/>
    <cellStyle name="Comma 7 3 4 2 2" xfId="18983" xr:uid="{00000000-0005-0000-0000-00004F0C0000}"/>
    <cellStyle name="Comma 7 3 4 2 2 2" xfId="18984" xr:uid="{00000000-0005-0000-0000-0000500C0000}"/>
    <cellStyle name="Comma 7 3 4 2 3" xfId="18985" xr:uid="{00000000-0005-0000-0000-0000510C0000}"/>
    <cellStyle name="Comma 7 3 4 2 3 2" xfId="18986" xr:uid="{00000000-0005-0000-0000-0000520C0000}"/>
    <cellStyle name="Comma 7 3 4 2 4" xfId="18987" xr:uid="{00000000-0005-0000-0000-0000530C0000}"/>
    <cellStyle name="Comma 7 3 4 2 4 2" xfId="18988" xr:uid="{00000000-0005-0000-0000-0000540C0000}"/>
    <cellStyle name="Comma 7 3 4 2 5" xfId="18989" xr:uid="{00000000-0005-0000-0000-0000550C0000}"/>
    <cellStyle name="Comma 7 3 4 2 6" xfId="18990" xr:uid="{00000000-0005-0000-0000-0000560C0000}"/>
    <cellStyle name="Comma 7 3 4 3" xfId="18991" xr:uid="{00000000-0005-0000-0000-0000570C0000}"/>
    <cellStyle name="Comma 7 3 4 3 2" xfId="18992" xr:uid="{00000000-0005-0000-0000-0000580C0000}"/>
    <cellStyle name="Comma 7 3 4 3 2 2" xfId="18993" xr:uid="{00000000-0005-0000-0000-0000590C0000}"/>
    <cellStyle name="Comma 7 3 4 3 3" xfId="18994" xr:uid="{00000000-0005-0000-0000-00005A0C0000}"/>
    <cellStyle name="Comma 7 3 4 3 3 2" xfId="18995" xr:uid="{00000000-0005-0000-0000-00005B0C0000}"/>
    <cellStyle name="Comma 7 3 4 3 4" xfId="18996" xr:uid="{00000000-0005-0000-0000-00005C0C0000}"/>
    <cellStyle name="Comma 7 3 4 3 4 2" xfId="18997" xr:uid="{00000000-0005-0000-0000-00005D0C0000}"/>
    <cellStyle name="Comma 7 3 4 3 5" xfId="18998" xr:uid="{00000000-0005-0000-0000-00005E0C0000}"/>
    <cellStyle name="Comma 7 3 4 3 6" xfId="18999" xr:uid="{00000000-0005-0000-0000-00005F0C0000}"/>
    <cellStyle name="Comma 7 3 4 4" xfId="19000" xr:uid="{00000000-0005-0000-0000-0000600C0000}"/>
    <cellStyle name="Comma 7 3 4 4 2" xfId="19001" xr:uid="{00000000-0005-0000-0000-0000610C0000}"/>
    <cellStyle name="Comma 7 3 4 4 2 2" xfId="19002" xr:uid="{00000000-0005-0000-0000-0000620C0000}"/>
    <cellStyle name="Comma 7 3 4 4 3" xfId="19003" xr:uid="{00000000-0005-0000-0000-0000630C0000}"/>
    <cellStyle name="Comma 7 3 4 4 3 2" xfId="19004" xr:uid="{00000000-0005-0000-0000-0000640C0000}"/>
    <cellStyle name="Comma 7 3 4 4 4" xfId="19005" xr:uid="{00000000-0005-0000-0000-0000650C0000}"/>
    <cellStyle name="Comma 7 3 4 4 4 2" xfId="19006" xr:uid="{00000000-0005-0000-0000-0000660C0000}"/>
    <cellStyle name="Comma 7 3 4 4 5" xfId="19007" xr:uid="{00000000-0005-0000-0000-0000670C0000}"/>
    <cellStyle name="Comma 7 3 4 4 6" xfId="19008" xr:uid="{00000000-0005-0000-0000-0000680C0000}"/>
    <cellStyle name="Comma 7 3 4 5" xfId="19009" xr:uid="{00000000-0005-0000-0000-0000690C0000}"/>
    <cellStyle name="Comma 7 3 4 5 2" xfId="19010" xr:uid="{00000000-0005-0000-0000-00006A0C0000}"/>
    <cellStyle name="Comma 7 3 4 5 2 2" xfId="19011" xr:uid="{00000000-0005-0000-0000-00006B0C0000}"/>
    <cellStyle name="Comma 7 3 4 5 3" xfId="19012" xr:uid="{00000000-0005-0000-0000-00006C0C0000}"/>
    <cellStyle name="Comma 7 3 4 5 3 2" xfId="19013" xr:uid="{00000000-0005-0000-0000-00006D0C0000}"/>
    <cellStyle name="Comma 7 3 4 5 4" xfId="19014" xr:uid="{00000000-0005-0000-0000-00006E0C0000}"/>
    <cellStyle name="Comma 7 3 4 5 5" xfId="19015" xr:uid="{00000000-0005-0000-0000-00006F0C0000}"/>
    <cellStyle name="Comma 7 3 4 6" xfId="19016" xr:uid="{00000000-0005-0000-0000-0000700C0000}"/>
    <cellStyle name="Comma 7 3 4 6 2" xfId="19017" xr:uid="{00000000-0005-0000-0000-0000710C0000}"/>
    <cellStyle name="Comma 7 3 4 7" xfId="19018" xr:uid="{00000000-0005-0000-0000-0000720C0000}"/>
    <cellStyle name="Comma 7 3 4 7 2" xfId="19019" xr:uid="{00000000-0005-0000-0000-0000730C0000}"/>
    <cellStyle name="Comma 7 3 4 8" xfId="19020" xr:uid="{00000000-0005-0000-0000-0000740C0000}"/>
    <cellStyle name="Comma 7 3 4 8 2" xfId="19021" xr:uid="{00000000-0005-0000-0000-0000750C0000}"/>
    <cellStyle name="Comma 7 3 4 9" xfId="19022" xr:uid="{00000000-0005-0000-0000-0000760C0000}"/>
    <cellStyle name="Comma 7 3 5" xfId="19023" xr:uid="{00000000-0005-0000-0000-0000770C0000}"/>
    <cellStyle name="Comma 7 3 5 2" xfId="19024" xr:uid="{00000000-0005-0000-0000-0000780C0000}"/>
    <cellStyle name="Comma 7 3 5 2 2" xfId="19025" xr:uid="{00000000-0005-0000-0000-0000790C0000}"/>
    <cellStyle name="Comma 7 3 5 3" xfId="19026" xr:uid="{00000000-0005-0000-0000-00007A0C0000}"/>
    <cellStyle name="Comma 7 3 5 3 2" xfId="19027" xr:uid="{00000000-0005-0000-0000-00007B0C0000}"/>
    <cellStyle name="Comma 7 3 5 4" xfId="19028" xr:uid="{00000000-0005-0000-0000-00007C0C0000}"/>
    <cellStyle name="Comma 7 3 5 4 2" xfId="19029" xr:uid="{00000000-0005-0000-0000-00007D0C0000}"/>
    <cellStyle name="Comma 7 3 5 5" xfId="19030" xr:uid="{00000000-0005-0000-0000-00007E0C0000}"/>
    <cellStyle name="Comma 7 3 5 6" xfId="19031" xr:uid="{00000000-0005-0000-0000-00007F0C0000}"/>
    <cellStyle name="Comma 7 3 6" xfId="19032" xr:uid="{00000000-0005-0000-0000-0000800C0000}"/>
    <cellStyle name="Comma 7 3 6 2" xfId="19033" xr:uid="{00000000-0005-0000-0000-0000810C0000}"/>
    <cellStyle name="Comma 7 3 6 2 2" xfId="19034" xr:uid="{00000000-0005-0000-0000-0000820C0000}"/>
    <cellStyle name="Comma 7 3 6 3" xfId="19035" xr:uid="{00000000-0005-0000-0000-0000830C0000}"/>
    <cellStyle name="Comma 7 3 6 3 2" xfId="19036" xr:uid="{00000000-0005-0000-0000-0000840C0000}"/>
    <cellStyle name="Comma 7 3 6 4" xfId="19037" xr:uid="{00000000-0005-0000-0000-0000850C0000}"/>
    <cellStyle name="Comma 7 3 6 4 2" xfId="19038" xr:uid="{00000000-0005-0000-0000-0000860C0000}"/>
    <cellStyle name="Comma 7 3 6 5" xfId="19039" xr:uid="{00000000-0005-0000-0000-0000870C0000}"/>
    <cellStyle name="Comma 7 3 6 6" xfId="19040" xr:uid="{00000000-0005-0000-0000-0000880C0000}"/>
    <cellStyle name="Comma 7 3 7" xfId="19041" xr:uid="{00000000-0005-0000-0000-0000890C0000}"/>
    <cellStyle name="Comma 7 3 7 2" xfId="19042" xr:uid="{00000000-0005-0000-0000-00008A0C0000}"/>
    <cellStyle name="Comma 7 3 7 2 2" xfId="19043" xr:uid="{00000000-0005-0000-0000-00008B0C0000}"/>
    <cellStyle name="Comma 7 3 7 3" xfId="19044" xr:uid="{00000000-0005-0000-0000-00008C0C0000}"/>
    <cellStyle name="Comma 7 3 7 3 2" xfId="19045" xr:uid="{00000000-0005-0000-0000-00008D0C0000}"/>
    <cellStyle name="Comma 7 3 7 4" xfId="19046" xr:uid="{00000000-0005-0000-0000-00008E0C0000}"/>
    <cellStyle name="Comma 7 3 7 4 2" xfId="19047" xr:uid="{00000000-0005-0000-0000-00008F0C0000}"/>
    <cellStyle name="Comma 7 3 7 5" xfId="19048" xr:uid="{00000000-0005-0000-0000-0000900C0000}"/>
    <cellStyle name="Comma 7 3 7 6" xfId="19049" xr:uid="{00000000-0005-0000-0000-0000910C0000}"/>
    <cellStyle name="Comma 7 3 8" xfId="19050" xr:uid="{00000000-0005-0000-0000-0000920C0000}"/>
    <cellStyle name="Comma 7 3 8 2" xfId="19051" xr:uid="{00000000-0005-0000-0000-0000930C0000}"/>
    <cellStyle name="Comma 7 3 8 2 2" xfId="19052" xr:uid="{00000000-0005-0000-0000-0000940C0000}"/>
    <cellStyle name="Comma 7 3 8 3" xfId="19053" xr:uid="{00000000-0005-0000-0000-0000950C0000}"/>
    <cellStyle name="Comma 7 3 8 3 2" xfId="19054" xr:uid="{00000000-0005-0000-0000-0000960C0000}"/>
    <cellStyle name="Comma 7 3 8 4" xfId="19055" xr:uid="{00000000-0005-0000-0000-0000970C0000}"/>
    <cellStyle name="Comma 7 3 8 5" xfId="19056" xr:uid="{00000000-0005-0000-0000-0000980C0000}"/>
    <cellStyle name="Comma 7 3 9" xfId="19057" xr:uid="{00000000-0005-0000-0000-0000990C0000}"/>
    <cellStyle name="Comma 7 3 9 2" xfId="19058" xr:uid="{00000000-0005-0000-0000-00009A0C0000}"/>
    <cellStyle name="Comma 7 4" xfId="11679" xr:uid="{00000000-0005-0000-0000-00009B0C0000}"/>
    <cellStyle name="Comma 7 4 10" xfId="19060" xr:uid="{00000000-0005-0000-0000-00009C0C0000}"/>
    <cellStyle name="Comma 7 4 10 2" xfId="19061" xr:uid="{00000000-0005-0000-0000-00009D0C0000}"/>
    <cellStyle name="Comma 7 4 11" xfId="19062" xr:uid="{00000000-0005-0000-0000-00009E0C0000}"/>
    <cellStyle name="Comma 7 4 12" xfId="19063" xr:uid="{00000000-0005-0000-0000-00009F0C0000}"/>
    <cellStyle name="Comma 7 4 13" xfId="19059" xr:uid="{00000000-0005-0000-0000-0000A00C0000}"/>
    <cellStyle name="Comma 7 4 2" xfId="19064" xr:uid="{00000000-0005-0000-0000-0000A10C0000}"/>
    <cellStyle name="Comma 7 4 2 10" xfId="19065" xr:uid="{00000000-0005-0000-0000-0000A20C0000}"/>
    <cellStyle name="Comma 7 4 2 2" xfId="19066" xr:uid="{00000000-0005-0000-0000-0000A30C0000}"/>
    <cellStyle name="Comma 7 4 2 2 2" xfId="19067" xr:uid="{00000000-0005-0000-0000-0000A40C0000}"/>
    <cellStyle name="Comma 7 4 2 2 2 2" xfId="19068" xr:uid="{00000000-0005-0000-0000-0000A50C0000}"/>
    <cellStyle name="Comma 7 4 2 2 3" xfId="19069" xr:uid="{00000000-0005-0000-0000-0000A60C0000}"/>
    <cellStyle name="Comma 7 4 2 2 3 2" xfId="19070" xr:uid="{00000000-0005-0000-0000-0000A70C0000}"/>
    <cellStyle name="Comma 7 4 2 2 4" xfId="19071" xr:uid="{00000000-0005-0000-0000-0000A80C0000}"/>
    <cellStyle name="Comma 7 4 2 2 4 2" xfId="19072" xr:uid="{00000000-0005-0000-0000-0000A90C0000}"/>
    <cellStyle name="Comma 7 4 2 2 5" xfId="19073" xr:uid="{00000000-0005-0000-0000-0000AA0C0000}"/>
    <cellStyle name="Comma 7 4 2 2 6" xfId="19074" xr:uid="{00000000-0005-0000-0000-0000AB0C0000}"/>
    <cellStyle name="Comma 7 4 2 3" xfId="19075" xr:uid="{00000000-0005-0000-0000-0000AC0C0000}"/>
    <cellStyle name="Comma 7 4 2 3 2" xfId="19076" xr:uid="{00000000-0005-0000-0000-0000AD0C0000}"/>
    <cellStyle name="Comma 7 4 2 3 2 2" xfId="19077" xr:uid="{00000000-0005-0000-0000-0000AE0C0000}"/>
    <cellStyle name="Comma 7 4 2 3 3" xfId="19078" xr:uid="{00000000-0005-0000-0000-0000AF0C0000}"/>
    <cellStyle name="Comma 7 4 2 3 3 2" xfId="19079" xr:uid="{00000000-0005-0000-0000-0000B00C0000}"/>
    <cellStyle name="Comma 7 4 2 3 4" xfId="19080" xr:uid="{00000000-0005-0000-0000-0000B10C0000}"/>
    <cellStyle name="Comma 7 4 2 3 4 2" xfId="19081" xr:uid="{00000000-0005-0000-0000-0000B20C0000}"/>
    <cellStyle name="Comma 7 4 2 3 5" xfId="19082" xr:uid="{00000000-0005-0000-0000-0000B30C0000}"/>
    <cellStyle name="Comma 7 4 2 3 6" xfId="19083" xr:uid="{00000000-0005-0000-0000-0000B40C0000}"/>
    <cellStyle name="Comma 7 4 2 4" xfId="19084" xr:uid="{00000000-0005-0000-0000-0000B50C0000}"/>
    <cellStyle name="Comma 7 4 2 4 2" xfId="19085" xr:uid="{00000000-0005-0000-0000-0000B60C0000}"/>
    <cellStyle name="Comma 7 4 2 4 2 2" xfId="19086" xr:uid="{00000000-0005-0000-0000-0000B70C0000}"/>
    <cellStyle name="Comma 7 4 2 4 3" xfId="19087" xr:uid="{00000000-0005-0000-0000-0000B80C0000}"/>
    <cellStyle name="Comma 7 4 2 4 3 2" xfId="19088" xr:uid="{00000000-0005-0000-0000-0000B90C0000}"/>
    <cellStyle name="Comma 7 4 2 4 4" xfId="19089" xr:uid="{00000000-0005-0000-0000-0000BA0C0000}"/>
    <cellStyle name="Comma 7 4 2 4 4 2" xfId="19090" xr:uid="{00000000-0005-0000-0000-0000BB0C0000}"/>
    <cellStyle name="Comma 7 4 2 4 5" xfId="19091" xr:uid="{00000000-0005-0000-0000-0000BC0C0000}"/>
    <cellStyle name="Comma 7 4 2 4 6" xfId="19092" xr:uid="{00000000-0005-0000-0000-0000BD0C0000}"/>
    <cellStyle name="Comma 7 4 2 5" xfId="19093" xr:uid="{00000000-0005-0000-0000-0000BE0C0000}"/>
    <cellStyle name="Comma 7 4 2 5 2" xfId="19094" xr:uid="{00000000-0005-0000-0000-0000BF0C0000}"/>
    <cellStyle name="Comma 7 4 2 5 2 2" xfId="19095" xr:uid="{00000000-0005-0000-0000-0000C00C0000}"/>
    <cellStyle name="Comma 7 4 2 5 3" xfId="19096" xr:uid="{00000000-0005-0000-0000-0000C10C0000}"/>
    <cellStyle name="Comma 7 4 2 5 3 2" xfId="19097" xr:uid="{00000000-0005-0000-0000-0000C20C0000}"/>
    <cellStyle name="Comma 7 4 2 5 4" xfId="19098" xr:uid="{00000000-0005-0000-0000-0000C30C0000}"/>
    <cellStyle name="Comma 7 4 2 5 5" xfId="19099" xr:uid="{00000000-0005-0000-0000-0000C40C0000}"/>
    <cellStyle name="Comma 7 4 2 6" xfId="19100" xr:uid="{00000000-0005-0000-0000-0000C50C0000}"/>
    <cellStyle name="Comma 7 4 2 6 2" xfId="19101" xr:uid="{00000000-0005-0000-0000-0000C60C0000}"/>
    <cellStyle name="Comma 7 4 2 7" xfId="19102" xr:uid="{00000000-0005-0000-0000-0000C70C0000}"/>
    <cellStyle name="Comma 7 4 2 7 2" xfId="19103" xr:uid="{00000000-0005-0000-0000-0000C80C0000}"/>
    <cellStyle name="Comma 7 4 2 8" xfId="19104" xr:uid="{00000000-0005-0000-0000-0000C90C0000}"/>
    <cellStyle name="Comma 7 4 2 8 2" xfId="19105" xr:uid="{00000000-0005-0000-0000-0000CA0C0000}"/>
    <cellStyle name="Comma 7 4 2 9" xfId="19106" xr:uid="{00000000-0005-0000-0000-0000CB0C0000}"/>
    <cellStyle name="Comma 7 4 3" xfId="19107" xr:uid="{00000000-0005-0000-0000-0000CC0C0000}"/>
    <cellStyle name="Comma 7 4 3 10" xfId="19108" xr:uid="{00000000-0005-0000-0000-0000CD0C0000}"/>
    <cellStyle name="Comma 7 4 3 2" xfId="19109" xr:uid="{00000000-0005-0000-0000-0000CE0C0000}"/>
    <cellStyle name="Comma 7 4 3 2 2" xfId="19110" xr:uid="{00000000-0005-0000-0000-0000CF0C0000}"/>
    <cellStyle name="Comma 7 4 3 2 2 2" xfId="19111" xr:uid="{00000000-0005-0000-0000-0000D00C0000}"/>
    <cellStyle name="Comma 7 4 3 2 3" xfId="19112" xr:uid="{00000000-0005-0000-0000-0000D10C0000}"/>
    <cellStyle name="Comma 7 4 3 2 3 2" xfId="19113" xr:uid="{00000000-0005-0000-0000-0000D20C0000}"/>
    <cellStyle name="Comma 7 4 3 2 4" xfId="19114" xr:uid="{00000000-0005-0000-0000-0000D30C0000}"/>
    <cellStyle name="Comma 7 4 3 2 4 2" xfId="19115" xr:uid="{00000000-0005-0000-0000-0000D40C0000}"/>
    <cellStyle name="Comma 7 4 3 2 5" xfId="19116" xr:uid="{00000000-0005-0000-0000-0000D50C0000}"/>
    <cellStyle name="Comma 7 4 3 2 6" xfId="19117" xr:uid="{00000000-0005-0000-0000-0000D60C0000}"/>
    <cellStyle name="Comma 7 4 3 3" xfId="19118" xr:uid="{00000000-0005-0000-0000-0000D70C0000}"/>
    <cellStyle name="Comma 7 4 3 3 2" xfId="19119" xr:uid="{00000000-0005-0000-0000-0000D80C0000}"/>
    <cellStyle name="Comma 7 4 3 3 2 2" xfId="19120" xr:uid="{00000000-0005-0000-0000-0000D90C0000}"/>
    <cellStyle name="Comma 7 4 3 3 3" xfId="19121" xr:uid="{00000000-0005-0000-0000-0000DA0C0000}"/>
    <cellStyle name="Comma 7 4 3 3 3 2" xfId="19122" xr:uid="{00000000-0005-0000-0000-0000DB0C0000}"/>
    <cellStyle name="Comma 7 4 3 3 4" xfId="19123" xr:uid="{00000000-0005-0000-0000-0000DC0C0000}"/>
    <cellStyle name="Comma 7 4 3 3 4 2" xfId="19124" xr:uid="{00000000-0005-0000-0000-0000DD0C0000}"/>
    <cellStyle name="Comma 7 4 3 3 5" xfId="19125" xr:uid="{00000000-0005-0000-0000-0000DE0C0000}"/>
    <cellStyle name="Comma 7 4 3 3 6" xfId="19126" xr:uid="{00000000-0005-0000-0000-0000DF0C0000}"/>
    <cellStyle name="Comma 7 4 3 4" xfId="19127" xr:uid="{00000000-0005-0000-0000-0000E00C0000}"/>
    <cellStyle name="Comma 7 4 3 4 2" xfId="19128" xr:uid="{00000000-0005-0000-0000-0000E10C0000}"/>
    <cellStyle name="Comma 7 4 3 4 2 2" xfId="19129" xr:uid="{00000000-0005-0000-0000-0000E20C0000}"/>
    <cellStyle name="Comma 7 4 3 4 3" xfId="19130" xr:uid="{00000000-0005-0000-0000-0000E30C0000}"/>
    <cellStyle name="Comma 7 4 3 4 3 2" xfId="19131" xr:uid="{00000000-0005-0000-0000-0000E40C0000}"/>
    <cellStyle name="Comma 7 4 3 4 4" xfId="19132" xr:uid="{00000000-0005-0000-0000-0000E50C0000}"/>
    <cellStyle name="Comma 7 4 3 4 4 2" xfId="19133" xr:uid="{00000000-0005-0000-0000-0000E60C0000}"/>
    <cellStyle name="Comma 7 4 3 4 5" xfId="19134" xr:uid="{00000000-0005-0000-0000-0000E70C0000}"/>
    <cellStyle name="Comma 7 4 3 4 6" xfId="19135" xr:uid="{00000000-0005-0000-0000-0000E80C0000}"/>
    <cellStyle name="Comma 7 4 3 5" xfId="19136" xr:uid="{00000000-0005-0000-0000-0000E90C0000}"/>
    <cellStyle name="Comma 7 4 3 5 2" xfId="19137" xr:uid="{00000000-0005-0000-0000-0000EA0C0000}"/>
    <cellStyle name="Comma 7 4 3 5 2 2" xfId="19138" xr:uid="{00000000-0005-0000-0000-0000EB0C0000}"/>
    <cellStyle name="Comma 7 4 3 5 3" xfId="19139" xr:uid="{00000000-0005-0000-0000-0000EC0C0000}"/>
    <cellStyle name="Comma 7 4 3 5 3 2" xfId="19140" xr:uid="{00000000-0005-0000-0000-0000ED0C0000}"/>
    <cellStyle name="Comma 7 4 3 5 4" xfId="19141" xr:uid="{00000000-0005-0000-0000-0000EE0C0000}"/>
    <cellStyle name="Comma 7 4 3 5 5" xfId="19142" xr:uid="{00000000-0005-0000-0000-0000EF0C0000}"/>
    <cellStyle name="Comma 7 4 3 6" xfId="19143" xr:uid="{00000000-0005-0000-0000-0000F00C0000}"/>
    <cellStyle name="Comma 7 4 3 6 2" xfId="19144" xr:uid="{00000000-0005-0000-0000-0000F10C0000}"/>
    <cellStyle name="Comma 7 4 3 7" xfId="19145" xr:uid="{00000000-0005-0000-0000-0000F20C0000}"/>
    <cellStyle name="Comma 7 4 3 7 2" xfId="19146" xr:uid="{00000000-0005-0000-0000-0000F30C0000}"/>
    <cellStyle name="Comma 7 4 3 8" xfId="19147" xr:uid="{00000000-0005-0000-0000-0000F40C0000}"/>
    <cellStyle name="Comma 7 4 3 8 2" xfId="19148" xr:uid="{00000000-0005-0000-0000-0000F50C0000}"/>
    <cellStyle name="Comma 7 4 3 9" xfId="19149" xr:uid="{00000000-0005-0000-0000-0000F60C0000}"/>
    <cellStyle name="Comma 7 4 4" xfId="19150" xr:uid="{00000000-0005-0000-0000-0000F70C0000}"/>
    <cellStyle name="Comma 7 4 4 2" xfId="19151" xr:uid="{00000000-0005-0000-0000-0000F80C0000}"/>
    <cellStyle name="Comma 7 4 4 2 2" xfId="19152" xr:uid="{00000000-0005-0000-0000-0000F90C0000}"/>
    <cellStyle name="Comma 7 4 4 3" xfId="19153" xr:uid="{00000000-0005-0000-0000-0000FA0C0000}"/>
    <cellStyle name="Comma 7 4 4 3 2" xfId="19154" xr:uid="{00000000-0005-0000-0000-0000FB0C0000}"/>
    <cellStyle name="Comma 7 4 4 4" xfId="19155" xr:uid="{00000000-0005-0000-0000-0000FC0C0000}"/>
    <cellStyle name="Comma 7 4 4 4 2" xfId="19156" xr:uid="{00000000-0005-0000-0000-0000FD0C0000}"/>
    <cellStyle name="Comma 7 4 4 5" xfId="19157" xr:uid="{00000000-0005-0000-0000-0000FE0C0000}"/>
    <cellStyle name="Comma 7 4 4 6" xfId="19158" xr:uid="{00000000-0005-0000-0000-0000FF0C0000}"/>
    <cellStyle name="Comma 7 4 5" xfId="19159" xr:uid="{00000000-0005-0000-0000-0000000D0000}"/>
    <cellStyle name="Comma 7 4 5 2" xfId="19160" xr:uid="{00000000-0005-0000-0000-0000010D0000}"/>
    <cellStyle name="Comma 7 4 5 2 2" xfId="19161" xr:uid="{00000000-0005-0000-0000-0000020D0000}"/>
    <cellStyle name="Comma 7 4 5 3" xfId="19162" xr:uid="{00000000-0005-0000-0000-0000030D0000}"/>
    <cellStyle name="Comma 7 4 5 3 2" xfId="19163" xr:uid="{00000000-0005-0000-0000-0000040D0000}"/>
    <cellStyle name="Comma 7 4 5 4" xfId="19164" xr:uid="{00000000-0005-0000-0000-0000050D0000}"/>
    <cellStyle name="Comma 7 4 5 4 2" xfId="19165" xr:uid="{00000000-0005-0000-0000-0000060D0000}"/>
    <cellStyle name="Comma 7 4 5 5" xfId="19166" xr:uid="{00000000-0005-0000-0000-0000070D0000}"/>
    <cellStyle name="Comma 7 4 5 6" xfId="19167" xr:uid="{00000000-0005-0000-0000-0000080D0000}"/>
    <cellStyle name="Comma 7 4 6" xfId="19168" xr:uid="{00000000-0005-0000-0000-0000090D0000}"/>
    <cellStyle name="Comma 7 4 6 2" xfId="19169" xr:uid="{00000000-0005-0000-0000-00000A0D0000}"/>
    <cellStyle name="Comma 7 4 6 2 2" xfId="19170" xr:uid="{00000000-0005-0000-0000-00000B0D0000}"/>
    <cellStyle name="Comma 7 4 6 3" xfId="19171" xr:uid="{00000000-0005-0000-0000-00000C0D0000}"/>
    <cellStyle name="Comma 7 4 6 3 2" xfId="19172" xr:uid="{00000000-0005-0000-0000-00000D0D0000}"/>
    <cellStyle name="Comma 7 4 6 4" xfId="19173" xr:uid="{00000000-0005-0000-0000-00000E0D0000}"/>
    <cellStyle name="Comma 7 4 6 4 2" xfId="19174" xr:uid="{00000000-0005-0000-0000-00000F0D0000}"/>
    <cellStyle name="Comma 7 4 6 5" xfId="19175" xr:uid="{00000000-0005-0000-0000-0000100D0000}"/>
    <cellStyle name="Comma 7 4 6 6" xfId="19176" xr:uid="{00000000-0005-0000-0000-0000110D0000}"/>
    <cellStyle name="Comma 7 4 7" xfId="19177" xr:uid="{00000000-0005-0000-0000-0000120D0000}"/>
    <cellStyle name="Comma 7 4 7 2" xfId="19178" xr:uid="{00000000-0005-0000-0000-0000130D0000}"/>
    <cellStyle name="Comma 7 4 7 2 2" xfId="19179" xr:uid="{00000000-0005-0000-0000-0000140D0000}"/>
    <cellStyle name="Comma 7 4 7 3" xfId="19180" xr:uid="{00000000-0005-0000-0000-0000150D0000}"/>
    <cellStyle name="Comma 7 4 7 3 2" xfId="19181" xr:uid="{00000000-0005-0000-0000-0000160D0000}"/>
    <cellStyle name="Comma 7 4 7 4" xfId="19182" xr:uid="{00000000-0005-0000-0000-0000170D0000}"/>
    <cellStyle name="Comma 7 4 7 5" xfId="19183" xr:uid="{00000000-0005-0000-0000-0000180D0000}"/>
    <cellStyle name="Comma 7 4 8" xfId="19184" xr:uid="{00000000-0005-0000-0000-0000190D0000}"/>
    <cellStyle name="Comma 7 4 8 2" xfId="19185" xr:uid="{00000000-0005-0000-0000-00001A0D0000}"/>
    <cellStyle name="Comma 7 4 9" xfId="19186" xr:uid="{00000000-0005-0000-0000-00001B0D0000}"/>
    <cellStyle name="Comma 7 4 9 2" xfId="19187" xr:uid="{00000000-0005-0000-0000-00001C0D0000}"/>
    <cellStyle name="Comma 7 5" xfId="19188" xr:uid="{00000000-0005-0000-0000-00001D0D0000}"/>
    <cellStyle name="Comma 7 5 10" xfId="19189" xr:uid="{00000000-0005-0000-0000-00001E0D0000}"/>
    <cellStyle name="Comma 7 5 11" xfId="19190" xr:uid="{00000000-0005-0000-0000-00001F0D0000}"/>
    <cellStyle name="Comma 7 5 2" xfId="19191" xr:uid="{00000000-0005-0000-0000-0000200D0000}"/>
    <cellStyle name="Comma 7 5 2 2" xfId="19192" xr:uid="{00000000-0005-0000-0000-0000210D0000}"/>
    <cellStyle name="Comma 7 5 2 2 2" xfId="19193" xr:uid="{00000000-0005-0000-0000-0000220D0000}"/>
    <cellStyle name="Comma 7 5 2 3" xfId="19194" xr:uid="{00000000-0005-0000-0000-0000230D0000}"/>
    <cellStyle name="Comma 7 5 2 3 2" xfId="19195" xr:uid="{00000000-0005-0000-0000-0000240D0000}"/>
    <cellStyle name="Comma 7 5 2 4" xfId="19196" xr:uid="{00000000-0005-0000-0000-0000250D0000}"/>
    <cellStyle name="Comma 7 5 2 4 2" xfId="19197" xr:uid="{00000000-0005-0000-0000-0000260D0000}"/>
    <cellStyle name="Comma 7 5 2 5" xfId="19198" xr:uid="{00000000-0005-0000-0000-0000270D0000}"/>
    <cellStyle name="Comma 7 5 2 6" xfId="19199" xr:uid="{00000000-0005-0000-0000-0000280D0000}"/>
    <cellStyle name="Comma 7 5 3" xfId="19200" xr:uid="{00000000-0005-0000-0000-0000290D0000}"/>
    <cellStyle name="Comma 7 5 3 2" xfId="19201" xr:uid="{00000000-0005-0000-0000-00002A0D0000}"/>
    <cellStyle name="Comma 7 5 3 2 2" xfId="19202" xr:uid="{00000000-0005-0000-0000-00002B0D0000}"/>
    <cellStyle name="Comma 7 5 3 3" xfId="19203" xr:uid="{00000000-0005-0000-0000-00002C0D0000}"/>
    <cellStyle name="Comma 7 5 3 3 2" xfId="19204" xr:uid="{00000000-0005-0000-0000-00002D0D0000}"/>
    <cellStyle name="Comma 7 5 3 4" xfId="19205" xr:uid="{00000000-0005-0000-0000-00002E0D0000}"/>
    <cellStyle name="Comma 7 5 3 4 2" xfId="19206" xr:uid="{00000000-0005-0000-0000-00002F0D0000}"/>
    <cellStyle name="Comma 7 5 3 5" xfId="19207" xr:uid="{00000000-0005-0000-0000-0000300D0000}"/>
    <cellStyle name="Comma 7 5 3 6" xfId="19208" xr:uid="{00000000-0005-0000-0000-0000310D0000}"/>
    <cellStyle name="Comma 7 5 4" xfId="19209" xr:uid="{00000000-0005-0000-0000-0000320D0000}"/>
    <cellStyle name="Comma 7 5 4 2" xfId="19210" xr:uid="{00000000-0005-0000-0000-0000330D0000}"/>
    <cellStyle name="Comma 7 5 4 2 2" xfId="19211" xr:uid="{00000000-0005-0000-0000-0000340D0000}"/>
    <cellStyle name="Comma 7 5 4 3" xfId="19212" xr:uid="{00000000-0005-0000-0000-0000350D0000}"/>
    <cellStyle name="Comma 7 5 4 3 2" xfId="19213" xr:uid="{00000000-0005-0000-0000-0000360D0000}"/>
    <cellStyle name="Comma 7 5 4 4" xfId="19214" xr:uid="{00000000-0005-0000-0000-0000370D0000}"/>
    <cellStyle name="Comma 7 5 4 4 2" xfId="19215" xr:uid="{00000000-0005-0000-0000-0000380D0000}"/>
    <cellStyle name="Comma 7 5 4 5" xfId="19216" xr:uid="{00000000-0005-0000-0000-0000390D0000}"/>
    <cellStyle name="Comma 7 5 4 6" xfId="19217" xr:uid="{00000000-0005-0000-0000-00003A0D0000}"/>
    <cellStyle name="Comma 7 5 5" xfId="19218" xr:uid="{00000000-0005-0000-0000-00003B0D0000}"/>
    <cellStyle name="Comma 7 5 5 2" xfId="19219" xr:uid="{00000000-0005-0000-0000-00003C0D0000}"/>
    <cellStyle name="Comma 7 5 5 2 2" xfId="19220" xr:uid="{00000000-0005-0000-0000-00003D0D0000}"/>
    <cellStyle name="Comma 7 5 5 3" xfId="19221" xr:uid="{00000000-0005-0000-0000-00003E0D0000}"/>
    <cellStyle name="Comma 7 5 5 3 2" xfId="19222" xr:uid="{00000000-0005-0000-0000-00003F0D0000}"/>
    <cellStyle name="Comma 7 5 5 4" xfId="19223" xr:uid="{00000000-0005-0000-0000-0000400D0000}"/>
    <cellStyle name="Comma 7 5 5 4 2" xfId="19224" xr:uid="{00000000-0005-0000-0000-0000410D0000}"/>
    <cellStyle name="Comma 7 5 5 5" xfId="19225" xr:uid="{00000000-0005-0000-0000-0000420D0000}"/>
    <cellStyle name="Comma 7 5 5 6" xfId="19226" xr:uid="{00000000-0005-0000-0000-0000430D0000}"/>
    <cellStyle name="Comma 7 5 6" xfId="19227" xr:uid="{00000000-0005-0000-0000-0000440D0000}"/>
    <cellStyle name="Comma 7 5 6 2" xfId="19228" xr:uid="{00000000-0005-0000-0000-0000450D0000}"/>
    <cellStyle name="Comma 7 5 6 2 2" xfId="19229" xr:uid="{00000000-0005-0000-0000-0000460D0000}"/>
    <cellStyle name="Comma 7 5 6 3" xfId="19230" xr:uid="{00000000-0005-0000-0000-0000470D0000}"/>
    <cellStyle name="Comma 7 5 6 3 2" xfId="19231" xr:uid="{00000000-0005-0000-0000-0000480D0000}"/>
    <cellStyle name="Comma 7 5 6 4" xfId="19232" xr:uid="{00000000-0005-0000-0000-0000490D0000}"/>
    <cellStyle name="Comma 7 5 6 5" xfId="19233" xr:uid="{00000000-0005-0000-0000-00004A0D0000}"/>
    <cellStyle name="Comma 7 5 7" xfId="19234" xr:uid="{00000000-0005-0000-0000-00004B0D0000}"/>
    <cellStyle name="Comma 7 5 7 2" xfId="19235" xr:uid="{00000000-0005-0000-0000-00004C0D0000}"/>
    <cellStyle name="Comma 7 5 8" xfId="19236" xr:uid="{00000000-0005-0000-0000-00004D0D0000}"/>
    <cellStyle name="Comma 7 5 8 2" xfId="19237" xr:uid="{00000000-0005-0000-0000-00004E0D0000}"/>
    <cellStyle name="Comma 7 5 9" xfId="19238" xr:uid="{00000000-0005-0000-0000-00004F0D0000}"/>
    <cellStyle name="Comma 7 5 9 2" xfId="19239" xr:uid="{00000000-0005-0000-0000-0000500D0000}"/>
    <cellStyle name="Comma 7 6" xfId="19240" xr:uid="{00000000-0005-0000-0000-0000510D0000}"/>
    <cellStyle name="Comma 7 6 10" xfId="19241" xr:uid="{00000000-0005-0000-0000-0000520D0000}"/>
    <cellStyle name="Comma 7 6 2" xfId="19242" xr:uid="{00000000-0005-0000-0000-0000530D0000}"/>
    <cellStyle name="Comma 7 6 2 2" xfId="19243" xr:uid="{00000000-0005-0000-0000-0000540D0000}"/>
    <cellStyle name="Comma 7 6 2 2 2" xfId="19244" xr:uid="{00000000-0005-0000-0000-0000550D0000}"/>
    <cellStyle name="Comma 7 6 2 3" xfId="19245" xr:uid="{00000000-0005-0000-0000-0000560D0000}"/>
    <cellStyle name="Comma 7 6 2 3 2" xfId="19246" xr:uid="{00000000-0005-0000-0000-0000570D0000}"/>
    <cellStyle name="Comma 7 6 2 4" xfId="19247" xr:uid="{00000000-0005-0000-0000-0000580D0000}"/>
    <cellStyle name="Comma 7 6 2 4 2" xfId="19248" xr:uid="{00000000-0005-0000-0000-0000590D0000}"/>
    <cellStyle name="Comma 7 6 2 5" xfId="19249" xr:uid="{00000000-0005-0000-0000-00005A0D0000}"/>
    <cellStyle name="Comma 7 6 2 6" xfId="19250" xr:uid="{00000000-0005-0000-0000-00005B0D0000}"/>
    <cellStyle name="Comma 7 6 3" xfId="19251" xr:uid="{00000000-0005-0000-0000-00005C0D0000}"/>
    <cellStyle name="Comma 7 6 3 2" xfId="19252" xr:uid="{00000000-0005-0000-0000-00005D0D0000}"/>
    <cellStyle name="Comma 7 6 3 2 2" xfId="19253" xr:uid="{00000000-0005-0000-0000-00005E0D0000}"/>
    <cellStyle name="Comma 7 6 3 3" xfId="19254" xr:uid="{00000000-0005-0000-0000-00005F0D0000}"/>
    <cellStyle name="Comma 7 6 3 3 2" xfId="19255" xr:uid="{00000000-0005-0000-0000-0000600D0000}"/>
    <cellStyle name="Comma 7 6 3 4" xfId="19256" xr:uid="{00000000-0005-0000-0000-0000610D0000}"/>
    <cellStyle name="Comma 7 6 3 4 2" xfId="19257" xr:uid="{00000000-0005-0000-0000-0000620D0000}"/>
    <cellStyle name="Comma 7 6 3 5" xfId="19258" xr:uid="{00000000-0005-0000-0000-0000630D0000}"/>
    <cellStyle name="Comma 7 6 3 6" xfId="19259" xr:uid="{00000000-0005-0000-0000-0000640D0000}"/>
    <cellStyle name="Comma 7 6 4" xfId="19260" xr:uid="{00000000-0005-0000-0000-0000650D0000}"/>
    <cellStyle name="Comma 7 6 4 2" xfId="19261" xr:uid="{00000000-0005-0000-0000-0000660D0000}"/>
    <cellStyle name="Comma 7 6 4 2 2" xfId="19262" xr:uid="{00000000-0005-0000-0000-0000670D0000}"/>
    <cellStyle name="Comma 7 6 4 3" xfId="19263" xr:uid="{00000000-0005-0000-0000-0000680D0000}"/>
    <cellStyle name="Comma 7 6 4 3 2" xfId="19264" xr:uid="{00000000-0005-0000-0000-0000690D0000}"/>
    <cellStyle name="Comma 7 6 4 4" xfId="19265" xr:uid="{00000000-0005-0000-0000-00006A0D0000}"/>
    <cellStyle name="Comma 7 6 4 4 2" xfId="19266" xr:uid="{00000000-0005-0000-0000-00006B0D0000}"/>
    <cellStyle name="Comma 7 6 4 5" xfId="19267" xr:uid="{00000000-0005-0000-0000-00006C0D0000}"/>
    <cellStyle name="Comma 7 6 4 6" xfId="19268" xr:uid="{00000000-0005-0000-0000-00006D0D0000}"/>
    <cellStyle name="Comma 7 6 5" xfId="19269" xr:uid="{00000000-0005-0000-0000-00006E0D0000}"/>
    <cellStyle name="Comma 7 6 5 2" xfId="19270" xr:uid="{00000000-0005-0000-0000-00006F0D0000}"/>
    <cellStyle name="Comma 7 6 5 2 2" xfId="19271" xr:uid="{00000000-0005-0000-0000-0000700D0000}"/>
    <cellStyle name="Comma 7 6 5 3" xfId="19272" xr:uid="{00000000-0005-0000-0000-0000710D0000}"/>
    <cellStyle name="Comma 7 6 5 3 2" xfId="19273" xr:uid="{00000000-0005-0000-0000-0000720D0000}"/>
    <cellStyle name="Comma 7 6 5 4" xfId="19274" xr:uid="{00000000-0005-0000-0000-0000730D0000}"/>
    <cellStyle name="Comma 7 6 5 5" xfId="19275" xr:uid="{00000000-0005-0000-0000-0000740D0000}"/>
    <cellStyle name="Comma 7 6 6" xfId="19276" xr:uid="{00000000-0005-0000-0000-0000750D0000}"/>
    <cellStyle name="Comma 7 6 6 2" xfId="19277" xr:uid="{00000000-0005-0000-0000-0000760D0000}"/>
    <cellStyle name="Comma 7 6 7" xfId="19278" xr:uid="{00000000-0005-0000-0000-0000770D0000}"/>
    <cellStyle name="Comma 7 6 7 2" xfId="19279" xr:uid="{00000000-0005-0000-0000-0000780D0000}"/>
    <cellStyle name="Comma 7 6 8" xfId="19280" xr:uid="{00000000-0005-0000-0000-0000790D0000}"/>
    <cellStyle name="Comma 7 6 8 2" xfId="19281" xr:uid="{00000000-0005-0000-0000-00007A0D0000}"/>
    <cellStyle name="Comma 7 6 9" xfId="19282" xr:uid="{00000000-0005-0000-0000-00007B0D0000}"/>
    <cellStyle name="Comma 7 7" xfId="19283" xr:uid="{00000000-0005-0000-0000-00007C0D0000}"/>
    <cellStyle name="Comma 7 7 10" xfId="19284" xr:uid="{00000000-0005-0000-0000-00007D0D0000}"/>
    <cellStyle name="Comma 7 7 2" xfId="19285" xr:uid="{00000000-0005-0000-0000-00007E0D0000}"/>
    <cellStyle name="Comma 7 7 2 2" xfId="19286" xr:uid="{00000000-0005-0000-0000-00007F0D0000}"/>
    <cellStyle name="Comma 7 7 2 2 2" xfId="19287" xr:uid="{00000000-0005-0000-0000-0000800D0000}"/>
    <cellStyle name="Comma 7 7 2 3" xfId="19288" xr:uid="{00000000-0005-0000-0000-0000810D0000}"/>
    <cellStyle name="Comma 7 7 2 3 2" xfId="19289" xr:uid="{00000000-0005-0000-0000-0000820D0000}"/>
    <cellStyle name="Comma 7 7 2 4" xfId="19290" xr:uid="{00000000-0005-0000-0000-0000830D0000}"/>
    <cellStyle name="Comma 7 7 2 4 2" xfId="19291" xr:uid="{00000000-0005-0000-0000-0000840D0000}"/>
    <cellStyle name="Comma 7 7 2 5" xfId="19292" xr:uid="{00000000-0005-0000-0000-0000850D0000}"/>
    <cellStyle name="Comma 7 7 2 6" xfId="19293" xr:uid="{00000000-0005-0000-0000-0000860D0000}"/>
    <cellStyle name="Comma 7 7 3" xfId="19294" xr:uid="{00000000-0005-0000-0000-0000870D0000}"/>
    <cellStyle name="Comma 7 7 3 2" xfId="19295" xr:uid="{00000000-0005-0000-0000-0000880D0000}"/>
    <cellStyle name="Comma 7 7 3 2 2" xfId="19296" xr:uid="{00000000-0005-0000-0000-0000890D0000}"/>
    <cellStyle name="Comma 7 7 3 3" xfId="19297" xr:uid="{00000000-0005-0000-0000-00008A0D0000}"/>
    <cellStyle name="Comma 7 7 3 3 2" xfId="19298" xr:uid="{00000000-0005-0000-0000-00008B0D0000}"/>
    <cellStyle name="Comma 7 7 3 4" xfId="19299" xr:uid="{00000000-0005-0000-0000-00008C0D0000}"/>
    <cellStyle name="Comma 7 7 3 4 2" xfId="19300" xr:uid="{00000000-0005-0000-0000-00008D0D0000}"/>
    <cellStyle name="Comma 7 7 3 5" xfId="19301" xr:uid="{00000000-0005-0000-0000-00008E0D0000}"/>
    <cellStyle name="Comma 7 7 3 6" xfId="19302" xr:uid="{00000000-0005-0000-0000-00008F0D0000}"/>
    <cellStyle name="Comma 7 7 4" xfId="19303" xr:uid="{00000000-0005-0000-0000-0000900D0000}"/>
    <cellStyle name="Comma 7 7 4 2" xfId="19304" xr:uid="{00000000-0005-0000-0000-0000910D0000}"/>
    <cellStyle name="Comma 7 7 4 2 2" xfId="19305" xr:uid="{00000000-0005-0000-0000-0000920D0000}"/>
    <cellStyle name="Comma 7 7 4 3" xfId="19306" xr:uid="{00000000-0005-0000-0000-0000930D0000}"/>
    <cellStyle name="Comma 7 7 4 3 2" xfId="19307" xr:uid="{00000000-0005-0000-0000-0000940D0000}"/>
    <cellStyle name="Comma 7 7 4 4" xfId="19308" xr:uid="{00000000-0005-0000-0000-0000950D0000}"/>
    <cellStyle name="Comma 7 7 4 4 2" xfId="19309" xr:uid="{00000000-0005-0000-0000-0000960D0000}"/>
    <cellStyle name="Comma 7 7 4 5" xfId="19310" xr:uid="{00000000-0005-0000-0000-0000970D0000}"/>
    <cellStyle name="Comma 7 7 4 6" xfId="19311" xr:uid="{00000000-0005-0000-0000-0000980D0000}"/>
    <cellStyle name="Comma 7 7 5" xfId="19312" xr:uid="{00000000-0005-0000-0000-0000990D0000}"/>
    <cellStyle name="Comma 7 7 5 2" xfId="19313" xr:uid="{00000000-0005-0000-0000-00009A0D0000}"/>
    <cellStyle name="Comma 7 7 5 2 2" xfId="19314" xr:uid="{00000000-0005-0000-0000-00009B0D0000}"/>
    <cellStyle name="Comma 7 7 5 3" xfId="19315" xr:uid="{00000000-0005-0000-0000-00009C0D0000}"/>
    <cellStyle name="Comma 7 7 5 3 2" xfId="19316" xr:uid="{00000000-0005-0000-0000-00009D0D0000}"/>
    <cellStyle name="Comma 7 7 5 4" xfId="19317" xr:uid="{00000000-0005-0000-0000-00009E0D0000}"/>
    <cellStyle name="Comma 7 7 5 5" xfId="19318" xr:uid="{00000000-0005-0000-0000-00009F0D0000}"/>
    <cellStyle name="Comma 7 7 6" xfId="19319" xr:uid="{00000000-0005-0000-0000-0000A00D0000}"/>
    <cellStyle name="Comma 7 7 6 2" xfId="19320" xr:uid="{00000000-0005-0000-0000-0000A10D0000}"/>
    <cellStyle name="Comma 7 7 7" xfId="19321" xr:uid="{00000000-0005-0000-0000-0000A20D0000}"/>
    <cellStyle name="Comma 7 7 7 2" xfId="19322" xr:uid="{00000000-0005-0000-0000-0000A30D0000}"/>
    <cellStyle name="Comma 7 7 8" xfId="19323" xr:uid="{00000000-0005-0000-0000-0000A40D0000}"/>
    <cellStyle name="Comma 7 7 8 2" xfId="19324" xr:uid="{00000000-0005-0000-0000-0000A50D0000}"/>
    <cellStyle name="Comma 7 7 9" xfId="19325" xr:uid="{00000000-0005-0000-0000-0000A60D0000}"/>
    <cellStyle name="Comma 7 8" xfId="19326" xr:uid="{00000000-0005-0000-0000-0000A70D0000}"/>
    <cellStyle name="Comma 7 8 2" xfId="19327" xr:uid="{00000000-0005-0000-0000-0000A80D0000}"/>
    <cellStyle name="Comma 7 8 2 2" xfId="19328" xr:uid="{00000000-0005-0000-0000-0000A90D0000}"/>
    <cellStyle name="Comma 7 8 3" xfId="19329" xr:uid="{00000000-0005-0000-0000-0000AA0D0000}"/>
    <cellStyle name="Comma 7 8 3 2" xfId="19330" xr:uid="{00000000-0005-0000-0000-0000AB0D0000}"/>
    <cellStyle name="Comma 7 8 4" xfId="19331" xr:uid="{00000000-0005-0000-0000-0000AC0D0000}"/>
    <cellStyle name="Comma 7 8 4 2" xfId="19332" xr:uid="{00000000-0005-0000-0000-0000AD0D0000}"/>
    <cellStyle name="Comma 7 8 5" xfId="19333" xr:uid="{00000000-0005-0000-0000-0000AE0D0000}"/>
    <cellStyle name="Comma 7 8 6" xfId="19334" xr:uid="{00000000-0005-0000-0000-0000AF0D0000}"/>
    <cellStyle name="Comma 7 9" xfId="19335" xr:uid="{00000000-0005-0000-0000-0000B00D0000}"/>
    <cellStyle name="Comma 7 9 2" xfId="19336" xr:uid="{00000000-0005-0000-0000-0000B10D0000}"/>
    <cellStyle name="Comma 7 9 2 2" xfId="19337" xr:uid="{00000000-0005-0000-0000-0000B20D0000}"/>
    <cellStyle name="Comma 7 9 3" xfId="19338" xr:uid="{00000000-0005-0000-0000-0000B30D0000}"/>
    <cellStyle name="Comma 7 9 3 2" xfId="19339" xr:uid="{00000000-0005-0000-0000-0000B40D0000}"/>
    <cellStyle name="Comma 7 9 4" xfId="19340" xr:uid="{00000000-0005-0000-0000-0000B50D0000}"/>
    <cellStyle name="Comma 7 9 4 2" xfId="19341" xr:uid="{00000000-0005-0000-0000-0000B60D0000}"/>
    <cellStyle name="Comma 7 9 5" xfId="19342" xr:uid="{00000000-0005-0000-0000-0000B70D0000}"/>
    <cellStyle name="Comma 7 9 6" xfId="19343" xr:uid="{00000000-0005-0000-0000-0000B80D0000}"/>
    <cellStyle name="Comma 70" xfId="19344" xr:uid="{00000000-0005-0000-0000-0000B90D0000}"/>
    <cellStyle name="Comma 71" xfId="19345" xr:uid="{00000000-0005-0000-0000-0000BA0D0000}"/>
    <cellStyle name="Comma 72" xfId="19346" xr:uid="{00000000-0005-0000-0000-0000BB0D0000}"/>
    <cellStyle name="Comma 73" xfId="19347" xr:uid="{00000000-0005-0000-0000-0000BC0D0000}"/>
    <cellStyle name="Comma 74" xfId="19348" xr:uid="{00000000-0005-0000-0000-0000BD0D0000}"/>
    <cellStyle name="Comma 75" xfId="19349" xr:uid="{00000000-0005-0000-0000-0000BE0D0000}"/>
    <cellStyle name="Comma 76" xfId="43976" xr:uid="{00000000-0005-0000-0000-0000BF0D0000}"/>
    <cellStyle name="Comma 8" xfId="10873" xr:uid="{00000000-0005-0000-0000-0000C00D0000}"/>
    <cellStyle name="Comma 8 10" xfId="19350" xr:uid="{00000000-0005-0000-0000-0000C10D0000}"/>
    <cellStyle name="Comma 8 10 2" xfId="19351" xr:uid="{00000000-0005-0000-0000-0000C20D0000}"/>
    <cellStyle name="Comma 8 10 2 2" xfId="19352" xr:uid="{00000000-0005-0000-0000-0000C30D0000}"/>
    <cellStyle name="Comma 8 10 3" xfId="19353" xr:uid="{00000000-0005-0000-0000-0000C40D0000}"/>
    <cellStyle name="Comma 8 10 3 2" xfId="19354" xr:uid="{00000000-0005-0000-0000-0000C50D0000}"/>
    <cellStyle name="Comma 8 10 4" xfId="19355" xr:uid="{00000000-0005-0000-0000-0000C60D0000}"/>
    <cellStyle name="Comma 8 10 4 2" xfId="19356" xr:uid="{00000000-0005-0000-0000-0000C70D0000}"/>
    <cellStyle name="Comma 8 10 5" xfId="19357" xr:uid="{00000000-0005-0000-0000-0000C80D0000}"/>
    <cellStyle name="Comma 8 10 6" xfId="19358" xr:uid="{00000000-0005-0000-0000-0000C90D0000}"/>
    <cellStyle name="Comma 8 11" xfId="19359" xr:uid="{00000000-0005-0000-0000-0000CA0D0000}"/>
    <cellStyle name="Comma 8 11 2" xfId="19360" xr:uid="{00000000-0005-0000-0000-0000CB0D0000}"/>
    <cellStyle name="Comma 8 11 2 2" xfId="19361" xr:uid="{00000000-0005-0000-0000-0000CC0D0000}"/>
    <cellStyle name="Comma 8 11 3" xfId="19362" xr:uid="{00000000-0005-0000-0000-0000CD0D0000}"/>
    <cellStyle name="Comma 8 11 3 2" xfId="19363" xr:uid="{00000000-0005-0000-0000-0000CE0D0000}"/>
    <cellStyle name="Comma 8 11 4" xfId="19364" xr:uid="{00000000-0005-0000-0000-0000CF0D0000}"/>
    <cellStyle name="Comma 8 11 5" xfId="19365" xr:uid="{00000000-0005-0000-0000-0000D00D0000}"/>
    <cellStyle name="Comma 8 12" xfId="19366" xr:uid="{00000000-0005-0000-0000-0000D10D0000}"/>
    <cellStyle name="Comma 8 12 2" xfId="19367" xr:uid="{00000000-0005-0000-0000-0000D20D0000}"/>
    <cellStyle name="Comma 8 13" xfId="19368" xr:uid="{00000000-0005-0000-0000-0000D30D0000}"/>
    <cellStyle name="Comma 8 13 2" xfId="19369" xr:uid="{00000000-0005-0000-0000-0000D40D0000}"/>
    <cellStyle name="Comma 8 14" xfId="19370" xr:uid="{00000000-0005-0000-0000-0000D50D0000}"/>
    <cellStyle name="Comma 8 14 2" xfId="19371" xr:uid="{00000000-0005-0000-0000-0000D60D0000}"/>
    <cellStyle name="Comma 8 15" xfId="19372" xr:uid="{00000000-0005-0000-0000-0000D70D0000}"/>
    <cellStyle name="Comma 8 16" xfId="19373" xr:uid="{00000000-0005-0000-0000-0000D80D0000}"/>
    <cellStyle name="Comma 8 17" xfId="19374" xr:uid="{00000000-0005-0000-0000-0000D90D0000}"/>
    <cellStyle name="Comma 8 18" xfId="15090" xr:uid="{00000000-0005-0000-0000-0000DA0D0000}"/>
    <cellStyle name="Comma 8 2" xfId="11685" xr:uid="{00000000-0005-0000-0000-0000DB0D0000}"/>
    <cellStyle name="Comma 8 2 10" xfId="19376" xr:uid="{00000000-0005-0000-0000-0000DC0D0000}"/>
    <cellStyle name="Comma 8 2 10 2" xfId="19377" xr:uid="{00000000-0005-0000-0000-0000DD0D0000}"/>
    <cellStyle name="Comma 8 2 11" xfId="19378" xr:uid="{00000000-0005-0000-0000-0000DE0D0000}"/>
    <cellStyle name="Comma 8 2 11 2" xfId="19379" xr:uid="{00000000-0005-0000-0000-0000DF0D0000}"/>
    <cellStyle name="Comma 8 2 12" xfId="19380" xr:uid="{00000000-0005-0000-0000-0000E00D0000}"/>
    <cellStyle name="Comma 8 2 13" xfId="19381" xr:uid="{00000000-0005-0000-0000-0000E10D0000}"/>
    <cellStyle name="Comma 8 2 14" xfId="19375" xr:uid="{00000000-0005-0000-0000-0000E20D0000}"/>
    <cellStyle name="Comma 8 2 2" xfId="19382" xr:uid="{00000000-0005-0000-0000-0000E30D0000}"/>
    <cellStyle name="Comma 8 2 2 10" xfId="19383" xr:uid="{00000000-0005-0000-0000-0000E40D0000}"/>
    <cellStyle name="Comma 8 2 2 11" xfId="19384" xr:uid="{00000000-0005-0000-0000-0000E50D0000}"/>
    <cellStyle name="Comma 8 2 2 2" xfId="19385" xr:uid="{00000000-0005-0000-0000-0000E60D0000}"/>
    <cellStyle name="Comma 8 2 2 2 2" xfId="19386" xr:uid="{00000000-0005-0000-0000-0000E70D0000}"/>
    <cellStyle name="Comma 8 2 2 2 2 2" xfId="19387" xr:uid="{00000000-0005-0000-0000-0000E80D0000}"/>
    <cellStyle name="Comma 8 2 2 2 3" xfId="19388" xr:uid="{00000000-0005-0000-0000-0000E90D0000}"/>
    <cellStyle name="Comma 8 2 2 2 3 2" xfId="19389" xr:uid="{00000000-0005-0000-0000-0000EA0D0000}"/>
    <cellStyle name="Comma 8 2 2 2 4" xfId="19390" xr:uid="{00000000-0005-0000-0000-0000EB0D0000}"/>
    <cellStyle name="Comma 8 2 2 2 4 2" xfId="19391" xr:uid="{00000000-0005-0000-0000-0000EC0D0000}"/>
    <cellStyle name="Comma 8 2 2 2 5" xfId="19392" xr:uid="{00000000-0005-0000-0000-0000ED0D0000}"/>
    <cellStyle name="Comma 8 2 2 2 6" xfId="19393" xr:uid="{00000000-0005-0000-0000-0000EE0D0000}"/>
    <cellStyle name="Comma 8 2 2 3" xfId="19394" xr:uid="{00000000-0005-0000-0000-0000EF0D0000}"/>
    <cellStyle name="Comma 8 2 2 3 2" xfId="19395" xr:uid="{00000000-0005-0000-0000-0000F00D0000}"/>
    <cellStyle name="Comma 8 2 2 3 2 2" xfId="19396" xr:uid="{00000000-0005-0000-0000-0000F10D0000}"/>
    <cellStyle name="Comma 8 2 2 3 3" xfId="19397" xr:uid="{00000000-0005-0000-0000-0000F20D0000}"/>
    <cellStyle name="Comma 8 2 2 3 3 2" xfId="19398" xr:uid="{00000000-0005-0000-0000-0000F30D0000}"/>
    <cellStyle name="Comma 8 2 2 3 4" xfId="19399" xr:uid="{00000000-0005-0000-0000-0000F40D0000}"/>
    <cellStyle name="Comma 8 2 2 3 4 2" xfId="19400" xr:uid="{00000000-0005-0000-0000-0000F50D0000}"/>
    <cellStyle name="Comma 8 2 2 3 5" xfId="19401" xr:uid="{00000000-0005-0000-0000-0000F60D0000}"/>
    <cellStyle name="Comma 8 2 2 3 6" xfId="19402" xr:uid="{00000000-0005-0000-0000-0000F70D0000}"/>
    <cellStyle name="Comma 8 2 2 4" xfId="19403" xr:uid="{00000000-0005-0000-0000-0000F80D0000}"/>
    <cellStyle name="Comma 8 2 2 4 2" xfId="19404" xr:uid="{00000000-0005-0000-0000-0000F90D0000}"/>
    <cellStyle name="Comma 8 2 2 4 2 2" xfId="19405" xr:uid="{00000000-0005-0000-0000-0000FA0D0000}"/>
    <cellStyle name="Comma 8 2 2 4 3" xfId="19406" xr:uid="{00000000-0005-0000-0000-0000FB0D0000}"/>
    <cellStyle name="Comma 8 2 2 4 3 2" xfId="19407" xr:uid="{00000000-0005-0000-0000-0000FC0D0000}"/>
    <cellStyle name="Comma 8 2 2 4 4" xfId="19408" xr:uid="{00000000-0005-0000-0000-0000FD0D0000}"/>
    <cellStyle name="Comma 8 2 2 4 4 2" xfId="19409" xr:uid="{00000000-0005-0000-0000-0000FE0D0000}"/>
    <cellStyle name="Comma 8 2 2 4 5" xfId="19410" xr:uid="{00000000-0005-0000-0000-0000FF0D0000}"/>
    <cellStyle name="Comma 8 2 2 4 6" xfId="19411" xr:uid="{00000000-0005-0000-0000-0000000E0000}"/>
    <cellStyle name="Comma 8 2 2 5" xfId="19412" xr:uid="{00000000-0005-0000-0000-0000010E0000}"/>
    <cellStyle name="Comma 8 2 2 5 2" xfId="19413" xr:uid="{00000000-0005-0000-0000-0000020E0000}"/>
    <cellStyle name="Comma 8 2 2 5 2 2" xfId="19414" xr:uid="{00000000-0005-0000-0000-0000030E0000}"/>
    <cellStyle name="Comma 8 2 2 5 3" xfId="19415" xr:uid="{00000000-0005-0000-0000-0000040E0000}"/>
    <cellStyle name="Comma 8 2 2 5 3 2" xfId="19416" xr:uid="{00000000-0005-0000-0000-0000050E0000}"/>
    <cellStyle name="Comma 8 2 2 5 4" xfId="19417" xr:uid="{00000000-0005-0000-0000-0000060E0000}"/>
    <cellStyle name="Comma 8 2 2 5 4 2" xfId="19418" xr:uid="{00000000-0005-0000-0000-0000070E0000}"/>
    <cellStyle name="Comma 8 2 2 5 5" xfId="19419" xr:uid="{00000000-0005-0000-0000-0000080E0000}"/>
    <cellStyle name="Comma 8 2 2 5 6" xfId="19420" xr:uid="{00000000-0005-0000-0000-0000090E0000}"/>
    <cellStyle name="Comma 8 2 2 6" xfId="19421" xr:uid="{00000000-0005-0000-0000-00000A0E0000}"/>
    <cellStyle name="Comma 8 2 2 6 2" xfId="19422" xr:uid="{00000000-0005-0000-0000-00000B0E0000}"/>
    <cellStyle name="Comma 8 2 2 6 2 2" xfId="19423" xr:uid="{00000000-0005-0000-0000-00000C0E0000}"/>
    <cellStyle name="Comma 8 2 2 6 3" xfId="19424" xr:uid="{00000000-0005-0000-0000-00000D0E0000}"/>
    <cellStyle name="Comma 8 2 2 6 3 2" xfId="19425" xr:uid="{00000000-0005-0000-0000-00000E0E0000}"/>
    <cellStyle name="Comma 8 2 2 6 4" xfId="19426" xr:uid="{00000000-0005-0000-0000-00000F0E0000}"/>
    <cellStyle name="Comma 8 2 2 6 5" xfId="19427" xr:uid="{00000000-0005-0000-0000-0000100E0000}"/>
    <cellStyle name="Comma 8 2 2 7" xfId="19428" xr:uid="{00000000-0005-0000-0000-0000110E0000}"/>
    <cellStyle name="Comma 8 2 2 7 2" xfId="19429" xr:uid="{00000000-0005-0000-0000-0000120E0000}"/>
    <cellStyle name="Comma 8 2 2 8" xfId="19430" xr:uid="{00000000-0005-0000-0000-0000130E0000}"/>
    <cellStyle name="Comma 8 2 2 8 2" xfId="19431" xr:uid="{00000000-0005-0000-0000-0000140E0000}"/>
    <cellStyle name="Comma 8 2 2 9" xfId="19432" xr:uid="{00000000-0005-0000-0000-0000150E0000}"/>
    <cellStyle name="Comma 8 2 2 9 2" xfId="19433" xr:uid="{00000000-0005-0000-0000-0000160E0000}"/>
    <cellStyle name="Comma 8 2 3" xfId="19434" xr:uid="{00000000-0005-0000-0000-0000170E0000}"/>
    <cellStyle name="Comma 8 2 3 10" xfId="19435" xr:uid="{00000000-0005-0000-0000-0000180E0000}"/>
    <cellStyle name="Comma 8 2 3 2" xfId="19436" xr:uid="{00000000-0005-0000-0000-0000190E0000}"/>
    <cellStyle name="Comma 8 2 3 2 2" xfId="19437" xr:uid="{00000000-0005-0000-0000-00001A0E0000}"/>
    <cellStyle name="Comma 8 2 3 2 2 2" xfId="19438" xr:uid="{00000000-0005-0000-0000-00001B0E0000}"/>
    <cellStyle name="Comma 8 2 3 2 3" xfId="19439" xr:uid="{00000000-0005-0000-0000-00001C0E0000}"/>
    <cellStyle name="Comma 8 2 3 2 3 2" xfId="19440" xr:uid="{00000000-0005-0000-0000-00001D0E0000}"/>
    <cellStyle name="Comma 8 2 3 2 4" xfId="19441" xr:uid="{00000000-0005-0000-0000-00001E0E0000}"/>
    <cellStyle name="Comma 8 2 3 2 4 2" xfId="19442" xr:uid="{00000000-0005-0000-0000-00001F0E0000}"/>
    <cellStyle name="Comma 8 2 3 2 5" xfId="19443" xr:uid="{00000000-0005-0000-0000-0000200E0000}"/>
    <cellStyle name="Comma 8 2 3 2 6" xfId="19444" xr:uid="{00000000-0005-0000-0000-0000210E0000}"/>
    <cellStyle name="Comma 8 2 3 3" xfId="19445" xr:uid="{00000000-0005-0000-0000-0000220E0000}"/>
    <cellStyle name="Comma 8 2 3 3 2" xfId="19446" xr:uid="{00000000-0005-0000-0000-0000230E0000}"/>
    <cellStyle name="Comma 8 2 3 3 2 2" xfId="19447" xr:uid="{00000000-0005-0000-0000-0000240E0000}"/>
    <cellStyle name="Comma 8 2 3 3 3" xfId="19448" xr:uid="{00000000-0005-0000-0000-0000250E0000}"/>
    <cellStyle name="Comma 8 2 3 3 3 2" xfId="19449" xr:uid="{00000000-0005-0000-0000-0000260E0000}"/>
    <cellStyle name="Comma 8 2 3 3 4" xfId="19450" xr:uid="{00000000-0005-0000-0000-0000270E0000}"/>
    <cellStyle name="Comma 8 2 3 3 4 2" xfId="19451" xr:uid="{00000000-0005-0000-0000-0000280E0000}"/>
    <cellStyle name="Comma 8 2 3 3 5" xfId="19452" xr:uid="{00000000-0005-0000-0000-0000290E0000}"/>
    <cellStyle name="Comma 8 2 3 3 6" xfId="19453" xr:uid="{00000000-0005-0000-0000-00002A0E0000}"/>
    <cellStyle name="Comma 8 2 3 4" xfId="19454" xr:uid="{00000000-0005-0000-0000-00002B0E0000}"/>
    <cellStyle name="Comma 8 2 3 4 2" xfId="19455" xr:uid="{00000000-0005-0000-0000-00002C0E0000}"/>
    <cellStyle name="Comma 8 2 3 4 2 2" xfId="19456" xr:uid="{00000000-0005-0000-0000-00002D0E0000}"/>
    <cellStyle name="Comma 8 2 3 4 3" xfId="19457" xr:uid="{00000000-0005-0000-0000-00002E0E0000}"/>
    <cellStyle name="Comma 8 2 3 4 3 2" xfId="19458" xr:uid="{00000000-0005-0000-0000-00002F0E0000}"/>
    <cellStyle name="Comma 8 2 3 4 4" xfId="19459" xr:uid="{00000000-0005-0000-0000-0000300E0000}"/>
    <cellStyle name="Comma 8 2 3 4 4 2" xfId="19460" xr:uid="{00000000-0005-0000-0000-0000310E0000}"/>
    <cellStyle name="Comma 8 2 3 4 5" xfId="19461" xr:uid="{00000000-0005-0000-0000-0000320E0000}"/>
    <cellStyle name="Comma 8 2 3 4 6" xfId="19462" xr:uid="{00000000-0005-0000-0000-0000330E0000}"/>
    <cellStyle name="Comma 8 2 3 5" xfId="19463" xr:uid="{00000000-0005-0000-0000-0000340E0000}"/>
    <cellStyle name="Comma 8 2 3 5 2" xfId="19464" xr:uid="{00000000-0005-0000-0000-0000350E0000}"/>
    <cellStyle name="Comma 8 2 3 5 2 2" xfId="19465" xr:uid="{00000000-0005-0000-0000-0000360E0000}"/>
    <cellStyle name="Comma 8 2 3 5 3" xfId="19466" xr:uid="{00000000-0005-0000-0000-0000370E0000}"/>
    <cellStyle name="Comma 8 2 3 5 3 2" xfId="19467" xr:uid="{00000000-0005-0000-0000-0000380E0000}"/>
    <cellStyle name="Comma 8 2 3 5 4" xfId="19468" xr:uid="{00000000-0005-0000-0000-0000390E0000}"/>
    <cellStyle name="Comma 8 2 3 5 5" xfId="19469" xr:uid="{00000000-0005-0000-0000-00003A0E0000}"/>
    <cellStyle name="Comma 8 2 3 6" xfId="19470" xr:uid="{00000000-0005-0000-0000-00003B0E0000}"/>
    <cellStyle name="Comma 8 2 3 6 2" xfId="19471" xr:uid="{00000000-0005-0000-0000-00003C0E0000}"/>
    <cellStyle name="Comma 8 2 3 7" xfId="19472" xr:uid="{00000000-0005-0000-0000-00003D0E0000}"/>
    <cellStyle name="Comma 8 2 3 7 2" xfId="19473" xr:uid="{00000000-0005-0000-0000-00003E0E0000}"/>
    <cellStyle name="Comma 8 2 3 8" xfId="19474" xr:uid="{00000000-0005-0000-0000-00003F0E0000}"/>
    <cellStyle name="Comma 8 2 3 8 2" xfId="19475" xr:uid="{00000000-0005-0000-0000-0000400E0000}"/>
    <cellStyle name="Comma 8 2 3 9" xfId="19476" xr:uid="{00000000-0005-0000-0000-0000410E0000}"/>
    <cellStyle name="Comma 8 2 4" xfId="19477" xr:uid="{00000000-0005-0000-0000-0000420E0000}"/>
    <cellStyle name="Comma 8 2 4 10" xfId="19478" xr:uid="{00000000-0005-0000-0000-0000430E0000}"/>
    <cellStyle name="Comma 8 2 4 2" xfId="19479" xr:uid="{00000000-0005-0000-0000-0000440E0000}"/>
    <cellStyle name="Comma 8 2 4 2 2" xfId="19480" xr:uid="{00000000-0005-0000-0000-0000450E0000}"/>
    <cellStyle name="Comma 8 2 4 2 2 2" xfId="19481" xr:uid="{00000000-0005-0000-0000-0000460E0000}"/>
    <cellStyle name="Comma 8 2 4 2 3" xfId="19482" xr:uid="{00000000-0005-0000-0000-0000470E0000}"/>
    <cellStyle name="Comma 8 2 4 2 3 2" xfId="19483" xr:uid="{00000000-0005-0000-0000-0000480E0000}"/>
    <cellStyle name="Comma 8 2 4 2 4" xfId="19484" xr:uid="{00000000-0005-0000-0000-0000490E0000}"/>
    <cellStyle name="Comma 8 2 4 2 4 2" xfId="19485" xr:uid="{00000000-0005-0000-0000-00004A0E0000}"/>
    <cellStyle name="Comma 8 2 4 2 5" xfId="19486" xr:uid="{00000000-0005-0000-0000-00004B0E0000}"/>
    <cellStyle name="Comma 8 2 4 2 6" xfId="19487" xr:uid="{00000000-0005-0000-0000-00004C0E0000}"/>
    <cellStyle name="Comma 8 2 4 3" xfId="19488" xr:uid="{00000000-0005-0000-0000-00004D0E0000}"/>
    <cellStyle name="Comma 8 2 4 3 2" xfId="19489" xr:uid="{00000000-0005-0000-0000-00004E0E0000}"/>
    <cellStyle name="Comma 8 2 4 3 2 2" xfId="19490" xr:uid="{00000000-0005-0000-0000-00004F0E0000}"/>
    <cellStyle name="Comma 8 2 4 3 3" xfId="19491" xr:uid="{00000000-0005-0000-0000-0000500E0000}"/>
    <cellStyle name="Comma 8 2 4 3 3 2" xfId="19492" xr:uid="{00000000-0005-0000-0000-0000510E0000}"/>
    <cellStyle name="Comma 8 2 4 3 4" xfId="19493" xr:uid="{00000000-0005-0000-0000-0000520E0000}"/>
    <cellStyle name="Comma 8 2 4 3 4 2" xfId="19494" xr:uid="{00000000-0005-0000-0000-0000530E0000}"/>
    <cellStyle name="Comma 8 2 4 3 5" xfId="19495" xr:uid="{00000000-0005-0000-0000-0000540E0000}"/>
    <cellStyle name="Comma 8 2 4 3 6" xfId="19496" xr:uid="{00000000-0005-0000-0000-0000550E0000}"/>
    <cellStyle name="Comma 8 2 4 4" xfId="19497" xr:uid="{00000000-0005-0000-0000-0000560E0000}"/>
    <cellStyle name="Comma 8 2 4 4 2" xfId="19498" xr:uid="{00000000-0005-0000-0000-0000570E0000}"/>
    <cellStyle name="Comma 8 2 4 4 2 2" xfId="19499" xr:uid="{00000000-0005-0000-0000-0000580E0000}"/>
    <cellStyle name="Comma 8 2 4 4 3" xfId="19500" xr:uid="{00000000-0005-0000-0000-0000590E0000}"/>
    <cellStyle name="Comma 8 2 4 4 3 2" xfId="19501" xr:uid="{00000000-0005-0000-0000-00005A0E0000}"/>
    <cellStyle name="Comma 8 2 4 4 4" xfId="19502" xr:uid="{00000000-0005-0000-0000-00005B0E0000}"/>
    <cellStyle name="Comma 8 2 4 4 4 2" xfId="19503" xr:uid="{00000000-0005-0000-0000-00005C0E0000}"/>
    <cellStyle name="Comma 8 2 4 4 5" xfId="19504" xr:uid="{00000000-0005-0000-0000-00005D0E0000}"/>
    <cellStyle name="Comma 8 2 4 4 6" xfId="19505" xr:uid="{00000000-0005-0000-0000-00005E0E0000}"/>
    <cellStyle name="Comma 8 2 4 5" xfId="19506" xr:uid="{00000000-0005-0000-0000-00005F0E0000}"/>
    <cellStyle name="Comma 8 2 4 5 2" xfId="19507" xr:uid="{00000000-0005-0000-0000-0000600E0000}"/>
    <cellStyle name="Comma 8 2 4 5 2 2" xfId="19508" xr:uid="{00000000-0005-0000-0000-0000610E0000}"/>
    <cellStyle name="Comma 8 2 4 5 3" xfId="19509" xr:uid="{00000000-0005-0000-0000-0000620E0000}"/>
    <cellStyle name="Comma 8 2 4 5 3 2" xfId="19510" xr:uid="{00000000-0005-0000-0000-0000630E0000}"/>
    <cellStyle name="Comma 8 2 4 5 4" xfId="19511" xr:uid="{00000000-0005-0000-0000-0000640E0000}"/>
    <cellStyle name="Comma 8 2 4 5 5" xfId="19512" xr:uid="{00000000-0005-0000-0000-0000650E0000}"/>
    <cellStyle name="Comma 8 2 4 6" xfId="19513" xr:uid="{00000000-0005-0000-0000-0000660E0000}"/>
    <cellStyle name="Comma 8 2 4 6 2" xfId="19514" xr:uid="{00000000-0005-0000-0000-0000670E0000}"/>
    <cellStyle name="Comma 8 2 4 7" xfId="19515" xr:uid="{00000000-0005-0000-0000-0000680E0000}"/>
    <cellStyle name="Comma 8 2 4 7 2" xfId="19516" xr:uid="{00000000-0005-0000-0000-0000690E0000}"/>
    <cellStyle name="Comma 8 2 4 8" xfId="19517" xr:uid="{00000000-0005-0000-0000-00006A0E0000}"/>
    <cellStyle name="Comma 8 2 4 8 2" xfId="19518" xr:uid="{00000000-0005-0000-0000-00006B0E0000}"/>
    <cellStyle name="Comma 8 2 4 9" xfId="19519" xr:uid="{00000000-0005-0000-0000-00006C0E0000}"/>
    <cellStyle name="Comma 8 2 5" xfId="19520" xr:uid="{00000000-0005-0000-0000-00006D0E0000}"/>
    <cellStyle name="Comma 8 2 5 2" xfId="19521" xr:uid="{00000000-0005-0000-0000-00006E0E0000}"/>
    <cellStyle name="Comma 8 2 5 2 2" xfId="19522" xr:uid="{00000000-0005-0000-0000-00006F0E0000}"/>
    <cellStyle name="Comma 8 2 5 3" xfId="19523" xr:uid="{00000000-0005-0000-0000-0000700E0000}"/>
    <cellStyle name="Comma 8 2 5 3 2" xfId="19524" xr:uid="{00000000-0005-0000-0000-0000710E0000}"/>
    <cellStyle name="Comma 8 2 5 4" xfId="19525" xr:uid="{00000000-0005-0000-0000-0000720E0000}"/>
    <cellStyle name="Comma 8 2 5 4 2" xfId="19526" xr:uid="{00000000-0005-0000-0000-0000730E0000}"/>
    <cellStyle name="Comma 8 2 5 5" xfId="19527" xr:uid="{00000000-0005-0000-0000-0000740E0000}"/>
    <cellStyle name="Comma 8 2 5 6" xfId="19528" xr:uid="{00000000-0005-0000-0000-0000750E0000}"/>
    <cellStyle name="Comma 8 2 6" xfId="19529" xr:uid="{00000000-0005-0000-0000-0000760E0000}"/>
    <cellStyle name="Comma 8 2 6 2" xfId="19530" xr:uid="{00000000-0005-0000-0000-0000770E0000}"/>
    <cellStyle name="Comma 8 2 6 2 2" xfId="19531" xr:uid="{00000000-0005-0000-0000-0000780E0000}"/>
    <cellStyle name="Comma 8 2 6 3" xfId="19532" xr:uid="{00000000-0005-0000-0000-0000790E0000}"/>
    <cellStyle name="Comma 8 2 6 3 2" xfId="19533" xr:uid="{00000000-0005-0000-0000-00007A0E0000}"/>
    <cellStyle name="Comma 8 2 6 4" xfId="19534" xr:uid="{00000000-0005-0000-0000-00007B0E0000}"/>
    <cellStyle name="Comma 8 2 6 4 2" xfId="19535" xr:uid="{00000000-0005-0000-0000-00007C0E0000}"/>
    <cellStyle name="Comma 8 2 6 5" xfId="19536" xr:uid="{00000000-0005-0000-0000-00007D0E0000}"/>
    <cellStyle name="Comma 8 2 6 6" xfId="19537" xr:uid="{00000000-0005-0000-0000-00007E0E0000}"/>
    <cellStyle name="Comma 8 2 7" xfId="19538" xr:uid="{00000000-0005-0000-0000-00007F0E0000}"/>
    <cellStyle name="Comma 8 2 7 2" xfId="19539" xr:uid="{00000000-0005-0000-0000-0000800E0000}"/>
    <cellStyle name="Comma 8 2 7 2 2" xfId="19540" xr:uid="{00000000-0005-0000-0000-0000810E0000}"/>
    <cellStyle name="Comma 8 2 7 3" xfId="19541" xr:uid="{00000000-0005-0000-0000-0000820E0000}"/>
    <cellStyle name="Comma 8 2 7 3 2" xfId="19542" xr:uid="{00000000-0005-0000-0000-0000830E0000}"/>
    <cellStyle name="Comma 8 2 7 4" xfId="19543" xr:uid="{00000000-0005-0000-0000-0000840E0000}"/>
    <cellStyle name="Comma 8 2 7 4 2" xfId="19544" xr:uid="{00000000-0005-0000-0000-0000850E0000}"/>
    <cellStyle name="Comma 8 2 7 5" xfId="19545" xr:uid="{00000000-0005-0000-0000-0000860E0000}"/>
    <cellStyle name="Comma 8 2 7 6" xfId="19546" xr:uid="{00000000-0005-0000-0000-0000870E0000}"/>
    <cellStyle name="Comma 8 2 8" xfId="19547" xr:uid="{00000000-0005-0000-0000-0000880E0000}"/>
    <cellStyle name="Comma 8 2 8 2" xfId="19548" xr:uid="{00000000-0005-0000-0000-0000890E0000}"/>
    <cellStyle name="Comma 8 2 8 2 2" xfId="19549" xr:uid="{00000000-0005-0000-0000-00008A0E0000}"/>
    <cellStyle name="Comma 8 2 8 3" xfId="19550" xr:uid="{00000000-0005-0000-0000-00008B0E0000}"/>
    <cellStyle name="Comma 8 2 8 3 2" xfId="19551" xr:uid="{00000000-0005-0000-0000-00008C0E0000}"/>
    <cellStyle name="Comma 8 2 8 4" xfId="19552" xr:uid="{00000000-0005-0000-0000-00008D0E0000}"/>
    <cellStyle name="Comma 8 2 8 5" xfId="19553" xr:uid="{00000000-0005-0000-0000-00008E0E0000}"/>
    <cellStyle name="Comma 8 2 9" xfId="19554" xr:uid="{00000000-0005-0000-0000-00008F0E0000}"/>
    <cellStyle name="Comma 8 2 9 2" xfId="19555" xr:uid="{00000000-0005-0000-0000-0000900E0000}"/>
    <cellStyle name="Comma 8 3" xfId="11686" xr:uid="{00000000-0005-0000-0000-0000910E0000}"/>
    <cellStyle name="Comma 8 3 10" xfId="19557" xr:uid="{00000000-0005-0000-0000-0000920E0000}"/>
    <cellStyle name="Comma 8 3 10 2" xfId="19558" xr:uid="{00000000-0005-0000-0000-0000930E0000}"/>
    <cellStyle name="Comma 8 3 11" xfId="19559" xr:uid="{00000000-0005-0000-0000-0000940E0000}"/>
    <cellStyle name="Comma 8 3 11 2" xfId="19560" xr:uid="{00000000-0005-0000-0000-0000950E0000}"/>
    <cellStyle name="Comma 8 3 12" xfId="19561" xr:uid="{00000000-0005-0000-0000-0000960E0000}"/>
    <cellStyle name="Comma 8 3 13" xfId="19562" xr:uid="{00000000-0005-0000-0000-0000970E0000}"/>
    <cellStyle name="Comma 8 3 14" xfId="19556" xr:uid="{00000000-0005-0000-0000-0000980E0000}"/>
    <cellStyle name="Comma 8 3 2" xfId="19563" xr:uid="{00000000-0005-0000-0000-0000990E0000}"/>
    <cellStyle name="Comma 8 3 2 10" xfId="19564" xr:uid="{00000000-0005-0000-0000-00009A0E0000}"/>
    <cellStyle name="Comma 8 3 2 11" xfId="19565" xr:uid="{00000000-0005-0000-0000-00009B0E0000}"/>
    <cellStyle name="Comma 8 3 2 2" xfId="19566" xr:uid="{00000000-0005-0000-0000-00009C0E0000}"/>
    <cellStyle name="Comma 8 3 2 2 2" xfId="19567" xr:uid="{00000000-0005-0000-0000-00009D0E0000}"/>
    <cellStyle name="Comma 8 3 2 2 2 2" xfId="19568" xr:uid="{00000000-0005-0000-0000-00009E0E0000}"/>
    <cellStyle name="Comma 8 3 2 2 3" xfId="19569" xr:uid="{00000000-0005-0000-0000-00009F0E0000}"/>
    <cellStyle name="Comma 8 3 2 2 3 2" xfId="19570" xr:uid="{00000000-0005-0000-0000-0000A00E0000}"/>
    <cellStyle name="Comma 8 3 2 2 4" xfId="19571" xr:uid="{00000000-0005-0000-0000-0000A10E0000}"/>
    <cellStyle name="Comma 8 3 2 2 4 2" xfId="19572" xr:uid="{00000000-0005-0000-0000-0000A20E0000}"/>
    <cellStyle name="Comma 8 3 2 2 5" xfId="19573" xr:uid="{00000000-0005-0000-0000-0000A30E0000}"/>
    <cellStyle name="Comma 8 3 2 2 6" xfId="19574" xr:uid="{00000000-0005-0000-0000-0000A40E0000}"/>
    <cellStyle name="Comma 8 3 2 3" xfId="19575" xr:uid="{00000000-0005-0000-0000-0000A50E0000}"/>
    <cellStyle name="Comma 8 3 2 3 2" xfId="19576" xr:uid="{00000000-0005-0000-0000-0000A60E0000}"/>
    <cellStyle name="Comma 8 3 2 3 2 2" xfId="19577" xr:uid="{00000000-0005-0000-0000-0000A70E0000}"/>
    <cellStyle name="Comma 8 3 2 3 3" xfId="19578" xr:uid="{00000000-0005-0000-0000-0000A80E0000}"/>
    <cellStyle name="Comma 8 3 2 3 3 2" xfId="19579" xr:uid="{00000000-0005-0000-0000-0000A90E0000}"/>
    <cellStyle name="Comma 8 3 2 3 4" xfId="19580" xr:uid="{00000000-0005-0000-0000-0000AA0E0000}"/>
    <cellStyle name="Comma 8 3 2 3 4 2" xfId="19581" xr:uid="{00000000-0005-0000-0000-0000AB0E0000}"/>
    <cellStyle name="Comma 8 3 2 3 5" xfId="19582" xr:uid="{00000000-0005-0000-0000-0000AC0E0000}"/>
    <cellStyle name="Comma 8 3 2 3 6" xfId="19583" xr:uid="{00000000-0005-0000-0000-0000AD0E0000}"/>
    <cellStyle name="Comma 8 3 2 4" xfId="19584" xr:uid="{00000000-0005-0000-0000-0000AE0E0000}"/>
    <cellStyle name="Comma 8 3 2 4 2" xfId="19585" xr:uid="{00000000-0005-0000-0000-0000AF0E0000}"/>
    <cellStyle name="Comma 8 3 2 4 2 2" xfId="19586" xr:uid="{00000000-0005-0000-0000-0000B00E0000}"/>
    <cellStyle name="Comma 8 3 2 4 3" xfId="19587" xr:uid="{00000000-0005-0000-0000-0000B10E0000}"/>
    <cellStyle name="Comma 8 3 2 4 3 2" xfId="19588" xr:uid="{00000000-0005-0000-0000-0000B20E0000}"/>
    <cellStyle name="Comma 8 3 2 4 4" xfId="19589" xr:uid="{00000000-0005-0000-0000-0000B30E0000}"/>
    <cellStyle name="Comma 8 3 2 4 4 2" xfId="19590" xr:uid="{00000000-0005-0000-0000-0000B40E0000}"/>
    <cellStyle name="Comma 8 3 2 4 5" xfId="19591" xr:uid="{00000000-0005-0000-0000-0000B50E0000}"/>
    <cellStyle name="Comma 8 3 2 4 6" xfId="19592" xr:uid="{00000000-0005-0000-0000-0000B60E0000}"/>
    <cellStyle name="Comma 8 3 2 5" xfId="19593" xr:uid="{00000000-0005-0000-0000-0000B70E0000}"/>
    <cellStyle name="Comma 8 3 2 5 2" xfId="19594" xr:uid="{00000000-0005-0000-0000-0000B80E0000}"/>
    <cellStyle name="Comma 8 3 2 5 2 2" xfId="19595" xr:uid="{00000000-0005-0000-0000-0000B90E0000}"/>
    <cellStyle name="Comma 8 3 2 5 3" xfId="19596" xr:uid="{00000000-0005-0000-0000-0000BA0E0000}"/>
    <cellStyle name="Comma 8 3 2 5 3 2" xfId="19597" xr:uid="{00000000-0005-0000-0000-0000BB0E0000}"/>
    <cellStyle name="Comma 8 3 2 5 4" xfId="19598" xr:uid="{00000000-0005-0000-0000-0000BC0E0000}"/>
    <cellStyle name="Comma 8 3 2 5 4 2" xfId="19599" xr:uid="{00000000-0005-0000-0000-0000BD0E0000}"/>
    <cellStyle name="Comma 8 3 2 5 5" xfId="19600" xr:uid="{00000000-0005-0000-0000-0000BE0E0000}"/>
    <cellStyle name="Comma 8 3 2 5 6" xfId="19601" xr:uid="{00000000-0005-0000-0000-0000BF0E0000}"/>
    <cellStyle name="Comma 8 3 2 6" xfId="19602" xr:uid="{00000000-0005-0000-0000-0000C00E0000}"/>
    <cellStyle name="Comma 8 3 2 6 2" xfId="19603" xr:uid="{00000000-0005-0000-0000-0000C10E0000}"/>
    <cellStyle name="Comma 8 3 2 6 2 2" xfId="19604" xr:uid="{00000000-0005-0000-0000-0000C20E0000}"/>
    <cellStyle name="Comma 8 3 2 6 3" xfId="19605" xr:uid="{00000000-0005-0000-0000-0000C30E0000}"/>
    <cellStyle name="Comma 8 3 2 6 3 2" xfId="19606" xr:uid="{00000000-0005-0000-0000-0000C40E0000}"/>
    <cellStyle name="Comma 8 3 2 6 4" xfId="19607" xr:uid="{00000000-0005-0000-0000-0000C50E0000}"/>
    <cellStyle name="Comma 8 3 2 6 5" xfId="19608" xr:uid="{00000000-0005-0000-0000-0000C60E0000}"/>
    <cellStyle name="Comma 8 3 2 7" xfId="19609" xr:uid="{00000000-0005-0000-0000-0000C70E0000}"/>
    <cellStyle name="Comma 8 3 2 7 2" xfId="19610" xr:uid="{00000000-0005-0000-0000-0000C80E0000}"/>
    <cellStyle name="Comma 8 3 2 8" xfId="19611" xr:uid="{00000000-0005-0000-0000-0000C90E0000}"/>
    <cellStyle name="Comma 8 3 2 8 2" xfId="19612" xr:uid="{00000000-0005-0000-0000-0000CA0E0000}"/>
    <cellStyle name="Comma 8 3 2 9" xfId="19613" xr:uid="{00000000-0005-0000-0000-0000CB0E0000}"/>
    <cellStyle name="Comma 8 3 2 9 2" xfId="19614" xr:uid="{00000000-0005-0000-0000-0000CC0E0000}"/>
    <cellStyle name="Comma 8 3 3" xfId="19615" xr:uid="{00000000-0005-0000-0000-0000CD0E0000}"/>
    <cellStyle name="Comma 8 3 3 10" xfId="19616" xr:uid="{00000000-0005-0000-0000-0000CE0E0000}"/>
    <cellStyle name="Comma 8 3 3 2" xfId="19617" xr:uid="{00000000-0005-0000-0000-0000CF0E0000}"/>
    <cellStyle name="Comma 8 3 3 2 2" xfId="19618" xr:uid="{00000000-0005-0000-0000-0000D00E0000}"/>
    <cellStyle name="Comma 8 3 3 2 2 2" xfId="19619" xr:uid="{00000000-0005-0000-0000-0000D10E0000}"/>
    <cellStyle name="Comma 8 3 3 2 3" xfId="19620" xr:uid="{00000000-0005-0000-0000-0000D20E0000}"/>
    <cellStyle name="Comma 8 3 3 2 3 2" xfId="19621" xr:uid="{00000000-0005-0000-0000-0000D30E0000}"/>
    <cellStyle name="Comma 8 3 3 2 4" xfId="19622" xr:uid="{00000000-0005-0000-0000-0000D40E0000}"/>
    <cellStyle name="Comma 8 3 3 2 4 2" xfId="19623" xr:uid="{00000000-0005-0000-0000-0000D50E0000}"/>
    <cellStyle name="Comma 8 3 3 2 5" xfId="19624" xr:uid="{00000000-0005-0000-0000-0000D60E0000}"/>
    <cellStyle name="Comma 8 3 3 2 6" xfId="19625" xr:uid="{00000000-0005-0000-0000-0000D70E0000}"/>
    <cellStyle name="Comma 8 3 3 3" xfId="19626" xr:uid="{00000000-0005-0000-0000-0000D80E0000}"/>
    <cellStyle name="Comma 8 3 3 3 2" xfId="19627" xr:uid="{00000000-0005-0000-0000-0000D90E0000}"/>
    <cellStyle name="Comma 8 3 3 3 2 2" xfId="19628" xr:uid="{00000000-0005-0000-0000-0000DA0E0000}"/>
    <cellStyle name="Comma 8 3 3 3 3" xfId="19629" xr:uid="{00000000-0005-0000-0000-0000DB0E0000}"/>
    <cellStyle name="Comma 8 3 3 3 3 2" xfId="19630" xr:uid="{00000000-0005-0000-0000-0000DC0E0000}"/>
    <cellStyle name="Comma 8 3 3 3 4" xfId="19631" xr:uid="{00000000-0005-0000-0000-0000DD0E0000}"/>
    <cellStyle name="Comma 8 3 3 3 4 2" xfId="19632" xr:uid="{00000000-0005-0000-0000-0000DE0E0000}"/>
    <cellStyle name="Comma 8 3 3 3 5" xfId="19633" xr:uid="{00000000-0005-0000-0000-0000DF0E0000}"/>
    <cellStyle name="Comma 8 3 3 3 6" xfId="19634" xr:uid="{00000000-0005-0000-0000-0000E00E0000}"/>
    <cellStyle name="Comma 8 3 3 4" xfId="19635" xr:uid="{00000000-0005-0000-0000-0000E10E0000}"/>
    <cellStyle name="Comma 8 3 3 4 2" xfId="19636" xr:uid="{00000000-0005-0000-0000-0000E20E0000}"/>
    <cellStyle name="Comma 8 3 3 4 2 2" xfId="19637" xr:uid="{00000000-0005-0000-0000-0000E30E0000}"/>
    <cellStyle name="Comma 8 3 3 4 3" xfId="19638" xr:uid="{00000000-0005-0000-0000-0000E40E0000}"/>
    <cellStyle name="Comma 8 3 3 4 3 2" xfId="19639" xr:uid="{00000000-0005-0000-0000-0000E50E0000}"/>
    <cellStyle name="Comma 8 3 3 4 4" xfId="19640" xr:uid="{00000000-0005-0000-0000-0000E60E0000}"/>
    <cellStyle name="Comma 8 3 3 4 4 2" xfId="19641" xr:uid="{00000000-0005-0000-0000-0000E70E0000}"/>
    <cellStyle name="Comma 8 3 3 4 5" xfId="19642" xr:uid="{00000000-0005-0000-0000-0000E80E0000}"/>
    <cellStyle name="Comma 8 3 3 4 6" xfId="19643" xr:uid="{00000000-0005-0000-0000-0000E90E0000}"/>
    <cellStyle name="Comma 8 3 3 5" xfId="19644" xr:uid="{00000000-0005-0000-0000-0000EA0E0000}"/>
    <cellStyle name="Comma 8 3 3 5 2" xfId="19645" xr:uid="{00000000-0005-0000-0000-0000EB0E0000}"/>
    <cellStyle name="Comma 8 3 3 5 2 2" xfId="19646" xr:uid="{00000000-0005-0000-0000-0000EC0E0000}"/>
    <cellStyle name="Comma 8 3 3 5 3" xfId="19647" xr:uid="{00000000-0005-0000-0000-0000ED0E0000}"/>
    <cellStyle name="Comma 8 3 3 5 3 2" xfId="19648" xr:uid="{00000000-0005-0000-0000-0000EE0E0000}"/>
    <cellStyle name="Comma 8 3 3 5 4" xfId="19649" xr:uid="{00000000-0005-0000-0000-0000EF0E0000}"/>
    <cellStyle name="Comma 8 3 3 5 5" xfId="19650" xr:uid="{00000000-0005-0000-0000-0000F00E0000}"/>
    <cellStyle name="Comma 8 3 3 6" xfId="19651" xr:uid="{00000000-0005-0000-0000-0000F10E0000}"/>
    <cellStyle name="Comma 8 3 3 6 2" xfId="19652" xr:uid="{00000000-0005-0000-0000-0000F20E0000}"/>
    <cellStyle name="Comma 8 3 3 7" xfId="19653" xr:uid="{00000000-0005-0000-0000-0000F30E0000}"/>
    <cellStyle name="Comma 8 3 3 7 2" xfId="19654" xr:uid="{00000000-0005-0000-0000-0000F40E0000}"/>
    <cellStyle name="Comma 8 3 3 8" xfId="19655" xr:uid="{00000000-0005-0000-0000-0000F50E0000}"/>
    <cellStyle name="Comma 8 3 3 8 2" xfId="19656" xr:uid="{00000000-0005-0000-0000-0000F60E0000}"/>
    <cellStyle name="Comma 8 3 3 9" xfId="19657" xr:uid="{00000000-0005-0000-0000-0000F70E0000}"/>
    <cellStyle name="Comma 8 3 4" xfId="19658" xr:uid="{00000000-0005-0000-0000-0000F80E0000}"/>
    <cellStyle name="Comma 8 3 4 10" xfId="19659" xr:uid="{00000000-0005-0000-0000-0000F90E0000}"/>
    <cellStyle name="Comma 8 3 4 2" xfId="19660" xr:uid="{00000000-0005-0000-0000-0000FA0E0000}"/>
    <cellStyle name="Comma 8 3 4 2 2" xfId="19661" xr:uid="{00000000-0005-0000-0000-0000FB0E0000}"/>
    <cellStyle name="Comma 8 3 4 2 2 2" xfId="19662" xr:uid="{00000000-0005-0000-0000-0000FC0E0000}"/>
    <cellStyle name="Comma 8 3 4 2 3" xfId="19663" xr:uid="{00000000-0005-0000-0000-0000FD0E0000}"/>
    <cellStyle name="Comma 8 3 4 2 3 2" xfId="19664" xr:uid="{00000000-0005-0000-0000-0000FE0E0000}"/>
    <cellStyle name="Comma 8 3 4 2 4" xfId="19665" xr:uid="{00000000-0005-0000-0000-0000FF0E0000}"/>
    <cellStyle name="Comma 8 3 4 2 4 2" xfId="19666" xr:uid="{00000000-0005-0000-0000-0000000F0000}"/>
    <cellStyle name="Comma 8 3 4 2 5" xfId="19667" xr:uid="{00000000-0005-0000-0000-0000010F0000}"/>
    <cellStyle name="Comma 8 3 4 2 6" xfId="19668" xr:uid="{00000000-0005-0000-0000-0000020F0000}"/>
    <cellStyle name="Comma 8 3 4 3" xfId="19669" xr:uid="{00000000-0005-0000-0000-0000030F0000}"/>
    <cellStyle name="Comma 8 3 4 3 2" xfId="19670" xr:uid="{00000000-0005-0000-0000-0000040F0000}"/>
    <cellStyle name="Comma 8 3 4 3 2 2" xfId="19671" xr:uid="{00000000-0005-0000-0000-0000050F0000}"/>
    <cellStyle name="Comma 8 3 4 3 3" xfId="19672" xr:uid="{00000000-0005-0000-0000-0000060F0000}"/>
    <cellStyle name="Comma 8 3 4 3 3 2" xfId="19673" xr:uid="{00000000-0005-0000-0000-0000070F0000}"/>
    <cellStyle name="Comma 8 3 4 3 4" xfId="19674" xr:uid="{00000000-0005-0000-0000-0000080F0000}"/>
    <cellStyle name="Comma 8 3 4 3 4 2" xfId="19675" xr:uid="{00000000-0005-0000-0000-0000090F0000}"/>
    <cellStyle name="Comma 8 3 4 3 5" xfId="19676" xr:uid="{00000000-0005-0000-0000-00000A0F0000}"/>
    <cellStyle name="Comma 8 3 4 3 6" xfId="19677" xr:uid="{00000000-0005-0000-0000-00000B0F0000}"/>
    <cellStyle name="Comma 8 3 4 4" xfId="19678" xr:uid="{00000000-0005-0000-0000-00000C0F0000}"/>
    <cellStyle name="Comma 8 3 4 4 2" xfId="19679" xr:uid="{00000000-0005-0000-0000-00000D0F0000}"/>
    <cellStyle name="Comma 8 3 4 4 2 2" xfId="19680" xr:uid="{00000000-0005-0000-0000-00000E0F0000}"/>
    <cellStyle name="Comma 8 3 4 4 3" xfId="19681" xr:uid="{00000000-0005-0000-0000-00000F0F0000}"/>
    <cellStyle name="Comma 8 3 4 4 3 2" xfId="19682" xr:uid="{00000000-0005-0000-0000-0000100F0000}"/>
    <cellStyle name="Comma 8 3 4 4 4" xfId="19683" xr:uid="{00000000-0005-0000-0000-0000110F0000}"/>
    <cellStyle name="Comma 8 3 4 4 4 2" xfId="19684" xr:uid="{00000000-0005-0000-0000-0000120F0000}"/>
    <cellStyle name="Comma 8 3 4 4 5" xfId="19685" xr:uid="{00000000-0005-0000-0000-0000130F0000}"/>
    <cellStyle name="Comma 8 3 4 4 6" xfId="19686" xr:uid="{00000000-0005-0000-0000-0000140F0000}"/>
    <cellStyle name="Comma 8 3 4 5" xfId="19687" xr:uid="{00000000-0005-0000-0000-0000150F0000}"/>
    <cellStyle name="Comma 8 3 4 5 2" xfId="19688" xr:uid="{00000000-0005-0000-0000-0000160F0000}"/>
    <cellStyle name="Comma 8 3 4 5 2 2" xfId="19689" xr:uid="{00000000-0005-0000-0000-0000170F0000}"/>
    <cellStyle name="Comma 8 3 4 5 3" xfId="19690" xr:uid="{00000000-0005-0000-0000-0000180F0000}"/>
    <cellStyle name="Comma 8 3 4 5 3 2" xfId="19691" xr:uid="{00000000-0005-0000-0000-0000190F0000}"/>
    <cellStyle name="Comma 8 3 4 5 4" xfId="19692" xr:uid="{00000000-0005-0000-0000-00001A0F0000}"/>
    <cellStyle name="Comma 8 3 4 5 5" xfId="19693" xr:uid="{00000000-0005-0000-0000-00001B0F0000}"/>
    <cellStyle name="Comma 8 3 4 6" xfId="19694" xr:uid="{00000000-0005-0000-0000-00001C0F0000}"/>
    <cellStyle name="Comma 8 3 4 6 2" xfId="19695" xr:uid="{00000000-0005-0000-0000-00001D0F0000}"/>
    <cellStyle name="Comma 8 3 4 7" xfId="19696" xr:uid="{00000000-0005-0000-0000-00001E0F0000}"/>
    <cellStyle name="Comma 8 3 4 7 2" xfId="19697" xr:uid="{00000000-0005-0000-0000-00001F0F0000}"/>
    <cellStyle name="Comma 8 3 4 8" xfId="19698" xr:uid="{00000000-0005-0000-0000-0000200F0000}"/>
    <cellStyle name="Comma 8 3 4 8 2" xfId="19699" xr:uid="{00000000-0005-0000-0000-0000210F0000}"/>
    <cellStyle name="Comma 8 3 4 9" xfId="19700" xr:uid="{00000000-0005-0000-0000-0000220F0000}"/>
    <cellStyle name="Comma 8 3 5" xfId="19701" xr:uid="{00000000-0005-0000-0000-0000230F0000}"/>
    <cellStyle name="Comma 8 3 5 2" xfId="19702" xr:uid="{00000000-0005-0000-0000-0000240F0000}"/>
    <cellStyle name="Comma 8 3 5 2 2" xfId="19703" xr:uid="{00000000-0005-0000-0000-0000250F0000}"/>
    <cellStyle name="Comma 8 3 5 3" xfId="19704" xr:uid="{00000000-0005-0000-0000-0000260F0000}"/>
    <cellStyle name="Comma 8 3 5 3 2" xfId="19705" xr:uid="{00000000-0005-0000-0000-0000270F0000}"/>
    <cellStyle name="Comma 8 3 5 4" xfId="19706" xr:uid="{00000000-0005-0000-0000-0000280F0000}"/>
    <cellStyle name="Comma 8 3 5 4 2" xfId="19707" xr:uid="{00000000-0005-0000-0000-0000290F0000}"/>
    <cellStyle name="Comma 8 3 5 5" xfId="19708" xr:uid="{00000000-0005-0000-0000-00002A0F0000}"/>
    <cellStyle name="Comma 8 3 5 6" xfId="19709" xr:uid="{00000000-0005-0000-0000-00002B0F0000}"/>
    <cellStyle name="Comma 8 3 6" xfId="19710" xr:uid="{00000000-0005-0000-0000-00002C0F0000}"/>
    <cellStyle name="Comma 8 3 6 2" xfId="19711" xr:uid="{00000000-0005-0000-0000-00002D0F0000}"/>
    <cellStyle name="Comma 8 3 6 2 2" xfId="19712" xr:uid="{00000000-0005-0000-0000-00002E0F0000}"/>
    <cellStyle name="Comma 8 3 6 3" xfId="19713" xr:uid="{00000000-0005-0000-0000-00002F0F0000}"/>
    <cellStyle name="Comma 8 3 6 3 2" xfId="19714" xr:uid="{00000000-0005-0000-0000-0000300F0000}"/>
    <cellStyle name="Comma 8 3 6 4" xfId="19715" xr:uid="{00000000-0005-0000-0000-0000310F0000}"/>
    <cellStyle name="Comma 8 3 6 4 2" xfId="19716" xr:uid="{00000000-0005-0000-0000-0000320F0000}"/>
    <cellStyle name="Comma 8 3 6 5" xfId="19717" xr:uid="{00000000-0005-0000-0000-0000330F0000}"/>
    <cellStyle name="Comma 8 3 6 6" xfId="19718" xr:uid="{00000000-0005-0000-0000-0000340F0000}"/>
    <cellStyle name="Comma 8 3 7" xfId="19719" xr:uid="{00000000-0005-0000-0000-0000350F0000}"/>
    <cellStyle name="Comma 8 3 7 2" xfId="19720" xr:uid="{00000000-0005-0000-0000-0000360F0000}"/>
    <cellStyle name="Comma 8 3 7 2 2" xfId="19721" xr:uid="{00000000-0005-0000-0000-0000370F0000}"/>
    <cellStyle name="Comma 8 3 7 3" xfId="19722" xr:uid="{00000000-0005-0000-0000-0000380F0000}"/>
    <cellStyle name="Comma 8 3 7 3 2" xfId="19723" xr:uid="{00000000-0005-0000-0000-0000390F0000}"/>
    <cellStyle name="Comma 8 3 7 4" xfId="19724" xr:uid="{00000000-0005-0000-0000-00003A0F0000}"/>
    <cellStyle name="Comma 8 3 7 4 2" xfId="19725" xr:uid="{00000000-0005-0000-0000-00003B0F0000}"/>
    <cellStyle name="Comma 8 3 7 5" xfId="19726" xr:uid="{00000000-0005-0000-0000-00003C0F0000}"/>
    <cellStyle name="Comma 8 3 7 6" xfId="19727" xr:uid="{00000000-0005-0000-0000-00003D0F0000}"/>
    <cellStyle name="Comma 8 3 8" xfId="19728" xr:uid="{00000000-0005-0000-0000-00003E0F0000}"/>
    <cellStyle name="Comma 8 3 8 2" xfId="19729" xr:uid="{00000000-0005-0000-0000-00003F0F0000}"/>
    <cellStyle name="Comma 8 3 8 2 2" xfId="19730" xr:uid="{00000000-0005-0000-0000-0000400F0000}"/>
    <cellStyle name="Comma 8 3 8 3" xfId="19731" xr:uid="{00000000-0005-0000-0000-0000410F0000}"/>
    <cellStyle name="Comma 8 3 8 3 2" xfId="19732" xr:uid="{00000000-0005-0000-0000-0000420F0000}"/>
    <cellStyle name="Comma 8 3 8 4" xfId="19733" xr:uid="{00000000-0005-0000-0000-0000430F0000}"/>
    <cellStyle name="Comma 8 3 8 5" xfId="19734" xr:uid="{00000000-0005-0000-0000-0000440F0000}"/>
    <cellStyle name="Comma 8 3 9" xfId="19735" xr:uid="{00000000-0005-0000-0000-0000450F0000}"/>
    <cellStyle name="Comma 8 3 9 2" xfId="19736" xr:uid="{00000000-0005-0000-0000-0000460F0000}"/>
    <cellStyle name="Comma 8 4" xfId="11687" xr:uid="{00000000-0005-0000-0000-0000470F0000}"/>
    <cellStyle name="Comma 8 4 10" xfId="19738" xr:uid="{00000000-0005-0000-0000-0000480F0000}"/>
    <cellStyle name="Comma 8 4 10 2" xfId="19739" xr:uid="{00000000-0005-0000-0000-0000490F0000}"/>
    <cellStyle name="Comma 8 4 11" xfId="19740" xr:uid="{00000000-0005-0000-0000-00004A0F0000}"/>
    <cellStyle name="Comma 8 4 12" xfId="19741" xr:uid="{00000000-0005-0000-0000-00004B0F0000}"/>
    <cellStyle name="Comma 8 4 13" xfId="19737" xr:uid="{00000000-0005-0000-0000-00004C0F0000}"/>
    <cellStyle name="Comma 8 4 2" xfId="19742" xr:uid="{00000000-0005-0000-0000-00004D0F0000}"/>
    <cellStyle name="Comma 8 4 2 10" xfId="19743" xr:uid="{00000000-0005-0000-0000-00004E0F0000}"/>
    <cellStyle name="Comma 8 4 2 2" xfId="19744" xr:uid="{00000000-0005-0000-0000-00004F0F0000}"/>
    <cellStyle name="Comma 8 4 2 2 2" xfId="19745" xr:uid="{00000000-0005-0000-0000-0000500F0000}"/>
    <cellStyle name="Comma 8 4 2 2 2 2" xfId="19746" xr:uid="{00000000-0005-0000-0000-0000510F0000}"/>
    <cellStyle name="Comma 8 4 2 2 3" xfId="19747" xr:uid="{00000000-0005-0000-0000-0000520F0000}"/>
    <cellStyle name="Comma 8 4 2 2 3 2" xfId="19748" xr:uid="{00000000-0005-0000-0000-0000530F0000}"/>
    <cellStyle name="Comma 8 4 2 2 4" xfId="19749" xr:uid="{00000000-0005-0000-0000-0000540F0000}"/>
    <cellStyle name="Comma 8 4 2 2 4 2" xfId="19750" xr:uid="{00000000-0005-0000-0000-0000550F0000}"/>
    <cellStyle name="Comma 8 4 2 2 5" xfId="19751" xr:uid="{00000000-0005-0000-0000-0000560F0000}"/>
    <cellStyle name="Comma 8 4 2 2 6" xfId="19752" xr:uid="{00000000-0005-0000-0000-0000570F0000}"/>
    <cellStyle name="Comma 8 4 2 3" xfId="19753" xr:uid="{00000000-0005-0000-0000-0000580F0000}"/>
    <cellStyle name="Comma 8 4 2 3 2" xfId="19754" xr:uid="{00000000-0005-0000-0000-0000590F0000}"/>
    <cellStyle name="Comma 8 4 2 3 2 2" xfId="19755" xr:uid="{00000000-0005-0000-0000-00005A0F0000}"/>
    <cellStyle name="Comma 8 4 2 3 3" xfId="19756" xr:uid="{00000000-0005-0000-0000-00005B0F0000}"/>
    <cellStyle name="Comma 8 4 2 3 3 2" xfId="19757" xr:uid="{00000000-0005-0000-0000-00005C0F0000}"/>
    <cellStyle name="Comma 8 4 2 3 4" xfId="19758" xr:uid="{00000000-0005-0000-0000-00005D0F0000}"/>
    <cellStyle name="Comma 8 4 2 3 4 2" xfId="19759" xr:uid="{00000000-0005-0000-0000-00005E0F0000}"/>
    <cellStyle name="Comma 8 4 2 3 5" xfId="19760" xr:uid="{00000000-0005-0000-0000-00005F0F0000}"/>
    <cellStyle name="Comma 8 4 2 3 6" xfId="19761" xr:uid="{00000000-0005-0000-0000-0000600F0000}"/>
    <cellStyle name="Comma 8 4 2 4" xfId="19762" xr:uid="{00000000-0005-0000-0000-0000610F0000}"/>
    <cellStyle name="Comma 8 4 2 4 2" xfId="19763" xr:uid="{00000000-0005-0000-0000-0000620F0000}"/>
    <cellStyle name="Comma 8 4 2 4 2 2" xfId="19764" xr:uid="{00000000-0005-0000-0000-0000630F0000}"/>
    <cellStyle name="Comma 8 4 2 4 3" xfId="19765" xr:uid="{00000000-0005-0000-0000-0000640F0000}"/>
    <cellStyle name="Comma 8 4 2 4 3 2" xfId="19766" xr:uid="{00000000-0005-0000-0000-0000650F0000}"/>
    <cellStyle name="Comma 8 4 2 4 4" xfId="19767" xr:uid="{00000000-0005-0000-0000-0000660F0000}"/>
    <cellStyle name="Comma 8 4 2 4 4 2" xfId="19768" xr:uid="{00000000-0005-0000-0000-0000670F0000}"/>
    <cellStyle name="Comma 8 4 2 4 5" xfId="19769" xr:uid="{00000000-0005-0000-0000-0000680F0000}"/>
    <cellStyle name="Comma 8 4 2 4 6" xfId="19770" xr:uid="{00000000-0005-0000-0000-0000690F0000}"/>
    <cellStyle name="Comma 8 4 2 5" xfId="19771" xr:uid="{00000000-0005-0000-0000-00006A0F0000}"/>
    <cellStyle name="Comma 8 4 2 5 2" xfId="19772" xr:uid="{00000000-0005-0000-0000-00006B0F0000}"/>
    <cellStyle name="Comma 8 4 2 5 2 2" xfId="19773" xr:uid="{00000000-0005-0000-0000-00006C0F0000}"/>
    <cellStyle name="Comma 8 4 2 5 3" xfId="19774" xr:uid="{00000000-0005-0000-0000-00006D0F0000}"/>
    <cellStyle name="Comma 8 4 2 5 3 2" xfId="19775" xr:uid="{00000000-0005-0000-0000-00006E0F0000}"/>
    <cellStyle name="Comma 8 4 2 5 4" xfId="19776" xr:uid="{00000000-0005-0000-0000-00006F0F0000}"/>
    <cellStyle name="Comma 8 4 2 5 5" xfId="19777" xr:uid="{00000000-0005-0000-0000-0000700F0000}"/>
    <cellStyle name="Comma 8 4 2 6" xfId="19778" xr:uid="{00000000-0005-0000-0000-0000710F0000}"/>
    <cellStyle name="Comma 8 4 2 6 2" xfId="19779" xr:uid="{00000000-0005-0000-0000-0000720F0000}"/>
    <cellStyle name="Comma 8 4 2 7" xfId="19780" xr:uid="{00000000-0005-0000-0000-0000730F0000}"/>
    <cellStyle name="Comma 8 4 2 7 2" xfId="19781" xr:uid="{00000000-0005-0000-0000-0000740F0000}"/>
    <cellStyle name="Comma 8 4 2 8" xfId="19782" xr:uid="{00000000-0005-0000-0000-0000750F0000}"/>
    <cellStyle name="Comma 8 4 2 8 2" xfId="19783" xr:uid="{00000000-0005-0000-0000-0000760F0000}"/>
    <cellStyle name="Comma 8 4 2 9" xfId="19784" xr:uid="{00000000-0005-0000-0000-0000770F0000}"/>
    <cellStyle name="Comma 8 4 3" xfId="19785" xr:uid="{00000000-0005-0000-0000-0000780F0000}"/>
    <cellStyle name="Comma 8 4 3 10" xfId="19786" xr:uid="{00000000-0005-0000-0000-0000790F0000}"/>
    <cellStyle name="Comma 8 4 3 2" xfId="19787" xr:uid="{00000000-0005-0000-0000-00007A0F0000}"/>
    <cellStyle name="Comma 8 4 3 2 2" xfId="19788" xr:uid="{00000000-0005-0000-0000-00007B0F0000}"/>
    <cellStyle name="Comma 8 4 3 2 2 2" xfId="19789" xr:uid="{00000000-0005-0000-0000-00007C0F0000}"/>
    <cellStyle name="Comma 8 4 3 2 3" xfId="19790" xr:uid="{00000000-0005-0000-0000-00007D0F0000}"/>
    <cellStyle name="Comma 8 4 3 2 3 2" xfId="19791" xr:uid="{00000000-0005-0000-0000-00007E0F0000}"/>
    <cellStyle name="Comma 8 4 3 2 4" xfId="19792" xr:uid="{00000000-0005-0000-0000-00007F0F0000}"/>
    <cellStyle name="Comma 8 4 3 2 4 2" xfId="19793" xr:uid="{00000000-0005-0000-0000-0000800F0000}"/>
    <cellStyle name="Comma 8 4 3 2 5" xfId="19794" xr:uid="{00000000-0005-0000-0000-0000810F0000}"/>
    <cellStyle name="Comma 8 4 3 2 6" xfId="19795" xr:uid="{00000000-0005-0000-0000-0000820F0000}"/>
    <cellStyle name="Comma 8 4 3 3" xfId="19796" xr:uid="{00000000-0005-0000-0000-0000830F0000}"/>
    <cellStyle name="Comma 8 4 3 3 2" xfId="19797" xr:uid="{00000000-0005-0000-0000-0000840F0000}"/>
    <cellStyle name="Comma 8 4 3 3 2 2" xfId="19798" xr:uid="{00000000-0005-0000-0000-0000850F0000}"/>
    <cellStyle name="Comma 8 4 3 3 3" xfId="19799" xr:uid="{00000000-0005-0000-0000-0000860F0000}"/>
    <cellStyle name="Comma 8 4 3 3 3 2" xfId="19800" xr:uid="{00000000-0005-0000-0000-0000870F0000}"/>
    <cellStyle name="Comma 8 4 3 3 4" xfId="19801" xr:uid="{00000000-0005-0000-0000-0000880F0000}"/>
    <cellStyle name="Comma 8 4 3 3 4 2" xfId="19802" xr:uid="{00000000-0005-0000-0000-0000890F0000}"/>
    <cellStyle name="Comma 8 4 3 3 5" xfId="19803" xr:uid="{00000000-0005-0000-0000-00008A0F0000}"/>
    <cellStyle name="Comma 8 4 3 3 6" xfId="19804" xr:uid="{00000000-0005-0000-0000-00008B0F0000}"/>
    <cellStyle name="Comma 8 4 3 4" xfId="19805" xr:uid="{00000000-0005-0000-0000-00008C0F0000}"/>
    <cellStyle name="Comma 8 4 3 4 2" xfId="19806" xr:uid="{00000000-0005-0000-0000-00008D0F0000}"/>
    <cellStyle name="Comma 8 4 3 4 2 2" xfId="19807" xr:uid="{00000000-0005-0000-0000-00008E0F0000}"/>
    <cellStyle name="Comma 8 4 3 4 3" xfId="19808" xr:uid="{00000000-0005-0000-0000-00008F0F0000}"/>
    <cellStyle name="Comma 8 4 3 4 3 2" xfId="19809" xr:uid="{00000000-0005-0000-0000-0000900F0000}"/>
    <cellStyle name="Comma 8 4 3 4 4" xfId="19810" xr:uid="{00000000-0005-0000-0000-0000910F0000}"/>
    <cellStyle name="Comma 8 4 3 4 4 2" xfId="19811" xr:uid="{00000000-0005-0000-0000-0000920F0000}"/>
    <cellStyle name="Comma 8 4 3 4 5" xfId="19812" xr:uid="{00000000-0005-0000-0000-0000930F0000}"/>
    <cellStyle name="Comma 8 4 3 4 6" xfId="19813" xr:uid="{00000000-0005-0000-0000-0000940F0000}"/>
    <cellStyle name="Comma 8 4 3 5" xfId="19814" xr:uid="{00000000-0005-0000-0000-0000950F0000}"/>
    <cellStyle name="Comma 8 4 3 5 2" xfId="19815" xr:uid="{00000000-0005-0000-0000-0000960F0000}"/>
    <cellStyle name="Comma 8 4 3 5 2 2" xfId="19816" xr:uid="{00000000-0005-0000-0000-0000970F0000}"/>
    <cellStyle name="Comma 8 4 3 5 3" xfId="19817" xr:uid="{00000000-0005-0000-0000-0000980F0000}"/>
    <cellStyle name="Comma 8 4 3 5 3 2" xfId="19818" xr:uid="{00000000-0005-0000-0000-0000990F0000}"/>
    <cellStyle name="Comma 8 4 3 5 4" xfId="19819" xr:uid="{00000000-0005-0000-0000-00009A0F0000}"/>
    <cellStyle name="Comma 8 4 3 5 5" xfId="19820" xr:uid="{00000000-0005-0000-0000-00009B0F0000}"/>
    <cellStyle name="Comma 8 4 3 6" xfId="19821" xr:uid="{00000000-0005-0000-0000-00009C0F0000}"/>
    <cellStyle name="Comma 8 4 3 6 2" xfId="19822" xr:uid="{00000000-0005-0000-0000-00009D0F0000}"/>
    <cellStyle name="Comma 8 4 3 7" xfId="19823" xr:uid="{00000000-0005-0000-0000-00009E0F0000}"/>
    <cellStyle name="Comma 8 4 3 7 2" xfId="19824" xr:uid="{00000000-0005-0000-0000-00009F0F0000}"/>
    <cellStyle name="Comma 8 4 3 8" xfId="19825" xr:uid="{00000000-0005-0000-0000-0000A00F0000}"/>
    <cellStyle name="Comma 8 4 3 8 2" xfId="19826" xr:uid="{00000000-0005-0000-0000-0000A10F0000}"/>
    <cellStyle name="Comma 8 4 3 9" xfId="19827" xr:uid="{00000000-0005-0000-0000-0000A20F0000}"/>
    <cellStyle name="Comma 8 4 4" xfId="19828" xr:uid="{00000000-0005-0000-0000-0000A30F0000}"/>
    <cellStyle name="Comma 8 4 4 2" xfId="19829" xr:uid="{00000000-0005-0000-0000-0000A40F0000}"/>
    <cellStyle name="Comma 8 4 4 2 2" xfId="19830" xr:uid="{00000000-0005-0000-0000-0000A50F0000}"/>
    <cellStyle name="Comma 8 4 4 3" xfId="19831" xr:uid="{00000000-0005-0000-0000-0000A60F0000}"/>
    <cellStyle name="Comma 8 4 4 3 2" xfId="19832" xr:uid="{00000000-0005-0000-0000-0000A70F0000}"/>
    <cellStyle name="Comma 8 4 4 4" xfId="19833" xr:uid="{00000000-0005-0000-0000-0000A80F0000}"/>
    <cellStyle name="Comma 8 4 4 4 2" xfId="19834" xr:uid="{00000000-0005-0000-0000-0000A90F0000}"/>
    <cellStyle name="Comma 8 4 4 5" xfId="19835" xr:uid="{00000000-0005-0000-0000-0000AA0F0000}"/>
    <cellStyle name="Comma 8 4 4 6" xfId="19836" xr:uid="{00000000-0005-0000-0000-0000AB0F0000}"/>
    <cellStyle name="Comma 8 4 5" xfId="19837" xr:uid="{00000000-0005-0000-0000-0000AC0F0000}"/>
    <cellStyle name="Comma 8 4 5 2" xfId="19838" xr:uid="{00000000-0005-0000-0000-0000AD0F0000}"/>
    <cellStyle name="Comma 8 4 5 2 2" xfId="19839" xr:uid="{00000000-0005-0000-0000-0000AE0F0000}"/>
    <cellStyle name="Comma 8 4 5 3" xfId="19840" xr:uid="{00000000-0005-0000-0000-0000AF0F0000}"/>
    <cellStyle name="Comma 8 4 5 3 2" xfId="19841" xr:uid="{00000000-0005-0000-0000-0000B00F0000}"/>
    <cellStyle name="Comma 8 4 5 4" xfId="19842" xr:uid="{00000000-0005-0000-0000-0000B10F0000}"/>
    <cellStyle name="Comma 8 4 5 4 2" xfId="19843" xr:uid="{00000000-0005-0000-0000-0000B20F0000}"/>
    <cellStyle name="Comma 8 4 5 5" xfId="19844" xr:uid="{00000000-0005-0000-0000-0000B30F0000}"/>
    <cellStyle name="Comma 8 4 5 6" xfId="19845" xr:uid="{00000000-0005-0000-0000-0000B40F0000}"/>
    <cellStyle name="Comma 8 4 6" xfId="19846" xr:uid="{00000000-0005-0000-0000-0000B50F0000}"/>
    <cellStyle name="Comma 8 4 6 2" xfId="19847" xr:uid="{00000000-0005-0000-0000-0000B60F0000}"/>
    <cellStyle name="Comma 8 4 6 2 2" xfId="19848" xr:uid="{00000000-0005-0000-0000-0000B70F0000}"/>
    <cellStyle name="Comma 8 4 6 3" xfId="19849" xr:uid="{00000000-0005-0000-0000-0000B80F0000}"/>
    <cellStyle name="Comma 8 4 6 3 2" xfId="19850" xr:uid="{00000000-0005-0000-0000-0000B90F0000}"/>
    <cellStyle name="Comma 8 4 6 4" xfId="19851" xr:uid="{00000000-0005-0000-0000-0000BA0F0000}"/>
    <cellStyle name="Comma 8 4 6 4 2" xfId="19852" xr:uid="{00000000-0005-0000-0000-0000BB0F0000}"/>
    <cellStyle name="Comma 8 4 6 5" xfId="19853" xr:uid="{00000000-0005-0000-0000-0000BC0F0000}"/>
    <cellStyle name="Comma 8 4 6 6" xfId="19854" xr:uid="{00000000-0005-0000-0000-0000BD0F0000}"/>
    <cellStyle name="Comma 8 4 7" xfId="19855" xr:uid="{00000000-0005-0000-0000-0000BE0F0000}"/>
    <cellStyle name="Comma 8 4 7 2" xfId="19856" xr:uid="{00000000-0005-0000-0000-0000BF0F0000}"/>
    <cellStyle name="Comma 8 4 7 2 2" xfId="19857" xr:uid="{00000000-0005-0000-0000-0000C00F0000}"/>
    <cellStyle name="Comma 8 4 7 3" xfId="19858" xr:uid="{00000000-0005-0000-0000-0000C10F0000}"/>
    <cellStyle name="Comma 8 4 7 3 2" xfId="19859" xr:uid="{00000000-0005-0000-0000-0000C20F0000}"/>
    <cellStyle name="Comma 8 4 7 4" xfId="19860" xr:uid="{00000000-0005-0000-0000-0000C30F0000}"/>
    <cellStyle name="Comma 8 4 7 5" xfId="19861" xr:uid="{00000000-0005-0000-0000-0000C40F0000}"/>
    <cellStyle name="Comma 8 4 8" xfId="19862" xr:uid="{00000000-0005-0000-0000-0000C50F0000}"/>
    <cellStyle name="Comma 8 4 8 2" xfId="19863" xr:uid="{00000000-0005-0000-0000-0000C60F0000}"/>
    <cellStyle name="Comma 8 4 9" xfId="19864" xr:uid="{00000000-0005-0000-0000-0000C70F0000}"/>
    <cellStyle name="Comma 8 4 9 2" xfId="19865" xr:uid="{00000000-0005-0000-0000-0000C80F0000}"/>
    <cellStyle name="Comma 8 5" xfId="11688" xr:uid="{00000000-0005-0000-0000-0000C90F0000}"/>
    <cellStyle name="Comma 8 5 10" xfId="19867" xr:uid="{00000000-0005-0000-0000-0000CA0F0000}"/>
    <cellStyle name="Comma 8 5 11" xfId="19868" xr:uid="{00000000-0005-0000-0000-0000CB0F0000}"/>
    <cellStyle name="Comma 8 5 12" xfId="19866" xr:uid="{00000000-0005-0000-0000-0000CC0F0000}"/>
    <cellStyle name="Comma 8 5 2" xfId="19869" xr:uid="{00000000-0005-0000-0000-0000CD0F0000}"/>
    <cellStyle name="Comma 8 5 2 2" xfId="19870" xr:uid="{00000000-0005-0000-0000-0000CE0F0000}"/>
    <cellStyle name="Comma 8 5 2 2 2" xfId="19871" xr:uid="{00000000-0005-0000-0000-0000CF0F0000}"/>
    <cellStyle name="Comma 8 5 2 3" xfId="19872" xr:uid="{00000000-0005-0000-0000-0000D00F0000}"/>
    <cellStyle name="Comma 8 5 2 3 2" xfId="19873" xr:uid="{00000000-0005-0000-0000-0000D10F0000}"/>
    <cellStyle name="Comma 8 5 2 4" xfId="19874" xr:uid="{00000000-0005-0000-0000-0000D20F0000}"/>
    <cellStyle name="Comma 8 5 2 4 2" xfId="19875" xr:uid="{00000000-0005-0000-0000-0000D30F0000}"/>
    <cellStyle name="Comma 8 5 2 5" xfId="19876" xr:uid="{00000000-0005-0000-0000-0000D40F0000}"/>
    <cellStyle name="Comma 8 5 2 6" xfId="19877" xr:uid="{00000000-0005-0000-0000-0000D50F0000}"/>
    <cellStyle name="Comma 8 5 3" xfId="19878" xr:uid="{00000000-0005-0000-0000-0000D60F0000}"/>
    <cellStyle name="Comma 8 5 3 2" xfId="19879" xr:uid="{00000000-0005-0000-0000-0000D70F0000}"/>
    <cellStyle name="Comma 8 5 3 2 2" xfId="19880" xr:uid="{00000000-0005-0000-0000-0000D80F0000}"/>
    <cellStyle name="Comma 8 5 3 3" xfId="19881" xr:uid="{00000000-0005-0000-0000-0000D90F0000}"/>
    <cellStyle name="Comma 8 5 3 3 2" xfId="19882" xr:uid="{00000000-0005-0000-0000-0000DA0F0000}"/>
    <cellStyle name="Comma 8 5 3 4" xfId="19883" xr:uid="{00000000-0005-0000-0000-0000DB0F0000}"/>
    <cellStyle name="Comma 8 5 3 4 2" xfId="19884" xr:uid="{00000000-0005-0000-0000-0000DC0F0000}"/>
    <cellStyle name="Comma 8 5 3 5" xfId="19885" xr:uid="{00000000-0005-0000-0000-0000DD0F0000}"/>
    <cellStyle name="Comma 8 5 3 6" xfId="19886" xr:uid="{00000000-0005-0000-0000-0000DE0F0000}"/>
    <cellStyle name="Comma 8 5 4" xfId="19887" xr:uid="{00000000-0005-0000-0000-0000DF0F0000}"/>
    <cellStyle name="Comma 8 5 4 2" xfId="19888" xr:uid="{00000000-0005-0000-0000-0000E00F0000}"/>
    <cellStyle name="Comma 8 5 4 2 2" xfId="19889" xr:uid="{00000000-0005-0000-0000-0000E10F0000}"/>
    <cellStyle name="Comma 8 5 4 3" xfId="19890" xr:uid="{00000000-0005-0000-0000-0000E20F0000}"/>
    <cellStyle name="Comma 8 5 4 3 2" xfId="19891" xr:uid="{00000000-0005-0000-0000-0000E30F0000}"/>
    <cellStyle name="Comma 8 5 4 4" xfId="19892" xr:uid="{00000000-0005-0000-0000-0000E40F0000}"/>
    <cellStyle name="Comma 8 5 4 4 2" xfId="19893" xr:uid="{00000000-0005-0000-0000-0000E50F0000}"/>
    <cellStyle name="Comma 8 5 4 5" xfId="19894" xr:uid="{00000000-0005-0000-0000-0000E60F0000}"/>
    <cellStyle name="Comma 8 5 4 6" xfId="19895" xr:uid="{00000000-0005-0000-0000-0000E70F0000}"/>
    <cellStyle name="Comma 8 5 5" xfId="19896" xr:uid="{00000000-0005-0000-0000-0000E80F0000}"/>
    <cellStyle name="Comma 8 5 5 2" xfId="19897" xr:uid="{00000000-0005-0000-0000-0000E90F0000}"/>
    <cellStyle name="Comma 8 5 5 2 2" xfId="19898" xr:uid="{00000000-0005-0000-0000-0000EA0F0000}"/>
    <cellStyle name="Comma 8 5 5 3" xfId="19899" xr:uid="{00000000-0005-0000-0000-0000EB0F0000}"/>
    <cellStyle name="Comma 8 5 5 3 2" xfId="19900" xr:uid="{00000000-0005-0000-0000-0000EC0F0000}"/>
    <cellStyle name="Comma 8 5 5 4" xfId="19901" xr:uid="{00000000-0005-0000-0000-0000ED0F0000}"/>
    <cellStyle name="Comma 8 5 5 4 2" xfId="19902" xr:uid="{00000000-0005-0000-0000-0000EE0F0000}"/>
    <cellStyle name="Comma 8 5 5 5" xfId="19903" xr:uid="{00000000-0005-0000-0000-0000EF0F0000}"/>
    <cellStyle name="Comma 8 5 5 6" xfId="19904" xr:uid="{00000000-0005-0000-0000-0000F00F0000}"/>
    <cellStyle name="Comma 8 5 6" xfId="19905" xr:uid="{00000000-0005-0000-0000-0000F10F0000}"/>
    <cellStyle name="Comma 8 5 6 2" xfId="19906" xr:uid="{00000000-0005-0000-0000-0000F20F0000}"/>
    <cellStyle name="Comma 8 5 6 2 2" xfId="19907" xr:uid="{00000000-0005-0000-0000-0000F30F0000}"/>
    <cellStyle name="Comma 8 5 6 3" xfId="19908" xr:uid="{00000000-0005-0000-0000-0000F40F0000}"/>
    <cellStyle name="Comma 8 5 6 3 2" xfId="19909" xr:uid="{00000000-0005-0000-0000-0000F50F0000}"/>
    <cellStyle name="Comma 8 5 6 4" xfId="19910" xr:uid="{00000000-0005-0000-0000-0000F60F0000}"/>
    <cellStyle name="Comma 8 5 6 5" xfId="19911" xr:uid="{00000000-0005-0000-0000-0000F70F0000}"/>
    <cellStyle name="Comma 8 5 7" xfId="19912" xr:uid="{00000000-0005-0000-0000-0000F80F0000}"/>
    <cellStyle name="Comma 8 5 7 2" xfId="19913" xr:uid="{00000000-0005-0000-0000-0000F90F0000}"/>
    <cellStyle name="Comma 8 5 8" xfId="19914" xr:uid="{00000000-0005-0000-0000-0000FA0F0000}"/>
    <cellStyle name="Comma 8 5 8 2" xfId="19915" xr:uid="{00000000-0005-0000-0000-0000FB0F0000}"/>
    <cellStyle name="Comma 8 5 9" xfId="19916" xr:uid="{00000000-0005-0000-0000-0000FC0F0000}"/>
    <cellStyle name="Comma 8 5 9 2" xfId="19917" xr:uid="{00000000-0005-0000-0000-0000FD0F0000}"/>
    <cellStyle name="Comma 8 6" xfId="11684" xr:uid="{00000000-0005-0000-0000-0000FE0F0000}"/>
    <cellStyle name="Comma 8 6 10" xfId="19919" xr:uid="{00000000-0005-0000-0000-0000FF0F0000}"/>
    <cellStyle name="Comma 8 6 11" xfId="19918" xr:uid="{00000000-0005-0000-0000-000000100000}"/>
    <cellStyle name="Comma 8 6 2" xfId="19920" xr:uid="{00000000-0005-0000-0000-000001100000}"/>
    <cellStyle name="Comma 8 6 2 2" xfId="19921" xr:uid="{00000000-0005-0000-0000-000002100000}"/>
    <cellStyle name="Comma 8 6 2 2 2" xfId="19922" xr:uid="{00000000-0005-0000-0000-000003100000}"/>
    <cellStyle name="Comma 8 6 2 3" xfId="19923" xr:uid="{00000000-0005-0000-0000-000004100000}"/>
    <cellStyle name="Comma 8 6 2 3 2" xfId="19924" xr:uid="{00000000-0005-0000-0000-000005100000}"/>
    <cellStyle name="Comma 8 6 2 4" xfId="19925" xr:uid="{00000000-0005-0000-0000-000006100000}"/>
    <cellStyle name="Comma 8 6 2 4 2" xfId="19926" xr:uid="{00000000-0005-0000-0000-000007100000}"/>
    <cellStyle name="Comma 8 6 2 5" xfId="19927" xr:uid="{00000000-0005-0000-0000-000008100000}"/>
    <cellStyle name="Comma 8 6 2 6" xfId="19928" xr:uid="{00000000-0005-0000-0000-000009100000}"/>
    <cellStyle name="Comma 8 6 3" xfId="19929" xr:uid="{00000000-0005-0000-0000-00000A100000}"/>
    <cellStyle name="Comma 8 6 3 2" xfId="19930" xr:uid="{00000000-0005-0000-0000-00000B100000}"/>
    <cellStyle name="Comma 8 6 3 2 2" xfId="19931" xr:uid="{00000000-0005-0000-0000-00000C100000}"/>
    <cellStyle name="Comma 8 6 3 3" xfId="19932" xr:uid="{00000000-0005-0000-0000-00000D100000}"/>
    <cellStyle name="Comma 8 6 3 3 2" xfId="19933" xr:uid="{00000000-0005-0000-0000-00000E100000}"/>
    <cellStyle name="Comma 8 6 3 4" xfId="19934" xr:uid="{00000000-0005-0000-0000-00000F100000}"/>
    <cellStyle name="Comma 8 6 3 4 2" xfId="19935" xr:uid="{00000000-0005-0000-0000-000010100000}"/>
    <cellStyle name="Comma 8 6 3 5" xfId="19936" xr:uid="{00000000-0005-0000-0000-000011100000}"/>
    <cellStyle name="Comma 8 6 3 6" xfId="19937" xr:uid="{00000000-0005-0000-0000-000012100000}"/>
    <cellStyle name="Comma 8 6 4" xfId="19938" xr:uid="{00000000-0005-0000-0000-000013100000}"/>
    <cellStyle name="Comma 8 6 4 2" xfId="19939" xr:uid="{00000000-0005-0000-0000-000014100000}"/>
    <cellStyle name="Comma 8 6 4 2 2" xfId="19940" xr:uid="{00000000-0005-0000-0000-000015100000}"/>
    <cellStyle name="Comma 8 6 4 3" xfId="19941" xr:uid="{00000000-0005-0000-0000-000016100000}"/>
    <cellStyle name="Comma 8 6 4 3 2" xfId="19942" xr:uid="{00000000-0005-0000-0000-000017100000}"/>
    <cellStyle name="Comma 8 6 4 4" xfId="19943" xr:uid="{00000000-0005-0000-0000-000018100000}"/>
    <cellStyle name="Comma 8 6 4 4 2" xfId="19944" xr:uid="{00000000-0005-0000-0000-000019100000}"/>
    <cellStyle name="Comma 8 6 4 5" xfId="19945" xr:uid="{00000000-0005-0000-0000-00001A100000}"/>
    <cellStyle name="Comma 8 6 4 6" xfId="19946" xr:uid="{00000000-0005-0000-0000-00001B100000}"/>
    <cellStyle name="Comma 8 6 5" xfId="19947" xr:uid="{00000000-0005-0000-0000-00001C100000}"/>
    <cellStyle name="Comma 8 6 5 2" xfId="19948" xr:uid="{00000000-0005-0000-0000-00001D100000}"/>
    <cellStyle name="Comma 8 6 5 2 2" xfId="19949" xr:uid="{00000000-0005-0000-0000-00001E100000}"/>
    <cellStyle name="Comma 8 6 5 3" xfId="19950" xr:uid="{00000000-0005-0000-0000-00001F100000}"/>
    <cellStyle name="Comma 8 6 5 3 2" xfId="19951" xr:uid="{00000000-0005-0000-0000-000020100000}"/>
    <cellStyle name="Comma 8 6 5 4" xfId="19952" xr:uid="{00000000-0005-0000-0000-000021100000}"/>
    <cellStyle name="Comma 8 6 5 5" xfId="19953" xr:uid="{00000000-0005-0000-0000-000022100000}"/>
    <cellStyle name="Comma 8 6 6" xfId="19954" xr:uid="{00000000-0005-0000-0000-000023100000}"/>
    <cellStyle name="Comma 8 6 6 2" xfId="19955" xr:uid="{00000000-0005-0000-0000-000024100000}"/>
    <cellStyle name="Comma 8 6 7" xfId="19956" xr:uid="{00000000-0005-0000-0000-000025100000}"/>
    <cellStyle name="Comma 8 6 7 2" xfId="19957" xr:uid="{00000000-0005-0000-0000-000026100000}"/>
    <cellStyle name="Comma 8 6 8" xfId="19958" xr:uid="{00000000-0005-0000-0000-000027100000}"/>
    <cellStyle name="Comma 8 6 8 2" xfId="19959" xr:uid="{00000000-0005-0000-0000-000028100000}"/>
    <cellStyle name="Comma 8 6 9" xfId="19960" xr:uid="{00000000-0005-0000-0000-000029100000}"/>
    <cellStyle name="Comma 8 7" xfId="14467" xr:uid="{00000000-0005-0000-0000-00002A100000}"/>
    <cellStyle name="Comma 8 7 10" xfId="19962" xr:uid="{00000000-0005-0000-0000-00002B100000}"/>
    <cellStyle name="Comma 8 7 11" xfId="19961" xr:uid="{00000000-0005-0000-0000-00002C100000}"/>
    <cellStyle name="Comma 8 7 2" xfId="19963" xr:uid="{00000000-0005-0000-0000-00002D100000}"/>
    <cellStyle name="Comma 8 7 2 2" xfId="19964" xr:uid="{00000000-0005-0000-0000-00002E100000}"/>
    <cellStyle name="Comma 8 7 2 2 2" xfId="19965" xr:uid="{00000000-0005-0000-0000-00002F100000}"/>
    <cellStyle name="Comma 8 7 2 3" xfId="19966" xr:uid="{00000000-0005-0000-0000-000030100000}"/>
    <cellStyle name="Comma 8 7 2 3 2" xfId="19967" xr:uid="{00000000-0005-0000-0000-000031100000}"/>
    <cellStyle name="Comma 8 7 2 4" xfId="19968" xr:uid="{00000000-0005-0000-0000-000032100000}"/>
    <cellStyle name="Comma 8 7 2 4 2" xfId="19969" xr:uid="{00000000-0005-0000-0000-000033100000}"/>
    <cellStyle name="Comma 8 7 2 5" xfId="19970" xr:uid="{00000000-0005-0000-0000-000034100000}"/>
    <cellStyle name="Comma 8 7 2 6" xfId="19971" xr:uid="{00000000-0005-0000-0000-000035100000}"/>
    <cellStyle name="Comma 8 7 3" xfId="19972" xr:uid="{00000000-0005-0000-0000-000036100000}"/>
    <cellStyle name="Comma 8 7 3 2" xfId="19973" xr:uid="{00000000-0005-0000-0000-000037100000}"/>
    <cellStyle name="Comma 8 7 3 2 2" xfId="19974" xr:uid="{00000000-0005-0000-0000-000038100000}"/>
    <cellStyle name="Comma 8 7 3 3" xfId="19975" xr:uid="{00000000-0005-0000-0000-000039100000}"/>
    <cellStyle name="Comma 8 7 3 3 2" xfId="19976" xr:uid="{00000000-0005-0000-0000-00003A100000}"/>
    <cellStyle name="Comma 8 7 3 4" xfId="19977" xr:uid="{00000000-0005-0000-0000-00003B100000}"/>
    <cellStyle name="Comma 8 7 3 4 2" xfId="19978" xr:uid="{00000000-0005-0000-0000-00003C100000}"/>
    <cellStyle name="Comma 8 7 3 5" xfId="19979" xr:uid="{00000000-0005-0000-0000-00003D100000}"/>
    <cellStyle name="Comma 8 7 3 6" xfId="19980" xr:uid="{00000000-0005-0000-0000-00003E100000}"/>
    <cellStyle name="Comma 8 7 4" xfId="19981" xr:uid="{00000000-0005-0000-0000-00003F100000}"/>
    <cellStyle name="Comma 8 7 4 2" xfId="19982" xr:uid="{00000000-0005-0000-0000-000040100000}"/>
    <cellStyle name="Comma 8 7 4 2 2" xfId="19983" xr:uid="{00000000-0005-0000-0000-000041100000}"/>
    <cellStyle name="Comma 8 7 4 3" xfId="19984" xr:uid="{00000000-0005-0000-0000-000042100000}"/>
    <cellStyle name="Comma 8 7 4 3 2" xfId="19985" xr:uid="{00000000-0005-0000-0000-000043100000}"/>
    <cellStyle name="Comma 8 7 4 4" xfId="19986" xr:uid="{00000000-0005-0000-0000-000044100000}"/>
    <cellStyle name="Comma 8 7 4 4 2" xfId="19987" xr:uid="{00000000-0005-0000-0000-000045100000}"/>
    <cellStyle name="Comma 8 7 4 5" xfId="19988" xr:uid="{00000000-0005-0000-0000-000046100000}"/>
    <cellStyle name="Comma 8 7 4 6" xfId="19989" xr:uid="{00000000-0005-0000-0000-000047100000}"/>
    <cellStyle name="Comma 8 7 5" xfId="19990" xr:uid="{00000000-0005-0000-0000-000048100000}"/>
    <cellStyle name="Comma 8 7 5 2" xfId="19991" xr:uid="{00000000-0005-0000-0000-000049100000}"/>
    <cellStyle name="Comma 8 7 5 2 2" xfId="19992" xr:uid="{00000000-0005-0000-0000-00004A100000}"/>
    <cellStyle name="Comma 8 7 5 3" xfId="19993" xr:uid="{00000000-0005-0000-0000-00004B100000}"/>
    <cellStyle name="Comma 8 7 5 3 2" xfId="19994" xr:uid="{00000000-0005-0000-0000-00004C100000}"/>
    <cellStyle name="Comma 8 7 5 4" xfId="19995" xr:uid="{00000000-0005-0000-0000-00004D100000}"/>
    <cellStyle name="Comma 8 7 5 5" xfId="19996" xr:uid="{00000000-0005-0000-0000-00004E100000}"/>
    <cellStyle name="Comma 8 7 6" xfId="19997" xr:uid="{00000000-0005-0000-0000-00004F100000}"/>
    <cellStyle name="Comma 8 7 6 2" xfId="19998" xr:uid="{00000000-0005-0000-0000-000050100000}"/>
    <cellStyle name="Comma 8 7 7" xfId="19999" xr:uid="{00000000-0005-0000-0000-000051100000}"/>
    <cellStyle name="Comma 8 7 7 2" xfId="20000" xr:uid="{00000000-0005-0000-0000-000052100000}"/>
    <cellStyle name="Comma 8 7 8" xfId="20001" xr:uid="{00000000-0005-0000-0000-000053100000}"/>
    <cellStyle name="Comma 8 7 8 2" xfId="20002" xr:uid="{00000000-0005-0000-0000-000054100000}"/>
    <cellStyle name="Comma 8 7 9" xfId="20003" xr:uid="{00000000-0005-0000-0000-000055100000}"/>
    <cellStyle name="Comma 8 8" xfId="20004" xr:uid="{00000000-0005-0000-0000-000056100000}"/>
    <cellStyle name="Comma 8 8 2" xfId="20005" xr:uid="{00000000-0005-0000-0000-000057100000}"/>
    <cellStyle name="Comma 8 8 2 2" xfId="20006" xr:uid="{00000000-0005-0000-0000-000058100000}"/>
    <cellStyle name="Comma 8 8 3" xfId="20007" xr:uid="{00000000-0005-0000-0000-000059100000}"/>
    <cellStyle name="Comma 8 8 3 2" xfId="20008" xr:uid="{00000000-0005-0000-0000-00005A100000}"/>
    <cellStyle name="Comma 8 8 4" xfId="20009" xr:uid="{00000000-0005-0000-0000-00005B100000}"/>
    <cellStyle name="Comma 8 8 4 2" xfId="20010" xr:uid="{00000000-0005-0000-0000-00005C100000}"/>
    <cellStyle name="Comma 8 8 5" xfId="20011" xr:uid="{00000000-0005-0000-0000-00005D100000}"/>
    <cellStyle name="Comma 8 8 6" xfId="20012" xr:uid="{00000000-0005-0000-0000-00005E100000}"/>
    <cellStyle name="Comma 8 9" xfId="20013" xr:uid="{00000000-0005-0000-0000-00005F100000}"/>
    <cellStyle name="Comma 8 9 2" xfId="20014" xr:uid="{00000000-0005-0000-0000-000060100000}"/>
    <cellStyle name="Comma 8 9 2 2" xfId="20015" xr:uid="{00000000-0005-0000-0000-000061100000}"/>
    <cellStyle name="Comma 8 9 3" xfId="20016" xr:uid="{00000000-0005-0000-0000-000062100000}"/>
    <cellStyle name="Comma 8 9 3 2" xfId="20017" xr:uid="{00000000-0005-0000-0000-000063100000}"/>
    <cellStyle name="Comma 8 9 4" xfId="20018" xr:uid="{00000000-0005-0000-0000-000064100000}"/>
    <cellStyle name="Comma 8 9 4 2" xfId="20019" xr:uid="{00000000-0005-0000-0000-000065100000}"/>
    <cellStyle name="Comma 8 9 5" xfId="20020" xr:uid="{00000000-0005-0000-0000-000066100000}"/>
    <cellStyle name="Comma 8 9 6" xfId="20021" xr:uid="{00000000-0005-0000-0000-000067100000}"/>
    <cellStyle name="Comma 84" xfId="43979" xr:uid="{00000000-0005-0000-0000-000068100000}"/>
    <cellStyle name="Comma 9" xfId="11689" xr:uid="{00000000-0005-0000-0000-000069100000}"/>
    <cellStyle name="Comma 9 2" xfId="11690" xr:uid="{00000000-0005-0000-0000-00006A100000}"/>
    <cellStyle name="Comma 9 2 2" xfId="20022" xr:uid="{00000000-0005-0000-0000-00006B100000}"/>
    <cellStyle name="Comma 9 3" xfId="11691" xr:uid="{00000000-0005-0000-0000-00006C100000}"/>
    <cellStyle name="Comma0" xfId="11692" xr:uid="{00000000-0005-0000-0000-00006D100000}"/>
    <cellStyle name="Comma0 2" xfId="20023" xr:uid="{00000000-0005-0000-0000-00006E100000}"/>
    <cellStyle name="Comma0 3" xfId="17686" xr:uid="{00000000-0005-0000-0000-00006F100000}"/>
    <cellStyle name="comma1" xfId="20024" xr:uid="{00000000-0005-0000-0000-000070100000}"/>
    <cellStyle name="Condition" xfId="11693" xr:uid="{00000000-0005-0000-0000-000071100000}"/>
    <cellStyle name="Condition 10" xfId="15091" xr:uid="{00000000-0005-0000-0000-000072100000}"/>
    <cellStyle name="Condition 2" xfId="14989" xr:uid="{00000000-0005-0000-0000-000073100000}"/>
    <cellStyle name="Condition 3" xfId="15029" xr:uid="{00000000-0005-0000-0000-000074100000}"/>
    <cellStyle name="Condition 4" xfId="12367" xr:uid="{00000000-0005-0000-0000-000075100000}"/>
    <cellStyle name="Condition 5" xfId="12324" xr:uid="{00000000-0005-0000-0000-000076100000}"/>
    <cellStyle name="Condition 6" xfId="12327" xr:uid="{00000000-0005-0000-0000-000077100000}"/>
    <cellStyle name="Condition 7" xfId="15000" xr:uid="{00000000-0005-0000-0000-000078100000}"/>
    <cellStyle name="Condition 8" xfId="12331" xr:uid="{00000000-0005-0000-0000-000079100000}"/>
    <cellStyle name="Condition 9" xfId="15016" xr:uid="{00000000-0005-0000-0000-00007A100000}"/>
    <cellStyle name="ContentsHyperlink" xfId="20025" xr:uid="{00000000-0005-0000-0000-00007B100000}"/>
    <cellStyle name="Currency" xfId="43977" builtinId="4"/>
    <cellStyle name="Currency 13" xfId="43978" xr:uid="{00000000-0005-0000-0000-00007D100000}"/>
    <cellStyle name="Currency 2" xfId="1470" xr:uid="{00000000-0005-0000-0000-00007E100000}"/>
    <cellStyle name="Currency 2 2" xfId="20026" xr:uid="{00000000-0005-0000-0000-00007F100000}"/>
    <cellStyle name="Currency 2 3" xfId="17668" xr:uid="{00000000-0005-0000-0000-000080100000}"/>
    <cellStyle name="Currency 3" xfId="1471" xr:uid="{00000000-0005-0000-0000-000081100000}"/>
    <cellStyle name="Currency 3 2" xfId="17689" xr:uid="{00000000-0005-0000-0000-000082100000}"/>
    <cellStyle name="Currency 3 2 10" xfId="20027" xr:uid="{00000000-0005-0000-0000-000083100000}"/>
    <cellStyle name="Currency 3 2 10 2" xfId="20028" xr:uid="{00000000-0005-0000-0000-000084100000}"/>
    <cellStyle name="Currency 3 2 10 2 2" xfId="20029" xr:uid="{00000000-0005-0000-0000-000085100000}"/>
    <cellStyle name="Currency 3 2 10 3" xfId="20030" xr:uid="{00000000-0005-0000-0000-000086100000}"/>
    <cellStyle name="Currency 3 2 10 3 2" xfId="20031" xr:uid="{00000000-0005-0000-0000-000087100000}"/>
    <cellStyle name="Currency 3 2 10 4" xfId="20032" xr:uid="{00000000-0005-0000-0000-000088100000}"/>
    <cellStyle name="Currency 3 2 10 4 2" xfId="20033" xr:uid="{00000000-0005-0000-0000-000089100000}"/>
    <cellStyle name="Currency 3 2 10 5" xfId="20034" xr:uid="{00000000-0005-0000-0000-00008A100000}"/>
    <cellStyle name="Currency 3 2 10 6" xfId="20035" xr:uid="{00000000-0005-0000-0000-00008B100000}"/>
    <cellStyle name="Currency 3 2 11" xfId="20036" xr:uid="{00000000-0005-0000-0000-00008C100000}"/>
    <cellStyle name="Currency 3 2 11 2" xfId="20037" xr:uid="{00000000-0005-0000-0000-00008D100000}"/>
    <cellStyle name="Currency 3 2 11 2 2" xfId="20038" xr:uid="{00000000-0005-0000-0000-00008E100000}"/>
    <cellStyle name="Currency 3 2 11 3" xfId="20039" xr:uid="{00000000-0005-0000-0000-00008F100000}"/>
    <cellStyle name="Currency 3 2 11 3 2" xfId="20040" xr:uid="{00000000-0005-0000-0000-000090100000}"/>
    <cellStyle name="Currency 3 2 11 4" xfId="20041" xr:uid="{00000000-0005-0000-0000-000091100000}"/>
    <cellStyle name="Currency 3 2 11 4 2" xfId="20042" xr:uid="{00000000-0005-0000-0000-000092100000}"/>
    <cellStyle name="Currency 3 2 11 5" xfId="20043" xr:uid="{00000000-0005-0000-0000-000093100000}"/>
    <cellStyle name="Currency 3 2 11 6" xfId="20044" xr:uid="{00000000-0005-0000-0000-000094100000}"/>
    <cellStyle name="Currency 3 2 12" xfId="20045" xr:uid="{00000000-0005-0000-0000-000095100000}"/>
    <cellStyle name="Currency 3 2 12 2" xfId="20046" xr:uid="{00000000-0005-0000-0000-000096100000}"/>
    <cellStyle name="Currency 3 2 12 2 2" xfId="20047" xr:uid="{00000000-0005-0000-0000-000097100000}"/>
    <cellStyle name="Currency 3 2 12 3" xfId="20048" xr:uid="{00000000-0005-0000-0000-000098100000}"/>
    <cellStyle name="Currency 3 2 12 3 2" xfId="20049" xr:uid="{00000000-0005-0000-0000-000099100000}"/>
    <cellStyle name="Currency 3 2 12 4" xfId="20050" xr:uid="{00000000-0005-0000-0000-00009A100000}"/>
    <cellStyle name="Currency 3 2 12 5" xfId="20051" xr:uid="{00000000-0005-0000-0000-00009B100000}"/>
    <cellStyle name="Currency 3 2 13" xfId="20052" xr:uid="{00000000-0005-0000-0000-00009C100000}"/>
    <cellStyle name="Currency 3 2 13 2" xfId="20053" xr:uid="{00000000-0005-0000-0000-00009D100000}"/>
    <cellStyle name="Currency 3 2 14" xfId="20054" xr:uid="{00000000-0005-0000-0000-00009E100000}"/>
    <cellStyle name="Currency 3 2 14 2" xfId="20055" xr:uid="{00000000-0005-0000-0000-00009F100000}"/>
    <cellStyle name="Currency 3 2 15" xfId="20056" xr:uid="{00000000-0005-0000-0000-0000A0100000}"/>
    <cellStyle name="Currency 3 2 15 2" xfId="20057" xr:uid="{00000000-0005-0000-0000-0000A1100000}"/>
    <cellStyle name="Currency 3 2 16" xfId="20058" xr:uid="{00000000-0005-0000-0000-0000A2100000}"/>
    <cellStyle name="Currency 3 2 17" xfId="20059" xr:uid="{00000000-0005-0000-0000-0000A3100000}"/>
    <cellStyle name="Currency 3 2 2" xfId="20060" xr:uid="{00000000-0005-0000-0000-0000A4100000}"/>
    <cellStyle name="Currency 3 2 2 10" xfId="20061" xr:uid="{00000000-0005-0000-0000-0000A5100000}"/>
    <cellStyle name="Currency 3 2 2 10 2" xfId="20062" xr:uid="{00000000-0005-0000-0000-0000A6100000}"/>
    <cellStyle name="Currency 3 2 2 10 2 2" xfId="20063" xr:uid="{00000000-0005-0000-0000-0000A7100000}"/>
    <cellStyle name="Currency 3 2 2 10 3" xfId="20064" xr:uid="{00000000-0005-0000-0000-0000A8100000}"/>
    <cellStyle name="Currency 3 2 2 10 3 2" xfId="20065" xr:uid="{00000000-0005-0000-0000-0000A9100000}"/>
    <cellStyle name="Currency 3 2 2 10 4" xfId="20066" xr:uid="{00000000-0005-0000-0000-0000AA100000}"/>
    <cellStyle name="Currency 3 2 2 10 4 2" xfId="20067" xr:uid="{00000000-0005-0000-0000-0000AB100000}"/>
    <cellStyle name="Currency 3 2 2 10 5" xfId="20068" xr:uid="{00000000-0005-0000-0000-0000AC100000}"/>
    <cellStyle name="Currency 3 2 2 10 6" xfId="20069" xr:uid="{00000000-0005-0000-0000-0000AD100000}"/>
    <cellStyle name="Currency 3 2 2 11" xfId="20070" xr:uid="{00000000-0005-0000-0000-0000AE100000}"/>
    <cellStyle name="Currency 3 2 2 11 2" xfId="20071" xr:uid="{00000000-0005-0000-0000-0000AF100000}"/>
    <cellStyle name="Currency 3 2 2 11 2 2" xfId="20072" xr:uid="{00000000-0005-0000-0000-0000B0100000}"/>
    <cellStyle name="Currency 3 2 2 11 3" xfId="20073" xr:uid="{00000000-0005-0000-0000-0000B1100000}"/>
    <cellStyle name="Currency 3 2 2 11 3 2" xfId="20074" xr:uid="{00000000-0005-0000-0000-0000B2100000}"/>
    <cellStyle name="Currency 3 2 2 11 4" xfId="20075" xr:uid="{00000000-0005-0000-0000-0000B3100000}"/>
    <cellStyle name="Currency 3 2 2 11 4 2" xfId="20076" xr:uid="{00000000-0005-0000-0000-0000B4100000}"/>
    <cellStyle name="Currency 3 2 2 11 5" xfId="20077" xr:uid="{00000000-0005-0000-0000-0000B5100000}"/>
    <cellStyle name="Currency 3 2 2 11 6" xfId="20078" xr:uid="{00000000-0005-0000-0000-0000B6100000}"/>
    <cellStyle name="Currency 3 2 2 12" xfId="20079" xr:uid="{00000000-0005-0000-0000-0000B7100000}"/>
    <cellStyle name="Currency 3 2 2 12 2" xfId="20080" xr:uid="{00000000-0005-0000-0000-0000B8100000}"/>
    <cellStyle name="Currency 3 2 2 12 2 2" xfId="20081" xr:uid="{00000000-0005-0000-0000-0000B9100000}"/>
    <cellStyle name="Currency 3 2 2 12 3" xfId="20082" xr:uid="{00000000-0005-0000-0000-0000BA100000}"/>
    <cellStyle name="Currency 3 2 2 12 3 2" xfId="20083" xr:uid="{00000000-0005-0000-0000-0000BB100000}"/>
    <cellStyle name="Currency 3 2 2 12 4" xfId="20084" xr:uid="{00000000-0005-0000-0000-0000BC100000}"/>
    <cellStyle name="Currency 3 2 2 12 5" xfId="20085" xr:uid="{00000000-0005-0000-0000-0000BD100000}"/>
    <cellStyle name="Currency 3 2 2 13" xfId="20086" xr:uid="{00000000-0005-0000-0000-0000BE100000}"/>
    <cellStyle name="Currency 3 2 2 13 2" xfId="20087" xr:uid="{00000000-0005-0000-0000-0000BF100000}"/>
    <cellStyle name="Currency 3 2 2 14" xfId="20088" xr:uid="{00000000-0005-0000-0000-0000C0100000}"/>
    <cellStyle name="Currency 3 2 2 14 2" xfId="20089" xr:uid="{00000000-0005-0000-0000-0000C1100000}"/>
    <cellStyle name="Currency 3 2 2 15" xfId="20090" xr:uid="{00000000-0005-0000-0000-0000C2100000}"/>
    <cellStyle name="Currency 3 2 2 15 2" xfId="20091" xr:uid="{00000000-0005-0000-0000-0000C3100000}"/>
    <cellStyle name="Currency 3 2 2 16" xfId="20092" xr:uid="{00000000-0005-0000-0000-0000C4100000}"/>
    <cellStyle name="Currency 3 2 2 17" xfId="20093" xr:uid="{00000000-0005-0000-0000-0000C5100000}"/>
    <cellStyle name="Currency 3 2 2 2" xfId="20094" xr:uid="{00000000-0005-0000-0000-0000C6100000}"/>
    <cellStyle name="Currency 3 2 2 2 10" xfId="20095" xr:uid="{00000000-0005-0000-0000-0000C7100000}"/>
    <cellStyle name="Currency 3 2 2 2 10 2" xfId="20096" xr:uid="{00000000-0005-0000-0000-0000C8100000}"/>
    <cellStyle name="Currency 3 2 2 2 10 2 2" xfId="20097" xr:uid="{00000000-0005-0000-0000-0000C9100000}"/>
    <cellStyle name="Currency 3 2 2 2 10 3" xfId="20098" xr:uid="{00000000-0005-0000-0000-0000CA100000}"/>
    <cellStyle name="Currency 3 2 2 2 10 3 2" xfId="20099" xr:uid="{00000000-0005-0000-0000-0000CB100000}"/>
    <cellStyle name="Currency 3 2 2 2 10 4" xfId="20100" xr:uid="{00000000-0005-0000-0000-0000CC100000}"/>
    <cellStyle name="Currency 3 2 2 2 10 4 2" xfId="20101" xr:uid="{00000000-0005-0000-0000-0000CD100000}"/>
    <cellStyle name="Currency 3 2 2 2 10 5" xfId="20102" xr:uid="{00000000-0005-0000-0000-0000CE100000}"/>
    <cellStyle name="Currency 3 2 2 2 10 6" xfId="20103" xr:uid="{00000000-0005-0000-0000-0000CF100000}"/>
    <cellStyle name="Currency 3 2 2 2 11" xfId="20104" xr:uid="{00000000-0005-0000-0000-0000D0100000}"/>
    <cellStyle name="Currency 3 2 2 2 11 2" xfId="20105" xr:uid="{00000000-0005-0000-0000-0000D1100000}"/>
    <cellStyle name="Currency 3 2 2 2 11 2 2" xfId="20106" xr:uid="{00000000-0005-0000-0000-0000D2100000}"/>
    <cellStyle name="Currency 3 2 2 2 11 3" xfId="20107" xr:uid="{00000000-0005-0000-0000-0000D3100000}"/>
    <cellStyle name="Currency 3 2 2 2 11 3 2" xfId="20108" xr:uid="{00000000-0005-0000-0000-0000D4100000}"/>
    <cellStyle name="Currency 3 2 2 2 11 4" xfId="20109" xr:uid="{00000000-0005-0000-0000-0000D5100000}"/>
    <cellStyle name="Currency 3 2 2 2 11 5" xfId="20110" xr:uid="{00000000-0005-0000-0000-0000D6100000}"/>
    <cellStyle name="Currency 3 2 2 2 12" xfId="20111" xr:uid="{00000000-0005-0000-0000-0000D7100000}"/>
    <cellStyle name="Currency 3 2 2 2 12 2" xfId="20112" xr:uid="{00000000-0005-0000-0000-0000D8100000}"/>
    <cellStyle name="Currency 3 2 2 2 13" xfId="20113" xr:uid="{00000000-0005-0000-0000-0000D9100000}"/>
    <cellStyle name="Currency 3 2 2 2 13 2" xfId="20114" xr:uid="{00000000-0005-0000-0000-0000DA100000}"/>
    <cellStyle name="Currency 3 2 2 2 14" xfId="20115" xr:uid="{00000000-0005-0000-0000-0000DB100000}"/>
    <cellStyle name="Currency 3 2 2 2 14 2" xfId="20116" xr:uid="{00000000-0005-0000-0000-0000DC100000}"/>
    <cellStyle name="Currency 3 2 2 2 15" xfId="20117" xr:uid="{00000000-0005-0000-0000-0000DD100000}"/>
    <cellStyle name="Currency 3 2 2 2 16" xfId="20118" xr:uid="{00000000-0005-0000-0000-0000DE100000}"/>
    <cellStyle name="Currency 3 2 2 2 2" xfId="20119" xr:uid="{00000000-0005-0000-0000-0000DF100000}"/>
    <cellStyle name="Currency 3 2 2 2 2 10" xfId="20120" xr:uid="{00000000-0005-0000-0000-0000E0100000}"/>
    <cellStyle name="Currency 3 2 2 2 2 10 2" xfId="20121" xr:uid="{00000000-0005-0000-0000-0000E1100000}"/>
    <cellStyle name="Currency 3 2 2 2 2 11" xfId="20122" xr:uid="{00000000-0005-0000-0000-0000E2100000}"/>
    <cellStyle name="Currency 3 2 2 2 2 11 2" xfId="20123" xr:uid="{00000000-0005-0000-0000-0000E3100000}"/>
    <cellStyle name="Currency 3 2 2 2 2 12" xfId="20124" xr:uid="{00000000-0005-0000-0000-0000E4100000}"/>
    <cellStyle name="Currency 3 2 2 2 2 13" xfId="20125" xr:uid="{00000000-0005-0000-0000-0000E5100000}"/>
    <cellStyle name="Currency 3 2 2 2 2 2" xfId="20126" xr:uid="{00000000-0005-0000-0000-0000E6100000}"/>
    <cellStyle name="Currency 3 2 2 2 2 2 10" xfId="20127" xr:uid="{00000000-0005-0000-0000-0000E7100000}"/>
    <cellStyle name="Currency 3 2 2 2 2 2 11" xfId="20128" xr:uid="{00000000-0005-0000-0000-0000E8100000}"/>
    <cellStyle name="Currency 3 2 2 2 2 2 2" xfId="20129" xr:uid="{00000000-0005-0000-0000-0000E9100000}"/>
    <cellStyle name="Currency 3 2 2 2 2 2 2 2" xfId="20130" xr:uid="{00000000-0005-0000-0000-0000EA100000}"/>
    <cellStyle name="Currency 3 2 2 2 2 2 2 2 2" xfId="20131" xr:uid="{00000000-0005-0000-0000-0000EB100000}"/>
    <cellStyle name="Currency 3 2 2 2 2 2 2 3" xfId="20132" xr:uid="{00000000-0005-0000-0000-0000EC100000}"/>
    <cellStyle name="Currency 3 2 2 2 2 2 2 3 2" xfId="20133" xr:uid="{00000000-0005-0000-0000-0000ED100000}"/>
    <cellStyle name="Currency 3 2 2 2 2 2 2 4" xfId="20134" xr:uid="{00000000-0005-0000-0000-0000EE100000}"/>
    <cellStyle name="Currency 3 2 2 2 2 2 2 4 2" xfId="20135" xr:uid="{00000000-0005-0000-0000-0000EF100000}"/>
    <cellStyle name="Currency 3 2 2 2 2 2 2 5" xfId="20136" xr:uid="{00000000-0005-0000-0000-0000F0100000}"/>
    <cellStyle name="Currency 3 2 2 2 2 2 2 6" xfId="20137" xr:uid="{00000000-0005-0000-0000-0000F1100000}"/>
    <cellStyle name="Currency 3 2 2 2 2 2 3" xfId="20138" xr:uid="{00000000-0005-0000-0000-0000F2100000}"/>
    <cellStyle name="Currency 3 2 2 2 2 2 3 2" xfId="20139" xr:uid="{00000000-0005-0000-0000-0000F3100000}"/>
    <cellStyle name="Currency 3 2 2 2 2 2 3 2 2" xfId="20140" xr:uid="{00000000-0005-0000-0000-0000F4100000}"/>
    <cellStyle name="Currency 3 2 2 2 2 2 3 3" xfId="20141" xr:uid="{00000000-0005-0000-0000-0000F5100000}"/>
    <cellStyle name="Currency 3 2 2 2 2 2 3 3 2" xfId="20142" xr:uid="{00000000-0005-0000-0000-0000F6100000}"/>
    <cellStyle name="Currency 3 2 2 2 2 2 3 4" xfId="20143" xr:uid="{00000000-0005-0000-0000-0000F7100000}"/>
    <cellStyle name="Currency 3 2 2 2 2 2 3 4 2" xfId="20144" xr:uid="{00000000-0005-0000-0000-0000F8100000}"/>
    <cellStyle name="Currency 3 2 2 2 2 2 3 5" xfId="20145" xr:uid="{00000000-0005-0000-0000-0000F9100000}"/>
    <cellStyle name="Currency 3 2 2 2 2 2 3 6" xfId="20146" xr:uid="{00000000-0005-0000-0000-0000FA100000}"/>
    <cellStyle name="Currency 3 2 2 2 2 2 4" xfId="20147" xr:uid="{00000000-0005-0000-0000-0000FB100000}"/>
    <cellStyle name="Currency 3 2 2 2 2 2 4 2" xfId="20148" xr:uid="{00000000-0005-0000-0000-0000FC100000}"/>
    <cellStyle name="Currency 3 2 2 2 2 2 4 2 2" xfId="20149" xr:uid="{00000000-0005-0000-0000-0000FD100000}"/>
    <cellStyle name="Currency 3 2 2 2 2 2 4 3" xfId="20150" xr:uid="{00000000-0005-0000-0000-0000FE100000}"/>
    <cellStyle name="Currency 3 2 2 2 2 2 4 3 2" xfId="20151" xr:uid="{00000000-0005-0000-0000-0000FF100000}"/>
    <cellStyle name="Currency 3 2 2 2 2 2 4 4" xfId="20152" xr:uid="{00000000-0005-0000-0000-000000110000}"/>
    <cellStyle name="Currency 3 2 2 2 2 2 4 4 2" xfId="20153" xr:uid="{00000000-0005-0000-0000-000001110000}"/>
    <cellStyle name="Currency 3 2 2 2 2 2 4 5" xfId="20154" xr:uid="{00000000-0005-0000-0000-000002110000}"/>
    <cellStyle name="Currency 3 2 2 2 2 2 4 6" xfId="20155" xr:uid="{00000000-0005-0000-0000-000003110000}"/>
    <cellStyle name="Currency 3 2 2 2 2 2 5" xfId="20156" xr:uid="{00000000-0005-0000-0000-000004110000}"/>
    <cellStyle name="Currency 3 2 2 2 2 2 5 2" xfId="20157" xr:uid="{00000000-0005-0000-0000-000005110000}"/>
    <cellStyle name="Currency 3 2 2 2 2 2 5 2 2" xfId="20158" xr:uid="{00000000-0005-0000-0000-000006110000}"/>
    <cellStyle name="Currency 3 2 2 2 2 2 5 3" xfId="20159" xr:uid="{00000000-0005-0000-0000-000007110000}"/>
    <cellStyle name="Currency 3 2 2 2 2 2 5 3 2" xfId="20160" xr:uid="{00000000-0005-0000-0000-000008110000}"/>
    <cellStyle name="Currency 3 2 2 2 2 2 5 4" xfId="20161" xr:uid="{00000000-0005-0000-0000-000009110000}"/>
    <cellStyle name="Currency 3 2 2 2 2 2 5 4 2" xfId="20162" xr:uid="{00000000-0005-0000-0000-00000A110000}"/>
    <cellStyle name="Currency 3 2 2 2 2 2 5 5" xfId="20163" xr:uid="{00000000-0005-0000-0000-00000B110000}"/>
    <cellStyle name="Currency 3 2 2 2 2 2 5 6" xfId="20164" xr:uid="{00000000-0005-0000-0000-00000C110000}"/>
    <cellStyle name="Currency 3 2 2 2 2 2 6" xfId="20165" xr:uid="{00000000-0005-0000-0000-00000D110000}"/>
    <cellStyle name="Currency 3 2 2 2 2 2 6 2" xfId="20166" xr:uid="{00000000-0005-0000-0000-00000E110000}"/>
    <cellStyle name="Currency 3 2 2 2 2 2 6 2 2" xfId="20167" xr:uid="{00000000-0005-0000-0000-00000F110000}"/>
    <cellStyle name="Currency 3 2 2 2 2 2 6 3" xfId="20168" xr:uid="{00000000-0005-0000-0000-000010110000}"/>
    <cellStyle name="Currency 3 2 2 2 2 2 6 3 2" xfId="20169" xr:uid="{00000000-0005-0000-0000-000011110000}"/>
    <cellStyle name="Currency 3 2 2 2 2 2 6 4" xfId="20170" xr:uid="{00000000-0005-0000-0000-000012110000}"/>
    <cellStyle name="Currency 3 2 2 2 2 2 6 5" xfId="20171" xr:uid="{00000000-0005-0000-0000-000013110000}"/>
    <cellStyle name="Currency 3 2 2 2 2 2 7" xfId="20172" xr:uid="{00000000-0005-0000-0000-000014110000}"/>
    <cellStyle name="Currency 3 2 2 2 2 2 7 2" xfId="20173" xr:uid="{00000000-0005-0000-0000-000015110000}"/>
    <cellStyle name="Currency 3 2 2 2 2 2 8" xfId="20174" xr:uid="{00000000-0005-0000-0000-000016110000}"/>
    <cellStyle name="Currency 3 2 2 2 2 2 8 2" xfId="20175" xr:uid="{00000000-0005-0000-0000-000017110000}"/>
    <cellStyle name="Currency 3 2 2 2 2 2 9" xfId="20176" xr:uid="{00000000-0005-0000-0000-000018110000}"/>
    <cellStyle name="Currency 3 2 2 2 2 2 9 2" xfId="20177" xr:uid="{00000000-0005-0000-0000-000019110000}"/>
    <cellStyle name="Currency 3 2 2 2 2 3" xfId="20178" xr:uid="{00000000-0005-0000-0000-00001A110000}"/>
    <cellStyle name="Currency 3 2 2 2 2 3 10" xfId="20179" xr:uid="{00000000-0005-0000-0000-00001B110000}"/>
    <cellStyle name="Currency 3 2 2 2 2 3 2" xfId="20180" xr:uid="{00000000-0005-0000-0000-00001C110000}"/>
    <cellStyle name="Currency 3 2 2 2 2 3 2 2" xfId="20181" xr:uid="{00000000-0005-0000-0000-00001D110000}"/>
    <cellStyle name="Currency 3 2 2 2 2 3 2 2 2" xfId="20182" xr:uid="{00000000-0005-0000-0000-00001E110000}"/>
    <cellStyle name="Currency 3 2 2 2 2 3 2 3" xfId="20183" xr:uid="{00000000-0005-0000-0000-00001F110000}"/>
    <cellStyle name="Currency 3 2 2 2 2 3 2 3 2" xfId="20184" xr:uid="{00000000-0005-0000-0000-000020110000}"/>
    <cellStyle name="Currency 3 2 2 2 2 3 2 4" xfId="20185" xr:uid="{00000000-0005-0000-0000-000021110000}"/>
    <cellStyle name="Currency 3 2 2 2 2 3 2 4 2" xfId="20186" xr:uid="{00000000-0005-0000-0000-000022110000}"/>
    <cellStyle name="Currency 3 2 2 2 2 3 2 5" xfId="20187" xr:uid="{00000000-0005-0000-0000-000023110000}"/>
    <cellStyle name="Currency 3 2 2 2 2 3 2 6" xfId="20188" xr:uid="{00000000-0005-0000-0000-000024110000}"/>
    <cellStyle name="Currency 3 2 2 2 2 3 3" xfId="20189" xr:uid="{00000000-0005-0000-0000-000025110000}"/>
    <cellStyle name="Currency 3 2 2 2 2 3 3 2" xfId="20190" xr:uid="{00000000-0005-0000-0000-000026110000}"/>
    <cellStyle name="Currency 3 2 2 2 2 3 3 2 2" xfId="20191" xr:uid="{00000000-0005-0000-0000-000027110000}"/>
    <cellStyle name="Currency 3 2 2 2 2 3 3 3" xfId="20192" xr:uid="{00000000-0005-0000-0000-000028110000}"/>
    <cellStyle name="Currency 3 2 2 2 2 3 3 3 2" xfId="20193" xr:uid="{00000000-0005-0000-0000-000029110000}"/>
    <cellStyle name="Currency 3 2 2 2 2 3 3 4" xfId="20194" xr:uid="{00000000-0005-0000-0000-00002A110000}"/>
    <cellStyle name="Currency 3 2 2 2 2 3 3 4 2" xfId="20195" xr:uid="{00000000-0005-0000-0000-00002B110000}"/>
    <cellStyle name="Currency 3 2 2 2 2 3 3 5" xfId="20196" xr:uid="{00000000-0005-0000-0000-00002C110000}"/>
    <cellStyle name="Currency 3 2 2 2 2 3 3 6" xfId="20197" xr:uid="{00000000-0005-0000-0000-00002D110000}"/>
    <cellStyle name="Currency 3 2 2 2 2 3 4" xfId="20198" xr:uid="{00000000-0005-0000-0000-00002E110000}"/>
    <cellStyle name="Currency 3 2 2 2 2 3 4 2" xfId="20199" xr:uid="{00000000-0005-0000-0000-00002F110000}"/>
    <cellStyle name="Currency 3 2 2 2 2 3 4 2 2" xfId="20200" xr:uid="{00000000-0005-0000-0000-000030110000}"/>
    <cellStyle name="Currency 3 2 2 2 2 3 4 3" xfId="20201" xr:uid="{00000000-0005-0000-0000-000031110000}"/>
    <cellStyle name="Currency 3 2 2 2 2 3 4 3 2" xfId="20202" xr:uid="{00000000-0005-0000-0000-000032110000}"/>
    <cellStyle name="Currency 3 2 2 2 2 3 4 4" xfId="20203" xr:uid="{00000000-0005-0000-0000-000033110000}"/>
    <cellStyle name="Currency 3 2 2 2 2 3 4 4 2" xfId="20204" xr:uid="{00000000-0005-0000-0000-000034110000}"/>
    <cellStyle name="Currency 3 2 2 2 2 3 4 5" xfId="20205" xr:uid="{00000000-0005-0000-0000-000035110000}"/>
    <cellStyle name="Currency 3 2 2 2 2 3 4 6" xfId="20206" xr:uid="{00000000-0005-0000-0000-000036110000}"/>
    <cellStyle name="Currency 3 2 2 2 2 3 5" xfId="20207" xr:uid="{00000000-0005-0000-0000-000037110000}"/>
    <cellStyle name="Currency 3 2 2 2 2 3 5 2" xfId="20208" xr:uid="{00000000-0005-0000-0000-000038110000}"/>
    <cellStyle name="Currency 3 2 2 2 2 3 5 2 2" xfId="20209" xr:uid="{00000000-0005-0000-0000-000039110000}"/>
    <cellStyle name="Currency 3 2 2 2 2 3 5 3" xfId="20210" xr:uid="{00000000-0005-0000-0000-00003A110000}"/>
    <cellStyle name="Currency 3 2 2 2 2 3 5 3 2" xfId="20211" xr:uid="{00000000-0005-0000-0000-00003B110000}"/>
    <cellStyle name="Currency 3 2 2 2 2 3 5 4" xfId="20212" xr:uid="{00000000-0005-0000-0000-00003C110000}"/>
    <cellStyle name="Currency 3 2 2 2 2 3 5 5" xfId="20213" xr:uid="{00000000-0005-0000-0000-00003D110000}"/>
    <cellStyle name="Currency 3 2 2 2 2 3 6" xfId="20214" xr:uid="{00000000-0005-0000-0000-00003E110000}"/>
    <cellStyle name="Currency 3 2 2 2 2 3 6 2" xfId="20215" xr:uid="{00000000-0005-0000-0000-00003F110000}"/>
    <cellStyle name="Currency 3 2 2 2 2 3 7" xfId="20216" xr:uid="{00000000-0005-0000-0000-000040110000}"/>
    <cellStyle name="Currency 3 2 2 2 2 3 7 2" xfId="20217" xr:uid="{00000000-0005-0000-0000-000041110000}"/>
    <cellStyle name="Currency 3 2 2 2 2 3 8" xfId="20218" xr:uid="{00000000-0005-0000-0000-000042110000}"/>
    <cellStyle name="Currency 3 2 2 2 2 3 8 2" xfId="20219" xr:uid="{00000000-0005-0000-0000-000043110000}"/>
    <cellStyle name="Currency 3 2 2 2 2 3 9" xfId="20220" xr:uid="{00000000-0005-0000-0000-000044110000}"/>
    <cellStyle name="Currency 3 2 2 2 2 4" xfId="20221" xr:uid="{00000000-0005-0000-0000-000045110000}"/>
    <cellStyle name="Currency 3 2 2 2 2 4 10" xfId="20222" xr:uid="{00000000-0005-0000-0000-000046110000}"/>
    <cellStyle name="Currency 3 2 2 2 2 4 2" xfId="20223" xr:uid="{00000000-0005-0000-0000-000047110000}"/>
    <cellStyle name="Currency 3 2 2 2 2 4 2 2" xfId="20224" xr:uid="{00000000-0005-0000-0000-000048110000}"/>
    <cellStyle name="Currency 3 2 2 2 2 4 2 2 2" xfId="20225" xr:uid="{00000000-0005-0000-0000-000049110000}"/>
    <cellStyle name="Currency 3 2 2 2 2 4 2 3" xfId="20226" xr:uid="{00000000-0005-0000-0000-00004A110000}"/>
    <cellStyle name="Currency 3 2 2 2 2 4 2 3 2" xfId="20227" xr:uid="{00000000-0005-0000-0000-00004B110000}"/>
    <cellStyle name="Currency 3 2 2 2 2 4 2 4" xfId="20228" xr:uid="{00000000-0005-0000-0000-00004C110000}"/>
    <cellStyle name="Currency 3 2 2 2 2 4 2 4 2" xfId="20229" xr:uid="{00000000-0005-0000-0000-00004D110000}"/>
    <cellStyle name="Currency 3 2 2 2 2 4 2 5" xfId="20230" xr:uid="{00000000-0005-0000-0000-00004E110000}"/>
    <cellStyle name="Currency 3 2 2 2 2 4 2 6" xfId="20231" xr:uid="{00000000-0005-0000-0000-00004F110000}"/>
    <cellStyle name="Currency 3 2 2 2 2 4 3" xfId="20232" xr:uid="{00000000-0005-0000-0000-000050110000}"/>
    <cellStyle name="Currency 3 2 2 2 2 4 3 2" xfId="20233" xr:uid="{00000000-0005-0000-0000-000051110000}"/>
    <cellStyle name="Currency 3 2 2 2 2 4 3 2 2" xfId="20234" xr:uid="{00000000-0005-0000-0000-000052110000}"/>
    <cellStyle name="Currency 3 2 2 2 2 4 3 3" xfId="20235" xr:uid="{00000000-0005-0000-0000-000053110000}"/>
    <cellStyle name="Currency 3 2 2 2 2 4 3 3 2" xfId="20236" xr:uid="{00000000-0005-0000-0000-000054110000}"/>
    <cellStyle name="Currency 3 2 2 2 2 4 3 4" xfId="20237" xr:uid="{00000000-0005-0000-0000-000055110000}"/>
    <cellStyle name="Currency 3 2 2 2 2 4 3 4 2" xfId="20238" xr:uid="{00000000-0005-0000-0000-000056110000}"/>
    <cellStyle name="Currency 3 2 2 2 2 4 3 5" xfId="20239" xr:uid="{00000000-0005-0000-0000-000057110000}"/>
    <cellStyle name="Currency 3 2 2 2 2 4 3 6" xfId="20240" xr:uid="{00000000-0005-0000-0000-000058110000}"/>
    <cellStyle name="Currency 3 2 2 2 2 4 4" xfId="20241" xr:uid="{00000000-0005-0000-0000-000059110000}"/>
    <cellStyle name="Currency 3 2 2 2 2 4 4 2" xfId="20242" xr:uid="{00000000-0005-0000-0000-00005A110000}"/>
    <cellStyle name="Currency 3 2 2 2 2 4 4 2 2" xfId="20243" xr:uid="{00000000-0005-0000-0000-00005B110000}"/>
    <cellStyle name="Currency 3 2 2 2 2 4 4 3" xfId="20244" xr:uid="{00000000-0005-0000-0000-00005C110000}"/>
    <cellStyle name="Currency 3 2 2 2 2 4 4 3 2" xfId="20245" xr:uid="{00000000-0005-0000-0000-00005D110000}"/>
    <cellStyle name="Currency 3 2 2 2 2 4 4 4" xfId="20246" xr:uid="{00000000-0005-0000-0000-00005E110000}"/>
    <cellStyle name="Currency 3 2 2 2 2 4 4 4 2" xfId="20247" xr:uid="{00000000-0005-0000-0000-00005F110000}"/>
    <cellStyle name="Currency 3 2 2 2 2 4 4 5" xfId="20248" xr:uid="{00000000-0005-0000-0000-000060110000}"/>
    <cellStyle name="Currency 3 2 2 2 2 4 4 6" xfId="20249" xr:uid="{00000000-0005-0000-0000-000061110000}"/>
    <cellStyle name="Currency 3 2 2 2 2 4 5" xfId="20250" xr:uid="{00000000-0005-0000-0000-000062110000}"/>
    <cellStyle name="Currency 3 2 2 2 2 4 5 2" xfId="20251" xr:uid="{00000000-0005-0000-0000-000063110000}"/>
    <cellStyle name="Currency 3 2 2 2 2 4 5 2 2" xfId="20252" xr:uid="{00000000-0005-0000-0000-000064110000}"/>
    <cellStyle name="Currency 3 2 2 2 2 4 5 3" xfId="20253" xr:uid="{00000000-0005-0000-0000-000065110000}"/>
    <cellStyle name="Currency 3 2 2 2 2 4 5 3 2" xfId="20254" xr:uid="{00000000-0005-0000-0000-000066110000}"/>
    <cellStyle name="Currency 3 2 2 2 2 4 5 4" xfId="20255" xr:uid="{00000000-0005-0000-0000-000067110000}"/>
    <cellStyle name="Currency 3 2 2 2 2 4 5 5" xfId="20256" xr:uid="{00000000-0005-0000-0000-000068110000}"/>
    <cellStyle name="Currency 3 2 2 2 2 4 6" xfId="20257" xr:uid="{00000000-0005-0000-0000-000069110000}"/>
    <cellStyle name="Currency 3 2 2 2 2 4 6 2" xfId="20258" xr:uid="{00000000-0005-0000-0000-00006A110000}"/>
    <cellStyle name="Currency 3 2 2 2 2 4 7" xfId="20259" xr:uid="{00000000-0005-0000-0000-00006B110000}"/>
    <cellStyle name="Currency 3 2 2 2 2 4 7 2" xfId="20260" xr:uid="{00000000-0005-0000-0000-00006C110000}"/>
    <cellStyle name="Currency 3 2 2 2 2 4 8" xfId="20261" xr:uid="{00000000-0005-0000-0000-00006D110000}"/>
    <cellStyle name="Currency 3 2 2 2 2 4 8 2" xfId="20262" xr:uid="{00000000-0005-0000-0000-00006E110000}"/>
    <cellStyle name="Currency 3 2 2 2 2 4 9" xfId="20263" xr:uid="{00000000-0005-0000-0000-00006F110000}"/>
    <cellStyle name="Currency 3 2 2 2 2 5" xfId="20264" xr:uid="{00000000-0005-0000-0000-000070110000}"/>
    <cellStyle name="Currency 3 2 2 2 2 5 2" xfId="20265" xr:uid="{00000000-0005-0000-0000-000071110000}"/>
    <cellStyle name="Currency 3 2 2 2 2 5 2 2" xfId="20266" xr:uid="{00000000-0005-0000-0000-000072110000}"/>
    <cellStyle name="Currency 3 2 2 2 2 5 3" xfId="20267" xr:uid="{00000000-0005-0000-0000-000073110000}"/>
    <cellStyle name="Currency 3 2 2 2 2 5 3 2" xfId="20268" xr:uid="{00000000-0005-0000-0000-000074110000}"/>
    <cellStyle name="Currency 3 2 2 2 2 5 4" xfId="20269" xr:uid="{00000000-0005-0000-0000-000075110000}"/>
    <cellStyle name="Currency 3 2 2 2 2 5 4 2" xfId="20270" xr:uid="{00000000-0005-0000-0000-000076110000}"/>
    <cellStyle name="Currency 3 2 2 2 2 5 5" xfId="20271" xr:uid="{00000000-0005-0000-0000-000077110000}"/>
    <cellStyle name="Currency 3 2 2 2 2 5 6" xfId="20272" xr:uid="{00000000-0005-0000-0000-000078110000}"/>
    <cellStyle name="Currency 3 2 2 2 2 6" xfId="20273" xr:uid="{00000000-0005-0000-0000-000079110000}"/>
    <cellStyle name="Currency 3 2 2 2 2 6 2" xfId="20274" xr:uid="{00000000-0005-0000-0000-00007A110000}"/>
    <cellStyle name="Currency 3 2 2 2 2 6 2 2" xfId="20275" xr:uid="{00000000-0005-0000-0000-00007B110000}"/>
    <cellStyle name="Currency 3 2 2 2 2 6 3" xfId="20276" xr:uid="{00000000-0005-0000-0000-00007C110000}"/>
    <cellStyle name="Currency 3 2 2 2 2 6 3 2" xfId="20277" xr:uid="{00000000-0005-0000-0000-00007D110000}"/>
    <cellStyle name="Currency 3 2 2 2 2 6 4" xfId="20278" xr:uid="{00000000-0005-0000-0000-00007E110000}"/>
    <cellStyle name="Currency 3 2 2 2 2 6 4 2" xfId="20279" xr:uid="{00000000-0005-0000-0000-00007F110000}"/>
    <cellStyle name="Currency 3 2 2 2 2 6 5" xfId="20280" xr:uid="{00000000-0005-0000-0000-000080110000}"/>
    <cellStyle name="Currency 3 2 2 2 2 6 6" xfId="20281" xr:uid="{00000000-0005-0000-0000-000081110000}"/>
    <cellStyle name="Currency 3 2 2 2 2 7" xfId="20282" xr:uid="{00000000-0005-0000-0000-000082110000}"/>
    <cellStyle name="Currency 3 2 2 2 2 7 2" xfId="20283" xr:uid="{00000000-0005-0000-0000-000083110000}"/>
    <cellStyle name="Currency 3 2 2 2 2 7 2 2" xfId="20284" xr:uid="{00000000-0005-0000-0000-000084110000}"/>
    <cellStyle name="Currency 3 2 2 2 2 7 3" xfId="20285" xr:uid="{00000000-0005-0000-0000-000085110000}"/>
    <cellStyle name="Currency 3 2 2 2 2 7 3 2" xfId="20286" xr:uid="{00000000-0005-0000-0000-000086110000}"/>
    <cellStyle name="Currency 3 2 2 2 2 7 4" xfId="20287" xr:uid="{00000000-0005-0000-0000-000087110000}"/>
    <cellStyle name="Currency 3 2 2 2 2 7 4 2" xfId="20288" xr:uid="{00000000-0005-0000-0000-000088110000}"/>
    <cellStyle name="Currency 3 2 2 2 2 7 5" xfId="20289" xr:uid="{00000000-0005-0000-0000-000089110000}"/>
    <cellStyle name="Currency 3 2 2 2 2 7 6" xfId="20290" xr:uid="{00000000-0005-0000-0000-00008A110000}"/>
    <cellStyle name="Currency 3 2 2 2 2 8" xfId="20291" xr:uid="{00000000-0005-0000-0000-00008B110000}"/>
    <cellStyle name="Currency 3 2 2 2 2 8 2" xfId="20292" xr:uid="{00000000-0005-0000-0000-00008C110000}"/>
    <cellStyle name="Currency 3 2 2 2 2 8 2 2" xfId="20293" xr:uid="{00000000-0005-0000-0000-00008D110000}"/>
    <cellStyle name="Currency 3 2 2 2 2 8 3" xfId="20294" xr:uid="{00000000-0005-0000-0000-00008E110000}"/>
    <cellStyle name="Currency 3 2 2 2 2 8 3 2" xfId="20295" xr:uid="{00000000-0005-0000-0000-00008F110000}"/>
    <cellStyle name="Currency 3 2 2 2 2 8 4" xfId="20296" xr:uid="{00000000-0005-0000-0000-000090110000}"/>
    <cellStyle name="Currency 3 2 2 2 2 8 5" xfId="20297" xr:uid="{00000000-0005-0000-0000-000091110000}"/>
    <cellStyle name="Currency 3 2 2 2 2 9" xfId="20298" xr:uid="{00000000-0005-0000-0000-000092110000}"/>
    <cellStyle name="Currency 3 2 2 2 2 9 2" xfId="20299" xr:uid="{00000000-0005-0000-0000-000093110000}"/>
    <cellStyle name="Currency 3 2 2 2 3" xfId="20300" xr:uid="{00000000-0005-0000-0000-000094110000}"/>
    <cellStyle name="Currency 3 2 2 2 3 10" xfId="20301" xr:uid="{00000000-0005-0000-0000-000095110000}"/>
    <cellStyle name="Currency 3 2 2 2 3 10 2" xfId="20302" xr:uid="{00000000-0005-0000-0000-000096110000}"/>
    <cellStyle name="Currency 3 2 2 2 3 11" xfId="20303" xr:uid="{00000000-0005-0000-0000-000097110000}"/>
    <cellStyle name="Currency 3 2 2 2 3 11 2" xfId="20304" xr:uid="{00000000-0005-0000-0000-000098110000}"/>
    <cellStyle name="Currency 3 2 2 2 3 12" xfId="20305" xr:uid="{00000000-0005-0000-0000-000099110000}"/>
    <cellStyle name="Currency 3 2 2 2 3 13" xfId="20306" xr:uid="{00000000-0005-0000-0000-00009A110000}"/>
    <cellStyle name="Currency 3 2 2 2 3 2" xfId="20307" xr:uid="{00000000-0005-0000-0000-00009B110000}"/>
    <cellStyle name="Currency 3 2 2 2 3 2 10" xfId="20308" xr:uid="{00000000-0005-0000-0000-00009C110000}"/>
    <cellStyle name="Currency 3 2 2 2 3 2 11" xfId="20309" xr:uid="{00000000-0005-0000-0000-00009D110000}"/>
    <cellStyle name="Currency 3 2 2 2 3 2 2" xfId="20310" xr:uid="{00000000-0005-0000-0000-00009E110000}"/>
    <cellStyle name="Currency 3 2 2 2 3 2 2 2" xfId="20311" xr:uid="{00000000-0005-0000-0000-00009F110000}"/>
    <cellStyle name="Currency 3 2 2 2 3 2 2 2 2" xfId="20312" xr:uid="{00000000-0005-0000-0000-0000A0110000}"/>
    <cellStyle name="Currency 3 2 2 2 3 2 2 3" xfId="20313" xr:uid="{00000000-0005-0000-0000-0000A1110000}"/>
    <cellStyle name="Currency 3 2 2 2 3 2 2 3 2" xfId="20314" xr:uid="{00000000-0005-0000-0000-0000A2110000}"/>
    <cellStyle name="Currency 3 2 2 2 3 2 2 4" xfId="20315" xr:uid="{00000000-0005-0000-0000-0000A3110000}"/>
    <cellStyle name="Currency 3 2 2 2 3 2 2 4 2" xfId="20316" xr:uid="{00000000-0005-0000-0000-0000A4110000}"/>
    <cellStyle name="Currency 3 2 2 2 3 2 2 5" xfId="20317" xr:uid="{00000000-0005-0000-0000-0000A5110000}"/>
    <cellStyle name="Currency 3 2 2 2 3 2 2 6" xfId="20318" xr:uid="{00000000-0005-0000-0000-0000A6110000}"/>
    <cellStyle name="Currency 3 2 2 2 3 2 3" xfId="20319" xr:uid="{00000000-0005-0000-0000-0000A7110000}"/>
    <cellStyle name="Currency 3 2 2 2 3 2 3 2" xfId="20320" xr:uid="{00000000-0005-0000-0000-0000A8110000}"/>
    <cellStyle name="Currency 3 2 2 2 3 2 3 2 2" xfId="20321" xr:uid="{00000000-0005-0000-0000-0000A9110000}"/>
    <cellStyle name="Currency 3 2 2 2 3 2 3 3" xfId="20322" xr:uid="{00000000-0005-0000-0000-0000AA110000}"/>
    <cellStyle name="Currency 3 2 2 2 3 2 3 3 2" xfId="20323" xr:uid="{00000000-0005-0000-0000-0000AB110000}"/>
    <cellStyle name="Currency 3 2 2 2 3 2 3 4" xfId="20324" xr:uid="{00000000-0005-0000-0000-0000AC110000}"/>
    <cellStyle name="Currency 3 2 2 2 3 2 3 4 2" xfId="20325" xr:uid="{00000000-0005-0000-0000-0000AD110000}"/>
    <cellStyle name="Currency 3 2 2 2 3 2 3 5" xfId="20326" xr:uid="{00000000-0005-0000-0000-0000AE110000}"/>
    <cellStyle name="Currency 3 2 2 2 3 2 3 6" xfId="20327" xr:uid="{00000000-0005-0000-0000-0000AF110000}"/>
    <cellStyle name="Currency 3 2 2 2 3 2 4" xfId="20328" xr:uid="{00000000-0005-0000-0000-0000B0110000}"/>
    <cellStyle name="Currency 3 2 2 2 3 2 4 2" xfId="20329" xr:uid="{00000000-0005-0000-0000-0000B1110000}"/>
    <cellStyle name="Currency 3 2 2 2 3 2 4 2 2" xfId="20330" xr:uid="{00000000-0005-0000-0000-0000B2110000}"/>
    <cellStyle name="Currency 3 2 2 2 3 2 4 3" xfId="20331" xr:uid="{00000000-0005-0000-0000-0000B3110000}"/>
    <cellStyle name="Currency 3 2 2 2 3 2 4 3 2" xfId="20332" xr:uid="{00000000-0005-0000-0000-0000B4110000}"/>
    <cellStyle name="Currency 3 2 2 2 3 2 4 4" xfId="20333" xr:uid="{00000000-0005-0000-0000-0000B5110000}"/>
    <cellStyle name="Currency 3 2 2 2 3 2 4 4 2" xfId="20334" xr:uid="{00000000-0005-0000-0000-0000B6110000}"/>
    <cellStyle name="Currency 3 2 2 2 3 2 4 5" xfId="20335" xr:uid="{00000000-0005-0000-0000-0000B7110000}"/>
    <cellStyle name="Currency 3 2 2 2 3 2 4 6" xfId="20336" xr:uid="{00000000-0005-0000-0000-0000B8110000}"/>
    <cellStyle name="Currency 3 2 2 2 3 2 5" xfId="20337" xr:uid="{00000000-0005-0000-0000-0000B9110000}"/>
    <cellStyle name="Currency 3 2 2 2 3 2 5 2" xfId="20338" xr:uid="{00000000-0005-0000-0000-0000BA110000}"/>
    <cellStyle name="Currency 3 2 2 2 3 2 5 2 2" xfId="20339" xr:uid="{00000000-0005-0000-0000-0000BB110000}"/>
    <cellStyle name="Currency 3 2 2 2 3 2 5 3" xfId="20340" xr:uid="{00000000-0005-0000-0000-0000BC110000}"/>
    <cellStyle name="Currency 3 2 2 2 3 2 5 3 2" xfId="20341" xr:uid="{00000000-0005-0000-0000-0000BD110000}"/>
    <cellStyle name="Currency 3 2 2 2 3 2 5 4" xfId="20342" xr:uid="{00000000-0005-0000-0000-0000BE110000}"/>
    <cellStyle name="Currency 3 2 2 2 3 2 5 4 2" xfId="20343" xr:uid="{00000000-0005-0000-0000-0000BF110000}"/>
    <cellStyle name="Currency 3 2 2 2 3 2 5 5" xfId="20344" xr:uid="{00000000-0005-0000-0000-0000C0110000}"/>
    <cellStyle name="Currency 3 2 2 2 3 2 5 6" xfId="20345" xr:uid="{00000000-0005-0000-0000-0000C1110000}"/>
    <cellStyle name="Currency 3 2 2 2 3 2 6" xfId="20346" xr:uid="{00000000-0005-0000-0000-0000C2110000}"/>
    <cellStyle name="Currency 3 2 2 2 3 2 6 2" xfId="20347" xr:uid="{00000000-0005-0000-0000-0000C3110000}"/>
    <cellStyle name="Currency 3 2 2 2 3 2 6 2 2" xfId="20348" xr:uid="{00000000-0005-0000-0000-0000C4110000}"/>
    <cellStyle name="Currency 3 2 2 2 3 2 6 3" xfId="20349" xr:uid="{00000000-0005-0000-0000-0000C5110000}"/>
    <cellStyle name="Currency 3 2 2 2 3 2 6 3 2" xfId="20350" xr:uid="{00000000-0005-0000-0000-0000C6110000}"/>
    <cellStyle name="Currency 3 2 2 2 3 2 6 4" xfId="20351" xr:uid="{00000000-0005-0000-0000-0000C7110000}"/>
    <cellStyle name="Currency 3 2 2 2 3 2 6 5" xfId="20352" xr:uid="{00000000-0005-0000-0000-0000C8110000}"/>
    <cellStyle name="Currency 3 2 2 2 3 2 7" xfId="20353" xr:uid="{00000000-0005-0000-0000-0000C9110000}"/>
    <cellStyle name="Currency 3 2 2 2 3 2 7 2" xfId="20354" xr:uid="{00000000-0005-0000-0000-0000CA110000}"/>
    <cellStyle name="Currency 3 2 2 2 3 2 8" xfId="20355" xr:uid="{00000000-0005-0000-0000-0000CB110000}"/>
    <cellStyle name="Currency 3 2 2 2 3 2 8 2" xfId="20356" xr:uid="{00000000-0005-0000-0000-0000CC110000}"/>
    <cellStyle name="Currency 3 2 2 2 3 2 9" xfId="20357" xr:uid="{00000000-0005-0000-0000-0000CD110000}"/>
    <cellStyle name="Currency 3 2 2 2 3 2 9 2" xfId="20358" xr:uid="{00000000-0005-0000-0000-0000CE110000}"/>
    <cellStyle name="Currency 3 2 2 2 3 3" xfId="20359" xr:uid="{00000000-0005-0000-0000-0000CF110000}"/>
    <cellStyle name="Currency 3 2 2 2 3 3 10" xfId="20360" xr:uid="{00000000-0005-0000-0000-0000D0110000}"/>
    <cellStyle name="Currency 3 2 2 2 3 3 2" xfId="20361" xr:uid="{00000000-0005-0000-0000-0000D1110000}"/>
    <cellStyle name="Currency 3 2 2 2 3 3 2 2" xfId="20362" xr:uid="{00000000-0005-0000-0000-0000D2110000}"/>
    <cellStyle name="Currency 3 2 2 2 3 3 2 2 2" xfId="20363" xr:uid="{00000000-0005-0000-0000-0000D3110000}"/>
    <cellStyle name="Currency 3 2 2 2 3 3 2 3" xfId="20364" xr:uid="{00000000-0005-0000-0000-0000D4110000}"/>
    <cellStyle name="Currency 3 2 2 2 3 3 2 3 2" xfId="20365" xr:uid="{00000000-0005-0000-0000-0000D5110000}"/>
    <cellStyle name="Currency 3 2 2 2 3 3 2 4" xfId="20366" xr:uid="{00000000-0005-0000-0000-0000D6110000}"/>
    <cellStyle name="Currency 3 2 2 2 3 3 2 4 2" xfId="20367" xr:uid="{00000000-0005-0000-0000-0000D7110000}"/>
    <cellStyle name="Currency 3 2 2 2 3 3 2 5" xfId="20368" xr:uid="{00000000-0005-0000-0000-0000D8110000}"/>
    <cellStyle name="Currency 3 2 2 2 3 3 2 6" xfId="20369" xr:uid="{00000000-0005-0000-0000-0000D9110000}"/>
    <cellStyle name="Currency 3 2 2 2 3 3 3" xfId="20370" xr:uid="{00000000-0005-0000-0000-0000DA110000}"/>
    <cellStyle name="Currency 3 2 2 2 3 3 3 2" xfId="20371" xr:uid="{00000000-0005-0000-0000-0000DB110000}"/>
    <cellStyle name="Currency 3 2 2 2 3 3 3 2 2" xfId="20372" xr:uid="{00000000-0005-0000-0000-0000DC110000}"/>
    <cellStyle name="Currency 3 2 2 2 3 3 3 3" xfId="20373" xr:uid="{00000000-0005-0000-0000-0000DD110000}"/>
    <cellStyle name="Currency 3 2 2 2 3 3 3 3 2" xfId="20374" xr:uid="{00000000-0005-0000-0000-0000DE110000}"/>
    <cellStyle name="Currency 3 2 2 2 3 3 3 4" xfId="20375" xr:uid="{00000000-0005-0000-0000-0000DF110000}"/>
    <cellStyle name="Currency 3 2 2 2 3 3 3 4 2" xfId="20376" xr:uid="{00000000-0005-0000-0000-0000E0110000}"/>
    <cellStyle name="Currency 3 2 2 2 3 3 3 5" xfId="20377" xr:uid="{00000000-0005-0000-0000-0000E1110000}"/>
    <cellStyle name="Currency 3 2 2 2 3 3 3 6" xfId="20378" xr:uid="{00000000-0005-0000-0000-0000E2110000}"/>
    <cellStyle name="Currency 3 2 2 2 3 3 4" xfId="20379" xr:uid="{00000000-0005-0000-0000-0000E3110000}"/>
    <cellStyle name="Currency 3 2 2 2 3 3 4 2" xfId="20380" xr:uid="{00000000-0005-0000-0000-0000E4110000}"/>
    <cellStyle name="Currency 3 2 2 2 3 3 4 2 2" xfId="20381" xr:uid="{00000000-0005-0000-0000-0000E5110000}"/>
    <cellStyle name="Currency 3 2 2 2 3 3 4 3" xfId="20382" xr:uid="{00000000-0005-0000-0000-0000E6110000}"/>
    <cellStyle name="Currency 3 2 2 2 3 3 4 3 2" xfId="20383" xr:uid="{00000000-0005-0000-0000-0000E7110000}"/>
    <cellStyle name="Currency 3 2 2 2 3 3 4 4" xfId="20384" xr:uid="{00000000-0005-0000-0000-0000E8110000}"/>
    <cellStyle name="Currency 3 2 2 2 3 3 4 4 2" xfId="20385" xr:uid="{00000000-0005-0000-0000-0000E9110000}"/>
    <cellStyle name="Currency 3 2 2 2 3 3 4 5" xfId="20386" xr:uid="{00000000-0005-0000-0000-0000EA110000}"/>
    <cellStyle name="Currency 3 2 2 2 3 3 4 6" xfId="20387" xr:uid="{00000000-0005-0000-0000-0000EB110000}"/>
    <cellStyle name="Currency 3 2 2 2 3 3 5" xfId="20388" xr:uid="{00000000-0005-0000-0000-0000EC110000}"/>
    <cellStyle name="Currency 3 2 2 2 3 3 5 2" xfId="20389" xr:uid="{00000000-0005-0000-0000-0000ED110000}"/>
    <cellStyle name="Currency 3 2 2 2 3 3 5 2 2" xfId="20390" xr:uid="{00000000-0005-0000-0000-0000EE110000}"/>
    <cellStyle name="Currency 3 2 2 2 3 3 5 3" xfId="20391" xr:uid="{00000000-0005-0000-0000-0000EF110000}"/>
    <cellStyle name="Currency 3 2 2 2 3 3 5 3 2" xfId="20392" xr:uid="{00000000-0005-0000-0000-0000F0110000}"/>
    <cellStyle name="Currency 3 2 2 2 3 3 5 4" xfId="20393" xr:uid="{00000000-0005-0000-0000-0000F1110000}"/>
    <cellStyle name="Currency 3 2 2 2 3 3 5 5" xfId="20394" xr:uid="{00000000-0005-0000-0000-0000F2110000}"/>
    <cellStyle name="Currency 3 2 2 2 3 3 6" xfId="20395" xr:uid="{00000000-0005-0000-0000-0000F3110000}"/>
    <cellStyle name="Currency 3 2 2 2 3 3 6 2" xfId="20396" xr:uid="{00000000-0005-0000-0000-0000F4110000}"/>
    <cellStyle name="Currency 3 2 2 2 3 3 7" xfId="20397" xr:uid="{00000000-0005-0000-0000-0000F5110000}"/>
    <cellStyle name="Currency 3 2 2 2 3 3 7 2" xfId="20398" xr:uid="{00000000-0005-0000-0000-0000F6110000}"/>
    <cellStyle name="Currency 3 2 2 2 3 3 8" xfId="20399" xr:uid="{00000000-0005-0000-0000-0000F7110000}"/>
    <cellStyle name="Currency 3 2 2 2 3 3 8 2" xfId="20400" xr:uid="{00000000-0005-0000-0000-0000F8110000}"/>
    <cellStyle name="Currency 3 2 2 2 3 3 9" xfId="20401" xr:uid="{00000000-0005-0000-0000-0000F9110000}"/>
    <cellStyle name="Currency 3 2 2 2 3 4" xfId="20402" xr:uid="{00000000-0005-0000-0000-0000FA110000}"/>
    <cellStyle name="Currency 3 2 2 2 3 4 10" xfId="20403" xr:uid="{00000000-0005-0000-0000-0000FB110000}"/>
    <cellStyle name="Currency 3 2 2 2 3 4 2" xfId="20404" xr:uid="{00000000-0005-0000-0000-0000FC110000}"/>
    <cellStyle name="Currency 3 2 2 2 3 4 2 2" xfId="20405" xr:uid="{00000000-0005-0000-0000-0000FD110000}"/>
    <cellStyle name="Currency 3 2 2 2 3 4 2 2 2" xfId="20406" xr:uid="{00000000-0005-0000-0000-0000FE110000}"/>
    <cellStyle name="Currency 3 2 2 2 3 4 2 3" xfId="20407" xr:uid="{00000000-0005-0000-0000-0000FF110000}"/>
    <cellStyle name="Currency 3 2 2 2 3 4 2 3 2" xfId="20408" xr:uid="{00000000-0005-0000-0000-000000120000}"/>
    <cellStyle name="Currency 3 2 2 2 3 4 2 4" xfId="20409" xr:uid="{00000000-0005-0000-0000-000001120000}"/>
    <cellStyle name="Currency 3 2 2 2 3 4 2 4 2" xfId="20410" xr:uid="{00000000-0005-0000-0000-000002120000}"/>
    <cellStyle name="Currency 3 2 2 2 3 4 2 5" xfId="20411" xr:uid="{00000000-0005-0000-0000-000003120000}"/>
    <cellStyle name="Currency 3 2 2 2 3 4 2 6" xfId="20412" xr:uid="{00000000-0005-0000-0000-000004120000}"/>
    <cellStyle name="Currency 3 2 2 2 3 4 3" xfId="20413" xr:uid="{00000000-0005-0000-0000-000005120000}"/>
    <cellStyle name="Currency 3 2 2 2 3 4 3 2" xfId="20414" xr:uid="{00000000-0005-0000-0000-000006120000}"/>
    <cellStyle name="Currency 3 2 2 2 3 4 3 2 2" xfId="20415" xr:uid="{00000000-0005-0000-0000-000007120000}"/>
    <cellStyle name="Currency 3 2 2 2 3 4 3 3" xfId="20416" xr:uid="{00000000-0005-0000-0000-000008120000}"/>
    <cellStyle name="Currency 3 2 2 2 3 4 3 3 2" xfId="20417" xr:uid="{00000000-0005-0000-0000-000009120000}"/>
    <cellStyle name="Currency 3 2 2 2 3 4 3 4" xfId="20418" xr:uid="{00000000-0005-0000-0000-00000A120000}"/>
    <cellStyle name="Currency 3 2 2 2 3 4 3 4 2" xfId="20419" xr:uid="{00000000-0005-0000-0000-00000B120000}"/>
    <cellStyle name="Currency 3 2 2 2 3 4 3 5" xfId="20420" xr:uid="{00000000-0005-0000-0000-00000C120000}"/>
    <cellStyle name="Currency 3 2 2 2 3 4 3 6" xfId="20421" xr:uid="{00000000-0005-0000-0000-00000D120000}"/>
    <cellStyle name="Currency 3 2 2 2 3 4 4" xfId="20422" xr:uid="{00000000-0005-0000-0000-00000E120000}"/>
    <cellStyle name="Currency 3 2 2 2 3 4 4 2" xfId="20423" xr:uid="{00000000-0005-0000-0000-00000F120000}"/>
    <cellStyle name="Currency 3 2 2 2 3 4 4 2 2" xfId="20424" xr:uid="{00000000-0005-0000-0000-000010120000}"/>
    <cellStyle name="Currency 3 2 2 2 3 4 4 3" xfId="20425" xr:uid="{00000000-0005-0000-0000-000011120000}"/>
    <cellStyle name="Currency 3 2 2 2 3 4 4 3 2" xfId="20426" xr:uid="{00000000-0005-0000-0000-000012120000}"/>
    <cellStyle name="Currency 3 2 2 2 3 4 4 4" xfId="20427" xr:uid="{00000000-0005-0000-0000-000013120000}"/>
    <cellStyle name="Currency 3 2 2 2 3 4 4 4 2" xfId="20428" xr:uid="{00000000-0005-0000-0000-000014120000}"/>
    <cellStyle name="Currency 3 2 2 2 3 4 4 5" xfId="20429" xr:uid="{00000000-0005-0000-0000-000015120000}"/>
    <cellStyle name="Currency 3 2 2 2 3 4 4 6" xfId="20430" xr:uid="{00000000-0005-0000-0000-000016120000}"/>
    <cellStyle name="Currency 3 2 2 2 3 4 5" xfId="20431" xr:uid="{00000000-0005-0000-0000-000017120000}"/>
    <cellStyle name="Currency 3 2 2 2 3 4 5 2" xfId="20432" xr:uid="{00000000-0005-0000-0000-000018120000}"/>
    <cellStyle name="Currency 3 2 2 2 3 4 5 2 2" xfId="20433" xr:uid="{00000000-0005-0000-0000-000019120000}"/>
    <cellStyle name="Currency 3 2 2 2 3 4 5 3" xfId="20434" xr:uid="{00000000-0005-0000-0000-00001A120000}"/>
    <cellStyle name="Currency 3 2 2 2 3 4 5 3 2" xfId="20435" xr:uid="{00000000-0005-0000-0000-00001B120000}"/>
    <cellStyle name="Currency 3 2 2 2 3 4 5 4" xfId="20436" xr:uid="{00000000-0005-0000-0000-00001C120000}"/>
    <cellStyle name="Currency 3 2 2 2 3 4 5 5" xfId="20437" xr:uid="{00000000-0005-0000-0000-00001D120000}"/>
    <cellStyle name="Currency 3 2 2 2 3 4 6" xfId="20438" xr:uid="{00000000-0005-0000-0000-00001E120000}"/>
    <cellStyle name="Currency 3 2 2 2 3 4 6 2" xfId="20439" xr:uid="{00000000-0005-0000-0000-00001F120000}"/>
    <cellStyle name="Currency 3 2 2 2 3 4 7" xfId="20440" xr:uid="{00000000-0005-0000-0000-000020120000}"/>
    <cellStyle name="Currency 3 2 2 2 3 4 7 2" xfId="20441" xr:uid="{00000000-0005-0000-0000-000021120000}"/>
    <cellStyle name="Currency 3 2 2 2 3 4 8" xfId="20442" xr:uid="{00000000-0005-0000-0000-000022120000}"/>
    <cellStyle name="Currency 3 2 2 2 3 4 8 2" xfId="20443" xr:uid="{00000000-0005-0000-0000-000023120000}"/>
    <cellStyle name="Currency 3 2 2 2 3 4 9" xfId="20444" xr:uid="{00000000-0005-0000-0000-000024120000}"/>
    <cellStyle name="Currency 3 2 2 2 3 5" xfId="20445" xr:uid="{00000000-0005-0000-0000-000025120000}"/>
    <cellStyle name="Currency 3 2 2 2 3 5 2" xfId="20446" xr:uid="{00000000-0005-0000-0000-000026120000}"/>
    <cellStyle name="Currency 3 2 2 2 3 5 2 2" xfId="20447" xr:uid="{00000000-0005-0000-0000-000027120000}"/>
    <cellStyle name="Currency 3 2 2 2 3 5 3" xfId="20448" xr:uid="{00000000-0005-0000-0000-000028120000}"/>
    <cellStyle name="Currency 3 2 2 2 3 5 3 2" xfId="20449" xr:uid="{00000000-0005-0000-0000-000029120000}"/>
    <cellStyle name="Currency 3 2 2 2 3 5 4" xfId="20450" xr:uid="{00000000-0005-0000-0000-00002A120000}"/>
    <cellStyle name="Currency 3 2 2 2 3 5 4 2" xfId="20451" xr:uid="{00000000-0005-0000-0000-00002B120000}"/>
    <cellStyle name="Currency 3 2 2 2 3 5 5" xfId="20452" xr:uid="{00000000-0005-0000-0000-00002C120000}"/>
    <cellStyle name="Currency 3 2 2 2 3 5 6" xfId="20453" xr:uid="{00000000-0005-0000-0000-00002D120000}"/>
    <cellStyle name="Currency 3 2 2 2 3 6" xfId="20454" xr:uid="{00000000-0005-0000-0000-00002E120000}"/>
    <cellStyle name="Currency 3 2 2 2 3 6 2" xfId="20455" xr:uid="{00000000-0005-0000-0000-00002F120000}"/>
    <cellStyle name="Currency 3 2 2 2 3 6 2 2" xfId="20456" xr:uid="{00000000-0005-0000-0000-000030120000}"/>
    <cellStyle name="Currency 3 2 2 2 3 6 3" xfId="20457" xr:uid="{00000000-0005-0000-0000-000031120000}"/>
    <cellStyle name="Currency 3 2 2 2 3 6 3 2" xfId="20458" xr:uid="{00000000-0005-0000-0000-000032120000}"/>
    <cellStyle name="Currency 3 2 2 2 3 6 4" xfId="20459" xr:uid="{00000000-0005-0000-0000-000033120000}"/>
    <cellStyle name="Currency 3 2 2 2 3 6 4 2" xfId="20460" xr:uid="{00000000-0005-0000-0000-000034120000}"/>
    <cellStyle name="Currency 3 2 2 2 3 6 5" xfId="20461" xr:uid="{00000000-0005-0000-0000-000035120000}"/>
    <cellStyle name="Currency 3 2 2 2 3 6 6" xfId="20462" xr:uid="{00000000-0005-0000-0000-000036120000}"/>
    <cellStyle name="Currency 3 2 2 2 3 7" xfId="20463" xr:uid="{00000000-0005-0000-0000-000037120000}"/>
    <cellStyle name="Currency 3 2 2 2 3 7 2" xfId="20464" xr:uid="{00000000-0005-0000-0000-000038120000}"/>
    <cellStyle name="Currency 3 2 2 2 3 7 2 2" xfId="20465" xr:uid="{00000000-0005-0000-0000-000039120000}"/>
    <cellStyle name="Currency 3 2 2 2 3 7 3" xfId="20466" xr:uid="{00000000-0005-0000-0000-00003A120000}"/>
    <cellStyle name="Currency 3 2 2 2 3 7 3 2" xfId="20467" xr:uid="{00000000-0005-0000-0000-00003B120000}"/>
    <cellStyle name="Currency 3 2 2 2 3 7 4" xfId="20468" xr:uid="{00000000-0005-0000-0000-00003C120000}"/>
    <cellStyle name="Currency 3 2 2 2 3 7 4 2" xfId="20469" xr:uid="{00000000-0005-0000-0000-00003D120000}"/>
    <cellStyle name="Currency 3 2 2 2 3 7 5" xfId="20470" xr:uid="{00000000-0005-0000-0000-00003E120000}"/>
    <cellStyle name="Currency 3 2 2 2 3 7 6" xfId="20471" xr:uid="{00000000-0005-0000-0000-00003F120000}"/>
    <cellStyle name="Currency 3 2 2 2 3 8" xfId="20472" xr:uid="{00000000-0005-0000-0000-000040120000}"/>
    <cellStyle name="Currency 3 2 2 2 3 8 2" xfId="20473" xr:uid="{00000000-0005-0000-0000-000041120000}"/>
    <cellStyle name="Currency 3 2 2 2 3 8 2 2" xfId="20474" xr:uid="{00000000-0005-0000-0000-000042120000}"/>
    <cellStyle name="Currency 3 2 2 2 3 8 3" xfId="20475" xr:uid="{00000000-0005-0000-0000-000043120000}"/>
    <cellStyle name="Currency 3 2 2 2 3 8 3 2" xfId="20476" xr:uid="{00000000-0005-0000-0000-000044120000}"/>
    <cellStyle name="Currency 3 2 2 2 3 8 4" xfId="20477" xr:uid="{00000000-0005-0000-0000-000045120000}"/>
    <cellStyle name="Currency 3 2 2 2 3 8 5" xfId="20478" xr:uid="{00000000-0005-0000-0000-000046120000}"/>
    <cellStyle name="Currency 3 2 2 2 3 9" xfId="20479" xr:uid="{00000000-0005-0000-0000-000047120000}"/>
    <cellStyle name="Currency 3 2 2 2 3 9 2" xfId="20480" xr:uid="{00000000-0005-0000-0000-000048120000}"/>
    <cellStyle name="Currency 3 2 2 2 4" xfId="20481" xr:uid="{00000000-0005-0000-0000-000049120000}"/>
    <cellStyle name="Currency 3 2 2 2 4 10" xfId="20482" xr:uid="{00000000-0005-0000-0000-00004A120000}"/>
    <cellStyle name="Currency 3 2 2 2 4 10 2" xfId="20483" xr:uid="{00000000-0005-0000-0000-00004B120000}"/>
    <cellStyle name="Currency 3 2 2 2 4 11" xfId="20484" xr:uid="{00000000-0005-0000-0000-00004C120000}"/>
    <cellStyle name="Currency 3 2 2 2 4 12" xfId="20485" xr:uid="{00000000-0005-0000-0000-00004D120000}"/>
    <cellStyle name="Currency 3 2 2 2 4 2" xfId="20486" xr:uid="{00000000-0005-0000-0000-00004E120000}"/>
    <cellStyle name="Currency 3 2 2 2 4 2 10" xfId="20487" xr:uid="{00000000-0005-0000-0000-00004F120000}"/>
    <cellStyle name="Currency 3 2 2 2 4 2 2" xfId="20488" xr:uid="{00000000-0005-0000-0000-000050120000}"/>
    <cellStyle name="Currency 3 2 2 2 4 2 2 2" xfId="20489" xr:uid="{00000000-0005-0000-0000-000051120000}"/>
    <cellStyle name="Currency 3 2 2 2 4 2 2 2 2" xfId="20490" xr:uid="{00000000-0005-0000-0000-000052120000}"/>
    <cellStyle name="Currency 3 2 2 2 4 2 2 3" xfId="20491" xr:uid="{00000000-0005-0000-0000-000053120000}"/>
    <cellStyle name="Currency 3 2 2 2 4 2 2 3 2" xfId="20492" xr:uid="{00000000-0005-0000-0000-000054120000}"/>
    <cellStyle name="Currency 3 2 2 2 4 2 2 4" xfId="20493" xr:uid="{00000000-0005-0000-0000-000055120000}"/>
    <cellStyle name="Currency 3 2 2 2 4 2 2 4 2" xfId="20494" xr:uid="{00000000-0005-0000-0000-000056120000}"/>
    <cellStyle name="Currency 3 2 2 2 4 2 2 5" xfId="20495" xr:uid="{00000000-0005-0000-0000-000057120000}"/>
    <cellStyle name="Currency 3 2 2 2 4 2 2 6" xfId="20496" xr:uid="{00000000-0005-0000-0000-000058120000}"/>
    <cellStyle name="Currency 3 2 2 2 4 2 3" xfId="20497" xr:uid="{00000000-0005-0000-0000-000059120000}"/>
    <cellStyle name="Currency 3 2 2 2 4 2 3 2" xfId="20498" xr:uid="{00000000-0005-0000-0000-00005A120000}"/>
    <cellStyle name="Currency 3 2 2 2 4 2 3 2 2" xfId="20499" xr:uid="{00000000-0005-0000-0000-00005B120000}"/>
    <cellStyle name="Currency 3 2 2 2 4 2 3 3" xfId="20500" xr:uid="{00000000-0005-0000-0000-00005C120000}"/>
    <cellStyle name="Currency 3 2 2 2 4 2 3 3 2" xfId="20501" xr:uid="{00000000-0005-0000-0000-00005D120000}"/>
    <cellStyle name="Currency 3 2 2 2 4 2 3 4" xfId="20502" xr:uid="{00000000-0005-0000-0000-00005E120000}"/>
    <cellStyle name="Currency 3 2 2 2 4 2 3 4 2" xfId="20503" xr:uid="{00000000-0005-0000-0000-00005F120000}"/>
    <cellStyle name="Currency 3 2 2 2 4 2 3 5" xfId="20504" xr:uid="{00000000-0005-0000-0000-000060120000}"/>
    <cellStyle name="Currency 3 2 2 2 4 2 3 6" xfId="20505" xr:uid="{00000000-0005-0000-0000-000061120000}"/>
    <cellStyle name="Currency 3 2 2 2 4 2 4" xfId="20506" xr:uid="{00000000-0005-0000-0000-000062120000}"/>
    <cellStyle name="Currency 3 2 2 2 4 2 4 2" xfId="20507" xr:uid="{00000000-0005-0000-0000-000063120000}"/>
    <cellStyle name="Currency 3 2 2 2 4 2 4 2 2" xfId="20508" xr:uid="{00000000-0005-0000-0000-000064120000}"/>
    <cellStyle name="Currency 3 2 2 2 4 2 4 3" xfId="20509" xr:uid="{00000000-0005-0000-0000-000065120000}"/>
    <cellStyle name="Currency 3 2 2 2 4 2 4 3 2" xfId="20510" xr:uid="{00000000-0005-0000-0000-000066120000}"/>
    <cellStyle name="Currency 3 2 2 2 4 2 4 4" xfId="20511" xr:uid="{00000000-0005-0000-0000-000067120000}"/>
    <cellStyle name="Currency 3 2 2 2 4 2 4 4 2" xfId="20512" xr:uid="{00000000-0005-0000-0000-000068120000}"/>
    <cellStyle name="Currency 3 2 2 2 4 2 4 5" xfId="20513" xr:uid="{00000000-0005-0000-0000-000069120000}"/>
    <cellStyle name="Currency 3 2 2 2 4 2 4 6" xfId="20514" xr:uid="{00000000-0005-0000-0000-00006A120000}"/>
    <cellStyle name="Currency 3 2 2 2 4 2 5" xfId="20515" xr:uid="{00000000-0005-0000-0000-00006B120000}"/>
    <cellStyle name="Currency 3 2 2 2 4 2 5 2" xfId="20516" xr:uid="{00000000-0005-0000-0000-00006C120000}"/>
    <cellStyle name="Currency 3 2 2 2 4 2 5 2 2" xfId="20517" xr:uid="{00000000-0005-0000-0000-00006D120000}"/>
    <cellStyle name="Currency 3 2 2 2 4 2 5 3" xfId="20518" xr:uid="{00000000-0005-0000-0000-00006E120000}"/>
    <cellStyle name="Currency 3 2 2 2 4 2 5 3 2" xfId="20519" xr:uid="{00000000-0005-0000-0000-00006F120000}"/>
    <cellStyle name="Currency 3 2 2 2 4 2 5 4" xfId="20520" xr:uid="{00000000-0005-0000-0000-000070120000}"/>
    <cellStyle name="Currency 3 2 2 2 4 2 5 5" xfId="20521" xr:uid="{00000000-0005-0000-0000-000071120000}"/>
    <cellStyle name="Currency 3 2 2 2 4 2 6" xfId="20522" xr:uid="{00000000-0005-0000-0000-000072120000}"/>
    <cellStyle name="Currency 3 2 2 2 4 2 6 2" xfId="20523" xr:uid="{00000000-0005-0000-0000-000073120000}"/>
    <cellStyle name="Currency 3 2 2 2 4 2 7" xfId="20524" xr:uid="{00000000-0005-0000-0000-000074120000}"/>
    <cellStyle name="Currency 3 2 2 2 4 2 7 2" xfId="20525" xr:uid="{00000000-0005-0000-0000-000075120000}"/>
    <cellStyle name="Currency 3 2 2 2 4 2 8" xfId="20526" xr:uid="{00000000-0005-0000-0000-000076120000}"/>
    <cellStyle name="Currency 3 2 2 2 4 2 8 2" xfId="20527" xr:uid="{00000000-0005-0000-0000-000077120000}"/>
    <cellStyle name="Currency 3 2 2 2 4 2 9" xfId="20528" xr:uid="{00000000-0005-0000-0000-000078120000}"/>
    <cellStyle name="Currency 3 2 2 2 4 3" xfId="20529" xr:uid="{00000000-0005-0000-0000-000079120000}"/>
    <cellStyle name="Currency 3 2 2 2 4 3 10" xfId="20530" xr:uid="{00000000-0005-0000-0000-00007A120000}"/>
    <cellStyle name="Currency 3 2 2 2 4 3 2" xfId="20531" xr:uid="{00000000-0005-0000-0000-00007B120000}"/>
    <cellStyle name="Currency 3 2 2 2 4 3 2 2" xfId="20532" xr:uid="{00000000-0005-0000-0000-00007C120000}"/>
    <cellStyle name="Currency 3 2 2 2 4 3 2 2 2" xfId="20533" xr:uid="{00000000-0005-0000-0000-00007D120000}"/>
    <cellStyle name="Currency 3 2 2 2 4 3 2 3" xfId="20534" xr:uid="{00000000-0005-0000-0000-00007E120000}"/>
    <cellStyle name="Currency 3 2 2 2 4 3 2 3 2" xfId="20535" xr:uid="{00000000-0005-0000-0000-00007F120000}"/>
    <cellStyle name="Currency 3 2 2 2 4 3 2 4" xfId="20536" xr:uid="{00000000-0005-0000-0000-000080120000}"/>
    <cellStyle name="Currency 3 2 2 2 4 3 2 4 2" xfId="20537" xr:uid="{00000000-0005-0000-0000-000081120000}"/>
    <cellStyle name="Currency 3 2 2 2 4 3 2 5" xfId="20538" xr:uid="{00000000-0005-0000-0000-000082120000}"/>
    <cellStyle name="Currency 3 2 2 2 4 3 2 6" xfId="20539" xr:uid="{00000000-0005-0000-0000-000083120000}"/>
    <cellStyle name="Currency 3 2 2 2 4 3 3" xfId="20540" xr:uid="{00000000-0005-0000-0000-000084120000}"/>
    <cellStyle name="Currency 3 2 2 2 4 3 3 2" xfId="20541" xr:uid="{00000000-0005-0000-0000-000085120000}"/>
    <cellStyle name="Currency 3 2 2 2 4 3 3 2 2" xfId="20542" xr:uid="{00000000-0005-0000-0000-000086120000}"/>
    <cellStyle name="Currency 3 2 2 2 4 3 3 3" xfId="20543" xr:uid="{00000000-0005-0000-0000-000087120000}"/>
    <cellStyle name="Currency 3 2 2 2 4 3 3 3 2" xfId="20544" xr:uid="{00000000-0005-0000-0000-000088120000}"/>
    <cellStyle name="Currency 3 2 2 2 4 3 3 4" xfId="20545" xr:uid="{00000000-0005-0000-0000-000089120000}"/>
    <cellStyle name="Currency 3 2 2 2 4 3 3 4 2" xfId="20546" xr:uid="{00000000-0005-0000-0000-00008A120000}"/>
    <cellStyle name="Currency 3 2 2 2 4 3 3 5" xfId="20547" xr:uid="{00000000-0005-0000-0000-00008B120000}"/>
    <cellStyle name="Currency 3 2 2 2 4 3 3 6" xfId="20548" xr:uid="{00000000-0005-0000-0000-00008C120000}"/>
    <cellStyle name="Currency 3 2 2 2 4 3 4" xfId="20549" xr:uid="{00000000-0005-0000-0000-00008D120000}"/>
    <cellStyle name="Currency 3 2 2 2 4 3 4 2" xfId="20550" xr:uid="{00000000-0005-0000-0000-00008E120000}"/>
    <cellStyle name="Currency 3 2 2 2 4 3 4 2 2" xfId="20551" xr:uid="{00000000-0005-0000-0000-00008F120000}"/>
    <cellStyle name="Currency 3 2 2 2 4 3 4 3" xfId="20552" xr:uid="{00000000-0005-0000-0000-000090120000}"/>
    <cellStyle name="Currency 3 2 2 2 4 3 4 3 2" xfId="20553" xr:uid="{00000000-0005-0000-0000-000091120000}"/>
    <cellStyle name="Currency 3 2 2 2 4 3 4 4" xfId="20554" xr:uid="{00000000-0005-0000-0000-000092120000}"/>
    <cellStyle name="Currency 3 2 2 2 4 3 4 4 2" xfId="20555" xr:uid="{00000000-0005-0000-0000-000093120000}"/>
    <cellStyle name="Currency 3 2 2 2 4 3 4 5" xfId="20556" xr:uid="{00000000-0005-0000-0000-000094120000}"/>
    <cellStyle name="Currency 3 2 2 2 4 3 4 6" xfId="20557" xr:uid="{00000000-0005-0000-0000-000095120000}"/>
    <cellStyle name="Currency 3 2 2 2 4 3 5" xfId="20558" xr:uid="{00000000-0005-0000-0000-000096120000}"/>
    <cellStyle name="Currency 3 2 2 2 4 3 5 2" xfId="20559" xr:uid="{00000000-0005-0000-0000-000097120000}"/>
    <cellStyle name="Currency 3 2 2 2 4 3 5 2 2" xfId="20560" xr:uid="{00000000-0005-0000-0000-000098120000}"/>
    <cellStyle name="Currency 3 2 2 2 4 3 5 3" xfId="20561" xr:uid="{00000000-0005-0000-0000-000099120000}"/>
    <cellStyle name="Currency 3 2 2 2 4 3 5 3 2" xfId="20562" xr:uid="{00000000-0005-0000-0000-00009A120000}"/>
    <cellStyle name="Currency 3 2 2 2 4 3 5 4" xfId="20563" xr:uid="{00000000-0005-0000-0000-00009B120000}"/>
    <cellStyle name="Currency 3 2 2 2 4 3 5 5" xfId="20564" xr:uid="{00000000-0005-0000-0000-00009C120000}"/>
    <cellStyle name="Currency 3 2 2 2 4 3 6" xfId="20565" xr:uid="{00000000-0005-0000-0000-00009D120000}"/>
    <cellStyle name="Currency 3 2 2 2 4 3 6 2" xfId="20566" xr:uid="{00000000-0005-0000-0000-00009E120000}"/>
    <cellStyle name="Currency 3 2 2 2 4 3 7" xfId="20567" xr:uid="{00000000-0005-0000-0000-00009F120000}"/>
    <cellStyle name="Currency 3 2 2 2 4 3 7 2" xfId="20568" xr:uid="{00000000-0005-0000-0000-0000A0120000}"/>
    <cellStyle name="Currency 3 2 2 2 4 3 8" xfId="20569" xr:uid="{00000000-0005-0000-0000-0000A1120000}"/>
    <cellStyle name="Currency 3 2 2 2 4 3 8 2" xfId="20570" xr:uid="{00000000-0005-0000-0000-0000A2120000}"/>
    <cellStyle name="Currency 3 2 2 2 4 3 9" xfId="20571" xr:uid="{00000000-0005-0000-0000-0000A3120000}"/>
    <cellStyle name="Currency 3 2 2 2 4 4" xfId="20572" xr:uid="{00000000-0005-0000-0000-0000A4120000}"/>
    <cellStyle name="Currency 3 2 2 2 4 4 2" xfId="20573" xr:uid="{00000000-0005-0000-0000-0000A5120000}"/>
    <cellStyle name="Currency 3 2 2 2 4 4 2 2" xfId="20574" xr:uid="{00000000-0005-0000-0000-0000A6120000}"/>
    <cellStyle name="Currency 3 2 2 2 4 4 3" xfId="20575" xr:uid="{00000000-0005-0000-0000-0000A7120000}"/>
    <cellStyle name="Currency 3 2 2 2 4 4 3 2" xfId="20576" xr:uid="{00000000-0005-0000-0000-0000A8120000}"/>
    <cellStyle name="Currency 3 2 2 2 4 4 4" xfId="20577" xr:uid="{00000000-0005-0000-0000-0000A9120000}"/>
    <cellStyle name="Currency 3 2 2 2 4 4 4 2" xfId="20578" xr:uid="{00000000-0005-0000-0000-0000AA120000}"/>
    <cellStyle name="Currency 3 2 2 2 4 4 5" xfId="20579" xr:uid="{00000000-0005-0000-0000-0000AB120000}"/>
    <cellStyle name="Currency 3 2 2 2 4 4 6" xfId="20580" xr:uid="{00000000-0005-0000-0000-0000AC120000}"/>
    <cellStyle name="Currency 3 2 2 2 4 5" xfId="20581" xr:uid="{00000000-0005-0000-0000-0000AD120000}"/>
    <cellStyle name="Currency 3 2 2 2 4 5 2" xfId="20582" xr:uid="{00000000-0005-0000-0000-0000AE120000}"/>
    <cellStyle name="Currency 3 2 2 2 4 5 2 2" xfId="20583" xr:uid="{00000000-0005-0000-0000-0000AF120000}"/>
    <cellStyle name="Currency 3 2 2 2 4 5 3" xfId="20584" xr:uid="{00000000-0005-0000-0000-0000B0120000}"/>
    <cellStyle name="Currency 3 2 2 2 4 5 3 2" xfId="20585" xr:uid="{00000000-0005-0000-0000-0000B1120000}"/>
    <cellStyle name="Currency 3 2 2 2 4 5 4" xfId="20586" xr:uid="{00000000-0005-0000-0000-0000B2120000}"/>
    <cellStyle name="Currency 3 2 2 2 4 5 4 2" xfId="20587" xr:uid="{00000000-0005-0000-0000-0000B3120000}"/>
    <cellStyle name="Currency 3 2 2 2 4 5 5" xfId="20588" xr:uid="{00000000-0005-0000-0000-0000B4120000}"/>
    <cellStyle name="Currency 3 2 2 2 4 5 6" xfId="20589" xr:uid="{00000000-0005-0000-0000-0000B5120000}"/>
    <cellStyle name="Currency 3 2 2 2 4 6" xfId="20590" xr:uid="{00000000-0005-0000-0000-0000B6120000}"/>
    <cellStyle name="Currency 3 2 2 2 4 6 2" xfId="20591" xr:uid="{00000000-0005-0000-0000-0000B7120000}"/>
    <cellStyle name="Currency 3 2 2 2 4 6 2 2" xfId="20592" xr:uid="{00000000-0005-0000-0000-0000B8120000}"/>
    <cellStyle name="Currency 3 2 2 2 4 6 3" xfId="20593" xr:uid="{00000000-0005-0000-0000-0000B9120000}"/>
    <cellStyle name="Currency 3 2 2 2 4 6 3 2" xfId="20594" xr:uid="{00000000-0005-0000-0000-0000BA120000}"/>
    <cellStyle name="Currency 3 2 2 2 4 6 4" xfId="20595" xr:uid="{00000000-0005-0000-0000-0000BB120000}"/>
    <cellStyle name="Currency 3 2 2 2 4 6 4 2" xfId="20596" xr:uid="{00000000-0005-0000-0000-0000BC120000}"/>
    <cellStyle name="Currency 3 2 2 2 4 6 5" xfId="20597" xr:uid="{00000000-0005-0000-0000-0000BD120000}"/>
    <cellStyle name="Currency 3 2 2 2 4 6 6" xfId="20598" xr:uid="{00000000-0005-0000-0000-0000BE120000}"/>
    <cellStyle name="Currency 3 2 2 2 4 7" xfId="20599" xr:uid="{00000000-0005-0000-0000-0000BF120000}"/>
    <cellStyle name="Currency 3 2 2 2 4 7 2" xfId="20600" xr:uid="{00000000-0005-0000-0000-0000C0120000}"/>
    <cellStyle name="Currency 3 2 2 2 4 7 2 2" xfId="20601" xr:uid="{00000000-0005-0000-0000-0000C1120000}"/>
    <cellStyle name="Currency 3 2 2 2 4 7 3" xfId="20602" xr:uid="{00000000-0005-0000-0000-0000C2120000}"/>
    <cellStyle name="Currency 3 2 2 2 4 7 3 2" xfId="20603" xr:uid="{00000000-0005-0000-0000-0000C3120000}"/>
    <cellStyle name="Currency 3 2 2 2 4 7 4" xfId="20604" xr:uid="{00000000-0005-0000-0000-0000C4120000}"/>
    <cellStyle name="Currency 3 2 2 2 4 7 5" xfId="20605" xr:uid="{00000000-0005-0000-0000-0000C5120000}"/>
    <cellStyle name="Currency 3 2 2 2 4 8" xfId="20606" xr:uid="{00000000-0005-0000-0000-0000C6120000}"/>
    <cellStyle name="Currency 3 2 2 2 4 8 2" xfId="20607" xr:uid="{00000000-0005-0000-0000-0000C7120000}"/>
    <cellStyle name="Currency 3 2 2 2 4 9" xfId="20608" xr:uid="{00000000-0005-0000-0000-0000C8120000}"/>
    <cellStyle name="Currency 3 2 2 2 4 9 2" xfId="20609" xr:uid="{00000000-0005-0000-0000-0000C9120000}"/>
    <cellStyle name="Currency 3 2 2 2 5" xfId="20610" xr:uid="{00000000-0005-0000-0000-0000CA120000}"/>
    <cellStyle name="Currency 3 2 2 2 5 10" xfId="20611" xr:uid="{00000000-0005-0000-0000-0000CB120000}"/>
    <cellStyle name="Currency 3 2 2 2 5 11" xfId="20612" xr:uid="{00000000-0005-0000-0000-0000CC120000}"/>
    <cellStyle name="Currency 3 2 2 2 5 2" xfId="20613" xr:uid="{00000000-0005-0000-0000-0000CD120000}"/>
    <cellStyle name="Currency 3 2 2 2 5 2 2" xfId="20614" xr:uid="{00000000-0005-0000-0000-0000CE120000}"/>
    <cellStyle name="Currency 3 2 2 2 5 2 2 2" xfId="20615" xr:uid="{00000000-0005-0000-0000-0000CF120000}"/>
    <cellStyle name="Currency 3 2 2 2 5 2 3" xfId="20616" xr:uid="{00000000-0005-0000-0000-0000D0120000}"/>
    <cellStyle name="Currency 3 2 2 2 5 2 3 2" xfId="20617" xr:uid="{00000000-0005-0000-0000-0000D1120000}"/>
    <cellStyle name="Currency 3 2 2 2 5 2 4" xfId="20618" xr:uid="{00000000-0005-0000-0000-0000D2120000}"/>
    <cellStyle name="Currency 3 2 2 2 5 2 4 2" xfId="20619" xr:uid="{00000000-0005-0000-0000-0000D3120000}"/>
    <cellStyle name="Currency 3 2 2 2 5 2 5" xfId="20620" xr:uid="{00000000-0005-0000-0000-0000D4120000}"/>
    <cellStyle name="Currency 3 2 2 2 5 2 6" xfId="20621" xr:uid="{00000000-0005-0000-0000-0000D5120000}"/>
    <cellStyle name="Currency 3 2 2 2 5 3" xfId="20622" xr:uid="{00000000-0005-0000-0000-0000D6120000}"/>
    <cellStyle name="Currency 3 2 2 2 5 3 2" xfId="20623" xr:uid="{00000000-0005-0000-0000-0000D7120000}"/>
    <cellStyle name="Currency 3 2 2 2 5 3 2 2" xfId="20624" xr:uid="{00000000-0005-0000-0000-0000D8120000}"/>
    <cellStyle name="Currency 3 2 2 2 5 3 3" xfId="20625" xr:uid="{00000000-0005-0000-0000-0000D9120000}"/>
    <cellStyle name="Currency 3 2 2 2 5 3 3 2" xfId="20626" xr:uid="{00000000-0005-0000-0000-0000DA120000}"/>
    <cellStyle name="Currency 3 2 2 2 5 3 4" xfId="20627" xr:uid="{00000000-0005-0000-0000-0000DB120000}"/>
    <cellStyle name="Currency 3 2 2 2 5 3 4 2" xfId="20628" xr:uid="{00000000-0005-0000-0000-0000DC120000}"/>
    <cellStyle name="Currency 3 2 2 2 5 3 5" xfId="20629" xr:uid="{00000000-0005-0000-0000-0000DD120000}"/>
    <cellStyle name="Currency 3 2 2 2 5 3 6" xfId="20630" xr:uid="{00000000-0005-0000-0000-0000DE120000}"/>
    <cellStyle name="Currency 3 2 2 2 5 4" xfId="20631" xr:uid="{00000000-0005-0000-0000-0000DF120000}"/>
    <cellStyle name="Currency 3 2 2 2 5 4 2" xfId="20632" xr:uid="{00000000-0005-0000-0000-0000E0120000}"/>
    <cellStyle name="Currency 3 2 2 2 5 4 2 2" xfId="20633" xr:uid="{00000000-0005-0000-0000-0000E1120000}"/>
    <cellStyle name="Currency 3 2 2 2 5 4 3" xfId="20634" xr:uid="{00000000-0005-0000-0000-0000E2120000}"/>
    <cellStyle name="Currency 3 2 2 2 5 4 3 2" xfId="20635" xr:uid="{00000000-0005-0000-0000-0000E3120000}"/>
    <cellStyle name="Currency 3 2 2 2 5 4 4" xfId="20636" xr:uid="{00000000-0005-0000-0000-0000E4120000}"/>
    <cellStyle name="Currency 3 2 2 2 5 4 4 2" xfId="20637" xr:uid="{00000000-0005-0000-0000-0000E5120000}"/>
    <cellStyle name="Currency 3 2 2 2 5 4 5" xfId="20638" xr:uid="{00000000-0005-0000-0000-0000E6120000}"/>
    <cellStyle name="Currency 3 2 2 2 5 4 6" xfId="20639" xr:uid="{00000000-0005-0000-0000-0000E7120000}"/>
    <cellStyle name="Currency 3 2 2 2 5 5" xfId="20640" xr:uid="{00000000-0005-0000-0000-0000E8120000}"/>
    <cellStyle name="Currency 3 2 2 2 5 5 2" xfId="20641" xr:uid="{00000000-0005-0000-0000-0000E9120000}"/>
    <cellStyle name="Currency 3 2 2 2 5 5 2 2" xfId="20642" xr:uid="{00000000-0005-0000-0000-0000EA120000}"/>
    <cellStyle name="Currency 3 2 2 2 5 5 3" xfId="20643" xr:uid="{00000000-0005-0000-0000-0000EB120000}"/>
    <cellStyle name="Currency 3 2 2 2 5 5 3 2" xfId="20644" xr:uid="{00000000-0005-0000-0000-0000EC120000}"/>
    <cellStyle name="Currency 3 2 2 2 5 5 4" xfId="20645" xr:uid="{00000000-0005-0000-0000-0000ED120000}"/>
    <cellStyle name="Currency 3 2 2 2 5 5 4 2" xfId="20646" xr:uid="{00000000-0005-0000-0000-0000EE120000}"/>
    <cellStyle name="Currency 3 2 2 2 5 5 5" xfId="20647" xr:uid="{00000000-0005-0000-0000-0000EF120000}"/>
    <cellStyle name="Currency 3 2 2 2 5 5 6" xfId="20648" xr:uid="{00000000-0005-0000-0000-0000F0120000}"/>
    <cellStyle name="Currency 3 2 2 2 5 6" xfId="20649" xr:uid="{00000000-0005-0000-0000-0000F1120000}"/>
    <cellStyle name="Currency 3 2 2 2 5 6 2" xfId="20650" xr:uid="{00000000-0005-0000-0000-0000F2120000}"/>
    <cellStyle name="Currency 3 2 2 2 5 6 2 2" xfId="20651" xr:uid="{00000000-0005-0000-0000-0000F3120000}"/>
    <cellStyle name="Currency 3 2 2 2 5 6 3" xfId="20652" xr:uid="{00000000-0005-0000-0000-0000F4120000}"/>
    <cellStyle name="Currency 3 2 2 2 5 6 3 2" xfId="20653" xr:uid="{00000000-0005-0000-0000-0000F5120000}"/>
    <cellStyle name="Currency 3 2 2 2 5 6 4" xfId="20654" xr:uid="{00000000-0005-0000-0000-0000F6120000}"/>
    <cellStyle name="Currency 3 2 2 2 5 6 5" xfId="20655" xr:uid="{00000000-0005-0000-0000-0000F7120000}"/>
    <cellStyle name="Currency 3 2 2 2 5 7" xfId="20656" xr:uid="{00000000-0005-0000-0000-0000F8120000}"/>
    <cellStyle name="Currency 3 2 2 2 5 7 2" xfId="20657" xr:uid="{00000000-0005-0000-0000-0000F9120000}"/>
    <cellStyle name="Currency 3 2 2 2 5 8" xfId="20658" xr:uid="{00000000-0005-0000-0000-0000FA120000}"/>
    <cellStyle name="Currency 3 2 2 2 5 8 2" xfId="20659" xr:uid="{00000000-0005-0000-0000-0000FB120000}"/>
    <cellStyle name="Currency 3 2 2 2 5 9" xfId="20660" xr:uid="{00000000-0005-0000-0000-0000FC120000}"/>
    <cellStyle name="Currency 3 2 2 2 5 9 2" xfId="20661" xr:uid="{00000000-0005-0000-0000-0000FD120000}"/>
    <cellStyle name="Currency 3 2 2 2 6" xfId="20662" xr:uid="{00000000-0005-0000-0000-0000FE120000}"/>
    <cellStyle name="Currency 3 2 2 2 6 10" xfId="20663" xr:uid="{00000000-0005-0000-0000-0000FF120000}"/>
    <cellStyle name="Currency 3 2 2 2 6 2" xfId="20664" xr:uid="{00000000-0005-0000-0000-000000130000}"/>
    <cellStyle name="Currency 3 2 2 2 6 2 2" xfId="20665" xr:uid="{00000000-0005-0000-0000-000001130000}"/>
    <cellStyle name="Currency 3 2 2 2 6 2 2 2" xfId="20666" xr:uid="{00000000-0005-0000-0000-000002130000}"/>
    <cellStyle name="Currency 3 2 2 2 6 2 3" xfId="20667" xr:uid="{00000000-0005-0000-0000-000003130000}"/>
    <cellStyle name="Currency 3 2 2 2 6 2 3 2" xfId="20668" xr:uid="{00000000-0005-0000-0000-000004130000}"/>
    <cellStyle name="Currency 3 2 2 2 6 2 4" xfId="20669" xr:uid="{00000000-0005-0000-0000-000005130000}"/>
    <cellStyle name="Currency 3 2 2 2 6 2 4 2" xfId="20670" xr:uid="{00000000-0005-0000-0000-000006130000}"/>
    <cellStyle name="Currency 3 2 2 2 6 2 5" xfId="20671" xr:uid="{00000000-0005-0000-0000-000007130000}"/>
    <cellStyle name="Currency 3 2 2 2 6 2 6" xfId="20672" xr:uid="{00000000-0005-0000-0000-000008130000}"/>
    <cellStyle name="Currency 3 2 2 2 6 3" xfId="20673" xr:uid="{00000000-0005-0000-0000-000009130000}"/>
    <cellStyle name="Currency 3 2 2 2 6 3 2" xfId="20674" xr:uid="{00000000-0005-0000-0000-00000A130000}"/>
    <cellStyle name="Currency 3 2 2 2 6 3 2 2" xfId="20675" xr:uid="{00000000-0005-0000-0000-00000B130000}"/>
    <cellStyle name="Currency 3 2 2 2 6 3 3" xfId="20676" xr:uid="{00000000-0005-0000-0000-00000C130000}"/>
    <cellStyle name="Currency 3 2 2 2 6 3 3 2" xfId="20677" xr:uid="{00000000-0005-0000-0000-00000D130000}"/>
    <cellStyle name="Currency 3 2 2 2 6 3 4" xfId="20678" xr:uid="{00000000-0005-0000-0000-00000E130000}"/>
    <cellStyle name="Currency 3 2 2 2 6 3 4 2" xfId="20679" xr:uid="{00000000-0005-0000-0000-00000F130000}"/>
    <cellStyle name="Currency 3 2 2 2 6 3 5" xfId="20680" xr:uid="{00000000-0005-0000-0000-000010130000}"/>
    <cellStyle name="Currency 3 2 2 2 6 3 6" xfId="20681" xr:uid="{00000000-0005-0000-0000-000011130000}"/>
    <cellStyle name="Currency 3 2 2 2 6 4" xfId="20682" xr:uid="{00000000-0005-0000-0000-000012130000}"/>
    <cellStyle name="Currency 3 2 2 2 6 4 2" xfId="20683" xr:uid="{00000000-0005-0000-0000-000013130000}"/>
    <cellStyle name="Currency 3 2 2 2 6 4 2 2" xfId="20684" xr:uid="{00000000-0005-0000-0000-000014130000}"/>
    <cellStyle name="Currency 3 2 2 2 6 4 3" xfId="20685" xr:uid="{00000000-0005-0000-0000-000015130000}"/>
    <cellStyle name="Currency 3 2 2 2 6 4 3 2" xfId="20686" xr:uid="{00000000-0005-0000-0000-000016130000}"/>
    <cellStyle name="Currency 3 2 2 2 6 4 4" xfId="20687" xr:uid="{00000000-0005-0000-0000-000017130000}"/>
    <cellStyle name="Currency 3 2 2 2 6 4 4 2" xfId="20688" xr:uid="{00000000-0005-0000-0000-000018130000}"/>
    <cellStyle name="Currency 3 2 2 2 6 4 5" xfId="20689" xr:uid="{00000000-0005-0000-0000-000019130000}"/>
    <cellStyle name="Currency 3 2 2 2 6 4 6" xfId="20690" xr:uid="{00000000-0005-0000-0000-00001A130000}"/>
    <cellStyle name="Currency 3 2 2 2 6 5" xfId="20691" xr:uid="{00000000-0005-0000-0000-00001B130000}"/>
    <cellStyle name="Currency 3 2 2 2 6 5 2" xfId="20692" xr:uid="{00000000-0005-0000-0000-00001C130000}"/>
    <cellStyle name="Currency 3 2 2 2 6 5 2 2" xfId="20693" xr:uid="{00000000-0005-0000-0000-00001D130000}"/>
    <cellStyle name="Currency 3 2 2 2 6 5 3" xfId="20694" xr:uid="{00000000-0005-0000-0000-00001E130000}"/>
    <cellStyle name="Currency 3 2 2 2 6 5 3 2" xfId="20695" xr:uid="{00000000-0005-0000-0000-00001F130000}"/>
    <cellStyle name="Currency 3 2 2 2 6 5 4" xfId="20696" xr:uid="{00000000-0005-0000-0000-000020130000}"/>
    <cellStyle name="Currency 3 2 2 2 6 5 5" xfId="20697" xr:uid="{00000000-0005-0000-0000-000021130000}"/>
    <cellStyle name="Currency 3 2 2 2 6 6" xfId="20698" xr:uid="{00000000-0005-0000-0000-000022130000}"/>
    <cellStyle name="Currency 3 2 2 2 6 6 2" xfId="20699" xr:uid="{00000000-0005-0000-0000-000023130000}"/>
    <cellStyle name="Currency 3 2 2 2 6 7" xfId="20700" xr:uid="{00000000-0005-0000-0000-000024130000}"/>
    <cellStyle name="Currency 3 2 2 2 6 7 2" xfId="20701" xr:uid="{00000000-0005-0000-0000-000025130000}"/>
    <cellStyle name="Currency 3 2 2 2 6 8" xfId="20702" xr:uid="{00000000-0005-0000-0000-000026130000}"/>
    <cellStyle name="Currency 3 2 2 2 6 8 2" xfId="20703" xr:uid="{00000000-0005-0000-0000-000027130000}"/>
    <cellStyle name="Currency 3 2 2 2 6 9" xfId="20704" xr:uid="{00000000-0005-0000-0000-000028130000}"/>
    <cellStyle name="Currency 3 2 2 2 7" xfId="20705" xr:uid="{00000000-0005-0000-0000-000029130000}"/>
    <cellStyle name="Currency 3 2 2 2 7 10" xfId="20706" xr:uid="{00000000-0005-0000-0000-00002A130000}"/>
    <cellStyle name="Currency 3 2 2 2 7 2" xfId="20707" xr:uid="{00000000-0005-0000-0000-00002B130000}"/>
    <cellStyle name="Currency 3 2 2 2 7 2 2" xfId="20708" xr:uid="{00000000-0005-0000-0000-00002C130000}"/>
    <cellStyle name="Currency 3 2 2 2 7 2 2 2" xfId="20709" xr:uid="{00000000-0005-0000-0000-00002D130000}"/>
    <cellStyle name="Currency 3 2 2 2 7 2 3" xfId="20710" xr:uid="{00000000-0005-0000-0000-00002E130000}"/>
    <cellStyle name="Currency 3 2 2 2 7 2 3 2" xfId="20711" xr:uid="{00000000-0005-0000-0000-00002F130000}"/>
    <cellStyle name="Currency 3 2 2 2 7 2 4" xfId="20712" xr:uid="{00000000-0005-0000-0000-000030130000}"/>
    <cellStyle name="Currency 3 2 2 2 7 2 4 2" xfId="20713" xr:uid="{00000000-0005-0000-0000-000031130000}"/>
    <cellStyle name="Currency 3 2 2 2 7 2 5" xfId="20714" xr:uid="{00000000-0005-0000-0000-000032130000}"/>
    <cellStyle name="Currency 3 2 2 2 7 2 6" xfId="20715" xr:uid="{00000000-0005-0000-0000-000033130000}"/>
    <cellStyle name="Currency 3 2 2 2 7 3" xfId="20716" xr:uid="{00000000-0005-0000-0000-000034130000}"/>
    <cellStyle name="Currency 3 2 2 2 7 3 2" xfId="20717" xr:uid="{00000000-0005-0000-0000-000035130000}"/>
    <cellStyle name="Currency 3 2 2 2 7 3 2 2" xfId="20718" xr:uid="{00000000-0005-0000-0000-000036130000}"/>
    <cellStyle name="Currency 3 2 2 2 7 3 3" xfId="20719" xr:uid="{00000000-0005-0000-0000-000037130000}"/>
    <cellStyle name="Currency 3 2 2 2 7 3 3 2" xfId="20720" xr:uid="{00000000-0005-0000-0000-000038130000}"/>
    <cellStyle name="Currency 3 2 2 2 7 3 4" xfId="20721" xr:uid="{00000000-0005-0000-0000-000039130000}"/>
    <cellStyle name="Currency 3 2 2 2 7 3 4 2" xfId="20722" xr:uid="{00000000-0005-0000-0000-00003A130000}"/>
    <cellStyle name="Currency 3 2 2 2 7 3 5" xfId="20723" xr:uid="{00000000-0005-0000-0000-00003B130000}"/>
    <cellStyle name="Currency 3 2 2 2 7 3 6" xfId="20724" xr:uid="{00000000-0005-0000-0000-00003C130000}"/>
    <cellStyle name="Currency 3 2 2 2 7 4" xfId="20725" xr:uid="{00000000-0005-0000-0000-00003D130000}"/>
    <cellStyle name="Currency 3 2 2 2 7 4 2" xfId="20726" xr:uid="{00000000-0005-0000-0000-00003E130000}"/>
    <cellStyle name="Currency 3 2 2 2 7 4 2 2" xfId="20727" xr:uid="{00000000-0005-0000-0000-00003F130000}"/>
    <cellStyle name="Currency 3 2 2 2 7 4 3" xfId="20728" xr:uid="{00000000-0005-0000-0000-000040130000}"/>
    <cellStyle name="Currency 3 2 2 2 7 4 3 2" xfId="20729" xr:uid="{00000000-0005-0000-0000-000041130000}"/>
    <cellStyle name="Currency 3 2 2 2 7 4 4" xfId="20730" xr:uid="{00000000-0005-0000-0000-000042130000}"/>
    <cellStyle name="Currency 3 2 2 2 7 4 4 2" xfId="20731" xr:uid="{00000000-0005-0000-0000-000043130000}"/>
    <cellStyle name="Currency 3 2 2 2 7 4 5" xfId="20732" xr:uid="{00000000-0005-0000-0000-000044130000}"/>
    <cellStyle name="Currency 3 2 2 2 7 4 6" xfId="20733" xr:uid="{00000000-0005-0000-0000-000045130000}"/>
    <cellStyle name="Currency 3 2 2 2 7 5" xfId="20734" xr:uid="{00000000-0005-0000-0000-000046130000}"/>
    <cellStyle name="Currency 3 2 2 2 7 5 2" xfId="20735" xr:uid="{00000000-0005-0000-0000-000047130000}"/>
    <cellStyle name="Currency 3 2 2 2 7 5 2 2" xfId="20736" xr:uid="{00000000-0005-0000-0000-000048130000}"/>
    <cellStyle name="Currency 3 2 2 2 7 5 3" xfId="20737" xr:uid="{00000000-0005-0000-0000-000049130000}"/>
    <cellStyle name="Currency 3 2 2 2 7 5 3 2" xfId="20738" xr:uid="{00000000-0005-0000-0000-00004A130000}"/>
    <cellStyle name="Currency 3 2 2 2 7 5 4" xfId="20739" xr:uid="{00000000-0005-0000-0000-00004B130000}"/>
    <cellStyle name="Currency 3 2 2 2 7 5 5" xfId="20740" xr:uid="{00000000-0005-0000-0000-00004C130000}"/>
    <cellStyle name="Currency 3 2 2 2 7 6" xfId="20741" xr:uid="{00000000-0005-0000-0000-00004D130000}"/>
    <cellStyle name="Currency 3 2 2 2 7 6 2" xfId="20742" xr:uid="{00000000-0005-0000-0000-00004E130000}"/>
    <cellStyle name="Currency 3 2 2 2 7 7" xfId="20743" xr:uid="{00000000-0005-0000-0000-00004F130000}"/>
    <cellStyle name="Currency 3 2 2 2 7 7 2" xfId="20744" xr:uid="{00000000-0005-0000-0000-000050130000}"/>
    <cellStyle name="Currency 3 2 2 2 7 8" xfId="20745" xr:uid="{00000000-0005-0000-0000-000051130000}"/>
    <cellStyle name="Currency 3 2 2 2 7 8 2" xfId="20746" xr:uid="{00000000-0005-0000-0000-000052130000}"/>
    <cellStyle name="Currency 3 2 2 2 7 9" xfId="20747" xr:uid="{00000000-0005-0000-0000-000053130000}"/>
    <cellStyle name="Currency 3 2 2 2 8" xfId="20748" xr:uid="{00000000-0005-0000-0000-000054130000}"/>
    <cellStyle name="Currency 3 2 2 2 8 2" xfId="20749" xr:uid="{00000000-0005-0000-0000-000055130000}"/>
    <cellStyle name="Currency 3 2 2 2 8 2 2" xfId="20750" xr:uid="{00000000-0005-0000-0000-000056130000}"/>
    <cellStyle name="Currency 3 2 2 2 8 3" xfId="20751" xr:uid="{00000000-0005-0000-0000-000057130000}"/>
    <cellStyle name="Currency 3 2 2 2 8 3 2" xfId="20752" xr:uid="{00000000-0005-0000-0000-000058130000}"/>
    <cellStyle name="Currency 3 2 2 2 8 4" xfId="20753" xr:uid="{00000000-0005-0000-0000-000059130000}"/>
    <cellStyle name="Currency 3 2 2 2 8 4 2" xfId="20754" xr:uid="{00000000-0005-0000-0000-00005A130000}"/>
    <cellStyle name="Currency 3 2 2 2 8 5" xfId="20755" xr:uid="{00000000-0005-0000-0000-00005B130000}"/>
    <cellStyle name="Currency 3 2 2 2 8 6" xfId="20756" xr:uid="{00000000-0005-0000-0000-00005C130000}"/>
    <cellStyle name="Currency 3 2 2 2 9" xfId="20757" xr:uid="{00000000-0005-0000-0000-00005D130000}"/>
    <cellStyle name="Currency 3 2 2 2 9 2" xfId="20758" xr:uid="{00000000-0005-0000-0000-00005E130000}"/>
    <cellStyle name="Currency 3 2 2 2 9 2 2" xfId="20759" xr:uid="{00000000-0005-0000-0000-00005F130000}"/>
    <cellStyle name="Currency 3 2 2 2 9 3" xfId="20760" xr:uid="{00000000-0005-0000-0000-000060130000}"/>
    <cellStyle name="Currency 3 2 2 2 9 3 2" xfId="20761" xr:uid="{00000000-0005-0000-0000-000061130000}"/>
    <cellStyle name="Currency 3 2 2 2 9 4" xfId="20762" xr:uid="{00000000-0005-0000-0000-000062130000}"/>
    <cellStyle name="Currency 3 2 2 2 9 4 2" xfId="20763" xr:uid="{00000000-0005-0000-0000-000063130000}"/>
    <cellStyle name="Currency 3 2 2 2 9 5" xfId="20764" xr:uid="{00000000-0005-0000-0000-000064130000}"/>
    <cellStyle name="Currency 3 2 2 2 9 6" xfId="20765" xr:uid="{00000000-0005-0000-0000-000065130000}"/>
    <cellStyle name="Currency 3 2 2 3" xfId="20766" xr:uid="{00000000-0005-0000-0000-000066130000}"/>
    <cellStyle name="Currency 3 2 2 3 10" xfId="20767" xr:uid="{00000000-0005-0000-0000-000067130000}"/>
    <cellStyle name="Currency 3 2 2 3 10 2" xfId="20768" xr:uid="{00000000-0005-0000-0000-000068130000}"/>
    <cellStyle name="Currency 3 2 2 3 11" xfId="20769" xr:uid="{00000000-0005-0000-0000-000069130000}"/>
    <cellStyle name="Currency 3 2 2 3 11 2" xfId="20770" xr:uid="{00000000-0005-0000-0000-00006A130000}"/>
    <cellStyle name="Currency 3 2 2 3 12" xfId="20771" xr:uid="{00000000-0005-0000-0000-00006B130000}"/>
    <cellStyle name="Currency 3 2 2 3 13" xfId="20772" xr:uid="{00000000-0005-0000-0000-00006C130000}"/>
    <cellStyle name="Currency 3 2 2 3 2" xfId="20773" xr:uid="{00000000-0005-0000-0000-00006D130000}"/>
    <cellStyle name="Currency 3 2 2 3 2 10" xfId="20774" xr:uid="{00000000-0005-0000-0000-00006E130000}"/>
    <cellStyle name="Currency 3 2 2 3 2 11" xfId="20775" xr:uid="{00000000-0005-0000-0000-00006F130000}"/>
    <cellStyle name="Currency 3 2 2 3 2 2" xfId="20776" xr:uid="{00000000-0005-0000-0000-000070130000}"/>
    <cellStyle name="Currency 3 2 2 3 2 2 2" xfId="20777" xr:uid="{00000000-0005-0000-0000-000071130000}"/>
    <cellStyle name="Currency 3 2 2 3 2 2 2 2" xfId="20778" xr:uid="{00000000-0005-0000-0000-000072130000}"/>
    <cellStyle name="Currency 3 2 2 3 2 2 3" xfId="20779" xr:uid="{00000000-0005-0000-0000-000073130000}"/>
    <cellStyle name="Currency 3 2 2 3 2 2 3 2" xfId="20780" xr:uid="{00000000-0005-0000-0000-000074130000}"/>
    <cellStyle name="Currency 3 2 2 3 2 2 4" xfId="20781" xr:uid="{00000000-0005-0000-0000-000075130000}"/>
    <cellStyle name="Currency 3 2 2 3 2 2 4 2" xfId="20782" xr:uid="{00000000-0005-0000-0000-000076130000}"/>
    <cellStyle name="Currency 3 2 2 3 2 2 5" xfId="20783" xr:uid="{00000000-0005-0000-0000-000077130000}"/>
    <cellStyle name="Currency 3 2 2 3 2 2 6" xfId="20784" xr:uid="{00000000-0005-0000-0000-000078130000}"/>
    <cellStyle name="Currency 3 2 2 3 2 3" xfId="20785" xr:uid="{00000000-0005-0000-0000-000079130000}"/>
    <cellStyle name="Currency 3 2 2 3 2 3 2" xfId="20786" xr:uid="{00000000-0005-0000-0000-00007A130000}"/>
    <cellStyle name="Currency 3 2 2 3 2 3 2 2" xfId="20787" xr:uid="{00000000-0005-0000-0000-00007B130000}"/>
    <cellStyle name="Currency 3 2 2 3 2 3 3" xfId="20788" xr:uid="{00000000-0005-0000-0000-00007C130000}"/>
    <cellStyle name="Currency 3 2 2 3 2 3 3 2" xfId="20789" xr:uid="{00000000-0005-0000-0000-00007D130000}"/>
    <cellStyle name="Currency 3 2 2 3 2 3 4" xfId="20790" xr:uid="{00000000-0005-0000-0000-00007E130000}"/>
    <cellStyle name="Currency 3 2 2 3 2 3 4 2" xfId="20791" xr:uid="{00000000-0005-0000-0000-00007F130000}"/>
    <cellStyle name="Currency 3 2 2 3 2 3 5" xfId="20792" xr:uid="{00000000-0005-0000-0000-000080130000}"/>
    <cellStyle name="Currency 3 2 2 3 2 3 6" xfId="20793" xr:uid="{00000000-0005-0000-0000-000081130000}"/>
    <cellStyle name="Currency 3 2 2 3 2 4" xfId="20794" xr:uid="{00000000-0005-0000-0000-000082130000}"/>
    <cellStyle name="Currency 3 2 2 3 2 4 2" xfId="20795" xr:uid="{00000000-0005-0000-0000-000083130000}"/>
    <cellStyle name="Currency 3 2 2 3 2 4 2 2" xfId="20796" xr:uid="{00000000-0005-0000-0000-000084130000}"/>
    <cellStyle name="Currency 3 2 2 3 2 4 3" xfId="20797" xr:uid="{00000000-0005-0000-0000-000085130000}"/>
    <cellStyle name="Currency 3 2 2 3 2 4 3 2" xfId="20798" xr:uid="{00000000-0005-0000-0000-000086130000}"/>
    <cellStyle name="Currency 3 2 2 3 2 4 4" xfId="20799" xr:uid="{00000000-0005-0000-0000-000087130000}"/>
    <cellStyle name="Currency 3 2 2 3 2 4 4 2" xfId="20800" xr:uid="{00000000-0005-0000-0000-000088130000}"/>
    <cellStyle name="Currency 3 2 2 3 2 4 5" xfId="20801" xr:uid="{00000000-0005-0000-0000-000089130000}"/>
    <cellStyle name="Currency 3 2 2 3 2 4 6" xfId="20802" xr:uid="{00000000-0005-0000-0000-00008A130000}"/>
    <cellStyle name="Currency 3 2 2 3 2 5" xfId="20803" xr:uid="{00000000-0005-0000-0000-00008B130000}"/>
    <cellStyle name="Currency 3 2 2 3 2 5 2" xfId="20804" xr:uid="{00000000-0005-0000-0000-00008C130000}"/>
    <cellStyle name="Currency 3 2 2 3 2 5 2 2" xfId="20805" xr:uid="{00000000-0005-0000-0000-00008D130000}"/>
    <cellStyle name="Currency 3 2 2 3 2 5 3" xfId="20806" xr:uid="{00000000-0005-0000-0000-00008E130000}"/>
    <cellStyle name="Currency 3 2 2 3 2 5 3 2" xfId="20807" xr:uid="{00000000-0005-0000-0000-00008F130000}"/>
    <cellStyle name="Currency 3 2 2 3 2 5 4" xfId="20808" xr:uid="{00000000-0005-0000-0000-000090130000}"/>
    <cellStyle name="Currency 3 2 2 3 2 5 4 2" xfId="20809" xr:uid="{00000000-0005-0000-0000-000091130000}"/>
    <cellStyle name="Currency 3 2 2 3 2 5 5" xfId="20810" xr:uid="{00000000-0005-0000-0000-000092130000}"/>
    <cellStyle name="Currency 3 2 2 3 2 5 6" xfId="20811" xr:uid="{00000000-0005-0000-0000-000093130000}"/>
    <cellStyle name="Currency 3 2 2 3 2 6" xfId="20812" xr:uid="{00000000-0005-0000-0000-000094130000}"/>
    <cellStyle name="Currency 3 2 2 3 2 6 2" xfId="20813" xr:uid="{00000000-0005-0000-0000-000095130000}"/>
    <cellStyle name="Currency 3 2 2 3 2 6 2 2" xfId="20814" xr:uid="{00000000-0005-0000-0000-000096130000}"/>
    <cellStyle name="Currency 3 2 2 3 2 6 3" xfId="20815" xr:uid="{00000000-0005-0000-0000-000097130000}"/>
    <cellStyle name="Currency 3 2 2 3 2 6 3 2" xfId="20816" xr:uid="{00000000-0005-0000-0000-000098130000}"/>
    <cellStyle name="Currency 3 2 2 3 2 6 4" xfId="20817" xr:uid="{00000000-0005-0000-0000-000099130000}"/>
    <cellStyle name="Currency 3 2 2 3 2 6 5" xfId="20818" xr:uid="{00000000-0005-0000-0000-00009A130000}"/>
    <cellStyle name="Currency 3 2 2 3 2 7" xfId="20819" xr:uid="{00000000-0005-0000-0000-00009B130000}"/>
    <cellStyle name="Currency 3 2 2 3 2 7 2" xfId="20820" xr:uid="{00000000-0005-0000-0000-00009C130000}"/>
    <cellStyle name="Currency 3 2 2 3 2 8" xfId="20821" xr:uid="{00000000-0005-0000-0000-00009D130000}"/>
    <cellStyle name="Currency 3 2 2 3 2 8 2" xfId="20822" xr:uid="{00000000-0005-0000-0000-00009E130000}"/>
    <cellStyle name="Currency 3 2 2 3 2 9" xfId="20823" xr:uid="{00000000-0005-0000-0000-00009F130000}"/>
    <cellStyle name="Currency 3 2 2 3 2 9 2" xfId="20824" xr:uid="{00000000-0005-0000-0000-0000A0130000}"/>
    <cellStyle name="Currency 3 2 2 3 3" xfId="20825" xr:uid="{00000000-0005-0000-0000-0000A1130000}"/>
    <cellStyle name="Currency 3 2 2 3 3 10" xfId="20826" xr:uid="{00000000-0005-0000-0000-0000A2130000}"/>
    <cellStyle name="Currency 3 2 2 3 3 2" xfId="20827" xr:uid="{00000000-0005-0000-0000-0000A3130000}"/>
    <cellStyle name="Currency 3 2 2 3 3 2 2" xfId="20828" xr:uid="{00000000-0005-0000-0000-0000A4130000}"/>
    <cellStyle name="Currency 3 2 2 3 3 2 2 2" xfId="20829" xr:uid="{00000000-0005-0000-0000-0000A5130000}"/>
    <cellStyle name="Currency 3 2 2 3 3 2 3" xfId="20830" xr:uid="{00000000-0005-0000-0000-0000A6130000}"/>
    <cellStyle name="Currency 3 2 2 3 3 2 3 2" xfId="20831" xr:uid="{00000000-0005-0000-0000-0000A7130000}"/>
    <cellStyle name="Currency 3 2 2 3 3 2 4" xfId="20832" xr:uid="{00000000-0005-0000-0000-0000A8130000}"/>
    <cellStyle name="Currency 3 2 2 3 3 2 4 2" xfId="20833" xr:uid="{00000000-0005-0000-0000-0000A9130000}"/>
    <cellStyle name="Currency 3 2 2 3 3 2 5" xfId="20834" xr:uid="{00000000-0005-0000-0000-0000AA130000}"/>
    <cellStyle name="Currency 3 2 2 3 3 2 6" xfId="20835" xr:uid="{00000000-0005-0000-0000-0000AB130000}"/>
    <cellStyle name="Currency 3 2 2 3 3 3" xfId="20836" xr:uid="{00000000-0005-0000-0000-0000AC130000}"/>
    <cellStyle name="Currency 3 2 2 3 3 3 2" xfId="20837" xr:uid="{00000000-0005-0000-0000-0000AD130000}"/>
    <cellStyle name="Currency 3 2 2 3 3 3 2 2" xfId="20838" xr:uid="{00000000-0005-0000-0000-0000AE130000}"/>
    <cellStyle name="Currency 3 2 2 3 3 3 3" xfId="20839" xr:uid="{00000000-0005-0000-0000-0000AF130000}"/>
    <cellStyle name="Currency 3 2 2 3 3 3 3 2" xfId="20840" xr:uid="{00000000-0005-0000-0000-0000B0130000}"/>
    <cellStyle name="Currency 3 2 2 3 3 3 4" xfId="20841" xr:uid="{00000000-0005-0000-0000-0000B1130000}"/>
    <cellStyle name="Currency 3 2 2 3 3 3 4 2" xfId="20842" xr:uid="{00000000-0005-0000-0000-0000B2130000}"/>
    <cellStyle name="Currency 3 2 2 3 3 3 5" xfId="20843" xr:uid="{00000000-0005-0000-0000-0000B3130000}"/>
    <cellStyle name="Currency 3 2 2 3 3 3 6" xfId="20844" xr:uid="{00000000-0005-0000-0000-0000B4130000}"/>
    <cellStyle name="Currency 3 2 2 3 3 4" xfId="20845" xr:uid="{00000000-0005-0000-0000-0000B5130000}"/>
    <cellStyle name="Currency 3 2 2 3 3 4 2" xfId="20846" xr:uid="{00000000-0005-0000-0000-0000B6130000}"/>
    <cellStyle name="Currency 3 2 2 3 3 4 2 2" xfId="20847" xr:uid="{00000000-0005-0000-0000-0000B7130000}"/>
    <cellStyle name="Currency 3 2 2 3 3 4 3" xfId="20848" xr:uid="{00000000-0005-0000-0000-0000B8130000}"/>
    <cellStyle name="Currency 3 2 2 3 3 4 3 2" xfId="20849" xr:uid="{00000000-0005-0000-0000-0000B9130000}"/>
    <cellStyle name="Currency 3 2 2 3 3 4 4" xfId="20850" xr:uid="{00000000-0005-0000-0000-0000BA130000}"/>
    <cellStyle name="Currency 3 2 2 3 3 4 4 2" xfId="20851" xr:uid="{00000000-0005-0000-0000-0000BB130000}"/>
    <cellStyle name="Currency 3 2 2 3 3 4 5" xfId="20852" xr:uid="{00000000-0005-0000-0000-0000BC130000}"/>
    <cellStyle name="Currency 3 2 2 3 3 4 6" xfId="20853" xr:uid="{00000000-0005-0000-0000-0000BD130000}"/>
    <cellStyle name="Currency 3 2 2 3 3 5" xfId="20854" xr:uid="{00000000-0005-0000-0000-0000BE130000}"/>
    <cellStyle name="Currency 3 2 2 3 3 5 2" xfId="20855" xr:uid="{00000000-0005-0000-0000-0000BF130000}"/>
    <cellStyle name="Currency 3 2 2 3 3 5 2 2" xfId="20856" xr:uid="{00000000-0005-0000-0000-0000C0130000}"/>
    <cellStyle name="Currency 3 2 2 3 3 5 3" xfId="20857" xr:uid="{00000000-0005-0000-0000-0000C1130000}"/>
    <cellStyle name="Currency 3 2 2 3 3 5 3 2" xfId="20858" xr:uid="{00000000-0005-0000-0000-0000C2130000}"/>
    <cellStyle name="Currency 3 2 2 3 3 5 4" xfId="20859" xr:uid="{00000000-0005-0000-0000-0000C3130000}"/>
    <cellStyle name="Currency 3 2 2 3 3 5 5" xfId="20860" xr:uid="{00000000-0005-0000-0000-0000C4130000}"/>
    <cellStyle name="Currency 3 2 2 3 3 6" xfId="20861" xr:uid="{00000000-0005-0000-0000-0000C5130000}"/>
    <cellStyle name="Currency 3 2 2 3 3 6 2" xfId="20862" xr:uid="{00000000-0005-0000-0000-0000C6130000}"/>
    <cellStyle name="Currency 3 2 2 3 3 7" xfId="20863" xr:uid="{00000000-0005-0000-0000-0000C7130000}"/>
    <cellStyle name="Currency 3 2 2 3 3 7 2" xfId="20864" xr:uid="{00000000-0005-0000-0000-0000C8130000}"/>
    <cellStyle name="Currency 3 2 2 3 3 8" xfId="20865" xr:uid="{00000000-0005-0000-0000-0000C9130000}"/>
    <cellStyle name="Currency 3 2 2 3 3 8 2" xfId="20866" xr:uid="{00000000-0005-0000-0000-0000CA130000}"/>
    <cellStyle name="Currency 3 2 2 3 3 9" xfId="20867" xr:uid="{00000000-0005-0000-0000-0000CB130000}"/>
    <cellStyle name="Currency 3 2 2 3 4" xfId="20868" xr:uid="{00000000-0005-0000-0000-0000CC130000}"/>
    <cellStyle name="Currency 3 2 2 3 4 10" xfId="20869" xr:uid="{00000000-0005-0000-0000-0000CD130000}"/>
    <cellStyle name="Currency 3 2 2 3 4 2" xfId="20870" xr:uid="{00000000-0005-0000-0000-0000CE130000}"/>
    <cellStyle name="Currency 3 2 2 3 4 2 2" xfId="20871" xr:uid="{00000000-0005-0000-0000-0000CF130000}"/>
    <cellStyle name="Currency 3 2 2 3 4 2 2 2" xfId="20872" xr:uid="{00000000-0005-0000-0000-0000D0130000}"/>
    <cellStyle name="Currency 3 2 2 3 4 2 3" xfId="20873" xr:uid="{00000000-0005-0000-0000-0000D1130000}"/>
    <cellStyle name="Currency 3 2 2 3 4 2 3 2" xfId="20874" xr:uid="{00000000-0005-0000-0000-0000D2130000}"/>
    <cellStyle name="Currency 3 2 2 3 4 2 4" xfId="20875" xr:uid="{00000000-0005-0000-0000-0000D3130000}"/>
    <cellStyle name="Currency 3 2 2 3 4 2 4 2" xfId="20876" xr:uid="{00000000-0005-0000-0000-0000D4130000}"/>
    <cellStyle name="Currency 3 2 2 3 4 2 5" xfId="20877" xr:uid="{00000000-0005-0000-0000-0000D5130000}"/>
    <cellStyle name="Currency 3 2 2 3 4 2 6" xfId="20878" xr:uid="{00000000-0005-0000-0000-0000D6130000}"/>
    <cellStyle name="Currency 3 2 2 3 4 3" xfId="20879" xr:uid="{00000000-0005-0000-0000-0000D7130000}"/>
    <cellStyle name="Currency 3 2 2 3 4 3 2" xfId="20880" xr:uid="{00000000-0005-0000-0000-0000D8130000}"/>
    <cellStyle name="Currency 3 2 2 3 4 3 2 2" xfId="20881" xr:uid="{00000000-0005-0000-0000-0000D9130000}"/>
    <cellStyle name="Currency 3 2 2 3 4 3 3" xfId="20882" xr:uid="{00000000-0005-0000-0000-0000DA130000}"/>
    <cellStyle name="Currency 3 2 2 3 4 3 3 2" xfId="20883" xr:uid="{00000000-0005-0000-0000-0000DB130000}"/>
    <cellStyle name="Currency 3 2 2 3 4 3 4" xfId="20884" xr:uid="{00000000-0005-0000-0000-0000DC130000}"/>
    <cellStyle name="Currency 3 2 2 3 4 3 4 2" xfId="20885" xr:uid="{00000000-0005-0000-0000-0000DD130000}"/>
    <cellStyle name="Currency 3 2 2 3 4 3 5" xfId="20886" xr:uid="{00000000-0005-0000-0000-0000DE130000}"/>
    <cellStyle name="Currency 3 2 2 3 4 3 6" xfId="20887" xr:uid="{00000000-0005-0000-0000-0000DF130000}"/>
    <cellStyle name="Currency 3 2 2 3 4 4" xfId="20888" xr:uid="{00000000-0005-0000-0000-0000E0130000}"/>
    <cellStyle name="Currency 3 2 2 3 4 4 2" xfId="20889" xr:uid="{00000000-0005-0000-0000-0000E1130000}"/>
    <cellStyle name="Currency 3 2 2 3 4 4 2 2" xfId="20890" xr:uid="{00000000-0005-0000-0000-0000E2130000}"/>
    <cellStyle name="Currency 3 2 2 3 4 4 3" xfId="20891" xr:uid="{00000000-0005-0000-0000-0000E3130000}"/>
    <cellStyle name="Currency 3 2 2 3 4 4 3 2" xfId="20892" xr:uid="{00000000-0005-0000-0000-0000E4130000}"/>
    <cellStyle name="Currency 3 2 2 3 4 4 4" xfId="20893" xr:uid="{00000000-0005-0000-0000-0000E5130000}"/>
    <cellStyle name="Currency 3 2 2 3 4 4 4 2" xfId="20894" xr:uid="{00000000-0005-0000-0000-0000E6130000}"/>
    <cellStyle name="Currency 3 2 2 3 4 4 5" xfId="20895" xr:uid="{00000000-0005-0000-0000-0000E7130000}"/>
    <cellStyle name="Currency 3 2 2 3 4 4 6" xfId="20896" xr:uid="{00000000-0005-0000-0000-0000E8130000}"/>
    <cellStyle name="Currency 3 2 2 3 4 5" xfId="20897" xr:uid="{00000000-0005-0000-0000-0000E9130000}"/>
    <cellStyle name="Currency 3 2 2 3 4 5 2" xfId="20898" xr:uid="{00000000-0005-0000-0000-0000EA130000}"/>
    <cellStyle name="Currency 3 2 2 3 4 5 2 2" xfId="20899" xr:uid="{00000000-0005-0000-0000-0000EB130000}"/>
    <cellStyle name="Currency 3 2 2 3 4 5 3" xfId="20900" xr:uid="{00000000-0005-0000-0000-0000EC130000}"/>
    <cellStyle name="Currency 3 2 2 3 4 5 3 2" xfId="20901" xr:uid="{00000000-0005-0000-0000-0000ED130000}"/>
    <cellStyle name="Currency 3 2 2 3 4 5 4" xfId="20902" xr:uid="{00000000-0005-0000-0000-0000EE130000}"/>
    <cellStyle name="Currency 3 2 2 3 4 5 5" xfId="20903" xr:uid="{00000000-0005-0000-0000-0000EF130000}"/>
    <cellStyle name="Currency 3 2 2 3 4 6" xfId="20904" xr:uid="{00000000-0005-0000-0000-0000F0130000}"/>
    <cellStyle name="Currency 3 2 2 3 4 6 2" xfId="20905" xr:uid="{00000000-0005-0000-0000-0000F1130000}"/>
    <cellStyle name="Currency 3 2 2 3 4 7" xfId="20906" xr:uid="{00000000-0005-0000-0000-0000F2130000}"/>
    <cellStyle name="Currency 3 2 2 3 4 7 2" xfId="20907" xr:uid="{00000000-0005-0000-0000-0000F3130000}"/>
    <cellStyle name="Currency 3 2 2 3 4 8" xfId="20908" xr:uid="{00000000-0005-0000-0000-0000F4130000}"/>
    <cellStyle name="Currency 3 2 2 3 4 8 2" xfId="20909" xr:uid="{00000000-0005-0000-0000-0000F5130000}"/>
    <cellStyle name="Currency 3 2 2 3 4 9" xfId="20910" xr:uid="{00000000-0005-0000-0000-0000F6130000}"/>
    <cellStyle name="Currency 3 2 2 3 5" xfId="20911" xr:uid="{00000000-0005-0000-0000-0000F7130000}"/>
    <cellStyle name="Currency 3 2 2 3 5 2" xfId="20912" xr:uid="{00000000-0005-0000-0000-0000F8130000}"/>
    <cellStyle name="Currency 3 2 2 3 5 2 2" xfId="20913" xr:uid="{00000000-0005-0000-0000-0000F9130000}"/>
    <cellStyle name="Currency 3 2 2 3 5 3" xfId="20914" xr:uid="{00000000-0005-0000-0000-0000FA130000}"/>
    <cellStyle name="Currency 3 2 2 3 5 3 2" xfId="20915" xr:uid="{00000000-0005-0000-0000-0000FB130000}"/>
    <cellStyle name="Currency 3 2 2 3 5 4" xfId="20916" xr:uid="{00000000-0005-0000-0000-0000FC130000}"/>
    <cellStyle name="Currency 3 2 2 3 5 4 2" xfId="20917" xr:uid="{00000000-0005-0000-0000-0000FD130000}"/>
    <cellStyle name="Currency 3 2 2 3 5 5" xfId="20918" xr:uid="{00000000-0005-0000-0000-0000FE130000}"/>
    <cellStyle name="Currency 3 2 2 3 5 6" xfId="20919" xr:uid="{00000000-0005-0000-0000-0000FF130000}"/>
    <cellStyle name="Currency 3 2 2 3 6" xfId="20920" xr:uid="{00000000-0005-0000-0000-000000140000}"/>
    <cellStyle name="Currency 3 2 2 3 6 2" xfId="20921" xr:uid="{00000000-0005-0000-0000-000001140000}"/>
    <cellStyle name="Currency 3 2 2 3 6 2 2" xfId="20922" xr:uid="{00000000-0005-0000-0000-000002140000}"/>
    <cellStyle name="Currency 3 2 2 3 6 3" xfId="20923" xr:uid="{00000000-0005-0000-0000-000003140000}"/>
    <cellStyle name="Currency 3 2 2 3 6 3 2" xfId="20924" xr:uid="{00000000-0005-0000-0000-000004140000}"/>
    <cellStyle name="Currency 3 2 2 3 6 4" xfId="20925" xr:uid="{00000000-0005-0000-0000-000005140000}"/>
    <cellStyle name="Currency 3 2 2 3 6 4 2" xfId="20926" xr:uid="{00000000-0005-0000-0000-000006140000}"/>
    <cellStyle name="Currency 3 2 2 3 6 5" xfId="20927" xr:uid="{00000000-0005-0000-0000-000007140000}"/>
    <cellStyle name="Currency 3 2 2 3 6 6" xfId="20928" xr:uid="{00000000-0005-0000-0000-000008140000}"/>
    <cellStyle name="Currency 3 2 2 3 7" xfId="20929" xr:uid="{00000000-0005-0000-0000-000009140000}"/>
    <cellStyle name="Currency 3 2 2 3 7 2" xfId="20930" xr:uid="{00000000-0005-0000-0000-00000A140000}"/>
    <cellStyle name="Currency 3 2 2 3 7 2 2" xfId="20931" xr:uid="{00000000-0005-0000-0000-00000B140000}"/>
    <cellStyle name="Currency 3 2 2 3 7 3" xfId="20932" xr:uid="{00000000-0005-0000-0000-00000C140000}"/>
    <cellStyle name="Currency 3 2 2 3 7 3 2" xfId="20933" xr:uid="{00000000-0005-0000-0000-00000D140000}"/>
    <cellStyle name="Currency 3 2 2 3 7 4" xfId="20934" xr:uid="{00000000-0005-0000-0000-00000E140000}"/>
    <cellStyle name="Currency 3 2 2 3 7 4 2" xfId="20935" xr:uid="{00000000-0005-0000-0000-00000F140000}"/>
    <cellStyle name="Currency 3 2 2 3 7 5" xfId="20936" xr:uid="{00000000-0005-0000-0000-000010140000}"/>
    <cellStyle name="Currency 3 2 2 3 7 6" xfId="20937" xr:uid="{00000000-0005-0000-0000-000011140000}"/>
    <cellStyle name="Currency 3 2 2 3 8" xfId="20938" xr:uid="{00000000-0005-0000-0000-000012140000}"/>
    <cellStyle name="Currency 3 2 2 3 8 2" xfId="20939" xr:uid="{00000000-0005-0000-0000-000013140000}"/>
    <cellStyle name="Currency 3 2 2 3 8 2 2" xfId="20940" xr:uid="{00000000-0005-0000-0000-000014140000}"/>
    <cellStyle name="Currency 3 2 2 3 8 3" xfId="20941" xr:uid="{00000000-0005-0000-0000-000015140000}"/>
    <cellStyle name="Currency 3 2 2 3 8 3 2" xfId="20942" xr:uid="{00000000-0005-0000-0000-000016140000}"/>
    <cellStyle name="Currency 3 2 2 3 8 4" xfId="20943" xr:uid="{00000000-0005-0000-0000-000017140000}"/>
    <cellStyle name="Currency 3 2 2 3 8 5" xfId="20944" xr:uid="{00000000-0005-0000-0000-000018140000}"/>
    <cellStyle name="Currency 3 2 2 3 9" xfId="20945" xr:uid="{00000000-0005-0000-0000-000019140000}"/>
    <cellStyle name="Currency 3 2 2 3 9 2" xfId="20946" xr:uid="{00000000-0005-0000-0000-00001A140000}"/>
    <cellStyle name="Currency 3 2 2 4" xfId="20947" xr:uid="{00000000-0005-0000-0000-00001B140000}"/>
    <cellStyle name="Currency 3 2 2 4 10" xfId="20948" xr:uid="{00000000-0005-0000-0000-00001C140000}"/>
    <cellStyle name="Currency 3 2 2 4 10 2" xfId="20949" xr:uid="{00000000-0005-0000-0000-00001D140000}"/>
    <cellStyle name="Currency 3 2 2 4 11" xfId="20950" xr:uid="{00000000-0005-0000-0000-00001E140000}"/>
    <cellStyle name="Currency 3 2 2 4 11 2" xfId="20951" xr:uid="{00000000-0005-0000-0000-00001F140000}"/>
    <cellStyle name="Currency 3 2 2 4 12" xfId="20952" xr:uid="{00000000-0005-0000-0000-000020140000}"/>
    <cellStyle name="Currency 3 2 2 4 13" xfId="20953" xr:uid="{00000000-0005-0000-0000-000021140000}"/>
    <cellStyle name="Currency 3 2 2 4 2" xfId="20954" xr:uid="{00000000-0005-0000-0000-000022140000}"/>
    <cellStyle name="Currency 3 2 2 4 2 10" xfId="20955" xr:uid="{00000000-0005-0000-0000-000023140000}"/>
    <cellStyle name="Currency 3 2 2 4 2 11" xfId="20956" xr:uid="{00000000-0005-0000-0000-000024140000}"/>
    <cellStyle name="Currency 3 2 2 4 2 2" xfId="20957" xr:uid="{00000000-0005-0000-0000-000025140000}"/>
    <cellStyle name="Currency 3 2 2 4 2 2 2" xfId="20958" xr:uid="{00000000-0005-0000-0000-000026140000}"/>
    <cellStyle name="Currency 3 2 2 4 2 2 2 2" xfId="20959" xr:uid="{00000000-0005-0000-0000-000027140000}"/>
    <cellStyle name="Currency 3 2 2 4 2 2 3" xfId="20960" xr:uid="{00000000-0005-0000-0000-000028140000}"/>
    <cellStyle name="Currency 3 2 2 4 2 2 3 2" xfId="20961" xr:uid="{00000000-0005-0000-0000-000029140000}"/>
    <cellStyle name="Currency 3 2 2 4 2 2 4" xfId="20962" xr:uid="{00000000-0005-0000-0000-00002A140000}"/>
    <cellStyle name="Currency 3 2 2 4 2 2 4 2" xfId="20963" xr:uid="{00000000-0005-0000-0000-00002B140000}"/>
    <cellStyle name="Currency 3 2 2 4 2 2 5" xfId="20964" xr:uid="{00000000-0005-0000-0000-00002C140000}"/>
    <cellStyle name="Currency 3 2 2 4 2 2 6" xfId="20965" xr:uid="{00000000-0005-0000-0000-00002D140000}"/>
    <cellStyle name="Currency 3 2 2 4 2 3" xfId="20966" xr:uid="{00000000-0005-0000-0000-00002E140000}"/>
    <cellStyle name="Currency 3 2 2 4 2 3 2" xfId="20967" xr:uid="{00000000-0005-0000-0000-00002F140000}"/>
    <cellStyle name="Currency 3 2 2 4 2 3 2 2" xfId="20968" xr:uid="{00000000-0005-0000-0000-000030140000}"/>
    <cellStyle name="Currency 3 2 2 4 2 3 3" xfId="20969" xr:uid="{00000000-0005-0000-0000-000031140000}"/>
    <cellStyle name="Currency 3 2 2 4 2 3 3 2" xfId="20970" xr:uid="{00000000-0005-0000-0000-000032140000}"/>
    <cellStyle name="Currency 3 2 2 4 2 3 4" xfId="20971" xr:uid="{00000000-0005-0000-0000-000033140000}"/>
    <cellStyle name="Currency 3 2 2 4 2 3 4 2" xfId="20972" xr:uid="{00000000-0005-0000-0000-000034140000}"/>
    <cellStyle name="Currency 3 2 2 4 2 3 5" xfId="20973" xr:uid="{00000000-0005-0000-0000-000035140000}"/>
    <cellStyle name="Currency 3 2 2 4 2 3 6" xfId="20974" xr:uid="{00000000-0005-0000-0000-000036140000}"/>
    <cellStyle name="Currency 3 2 2 4 2 4" xfId="20975" xr:uid="{00000000-0005-0000-0000-000037140000}"/>
    <cellStyle name="Currency 3 2 2 4 2 4 2" xfId="20976" xr:uid="{00000000-0005-0000-0000-000038140000}"/>
    <cellStyle name="Currency 3 2 2 4 2 4 2 2" xfId="20977" xr:uid="{00000000-0005-0000-0000-000039140000}"/>
    <cellStyle name="Currency 3 2 2 4 2 4 3" xfId="20978" xr:uid="{00000000-0005-0000-0000-00003A140000}"/>
    <cellStyle name="Currency 3 2 2 4 2 4 3 2" xfId="20979" xr:uid="{00000000-0005-0000-0000-00003B140000}"/>
    <cellStyle name="Currency 3 2 2 4 2 4 4" xfId="20980" xr:uid="{00000000-0005-0000-0000-00003C140000}"/>
    <cellStyle name="Currency 3 2 2 4 2 4 4 2" xfId="20981" xr:uid="{00000000-0005-0000-0000-00003D140000}"/>
    <cellStyle name="Currency 3 2 2 4 2 4 5" xfId="20982" xr:uid="{00000000-0005-0000-0000-00003E140000}"/>
    <cellStyle name="Currency 3 2 2 4 2 4 6" xfId="20983" xr:uid="{00000000-0005-0000-0000-00003F140000}"/>
    <cellStyle name="Currency 3 2 2 4 2 5" xfId="20984" xr:uid="{00000000-0005-0000-0000-000040140000}"/>
    <cellStyle name="Currency 3 2 2 4 2 5 2" xfId="20985" xr:uid="{00000000-0005-0000-0000-000041140000}"/>
    <cellStyle name="Currency 3 2 2 4 2 5 2 2" xfId="20986" xr:uid="{00000000-0005-0000-0000-000042140000}"/>
    <cellStyle name="Currency 3 2 2 4 2 5 3" xfId="20987" xr:uid="{00000000-0005-0000-0000-000043140000}"/>
    <cellStyle name="Currency 3 2 2 4 2 5 3 2" xfId="20988" xr:uid="{00000000-0005-0000-0000-000044140000}"/>
    <cellStyle name="Currency 3 2 2 4 2 5 4" xfId="20989" xr:uid="{00000000-0005-0000-0000-000045140000}"/>
    <cellStyle name="Currency 3 2 2 4 2 5 4 2" xfId="20990" xr:uid="{00000000-0005-0000-0000-000046140000}"/>
    <cellStyle name="Currency 3 2 2 4 2 5 5" xfId="20991" xr:uid="{00000000-0005-0000-0000-000047140000}"/>
    <cellStyle name="Currency 3 2 2 4 2 5 6" xfId="20992" xr:uid="{00000000-0005-0000-0000-000048140000}"/>
    <cellStyle name="Currency 3 2 2 4 2 6" xfId="20993" xr:uid="{00000000-0005-0000-0000-000049140000}"/>
    <cellStyle name="Currency 3 2 2 4 2 6 2" xfId="20994" xr:uid="{00000000-0005-0000-0000-00004A140000}"/>
    <cellStyle name="Currency 3 2 2 4 2 6 2 2" xfId="20995" xr:uid="{00000000-0005-0000-0000-00004B140000}"/>
    <cellStyle name="Currency 3 2 2 4 2 6 3" xfId="20996" xr:uid="{00000000-0005-0000-0000-00004C140000}"/>
    <cellStyle name="Currency 3 2 2 4 2 6 3 2" xfId="20997" xr:uid="{00000000-0005-0000-0000-00004D140000}"/>
    <cellStyle name="Currency 3 2 2 4 2 6 4" xfId="20998" xr:uid="{00000000-0005-0000-0000-00004E140000}"/>
    <cellStyle name="Currency 3 2 2 4 2 6 5" xfId="20999" xr:uid="{00000000-0005-0000-0000-00004F140000}"/>
    <cellStyle name="Currency 3 2 2 4 2 7" xfId="21000" xr:uid="{00000000-0005-0000-0000-000050140000}"/>
    <cellStyle name="Currency 3 2 2 4 2 7 2" xfId="21001" xr:uid="{00000000-0005-0000-0000-000051140000}"/>
    <cellStyle name="Currency 3 2 2 4 2 8" xfId="21002" xr:uid="{00000000-0005-0000-0000-000052140000}"/>
    <cellStyle name="Currency 3 2 2 4 2 8 2" xfId="21003" xr:uid="{00000000-0005-0000-0000-000053140000}"/>
    <cellStyle name="Currency 3 2 2 4 2 9" xfId="21004" xr:uid="{00000000-0005-0000-0000-000054140000}"/>
    <cellStyle name="Currency 3 2 2 4 2 9 2" xfId="21005" xr:uid="{00000000-0005-0000-0000-000055140000}"/>
    <cellStyle name="Currency 3 2 2 4 3" xfId="21006" xr:uid="{00000000-0005-0000-0000-000056140000}"/>
    <cellStyle name="Currency 3 2 2 4 3 10" xfId="21007" xr:uid="{00000000-0005-0000-0000-000057140000}"/>
    <cellStyle name="Currency 3 2 2 4 3 2" xfId="21008" xr:uid="{00000000-0005-0000-0000-000058140000}"/>
    <cellStyle name="Currency 3 2 2 4 3 2 2" xfId="21009" xr:uid="{00000000-0005-0000-0000-000059140000}"/>
    <cellStyle name="Currency 3 2 2 4 3 2 2 2" xfId="21010" xr:uid="{00000000-0005-0000-0000-00005A140000}"/>
    <cellStyle name="Currency 3 2 2 4 3 2 3" xfId="21011" xr:uid="{00000000-0005-0000-0000-00005B140000}"/>
    <cellStyle name="Currency 3 2 2 4 3 2 3 2" xfId="21012" xr:uid="{00000000-0005-0000-0000-00005C140000}"/>
    <cellStyle name="Currency 3 2 2 4 3 2 4" xfId="21013" xr:uid="{00000000-0005-0000-0000-00005D140000}"/>
    <cellStyle name="Currency 3 2 2 4 3 2 4 2" xfId="21014" xr:uid="{00000000-0005-0000-0000-00005E140000}"/>
    <cellStyle name="Currency 3 2 2 4 3 2 5" xfId="21015" xr:uid="{00000000-0005-0000-0000-00005F140000}"/>
    <cellStyle name="Currency 3 2 2 4 3 2 6" xfId="21016" xr:uid="{00000000-0005-0000-0000-000060140000}"/>
    <cellStyle name="Currency 3 2 2 4 3 3" xfId="21017" xr:uid="{00000000-0005-0000-0000-000061140000}"/>
    <cellStyle name="Currency 3 2 2 4 3 3 2" xfId="21018" xr:uid="{00000000-0005-0000-0000-000062140000}"/>
    <cellStyle name="Currency 3 2 2 4 3 3 2 2" xfId="21019" xr:uid="{00000000-0005-0000-0000-000063140000}"/>
    <cellStyle name="Currency 3 2 2 4 3 3 3" xfId="21020" xr:uid="{00000000-0005-0000-0000-000064140000}"/>
    <cellStyle name="Currency 3 2 2 4 3 3 3 2" xfId="21021" xr:uid="{00000000-0005-0000-0000-000065140000}"/>
    <cellStyle name="Currency 3 2 2 4 3 3 4" xfId="21022" xr:uid="{00000000-0005-0000-0000-000066140000}"/>
    <cellStyle name="Currency 3 2 2 4 3 3 4 2" xfId="21023" xr:uid="{00000000-0005-0000-0000-000067140000}"/>
    <cellStyle name="Currency 3 2 2 4 3 3 5" xfId="21024" xr:uid="{00000000-0005-0000-0000-000068140000}"/>
    <cellStyle name="Currency 3 2 2 4 3 3 6" xfId="21025" xr:uid="{00000000-0005-0000-0000-000069140000}"/>
    <cellStyle name="Currency 3 2 2 4 3 4" xfId="21026" xr:uid="{00000000-0005-0000-0000-00006A140000}"/>
    <cellStyle name="Currency 3 2 2 4 3 4 2" xfId="21027" xr:uid="{00000000-0005-0000-0000-00006B140000}"/>
    <cellStyle name="Currency 3 2 2 4 3 4 2 2" xfId="21028" xr:uid="{00000000-0005-0000-0000-00006C140000}"/>
    <cellStyle name="Currency 3 2 2 4 3 4 3" xfId="21029" xr:uid="{00000000-0005-0000-0000-00006D140000}"/>
    <cellStyle name="Currency 3 2 2 4 3 4 3 2" xfId="21030" xr:uid="{00000000-0005-0000-0000-00006E140000}"/>
    <cellStyle name="Currency 3 2 2 4 3 4 4" xfId="21031" xr:uid="{00000000-0005-0000-0000-00006F140000}"/>
    <cellStyle name="Currency 3 2 2 4 3 4 4 2" xfId="21032" xr:uid="{00000000-0005-0000-0000-000070140000}"/>
    <cellStyle name="Currency 3 2 2 4 3 4 5" xfId="21033" xr:uid="{00000000-0005-0000-0000-000071140000}"/>
    <cellStyle name="Currency 3 2 2 4 3 4 6" xfId="21034" xr:uid="{00000000-0005-0000-0000-000072140000}"/>
    <cellStyle name="Currency 3 2 2 4 3 5" xfId="21035" xr:uid="{00000000-0005-0000-0000-000073140000}"/>
    <cellStyle name="Currency 3 2 2 4 3 5 2" xfId="21036" xr:uid="{00000000-0005-0000-0000-000074140000}"/>
    <cellStyle name="Currency 3 2 2 4 3 5 2 2" xfId="21037" xr:uid="{00000000-0005-0000-0000-000075140000}"/>
    <cellStyle name="Currency 3 2 2 4 3 5 3" xfId="21038" xr:uid="{00000000-0005-0000-0000-000076140000}"/>
    <cellStyle name="Currency 3 2 2 4 3 5 3 2" xfId="21039" xr:uid="{00000000-0005-0000-0000-000077140000}"/>
    <cellStyle name="Currency 3 2 2 4 3 5 4" xfId="21040" xr:uid="{00000000-0005-0000-0000-000078140000}"/>
    <cellStyle name="Currency 3 2 2 4 3 5 5" xfId="21041" xr:uid="{00000000-0005-0000-0000-000079140000}"/>
    <cellStyle name="Currency 3 2 2 4 3 6" xfId="21042" xr:uid="{00000000-0005-0000-0000-00007A140000}"/>
    <cellStyle name="Currency 3 2 2 4 3 6 2" xfId="21043" xr:uid="{00000000-0005-0000-0000-00007B140000}"/>
    <cellStyle name="Currency 3 2 2 4 3 7" xfId="21044" xr:uid="{00000000-0005-0000-0000-00007C140000}"/>
    <cellStyle name="Currency 3 2 2 4 3 7 2" xfId="21045" xr:uid="{00000000-0005-0000-0000-00007D140000}"/>
    <cellStyle name="Currency 3 2 2 4 3 8" xfId="21046" xr:uid="{00000000-0005-0000-0000-00007E140000}"/>
    <cellStyle name="Currency 3 2 2 4 3 8 2" xfId="21047" xr:uid="{00000000-0005-0000-0000-00007F140000}"/>
    <cellStyle name="Currency 3 2 2 4 3 9" xfId="21048" xr:uid="{00000000-0005-0000-0000-000080140000}"/>
    <cellStyle name="Currency 3 2 2 4 4" xfId="21049" xr:uid="{00000000-0005-0000-0000-000081140000}"/>
    <cellStyle name="Currency 3 2 2 4 4 10" xfId="21050" xr:uid="{00000000-0005-0000-0000-000082140000}"/>
    <cellStyle name="Currency 3 2 2 4 4 2" xfId="21051" xr:uid="{00000000-0005-0000-0000-000083140000}"/>
    <cellStyle name="Currency 3 2 2 4 4 2 2" xfId="21052" xr:uid="{00000000-0005-0000-0000-000084140000}"/>
    <cellStyle name="Currency 3 2 2 4 4 2 2 2" xfId="21053" xr:uid="{00000000-0005-0000-0000-000085140000}"/>
    <cellStyle name="Currency 3 2 2 4 4 2 3" xfId="21054" xr:uid="{00000000-0005-0000-0000-000086140000}"/>
    <cellStyle name="Currency 3 2 2 4 4 2 3 2" xfId="21055" xr:uid="{00000000-0005-0000-0000-000087140000}"/>
    <cellStyle name="Currency 3 2 2 4 4 2 4" xfId="21056" xr:uid="{00000000-0005-0000-0000-000088140000}"/>
    <cellStyle name="Currency 3 2 2 4 4 2 4 2" xfId="21057" xr:uid="{00000000-0005-0000-0000-000089140000}"/>
    <cellStyle name="Currency 3 2 2 4 4 2 5" xfId="21058" xr:uid="{00000000-0005-0000-0000-00008A140000}"/>
    <cellStyle name="Currency 3 2 2 4 4 2 6" xfId="21059" xr:uid="{00000000-0005-0000-0000-00008B140000}"/>
    <cellStyle name="Currency 3 2 2 4 4 3" xfId="21060" xr:uid="{00000000-0005-0000-0000-00008C140000}"/>
    <cellStyle name="Currency 3 2 2 4 4 3 2" xfId="21061" xr:uid="{00000000-0005-0000-0000-00008D140000}"/>
    <cellStyle name="Currency 3 2 2 4 4 3 2 2" xfId="21062" xr:uid="{00000000-0005-0000-0000-00008E140000}"/>
    <cellStyle name="Currency 3 2 2 4 4 3 3" xfId="21063" xr:uid="{00000000-0005-0000-0000-00008F140000}"/>
    <cellStyle name="Currency 3 2 2 4 4 3 3 2" xfId="21064" xr:uid="{00000000-0005-0000-0000-000090140000}"/>
    <cellStyle name="Currency 3 2 2 4 4 3 4" xfId="21065" xr:uid="{00000000-0005-0000-0000-000091140000}"/>
    <cellStyle name="Currency 3 2 2 4 4 3 4 2" xfId="21066" xr:uid="{00000000-0005-0000-0000-000092140000}"/>
    <cellStyle name="Currency 3 2 2 4 4 3 5" xfId="21067" xr:uid="{00000000-0005-0000-0000-000093140000}"/>
    <cellStyle name="Currency 3 2 2 4 4 3 6" xfId="21068" xr:uid="{00000000-0005-0000-0000-000094140000}"/>
    <cellStyle name="Currency 3 2 2 4 4 4" xfId="21069" xr:uid="{00000000-0005-0000-0000-000095140000}"/>
    <cellStyle name="Currency 3 2 2 4 4 4 2" xfId="21070" xr:uid="{00000000-0005-0000-0000-000096140000}"/>
    <cellStyle name="Currency 3 2 2 4 4 4 2 2" xfId="21071" xr:uid="{00000000-0005-0000-0000-000097140000}"/>
    <cellStyle name="Currency 3 2 2 4 4 4 3" xfId="21072" xr:uid="{00000000-0005-0000-0000-000098140000}"/>
    <cellStyle name="Currency 3 2 2 4 4 4 3 2" xfId="21073" xr:uid="{00000000-0005-0000-0000-000099140000}"/>
    <cellStyle name="Currency 3 2 2 4 4 4 4" xfId="21074" xr:uid="{00000000-0005-0000-0000-00009A140000}"/>
    <cellStyle name="Currency 3 2 2 4 4 4 4 2" xfId="21075" xr:uid="{00000000-0005-0000-0000-00009B140000}"/>
    <cellStyle name="Currency 3 2 2 4 4 4 5" xfId="21076" xr:uid="{00000000-0005-0000-0000-00009C140000}"/>
    <cellStyle name="Currency 3 2 2 4 4 4 6" xfId="21077" xr:uid="{00000000-0005-0000-0000-00009D140000}"/>
    <cellStyle name="Currency 3 2 2 4 4 5" xfId="21078" xr:uid="{00000000-0005-0000-0000-00009E140000}"/>
    <cellStyle name="Currency 3 2 2 4 4 5 2" xfId="21079" xr:uid="{00000000-0005-0000-0000-00009F140000}"/>
    <cellStyle name="Currency 3 2 2 4 4 5 2 2" xfId="21080" xr:uid="{00000000-0005-0000-0000-0000A0140000}"/>
    <cellStyle name="Currency 3 2 2 4 4 5 3" xfId="21081" xr:uid="{00000000-0005-0000-0000-0000A1140000}"/>
    <cellStyle name="Currency 3 2 2 4 4 5 3 2" xfId="21082" xr:uid="{00000000-0005-0000-0000-0000A2140000}"/>
    <cellStyle name="Currency 3 2 2 4 4 5 4" xfId="21083" xr:uid="{00000000-0005-0000-0000-0000A3140000}"/>
    <cellStyle name="Currency 3 2 2 4 4 5 5" xfId="21084" xr:uid="{00000000-0005-0000-0000-0000A4140000}"/>
    <cellStyle name="Currency 3 2 2 4 4 6" xfId="21085" xr:uid="{00000000-0005-0000-0000-0000A5140000}"/>
    <cellStyle name="Currency 3 2 2 4 4 6 2" xfId="21086" xr:uid="{00000000-0005-0000-0000-0000A6140000}"/>
    <cellStyle name="Currency 3 2 2 4 4 7" xfId="21087" xr:uid="{00000000-0005-0000-0000-0000A7140000}"/>
    <cellStyle name="Currency 3 2 2 4 4 7 2" xfId="21088" xr:uid="{00000000-0005-0000-0000-0000A8140000}"/>
    <cellStyle name="Currency 3 2 2 4 4 8" xfId="21089" xr:uid="{00000000-0005-0000-0000-0000A9140000}"/>
    <cellStyle name="Currency 3 2 2 4 4 8 2" xfId="21090" xr:uid="{00000000-0005-0000-0000-0000AA140000}"/>
    <cellStyle name="Currency 3 2 2 4 4 9" xfId="21091" xr:uid="{00000000-0005-0000-0000-0000AB140000}"/>
    <cellStyle name="Currency 3 2 2 4 5" xfId="21092" xr:uid="{00000000-0005-0000-0000-0000AC140000}"/>
    <cellStyle name="Currency 3 2 2 4 5 2" xfId="21093" xr:uid="{00000000-0005-0000-0000-0000AD140000}"/>
    <cellStyle name="Currency 3 2 2 4 5 2 2" xfId="21094" xr:uid="{00000000-0005-0000-0000-0000AE140000}"/>
    <cellStyle name="Currency 3 2 2 4 5 3" xfId="21095" xr:uid="{00000000-0005-0000-0000-0000AF140000}"/>
    <cellStyle name="Currency 3 2 2 4 5 3 2" xfId="21096" xr:uid="{00000000-0005-0000-0000-0000B0140000}"/>
    <cellStyle name="Currency 3 2 2 4 5 4" xfId="21097" xr:uid="{00000000-0005-0000-0000-0000B1140000}"/>
    <cellStyle name="Currency 3 2 2 4 5 4 2" xfId="21098" xr:uid="{00000000-0005-0000-0000-0000B2140000}"/>
    <cellStyle name="Currency 3 2 2 4 5 5" xfId="21099" xr:uid="{00000000-0005-0000-0000-0000B3140000}"/>
    <cellStyle name="Currency 3 2 2 4 5 6" xfId="21100" xr:uid="{00000000-0005-0000-0000-0000B4140000}"/>
    <cellStyle name="Currency 3 2 2 4 6" xfId="21101" xr:uid="{00000000-0005-0000-0000-0000B5140000}"/>
    <cellStyle name="Currency 3 2 2 4 6 2" xfId="21102" xr:uid="{00000000-0005-0000-0000-0000B6140000}"/>
    <cellStyle name="Currency 3 2 2 4 6 2 2" xfId="21103" xr:uid="{00000000-0005-0000-0000-0000B7140000}"/>
    <cellStyle name="Currency 3 2 2 4 6 3" xfId="21104" xr:uid="{00000000-0005-0000-0000-0000B8140000}"/>
    <cellStyle name="Currency 3 2 2 4 6 3 2" xfId="21105" xr:uid="{00000000-0005-0000-0000-0000B9140000}"/>
    <cellStyle name="Currency 3 2 2 4 6 4" xfId="21106" xr:uid="{00000000-0005-0000-0000-0000BA140000}"/>
    <cellStyle name="Currency 3 2 2 4 6 4 2" xfId="21107" xr:uid="{00000000-0005-0000-0000-0000BB140000}"/>
    <cellStyle name="Currency 3 2 2 4 6 5" xfId="21108" xr:uid="{00000000-0005-0000-0000-0000BC140000}"/>
    <cellStyle name="Currency 3 2 2 4 6 6" xfId="21109" xr:uid="{00000000-0005-0000-0000-0000BD140000}"/>
    <cellStyle name="Currency 3 2 2 4 7" xfId="21110" xr:uid="{00000000-0005-0000-0000-0000BE140000}"/>
    <cellStyle name="Currency 3 2 2 4 7 2" xfId="21111" xr:uid="{00000000-0005-0000-0000-0000BF140000}"/>
    <cellStyle name="Currency 3 2 2 4 7 2 2" xfId="21112" xr:uid="{00000000-0005-0000-0000-0000C0140000}"/>
    <cellStyle name="Currency 3 2 2 4 7 3" xfId="21113" xr:uid="{00000000-0005-0000-0000-0000C1140000}"/>
    <cellStyle name="Currency 3 2 2 4 7 3 2" xfId="21114" xr:uid="{00000000-0005-0000-0000-0000C2140000}"/>
    <cellStyle name="Currency 3 2 2 4 7 4" xfId="21115" xr:uid="{00000000-0005-0000-0000-0000C3140000}"/>
    <cellStyle name="Currency 3 2 2 4 7 4 2" xfId="21116" xr:uid="{00000000-0005-0000-0000-0000C4140000}"/>
    <cellStyle name="Currency 3 2 2 4 7 5" xfId="21117" xr:uid="{00000000-0005-0000-0000-0000C5140000}"/>
    <cellStyle name="Currency 3 2 2 4 7 6" xfId="21118" xr:uid="{00000000-0005-0000-0000-0000C6140000}"/>
    <cellStyle name="Currency 3 2 2 4 8" xfId="21119" xr:uid="{00000000-0005-0000-0000-0000C7140000}"/>
    <cellStyle name="Currency 3 2 2 4 8 2" xfId="21120" xr:uid="{00000000-0005-0000-0000-0000C8140000}"/>
    <cellStyle name="Currency 3 2 2 4 8 2 2" xfId="21121" xr:uid="{00000000-0005-0000-0000-0000C9140000}"/>
    <cellStyle name="Currency 3 2 2 4 8 3" xfId="21122" xr:uid="{00000000-0005-0000-0000-0000CA140000}"/>
    <cellStyle name="Currency 3 2 2 4 8 3 2" xfId="21123" xr:uid="{00000000-0005-0000-0000-0000CB140000}"/>
    <cellStyle name="Currency 3 2 2 4 8 4" xfId="21124" xr:uid="{00000000-0005-0000-0000-0000CC140000}"/>
    <cellStyle name="Currency 3 2 2 4 8 5" xfId="21125" xr:uid="{00000000-0005-0000-0000-0000CD140000}"/>
    <cellStyle name="Currency 3 2 2 4 9" xfId="21126" xr:uid="{00000000-0005-0000-0000-0000CE140000}"/>
    <cellStyle name="Currency 3 2 2 4 9 2" xfId="21127" xr:uid="{00000000-0005-0000-0000-0000CF140000}"/>
    <cellStyle name="Currency 3 2 2 5" xfId="21128" xr:uid="{00000000-0005-0000-0000-0000D0140000}"/>
    <cellStyle name="Currency 3 2 2 5 10" xfId="21129" xr:uid="{00000000-0005-0000-0000-0000D1140000}"/>
    <cellStyle name="Currency 3 2 2 5 10 2" xfId="21130" xr:uid="{00000000-0005-0000-0000-0000D2140000}"/>
    <cellStyle name="Currency 3 2 2 5 11" xfId="21131" xr:uid="{00000000-0005-0000-0000-0000D3140000}"/>
    <cellStyle name="Currency 3 2 2 5 12" xfId="21132" xr:uid="{00000000-0005-0000-0000-0000D4140000}"/>
    <cellStyle name="Currency 3 2 2 5 2" xfId="21133" xr:uid="{00000000-0005-0000-0000-0000D5140000}"/>
    <cellStyle name="Currency 3 2 2 5 2 10" xfId="21134" xr:uid="{00000000-0005-0000-0000-0000D6140000}"/>
    <cellStyle name="Currency 3 2 2 5 2 2" xfId="21135" xr:uid="{00000000-0005-0000-0000-0000D7140000}"/>
    <cellStyle name="Currency 3 2 2 5 2 2 2" xfId="21136" xr:uid="{00000000-0005-0000-0000-0000D8140000}"/>
    <cellStyle name="Currency 3 2 2 5 2 2 2 2" xfId="21137" xr:uid="{00000000-0005-0000-0000-0000D9140000}"/>
    <cellStyle name="Currency 3 2 2 5 2 2 3" xfId="21138" xr:uid="{00000000-0005-0000-0000-0000DA140000}"/>
    <cellStyle name="Currency 3 2 2 5 2 2 3 2" xfId="21139" xr:uid="{00000000-0005-0000-0000-0000DB140000}"/>
    <cellStyle name="Currency 3 2 2 5 2 2 4" xfId="21140" xr:uid="{00000000-0005-0000-0000-0000DC140000}"/>
    <cellStyle name="Currency 3 2 2 5 2 2 4 2" xfId="21141" xr:uid="{00000000-0005-0000-0000-0000DD140000}"/>
    <cellStyle name="Currency 3 2 2 5 2 2 5" xfId="21142" xr:uid="{00000000-0005-0000-0000-0000DE140000}"/>
    <cellStyle name="Currency 3 2 2 5 2 2 6" xfId="21143" xr:uid="{00000000-0005-0000-0000-0000DF140000}"/>
    <cellStyle name="Currency 3 2 2 5 2 3" xfId="21144" xr:uid="{00000000-0005-0000-0000-0000E0140000}"/>
    <cellStyle name="Currency 3 2 2 5 2 3 2" xfId="21145" xr:uid="{00000000-0005-0000-0000-0000E1140000}"/>
    <cellStyle name="Currency 3 2 2 5 2 3 2 2" xfId="21146" xr:uid="{00000000-0005-0000-0000-0000E2140000}"/>
    <cellStyle name="Currency 3 2 2 5 2 3 3" xfId="21147" xr:uid="{00000000-0005-0000-0000-0000E3140000}"/>
    <cellStyle name="Currency 3 2 2 5 2 3 3 2" xfId="21148" xr:uid="{00000000-0005-0000-0000-0000E4140000}"/>
    <cellStyle name="Currency 3 2 2 5 2 3 4" xfId="21149" xr:uid="{00000000-0005-0000-0000-0000E5140000}"/>
    <cellStyle name="Currency 3 2 2 5 2 3 4 2" xfId="21150" xr:uid="{00000000-0005-0000-0000-0000E6140000}"/>
    <cellStyle name="Currency 3 2 2 5 2 3 5" xfId="21151" xr:uid="{00000000-0005-0000-0000-0000E7140000}"/>
    <cellStyle name="Currency 3 2 2 5 2 3 6" xfId="21152" xr:uid="{00000000-0005-0000-0000-0000E8140000}"/>
    <cellStyle name="Currency 3 2 2 5 2 4" xfId="21153" xr:uid="{00000000-0005-0000-0000-0000E9140000}"/>
    <cellStyle name="Currency 3 2 2 5 2 4 2" xfId="21154" xr:uid="{00000000-0005-0000-0000-0000EA140000}"/>
    <cellStyle name="Currency 3 2 2 5 2 4 2 2" xfId="21155" xr:uid="{00000000-0005-0000-0000-0000EB140000}"/>
    <cellStyle name="Currency 3 2 2 5 2 4 3" xfId="21156" xr:uid="{00000000-0005-0000-0000-0000EC140000}"/>
    <cellStyle name="Currency 3 2 2 5 2 4 3 2" xfId="21157" xr:uid="{00000000-0005-0000-0000-0000ED140000}"/>
    <cellStyle name="Currency 3 2 2 5 2 4 4" xfId="21158" xr:uid="{00000000-0005-0000-0000-0000EE140000}"/>
    <cellStyle name="Currency 3 2 2 5 2 4 4 2" xfId="21159" xr:uid="{00000000-0005-0000-0000-0000EF140000}"/>
    <cellStyle name="Currency 3 2 2 5 2 4 5" xfId="21160" xr:uid="{00000000-0005-0000-0000-0000F0140000}"/>
    <cellStyle name="Currency 3 2 2 5 2 4 6" xfId="21161" xr:uid="{00000000-0005-0000-0000-0000F1140000}"/>
    <cellStyle name="Currency 3 2 2 5 2 5" xfId="21162" xr:uid="{00000000-0005-0000-0000-0000F2140000}"/>
    <cellStyle name="Currency 3 2 2 5 2 5 2" xfId="21163" xr:uid="{00000000-0005-0000-0000-0000F3140000}"/>
    <cellStyle name="Currency 3 2 2 5 2 5 2 2" xfId="21164" xr:uid="{00000000-0005-0000-0000-0000F4140000}"/>
    <cellStyle name="Currency 3 2 2 5 2 5 3" xfId="21165" xr:uid="{00000000-0005-0000-0000-0000F5140000}"/>
    <cellStyle name="Currency 3 2 2 5 2 5 3 2" xfId="21166" xr:uid="{00000000-0005-0000-0000-0000F6140000}"/>
    <cellStyle name="Currency 3 2 2 5 2 5 4" xfId="21167" xr:uid="{00000000-0005-0000-0000-0000F7140000}"/>
    <cellStyle name="Currency 3 2 2 5 2 5 5" xfId="21168" xr:uid="{00000000-0005-0000-0000-0000F8140000}"/>
    <cellStyle name="Currency 3 2 2 5 2 6" xfId="21169" xr:uid="{00000000-0005-0000-0000-0000F9140000}"/>
    <cellStyle name="Currency 3 2 2 5 2 6 2" xfId="21170" xr:uid="{00000000-0005-0000-0000-0000FA140000}"/>
    <cellStyle name="Currency 3 2 2 5 2 7" xfId="21171" xr:uid="{00000000-0005-0000-0000-0000FB140000}"/>
    <cellStyle name="Currency 3 2 2 5 2 7 2" xfId="21172" xr:uid="{00000000-0005-0000-0000-0000FC140000}"/>
    <cellStyle name="Currency 3 2 2 5 2 8" xfId="21173" xr:uid="{00000000-0005-0000-0000-0000FD140000}"/>
    <cellStyle name="Currency 3 2 2 5 2 8 2" xfId="21174" xr:uid="{00000000-0005-0000-0000-0000FE140000}"/>
    <cellStyle name="Currency 3 2 2 5 2 9" xfId="21175" xr:uid="{00000000-0005-0000-0000-0000FF140000}"/>
    <cellStyle name="Currency 3 2 2 5 3" xfId="21176" xr:uid="{00000000-0005-0000-0000-000000150000}"/>
    <cellStyle name="Currency 3 2 2 5 3 10" xfId="21177" xr:uid="{00000000-0005-0000-0000-000001150000}"/>
    <cellStyle name="Currency 3 2 2 5 3 2" xfId="21178" xr:uid="{00000000-0005-0000-0000-000002150000}"/>
    <cellStyle name="Currency 3 2 2 5 3 2 2" xfId="21179" xr:uid="{00000000-0005-0000-0000-000003150000}"/>
    <cellStyle name="Currency 3 2 2 5 3 2 2 2" xfId="21180" xr:uid="{00000000-0005-0000-0000-000004150000}"/>
    <cellStyle name="Currency 3 2 2 5 3 2 3" xfId="21181" xr:uid="{00000000-0005-0000-0000-000005150000}"/>
    <cellStyle name="Currency 3 2 2 5 3 2 3 2" xfId="21182" xr:uid="{00000000-0005-0000-0000-000006150000}"/>
    <cellStyle name="Currency 3 2 2 5 3 2 4" xfId="21183" xr:uid="{00000000-0005-0000-0000-000007150000}"/>
    <cellStyle name="Currency 3 2 2 5 3 2 4 2" xfId="21184" xr:uid="{00000000-0005-0000-0000-000008150000}"/>
    <cellStyle name="Currency 3 2 2 5 3 2 5" xfId="21185" xr:uid="{00000000-0005-0000-0000-000009150000}"/>
    <cellStyle name="Currency 3 2 2 5 3 2 6" xfId="21186" xr:uid="{00000000-0005-0000-0000-00000A150000}"/>
    <cellStyle name="Currency 3 2 2 5 3 3" xfId="21187" xr:uid="{00000000-0005-0000-0000-00000B150000}"/>
    <cellStyle name="Currency 3 2 2 5 3 3 2" xfId="21188" xr:uid="{00000000-0005-0000-0000-00000C150000}"/>
    <cellStyle name="Currency 3 2 2 5 3 3 2 2" xfId="21189" xr:uid="{00000000-0005-0000-0000-00000D150000}"/>
    <cellStyle name="Currency 3 2 2 5 3 3 3" xfId="21190" xr:uid="{00000000-0005-0000-0000-00000E150000}"/>
    <cellStyle name="Currency 3 2 2 5 3 3 3 2" xfId="21191" xr:uid="{00000000-0005-0000-0000-00000F150000}"/>
    <cellStyle name="Currency 3 2 2 5 3 3 4" xfId="21192" xr:uid="{00000000-0005-0000-0000-000010150000}"/>
    <cellStyle name="Currency 3 2 2 5 3 3 4 2" xfId="21193" xr:uid="{00000000-0005-0000-0000-000011150000}"/>
    <cellStyle name="Currency 3 2 2 5 3 3 5" xfId="21194" xr:uid="{00000000-0005-0000-0000-000012150000}"/>
    <cellStyle name="Currency 3 2 2 5 3 3 6" xfId="21195" xr:uid="{00000000-0005-0000-0000-000013150000}"/>
    <cellStyle name="Currency 3 2 2 5 3 4" xfId="21196" xr:uid="{00000000-0005-0000-0000-000014150000}"/>
    <cellStyle name="Currency 3 2 2 5 3 4 2" xfId="21197" xr:uid="{00000000-0005-0000-0000-000015150000}"/>
    <cellStyle name="Currency 3 2 2 5 3 4 2 2" xfId="21198" xr:uid="{00000000-0005-0000-0000-000016150000}"/>
    <cellStyle name="Currency 3 2 2 5 3 4 3" xfId="21199" xr:uid="{00000000-0005-0000-0000-000017150000}"/>
    <cellStyle name="Currency 3 2 2 5 3 4 3 2" xfId="21200" xr:uid="{00000000-0005-0000-0000-000018150000}"/>
    <cellStyle name="Currency 3 2 2 5 3 4 4" xfId="21201" xr:uid="{00000000-0005-0000-0000-000019150000}"/>
    <cellStyle name="Currency 3 2 2 5 3 4 4 2" xfId="21202" xr:uid="{00000000-0005-0000-0000-00001A150000}"/>
    <cellStyle name="Currency 3 2 2 5 3 4 5" xfId="21203" xr:uid="{00000000-0005-0000-0000-00001B150000}"/>
    <cellStyle name="Currency 3 2 2 5 3 4 6" xfId="21204" xr:uid="{00000000-0005-0000-0000-00001C150000}"/>
    <cellStyle name="Currency 3 2 2 5 3 5" xfId="21205" xr:uid="{00000000-0005-0000-0000-00001D150000}"/>
    <cellStyle name="Currency 3 2 2 5 3 5 2" xfId="21206" xr:uid="{00000000-0005-0000-0000-00001E150000}"/>
    <cellStyle name="Currency 3 2 2 5 3 5 2 2" xfId="21207" xr:uid="{00000000-0005-0000-0000-00001F150000}"/>
    <cellStyle name="Currency 3 2 2 5 3 5 3" xfId="21208" xr:uid="{00000000-0005-0000-0000-000020150000}"/>
    <cellStyle name="Currency 3 2 2 5 3 5 3 2" xfId="21209" xr:uid="{00000000-0005-0000-0000-000021150000}"/>
    <cellStyle name="Currency 3 2 2 5 3 5 4" xfId="21210" xr:uid="{00000000-0005-0000-0000-000022150000}"/>
    <cellStyle name="Currency 3 2 2 5 3 5 5" xfId="21211" xr:uid="{00000000-0005-0000-0000-000023150000}"/>
    <cellStyle name="Currency 3 2 2 5 3 6" xfId="21212" xr:uid="{00000000-0005-0000-0000-000024150000}"/>
    <cellStyle name="Currency 3 2 2 5 3 6 2" xfId="21213" xr:uid="{00000000-0005-0000-0000-000025150000}"/>
    <cellStyle name="Currency 3 2 2 5 3 7" xfId="21214" xr:uid="{00000000-0005-0000-0000-000026150000}"/>
    <cellStyle name="Currency 3 2 2 5 3 7 2" xfId="21215" xr:uid="{00000000-0005-0000-0000-000027150000}"/>
    <cellStyle name="Currency 3 2 2 5 3 8" xfId="21216" xr:uid="{00000000-0005-0000-0000-000028150000}"/>
    <cellStyle name="Currency 3 2 2 5 3 8 2" xfId="21217" xr:uid="{00000000-0005-0000-0000-000029150000}"/>
    <cellStyle name="Currency 3 2 2 5 3 9" xfId="21218" xr:uid="{00000000-0005-0000-0000-00002A150000}"/>
    <cellStyle name="Currency 3 2 2 5 4" xfId="21219" xr:uid="{00000000-0005-0000-0000-00002B150000}"/>
    <cellStyle name="Currency 3 2 2 5 4 2" xfId="21220" xr:uid="{00000000-0005-0000-0000-00002C150000}"/>
    <cellStyle name="Currency 3 2 2 5 4 2 2" xfId="21221" xr:uid="{00000000-0005-0000-0000-00002D150000}"/>
    <cellStyle name="Currency 3 2 2 5 4 3" xfId="21222" xr:uid="{00000000-0005-0000-0000-00002E150000}"/>
    <cellStyle name="Currency 3 2 2 5 4 3 2" xfId="21223" xr:uid="{00000000-0005-0000-0000-00002F150000}"/>
    <cellStyle name="Currency 3 2 2 5 4 4" xfId="21224" xr:uid="{00000000-0005-0000-0000-000030150000}"/>
    <cellStyle name="Currency 3 2 2 5 4 4 2" xfId="21225" xr:uid="{00000000-0005-0000-0000-000031150000}"/>
    <cellStyle name="Currency 3 2 2 5 4 5" xfId="21226" xr:uid="{00000000-0005-0000-0000-000032150000}"/>
    <cellStyle name="Currency 3 2 2 5 4 6" xfId="21227" xr:uid="{00000000-0005-0000-0000-000033150000}"/>
    <cellStyle name="Currency 3 2 2 5 5" xfId="21228" xr:uid="{00000000-0005-0000-0000-000034150000}"/>
    <cellStyle name="Currency 3 2 2 5 5 2" xfId="21229" xr:uid="{00000000-0005-0000-0000-000035150000}"/>
    <cellStyle name="Currency 3 2 2 5 5 2 2" xfId="21230" xr:uid="{00000000-0005-0000-0000-000036150000}"/>
    <cellStyle name="Currency 3 2 2 5 5 3" xfId="21231" xr:uid="{00000000-0005-0000-0000-000037150000}"/>
    <cellStyle name="Currency 3 2 2 5 5 3 2" xfId="21232" xr:uid="{00000000-0005-0000-0000-000038150000}"/>
    <cellStyle name="Currency 3 2 2 5 5 4" xfId="21233" xr:uid="{00000000-0005-0000-0000-000039150000}"/>
    <cellStyle name="Currency 3 2 2 5 5 4 2" xfId="21234" xr:uid="{00000000-0005-0000-0000-00003A150000}"/>
    <cellStyle name="Currency 3 2 2 5 5 5" xfId="21235" xr:uid="{00000000-0005-0000-0000-00003B150000}"/>
    <cellStyle name="Currency 3 2 2 5 5 6" xfId="21236" xr:uid="{00000000-0005-0000-0000-00003C150000}"/>
    <cellStyle name="Currency 3 2 2 5 6" xfId="21237" xr:uid="{00000000-0005-0000-0000-00003D150000}"/>
    <cellStyle name="Currency 3 2 2 5 6 2" xfId="21238" xr:uid="{00000000-0005-0000-0000-00003E150000}"/>
    <cellStyle name="Currency 3 2 2 5 6 2 2" xfId="21239" xr:uid="{00000000-0005-0000-0000-00003F150000}"/>
    <cellStyle name="Currency 3 2 2 5 6 3" xfId="21240" xr:uid="{00000000-0005-0000-0000-000040150000}"/>
    <cellStyle name="Currency 3 2 2 5 6 3 2" xfId="21241" xr:uid="{00000000-0005-0000-0000-000041150000}"/>
    <cellStyle name="Currency 3 2 2 5 6 4" xfId="21242" xr:uid="{00000000-0005-0000-0000-000042150000}"/>
    <cellStyle name="Currency 3 2 2 5 6 4 2" xfId="21243" xr:uid="{00000000-0005-0000-0000-000043150000}"/>
    <cellStyle name="Currency 3 2 2 5 6 5" xfId="21244" xr:uid="{00000000-0005-0000-0000-000044150000}"/>
    <cellStyle name="Currency 3 2 2 5 6 6" xfId="21245" xr:uid="{00000000-0005-0000-0000-000045150000}"/>
    <cellStyle name="Currency 3 2 2 5 7" xfId="21246" xr:uid="{00000000-0005-0000-0000-000046150000}"/>
    <cellStyle name="Currency 3 2 2 5 7 2" xfId="21247" xr:uid="{00000000-0005-0000-0000-000047150000}"/>
    <cellStyle name="Currency 3 2 2 5 7 2 2" xfId="21248" xr:uid="{00000000-0005-0000-0000-000048150000}"/>
    <cellStyle name="Currency 3 2 2 5 7 3" xfId="21249" xr:uid="{00000000-0005-0000-0000-000049150000}"/>
    <cellStyle name="Currency 3 2 2 5 7 3 2" xfId="21250" xr:uid="{00000000-0005-0000-0000-00004A150000}"/>
    <cellStyle name="Currency 3 2 2 5 7 4" xfId="21251" xr:uid="{00000000-0005-0000-0000-00004B150000}"/>
    <cellStyle name="Currency 3 2 2 5 7 5" xfId="21252" xr:uid="{00000000-0005-0000-0000-00004C150000}"/>
    <cellStyle name="Currency 3 2 2 5 8" xfId="21253" xr:uid="{00000000-0005-0000-0000-00004D150000}"/>
    <cellStyle name="Currency 3 2 2 5 8 2" xfId="21254" xr:uid="{00000000-0005-0000-0000-00004E150000}"/>
    <cellStyle name="Currency 3 2 2 5 9" xfId="21255" xr:uid="{00000000-0005-0000-0000-00004F150000}"/>
    <cellStyle name="Currency 3 2 2 5 9 2" xfId="21256" xr:uid="{00000000-0005-0000-0000-000050150000}"/>
    <cellStyle name="Currency 3 2 2 6" xfId="21257" xr:uid="{00000000-0005-0000-0000-000051150000}"/>
    <cellStyle name="Currency 3 2 2 6 10" xfId="21258" xr:uid="{00000000-0005-0000-0000-000052150000}"/>
    <cellStyle name="Currency 3 2 2 6 11" xfId="21259" xr:uid="{00000000-0005-0000-0000-000053150000}"/>
    <cellStyle name="Currency 3 2 2 6 2" xfId="21260" xr:uid="{00000000-0005-0000-0000-000054150000}"/>
    <cellStyle name="Currency 3 2 2 6 2 2" xfId="21261" xr:uid="{00000000-0005-0000-0000-000055150000}"/>
    <cellStyle name="Currency 3 2 2 6 2 2 2" xfId="21262" xr:uid="{00000000-0005-0000-0000-000056150000}"/>
    <cellStyle name="Currency 3 2 2 6 2 3" xfId="21263" xr:uid="{00000000-0005-0000-0000-000057150000}"/>
    <cellStyle name="Currency 3 2 2 6 2 3 2" xfId="21264" xr:uid="{00000000-0005-0000-0000-000058150000}"/>
    <cellStyle name="Currency 3 2 2 6 2 4" xfId="21265" xr:uid="{00000000-0005-0000-0000-000059150000}"/>
    <cellStyle name="Currency 3 2 2 6 2 4 2" xfId="21266" xr:uid="{00000000-0005-0000-0000-00005A150000}"/>
    <cellStyle name="Currency 3 2 2 6 2 5" xfId="21267" xr:uid="{00000000-0005-0000-0000-00005B150000}"/>
    <cellStyle name="Currency 3 2 2 6 2 6" xfId="21268" xr:uid="{00000000-0005-0000-0000-00005C150000}"/>
    <cellStyle name="Currency 3 2 2 6 3" xfId="21269" xr:uid="{00000000-0005-0000-0000-00005D150000}"/>
    <cellStyle name="Currency 3 2 2 6 3 2" xfId="21270" xr:uid="{00000000-0005-0000-0000-00005E150000}"/>
    <cellStyle name="Currency 3 2 2 6 3 2 2" xfId="21271" xr:uid="{00000000-0005-0000-0000-00005F150000}"/>
    <cellStyle name="Currency 3 2 2 6 3 3" xfId="21272" xr:uid="{00000000-0005-0000-0000-000060150000}"/>
    <cellStyle name="Currency 3 2 2 6 3 3 2" xfId="21273" xr:uid="{00000000-0005-0000-0000-000061150000}"/>
    <cellStyle name="Currency 3 2 2 6 3 4" xfId="21274" xr:uid="{00000000-0005-0000-0000-000062150000}"/>
    <cellStyle name="Currency 3 2 2 6 3 4 2" xfId="21275" xr:uid="{00000000-0005-0000-0000-000063150000}"/>
    <cellStyle name="Currency 3 2 2 6 3 5" xfId="21276" xr:uid="{00000000-0005-0000-0000-000064150000}"/>
    <cellStyle name="Currency 3 2 2 6 3 6" xfId="21277" xr:uid="{00000000-0005-0000-0000-000065150000}"/>
    <cellStyle name="Currency 3 2 2 6 4" xfId="21278" xr:uid="{00000000-0005-0000-0000-000066150000}"/>
    <cellStyle name="Currency 3 2 2 6 4 2" xfId="21279" xr:uid="{00000000-0005-0000-0000-000067150000}"/>
    <cellStyle name="Currency 3 2 2 6 4 2 2" xfId="21280" xr:uid="{00000000-0005-0000-0000-000068150000}"/>
    <cellStyle name="Currency 3 2 2 6 4 3" xfId="21281" xr:uid="{00000000-0005-0000-0000-000069150000}"/>
    <cellStyle name="Currency 3 2 2 6 4 3 2" xfId="21282" xr:uid="{00000000-0005-0000-0000-00006A150000}"/>
    <cellStyle name="Currency 3 2 2 6 4 4" xfId="21283" xr:uid="{00000000-0005-0000-0000-00006B150000}"/>
    <cellStyle name="Currency 3 2 2 6 4 4 2" xfId="21284" xr:uid="{00000000-0005-0000-0000-00006C150000}"/>
    <cellStyle name="Currency 3 2 2 6 4 5" xfId="21285" xr:uid="{00000000-0005-0000-0000-00006D150000}"/>
    <cellStyle name="Currency 3 2 2 6 4 6" xfId="21286" xr:uid="{00000000-0005-0000-0000-00006E150000}"/>
    <cellStyle name="Currency 3 2 2 6 5" xfId="21287" xr:uid="{00000000-0005-0000-0000-00006F150000}"/>
    <cellStyle name="Currency 3 2 2 6 5 2" xfId="21288" xr:uid="{00000000-0005-0000-0000-000070150000}"/>
    <cellStyle name="Currency 3 2 2 6 5 2 2" xfId="21289" xr:uid="{00000000-0005-0000-0000-000071150000}"/>
    <cellStyle name="Currency 3 2 2 6 5 3" xfId="21290" xr:uid="{00000000-0005-0000-0000-000072150000}"/>
    <cellStyle name="Currency 3 2 2 6 5 3 2" xfId="21291" xr:uid="{00000000-0005-0000-0000-000073150000}"/>
    <cellStyle name="Currency 3 2 2 6 5 4" xfId="21292" xr:uid="{00000000-0005-0000-0000-000074150000}"/>
    <cellStyle name="Currency 3 2 2 6 5 4 2" xfId="21293" xr:uid="{00000000-0005-0000-0000-000075150000}"/>
    <cellStyle name="Currency 3 2 2 6 5 5" xfId="21294" xr:uid="{00000000-0005-0000-0000-000076150000}"/>
    <cellStyle name="Currency 3 2 2 6 5 6" xfId="21295" xr:uid="{00000000-0005-0000-0000-000077150000}"/>
    <cellStyle name="Currency 3 2 2 6 6" xfId="21296" xr:uid="{00000000-0005-0000-0000-000078150000}"/>
    <cellStyle name="Currency 3 2 2 6 6 2" xfId="21297" xr:uid="{00000000-0005-0000-0000-000079150000}"/>
    <cellStyle name="Currency 3 2 2 6 6 2 2" xfId="21298" xr:uid="{00000000-0005-0000-0000-00007A150000}"/>
    <cellStyle name="Currency 3 2 2 6 6 3" xfId="21299" xr:uid="{00000000-0005-0000-0000-00007B150000}"/>
    <cellStyle name="Currency 3 2 2 6 6 3 2" xfId="21300" xr:uid="{00000000-0005-0000-0000-00007C150000}"/>
    <cellStyle name="Currency 3 2 2 6 6 4" xfId="21301" xr:uid="{00000000-0005-0000-0000-00007D150000}"/>
    <cellStyle name="Currency 3 2 2 6 6 5" xfId="21302" xr:uid="{00000000-0005-0000-0000-00007E150000}"/>
    <cellStyle name="Currency 3 2 2 6 7" xfId="21303" xr:uid="{00000000-0005-0000-0000-00007F150000}"/>
    <cellStyle name="Currency 3 2 2 6 7 2" xfId="21304" xr:uid="{00000000-0005-0000-0000-000080150000}"/>
    <cellStyle name="Currency 3 2 2 6 8" xfId="21305" xr:uid="{00000000-0005-0000-0000-000081150000}"/>
    <cellStyle name="Currency 3 2 2 6 8 2" xfId="21306" xr:uid="{00000000-0005-0000-0000-000082150000}"/>
    <cellStyle name="Currency 3 2 2 6 9" xfId="21307" xr:uid="{00000000-0005-0000-0000-000083150000}"/>
    <cellStyle name="Currency 3 2 2 6 9 2" xfId="21308" xr:uid="{00000000-0005-0000-0000-000084150000}"/>
    <cellStyle name="Currency 3 2 2 7" xfId="21309" xr:uid="{00000000-0005-0000-0000-000085150000}"/>
    <cellStyle name="Currency 3 2 2 7 10" xfId="21310" xr:uid="{00000000-0005-0000-0000-000086150000}"/>
    <cellStyle name="Currency 3 2 2 7 2" xfId="21311" xr:uid="{00000000-0005-0000-0000-000087150000}"/>
    <cellStyle name="Currency 3 2 2 7 2 2" xfId="21312" xr:uid="{00000000-0005-0000-0000-000088150000}"/>
    <cellStyle name="Currency 3 2 2 7 2 2 2" xfId="21313" xr:uid="{00000000-0005-0000-0000-000089150000}"/>
    <cellStyle name="Currency 3 2 2 7 2 3" xfId="21314" xr:uid="{00000000-0005-0000-0000-00008A150000}"/>
    <cellStyle name="Currency 3 2 2 7 2 3 2" xfId="21315" xr:uid="{00000000-0005-0000-0000-00008B150000}"/>
    <cellStyle name="Currency 3 2 2 7 2 4" xfId="21316" xr:uid="{00000000-0005-0000-0000-00008C150000}"/>
    <cellStyle name="Currency 3 2 2 7 2 4 2" xfId="21317" xr:uid="{00000000-0005-0000-0000-00008D150000}"/>
    <cellStyle name="Currency 3 2 2 7 2 5" xfId="21318" xr:uid="{00000000-0005-0000-0000-00008E150000}"/>
    <cellStyle name="Currency 3 2 2 7 2 6" xfId="21319" xr:uid="{00000000-0005-0000-0000-00008F150000}"/>
    <cellStyle name="Currency 3 2 2 7 3" xfId="21320" xr:uid="{00000000-0005-0000-0000-000090150000}"/>
    <cellStyle name="Currency 3 2 2 7 3 2" xfId="21321" xr:uid="{00000000-0005-0000-0000-000091150000}"/>
    <cellStyle name="Currency 3 2 2 7 3 2 2" xfId="21322" xr:uid="{00000000-0005-0000-0000-000092150000}"/>
    <cellStyle name="Currency 3 2 2 7 3 3" xfId="21323" xr:uid="{00000000-0005-0000-0000-000093150000}"/>
    <cellStyle name="Currency 3 2 2 7 3 3 2" xfId="21324" xr:uid="{00000000-0005-0000-0000-000094150000}"/>
    <cellStyle name="Currency 3 2 2 7 3 4" xfId="21325" xr:uid="{00000000-0005-0000-0000-000095150000}"/>
    <cellStyle name="Currency 3 2 2 7 3 4 2" xfId="21326" xr:uid="{00000000-0005-0000-0000-000096150000}"/>
    <cellStyle name="Currency 3 2 2 7 3 5" xfId="21327" xr:uid="{00000000-0005-0000-0000-000097150000}"/>
    <cellStyle name="Currency 3 2 2 7 3 6" xfId="21328" xr:uid="{00000000-0005-0000-0000-000098150000}"/>
    <cellStyle name="Currency 3 2 2 7 4" xfId="21329" xr:uid="{00000000-0005-0000-0000-000099150000}"/>
    <cellStyle name="Currency 3 2 2 7 4 2" xfId="21330" xr:uid="{00000000-0005-0000-0000-00009A150000}"/>
    <cellStyle name="Currency 3 2 2 7 4 2 2" xfId="21331" xr:uid="{00000000-0005-0000-0000-00009B150000}"/>
    <cellStyle name="Currency 3 2 2 7 4 3" xfId="21332" xr:uid="{00000000-0005-0000-0000-00009C150000}"/>
    <cellStyle name="Currency 3 2 2 7 4 3 2" xfId="21333" xr:uid="{00000000-0005-0000-0000-00009D150000}"/>
    <cellStyle name="Currency 3 2 2 7 4 4" xfId="21334" xr:uid="{00000000-0005-0000-0000-00009E150000}"/>
    <cellStyle name="Currency 3 2 2 7 4 4 2" xfId="21335" xr:uid="{00000000-0005-0000-0000-00009F150000}"/>
    <cellStyle name="Currency 3 2 2 7 4 5" xfId="21336" xr:uid="{00000000-0005-0000-0000-0000A0150000}"/>
    <cellStyle name="Currency 3 2 2 7 4 6" xfId="21337" xr:uid="{00000000-0005-0000-0000-0000A1150000}"/>
    <cellStyle name="Currency 3 2 2 7 5" xfId="21338" xr:uid="{00000000-0005-0000-0000-0000A2150000}"/>
    <cellStyle name="Currency 3 2 2 7 5 2" xfId="21339" xr:uid="{00000000-0005-0000-0000-0000A3150000}"/>
    <cellStyle name="Currency 3 2 2 7 5 2 2" xfId="21340" xr:uid="{00000000-0005-0000-0000-0000A4150000}"/>
    <cellStyle name="Currency 3 2 2 7 5 3" xfId="21341" xr:uid="{00000000-0005-0000-0000-0000A5150000}"/>
    <cellStyle name="Currency 3 2 2 7 5 3 2" xfId="21342" xr:uid="{00000000-0005-0000-0000-0000A6150000}"/>
    <cellStyle name="Currency 3 2 2 7 5 4" xfId="21343" xr:uid="{00000000-0005-0000-0000-0000A7150000}"/>
    <cellStyle name="Currency 3 2 2 7 5 5" xfId="21344" xr:uid="{00000000-0005-0000-0000-0000A8150000}"/>
    <cellStyle name="Currency 3 2 2 7 6" xfId="21345" xr:uid="{00000000-0005-0000-0000-0000A9150000}"/>
    <cellStyle name="Currency 3 2 2 7 6 2" xfId="21346" xr:uid="{00000000-0005-0000-0000-0000AA150000}"/>
    <cellStyle name="Currency 3 2 2 7 7" xfId="21347" xr:uid="{00000000-0005-0000-0000-0000AB150000}"/>
    <cellStyle name="Currency 3 2 2 7 7 2" xfId="21348" xr:uid="{00000000-0005-0000-0000-0000AC150000}"/>
    <cellStyle name="Currency 3 2 2 7 8" xfId="21349" xr:uid="{00000000-0005-0000-0000-0000AD150000}"/>
    <cellStyle name="Currency 3 2 2 7 8 2" xfId="21350" xr:uid="{00000000-0005-0000-0000-0000AE150000}"/>
    <cellStyle name="Currency 3 2 2 7 9" xfId="21351" xr:uid="{00000000-0005-0000-0000-0000AF150000}"/>
    <cellStyle name="Currency 3 2 2 8" xfId="21352" xr:uid="{00000000-0005-0000-0000-0000B0150000}"/>
    <cellStyle name="Currency 3 2 2 8 10" xfId="21353" xr:uid="{00000000-0005-0000-0000-0000B1150000}"/>
    <cellStyle name="Currency 3 2 2 8 2" xfId="21354" xr:uid="{00000000-0005-0000-0000-0000B2150000}"/>
    <cellStyle name="Currency 3 2 2 8 2 2" xfId="21355" xr:uid="{00000000-0005-0000-0000-0000B3150000}"/>
    <cellStyle name="Currency 3 2 2 8 2 2 2" xfId="21356" xr:uid="{00000000-0005-0000-0000-0000B4150000}"/>
    <cellStyle name="Currency 3 2 2 8 2 3" xfId="21357" xr:uid="{00000000-0005-0000-0000-0000B5150000}"/>
    <cellStyle name="Currency 3 2 2 8 2 3 2" xfId="21358" xr:uid="{00000000-0005-0000-0000-0000B6150000}"/>
    <cellStyle name="Currency 3 2 2 8 2 4" xfId="21359" xr:uid="{00000000-0005-0000-0000-0000B7150000}"/>
    <cellStyle name="Currency 3 2 2 8 2 4 2" xfId="21360" xr:uid="{00000000-0005-0000-0000-0000B8150000}"/>
    <cellStyle name="Currency 3 2 2 8 2 5" xfId="21361" xr:uid="{00000000-0005-0000-0000-0000B9150000}"/>
    <cellStyle name="Currency 3 2 2 8 2 6" xfId="21362" xr:uid="{00000000-0005-0000-0000-0000BA150000}"/>
    <cellStyle name="Currency 3 2 2 8 3" xfId="21363" xr:uid="{00000000-0005-0000-0000-0000BB150000}"/>
    <cellStyle name="Currency 3 2 2 8 3 2" xfId="21364" xr:uid="{00000000-0005-0000-0000-0000BC150000}"/>
    <cellStyle name="Currency 3 2 2 8 3 2 2" xfId="21365" xr:uid="{00000000-0005-0000-0000-0000BD150000}"/>
    <cellStyle name="Currency 3 2 2 8 3 3" xfId="21366" xr:uid="{00000000-0005-0000-0000-0000BE150000}"/>
    <cellStyle name="Currency 3 2 2 8 3 3 2" xfId="21367" xr:uid="{00000000-0005-0000-0000-0000BF150000}"/>
    <cellStyle name="Currency 3 2 2 8 3 4" xfId="21368" xr:uid="{00000000-0005-0000-0000-0000C0150000}"/>
    <cellStyle name="Currency 3 2 2 8 3 4 2" xfId="21369" xr:uid="{00000000-0005-0000-0000-0000C1150000}"/>
    <cellStyle name="Currency 3 2 2 8 3 5" xfId="21370" xr:uid="{00000000-0005-0000-0000-0000C2150000}"/>
    <cellStyle name="Currency 3 2 2 8 3 6" xfId="21371" xr:uid="{00000000-0005-0000-0000-0000C3150000}"/>
    <cellStyle name="Currency 3 2 2 8 4" xfId="21372" xr:uid="{00000000-0005-0000-0000-0000C4150000}"/>
    <cellStyle name="Currency 3 2 2 8 4 2" xfId="21373" xr:uid="{00000000-0005-0000-0000-0000C5150000}"/>
    <cellStyle name="Currency 3 2 2 8 4 2 2" xfId="21374" xr:uid="{00000000-0005-0000-0000-0000C6150000}"/>
    <cellStyle name="Currency 3 2 2 8 4 3" xfId="21375" xr:uid="{00000000-0005-0000-0000-0000C7150000}"/>
    <cellStyle name="Currency 3 2 2 8 4 3 2" xfId="21376" xr:uid="{00000000-0005-0000-0000-0000C8150000}"/>
    <cellStyle name="Currency 3 2 2 8 4 4" xfId="21377" xr:uid="{00000000-0005-0000-0000-0000C9150000}"/>
    <cellStyle name="Currency 3 2 2 8 4 4 2" xfId="21378" xr:uid="{00000000-0005-0000-0000-0000CA150000}"/>
    <cellStyle name="Currency 3 2 2 8 4 5" xfId="21379" xr:uid="{00000000-0005-0000-0000-0000CB150000}"/>
    <cellStyle name="Currency 3 2 2 8 4 6" xfId="21380" xr:uid="{00000000-0005-0000-0000-0000CC150000}"/>
    <cellStyle name="Currency 3 2 2 8 5" xfId="21381" xr:uid="{00000000-0005-0000-0000-0000CD150000}"/>
    <cellStyle name="Currency 3 2 2 8 5 2" xfId="21382" xr:uid="{00000000-0005-0000-0000-0000CE150000}"/>
    <cellStyle name="Currency 3 2 2 8 5 2 2" xfId="21383" xr:uid="{00000000-0005-0000-0000-0000CF150000}"/>
    <cellStyle name="Currency 3 2 2 8 5 3" xfId="21384" xr:uid="{00000000-0005-0000-0000-0000D0150000}"/>
    <cellStyle name="Currency 3 2 2 8 5 3 2" xfId="21385" xr:uid="{00000000-0005-0000-0000-0000D1150000}"/>
    <cellStyle name="Currency 3 2 2 8 5 4" xfId="21386" xr:uid="{00000000-0005-0000-0000-0000D2150000}"/>
    <cellStyle name="Currency 3 2 2 8 5 5" xfId="21387" xr:uid="{00000000-0005-0000-0000-0000D3150000}"/>
    <cellStyle name="Currency 3 2 2 8 6" xfId="21388" xr:uid="{00000000-0005-0000-0000-0000D4150000}"/>
    <cellStyle name="Currency 3 2 2 8 6 2" xfId="21389" xr:uid="{00000000-0005-0000-0000-0000D5150000}"/>
    <cellStyle name="Currency 3 2 2 8 7" xfId="21390" xr:uid="{00000000-0005-0000-0000-0000D6150000}"/>
    <cellStyle name="Currency 3 2 2 8 7 2" xfId="21391" xr:uid="{00000000-0005-0000-0000-0000D7150000}"/>
    <cellStyle name="Currency 3 2 2 8 8" xfId="21392" xr:uid="{00000000-0005-0000-0000-0000D8150000}"/>
    <cellStyle name="Currency 3 2 2 8 8 2" xfId="21393" xr:uid="{00000000-0005-0000-0000-0000D9150000}"/>
    <cellStyle name="Currency 3 2 2 8 9" xfId="21394" xr:uid="{00000000-0005-0000-0000-0000DA150000}"/>
    <cellStyle name="Currency 3 2 2 9" xfId="21395" xr:uid="{00000000-0005-0000-0000-0000DB150000}"/>
    <cellStyle name="Currency 3 2 2 9 2" xfId="21396" xr:uid="{00000000-0005-0000-0000-0000DC150000}"/>
    <cellStyle name="Currency 3 2 2 9 2 2" xfId="21397" xr:uid="{00000000-0005-0000-0000-0000DD150000}"/>
    <cellStyle name="Currency 3 2 2 9 3" xfId="21398" xr:uid="{00000000-0005-0000-0000-0000DE150000}"/>
    <cellStyle name="Currency 3 2 2 9 3 2" xfId="21399" xr:uid="{00000000-0005-0000-0000-0000DF150000}"/>
    <cellStyle name="Currency 3 2 2 9 4" xfId="21400" xr:uid="{00000000-0005-0000-0000-0000E0150000}"/>
    <cellStyle name="Currency 3 2 2 9 4 2" xfId="21401" xr:uid="{00000000-0005-0000-0000-0000E1150000}"/>
    <cellStyle name="Currency 3 2 2 9 5" xfId="21402" xr:uid="{00000000-0005-0000-0000-0000E2150000}"/>
    <cellStyle name="Currency 3 2 2 9 6" xfId="21403" xr:uid="{00000000-0005-0000-0000-0000E3150000}"/>
    <cellStyle name="Currency 3 2 3" xfId="21404" xr:uid="{00000000-0005-0000-0000-0000E4150000}"/>
    <cellStyle name="Currency 3 2 3 10" xfId="21405" xr:uid="{00000000-0005-0000-0000-0000E5150000}"/>
    <cellStyle name="Currency 3 2 3 10 2" xfId="21406" xr:uid="{00000000-0005-0000-0000-0000E6150000}"/>
    <cellStyle name="Currency 3 2 3 11" xfId="21407" xr:uid="{00000000-0005-0000-0000-0000E7150000}"/>
    <cellStyle name="Currency 3 2 3 11 2" xfId="21408" xr:uid="{00000000-0005-0000-0000-0000E8150000}"/>
    <cellStyle name="Currency 3 2 3 12" xfId="21409" xr:uid="{00000000-0005-0000-0000-0000E9150000}"/>
    <cellStyle name="Currency 3 2 3 13" xfId="21410" xr:uid="{00000000-0005-0000-0000-0000EA150000}"/>
    <cellStyle name="Currency 3 2 3 2" xfId="21411" xr:uid="{00000000-0005-0000-0000-0000EB150000}"/>
    <cellStyle name="Currency 3 2 3 2 10" xfId="21412" xr:uid="{00000000-0005-0000-0000-0000EC150000}"/>
    <cellStyle name="Currency 3 2 3 2 11" xfId="21413" xr:uid="{00000000-0005-0000-0000-0000ED150000}"/>
    <cellStyle name="Currency 3 2 3 2 2" xfId="21414" xr:uid="{00000000-0005-0000-0000-0000EE150000}"/>
    <cellStyle name="Currency 3 2 3 2 2 2" xfId="21415" xr:uid="{00000000-0005-0000-0000-0000EF150000}"/>
    <cellStyle name="Currency 3 2 3 2 2 2 2" xfId="21416" xr:uid="{00000000-0005-0000-0000-0000F0150000}"/>
    <cellStyle name="Currency 3 2 3 2 2 3" xfId="21417" xr:uid="{00000000-0005-0000-0000-0000F1150000}"/>
    <cellStyle name="Currency 3 2 3 2 2 3 2" xfId="21418" xr:uid="{00000000-0005-0000-0000-0000F2150000}"/>
    <cellStyle name="Currency 3 2 3 2 2 4" xfId="21419" xr:uid="{00000000-0005-0000-0000-0000F3150000}"/>
    <cellStyle name="Currency 3 2 3 2 2 4 2" xfId="21420" xr:uid="{00000000-0005-0000-0000-0000F4150000}"/>
    <cellStyle name="Currency 3 2 3 2 2 5" xfId="21421" xr:uid="{00000000-0005-0000-0000-0000F5150000}"/>
    <cellStyle name="Currency 3 2 3 2 2 6" xfId="21422" xr:uid="{00000000-0005-0000-0000-0000F6150000}"/>
    <cellStyle name="Currency 3 2 3 2 3" xfId="21423" xr:uid="{00000000-0005-0000-0000-0000F7150000}"/>
    <cellStyle name="Currency 3 2 3 2 3 2" xfId="21424" xr:uid="{00000000-0005-0000-0000-0000F8150000}"/>
    <cellStyle name="Currency 3 2 3 2 3 2 2" xfId="21425" xr:uid="{00000000-0005-0000-0000-0000F9150000}"/>
    <cellStyle name="Currency 3 2 3 2 3 3" xfId="21426" xr:uid="{00000000-0005-0000-0000-0000FA150000}"/>
    <cellStyle name="Currency 3 2 3 2 3 3 2" xfId="21427" xr:uid="{00000000-0005-0000-0000-0000FB150000}"/>
    <cellStyle name="Currency 3 2 3 2 3 4" xfId="21428" xr:uid="{00000000-0005-0000-0000-0000FC150000}"/>
    <cellStyle name="Currency 3 2 3 2 3 4 2" xfId="21429" xr:uid="{00000000-0005-0000-0000-0000FD150000}"/>
    <cellStyle name="Currency 3 2 3 2 3 5" xfId="21430" xr:uid="{00000000-0005-0000-0000-0000FE150000}"/>
    <cellStyle name="Currency 3 2 3 2 3 6" xfId="21431" xr:uid="{00000000-0005-0000-0000-0000FF150000}"/>
    <cellStyle name="Currency 3 2 3 2 4" xfId="21432" xr:uid="{00000000-0005-0000-0000-000000160000}"/>
    <cellStyle name="Currency 3 2 3 2 4 2" xfId="21433" xr:uid="{00000000-0005-0000-0000-000001160000}"/>
    <cellStyle name="Currency 3 2 3 2 4 2 2" xfId="21434" xr:uid="{00000000-0005-0000-0000-000002160000}"/>
    <cellStyle name="Currency 3 2 3 2 4 3" xfId="21435" xr:uid="{00000000-0005-0000-0000-000003160000}"/>
    <cellStyle name="Currency 3 2 3 2 4 3 2" xfId="21436" xr:uid="{00000000-0005-0000-0000-000004160000}"/>
    <cellStyle name="Currency 3 2 3 2 4 4" xfId="21437" xr:uid="{00000000-0005-0000-0000-000005160000}"/>
    <cellStyle name="Currency 3 2 3 2 4 4 2" xfId="21438" xr:uid="{00000000-0005-0000-0000-000006160000}"/>
    <cellStyle name="Currency 3 2 3 2 4 5" xfId="21439" xr:uid="{00000000-0005-0000-0000-000007160000}"/>
    <cellStyle name="Currency 3 2 3 2 4 6" xfId="21440" xr:uid="{00000000-0005-0000-0000-000008160000}"/>
    <cellStyle name="Currency 3 2 3 2 5" xfId="21441" xr:uid="{00000000-0005-0000-0000-000009160000}"/>
    <cellStyle name="Currency 3 2 3 2 5 2" xfId="21442" xr:uid="{00000000-0005-0000-0000-00000A160000}"/>
    <cellStyle name="Currency 3 2 3 2 5 2 2" xfId="21443" xr:uid="{00000000-0005-0000-0000-00000B160000}"/>
    <cellStyle name="Currency 3 2 3 2 5 3" xfId="21444" xr:uid="{00000000-0005-0000-0000-00000C160000}"/>
    <cellStyle name="Currency 3 2 3 2 5 3 2" xfId="21445" xr:uid="{00000000-0005-0000-0000-00000D160000}"/>
    <cellStyle name="Currency 3 2 3 2 5 4" xfId="21446" xr:uid="{00000000-0005-0000-0000-00000E160000}"/>
    <cellStyle name="Currency 3 2 3 2 5 4 2" xfId="21447" xr:uid="{00000000-0005-0000-0000-00000F160000}"/>
    <cellStyle name="Currency 3 2 3 2 5 5" xfId="21448" xr:uid="{00000000-0005-0000-0000-000010160000}"/>
    <cellStyle name="Currency 3 2 3 2 5 6" xfId="21449" xr:uid="{00000000-0005-0000-0000-000011160000}"/>
    <cellStyle name="Currency 3 2 3 2 6" xfId="21450" xr:uid="{00000000-0005-0000-0000-000012160000}"/>
    <cellStyle name="Currency 3 2 3 2 6 2" xfId="21451" xr:uid="{00000000-0005-0000-0000-000013160000}"/>
    <cellStyle name="Currency 3 2 3 2 6 2 2" xfId="21452" xr:uid="{00000000-0005-0000-0000-000014160000}"/>
    <cellStyle name="Currency 3 2 3 2 6 3" xfId="21453" xr:uid="{00000000-0005-0000-0000-000015160000}"/>
    <cellStyle name="Currency 3 2 3 2 6 3 2" xfId="21454" xr:uid="{00000000-0005-0000-0000-000016160000}"/>
    <cellStyle name="Currency 3 2 3 2 6 4" xfId="21455" xr:uid="{00000000-0005-0000-0000-000017160000}"/>
    <cellStyle name="Currency 3 2 3 2 6 5" xfId="21456" xr:uid="{00000000-0005-0000-0000-000018160000}"/>
    <cellStyle name="Currency 3 2 3 2 7" xfId="21457" xr:uid="{00000000-0005-0000-0000-000019160000}"/>
    <cellStyle name="Currency 3 2 3 2 7 2" xfId="21458" xr:uid="{00000000-0005-0000-0000-00001A160000}"/>
    <cellStyle name="Currency 3 2 3 2 8" xfId="21459" xr:uid="{00000000-0005-0000-0000-00001B160000}"/>
    <cellStyle name="Currency 3 2 3 2 8 2" xfId="21460" xr:uid="{00000000-0005-0000-0000-00001C160000}"/>
    <cellStyle name="Currency 3 2 3 2 9" xfId="21461" xr:uid="{00000000-0005-0000-0000-00001D160000}"/>
    <cellStyle name="Currency 3 2 3 2 9 2" xfId="21462" xr:uid="{00000000-0005-0000-0000-00001E160000}"/>
    <cellStyle name="Currency 3 2 3 3" xfId="21463" xr:uid="{00000000-0005-0000-0000-00001F160000}"/>
    <cellStyle name="Currency 3 2 3 3 10" xfId="21464" xr:uid="{00000000-0005-0000-0000-000020160000}"/>
    <cellStyle name="Currency 3 2 3 3 2" xfId="21465" xr:uid="{00000000-0005-0000-0000-000021160000}"/>
    <cellStyle name="Currency 3 2 3 3 2 2" xfId="21466" xr:uid="{00000000-0005-0000-0000-000022160000}"/>
    <cellStyle name="Currency 3 2 3 3 2 2 2" xfId="21467" xr:uid="{00000000-0005-0000-0000-000023160000}"/>
    <cellStyle name="Currency 3 2 3 3 2 3" xfId="21468" xr:uid="{00000000-0005-0000-0000-000024160000}"/>
    <cellStyle name="Currency 3 2 3 3 2 3 2" xfId="21469" xr:uid="{00000000-0005-0000-0000-000025160000}"/>
    <cellStyle name="Currency 3 2 3 3 2 4" xfId="21470" xr:uid="{00000000-0005-0000-0000-000026160000}"/>
    <cellStyle name="Currency 3 2 3 3 2 4 2" xfId="21471" xr:uid="{00000000-0005-0000-0000-000027160000}"/>
    <cellStyle name="Currency 3 2 3 3 2 5" xfId="21472" xr:uid="{00000000-0005-0000-0000-000028160000}"/>
    <cellStyle name="Currency 3 2 3 3 2 6" xfId="21473" xr:uid="{00000000-0005-0000-0000-000029160000}"/>
    <cellStyle name="Currency 3 2 3 3 3" xfId="21474" xr:uid="{00000000-0005-0000-0000-00002A160000}"/>
    <cellStyle name="Currency 3 2 3 3 3 2" xfId="21475" xr:uid="{00000000-0005-0000-0000-00002B160000}"/>
    <cellStyle name="Currency 3 2 3 3 3 2 2" xfId="21476" xr:uid="{00000000-0005-0000-0000-00002C160000}"/>
    <cellStyle name="Currency 3 2 3 3 3 3" xfId="21477" xr:uid="{00000000-0005-0000-0000-00002D160000}"/>
    <cellStyle name="Currency 3 2 3 3 3 3 2" xfId="21478" xr:uid="{00000000-0005-0000-0000-00002E160000}"/>
    <cellStyle name="Currency 3 2 3 3 3 4" xfId="21479" xr:uid="{00000000-0005-0000-0000-00002F160000}"/>
    <cellStyle name="Currency 3 2 3 3 3 4 2" xfId="21480" xr:uid="{00000000-0005-0000-0000-000030160000}"/>
    <cellStyle name="Currency 3 2 3 3 3 5" xfId="21481" xr:uid="{00000000-0005-0000-0000-000031160000}"/>
    <cellStyle name="Currency 3 2 3 3 3 6" xfId="21482" xr:uid="{00000000-0005-0000-0000-000032160000}"/>
    <cellStyle name="Currency 3 2 3 3 4" xfId="21483" xr:uid="{00000000-0005-0000-0000-000033160000}"/>
    <cellStyle name="Currency 3 2 3 3 4 2" xfId="21484" xr:uid="{00000000-0005-0000-0000-000034160000}"/>
    <cellStyle name="Currency 3 2 3 3 4 2 2" xfId="21485" xr:uid="{00000000-0005-0000-0000-000035160000}"/>
    <cellStyle name="Currency 3 2 3 3 4 3" xfId="21486" xr:uid="{00000000-0005-0000-0000-000036160000}"/>
    <cellStyle name="Currency 3 2 3 3 4 3 2" xfId="21487" xr:uid="{00000000-0005-0000-0000-000037160000}"/>
    <cellStyle name="Currency 3 2 3 3 4 4" xfId="21488" xr:uid="{00000000-0005-0000-0000-000038160000}"/>
    <cellStyle name="Currency 3 2 3 3 4 4 2" xfId="21489" xr:uid="{00000000-0005-0000-0000-000039160000}"/>
    <cellStyle name="Currency 3 2 3 3 4 5" xfId="21490" xr:uid="{00000000-0005-0000-0000-00003A160000}"/>
    <cellStyle name="Currency 3 2 3 3 4 6" xfId="21491" xr:uid="{00000000-0005-0000-0000-00003B160000}"/>
    <cellStyle name="Currency 3 2 3 3 5" xfId="21492" xr:uid="{00000000-0005-0000-0000-00003C160000}"/>
    <cellStyle name="Currency 3 2 3 3 5 2" xfId="21493" xr:uid="{00000000-0005-0000-0000-00003D160000}"/>
    <cellStyle name="Currency 3 2 3 3 5 2 2" xfId="21494" xr:uid="{00000000-0005-0000-0000-00003E160000}"/>
    <cellStyle name="Currency 3 2 3 3 5 3" xfId="21495" xr:uid="{00000000-0005-0000-0000-00003F160000}"/>
    <cellStyle name="Currency 3 2 3 3 5 3 2" xfId="21496" xr:uid="{00000000-0005-0000-0000-000040160000}"/>
    <cellStyle name="Currency 3 2 3 3 5 4" xfId="21497" xr:uid="{00000000-0005-0000-0000-000041160000}"/>
    <cellStyle name="Currency 3 2 3 3 5 5" xfId="21498" xr:uid="{00000000-0005-0000-0000-000042160000}"/>
    <cellStyle name="Currency 3 2 3 3 6" xfId="21499" xr:uid="{00000000-0005-0000-0000-000043160000}"/>
    <cellStyle name="Currency 3 2 3 3 6 2" xfId="21500" xr:uid="{00000000-0005-0000-0000-000044160000}"/>
    <cellStyle name="Currency 3 2 3 3 7" xfId="21501" xr:uid="{00000000-0005-0000-0000-000045160000}"/>
    <cellStyle name="Currency 3 2 3 3 7 2" xfId="21502" xr:uid="{00000000-0005-0000-0000-000046160000}"/>
    <cellStyle name="Currency 3 2 3 3 8" xfId="21503" xr:uid="{00000000-0005-0000-0000-000047160000}"/>
    <cellStyle name="Currency 3 2 3 3 8 2" xfId="21504" xr:uid="{00000000-0005-0000-0000-000048160000}"/>
    <cellStyle name="Currency 3 2 3 3 9" xfId="21505" xr:uid="{00000000-0005-0000-0000-000049160000}"/>
    <cellStyle name="Currency 3 2 3 4" xfId="21506" xr:uid="{00000000-0005-0000-0000-00004A160000}"/>
    <cellStyle name="Currency 3 2 3 4 10" xfId="21507" xr:uid="{00000000-0005-0000-0000-00004B160000}"/>
    <cellStyle name="Currency 3 2 3 4 2" xfId="21508" xr:uid="{00000000-0005-0000-0000-00004C160000}"/>
    <cellStyle name="Currency 3 2 3 4 2 2" xfId="21509" xr:uid="{00000000-0005-0000-0000-00004D160000}"/>
    <cellStyle name="Currency 3 2 3 4 2 2 2" xfId="21510" xr:uid="{00000000-0005-0000-0000-00004E160000}"/>
    <cellStyle name="Currency 3 2 3 4 2 3" xfId="21511" xr:uid="{00000000-0005-0000-0000-00004F160000}"/>
    <cellStyle name="Currency 3 2 3 4 2 3 2" xfId="21512" xr:uid="{00000000-0005-0000-0000-000050160000}"/>
    <cellStyle name="Currency 3 2 3 4 2 4" xfId="21513" xr:uid="{00000000-0005-0000-0000-000051160000}"/>
    <cellStyle name="Currency 3 2 3 4 2 4 2" xfId="21514" xr:uid="{00000000-0005-0000-0000-000052160000}"/>
    <cellStyle name="Currency 3 2 3 4 2 5" xfId="21515" xr:uid="{00000000-0005-0000-0000-000053160000}"/>
    <cellStyle name="Currency 3 2 3 4 2 6" xfId="21516" xr:uid="{00000000-0005-0000-0000-000054160000}"/>
    <cellStyle name="Currency 3 2 3 4 3" xfId="21517" xr:uid="{00000000-0005-0000-0000-000055160000}"/>
    <cellStyle name="Currency 3 2 3 4 3 2" xfId="21518" xr:uid="{00000000-0005-0000-0000-000056160000}"/>
    <cellStyle name="Currency 3 2 3 4 3 2 2" xfId="21519" xr:uid="{00000000-0005-0000-0000-000057160000}"/>
    <cellStyle name="Currency 3 2 3 4 3 3" xfId="21520" xr:uid="{00000000-0005-0000-0000-000058160000}"/>
    <cellStyle name="Currency 3 2 3 4 3 3 2" xfId="21521" xr:uid="{00000000-0005-0000-0000-000059160000}"/>
    <cellStyle name="Currency 3 2 3 4 3 4" xfId="21522" xr:uid="{00000000-0005-0000-0000-00005A160000}"/>
    <cellStyle name="Currency 3 2 3 4 3 4 2" xfId="21523" xr:uid="{00000000-0005-0000-0000-00005B160000}"/>
    <cellStyle name="Currency 3 2 3 4 3 5" xfId="21524" xr:uid="{00000000-0005-0000-0000-00005C160000}"/>
    <cellStyle name="Currency 3 2 3 4 3 6" xfId="21525" xr:uid="{00000000-0005-0000-0000-00005D160000}"/>
    <cellStyle name="Currency 3 2 3 4 4" xfId="21526" xr:uid="{00000000-0005-0000-0000-00005E160000}"/>
    <cellStyle name="Currency 3 2 3 4 4 2" xfId="21527" xr:uid="{00000000-0005-0000-0000-00005F160000}"/>
    <cellStyle name="Currency 3 2 3 4 4 2 2" xfId="21528" xr:uid="{00000000-0005-0000-0000-000060160000}"/>
    <cellStyle name="Currency 3 2 3 4 4 3" xfId="21529" xr:uid="{00000000-0005-0000-0000-000061160000}"/>
    <cellStyle name="Currency 3 2 3 4 4 3 2" xfId="21530" xr:uid="{00000000-0005-0000-0000-000062160000}"/>
    <cellStyle name="Currency 3 2 3 4 4 4" xfId="21531" xr:uid="{00000000-0005-0000-0000-000063160000}"/>
    <cellStyle name="Currency 3 2 3 4 4 4 2" xfId="21532" xr:uid="{00000000-0005-0000-0000-000064160000}"/>
    <cellStyle name="Currency 3 2 3 4 4 5" xfId="21533" xr:uid="{00000000-0005-0000-0000-000065160000}"/>
    <cellStyle name="Currency 3 2 3 4 4 6" xfId="21534" xr:uid="{00000000-0005-0000-0000-000066160000}"/>
    <cellStyle name="Currency 3 2 3 4 5" xfId="21535" xr:uid="{00000000-0005-0000-0000-000067160000}"/>
    <cellStyle name="Currency 3 2 3 4 5 2" xfId="21536" xr:uid="{00000000-0005-0000-0000-000068160000}"/>
    <cellStyle name="Currency 3 2 3 4 5 2 2" xfId="21537" xr:uid="{00000000-0005-0000-0000-000069160000}"/>
    <cellStyle name="Currency 3 2 3 4 5 3" xfId="21538" xr:uid="{00000000-0005-0000-0000-00006A160000}"/>
    <cellStyle name="Currency 3 2 3 4 5 3 2" xfId="21539" xr:uid="{00000000-0005-0000-0000-00006B160000}"/>
    <cellStyle name="Currency 3 2 3 4 5 4" xfId="21540" xr:uid="{00000000-0005-0000-0000-00006C160000}"/>
    <cellStyle name="Currency 3 2 3 4 5 5" xfId="21541" xr:uid="{00000000-0005-0000-0000-00006D160000}"/>
    <cellStyle name="Currency 3 2 3 4 6" xfId="21542" xr:uid="{00000000-0005-0000-0000-00006E160000}"/>
    <cellStyle name="Currency 3 2 3 4 6 2" xfId="21543" xr:uid="{00000000-0005-0000-0000-00006F160000}"/>
    <cellStyle name="Currency 3 2 3 4 7" xfId="21544" xr:uid="{00000000-0005-0000-0000-000070160000}"/>
    <cellStyle name="Currency 3 2 3 4 7 2" xfId="21545" xr:uid="{00000000-0005-0000-0000-000071160000}"/>
    <cellStyle name="Currency 3 2 3 4 8" xfId="21546" xr:uid="{00000000-0005-0000-0000-000072160000}"/>
    <cellStyle name="Currency 3 2 3 4 8 2" xfId="21547" xr:uid="{00000000-0005-0000-0000-000073160000}"/>
    <cellStyle name="Currency 3 2 3 4 9" xfId="21548" xr:uid="{00000000-0005-0000-0000-000074160000}"/>
    <cellStyle name="Currency 3 2 3 5" xfId="21549" xr:uid="{00000000-0005-0000-0000-000075160000}"/>
    <cellStyle name="Currency 3 2 3 5 2" xfId="21550" xr:uid="{00000000-0005-0000-0000-000076160000}"/>
    <cellStyle name="Currency 3 2 3 5 2 2" xfId="21551" xr:uid="{00000000-0005-0000-0000-000077160000}"/>
    <cellStyle name="Currency 3 2 3 5 3" xfId="21552" xr:uid="{00000000-0005-0000-0000-000078160000}"/>
    <cellStyle name="Currency 3 2 3 5 3 2" xfId="21553" xr:uid="{00000000-0005-0000-0000-000079160000}"/>
    <cellStyle name="Currency 3 2 3 5 4" xfId="21554" xr:uid="{00000000-0005-0000-0000-00007A160000}"/>
    <cellStyle name="Currency 3 2 3 5 4 2" xfId="21555" xr:uid="{00000000-0005-0000-0000-00007B160000}"/>
    <cellStyle name="Currency 3 2 3 5 5" xfId="21556" xr:uid="{00000000-0005-0000-0000-00007C160000}"/>
    <cellStyle name="Currency 3 2 3 5 6" xfId="21557" xr:uid="{00000000-0005-0000-0000-00007D160000}"/>
    <cellStyle name="Currency 3 2 3 6" xfId="21558" xr:uid="{00000000-0005-0000-0000-00007E160000}"/>
    <cellStyle name="Currency 3 2 3 6 2" xfId="21559" xr:uid="{00000000-0005-0000-0000-00007F160000}"/>
    <cellStyle name="Currency 3 2 3 6 2 2" xfId="21560" xr:uid="{00000000-0005-0000-0000-000080160000}"/>
    <cellStyle name="Currency 3 2 3 6 3" xfId="21561" xr:uid="{00000000-0005-0000-0000-000081160000}"/>
    <cellStyle name="Currency 3 2 3 6 3 2" xfId="21562" xr:uid="{00000000-0005-0000-0000-000082160000}"/>
    <cellStyle name="Currency 3 2 3 6 4" xfId="21563" xr:uid="{00000000-0005-0000-0000-000083160000}"/>
    <cellStyle name="Currency 3 2 3 6 4 2" xfId="21564" xr:uid="{00000000-0005-0000-0000-000084160000}"/>
    <cellStyle name="Currency 3 2 3 6 5" xfId="21565" xr:uid="{00000000-0005-0000-0000-000085160000}"/>
    <cellStyle name="Currency 3 2 3 6 6" xfId="21566" xr:uid="{00000000-0005-0000-0000-000086160000}"/>
    <cellStyle name="Currency 3 2 3 7" xfId="21567" xr:uid="{00000000-0005-0000-0000-000087160000}"/>
    <cellStyle name="Currency 3 2 3 7 2" xfId="21568" xr:uid="{00000000-0005-0000-0000-000088160000}"/>
    <cellStyle name="Currency 3 2 3 7 2 2" xfId="21569" xr:uid="{00000000-0005-0000-0000-000089160000}"/>
    <cellStyle name="Currency 3 2 3 7 3" xfId="21570" xr:uid="{00000000-0005-0000-0000-00008A160000}"/>
    <cellStyle name="Currency 3 2 3 7 3 2" xfId="21571" xr:uid="{00000000-0005-0000-0000-00008B160000}"/>
    <cellStyle name="Currency 3 2 3 7 4" xfId="21572" xr:uid="{00000000-0005-0000-0000-00008C160000}"/>
    <cellStyle name="Currency 3 2 3 7 4 2" xfId="21573" xr:uid="{00000000-0005-0000-0000-00008D160000}"/>
    <cellStyle name="Currency 3 2 3 7 5" xfId="21574" xr:uid="{00000000-0005-0000-0000-00008E160000}"/>
    <cellStyle name="Currency 3 2 3 7 6" xfId="21575" xr:uid="{00000000-0005-0000-0000-00008F160000}"/>
    <cellStyle name="Currency 3 2 3 8" xfId="21576" xr:uid="{00000000-0005-0000-0000-000090160000}"/>
    <cellStyle name="Currency 3 2 3 8 2" xfId="21577" xr:uid="{00000000-0005-0000-0000-000091160000}"/>
    <cellStyle name="Currency 3 2 3 8 2 2" xfId="21578" xr:uid="{00000000-0005-0000-0000-000092160000}"/>
    <cellStyle name="Currency 3 2 3 8 3" xfId="21579" xr:uid="{00000000-0005-0000-0000-000093160000}"/>
    <cellStyle name="Currency 3 2 3 8 3 2" xfId="21580" xr:uid="{00000000-0005-0000-0000-000094160000}"/>
    <cellStyle name="Currency 3 2 3 8 4" xfId="21581" xr:uid="{00000000-0005-0000-0000-000095160000}"/>
    <cellStyle name="Currency 3 2 3 8 5" xfId="21582" xr:uid="{00000000-0005-0000-0000-000096160000}"/>
    <cellStyle name="Currency 3 2 3 9" xfId="21583" xr:uid="{00000000-0005-0000-0000-000097160000}"/>
    <cellStyle name="Currency 3 2 3 9 2" xfId="21584" xr:uid="{00000000-0005-0000-0000-000098160000}"/>
    <cellStyle name="Currency 3 2 4" xfId="21585" xr:uid="{00000000-0005-0000-0000-000099160000}"/>
    <cellStyle name="Currency 3 2 4 10" xfId="21586" xr:uid="{00000000-0005-0000-0000-00009A160000}"/>
    <cellStyle name="Currency 3 2 4 10 2" xfId="21587" xr:uid="{00000000-0005-0000-0000-00009B160000}"/>
    <cellStyle name="Currency 3 2 4 11" xfId="21588" xr:uid="{00000000-0005-0000-0000-00009C160000}"/>
    <cellStyle name="Currency 3 2 4 11 2" xfId="21589" xr:uid="{00000000-0005-0000-0000-00009D160000}"/>
    <cellStyle name="Currency 3 2 4 12" xfId="21590" xr:uid="{00000000-0005-0000-0000-00009E160000}"/>
    <cellStyle name="Currency 3 2 4 13" xfId="21591" xr:uid="{00000000-0005-0000-0000-00009F160000}"/>
    <cellStyle name="Currency 3 2 4 2" xfId="21592" xr:uid="{00000000-0005-0000-0000-0000A0160000}"/>
    <cellStyle name="Currency 3 2 4 2 10" xfId="21593" xr:uid="{00000000-0005-0000-0000-0000A1160000}"/>
    <cellStyle name="Currency 3 2 4 2 11" xfId="21594" xr:uid="{00000000-0005-0000-0000-0000A2160000}"/>
    <cellStyle name="Currency 3 2 4 2 2" xfId="21595" xr:uid="{00000000-0005-0000-0000-0000A3160000}"/>
    <cellStyle name="Currency 3 2 4 2 2 2" xfId="21596" xr:uid="{00000000-0005-0000-0000-0000A4160000}"/>
    <cellStyle name="Currency 3 2 4 2 2 2 2" xfId="21597" xr:uid="{00000000-0005-0000-0000-0000A5160000}"/>
    <cellStyle name="Currency 3 2 4 2 2 3" xfId="21598" xr:uid="{00000000-0005-0000-0000-0000A6160000}"/>
    <cellStyle name="Currency 3 2 4 2 2 3 2" xfId="21599" xr:uid="{00000000-0005-0000-0000-0000A7160000}"/>
    <cellStyle name="Currency 3 2 4 2 2 4" xfId="21600" xr:uid="{00000000-0005-0000-0000-0000A8160000}"/>
    <cellStyle name="Currency 3 2 4 2 2 4 2" xfId="21601" xr:uid="{00000000-0005-0000-0000-0000A9160000}"/>
    <cellStyle name="Currency 3 2 4 2 2 5" xfId="21602" xr:uid="{00000000-0005-0000-0000-0000AA160000}"/>
    <cellStyle name="Currency 3 2 4 2 2 6" xfId="21603" xr:uid="{00000000-0005-0000-0000-0000AB160000}"/>
    <cellStyle name="Currency 3 2 4 2 3" xfId="21604" xr:uid="{00000000-0005-0000-0000-0000AC160000}"/>
    <cellStyle name="Currency 3 2 4 2 3 2" xfId="21605" xr:uid="{00000000-0005-0000-0000-0000AD160000}"/>
    <cellStyle name="Currency 3 2 4 2 3 2 2" xfId="21606" xr:uid="{00000000-0005-0000-0000-0000AE160000}"/>
    <cellStyle name="Currency 3 2 4 2 3 3" xfId="21607" xr:uid="{00000000-0005-0000-0000-0000AF160000}"/>
    <cellStyle name="Currency 3 2 4 2 3 3 2" xfId="21608" xr:uid="{00000000-0005-0000-0000-0000B0160000}"/>
    <cellStyle name="Currency 3 2 4 2 3 4" xfId="21609" xr:uid="{00000000-0005-0000-0000-0000B1160000}"/>
    <cellStyle name="Currency 3 2 4 2 3 4 2" xfId="21610" xr:uid="{00000000-0005-0000-0000-0000B2160000}"/>
    <cellStyle name="Currency 3 2 4 2 3 5" xfId="21611" xr:uid="{00000000-0005-0000-0000-0000B3160000}"/>
    <cellStyle name="Currency 3 2 4 2 3 6" xfId="21612" xr:uid="{00000000-0005-0000-0000-0000B4160000}"/>
    <cellStyle name="Currency 3 2 4 2 4" xfId="21613" xr:uid="{00000000-0005-0000-0000-0000B5160000}"/>
    <cellStyle name="Currency 3 2 4 2 4 2" xfId="21614" xr:uid="{00000000-0005-0000-0000-0000B6160000}"/>
    <cellStyle name="Currency 3 2 4 2 4 2 2" xfId="21615" xr:uid="{00000000-0005-0000-0000-0000B7160000}"/>
    <cellStyle name="Currency 3 2 4 2 4 3" xfId="21616" xr:uid="{00000000-0005-0000-0000-0000B8160000}"/>
    <cellStyle name="Currency 3 2 4 2 4 3 2" xfId="21617" xr:uid="{00000000-0005-0000-0000-0000B9160000}"/>
    <cellStyle name="Currency 3 2 4 2 4 4" xfId="21618" xr:uid="{00000000-0005-0000-0000-0000BA160000}"/>
    <cellStyle name="Currency 3 2 4 2 4 4 2" xfId="21619" xr:uid="{00000000-0005-0000-0000-0000BB160000}"/>
    <cellStyle name="Currency 3 2 4 2 4 5" xfId="21620" xr:uid="{00000000-0005-0000-0000-0000BC160000}"/>
    <cellStyle name="Currency 3 2 4 2 4 6" xfId="21621" xr:uid="{00000000-0005-0000-0000-0000BD160000}"/>
    <cellStyle name="Currency 3 2 4 2 5" xfId="21622" xr:uid="{00000000-0005-0000-0000-0000BE160000}"/>
    <cellStyle name="Currency 3 2 4 2 5 2" xfId="21623" xr:uid="{00000000-0005-0000-0000-0000BF160000}"/>
    <cellStyle name="Currency 3 2 4 2 5 2 2" xfId="21624" xr:uid="{00000000-0005-0000-0000-0000C0160000}"/>
    <cellStyle name="Currency 3 2 4 2 5 3" xfId="21625" xr:uid="{00000000-0005-0000-0000-0000C1160000}"/>
    <cellStyle name="Currency 3 2 4 2 5 3 2" xfId="21626" xr:uid="{00000000-0005-0000-0000-0000C2160000}"/>
    <cellStyle name="Currency 3 2 4 2 5 4" xfId="21627" xr:uid="{00000000-0005-0000-0000-0000C3160000}"/>
    <cellStyle name="Currency 3 2 4 2 5 4 2" xfId="21628" xr:uid="{00000000-0005-0000-0000-0000C4160000}"/>
    <cellStyle name="Currency 3 2 4 2 5 5" xfId="21629" xr:uid="{00000000-0005-0000-0000-0000C5160000}"/>
    <cellStyle name="Currency 3 2 4 2 5 6" xfId="21630" xr:uid="{00000000-0005-0000-0000-0000C6160000}"/>
    <cellStyle name="Currency 3 2 4 2 6" xfId="21631" xr:uid="{00000000-0005-0000-0000-0000C7160000}"/>
    <cellStyle name="Currency 3 2 4 2 6 2" xfId="21632" xr:uid="{00000000-0005-0000-0000-0000C8160000}"/>
    <cellStyle name="Currency 3 2 4 2 6 2 2" xfId="21633" xr:uid="{00000000-0005-0000-0000-0000C9160000}"/>
    <cellStyle name="Currency 3 2 4 2 6 3" xfId="21634" xr:uid="{00000000-0005-0000-0000-0000CA160000}"/>
    <cellStyle name="Currency 3 2 4 2 6 3 2" xfId="21635" xr:uid="{00000000-0005-0000-0000-0000CB160000}"/>
    <cellStyle name="Currency 3 2 4 2 6 4" xfId="21636" xr:uid="{00000000-0005-0000-0000-0000CC160000}"/>
    <cellStyle name="Currency 3 2 4 2 6 5" xfId="21637" xr:uid="{00000000-0005-0000-0000-0000CD160000}"/>
    <cellStyle name="Currency 3 2 4 2 7" xfId="21638" xr:uid="{00000000-0005-0000-0000-0000CE160000}"/>
    <cellStyle name="Currency 3 2 4 2 7 2" xfId="21639" xr:uid="{00000000-0005-0000-0000-0000CF160000}"/>
    <cellStyle name="Currency 3 2 4 2 8" xfId="21640" xr:uid="{00000000-0005-0000-0000-0000D0160000}"/>
    <cellStyle name="Currency 3 2 4 2 8 2" xfId="21641" xr:uid="{00000000-0005-0000-0000-0000D1160000}"/>
    <cellStyle name="Currency 3 2 4 2 9" xfId="21642" xr:uid="{00000000-0005-0000-0000-0000D2160000}"/>
    <cellStyle name="Currency 3 2 4 2 9 2" xfId="21643" xr:uid="{00000000-0005-0000-0000-0000D3160000}"/>
    <cellStyle name="Currency 3 2 4 3" xfId="21644" xr:uid="{00000000-0005-0000-0000-0000D4160000}"/>
    <cellStyle name="Currency 3 2 4 3 10" xfId="21645" xr:uid="{00000000-0005-0000-0000-0000D5160000}"/>
    <cellStyle name="Currency 3 2 4 3 2" xfId="21646" xr:uid="{00000000-0005-0000-0000-0000D6160000}"/>
    <cellStyle name="Currency 3 2 4 3 2 2" xfId="21647" xr:uid="{00000000-0005-0000-0000-0000D7160000}"/>
    <cellStyle name="Currency 3 2 4 3 2 2 2" xfId="21648" xr:uid="{00000000-0005-0000-0000-0000D8160000}"/>
    <cellStyle name="Currency 3 2 4 3 2 3" xfId="21649" xr:uid="{00000000-0005-0000-0000-0000D9160000}"/>
    <cellStyle name="Currency 3 2 4 3 2 3 2" xfId="21650" xr:uid="{00000000-0005-0000-0000-0000DA160000}"/>
    <cellStyle name="Currency 3 2 4 3 2 4" xfId="21651" xr:uid="{00000000-0005-0000-0000-0000DB160000}"/>
    <cellStyle name="Currency 3 2 4 3 2 4 2" xfId="21652" xr:uid="{00000000-0005-0000-0000-0000DC160000}"/>
    <cellStyle name="Currency 3 2 4 3 2 5" xfId="21653" xr:uid="{00000000-0005-0000-0000-0000DD160000}"/>
    <cellStyle name="Currency 3 2 4 3 2 6" xfId="21654" xr:uid="{00000000-0005-0000-0000-0000DE160000}"/>
    <cellStyle name="Currency 3 2 4 3 3" xfId="21655" xr:uid="{00000000-0005-0000-0000-0000DF160000}"/>
    <cellStyle name="Currency 3 2 4 3 3 2" xfId="21656" xr:uid="{00000000-0005-0000-0000-0000E0160000}"/>
    <cellStyle name="Currency 3 2 4 3 3 2 2" xfId="21657" xr:uid="{00000000-0005-0000-0000-0000E1160000}"/>
    <cellStyle name="Currency 3 2 4 3 3 3" xfId="21658" xr:uid="{00000000-0005-0000-0000-0000E2160000}"/>
    <cellStyle name="Currency 3 2 4 3 3 3 2" xfId="21659" xr:uid="{00000000-0005-0000-0000-0000E3160000}"/>
    <cellStyle name="Currency 3 2 4 3 3 4" xfId="21660" xr:uid="{00000000-0005-0000-0000-0000E4160000}"/>
    <cellStyle name="Currency 3 2 4 3 3 4 2" xfId="21661" xr:uid="{00000000-0005-0000-0000-0000E5160000}"/>
    <cellStyle name="Currency 3 2 4 3 3 5" xfId="21662" xr:uid="{00000000-0005-0000-0000-0000E6160000}"/>
    <cellStyle name="Currency 3 2 4 3 3 6" xfId="21663" xr:uid="{00000000-0005-0000-0000-0000E7160000}"/>
    <cellStyle name="Currency 3 2 4 3 4" xfId="21664" xr:uid="{00000000-0005-0000-0000-0000E8160000}"/>
    <cellStyle name="Currency 3 2 4 3 4 2" xfId="21665" xr:uid="{00000000-0005-0000-0000-0000E9160000}"/>
    <cellStyle name="Currency 3 2 4 3 4 2 2" xfId="21666" xr:uid="{00000000-0005-0000-0000-0000EA160000}"/>
    <cellStyle name="Currency 3 2 4 3 4 3" xfId="21667" xr:uid="{00000000-0005-0000-0000-0000EB160000}"/>
    <cellStyle name="Currency 3 2 4 3 4 3 2" xfId="21668" xr:uid="{00000000-0005-0000-0000-0000EC160000}"/>
    <cellStyle name="Currency 3 2 4 3 4 4" xfId="21669" xr:uid="{00000000-0005-0000-0000-0000ED160000}"/>
    <cellStyle name="Currency 3 2 4 3 4 4 2" xfId="21670" xr:uid="{00000000-0005-0000-0000-0000EE160000}"/>
    <cellStyle name="Currency 3 2 4 3 4 5" xfId="21671" xr:uid="{00000000-0005-0000-0000-0000EF160000}"/>
    <cellStyle name="Currency 3 2 4 3 4 6" xfId="21672" xr:uid="{00000000-0005-0000-0000-0000F0160000}"/>
    <cellStyle name="Currency 3 2 4 3 5" xfId="21673" xr:uid="{00000000-0005-0000-0000-0000F1160000}"/>
    <cellStyle name="Currency 3 2 4 3 5 2" xfId="21674" xr:uid="{00000000-0005-0000-0000-0000F2160000}"/>
    <cellStyle name="Currency 3 2 4 3 5 2 2" xfId="21675" xr:uid="{00000000-0005-0000-0000-0000F3160000}"/>
    <cellStyle name="Currency 3 2 4 3 5 3" xfId="21676" xr:uid="{00000000-0005-0000-0000-0000F4160000}"/>
    <cellStyle name="Currency 3 2 4 3 5 3 2" xfId="21677" xr:uid="{00000000-0005-0000-0000-0000F5160000}"/>
    <cellStyle name="Currency 3 2 4 3 5 4" xfId="21678" xr:uid="{00000000-0005-0000-0000-0000F6160000}"/>
    <cellStyle name="Currency 3 2 4 3 5 5" xfId="21679" xr:uid="{00000000-0005-0000-0000-0000F7160000}"/>
    <cellStyle name="Currency 3 2 4 3 6" xfId="21680" xr:uid="{00000000-0005-0000-0000-0000F8160000}"/>
    <cellStyle name="Currency 3 2 4 3 6 2" xfId="21681" xr:uid="{00000000-0005-0000-0000-0000F9160000}"/>
    <cellStyle name="Currency 3 2 4 3 7" xfId="21682" xr:uid="{00000000-0005-0000-0000-0000FA160000}"/>
    <cellStyle name="Currency 3 2 4 3 7 2" xfId="21683" xr:uid="{00000000-0005-0000-0000-0000FB160000}"/>
    <cellStyle name="Currency 3 2 4 3 8" xfId="21684" xr:uid="{00000000-0005-0000-0000-0000FC160000}"/>
    <cellStyle name="Currency 3 2 4 3 8 2" xfId="21685" xr:uid="{00000000-0005-0000-0000-0000FD160000}"/>
    <cellStyle name="Currency 3 2 4 3 9" xfId="21686" xr:uid="{00000000-0005-0000-0000-0000FE160000}"/>
    <cellStyle name="Currency 3 2 4 4" xfId="21687" xr:uid="{00000000-0005-0000-0000-0000FF160000}"/>
    <cellStyle name="Currency 3 2 4 4 10" xfId="21688" xr:uid="{00000000-0005-0000-0000-000000170000}"/>
    <cellStyle name="Currency 3 2 4 4 2" xfId="21689" xr:uid="{00000000-0005-0000-0000-000001170000}"/>
    <cellStyle name="Currency 3 2 4 4 2 2" xfId="21690" xr:uid="{00000000-0005-0000-0000-000002170000}"/>
    <cellStyle name="Currency 3 2 4 4 2 2 2" xfId="21691" xr:uid="{00000000-0005-0000-0000-000003170000}"/>
    <cellStyle name="Currency 3 2 4 4 2 3" xfId="21692" xr:uid="{00000000-0005-0000-0000-000004170000}"/>
    <cellStyle name="Currency 3 2 4 4 2 3 2" xfId="21693" xr:uid="{00000000-0005-0000-0000-000005170000}"/>
    <cellStyle name="Currency 3 2 4 4 2 4" xfId="21694" xr:uid="{00000000-0005-0000-0000-000006170000}"/>
    <cellStyle name="Currency 3 2 4 4 2 4 2" xfId="21695" xr:uid="{00000000-0005-0000-0000-000007170000}"/>
    <cellStyle name="Currency 3 2 4 4 2 5" xfId="21696" xr:uid="{00000000-0005-0000-0000-000008170000}"/>
    <cellStyle name="Currency 3 2 4 4 2 6" xfId="21697" xr:uid="{00000000-0005-0000-0000-000009170000}"/>
    <cellStyle name="Currency 3 2 4 4 3" xfId="21698" xr:uid="{00000000-0005-0000-0000-00000A170000}"/>
    <cellStyle name="Currency 3 2 4 4 3 2" xfId="21699" xr:uid="{00000000-0005-0000-0000-00000B170000}"/>
    <cellStyle name="Currency 3 2 4 4 3 2 2" xfId="21700" xr:uid="{00000000-0005-0000-0000-00000C170000}"/>
    <cellStyle name="Currency 3 2 4 4 3 3" xfId="21701" xr:uid="{00000000-0005-0000-0000-00000D170000}"/>
    <cellStyle name="Currency 3 2 4 4 3 3 2" xfId="21702" xr:uid="{00000000-0005-0000-0000-00000E170000}"/>
    <cellStyle name="Currency 3 2 4 4 3 4" xfId="21703" xr:uid="{00000000-0005-0000-0000-00000F170000}"/>
    <cellStyle name="Currency 3 2 4 4 3 4 2" xfId="21704" xr:uid="{00000000-0005-0000-0000-000010170000}"/>
    <cellStyle name="Currency 3 2 4 4 3 5" xfId="21705" xr:uid="{00000000-0005-0000-0000-000011170000}"/>
    <cellStyle name="Currency 3 2 4 4 3 6" xfId="21706" xr:uid="{00000000-0005-0000-0000-000012170000}"/>
    <cellStyle name="Currency 3 2 4 4 4" xfId="21707" xr:uid="{00000000-0005-0000-0000-000013170000}"/>
    <cellStyle name="Currency 3 2 4 4 4 2" xfId="21708" xr:uid="{00000000-0005-0000-0000-000014170000}"/>
    <cellStyle name="Currency 3 2 4 4 4 2 2" xfId="21709" xr:uid="{00000000-0005-0000-0000-000015170000}"/>
    <cellStyle name="Currency 3 2 4 4 4 3" xfId="21710" xr:uid="{00000000-0005-0000-0000-000016170000}"/>
    <cellStyle name="Currency 3 2 4 4 4 3 2" xfId="21711" xr:uid="{00000000-0005-0000-0000-000017170000}"/>
    <cellStyle name="Currency 3 2 4 4 4 4" xfId="21712" xr:uid="{00000000-0005-0000-0000-000018170000}"/>
    <cellStyle name="Currency 3 2 4 4 4 4 2" xfId="21713" xr:uid="{00000000-0005-0000-0000-000019170000}"/>
    <cellStyle name="Currency 3 2 4 4 4 5" xfId="21714" xr:uid="{00000000-0005-0000-0000-00001A170000}"/>
    <cellStyle name="Currency 3 2 4 4 4 6" xfId="21715" xr:uid="{00000000-0005-0000-0000-00001B170000}"/>
    <cellStyle name="Currency 3 2 4 4 5" xfId="21716" xr:uid="{00000000-0005-0000-0000-00001C170000}"/>
    <cellStyle name="Currency 3 2 4 4 5 2" xfId="21717" xr:uid="{00000000-0005-0000-0000-00001D170000}"/>
    <cellStyle name="Currency 3 2 4 4 5 2 2" xfId="21718" xr:uid="{00000000-0005-0000-0000-00001E170000}"/>
    <cellStyle name="Currency 3 2 4 4 5 3" xfId="21719" xr:uid="{00000000-0005-0000-0000-00001F170000}"/>
    <cellStyle name="Currency 3 2 4 4 5 3 2" xfId="21720" xr:uid="{00000000-0005-0000-0000-000020170000}"/>
    <cellStyle name="Currency 3 2 4 4 5 4" xfId="21721" xr:uid="{00000000-0005-0000-0000-000021170000}"/>
    <cellStyle name="Currency 3 2 4 4 5 5" xfId="21722" xr:uid="{00000000-0005-0000-0000-000022170000}"/>
    <cellStyle name="Currency 3 2 4 4 6" xfId="21723" xr:uid="{00000000-0005-0000-0000-000023170000}"/>
    <cellStyle name="Currency 3 2 4 4 6 2" xfId="21724" xr:uid="{00000000-0005-0000-0000-000024170000}"/>
    <cellStyle name="Currency 3 2 4 4 7" xfId="21725" xr:uid="{00000000-0005-0000-0000-000025170000}"/>
    <cellStyle name="Currency 3 2 4 4 7 2" xfId="21726" xr:uid="{00000000-0005-0000-0000-000026170000}"/>
    <cellStyle name="Currency 3 2 4 4 8" xfId="21727" xr:uid="{00000000-0005-0000-0000-000027170000}"/>
    <cellStyle name="Currency 3 2 4 4 8 2" xfId="21728" xr:uid="{00000000-0005-0000-0000-000028170000}"/>
    <cellStyle name="Currency 3 2 4 4 9" xfId="21729" xr:uid="{00000000-0005-0000-0000-000029170000}"/>
    <cellStyle name="Currency 3 2 4 5" xfId="21730" xr:uid="{00000000-0005-0000-0000-00002A170000}"/>
    <cellStyle name="Currency 3 2 4 5 2" xfId="21731" xr:uid="{00000000-0005-0000-0000-00002B170000}"/>
    <cellStyle name="Currency 3 2 4 5 2 2" xfId="21732" xr:uid="{00000000-0005-0000-0000-00002C170000}"/>
    <cellStyle name="Currency 3 2 4 5 3" xfId="21733" xr:uid="{00000000-0005-0000-0000-00002D170000}"/>
    <cellStyle name="Currency 3 2 4 5 3 2" xfId="21734" xr:uid="{00000000-0005-0000-0000-00002E170000}"/>
    <cellStyle name="Currency 3 2 4 5 4" xfId="21735" xr:uid="{00000000-0005-0000-0000-00002F170000}"/>
    <cellStyle name="Currency 3 2 4 5 4 2" xfId="21736" xr:uid="{00000000-0005-0000-0000-000030170000}"/>
    <cellStyle name="Currency 3 2 4 5 5" xfId="21737" xr:uid="{00000000-0005-0000-0000-000031170000}"/>
    <cellStyle name="Currency 3 2 4 5 6" xfId="21738" xr:uid="{00000000-0005-0000-0000-000032170000}"/>
    <cellStyle name="Currency 3 2 4 6" xfId="21739" xr:uid="{00000000-0005-0000-0000-000033170000}"/>
    <cellStyle name="Currency 3 2 4 6 2" xfId="21740" xr:uid="{00000000-0005-0000-0000-000034170000}"/>
    <cellStyle name="Currency 3 2 4 6 2 2" xfId="21741" xr:uid="{00000000-0005-0000-0000-000035170000}"/>
    <cellStyle name="Currency 3 2 4 6 3" xfId="21742" xr:uid="{00000000-0005-0000-0000-000036170000}"/>
    <cellStyle name="Currency 3 2 4 6 3 2" xfId="21743" xr:uid="{00000000-0005-0000-0000-000037170000}"/>
    <cellStyle name="Currency 3 2 4 6 4" xfId="21744" xr:uid="{00000000-0005-0000-0000-000038170000}"/>
    <cellStyle name="Currency 3 2 4 6 4 2" xfId="21745" xr:uid="{00000000-0005-0000-0000-000039170000}"/>
    <cellStyle name="Currency 3 2 4 6 5" xfId="21746" xr:uid="{00000000-0005-0000-0000-00003A170000}"/>
    <cellStyle name="Currency 3 2 4 6 6" xfId="21747" xr:uid="{00000000-0005-0000-0000-00003B170000}"/>
    <cellStyle name="Currency 3 2 4 7" xfId="21748" xr:uid="{00000000-0005-0000-0000-00003C170000}"/>
    <cellStyle name="Currency 3 2 4 7 2" xfId="21749" xr:uid="{00000000-0005-0000-0000-00003D170000}"/>
    <cellStyle name="Currency 3 2 4 7 2 2" xfId="21750" xr:uid="{00000000-0005-0000-0000-00003E170000}"/>
    <cellStyle name="Currency 3 2 4 7 3" xfId="21751" xr:uid="{00000000-0005-0000-0000-00003F170000}"/>
    <cellStyle name="Currency 3 2 4 7 3 2" xfId="21752" xr:uid="{00000000-0005-0000-0000-000040170000}"/>
    <cellStyle name="Currency 3 2 4 7 4" xfId="21753" xr:uid="{00000000-0005-0000-0000-000041170000}"/>
    <cellStyle name="Currency 3 2 4 7 4 2" xfId="21754" xr:uid="{00000000-0005-0000-0000-000042170000}"/>
    <cellStyle name="Currency 3 2 4 7 5" xfId="21755" xr:uid="{00000000-0005-0000-0000-000043170000}"/>
    <cellStyle name="Currency 3 2 4 7 6" xfId="21756" xr:uid="{00000000-0005-0000-0000-000044170000}"/>
    <cellStyle name="Currency 3 2 4 8" xfId="21757" xr:uid="{00000000-0005-0000-0000-000045170000}"/>
    <cellStyle name="Currency 3 2 4 8 2" xfId="21758" xr:uid="{00000000-0005-0000-0000-000046170000}"/>
    <cellStyle name="Currency 3 2 4 8 2 2" xfId="21759" xr:uid="{00000000-0005-0000-0000-000047170000}"/>
    <cellStyle name="Currency 3 2 4 8 3" xfId="21760" xr:uid="{00000000-0005-0000-0000-000048170000}"/>
    <cellStyle name="Currency 3 2 4 8 3 2" xfId="21761" xr:uid="{00000000-0005-0000-0000-000049170000}"/>
    <cellStyle name="Currency 3 2 4 8 4" xfId="21762" xr:uid="{00000000-0005-0000-0000-00004A170000}"/>
    <cellStyle name="Currency 3 2 4 8 5" xfId="21763" xr:uid="{00000000-0005-0000-0000-00004B170000}"/>
    <cellStyle name="Currency 3 2 4 9" xfId="21764" xr:uid="{00000000-0005-0000-0000-00004C170000}"/>
    <cellStyle name="Currency 3 2 4 9 2" xfId="21765" xr:uid="{00000000-0005-0000-0000-00004D170000}"/>
    <cellStyle name="Currency 3 2 5" xfId="21766" xr:uid="{00000000-0005-0000-0000-00004E170000}"/>
    <cellStyle name="Currency 3 2 5 10" xfId="21767" xr:uid="{00000000-0005-0000-0000-00004F170000}"/>
    <cellStyle name="Currency 3 2 5 10 2" xfId="21768" xr:uid="{00000000-0005-0000-0000-000050170000}"/>
    <cellStyle name="Currency 3 2 5 11" xfId="21769" xr:uid="{00000000-0005-0000-0000-000051170000}"/>
    <cellStyle name="Currency 3 2 5 12" xfId="21770" xr:uid="{00000000-0005-0000-0000-000052170000}"/>
    <cellStyle name="Currency 3 2 5 2" xfId="21771" xr:uid="{00000000-0005-0000-0000-000053170000}"/>
    <cellStyle name="Currency 3 2 5 2 10" xfId="21772" xr:uid="{00000000-0005-0000-0000-000054170000}"/>
    <cellStyle name="Currency 3 2 5 2 2" xfId="21773" xr:uid="{00000000-0005-0000-0000-000055170000}"/>
    <cellStyle name="Currency 3 2 5 2 2 2" xfId="21774" xr:uid="{00000000-0005-0000-0000-000056170000}"/>
    <cellStyle name="Currency 3 2 5 2 2 2 2" xfId="21775" xr:uid="{00000000-0005-0000-0000-000057170000}"/>
    <cellStyle name="Currency 3 2 5 2 2 3" xfId="21776" xr:uid="{00000000-0005-0000-0000-000058170000}"/>
    <cellStyle name="Currency 3 2 5 2 2 3 2" xfId="21777" xr:uid="{00000000-0005-0000-0000-000059170000}"/>
    <cellStyle name="Currency 3 2 5 2 2 4" xfId="21778" xr:uid="{00000000-0005-0000-0000-00005A170000}"/>
    <cellStyle name="Currency 3 2 5 2 2 4 2" xfId="21779" xr:uid="{00000000-0005-0000-0000-00005B170000}"/>
    <cellStyle name="Currency 3 2 5 2 2 5" xfId="21780" xr:uid="{00000000-0005-0000-0000-00005C170000}"/>
    <cellStyle name="Currency 3 2 5 2 2 6" xfId="21781" xr:uid="{00000000-0005-0000-0000-00005D170000}"/>
    <cellStyle name="Currency 3 2 5 2 3" xfId="21782" xr:uid="{00000000-0005-0000-0000-00005E170000}"/>
    <cellStyle name="Currency 3 2 5 2 3 2" xfId="21783" xr:uid="{00000000-0005-0000-0000-00005F170000}"/>
    <cellStyle name="Currency 3 2 5 2 3 2 2" xfId="21784" xr:uid="{00000000-0005-0000-0000-000060170000}"/>
    <cellStyle name="Currency 3 2 5 2 3 3" xfId="21785" xr:uid="{00000000-0005-0000-0000-000061170000}"/>
    <cellStyle name="Currency 3 2 5 2 3 3 2" xfId="21786" xr:uid="{00000000-0005-0000-0000-000062170000}"/>
    <cellStyle name="Currency 3 2 5 2 3 4" xfId="21787" xr:uid="{00000000-0005-0000-0000-000063170000}"/>
    <cellStyle name="Currency 3 2 5 2 3 4 2" xfId="21788" xr:uid="{00000000-0005-0000-0000-000064170000}"/>
    <cellStyle name="Currency 3 2 5 2 3 5" xfId="21789" xr:uid="{00000000-0005-0000-0000-000065170000}"/>
    <cellStyle name="Currency 3 2 5 2 3 6" xfId="21790" xr:uid="{00000000-0005-0000-0000-000066170000}"/>
    <cellStyle name="Currency 3 2 5 2 4" xfId="21791" xr:uid="{00000000-0005-0000-0000-000067170000}"/>
    <cellStyle name="Currency 3 2 5 2 4 2" xfId="21792" xr:uid="{00000000-0005-0000-0000-000068170000}"/>
    <cellStyle name="Currency 3 2 5 2 4 2 2" xfId="21793" xr:uid="{00000000-0005-0000-0000-000069170000}"/>
    <cellStyle name="Currency 3 2 5 2 4 3" xfId="21794" xr:uid="{00000000-0005-0000-0000-00006A170000}"/>
    <cellStyle name="Currency 3 2 5 2 4 3 2" xfId="21795" xr:uid="{00000000-0005-0000-0000-00006B170000}"/>
    <cellStyle name="Currency 3 2 5 2 4 4" xfId="21796" xr:uid="{00000000-0005-0000-0000-00006C170000}"/>
    <cellStyle name="Currency 3 2 5 2 4 4 2" xfId="21797" xr:uid="{00000000-0005-0000-0000-00006D170000}"/>
    <cellStyle name="Currency 3 2 5 2 4 5" xfId="21798" xr:uid="{00000000-0005-0000-0000-00006E170000}"/>
    <cellStyle name="Currency 3 2 5 2 4 6" xfId="21799" xr:uid="{00000000-0005-0000-0000-00006F170000}"/>
    <cellStyle name="Currency 3 2 5 2 5" xfId="21800" xr:uid="{00000000-0005-0000-0000-000070170000}"/>
    <cellStyle name="Currency 3 2 5 2 5 2" xfId="21801" xr:uid="{00000000-0005-0000-0000-000071170000}"/>
    <cellStyle name="Currency 3 2 5 2 5 2 2" xfId="21802" xr:uid="{00000000-0005-0000-0000-000072170000}"/>
    <cellStyle name="Currency 3 2 5 2 5 3" xfId="21803" xr:uid="{00000000-0005-0000-0000-000073170000}"/>
    <cellStyle name="Currency 3 2 5 2 5 3 2" xfId="21804" xr:uid="{00000000-0005-0000-0000-000074170000}"/>
    <cellStyle name="Currency 3 2 5 2 5 4" xfId="21805" xr:uid="{00000000-0005-0000-0000-000075170000}"/>
    <cellStyle name="Currency 3 2 5 2 5 5" xfId="21806" xr:uid="{00000000-0005-0000-0000-000076170000}"/>
    <cellStyle name="Currency 3 2 5 2 6" xfId="21807" xr:uid="{00000000-0005-0000-0000-000077170000}"/>
    <cellStyle name="Currency 3 2 5 2 6 2" xfId="21808" xr:uid="{00000000-0005-0000-0000-000078170000}"/>
    <cellStyle name="Currency 3 2 5 2 7" xfId="21809" xr:uid="{00000000-0005-0000-0000-000079170000}"/>
    <cellStyle name="Currency 3 2 5 2 7 2" xfId="21810" xr:uid="{00000000-0005-0000-0000-00007A170000}"/>
    <cellStyle name="Currency 3 2 5 2 8" xfId="21811" xr:uid="{00000000-0005-0000-0000-00007B170000}"/>
    <cellStyle name="Currency 3 2 5 2 8 2" xfId="21812" xr:uid="{00000000-0005-0000-0000-00007C170000}"/>
    <cellStyle name="Currency 3 2 5 2 9" xfId="21813" xr:uid="{00000000-0005-0000-0000-00007D170000}"/>
    <cellStyle name="Currency 3 2 5 3" xfId="21814" xr:uid="{00000000-0005-0000-0000-00007E170000}"/>
    <cellStyle name="Currency 3 2 5 3 10" xfId="21815" xr:uid="{00000000-0005-0000-0000-00007F170000}"/>
    <cellStyle name="Currency 3 2 5 3 2" xfId="21816" xr:uid="{00000000-0005-0000-0000-000080170000}"/>
    <cellStyle name="Currency 3 2 5 3 2 2" xfId="21817" xr:uid="{00000000-0005-0000-0000-000081170000}"/>
    <cellStyle name="Currency 3 2 5 3 2 2 2" xfId="21818" xr:uid="{00000000-0005-0000-0000-000082170000}"/>
    <cellStyle name="Currency 3 2 5 3 2 3" xfId="21819" xr:uid="{00000000-0005-0000-0000-000083170000}"/>
    <cellStyle name="Currency 3 2 5 3 2 3 2" xfId="21820" xr:uid="{00000000-0005-0000-0000-000084170000}"/>
    <cellStyle name="Currency 3 2 5 3 2 4" xfId="21821" xr:uid="{00000000-0005-0000-0000-000085170000}"/>
    <cellStyle name="Currency 3 2 5 3 2 4 2" xfId="21822" xr:uid="{00000000-0005-0000-0000-000086170000}"/>
    <cellStyle name="Currency 3 2 5 3 2 5" xfId="21823" xr:uid="{00000000-0005-0000-0000-000087170000}"/>
    <cellStyle name="Currency 3 2 5 3 2 6" xfId="21824" xr:uid="{00000000-0005-0000-0000-000088170000}"/>
    <cellStyle name="Currency 3 2 5 3 3" xfId="21825" xr:uid="{00000000-0005-0000-0000-000089170000}"/>
    <cellStyle name="Currency 3 2 5 3 3 2" xfId="21826" xr:uid="{00000000-0005-0000-0000-00008A170000}"/>
    <cellStyle name="Currency 3 2 5 3 3 2 2" xfId="21827" xr:uid="{00000000-0005-0000-0000-00008B170000}"/>
    <cellStyle name="Currency 3 2 5 3 3 3" xfId="21828" xr:uid="{00000000-0005-0000-0000-00008C170000}"/>
    <cellStyle name="Currency 3 2 5 3 3 3 2" xfId="21829" xr:uid="{00000000-0005-0000-0000-00008D170000}"/>
    <cellStyle name="Currency 3 2 5 3 3 4" xfId="21830" xr:uid="{00000000-0005-0000-0000-00008E170000}"/>
    <cellStyle name="Currency 3 2 5 3 3 4 2" xfId="21831" xr:uid="{00000000-0005-0000-0000-00008F170000}"/>
    <cellStyle name="Currency 3 2 5 3 3 5" xfId="21832" xr:uid="{00000000-0005-0000-0000-000090170000}"/>
    <cellStyle name="Currency 3 2 5 3 3 6" xfId="21833" xr:uid="{00000000-0005-0000-0000-000091170000}"/>
    <cellStyle name="Currency 3 2 5 3 4" xfId="21834" xr:uid="{00000000-0005-0000-0000-000092170000}"/>
    <cellStyle name="Currency 3 2 5 3 4 2" xfId="21835" xr:uid="{00000000-0005-0000-0000-000093170000}"/>
    <cellStyle name="Currency 3 2 5 3 4 2 2" xfId="21836" xr:uid="{00000000-0005-0000-0000-000094170000}"/>
    <cellStyle name="Currency 3 2 5 3 4 3" xfId="21837" xr:uid="{00000000-0005-0000-0000-000095170000}"/>
    <cellStyle name="Currency 3 2 5 3 4 3 2" xfId="21838" xr:uid="{00000000-0005-0000-0000-000096170000}"/>
    <cellStyle name="Currency 3 2 5 3 4 4" xfId="21839" xr:uid="{00000000-0005-0000-0000-000097170000}"/>
    <cellStyle name="Currency 3 2 5 3 4 4 2" xfId="21840" xr:uid="{00000000-0005-0000-0000-000098170000}"/>
    <cellStyle name="Currency 3 2 5 3 4 5" xfId="21841" xr:uid="{00000000-0005-0000-0000-000099170000}"/>
    <cellStyle name="Currency 3 2 5 3 4 6" xfId="21842" xr:uid="{00000000-0005-0000-0000-00009A170000}"/>
    <cellStyle name="Currency 3 2 5 3 5" xfId="21843" xr:uid="{00000000-0005-0000-0000-00009B170000}"/>
    <cellStyle name="Currency 3 2 5 3 5 2" xfId="21844" xr:uid="{00000000-0005-0000-0000-00009C170000}"/>
    <cellStyle name="Currency 3 2 5 3 5 2 2" xfId="21845" xr:uid="{00000000-0005-0000-0000-00009D170000}"/>
    <cellStyle name="Currency 3 2 5 3 5 3" xfId="21846" xr:uid="{00000000-0005-0000-0000-00009E170000}"/>
    <cellStyle name="Currency 3 2 5 3 5 3 2" xfId="21847" xr:uid="{00000000-0005-0000-0000-00009F170000}"/>
    <cellStyle name="Currency 3 2 5 3 5 4" xfId="21848" xr:uid="{00000000-0005-0000-0000-0000A0170000}"/>
    <cellStyle name="Currency 3 2 5 3 5 5" xfId="21849" xr:uid="{00000000-0005-0000-0000-0000A1170000}"/>
    <cellStyle name="Currency 3 2 5 3 6" xfId="21850" xr:uid="{00000000-0005-0000-0000-0000A2170000}"/>
    <cellStyle name="Currency 3 2 5 3 6 2" xfId="21851" xr:uid="{00000000-0005-0000-0000-0000A3170000}"/>
    <cellStyle name="Currency 3 2 5 3 7" xfId="21852" xr:uid="{00000000-0005-0000-0000-0000A4170000}"/>
    <cellStyle name="Currency 3 2 5 3 7 2" xfId="21853" xr:uid="{00000000-0005-0000-0000-0000A5170000}"/>
    <cellStyle name="Currency 3 2 5 3 8" xfId="21854" xr:uid="{00000000-0005-0000-0000-0000A6170000}"/>
    <cellStyle name="Currency 3 2 5 3 8 2" xfId="21855" xr:uid="{00000000-0005-0000-0000-0000A7170000}"/>
    <cellStyle name="Currency 3 2 5 3 9" xfId="21856" xr:uid="{00000000-0005-0000-0000-0000A8170000}"/>
    <cellStyle name="Currency 3 2 5 4" xfId="21857" xr:uid="{00000000-0005-0000-0000-0000A9170000}"/>
    <cellStyle name="Currency 3 2 5 4 2" xfId="21858" xr:uid="{00000000-0005-0000-0000-0000AA170000}"/>
    <cellStyle name="Currency 3 2 5 4 2 2" xfId="21859" xr:uid="{00000000-0005-0000-0000-0000AB170000}"/>
    <cellStyle name="Currency 3 2 5 4 3" xfId="21860" xr:uid="{00000000-0005-0000-0000-0000AC170000}"/>
    <cellStyle name="Currency 3 2 5 4 3 2" xfId="21861" xr:uid="{00000000-0005-0000-0000-0000AD170000}"/>
    <cellStyle name="Currency 3 2 5 4 4" xfId="21862" xr:uid="{00000000-0005-0000-0000-0000AE170000}"/>
    <cellStyle name="Currency 3 2 5 4 4 2" xfId="21863" xr:uid="{00000000-0005-0000-0000-0000AF170000}"/>
    <cellStyle name="Currency 3 2 5 4 5" xfId="21864" xr:uid="{00000000-0005-0000-0000-0000B0170000}"/>
    <cellStyle name="Currency 3 2 5 4 6" xfId="21865" xr:uid="{00000000-0005-0000-0000-0000B1170000}"/>
    <cellStyle name="Currency 3 2 5 5" xfId="21866" xr:uid="{00000000-0005-0000-0000-0000B2170000}"/>
    <cellStyle name="Currency 3 2 5 5 2" xfId="21867" xr:uid="{00000000-0005-0000-0000-0000B3170000}"/>
    <cellStyle name="Currency 3 2 5 5 2 2" xfId="21868" xr:uid="{00000000-0005-0000-0000-0000B4170000}"/>
    <cellStyle name="Currency 3 2 5 5 3" xfId="21869" xr:uid="{00000000-0005-0000-0000-0000B5170000}"/>
    <cellStyle name="Currency 3 2 5 5 3 2" xfId="21870" xr:uid="{00000000-0005-0000-0000-0000B6170000}"/>
    <cellStyle name="Currency 3 2 5 5 4" xfId="21871" xr:uid="{00000000-0005-0000-0000-0000B7170000}"/>
    <cellStyle name="Currency 3 2 5 5 4 2" xfId="21872" xr:uid="{00000000-0005-0000-0000-0000B8170000}"/>
    <cellStyle name="Currency 3 2 5 5 5" xfId="21873" xr:uid="{00000000-0005-0000-0000-0000B9170000}"/>
    <cellStyle name="Currency 3 2 5 5 6" xfId="21874" xr:uid="{00000000-0005-0000-0000-0000BA170000}"/>
    <cellStyle name="Currency 3 2 5 6" xfId="21875" xr:uid="{00000000-0005-0000-0000-0000BB170000}"/>
    <cellStyle name="Currency 3 2 5 6 2" xfId="21876" xr:uid="{00000000-0005-0000-0000-0000BC170000}"/>
    <cellStyle name="Currency 3 2 5 6 2 2" xfId="21877" xr:uid="{00000000-0005-0000-0000-0000BD170000}"/>
    <cellStyle name="Currency 3 2 5 6 3" xfId="21878" xr:uid="{00000000-0005-0000-0000-0000BE170000}"/>
    <cellStyle name="Currency 3 2 5 6 3 2" xfId="21879" xr:uid="{00000000-0005-0000-0000-0000BF170000}"/>
    <cellStyle name="Currency 3 2 5 6 4" xfId="21880" xr:uid="{00000000-0005-0000-0000-0000C0170000}"/>
    <cellStyle name="Currency 3 2 5 6 4 2" xfId="21881" xr:uid="{00000000-0005-0000-0000-0000C1170000}"/>
    <cellStyle name="Currency 3 2 5 6 5" xfId="21882" xr:uid="{00000000-0005-0000-0000-0000C2170000}"/>
    <cellStyle name="Currency 3 2 5 6 6" xfId="21883" xr:uid="{00000000-0005-0000-0000-0000C3170000}"/>
    <cellStyle name="Currency 3 2 5 7" xfId="21884" xr:uid="{00000000-0005-0000-0000-0000C4170000}"/>
    <cellStyle name="Currency 3 2 5 7 2" xfId="21885" xr:uid="{00000000-0005-0000-0000-0000C5170000}"/>
    <cellStyle name="Currency 3 2 5 7 2 2" xfId="21886" xr:uid="{00000000-0005-0000-0000-0000C6170000}"/>
    <cellStyle name="Currency 3 2 5 7 3" xfId="21887" xr:uid="{00000000-0005-0000-0000-0000C7170000}"/>
    <cellStyle name="Currency 3 2 5 7 3 2" xfId="21888" xr:uid="{00000000-0005-0000-0000-0000C8170000}"/>
    <cellStyle name="Currency 3 2 5 7 4" xfId="21889" xr:uid="{00000000-0005-0000-0000-0000C9170000}"/>
    <cellStyle name="Currency 3 2 5 7 5" xfId="21890" xr:uid="{00000000-0005-0000-0000-0000CA170000}"/>
    <cellStyle name="Currency 3 2 5 8" xfId="21891" xr:uid="{00000000-0005-0000-0000-0000CB170000}"/>
    <cellStyle name="Currency 3 2 5 8 2" xfId="21892" xr:uid="{00000000-0005-0000-0000-0000CC170000}"/>
    <cellStyle name="Currency 3 2 5 9" xfId="21893" xr:uid="{00000000-0005-0000-0000-0000CD170000}"/>
    <cellStyle name="Currency 3 2 5 9 2" xfId="21894" xr:uid="{00000000-0005-0000-0000-0000CE170000}"/>
    <cellStyle name="Currency 3 2 6" xfId="21895" xr:uid="{00000000-0005-0000-0000-0000CF170000}"/>
    <cellStyle name="Currency 3 2 6 10" xfId="21896" xr:uid="{00000000-0005-0000-0000-0000D0170000}"/>
    <cellStyle name="Currency 3 2 6 11" xfId="21897" xr:uid="{00000000-0005-0000-0000-0000D1170000}"/>
    <cellStyle name="Currency 3 2 6 2" xfId="21898" xr:uid="{00000000-0005-0000-0000-0000D2170000}"/>
    <cellStyle name="Currency 3 2 6 2 2" xfId="21899" xr:uid="{00000000-0005-0000-0000-0000D3170000}"/>
    <cellStyle name="Currency 3 2 6 2 2 2" xfId="21900" xr:uid="{00000000-0005-0000-0000-0000D4170000}"/>
    <cellStyle name="Currency 3 2 6 2 3" xfId="21901" xr:uid="{00000000-0005-0000-0000-0000D5170000}"/>
    <cellStyle name="Currency 3 2 6 2 3 2" xfId="21902" xr:uid="{00000000-0005-0000-0000-0000D6170000}"/>
    <cellStyle name="Currency 3 2 6 2 4" xfId="21903" xr:uid="{00000000-0005-0000-0000-0000D7170000}"/>
    <cellStyle name="Currency 3 2 6 2 4 2" xfId="21904" xr:uid="{00000000-0005-0000-0000-0000D8170000}"/>
    <cellStyle name="Currency 3 2 6 2 5" xfId="21905" xr:uid="{00000000-0005-0000-0000-0000D9170000}"/>
    <cellStyle name="Currency 3 2 6 2 6" xfId="21906" xr:uid="{00000000-0005-0000-0000-0000DA170000}"/>
    <cellStyle name="Currency 3 2 6 3" xfId="21907" xr:uid="{00000000-0005-0000-0000-0000DB170000}"/>
    <cellStyle name="Currency 3 2 6 3 2" xfId="21908" xr:uid="{00000000-0005-0000-0000-0000DC170000}"/>
    <cellStyle name="Currency 3 2 6 3 2 2" xfId="21909" xr:uid="{00000000-0005-0000-0000-0000DD170000}"/>
    <cellStyle name="Currency 3 2 6 3 3" xfId="21910" xr:uid="{00000000-0005-0000-0000-0000DE170000}"/>
    <cellStyle name="Currency 3 2 6 3 3 2" xfId="21911" xr:uid="{00000000-0005-0000-0000-0000DF170000}"/>
    <cellStyle name="Currency 3 2 6 3 4" xfId="21912" xr:uid="{00000000-0005-0000-0000-0000E0170000}"/>
    <cellStyle name="Currency 3 2 6 3 4 2" xfId="21913" xr:uid="{00000000-0005-0000-0000-0000E1170000}"/>
    <cellStyle name="Currency 3 2 6 3 5" xfId="21914" xr:uid="{00000000-0005-0000-0000-0000E2170000}"/>
    <cellStyle name="Currency 3 2 6 3 6" xfId="21915" xr:uid="{00000000-0005-0000-0000-0000E3170000}"/>
    <cellStyle name="Currency 3 2 6 4" xfId="21916" xr:uid="{00000000-0005-0000-0000-0000E4170000}"/>
    <cellStyle name="Currency 3 2 6 4 2" xfId="21917" xr:uid="{00000000-0005-0000-0000-0000E5170000}"/>
    <cellStyle name="Currency 3 2 6 4 2 2" xfId="21918" xr:uid="{00000000-0005-0000-0000-0000E6170000}"/>
    <cellStyle name="Currency 3 2 6 4 3" xfId="21919" xr:uid="{00000000-0005-0000-0000-0000E7170000}"/>
    <cellStyle name="Currency 3 2 6 4 3 2" xfId="21920" xr:uid="{00000000-0005-0000-0000-0000E8170000}"/>
    <cellStyle name="Currency 3 2 6 4 4" xfId="21921" xr:uid="{00000000-0005-0000-0000-0000E9170000}"/>
    <cellStyle name="Currency 3 2 6 4 4 2" xfId="21922" xr:uid="{00000000-0005-0000-0000-0000EA170000}"/>
    <cellStyle name="Currency 3 2 6 4 5" xfId="21923" xr:uid="{00000000-0005-0000-0000-0000EB170000}"/>
    <cellStyle name="Currency 3 2 6 4 6" xfId="21924" xr:uid="{00000000-0005-0000-0000-0000EC170000}"/>
    <cellStyle name="Currency 3 2 6 5" xfId="21925" xr:uid="{00000000-0005-0000-0000-0000ED170000}"/>
    <cellStyle name="Currency 3 2 6 5 2" xfId="21926" xr:uid="{00000000-0005-0000-0000-0000EE170000}"/>
    <cellStyle name="Currency 3 2 6 5 2 2" xfId="21927" xr:uid="{00000000-0005-0000-0000-0000EF170000}"/>
    <cellStyle name="Currency 3 2 6 5 3" xfId="21928" xr:uid="{00000000-0005-0000-0000-0000F0170000}"/>
    <cellStyle name="Currency 3 2 6 5 3 2" xfId="21929" xr:uid="{00000000-0005-0000-0000-0000F1170000}"/>
    <cellStyle name="Currency 3 2 6 5 4" xfId="21930" xr:uid="{00000000-0005-0000-0000-0000F2170000}"/>
    <cellStyle name="Currency 3 2 6 5 4 2" xfId="21931" xr:uid="{00000000-0005-0000-0000-0000F3170000}"/>
    <cellStyle name="Currency 3 2 6 5 5" xfId="21932" xr:uid="{00000000-0005-0000-0000-0000F4170000}"/>
    <cellStyle name="Currency 3 2 6 5 6" xfId="21933" xr:uid="{00000000-0005-0000-0000-0000F5170000}"/>
    <cellStyle name="Currency 3 2 6 6" xfId="21934" xr:uid="{00000000-0005-0000-0000-0000F6170000}"/>
    <cellStyle name="Currency 3 2 6 6 2" xfId="21935" xr:uid="{00000000-0005-0000-0000-0000F7170000}"/>
    <cellStyle name="Currency 3 2 6 6 2 2" xfId="21936" xr:uid="{00000000-0005-0000-0000-0000F8170000}"/>
    <cellStyle name="Currency 3 2 6 6 3" xfId="21937" xr:uid="{00000000-0005-0000-0000-0000F9170000}"/>
    <cellStyle name="Currency 3 2 6 6 3 2" xfId="21938" xr:uid="{00000000-0005-0000-0000-0000FA170000}"/>
    <cellStyle name="Currency 3 2 6 6 4" xfId="21939" xr:uid="{00000000-0005-0000-0000-0000FB170000}"/>
    <cellStyle name="Currency 3 2 6 6 5" xfId="21940" xr:uid="{00000000-0005-0000-0000-0000FC170000}"/>
    <cellStyle name="Currency 3 2 6 7" xfId="21941" xr:uid="{00000000-0005-0000-0000-0000FD170000}"/>
    <cellStyle name="Currency 3 2 6 7 2" xfId="21942" xr:uid="{00000000-0005-0000-0000-0000FE170000}"/>
    <cellStyle name="Currency 3 2 6 8" xfId="21943" xr:uid="{00000000-0005-0000-0000-0000FF170000}"/>
    <cellStyle name="Currency 3 2 6 8 2" xfId="21944" xr:uid="{00000000-0005-0000-0000-000000180000}"/>
    <cellStyle name="Currency 3 2 6 9" xfId="21945" xr:uid="{00000000-0005-0000-0000-000001180000}"/>
    <cellStyle name="Currency 3 2 6 9 2" xfId="21946" xr:uid="{00000000-0005-0000-0000-000002180000}"/>
    <cellStyle name="Currency 3 2 7" xfId="21947" xr:uid="{00000000-0005-0000-0000-000003180000}"/>
    <cellStyle name="Currency 3 2 7 10" xfId="21948" xr:uid="{00000000-0005-0000-0000-000004180000}"/>
    <cellStyle name="Currency 3 2 7 2" xfId="21949" xr:uid="{00000000-0005-0000-0000-000005180000}"/>
    <cellStyle name="Currency 3 2 7 2 2" xfId="21950" xr:uid="{00000000-0005-0000-0000-000006180000}"/>
    <cellStyle name="Currency 3 2 7 2 2 2" xfId="21951" xr:uid="{00000000-0005-0000-0000-000007180000}"/>
    <cellStyle name="Currency 3 2 7 2 3" xfId="21952" xr:uid="{00000000-0005-0000-0000-000008180000}"/>
    <cellStyle name="Currency 3 2 7 2 3 2" xfId="21953" xr:uid="{00000000-0005-0000-0000-000009180000}"/>
    <cellStyle name="Currency 3 2 7 2 4" xfId="21954" xr:uid="{00000000-0005-0000-0000-00000A180000}"/>
    <cellStyle name="Currency 3 2 7 2 4 2" xfId="21955" xr:uid="{00000000-0005-0000-0000-00000B180000}"/>
    <cellStyle name="Currency 3 2 7 2 5" xfId="21956" xr:uid="{00000000-0005-0000-0000-00000C180000}"/>
    <cellStyle name="Currency 3 2 7 2 6" xfId="21957" xr:uid="{00000000-0005-0000-0000-00000D180000}"/>
    <cellStyle name="Currency 3 2 7 3" xfId="21958" xr:uid="{00000000-0005-0000-0000-00000E180000}"/>
    <cellStyle name="Currency 3 2 7 3 2" xfId="21959" xr:uid="{00000000-0005-0000-0000-00000F180000}"/>
    <cellStyle name="Currency 3 2 7 3 2 2" xfId="21960" xr:uid="{00000000-0005-0000-0000-000010180000}"/>
    <cellStyle name="Currency 3 2 7 3 3" xfId="21961" xr:uid="{00000000-0005-0000-0000-000011180000}"/>
    <cellStyle name="Currency 3 2 7 3 3 2" xfId="21962" xr:uid="{00000000-0005-0000-0000-000012180000}"/>
    <cellStyle name="Currency 3 2 7 3 4" xfId="21963" xr:uid="{00000000-0005-0000-0000-000013180000}"/>
    <cellStyle name="Currency 3 2 7 3 4 2" xfId="21964" xr:uid="{00000000-0005-0000-0000-000014180000}"/>
    <cellStyle name="Currency 3 2 7 3 5" xfId="21965" xr:uid="{00000000-0005-0000-0000-000015180000}"/>
    <cellStyle name="Currency 3 2 7 3 6" xfId="21966" xr:uid="{00000000-0005-0000-0000-000016180000}"/>
    <cellStyle name="Currency 3 2 7 4" xfId="21967" xr:uid="{00000000-0005-0000-0000-000017180000}"/>
    <cellStyle name="Currency 3 2 7 4 2" xfId="21968" xr:uid="{00000000-0005-0000-0000-000018180000}"/>
    <cellStyle name="Currency 3 2 7 4 2 2" xfId="21969" xr:uid="{00000000-0005-0000-0000-000019180000}"/>
    <cellStyle name="Currency 3 2 7 4 3" xfId="21970" xr:uid="{00000000-0005-0000-0000-00001A180000}"/>
    <cellStyle name="Currency 3 2 7 4 3 2" xfId="21971" xr:uid="{00000000-0005-0000-0000-00001B180000}"/>
    <cellStyle name="Currency 3 2 7 4 4" xfId="21972" xr:uid="{00000000-0005-0000-0000-00001C180000}"/>
    <cellStyle name="Currency 3 2 7 4 4 2" xfId="21973" xr:uid="{00000000-0005-0000-0000-00001D180000}"/>
    <cellStyle name="Currency 3 2 7 4 5" xfId="21974" xr:uid="{00000000-0005-0000-0000-00001E180000}"/>
    <cellStyle name="Currency 3 2 7 4 6" xfId="21975" xr:uid="{00000000-0005-0000-0000-00001F180000}"/>
    <cellStyle name="Currency 3 2 7 5" xfId="21976" xr:uid="{00000000-0005-0000-0000-000020180000}"/>
    <cellStyle name="Currency 3 2 7 5 2" xfId="21977" xr:uid="{00000000-0005-0000-0000-000021180000}"/>
    <cellStyle name="Currency 3 2 7 5 2 2" xfId="21978" xr:uid="{00000000-0005-0000-0000-000022180000}"/>
    <cellStyle name="Currency 3 2 7 5 3" xfId="21979" xr:uid="{00000000-0005-0000-0000-000023180000}"/>
    <cellStyle name="Currency 3 2 7 5 3 2" xfId="21980" xr:uid="{00000000-0005-0000-0000-000024180000}"/>
    <cellStyle name="Currency 3 2 7 5 4" xfId="21981" xr:uid="{00000000-0005-0000-0000-000025180000}"/>
    <cellStyle name="Currency 3 2 7 5 5" xfId="21982" xr:uid="{00000000-0005-0000-0000-000026180000}"/>
    <cellStyle name="Currency 3 2 7 6" xfId="21983" xr:uid="{00000000-0005-0000-0000-000027180000}"/>
    <cellStyle name="Currency 3 2 7 6 2" xfId="21984" xr:uid="{00000000-0005-0000-0000-000028180000}"/>
    <cellStyle name="Currency 3 2 7 7" xfId="21985" xr:uid="{00000000-0005-0000-0000-000029180000}"/>
    <cellStyle name="Currency 3 2 7 7 2" xfId="21986" xr:uid="{00000000-0005-0000-0000-00002A180000}"/>
    <cellStyle name="Currency 3 2 7 8" xfId="21987" xr:uid="{00000000-0005-0000-0000-00002B180000}"/>
    <cellStyle name="Currency 3 2 7 8 2" xfId="21988" xr:uid="{00000000-0005-0000-0000-00002C180000}"/>
    <cellStyle name="Currency 3 2 7 9" xfId="21989" xr:uid="{00000000-0005-0000-0000-00002D180000}"/>
    <cellStyle name="Currency 3 2 8" xfId="21990" xr:uid="{00000000-0005-0000-0000-00002E180000}"/>
    <cellStyle name="Currency 3 2 8 10" xfId="21991" xr:uid="{00000000-0005-0000-0000-00002F180000}"/>
    <cellStyle name="Currency 3 2 8 2" xfId="21992" xr:uid="{00000000-0005-0000-0000-000030180000}"/>
    <cellStyle name="Currency 3 2 8 2 2" xfId="21993" xr:uid="{00000000-0005-0000-0000-000031180000}"/>
    <cellStyle name="Currency 3 2 8 2 2 2" xfId="21994" xr:uid="{00000000-0005-0000-0000-000032180000}"/>
    <cellStyle name="Currency 3 2 8 2 3" xfId="21995" xr:uid="{00000000-0005-0000-0000-000033180000}"/>
    <cellStyle name="Currency 3 2 8 2 3 2" xfId="21996" xr:uid="{00000000-0005-0000-0000-000034180000}"/>
    <cellStyle name="Currency 3 2 8 2 4" xfId="21997" xr:uid="{00000000-0005-0000-0000-000035180000}"/>
    <cellStyle name="Currency 3 2 8 2 4 2" xfId="21998" xr:uid="{00000000-0005-0000-0000-000036180000}"/>
    <cellStyle name="Currency 3 2 8 2 5" xfId="21999" xr:uid="{00000000-0005-0000-0000-000037180000}"/>
    <cellStyle name="Currency 3 2 8 2 6" xfId="22000" xr:uid="{00000000-0005-0000-0000-000038180000}"/>
    <cellStyle name="Currency 3 2 8 3" xfId="22001" xr:uid="{00000000-0005-0000-0000-000039180000}"/>
    <cellStyle name="Currency 3 2 8 3 2" xfId="22002" xr:uid="{00000000-0005-0000-0000-00003A180000}"/>
    <cellStyle name="Currency 3 2 8 3 2 2" xfId="22003" xr:uid="{00000000-0005-0000-0000-00003B180000}"/>
    <cellStyle name="Currency 3 2 8 3 3" xfId="22004" xr:uid="{00000000-0005-0000-0000-00003C180000}"/>
    <cellStyle name="Currency 3 2 8 3 3 2" xfId="22005" xr:uid="{00000000-0005-0000-0000-00003D180000}"/>
    <cellStyle name="Currency 3 2 8 3 4" xfId="22006" xr:uid="{00000000-0005-0000-0000-00003E180000}"/>
    <cellStyle name="Currency 3 2 8 3 4 2" xfId="22007" xr:uid="{00000000-0005-0000-0000-00003F180000}"/>
    <cellStyle name="Currency 3 2 8 3 5" xfId="22008" xr:uid="{00000000-0005-0000-0000-000040180000}"/>
    <cellStyle name="Currency 3 2 8 3 6" xfId="22009" xr:uid="{00000000-0005-0000-0000-000041180000}"/>
    <cellStyle name="Currency 3 2 8 4" xfId="22010" xr:uid="{00000000-0005-0000-0000-000042180000}"/>
    <cellStyle name="Currency 3 2 8 4 2" xfId="22011" xr:uid="{00000000-0005-0000-0000-000043180000}"/>
    <cellStyle name="Currency 3 2 8 4 2 2" xfId="22012" xr:uid="{00000000-0005-0000-0000-000044180000}"/>
    <cellStyle name="Currency 3 2 8 4 3" xfId="22013" xr:uid="{00000000-0005-0000-0000-000045180000}"/>
    <cellStyle name="Currency 3 2 8 4 3 2" xfId="22014" xr:uid="{00000000-0005-0000-0000-000046180000}"/>
    <cellStyle name="Currency 3 2 8 4 4" xfId="22015" xr:uid="{00000000-0005-0000-0000-000047180000}"/>
    <cellStyle name="Currency 3 2 8 4 4 2" xfId="22016" xr:uid="{00000000-0005-0000-0000-000048180000}"/>
    <cellStyle name="Currency 3 2 8 4 5" xfId="22017" xr:uid="{00000000-0005-0000-0000-000049180000}"/>
    <cellStyle name="Currency 3 2 8 4 6" xfId="22018" xr:uid="{00000000-0005-0000-0000-00004A180000}"/>
    <cellStyle name="Currency 3 2 8 5" xfId="22019" xr:uid="{00000000-0005-0000-0000-00004B180000}"/>
    <cellStyle name="Currency 3 2 8 5 2" xfId="22020" xr:uid="{00000000-0005-0000-0000-00004C180000}"/>
    <cellStyle name="Currency 3 2 8 5 2 2" xfId="22021" xr:uid="{00000000-0005-0000-0000-00004D180000}"/>
    <cellStyle name="Currency 3 2 8 5 3" xfId="22022" xr:uid="{00000000-0005-0000-0000-00004E180000}"/>
    <cellStyle name="Currency 3 2 8 5 3 2" xfId="22023" xr:uid="{00000000-0005-0000-0000-00004F180000}"/>
    <cellStyle name="Currency 3 2 8 5 4" xfId="22024" xr:uid="{00000000-0005-0000-0000-000050180000}"/>
    <cellStyle name="Currency 3 2 8 5 5" xfId="22025" xr:uid="{00000000-0005-0000-0000-000051180000}"/>
    <cellStyle name="Currency 3 2 8 6" xfId="22026" xr:uid="{00000000-0005-0000-0000-000052180000}"/>
    <cellStyle name="Currency 3 2 8 6 2" xfId="22027" xr:uid="{00000000-0005-0000-0000-000053180000}"/>
    <cellStyle name="Currency 3 2 8 7" xfId="22028" xr:uid="{00000000-0005-0000-0000-000054180000}"/>
    <cellStyle name="Currency 3 2 8 7 2" xfId="22029" xr:uid="{00000000-0005-0000-0000-000055180000}"/>
    <cellStyle name="Currency 3 2 8 8" xfId="22030" xr:uid="{00000000-0005-0000-0000-000056180000}"/>
    <cellStyle name="Currency 3 2 8 8 2" xfId="22031" xr:uid="{00000000-0005-0000-0000-000057180000}"/>
    <cellStyle name="Currency 3 2 8 9" xfId="22032" xr:uid="{00000000-0005-0000-0000-000058180000}"/>
    <cellStyle name="Currency 3 2 9" xfId="22033" xr:uid="{00000000-0005-0000-0000-000059180000}"/>
    <cellStyle name="Currency 3 2 9 2" xfId="22034" xr:uid="{00000000-0005-0000-0000-00005A180000}"/>
    <cellStyle name="Currency 3 2 9 2 2" xfId="22035" xr:uid="{00000000-0005-0000-0000-00005B180000}"/>
    <cellStyle name="Currency 3 2 9 3" xfId="22036" xr:uid="{00000000-0005-0000-0000-00005C180000}"/>
    <cellStyle name="Currency 3 2 9 3 2" xfId="22037" xr:uid="{00000000-0005-0000-0000-00005D180000}"/>
    <cellStyle name="Currency 3 2 9 4" xfId="22038" xr:uid="{00000000-0005-0000-0000-00005E180000}"/>
    <cellStyle name="Currency 3 2 9 4 2" xfId="22039" xr:uid="{00000000-0005-0000-0000-00005F180000}"/>
    <cellStyle name="Currency 3 2 9 5" xfId="22040" xr:uid="{00000000-0005-0000-0000-000060180000}"/>
    <cellStyle name="Currency 3 2 9 6" xfId="22041" xr:uid="{00000000-0005-0000-0000-000061180000}"/>
    <cellStyle name="Currency 3 3" xfId="22042" xr:uid="{00000000-0005-0000-0000-000062180000}"/>
    <cellStyle name="Currency 3 4" xfId="17674" xr:uid="{00000000-0005-0000-0000-000063180000}"/>
    <cellStyle name="Currency 4" xfId="1472" xr:uid="{00000000-0005-0000-0000-000064180000}"/>
    <cellStyle name="Currency 4 10" xfId="22043" xr:uid="{00000000-0005-0000-0000-000065180000}"/>
    <cellStyle name="Currency 4 10 2" xfId="22044" xr:uid="{00000000-0005-0000-0000-000066180000}"/>
    <cellStyle name="Currency 4 10 2 2" xfId="22045" xr:uid="{00000000-0005-0000-0000-000067180000}"/>
    <cellStyle name="Currency 4 10 3" xfId="22046" xr:uid="{00000000-0005-0000-0000-000068180000}"/>
    <cellStyle name="Currency 4 10 3 2" xfId="22047" xr:uid="{00000000-0005-0000-0000-000069180000}"/>
    <cellStyle name="Currency 4 10 4" xfId="22048" xr:uid="{00000000-0005-0000-0000-00006A180000}"/>
    <cellStyle name="Currency 4 10 4 2" xfId="22049" xr:uid="{00000000-0005-0000-0000-00006B180000}"/>
    <cellStyle name="Currency 4 10 5" xfId="22050" xr:uid="{00000000-0005-0000-0000-00006C180000}"/>
    <cellStyle name="Currency 4 10 6" xfId="22051" xr:uid="{00000000-0005-0000-0000-00006D180000}"/>
    <cellStyle name="Currency 4 11" xfId="22052" xr:uid="{00000000-0005-0000-0000-00006E180000}"/>
    <cellStyle name="Currency 4 11 2" xfId="22053" xr:uid="{00000000-0005-0000-0000-00006F180000}"/>
    <cellStyle name="Currency 4 11 2 2" xfId="22054" xr:uid="{00000000-0005-0000-0000-000070180000}"/>
    <cellStyle name="Currency 4 11 3" xfId="22055" xr:uid="{00000000-0005-0000-0000-000071180000}"/>
    <cellStyle name="Currency 4 11 3 2" xfId="22056" xr:uid="{00000000-0005-0000-0000-000072180000}"/>
    <cellStyle name="Currency 4 11 4" xfId="22057" xr:uid="{00000000-0005-0000-0000-000073180000}"/>
    <cellStyle name="Currency 4 11 4 2" xfId="22058" xr:uid="{00000000-0005-0000-0000-000074180000}"/>
    <cellStyle name="Currency 4 11 5" xfId="22059" xr:uid="{00000000-0005-0000-0000-000075180000}"/>
    <cellStyle name="Currency 4 11 6" xfId="22060" xr:uid="{00000000-0005-0000-0000-000076180000}"/>
    <cellStyle name="Currency 4 12" xfId="22061" xr:uid="{00000000-0005-0000-0000-000077180000}"/>
    <cellStyle name="Currency 4 12 2" xfId="22062" xr:uid="{00000000-0005-0000-0000-000078180000}"/>
    <cellStyle name="Currency 4 12 2 2" xfId="22063" xr:uid="{00000000-0005-0000-0000-000079180000}"/>
    <cellStyle name="Currency 4 12 3" xfId="22064" xr:uid="{00000000-0005-0000-0000-00007A180000}"/>
    <cellStyle name="Currency 4 12 3 2" xfId="22065" xr:uid="{00000000-0005-0000-0000-00007B180000}"/>
    <cellStyle name="Currency 4 12 4" xfId="22066" xr:uid="{00000000-0005-0000-0000-00007C180000}"/>
    <cellStyle name="Currency 4 12 4 2" xfId="22067" xr:uid="{00000000-0005-0000-0000-00007D180000}"/>
    <cellStyle name="Currency 4 12 5" xfId="22068" xr:uid="{00000000-0005-0000-0000-00007E180000}"/>
    <cellStyle name="Currency 4 12 6" xfId="22069" xr:uid="{00000000-0005-0000-0000-00007F180000}"/>
    <cellStyle name="Currency 4 13" xfId="22070" xr:uid="{00000000-0005-0000-0000-000080180000}"/>
    <cellStyle name="Currency 4 13 2" xfId="22071" xr:uid="{00000000-0005-0000-0000-000081180000}"/>
    <cellStyle name="Currency 4 13 2 2" xfId="22072" xr:uid="{00000000-0005-0000-0000-000082180000}"/>
    <cellStyle name="Currency 4 13 3" xfId="22073" xr:uid="{00000000-0005-0000-0000-000083180000}"/>
    <cellStyle name="Currency 4 13 3 2" xfId="22074" xr:uid="{00000000-0005-0000-0000-000084180000}"/>
    <cellStyle name="Currency 4 13 4" xfId="22075" xr:uid="{00000000-0005-0000-0000-000085180000}"/>
    <cellStyle name="Currency 4 13 5" xfId="22076" xr:uid="{00000000-0005-0000-0000-000086180000}"/>
    <cellStyle name="Currency 4 14" xfId="22077" xr:uid="{00000000-0005-0000-0000-000087180000}"/>
    <cellStyle name="Currency 4 14 2" xfId="22078" xr:uid="{00000000-0005-0000-0000-000088180000}"/>
    <cellStyle name="Currency 4 15" xfId="22079" xr:uid="{00000000-0005-0000-0000-000089180000}"/>
    <cellStyle name="Currency 4 15 2" xfId="22080" xr:uid="{00000000-0005-0000-0000-00008A180000}"/>
    <cellStyle name="Currency 4 16" xfId="22081" xr:uid="{00000000-0005-0000-0000-00008B180000}"/>
    <cellStyle name="Currency 4 16 2" xfId="22082" xr:uid="{00000000-0005-0000-0000-00008C180000}"/>
    <cellStyle name="Currency 4 17" xfId="22083" xr:uid="{00000000-0005-0000-0000-00008D180000}"/>
    <cellStyle name="Currency 4 18" xfId="22084" xr:uid="{00000000-0005-0000-0000-00008E180000}"/>
    <cellStyle name="Currency 4 19" xfId="22085" xr:uid="{00000000-0005-0000-0000-00008F180000}"/>
    <cellStyle name="Currency 4 2" xfId="22086" xr:uid="{00000000-0005-0000-0000-000090180000}"/>
    <cellStyle name="Currency 4 2 10" xfId="22087" xr:uid="{00000000-0005-0000-0000-000091180000}"/>
    <cellStyle name="Currency 4 2 10 2" xfId="22088" xr:uid="{00000000-0005-0000-0000-000092180000}"/>
    <cellStyle name="Currency 4 2 10 2 2" xfId="22089" xr:uid="{00000000-0005-0000-0000-000093180000}"/>
    <cellStyle name="Currency 4 2 10 3" xfId="22090" xr:uid="{00000000-0005-0000-0000-000094180000}"/>
    <cellStyle name="Currency 4 2 10 3 2" xfId="22091" xr:uid="{00000000-0005-0000-0000-000095180000}"/>
    <cellStyle name="Currency 4 2 10 4" xfId="22092" xr:uid="{00000000-0005-0000-0000-000096180000}"/>
    <cellStyle name="Currency 4 2 10 4 2" xfId="22093" xr:uid="{00000000-0005-0000-0000-000097180000}"/>
    <cellStyle name="Currency 4 2 10 5" xfId="22094" xr:uid="{00000000-0005-0000-0000-000098180000}"/>
    <cellStyle name="Currency 4 2 10 6" xfId="22095" xr:uid="{00000000-0005-0000-0000-000099180000}"/>
    <cellStyle name="Currency 4 2 11" xfId="22096" xr:uid="{00000000-0005-0000-0000-00009A180000}"/>
    <cellStyle name="Currency 4 2 11 2" xfId="22097" xr:uid="{00000000-0005-0000-0000-00009B180000}"/>
    <cellStyle name="Currency 4 2 11 2 2" xfId="22098" xr:uid="{00000000-0005-0000-0000-00009C180000}"/>
    <cellStyle name="Currency 4 2 11 3" xfId="22099" xr:uid="{00000000-0005-0000-0000-00009D180000}"/>
    <cellStyle name="Currency 4 2 11 3 2" xfId="22100" xr:uid="{00000000-0005-0000-0000-00009E180000}"/>
    <cellStyle name="Currency 4 2 11 4" xfId="22101" xr:uid="{00000000-0005-0000-0000-00009F180000}"/>
    <cellStyle name="Currency 4 2 11 4 2" xfId="22102" xr:uid="{00000000-0005-0000-0000-0000A0180000}"/>
    <cellStyle name="Currency 4 2 11 5" xfId="22103" xr:uid="{00000000-0005-0000-0000-0000A1180000}"/>
    <cellStyle name="Currency 4 2 11 6" xfId="22104" xr:uid="{00000000-0005-0000-0000-0000A2180000}"/>
    <cellStyle name="Currency 4 2 12" xfId="22105" xr:uid="{00000000-0005-0000-0000-0000A3180000}"/>
    <cellStyle name="Currency 4 2 12 2" xfId="22106" xr:uid="{00000000-0005-0000-0000-0000A4180000}"/>
    <cellStyle name="Currency 4 2 12 2 2" xfId="22107" xr:uid="{00000000-0005-0000-0000-0000A5180000}"/>
    <cellStyle name="Currency 4 2 12 3" xfId="22108" xr:uid="{00000000-0005-0000-0000-0000A6180000}"/>
    <cellStyle name="Currency 4 2 12 3 2" xfId="22109" xr:uid="{00000000-0005-0000-0000-0000A7180000}"/>
    <cellStyle name="Currency 4 2 12 4" xfId="22110" xr:uid="{00000000-0005-0000-0000-0000A8180000}"/>
    <cellStyle name="Currency 4 2 12 5" xfId="22111" xr:uid="{00000000-0005-0000-0000-0000A9180000}"/>
    <cellStyle name="Currency 4 2 13" xfId="22112" xr:uid="{00000000-0005-0000-0000-0000AA180000}"/>
    <cellStyle name="Currency 4 2 13 2" xfId="22113" xr:uid="{00000000-0005-0000-0000-0000AB180000}"/>
    <cellStyle name="Currency 4 2 14" xfId="22114" xr:uid="{00000000-0005-0000-0000-0000AC180000}"/>
    <cellStyle name="Currency 4 2 14 2" xfId="22115" xr:uid="{00000000-0005-0000-0000-0000AD180000}"/>
    <cellStyle name="Currency 4 2 15" xfId="22116" xr:uid="{00000000-0005-0000-0000-0000AE180000}"/>
    <cellStyle name="Currency 4 2 15 2" xfId="22117" xr:uid="{00000000-0005-0000-0000-0000AF180000}"/>
    <cellStyle name="Currency 4 2 16" xfId="22118" xr:uid="{00000000-0005-0000-0000-0000B0180000}"/>
    <cellStyle name="Currency 4 2 17" xfId="22119" xr:uid="{00000000-0005-0000-0000-0000B1180000}"/>
    <cellStyle name="Currency 4 2 2" xfId="22120" xr:uid="{00000000-0005-0000-0000-0000B2180000}"/>
    <cellStyle name="Currency 4 2 2 10" xfId="22121" xr:uid="{00000000-0005-0000-0000-0000B3180000}"/>
    <cellStyle name="Currency 4 2 2 10 2" xfId="22122" xr:uid="{00000000-0005-0000-0000-0000B4180000}"/>
    <cellStyle name="Currency 4 2 2 10 2 2" xfId="22123" xr:uid="{00000000-0005-0000-0000-0000B5180000}"/>
    <cellStyle name="Currency 4 2 2 10 3" xfId="22124" xr:uid="{00000000-0005-0000-0000-0000B6180000}"/>
    <cellStyle name="Currency 4 2 2 10 3 2" xfId="22125" xr:uid="{00000000-0005-0000-0000-0000B7180000}"/>
    <cellStyle name="Currency 4 2 2 10 4" xfId="22126" xr:uid="{00000000-0005-0000-0000-0000B8180000}"/>
    <cellStyle name="Currency 4 2 2 10 4 2" xfId="22127" xr:uid="{00000000-0005-0000-0000-0000B9180000}"/>
    <cellStyle name="Currency 4 2 2 10 5" xfId="22128" xr:uid="{00000000-0005-0000-0000-0000BA180000}"/>
    <cellStyle name="Currency 4 2 2 10 6" xfId="22129" xr:uid="{00000000-0005-0000-0000-0000BB180000}"/>
    <cellStyle name="Currency 4 2 2 11" xfId="22130" xr:uid="{00000000-0005-0000-0000-0000BC180000}"/>
    <cellStyle name="Currency 4 2 2 11 2" xfId="22131" xr:uid="{00000000-0005-0000-0000-0000BD180000}"/>
    <cellStyle name="Currency 4 2 2 11 2 2" xfId="22132" xr:uid="{00000000-0005-0000-0000-0000BE180000}"/>
    <cellStyle name="Currency 4 2 2 11 3" xfId="22133" xr:uid="{00000000-0005-0000-0000-0000BF180000}"/>
    <cellStyle name="Currency 4 2 2 11 3 2" xfId="22134" xr:uid="{00000000-0005-0000-0000-0000C0180000}"/>
    <cellStyle name="Currency 4 2 2 11 4" xfId="22135" xr:uid="{00000000-0005-0000-0000-0000C1180000}"/>
    <cellStyle name="Currency 4 2 2 11 5" xfId="22136" xr:uid="{00000000-0005-0000-0000-0000C2180000}"/>
    <cellStyle name="Currency 4 2 2 12" xfId="22137" xr:uid="{00000000-0005-0000-0000-0000C3180000}"/>
    <cellStyle name="Currency 4 2 2 12 2" xfId="22138" xr:uid="{00000000-0005-0000-0000-0000C4180000}"/>
    <cellStyle name="Currency 4 2 2 13" xfId="22139" xr:uid="{00000000-0005-0000-0000-0000C5180000}"/>
    <cellStyle name="Currency 4 2 2 13 2" xfId="22140" xr:uid="{00000000-0005-0000-0000-0000C6180000}"/>
    <cellStyle name="Currency 4 2 2 14" xfId="22141" xr:uid="{00000000-0005-0000-0000-0000C7180000}"/>
    <cellStyle name="Currency 4 2 2 14 2" xfId="22142" xr:uid="{00000000-0005-0000-0000-0000C8180000}"/>
    <cellStyle name="Currency 4 2 2 15" xfId="22143" xr:uid="{00000000-0005-0000-0000-0000C9180000}"/>
    <cellStyle name="Currency 4 2 2 16" xfId="22144" xr:uid="{00000000-0005-0000-0000-0000CA180000}"/>
    <cellStyle name="Currency 4 2 2 2" xfId="22145" xr:uid="{00000000-0005-0000-0000-0000CB180000}"/>
    <cellStyle name="Currency 4 2 2 2 10" xfId="22146" xr:uid="{00000000-0005-0000-0000-0000CC180000}"/>
    <cellStyle name="Currency 4 2 2 2 10 2" xfId="22147" xr:uid="{00000000-0005-0000-0000-0000CD180000}"/>
    <cellStyle name="Currency 4 2 2 2 11" xfId="22148" xr:uid="{00000000-0005-0000-0000-0000CE180000}"/>
    <cellStyle name="Currency 4 2 2 2 11 2" xfId="22149" xr:uid="{00000000-0005-0000-0000-0000CF180000}"/>
    <cellStyle name="Currency 4 2 2 2 12" xfId="22150" xr:uid="{00000000-0005-0000-0000-0000D0180000}"/>
    <cellStyle name="Currency 4 2 2 2 13" xfId="22151" xr:uid="{00000000-0005-0000-0000-0000D1180000}"/>
    <cellStyle name="Currency 4 2 2 2 2" xfId="22152" xr:uid="{00000000-0005-0000-0000-0000D2180000}"/>
    <cellStyle name="Currency 4 2 2 2 2 10" xfId="22153" xr:uid="{00000000-0005-0000-0000-0000D3180000}"/>
    <cellStyle name="Currency 4 2 2 2 2 11" xfId="22154" xr:uid="{00000000-0005-0000-0000-0000D4180000}"/>
    <cellStyle name="Currency 4 2 2 2 2 2" xfId="22155" xr:uid="{00000000-0005-0000-0000-0000D5180000}"/>
    <cellStyle name="Currency 4 2 2 2 2 2 2" xfId="22156" xr:uid="{00000000-0005-0000-0000-0000D6180000}"/>
    <cellStyle name="Currency 4 2 2 2 2 2 2 2" xfId="22157" xr:uid="{00000000-0005-0000-0000-0000D7180000}"/>
    <cellStyle name="Currency 4 2 2 2 2 2 3" xfId="22158" xr:uid="{00000000-0005-0000-0000-0000D8180000}"/>
    <cellStyle name="Currency 4 2 2 2 2 2 3 2" xfId="22159" xr:uid="{00000000-0005-0000-0000-0000D9180000}"/>
    <cellStyle name="Currency 4 2 2 2 2 2 4" xfId="22160" xr:uid="{00000000-0005-0000-0000-0000DA180000}"/>
    <cellStyle name="Currency 4 2 2 2 2 2 4 2" xfId="22161" xr:uid="{00000000-0005-0000-0000-0000DB180000}"/>
    <cellStyle name="Currency 4 2 2 2 2 2 5" xfId="22162" xr:uid="{00000000-0005-0000-0000-0000DC180000}"/>
    <cellStyle name="Currency 4 2 2 2 2 2 6" xfId="22163" xr:uid="{00000000-0005-0000-0000-0000DD180000}"/>
    <cellStyle name="Currency 4 2 2 2 2 3" xfId="22164" xr:uid="{00000000-0005-0000-0000-0000DE180000}"/>
    <cellStyle name="Currency 4 2 2 2 2 3 2" xfId="22165" xr:uid="{00000000-0005-0000-0000-0000DF180000}"/>
    <cellStyle name="Currency 4 2 2 2 2 3 2 2" xfId="22166" xr:uid="{00000000-0005-0000-0000-0000E0180000}"/>
    <cellStyle name="Currency 4 2 2 2 2 3 3" xfId="22167" xr:uid="{00000000-0005-0000-0000-0000E1180000}"/>
    <cellStyle name="Currency 4 2 2 2 2 3 3 2" xfId="22168" xr:uid="{00000000-0005-0000-0000-0000E2180000}"/>
    <cellStyle name="Currency 4 2 2 2 2 3 4" xfId="22169" xr:uid="{00000000-0005-0000-0000-0000E3180000}"/>
    <cellStyle name="Currency 4 2 2 2 2 3 4 2" xfId="22170" xr:uid="{00000000-0005-0000-0000-0000E4180000}"/>
    <cellStyle name="Currency 4 2 2 2 2 3 5" xfId="22171" xr:uid="{00000000-0005-0000-0000-0000E5180000}"/>
    <cellStyle name="Currency 4 2 2 2 2 3 6" xfId="22172" xr:uid="{00000000-0005-0000-0000-0000E6180000}"/>
    <cellStyle name="Currency 4 2 2 2 2 4" xfId="22173" xr:uid="{00000000-0005-0000-0000-0000E7180000}"/>
    <cellStyle name="Currency 4 2 2 2 2 4 2" xfId="22174" xr:uid="{00000000-0005-0000-0000-0000E8180000}"/>
    <cellStyle name="Currency 4 2 2 2 2 4 2 2" xfId="22175" xr:uid="{00000000-0005-0000-0000-0000E9180000}"/>
    <cellStyle name="Currency 4 2 2 2 2 4 3" xfId="22176" xr:uid="{00000000-0005-0000-0000-0000EA180000}"/>
    <cellStyle name="Currency 4 2 2 2 2 4 3 2" xfId="22177" xr:uid="{00000000-0005-0000-0000-0000EB180000}"/>
    <cellStyle name="Currency 4 2 2 2 2 4 4" xfId="22178" xr:uid="{00000000-0005-0000-0000-0000EC180000}"/>
    <cellStyle name="Currency 4 2 2 2 2 4 4 2" xfId="22179" xr:uid="{00000000-0005-0000-0000-0000ED180000}"/>
    <cellStyle name="Currency 4 2 2 2 2 4 5" xfId="22180" xr:uid="{00000000-0005-0000-0000-0000EE180000}"/>
    <cellStyle name="Currency 4 2 2 2 2 4 6" xfId="22181" xr:uid="{00000000-0005-0000-0000-0000EF180000}"/>
    <cellStyle name="Currency 4 2 2 2 2 5" xfId="22182" xr:uid="{00000000-0005-0000-0000-0000F0180000}"/>
    <cellStyle name="Currency 4 2 2 2 2 5 2" xfId="22183" xr:uid="{00000000-0005-0000-0000-0000F1180000}"/>
    <cellStyle name="Currency 4 2 2 2 2 5 2 2" xfId="22184" xr:uid="{00000000-0005-0000-0000-0000F2180000}"/>
    <cellStyle name="Currency 4 2 2 2 2 5 3" xfId="22185" xr:uid="{00000000-0005-0000-0000-0000F3180000}"/>
    <cellStyle name="Currency 4 2 2 2 2 5 3 2" xfId="22186" xr:uid="{00000000-0005-0000-0000-0000F4180000}"/>
    <cellStyle name="Currency 4 2 2 2 2 5 4" xfId="22187" xr:uid="{00000000-0005-0000-0000-0000F5180000}"/>
    <cellStyle name="Currency 4 2 2 2 2 5 4 2" xfId="22188" xr:uid="{00000000-0005-0000-0000-0000F6180000}"/>
    <cellStyle name="Currency 4 2 2 2 2 5 5" xfId="22189" xr:uid="{00000000-0005-0000-0000-0000F7180000}"/>
    <cellStyle name="Currency 4 2 2 2 2 5 6" xfId="22190" xr:uid="{00000000-0005-0000-0000-0000F8180000}"/>
    <cellStyle name="Currency 4 2 2 2 2 6" xfId="22191" xr:uid="{00000000-0005-0000-0000-0000F9180000}"/>
    <cellStyle name="Currency 4 2 2 2 2 6 2" xfId="22192" xr:uid="{00000000-0005-0000-0000-0000FA180000}"/>
    <cellStyle name="Currency 4 2 2 2 2 6 2 2" xfId="22193" xr:uid="{00000000-0005-0000-0000-0000FB180000}"/>
    <cellStyle name="Currency 4 2 2 2 2 6 3" xfId="22194" xr:uid="{00000000-0005-0000-0000-0000FC180000}"/>
    <cellStyle name="Currency 4 2 2 2 2 6 3 2" xfId="22195" xr:uid="{00000000-0005-0000-0000-0000FD180000}"/>
    <cellStyle name="Currency 4 2 2 2 2 6 4" xfId="22196" xr:uid="{00000000-0005-0000-0000-0000FE180000}"/>
    <cellStyle name="Currency 4 2 2 2 2 6 5" xfId="22197" xr:uid="{00000000-0005-0000-0000-0000FF180000}"/>
    <cellStyle name="Currency 4 2 2 2 2 7" xfId="22198" xr:uid="{00000000-0005-0000-0000-000000190000}"/>
    <cellStyle name="Currency 4 2 2 2 2 7 2" xfId="22199" xr:uid="{00000000-0005-0000-0000-000001190000}"/>
    <cellStyle name="Currency 4 2 2 2 2 8" xfId="22200" xr:uid="{00000000-0005-0000-0000-000002190000}"/>
    <cellStyle name="Currency 4 2 2 2 2 8 2" xfId="22201" xr:uid="{00000000-0005-0000-0000-000003190000}"/>
    <cellStyle name="Currency 4 2 2 2 2 9" xfId="22202" xr:uid="{00000000-0005-0000-0000-000004190000}"/>
    <cellStyle name="Currency 4 2 2 2 2 9 2" xfId="22203" xr:uid="{00000000-0005-0000-0000-000005190000}"/>
    <cellStyle name="Currency 4 2 2 2 3" xfId="22204" xr:uid="{00000000-0005-0000-0000-000006190000}"/>
    <cellStyle name="Currency 4 2 2 2 3 10" xfId="22205" xr:uid="{00000000-0005-0000-0000-000007190000}"/>
    <cellStyle name="Currency 4 2 2 2 3 2" xfId="22206" xr:uid="{00000000-0005-0000-0000-000008190000}"/>
    <cellStyle name="Currency 4 2 2 2 3 2 2" xfId="22207" xr:uid="{00000000-0005-0000-0000-000009190000}"/>
    <cellStyle name="Currency 4 2 2 2 3 2 2 2" xfId="22208" xr:uid="{00000000-0005-0000-0000-00000A190000}"/>
    <cellStyle name="Currency 4 2 2 2 3 2 3" xfId="22209" xr:uid="{00000000-0005-0000-0000-00000B190000}"/>
    <cellStyle name="Currency 4 2 2 2 3 2 3 2" xfId="22210" xr:uid="{00000000-0005-0000-0000-00000C190000}"/>
    <cellStyle name="Currency 4 2 2 2 3 2 4" xfId="22211" xr:uid="{00000000-0005-0000-0000-00000D190000}"/>
    <cellStyle name="Currency 4 2 2 2 3 2 4 2" xfId="22212" xr:uid="{00000000-0005-0000-0000-00000E190000}"/>
    <cellStyle name="Currency 4 2 2 2 3 2 5" xfId="22213" xr:uid="{00000000-0005-0000-0000-00000F190000}"/>
    <cellStyle name="Currency 4 2 2 2 3 2 6" xfId="22214" xr:uid="{00000000-0005-0000-0000-000010190000}"/>
    <cellStyle name="Currency 4 2 2 2 3 3" xfId="22215" xr:uid="{00000000-0005-0000-0000-000011190000}"/>
    <cellStyle name="Currency 4 2 2 2 3 3 2" xfId="22216" xr:uid="{00000000-0005-0000-0000-000012190000}"/>
    <cellStyle name="Currency 4 2 2 2 3 3 2 2" xfId="22217" xr:uid="{00000000-0005-0000-0000-000013190000}"/>
    <cellStyle name="Currency 4 2 2 2 3 3 3" xfId="22218" xr:uid="{00000000-0005-0000-0000-000014190000}"/>
    <cellStyle name="Currency 4 2 2 2 3 3 3 2" xfId="22219" xr:uid="{00000000-0005-0000-0000-000015190000}"/>
    <cellStyle name="Currency 4 2 2 2 3 3 4" xfId="22220" xr:uid="{00000000-0005-0000-0000-000016190000}"/>
    <cellStyle name="Currency 4 2 2 2 3 3 4 2" xfId="22221" xr:uid="{00000000-0005-0000-0000-000017190000}"/>
    <cellStyle name="Currency 4 2 2 2 3 3 5" xfId="22222" xr:uid="{00000000-0005-0000-0000-000018190000}"/>
    <cellStyle name="Currency 4 2 2 2 3 3 6" xfId="22223" xr:uid="{00000000-0005-0000-0000-000019190000}"/>
    <cellStyle name="Currency 4 2 2 2 3 4" xfId="22224" xr:uid="{00000000-0005-0000-0000-00001A190000}"/>
    <cellStyle name="Currency 4 2 2 2 3 4 2" xfId="22225" xr:uid="{00000000-0005-0000-0000-00001B190000}"/>
    <cellStyle name="Currency 4 2 2 2 3 4 2 2" xfId="22226" xr:uid="{00000000-0005-0000-0000-00001C190000}"/>
    <cellStyle name="Currency 4 2 2 2 3 4 3" xfId="22227" xr:uid="{00000000-0005-0000-0000-00001D190000}"/>
    <cellStyle name="Currency 4 2 2 2 3 4 3 2" xfId="22228" xr:uid="{00000000-0005-0000-0000-00001E190000}"/>
    <cellStyle name="Currency 4 2 2 2 3 4 4" xfId="22229" xr:uid="{00000000-0005-0000-0000-00001F190000}"/>
    <cellStyle name="Currency 4 2 2 2 3 4 4 2" xfId="22230" xr:uid="{00000000-0005-0000-0000-000020190000}"/>
    <cellStyle name="Currency 4 2 2 2 3 4 5" xfId="22231" xr:uid="{00000000-0005-0000-0000-000021190000}"/>
    <cellStyle name="Currency 4 2 2 2 3 4 6" xfId="22232" xr:uid="{00000000-0005-0000-0000-000022190000}"/>
    <cellStyle name="Currency 4 2 2 2 3 5" xfId="22233" xr:uid="{00000000-0005-0000-0000-000023190000}"/>
    <cellStyle name="Currency 4 2 2 2 3 5 2" xfId="22234" xr:uid="{00000000-0005-0000-0000-000024190000}"/>
    <cellStyle name="Currency 4 2 2 2 3 5 2 2" xfId="22235" xr:uid="{00000000-0005-0000-0000-000025190000}"/>
    <cellStyle name="Currency 4 2 2 2 3 5 3" xfId="22236" xr:uid="{00000000-0005-0000-0000-000026190000}"/>
    <cellStyle name="Currency 4 2 2 2 3 5 3 2" xfId="22237" xr:uid="{00000000-0005-0000-0000-000027190000}"/>
    <cellStyle name="Currency 4 2 2 2 3 5 4" xfId="22238" xr:uid="{00000000-0005-0000-0000-000028190000}"/>
    <cellStyle name="Currency 4 2 2 2 3 5 5" xfId="22239" xr:uid="{00000000-0005-0000-0000-000029190000}"/>
    <cellStyle name="Currency 4 2 2 2 3 6" xfId="22240" xr:uid="{00000000-0005-0000-0000-00002A190000}"/>
    <cellStyle name="Currency 4 2 2 2 3 6 2" xfId="22241" xr:uid="{00000000-0005-0000-0000-00002B190000}"/>
    <cellStyle name="Currency 4 2 2 2 3 7" xfId="22242" xr:uid="{00000000-0005-0000-0000-00002C190000}"/>
    <cellStyle name="Currency 4 2 2 2 3 7 2" xfId="22243" xr:uid="{00000000-0005-0000-0000-00002D190000}"/>
    <cellStyle name="Currency 4 2 2 2 3 8" xfId="22244" xr:uid="{00000000-0005-0000-0000-00002E190000}"/>
    <cellStyle name="Currency 4 2 2 2 3 8 2" xfId="22245" xr:uid="{00000000-0005-0000-0000-00002F190000}"/>
    <cellStyle name="Currency 4 2 2 2 3 9" xfId="22246" xr:uid="{00000000-0005-0000-0000-000030190000}"/>
    <cellStyle name="Currency 4 2 2 2 4" xfId="22247" xr:uid="{00000000-0005-0000-0000-000031190000}"/>
    <cellStyle name="Currency 4 2 2 2 4 10" xfId="22248" xr:uid="{00000000-0005-0000-0000-000032190000}"/>
    <cellStyle name="Currency 4 2 2 2 4 2" xfId="22249" xr:uid="{00000000-0005-0000-0000-000033190000}"/>
    <cellStyle name="Currency 4 2 2 2 4 2 2" xfId="22250" xr:uid="{00000000-0005-0000-0000-000034190000}"/>
    <cellStyle name="Currency 4 2 2 2 4 2 2 2" xfId="22251" xr:uid="{00000000-0005-0000-0000-000035190000}"/>
    <cellStyle name="Currency 4 2 2 2 4 2 3" xfId="22252" xr:uid="{00000000-0005-0000-0000-000036190000}"/>
    <cellStyle name="Currency 4 2 2 2 4 2 3 2" xfId="22253" xr:uid="{00000000-0005-0000-0000-000037190000}"/>
    <cellStyle name="Currency 4 2 2 2 4 2 4" xfId="22254" xr:uid="{00000000-0005-0000-0000-000038190000}"/>
    <cellStyle name="Currency 4 2 2 2 4 2 4 2" xfId="22255" xr:uid="{00000000-0005-0000-0000-000039190000}"/>
    <cellStyle name="Currency 4 2 2 2 4 2 5" xfId="22256" xr:uid="{00000000-0005-0000-0000-00003A190000}"/>
    <cellStyle name="Currency 4 2 2 2 4 2 6" xfId="22257" xr:uid="{00000000-0005-0000-0000-00003B190000}"/>
    <cellStyle name="Currency 4 2 2 2 4 3" xfId="22258" xr:uid="{00000000-0005-0000-0000-00003C190000}"/>
    <cellStyle name="Currency 4 2 2 2 4 3 2" xfId="22259" xr:uid="{00000000-0005-0000-0000-00003D190000}"/>
    <cellStyle name="Currency 4 2 2 2 4 3 2 2" xfId="22260" xr:uid="{00000000-0005-0000-0000-00003E190000}"/>
    <cellStyle name="Currency 4 2 2 2 4 3 3" xfId="22261" xr:uid="{00000000-0005-0000-0000-00003F190000}"/>
    <cellStyle name="Currency 4 2 2 2 4 3 3 2" xfId="22262" xr:uid="{00000000-0005-0000-0000-000040190000}"/>
    <cellStyle name="Currency 4 2 2 2 4 3 4" xfId="22263" xr:uid="{00000000-0005-0000-0000-000041190000}"/>
    <cellStyle name="Currency 4 2 2 2 4 3 4 2" xfId="22264" xr:uid="{00000000-0005-0000-0000-000042190000}"/>
    <cellStyle name="Currency 4 2 2 2 4 3 5" xfId="22265" xr:uid="{00000000-0005-0000-0000-000043190000}"/>
    <cellStyle name="Currency 4 2 2 2 4 3 6" xfId="22266" xr:uid="{00000000-0005-0000-0000-000044190000}"/>
    <cellStyle name="Currency 4 2 2 2 4 4" xfId="22267" xr:uid="{00000000-0005-0000-0000-000045190000}"/>
    <cellStyle name="Currency 4 2 2 2 4 4 2" xfId="22268" xr:uid="{00000000-0005-0000-0000-000046190000}"/>
    <cellStyle name="Currency 4 2 2 2 4 4 2 2" xfId="22269" xr:uid="{00000000-0005-0000-0000-000047190000}"/>
    <cellStyle name="Currency 4 2 2 2 4 4 3" xfId="22270" xr:uid="{00000000-0005-0000-0000-000048190000}"/>
    <cellStyle name="Currency 4 2 2 2 4 4 3 2" xfId="22271" xr:uid="{00000000-0005-0000-0000-000049190000}"/>
    <cellStyle name="Currency 4 2 2 2 4 4 4" xfId="22272" xr:uid="{00000000-0005-0000-0000-00004A190000}"/>
    <cellStyle name="Currency 4 2 2 2 4 4 4 2" xfId="22273" xr:uid="{00000000-0005-0000-0000-00004B190000}"/>
    <cellStyle name="Currency 4 2 2 2 4 4 5" xfId="22274" xr:uid="{00000000-0005-0000-0000-00004C190000}"/>
    <cellStyle name="Currency 4 2 2 2 4 4 6" xfId="22275" xr:uid="{00000000-0005-0000-0000-00004D190000}"/>
    <cellStyle name="Currency 4 2 2 2 4 5" xfId="22276" xr:uid="{00000000-0005-0000-0000-00004E190000}"/>
    <cellStyle name="Currency 4 2 2 2 4 5 2" xfId="22277" xr:uid="{00000000-0005-0000-0000-00004F190000}"/>
    <cellStyle name="Currency 4 2 2 2 4 5 2 2" xfId="22278" xr:uid="{00000000-0005-0000-0000-000050190000}"/>
    <cellStyle name="Currency 4 2 2 2 4 5 3" xfId="22279" xr:uid="{00000000-0005-0000-0000-000051190000}"/>
    <cellStyle name="Currency 4 2 2 2 4 5 3 2" xfId="22280" xr:uid="{00000000-0005-0000-0000-000052190000}"/>
    <cellStyle name="Currency 4 2 2 2 4 5 4" xfId="22281" xr:uid="{00000000-0005-0000-0000-000053190000}"/>
    <cellStyle name="Currency 4 2 2 2 4 5 5" xfId="22282" xr:uid="{00000000-0005-0000-0000-000054190000}"/>
    <cellStyle name="Currency 4 2 2 2 4 6" xfId="22283" xr:uid="{00000000-0005-0000-0000-000055190000}"/>
    <cellStyle name="Currency 4 2 2 2 4 6 2" xfId="22284" xr:uid="{00000000-0005-0000-0000-000056190000}"/>
    <cellStyle name="Currency 4 2 2 2 4 7" xfId="22285" xr:uid="{00000000-0005-0000-0000-000057190000}"/>
    <cellStyle name="Currency 4 2 2 2 4 7 2" xfId="22286" xr:uid="{00000000-0005-0000-0000-000058190000}"/>
    <cellStyle name="Currency 4 2 2 2 4 8" xfId="22287" xr:uid="{00000000-0005-0000-0000-000059190000}"/>
    <cellStyle name="Currency 4 2 2 2 4 8 2" xfId="22288" xr:uid="{00000000-0005-0000-0000-00005A190000}"/>
    <cellStyle name="Currency 4 2 2 2 4 9" xfId="22289" xr:uid="{00000000-0005-0000-0000-00005B190000}"/>
    <cellStyle name="Currency 4 2 2 2 5" xfId="22290" xr:uid="{00000000-0005-0000-0000-00005C190000}"/>
    <cellStyle name="Currency 4 2 2 2 5 2" xfId="22291" xr:uid="{00000000-0005-0000-0000-00005D190000}"/>
    <cellStyle name="Currency 4 2 2 2 5 2 2" xfId="22292" xr:uid="{00000000-0005-0000-0000-00005E190000}"/>
    <cellStyle name="Currency 4 2 2 2 5 3" xfId="22293" xr:uid="{00000000-0005-0000-0000-00005F190000}"/>
    <cellStyle name="Currency 4 2 2 2 5 3 2" xfId="22294" xr:uid="{00000000-0005-0000-0000-000060190000}"/>
    <cellStyle name="Currency 4 2 2 2 5 4" xfId="22295" xr:uid="{00000000-0005-0000-0000-000061190000}"/>
    <cellStyle name="Currency 4 2 2 2 5 4 2" xfId="22296" xr:uid="{00000000-0005-0000-0000-000062190000}"/>
    <cellStyle name="Currency 4 2 2 2 5 5" xfId="22297" xr:uid="{00000000-0005-0000-0000-000063190000}"/>
    <cellStyle name="Currency 4 2 2 2 5 6" xfId="22298" xr:uid="{00000000-0005-0000-0000-000064190000}"/>
    <cellStyle name="Currency 4 2 2 2 6" xfId="22299" xr:uid="{00000000-0005-0000-0000-000065190000}"/>
    <cellStyle name="Currency 4 2 2 2 6 2" xfId="22300" xr:uid="{00000000-0005-0000-0000-000066190000}"/>
    <cellStyle name="Currency 4 2 2 2 6 2 2" xfId="22301" xr:uid="{00000000-0005-0000-0000-000067190000}"/>
    <cellStyle name="Currency 4 2 2 2 6 3" xfId="22302" xr:uid="{00000000-0005-0000-0000-000068190000}"/>
    <cellStyle name="Currency 4 2 2 2 6 3 2" xfId="22303" xr:uid="{00000000-0005-0000-0000-000069190000}"/>
    <cellStyle name="Currency 4 2 2 2 6 4" xfId="22304" xr:uid="{00000000-0005-0000-0000-00006A190000}"/>
    <cellStyle name="Currency 4 2 2 2 6 4 2" xfId="22305" xr:uid="{00000000-0005-0000-0000-00006B190000}"/>
    <cellStyle name="Currency 4 2 2 2 6 5" xfId="22306" xr:uid="{00000000-0005-0000-0000-00006C190000}"/>
    <cellStyle name="Currency 4 2 2 2 6 6" xfId="22307" xr:uid="{00000000-0005-0000-0000-00006D190000}"/>
    <cellStyle name="Currency 4 2 2 2 7" xfId="22308" xr:uid="{00000000-0005-0000-0000-00006E190000}"/>
    <cellStyle name="Currency 4 2 2 2 7 2" xfId="22309" xr:uid="{00000000-0005-0000-0000-00006F190000}"/>
    <cellStyle name="Currency 4 2 2 2 7 2 2" xfId="22310" xr:uid="{00000000-0005-0000-0000-000070190000}"/>
    <cellStyle name="Currency 4 2 2 2 7 3" xfId="22311" xr:uid="{00000000-0005-0000-0000-000071190000}"/>
    <cellStyle name="Currency 4 2 2 2 7 3 2" xfId="22312" xr:uid="{00000000-0005-0000-0000-000072190000}"/>
    <cellStyle name="Currency 4 2 2 2 7 4" xfId="22313" xr:uid="{00000000-0005-0000-0000-000073190000}"/>
    <cellStyle name="Currency 4 2 2 2 7 4 2" xfId="22314" xr:uid="{00000000-0005-0000-0000-000074190000}"/>
    <cellStyle name="Currency 4 2 2 2 7 5" xfId="22315" xr:uid="{00000000-0005-0000-0000-000075190000}"/>
    <cellStyle name="Currency 4 2 2 2 7 6" xfId="22316" xr:uid="{00000000-0005-0000-0000-000076190000}"/>
    <cellStyle name="Currency 4 2 2 2 8" xfId="22317" xr:uid="{00000000-0005-0000-0000-000077190000}"/>
    <cellStyle name="Currency 4 2 2 2 8 2" xfId="22318" xr:uid="{00000000-0005-0000-0000-000078190000}"/>
    <cellStyle name="Currency 4 2 2 2 8 2 2" xfId="22319" xr:uid="{00000000-0005-0000-0000-000079190000}"/>
    <cellStyle name="Currency 4 2 2 2 8 3" xfId="22320" xr:uid="{00000000-0005-0000-0000-00007A190000}"/>
    <cellStyle name="Currency 4 2 2 2 8 3 2" xfId="22321" xr:uid="{00000000-0005-0000-0000-00007B190000}"/>
    <cellStyle name="Currency 4 2 2 2 8 4" xfId="22322" xr:uid="{00000000-0005-0000-0000-00007C190000}"/>
    <cellStyle name="Currency 4 2 2 2 8 5" xfId="22323" xr:uid="{00000000-0005-0000-0000-00007D190000}"/>
    <cellStyle name="Currency 4 2 2 2 9" xfId="22324" xr:uid="{00000000-0005-0000-0000-00007E190000}"/>
    <cellStyle name="Currency 4 2 2 2 9 2" xfId="22325" xr:uid="{00000000-0005-0000-0000-00007F190000}"/>
    <cellStyle name="Currency 4 2 2 3" xfId="22326" xr:uid="{00000000-0005-0000-0000-000080190000}"/>
    <cellStyle name="Currency 4 2 2 3 10" xfId="22327" xr:uid="{00000000-0005-0000-0000-000081190000}"/>
    <cellStyle name="Currency 4 2 2 3 10 2" xfId="22328" xr:uid="{00000000-0005-0000-0000-000082190000}"/>
    <cellStyle name="Currency 4 2 2 3 11" xfId="22329" xr:uid="{00000000-0005-0000-0000-000083190000}"/>
    <cellStyle name="Currency 4 2 2 3 11 2" xfId="22330" xr:uid="{00000000-0005-0000-0000-000084190000}"/>
    <cellStyle name="Currency 4 2 2 3 12" xfId="22331" xr:uid="{00000000-0005-0000-0000-000085190000}"/>
    <cellStyle name="Currency 4 2 2 3 13" xfId="22332" xr:uid="{00000000-0005-0000-0000-000086190000}"/>
    <cellStyle name="Currency 4 2 2 3 2" xfId="22333" xr:uid="{00000000-0005-0000-0000-000087190000}"/>
    <cellStyle name="Currency 4 2 2 3 2 10" xfId="22334" xr:uid="{00000000-0005-0000-0000-000088190000}"/>
    <cellStyle name="Currency 4 2 2 3 2 11" xfId="22335" xr:uid="{00000000-0005-0000-0000-000089190000}"/>
    <cellStyle name="Currency 4 2 2 3 2 2" xfId="22336" xr:uid="{00000000-0005-0000-0000-00008A190000}"/>
    <cellStyle name="Currency 4 2 2 3 2 2 2" xfId="22337" xr:uid="{00000000-0005-0000-0000-00008B190000}"/>
    <cellStyle name="Currency 4 2 2 3 2 2 2 2" xfId="22338" xr:uid="{00000000-0005-0000-0000-00008C190000}"/>
    <cellStyle name="Currency 4 2 2 3 2 2 3" xfId="22339" xr:uid="{00000000-0005-0000-0000-00008D190000}"/>
    <cellStyle name="Currency 4 2 2 3 2 2 3 2" xfId="22340" xr:uid="{00000000-0005-0000-0000-00008E190000}"/>
    <cellStyle name="Currency 4 2 2 3 2 2 4" xfId="22341" xr:uid="{00000000-0005-0000-0000-00008F190000}"/>
    <cellStyle name="Currency 4 2 2 3 2 2 4 2" xfId="22342" xr:uid="{00000000-0005-0000-0000-000090190000}"/>
    <cellStyle name="Currency 4 2 2 3 2 2 5" xfId="22343" xr:uid="{00000000-0005-0000-0000-000091190000}"/>
    <cellStyle name="Currency 4 2 2 3 2 2 6" xfId="22344" xr:uid="{00000000-0005-0000-0000-000092190000}"/>
    <cellStyle name="Currency 4 2 2 3 2 3" xfId="22345" xr:uid="{00000000-0005-0000-0000-000093190000}"/>
    <cellStyle name="Currency 4 2 2 3 2 3 2" xfId="22346" xr:uid="{00000000-0005-0000-0000-000094190000}"/>
    <cellStyle name="Currency 4 2 2 3 2 3 2 2" xfId="22347" xr:uid="{00000000-0005-0000-0000-000095190000}"/>
    <cellStyle name="Currency 4 2 2 3 2 3 3" xfId="22348" xr:uid="{00000000-0005-0000-0000-000096190000}"/>
    <cellStyle name="Currency 4 2 2 3 2 3 3 2" xfId="22349" xr:uid="{00000000-0005-0000-0000-000097190000}"/>
    <cellStyle name="Currency 4 2 2 3 2 3 4" xfId="22350" xr:uid="{00000000-0005-0000-0000-000098190000}"/>
    <cellStyle name="Currency 4 2 2 3 2 3 4 2" xfId="22351" xr:uid="{00000000-0005-0000-0000-000099190000}"/>
    <cellStyle name="Currency 4 2 2 3 2 3 5" xfId="22352" xr:uid="{00000000-0005-0000-0000-00009A190000}"/>
    <cellStyle name="Currency 4 2 2 3 2 3 6" xfId="22353" xr:uid="{00000000-0005-0000-0000-00009B190000}"/>
    <cellStyle name="Currency 4 2 2 3 2 4" xfId="22354" xr:uid="{00000000-0005-0000-0000-00009C190000}"/>
    <cellStyle name="Currency 4 2 2 3 2 4 2" xfId="22355" xr:uid="{00000000-0005-0000-0000-00009D190000}"/>
    <cellStyle name="Currency 4 2 2 3 2 4 2 2" xfId="22356" xr:uid="{00000000-0005-0000-0000-00009E190000}"/>
    <cellStyle name="Currency 4 2 2 3 2 4 3" xfId="22357" xr:uid="{00000000-0005-0000-0000-00009F190000}"/>
    <cellStyle name="Currency 4 2 2 3 2 4 3 2" xfId="22358" xr:uid="{00000000-0005-0000-0000-0000A0190000}"/>
    <cellStyle name="Currency 4 2 2 3 2 4 4" xfId="22359" xr:uid="{00000000-0005-0000-0000-0000A1190000}"/>
    <cellStyle name="Currency 4 2 2 3 2 4 4 2" xfId="22360" xr:uid="{00000000-0005-0000-0000-0000A2190000}"/>
    <cellStyle name="Currency 4 2 2 3 2 4 5" xfId="22361" xr:uid="{00000000-0005-0000-0000-0000A3190000}"/>
    <cellStyle name="Currency 4 2 2 3 2 4 6" xfId="22362" xr:uid="{00000000-0005-0000-0000-0000A4190000}"/>
    <cellStyle name="Currency 4 2 2 3 2 5" xfId="22363" xr:uid="{00000000-0005-0000-0000-0000A5190000}"/>
    <cellStyle name="Currency 4 2 2 3 2 5 2" xfId="22364" xr:uid="{00000000-0005-0000-0000-0000A6190000}"/>
    <cellStyle name="Currency 4 2 2 3 2 5 2 2" xfId="22365" xr:uid="{00000000-0005-0000-0000-0000A7190000}"/>
    <cellStyle name="Currency 4 2 2 3 2 5 3" xfId="22366" xr:uid="{00000000-0005-0000-0000-0000A8190000}"/>
    <cellStyle name="Currency 4 2 2 3 2 5 3 2" xfId="22367" xr:uid="{00000000-0005-0000-0000-0000A9190000}"/>
    <cellStyle name="Currency 4 2 2 3 2 5 4" xfId="22368" xr:uid="{00000000-0005-0000-0000-0000AA190000}"/>
    <cellStyle name="Currency 4 2 2 3 2 5 4 2" xfId="22369" xr:uid="{00000000-0005-0000-0000-0000AB190000}"/>
    <cellStyle name="Currency 4 2 2 3 2 5 5" xfId="22370" xr:uid="{00000000-0005-0000-0000-0000AC190000}"/>
    <cellStyle name="Currency 4 2 2 3 2 5 6" xfId="22371" xr:uid="{00000000-0005-0000-0000-0000AD190000}"/>
    <cellStyle name="Currency 4 2 2 3 2 6" xfId="22372" xr:uid="{00000000-0005-0000-0000-0000AE190000}"/>
    <cellStyle name="Currency 4 2 2 3 2 6 2" xfId="22373" xr:uid="{00000000-0005-0000-0000-0000AF190000}"/>
    <cellStyle name="Currency 4 2 2 3 2 6 2 2" xfId="22374" xr:uid="{00000000-0005-0000-0000-0000B0190000}"/>
    <cellStyle name="Currency 4 2 2 3 2 6 3" xfId="22375" xr:uid="{00000000-0005-0000-0000-0000B1190000}"/>
    <cellStyle name="Currency 4 2 2 3 2 6 3 2" xfId="22376" xr:uid="{00000000-0005-0000-0000-0000B2190000}"/>
    <cellStyle name="Currency 4 2 2 3 2 6 4" xfId="22377" xr:uid="{00000000-0005-0000-0000-0000B3190000}"/>
    <cellStyle name="Currency 4 2 2 3 2 6 5" xfId="22378" xr:uid="{00000000-0005-0000-0000-0000B4190000}"/>
    <cellStyle name="Currency 4 2 2 3 2 7" xfId="22379" xr:uid="{00000000-0005-0000-0000-0000B5190000}"/>
    <cellStyle name="Currency 4 2 2 3 2 7 2" xfId="22380" xr:uid="{00000000-0005-0000-0000-0000B6190000}"/>
    <cellStyle name="Currency 4 2 2 3 2 8" xfId="22381" xr:uid="{00000000-0005-0000-0000-0000B7190000}"/>
    <cellStyle name="Currency 4 2 2 3 2 8 2" xfId="22382" xr:uid="{00000000-0005-0000-0000-0000B8190000}"/>
    <cellStyle name="Currency 4 2 2 3 2 9" xfId="22383" xr:uid="{00000000-0005-0000-0000-0000B9190000}"/>
    <cellStyle name="Currency 4 2 2 3 2 9 2" xfId="22384" xr:uid="{00000000-0005-0000-0000-0000BA190000}"/>
    <cellStyle name="Currency 4 2 2 3 3" xfId="22385" xr:uid="{00000000-0005-0000-0000-0000BB190000}"/>
    <cellStyle name="Currency 4 2 2 3 3 10" xfId="22386" xr:uid="{00000000-0005-0000-0000-0000BC190000}"/>
    <cellStyle name="Currency 4 2 2 3 3 2" xfId="22387" xr:uid="{00000000-0005-0000-0000-0000BD190000}"/>
    <cellStyle name="Currency 4 2 2 3 3 2 2" xfId="22388" xr:uid="{00000000-0005-0000-0000-0000BE190000}"/>
    <cellStyle name="Currency 4 2 2 3 3 2 2 2" xfId="22389" xr:uid="{00000000-0005-0000-0000-0000BF190000}"/>
    <cellStyle name="Currency 4 2 2 3 3 2 3" xfId="22390" xr:uid="{00000000-0005-0000-0000-0000C0190000}"/>
    <cellStyle name="Currency 4 2 2 3 3 2 3 2" xfId="22391" xr:uid="{00000000-0005-0000-0000-0000C1190000}"/>
    <cellStyle name="Currency 4 2 2 3 3 2 4" xfId="22392" xr:uid="{00000000-0005-0000-0000-0000C2190000}"/>
    <cellStyle name="Currency 4 2 2 3 3 2 4 2" xfId="22393" xr:uid="{00000000-0005-0000-0000-0000C3190000}"/>
    <cellStyle name="Currency 4 2 2 3 3 2 5" xfId="22394" xr:uid="{00000000-0005-0000-0000-0000C4190000}"/>
    <cellStyle name="Currency 4 2 2 3 3 2 6" xfId="22395" xr:uid="{00000000-0005-0000-0000-0000C5190000}"/>
    <cellStyle name="Currency 4 2 2 3 3 3" xfId="22396" xr:uid="{00000000-0005-0000-0000-0000C6190000}"/>
    <cellStyle name="Currency 4 2 2 3 3 3 2" xfId="22397" xr:uid="{00000000-0005-0000-0000-0000C7190000}"/>
    <cellStyle name="Currency 4 2 2 3 3 3 2 2" xfId="22398" xr:uid="{00000000-0005-0000-0000-0000C8190000}"/>
    <cellStyle name="Currency 4 2 2 3 3 3 3" xfId="22399" xr:uid="{00000000-0005-0000-0000-0000C9190000}"/>
    <cellStyle name="Currency 4 2 2 3 3 3 3 2" xfId="22400" xr:uid="{00000000-0005-0000-0000-0000CA190000}"/>
    <cellStyle name="Currency 4 2 2 3 3 3 4" xfId="22401" xr:uid="{00000000-0005-0000-0000-0000CB190000}"/>
    <cellStyle name="Currency 4 2 2 3 3 3 4 2" xfId="22402" xr:uid="{00000000-0005-0000-0000-0000CC190000}"/>
    <cellStyle name="Currency 4 2 2 3 3 3 5" xfId="22403" xr:uid="{00000000-0005-0000-0000-0000CD190000}"/>
    <cellStyle name="Currency 4 2 2 3 3 3 6" xfId="22404" xr:uid="{00000000-0005-0000-0000-0000CE190000}"/>
    <cellStyle name="Currency 4 2 2 3 3 4" xfId="22405" xr:uid="{00000000-0005-0000-0000-0000CF190000}"/>
    <cellStyle name="Currency 4 2 2 3 3 4 2" xfId="22406" xr:uid="{00000000-0005-0000-0000-0000D0190000}"/>
    <cellStyle name="Currency 4 2 2 3 3 4 2 2" xfId="22407" xr:uid="{00000000-0005-0000-0000-0000D1190000}"/>
    <cellStyle name="Currency 4 2 2 3 3 4 3" xfId="22408" xr:uid="{00000000-0005-0000-0000-0000D2190000}"/>
    <cellStyle name="Currency 4 2 2 3 3 4 3 2" xfId="22409" xr:uid="{00000000-0005-0000-0000-0000D3190000}"/>
    <cellStyle name="Currency 4 2 2 3 3 4 4" xfId="22410" xr:uid="{00000000-0005-0000-0000-0000D4190000}"/>
    <cellStyle name="Currency 4 2 2 3 3 4 4 2" xfId="22411" xr:uid="{00000000-0005-0000-0000-0000D5190000}"/>
    <cellStyle name="Currency 4 2 2 3 3 4 5" xfId="22412" xr:uid="{00000000-0005-0000-0000-0000D6190000}"/>
    <cellStyle name="Currency 4 2 2 3 3 4 6" xfId="22413" xr:uid="{00000000-0005-0000-0000-0000D7190000}"/>
    <cellStyle name="Currency 4 2 2 3 3 5" xfId="22414" xr:uid="{00000000-0005-0000-0000-0000D8190000}"/>
    <cellStyle name="Currency 4 2 2 3 3 5 2" xfId="22415" xr:uid="{00000000-0005-0000-0000-0000D9190000}"/>
    <cellStyle name="Currency 4 2 2 3 3 5 2 2" xfId="22416" xr:uid="{00000000-0005-0000-0000-0000DA190000}"/>
    <cellStyle name="Currency 4 2 2 3 3 5 3" xfId="22417" xr:uid="{00000000-0005-0000-0000-0000DB190000}"/>
    <cellStyle name="Currency 4 2 2 3 3 5 3 2" xfId="22418" xr:uid="{00000000-0005-0000-0000-0000DC190000}"/>
    <cellStyle name="Currency 4 2 2 3 3 5 4" xfId="22419" xr:uid="{00000000-0005-0000-0000-0000DD190000}"/>
    <cellStyle name="Currency 4 2 2 3 3 5 5" xfId="22420" xr:uid="{00000000-0005-0000-0000-0000DE190000}"/>
    <cellStyle name="Currency 4 2 2 3 3 6" xfId="22421" xr:uid="{00000000-0005-0000-0000-0000DF190000}"/>
    <cellStyle name="Currency 4 2 2 3 3 6 2" xfId="22422" xr:uid="{00000000-0005-0000-0000-0000E0190000}"/>
    <cellStyle name="Currency 4 2 2 3 3 7" xfId="22423" xr:uid="{00000000-0005-0000-0000-0000E1190000}"/>
    <cellStyle name="Currency 4 2 2 3 3 7 2" xfId="22424" xr:uid="{00000000-0005-0000-0000-0000E2190000}"/>
    <cellStyle name="Currency 4 2 2 3 3 8" xfId="22425" xr:uid="{00000000-0005-0000-0000-0000E3190000}"/>
    <cellStyle name="Currency 4 2 2 3 3 8 2" xfId="22426" xr:uid="{00000000-0005-0000-0000-0000E4190000}"/>
    <cellStyle name="Currency 4 2 2 3 3 9" xfId="22427" xr:uid="{00000000-0005-0000-0000-0000E5190000}"/>
    <cellStyle name="Currency 4 2 2 3 4" xfId="22428" xr:uid="{00000000-0005-0000-0000-0000E6190000}"/>
    <cellStyle name="Currency 4 2 2 3 4 10" xfId="22429" xr:uid="{00000000-0005-0000-0000-0000E7190000}"/>
    <cellStyle name="Currency 4 2 2 3 4 2" xfId="22430" xr:uid="{00000000-0005-0000-0000-0000E8190000}"/>
    <cellStyle name="Currency 4 2 2 3 4 2 2" xfId="22431" xr:uid="{00000000-0005-0000-0000-0000E9190000}"/>
    <cellStyle name="Currency 4 2 2 3 4 2 2 2" xfId="22432" xr:uid="{00000000-0005-0000-0000-0000EA190000}"/>
    <cellStyle name="Currency 4 2 2 3 4 2 3" xfId="22433" xr:uid="{00000000-0005-0000-0000-0000EB190000}"/>
    <cellStyle name="Currency 4 2 2 3 4 2 3 2" xfId="22434" xr:uid="{00000000-0005-0000-0000-0000EC190000}"/>
    <cellStyle name="Currency 4 2 2 3 4 2 4" xfId="22435" xr:uid="{00000000-0005-0000-0000-0000ED190000}"/>
    <cellStyle name="Currency 4 2 2 3 4 2 4 2" xfId="22436" xr:uid="{00000000-0005-0000-0000-0000EE190000}"/>
    <cellStyle name="Currency 4 2 2 3 4 2 5" xfId="22437" xr:uid="{00000000-0005-0000-0000-0000EF190000}"/>
    <cellStyle name="Currency 4 2 2 3 4 2 6" xfId="22438" xr:uid="{00000000-0005-0000-0000-0000F0190000}"/>
    <cellStyle name="Currency 4 2 2 3 4 3" xfId="22439" xr:uid="{00000000-0005-0000-0000-0000F1190000}"/>
    <cellStyle name="Currency 4 2 2 3 4 3 2" xfId="22440" xr:uid="{00000000-0005-0000-0000-0000F2190000}"/>
    <cellStyle name="Currency 4 2 2 3 4 3 2 2" xfId="22441" xr:uid="{00000000-0005-0000-0000-0000F3190000}"/>
    <cellStyle name="Currency 4 2 2 3 4 3 3" xfId="22442" xr:uid="{00000000-0005-0000-0000-0000F4190000}"/>
    <cellStyle name="Currency 4 2 2 3 4 3 3 2" xfId="22443" xr:uid="{00000000-0005-0000-0000-0000F5190000}"/>
    <cellStyle name="Currency 4 2 2 3 4 3 4" xfId="22444" xr:uid="{00000000-0005-0000-0000-0000F6190000}"/>
    <cellStyle name="Currency 4 2 2 3 4 3 4 2" xfId="22445" xr:uid="{00000000-0005-0000-0000-0000F7190000}"/>
    <cellStyle name="Currency 4 2 2 3 4 3 5" xfId="22446" xr:uid="{00000000-0005-0000-0000-0000F8190000}"/>
    <cellStyle name="Currency 4 2 2 3 4 3 6" xfId="22447" xr:uid="{00000000-0005-0000-0000-0000F9190000}"/>
    <cellStyle name="Currency 4 2 2 3 4 4" xfId="22448" xr:uid="{00000000-0005-0000-0000-0000FA190000}"/>
    <cellStyle name="Currency 4 2 2 3 4 4 2" xfId="22449" xr:uid="{00000000-0005-0000-0000-0000FB190000}"/>
    <cellStyle name="Currency 4 2 2 3 4 4 2 2" xfId="22450" xr:uid="{00000000-0005-0000-0000-0000FC190000}"/>
    <cellStyle name="Currency 4 2 2 3 4 4 3" xfId="22451" xr:uid="{00000000-0005-0000-0000-0000FD190000}"/>
    <cellStyle name="Currency 4 2 2 3 4 4 3 2" xfId="22452" xr:uid="{00000000-0005-0000-0000-0000FE190000}"/>
    <cellStyle name="Currency 4 2 2 3 4 4 4" xfId="22453" xr:uid="{00000000-0005-0000-0000-0000FF190000}"/>
    <cellStyle name="Currency 4 2 2 3 4 4 4 2" xfId="22454" xr:uid="{00000000-0005-0000-0000-0000001A0000}"/>
    <cellStyle name="Currency 4 2 2 3 4 4 5" xfId="22455" xr:uid="{00000000-0005-0000-0000-0000011A0000}"/>
    <cellStyle name="Currency 4 2 2 3 4 4 6" xfId="22456" xr:uid="{00000000-0005-0000-0000-0000021A0000}"/>
    <cellStyle name="Currency 4 2 2 3 4 5" xfId="22457" xr:uid="{00000000-0005-0000-0000-0000031A0000}"/>
    <cellStyle name="Currency 4 2 2 3 4 5 2" xfId="22458" xr:uid="{00000000-0005-0000-0000-0000041A0000}"/>
    <cellStyle name="Currency 4 2 2 3 4 5 2 2" xfId="22459" xr:uid="{00000000-0005-0000-0000-0000051A0000}"/>
    <cellStyle name="Currency 4 2 2 3 4 5 3" xfId="22460" xr:uid="{00000000-0005-0000-0000-0000061A0000}"/>
    <cellStyle name="Currency 4 2 2 3 4 5 3 2" xfId="22461" xr:uid="{00000000-0005-0000-0000-0000071A0000}"/>
    <cellStyle name="Currency 4 2 2 3 4 5 4" xfId="22462" xr:uid="{00000000-0005-0000-0000-0000081A0000}"/>
    <cellStyle name="Currency 4 2 2 3 4 5 5" xfId="22463" xr:uid="{00000000-0005-0000-0000-0000091A0000}"/>
    <cellStyle name="Currency 4 2 2 3 4 6" xfId="22464" xr:uid="{00000000-0005-0000-0000-00000A1A0000}"/>
    <cellStyle name="Currency 4 2 2 3 4 6 2" xfId="22465" xr:uid="{00000000-0005-0000-0000-00000B1A0000}"/>
    <cellStyle name="Currency 4 2 2 3 4 7" xfId="22466" xr:uid="{00000000-0005-0000-0000-00000C1A0000}"/>
    <cellStyle name="Currency 4 2 2 3 4 7 2" xfId="22467" xr:uid="{00000000-0005-0000-0000-00000D1A0000}"/>
    <cellStyle name="Currency 4 2 2 3 4 8" xfId="22468" xr:uid="{00000000-0005-0000-0000-00000E1A0000}"/>
    <cellStyle name="Currency 4 2 2 3 4 8 2" xfId="22469" xr:uid="{00000000-0005-0000-0000-00000F1A0000}"/>
    <cellStyle name="Currency 4 2 2 3 4 9" xfId="22470" xr:uid="{00000000-0005-0000-0000-0000101A0000}"/>
    <cellStyle name="Currency 4 2 2 3 5" xfId="22471" xr:uid="{00000000-0005-0000-0000-0000111A0000}"/>
    <cellStyle name="Currency 4 2 2 3 5 2" xfId="22472" xr:uid="{00000000-0005-0000-0000-0000121A0000}"/>
    <cellStyle name="Currency 4 2 2 3 5 2 2" xfId="22473" xr:uid="{00000000-0005-0000-0000-0000131A0000}"/>
    <cellStyle name="Currency 4 2 2 3 5 3" xfId="22474" xr:uid="{00000000-0005-0000-0000-0000141A0000}"/>
    <cellStyle name="Currency 4 2 2 3 5 3 2" xfId="22475" xr:uid="{00000000-0005-0000-0000-0000151A0000}"/>
    <cellStyle name="Currency 4 2 2 3 5 4" xfId="22476" xr:uid="{00000000-0005-0000-0000-0000161A0000}"/>
    <cellStyle name="Currency 4 2 2 3 5 4 2" xfId="22477" xr:uid="{00000000-0005-0000-0000-0000171A0000}"/>
    <cellStyle name="Currency 4 2 2 3 5 5" xfId="22478" xr:uid="{00000000-0005-0000-0000-0000181A0000}"/>
    <cellStyle name="Currency 4 2 2 3 5 6" xfId="22479" xr:uid="{00000000-0005-0000-0000-0000191A0000}"/>
    <cellStyle name="Currency 4 2 2 3 6" xfId="22480" xr:uid="{00000000-0005-0000-0000-00001A1A0000}"/>
    <cellStyle name="Currency 4 2 2 3 6 2" xfId="22481" xr:uid="{00000000-0005-0000-0000-00001B1A0000}"/>
    <cellStyle name="Currency 4 2 2 3 6 2 2" xfId="22482" xr:uid="{00000000-0005-0000-0000-00001C1A0000}"/>
    <cellStyle name="Currency 4 2 2 3 6 3" xfId="22483" xr:uid="{00000000-0005-0000-0000-00001D1A0000}"/>
    <cellStyle name="Currency 4 2 2 3 6 3 2" xfId="22484" xr:uid="{00000000-0005-0000-0000-00001E1A0000}"/>
    <cellStyle name="Currency 4 2 2 3 6 4" xfId="22485" xr:uid="{00000000-0005-0000-0000-00001F1A0000}"/>
    <cellStyle name="Currency 4 2 2 3 6 4 2" xfId="22486" xr:uid="{00000000-0005-0000-0000-0000201A0000}"/>
    <cellStyle name="Currency 4 2 2 3 6 5" xfId="22487" xr:uid="{00000000-0005-0000-0000-0000211A0000}"/>
    <cellStyle name="Currency 4 2 2 3 6 6" xfId="22488" xr:uid="{00000000-0005-0000-0000-0000221A0000}"/>
    <cellStyle name="Currency 4 2 2 3 7" xfId="22489" xr:uid="{00000000-0005-0000-0000-0000231A0000}"/>
    <cellStyle name="Currency 4 2 2 3 7 2" xfId="22490" xr:uid="{00000000-0005-0000-0000-0000241A0000}"/>
    <cellStyle name="Currency 4 2 2 3 7 2 2" xfId="22491" xr:uid="{00000000-0005-0000-0000-0000251A0000}"/>
    <cellStyle name="Currency 4 2 2 3 7 3" xfId="22492" xr:uid="{00000000-0005-0000-0000-0000261A0000}"/>
    <cellStyle name="Currency 4 2 2 3 7 3 2" xfId="22493" xr:uid="{00000000-0005-0000-0000-0000271A0000}"/>
    <cellStyle name="Currency 4 2 2 3 7 4" xfId="22494" xr:uid="{00000000-0005-0000-0000-0000281A0000}"/>
    <cellStyle name="Currency 4 2 2 3 7 4 2" xfId="22495" xr:uid="{00000000-0005-0000-0000-0000291A0000}"/>
    <cellStyle name="Currency 4 2 2 3 7 5" xfId="22496" xr:uid="{00000000-0005-0000-0000-00002A1A0000}"/>
    <cellStyle name="Currency 4 2 2 3 7 6" xfId="22497" xr:uid="{00000000-0005-0000-0000-00002B1A0000}"/>
    <cellStyle name="Currency 4 2 2 3 8" xfId="22498" xr:uid="{00000000-0005-0000-0000-00002C1A0000}"/>
    <cellStyle name="Currency 4 2 2 3 8 2" xfId="22499" xr:uid="{00000000-0005-0000-0000-00002D1A0000}"/>
    <cellStyle name="Currency 4 2 2 3 8 2 2" xfId="22500" xr:uid="{00000000-0005-0000-0000-00002E1A0000}"/>
    <cellStyle name="Currency 4 2 2 3 8 3" xfId="22501" xr:uid="{00000000-0005-0000-0000-00002F1A0000}"/>
    <cellStyle name="Currency 4 2 2 3 8 3 2" xfId="22502" xr:uid="{00000000-0005-0000-0000-0000301A0000}"/>
    <cellStyle name="Currency 4 2 2 3 8 4" xfId="22503" xr:uid="{00000000-0005-0000-0000-0000311A0000}"/>
    <cellStyle name="Currency 4 2 2 3 8 5" xfId="22504" xr:uid="{00000000-0005-0000-0000-0000321A0000}"/>
    <cellStyle name="Currency 4 2 2 3 9" xfId="22505" xr:uid="{00000000-0005-0000-0000-0000331A0000}"/>
    <cellStyle name="Currency 4 2 2 3 9 2" xfId="22506" xr:uid="{00000000-0005-0000-0000-0000341A0000}"/>
    <cellStyle name="Currency 4 2 2 4" xfId="22507" xr:uid="{00000000-0005-0000-0000-0000351A0000}"/>
    <cellStyle name="Currency 4 2 2 4 10" xfId="22508" xr:uid="{00000000-0005-0000-0000-0000361A0000}"/>
    <cellStyle name="Currency 4 2 2 4 10 2" xfId="22509" xr:uid="{00000000-0005-0000-0000-0000371A0000}"/>
    <cellStyle name="Currency 4 2 2 4 11" xfId="22510" xr:uid="{00000000-0005-0000-0000-0000381A0000}"/>
    <cellStyle name="Currency 4 2 2 4 12" xfId="22511" xr:uid="{00000000-0005-0000-0000-0000391A0000}"/>
    <cellStyle name="Currency 4 2 2 4 2" xfId="22512" xr:uid="{00000000-0005-0000-0000-00003A1A0000}"/>
    <cellStyle name="Currency 4 2 2 4 2 10" xfId="22513" xr:uid="{00000000-0005-0000-0000-00003B1A0000}"/>
    <cellStyle name="Currency 4 2 2 4 2 2" xfId="22514" xr:uid="{00000000-0005-0000-0000-00003C1A0000}"/>
    <cellStyle name="Currency 4 2 2 4 2 2 2" xfId="22515" xr:uid="{00000000-0005-0000-0000-00003D1A0000}"/>
    <cellStyle name="Currency 4 2 2 4 2 2 2 2" xfId="22516" xr:uid="{00000000-0005-0000-0000-00003E1A0000}"/>
    <cellStyle name="Currency 4 2 2 4 2 2 3" xfId="22517" xr:uid="{00000000-0005-0000-0000-00003F1A0000}"/>
    <cellStyle name="Currency 4 2 2 4 2 2 3 2" xfId="22518" xr:uid="{00000000-0005-0000-0000-0000401A0000}"/>
    <cellStyle name="Currency 4 2 2 4 2 2 4" xfId="22519" xr:uid="{00000000-0005-0000-0000-0000411A0000}"/>
    <cellStyle name="Currency 4 2 2 4 2 2 4 2" xfId="22520" xr:uid="{00000000-0005-0000-0000-0000421A0000}"/>
    <cellStyle name="Currency 4 2 2 4 2 2 5" xfId="22521" xr:uid="{00000000-0005-0000-0000-0000431A0000}"/>
    <cellStyle name="Currency 4 2 2 4 2 2 6" xfId="22522" xr:uid="{00000000-0005-0000-0000-0000441A0000}"/>
    <cellStyle name="Currency 4 2 2 4 2 3" xfId="22523" xr:uid="{00000000-0005-0000-0000-0000451A0000}"/>
    <cellStyle name="Currency 4 2 2 4 2 3 2" xfId="22524" xr:uid="{00000000-0005-0000-0000-0000461A0000}"/>
    <cellStyle name="Currency 4 2 2 4 2 3 2 2" xfId="22525" xr:uid="{00000000-0005-0000-0000-0000471A0000}"/>
    <cellStyle name="Currency 4 2 2 4 2 3 3" xfId="22526" xr:uid="{00000000-0005-0000-0000-0000481A0000}"/>
    <cellStyle name="Currency 4 2 2 4 2 3 3 2" xfId="22527" xr:uid="{00000000-0005-0000-0000-0000491A0000}"/>
    <cellStyle name="Currency 4 2 2 4 2 3 4" xfId="22528" xr:uid="{00000000-0005-0000-0000-00004A1A0000}"/>
    <cellStyle name="Currency 4 2 2 4 2 3 4 2" xfId="22529" xr:uid="{00000000-0005-0000-0000-00004B1A0000}"/>
    <cellStyle name="Currency 4 2 2 4 2 3 5" xfId="22530" xr:uid="{00000000-0005-0000-0000-00004C1A0000}"/>
    <cellStyle name="Currency 4 2 2 4 2 3 6" xfId="22531" xr:uid="{00000000-0005-0000-0000-00004D1A0000}"/>
    <cellStyle name="Currency 4 2 2 4 2 4" xfId="22532" xr:uid="{00000000-0005-0000-0000-00004E1A0000}"/>
    <cellStyle name="Currency 4 2 2 4 2 4 2" xfId="22533" xr:uid="{00000000-0005-0000-0000-00004F1A0000}"/>
    <cellStyle name="Currency 4 2 2 4 2 4 2 2" xfId="22534" xr:uid="{00000000-0005-0000-0000-0000501A0000}"/>
    <cellStyle name="Currency 4 2 2 4 2 4 3" xfId="22535" xr:uid="{00000000-0005-0000-0000-0000511A0000}"/>
    <cellStyle name="Currency 4 2 2 4 2 4 3 2" xfId="22536" xr:uid="{00000000-0005-0000-0000-0000521A0000}"/>
    <cellStyle name="Currency 4 2 2 4 2 4 4" xfId="22537" xr:uid="{00000000-0005-0000-0000-0000531A0000}"/>
    <cellStyle name="Currency 4 2 2 4 2 4 4 2" xfId="22538" xr:uid="{00000000-0005-0000-0000-0000541A0000}"/>
    <cellStyle name="Currency 4 2 2 4 2 4 5" xfId="22539" xr:uid="{00000000-0005-0000-0000-0000551A0000}"/>
    <cellStyle name="Currency 4 2 2 4 2 4 6" xfId="22540" xr:uid="{00000000-0005-0000-0000-0000561A0000}"/>
    <cellStyle name="Currency 4 2 2 4 2 5" xfId="22541" xr:uid="{00000000-0005-0000-0000-0000571A0000}"/>
    <cellStyle name="Currency 4 2 2 4 2 5 2" xfId="22542" xr:uid="{00000000-0005-0000-0000-0000581A0000}"/>
    <cellStyle name="Currency 4 2 2 4 2 5 2 2" xfId="22543" xr:uid="{00000000-0005-0000-0000-0000591A0000}"/>
    <cellStyle name="Currency 4 2 2 4 2 5 3" xfId="22544" xr:uid="{00000000-0005-0000-0000-00005A1A0000}"/>
    <cellStyle name="Currency 4 2 2 4 2 5 3 2" xfId="22545" xr:uid="{00000000-0005-0000-0000-00005B1A0000}"/>
    <cellStyle name="Currency 4 2 2 4 2 5 4" xfId="22546" xr:uid="{00000000-0005-0000-0000-00005C1A0000}"/>
    <cellStyle name="Currency 4 2 2 4 2 5 5" xfId="22547" xr:uid="{00000000-0005-0000-0000-00005D1A0000}"/>
    <cellStyle name="Currency 4 2 2 4 2 6" xfId="22548" xr:uid="{00000000-0005-0000-0000-00005E1A0000}"/>
    <cellStyle name="Currency 4 2 2 4 2 6 2" xfId="22549" xr:uid="{00000000-0005-0000-0000-00005F1A0000}"/>
    <cellStyle name="Currency 4 2 2 4 2 7" xfId="22550" xr:uid="{00000000-0005-0000-0000-0000601A0000}"/>
    <cellStyle name="Currency 4 2 2 4 2 7 2" xfId="22551" xr:uid="{00000000-0005-0000-0000-0000611A0000}"/>
    <cellStyle name="Currency 4 2 2 4 2 8" xfId="22552" xr:uid="{00000000-0005-0000-0000-0000621A0000}"/>
    <cellStyle name="Currency 4 2 2 4 2 8 2" xfId="22553" xr:uid="{00000000-0005-0000-0000-0000631A0000}"/>
    <cellStyle name="Currency 4 2 2 4 2 9" xfId="22554" xr:uid="{00000000-0005-0000-0000-0000641A0000}"/>
    <cellStyle name="Currency 4 2 2 4 3" xfId="22555" xr:uid="{00000000-0005-0000-0000-0000651A0000}"/>
    <cellStyle name="Currency 4 2 2 4 3 10" xfId="22556" xr:uid="{00000000-0005-0000-0000-0000661A0000}"/>
    <cellStyle name="Currency 4 2 2 4 3 2" xfId="22557" xr:uid="{00000000-0005-0000-0000-0000671A0000}"/>
    <cellStyle name="Currency 4 2 2 4 3 2 2" xfId="22558" xr:uid="{00000000-0005-0000-0000-0000681A0000}"/>
    <cellStyle name="Currency 4 2 2 4 3 2 2 2" xfId="22559" xr:uid="{00000000-0005-0000-0000-0000691A0000}"/>
    <cellStyle name="Currency 4 2 2 4 3 2 3" xfId="22560" xr:uid="{00000000-0005-0000-0000-00006A1A0000}"/>
    <cellStyle name="Currency 4 2 2 4 3 2 3 2" xfId="22561" xr:uid="{00000000-0005-0000-0000-00006B1A0000}"/>
    <cellStyle name="Currency 4 2 2 4 3 2 4" xfId="22562" xr:uid="{00000000-0005-0000-0000-00006C1A0000}"/>
    <cellStyle name="Currency 4 2 2 4 3 2 4 2" xfId="22563" xr:uid="{00000000-0005-0000-0000-00006D1A0000}"/>
    <cellStyle name="Currency 4 2 2 4 3 2 5" xfId="22564" xr:uid="{00000000-0005-0000-0000-00006E1A0000}"/>
    <cellStyle name="Currency 4 2 2 4 3 2 6" xfId="22565" xr:uid="{00000000-0005-0000-0000-00006F1A0000}"/>
    <cellStyle name="Currency 4 2 2 4 3 3" xfId="22566" xr:uid="{00000000-0005-0000-0000-0000701A0000}"/>
    <cellStyle name="Currency 4 2 2 4 3 3 2" xfId="22567" xr:uid="{00000000-0005-0000-0000-0000711A0000}"/>
    <cellStyle name="Currency 4 2 2 4 3 3 2 2" xfId="22568" xr:uid="{00000000-0005-0000-0000-0000721A0000}"/>
    <cellStyle name="Currency 4 2 2 4 3 3 3" xfId="22569" xr:uid="{00000000-0005-0000-0000-0000731A0000}"/>
    <cellStyle name="Currency 4 2 2 4 3 3 3 2" xfId="22570" xr:uid="{00000000-0005-0000-0000-0000741A0000}"/>
    <cellStyle name="Currency 4 2 2 4 3 3 4" xfId="22571" xr:uid="{00000000-0005-0000-0000-0000751A0000}"/>
    <cellStyle name="Currency 4 2 2 4 3 3 4 2" xfId="22572" xr:uid="{00000000-0005-0000-0000-0000761A0000}"/>
    <cellStyle name="Currency 4 2 2 4 3 3 5" xfId="22573" xr:uid="{00000000-0005-0000-0000-0000771A0000}"/>
    <cellStyle name="Currency 4 2 2 4 3 3 6" xfId="22574" xr:uid="{00000000-0005-0000-0000-0000781A0000}"/>
    <cellStyle name="Currency 4 2 2 4 3 4" xfId="22575" xr:uid="{00000000-0005-0000-0000-0000791A0000}"/>
    <cellStyle name="Currency 4 2 2 4 3 4 2" xfId="22576" xr:uid="{00000000-0005-0000-0000-00007A1A0000}"/>
    <cellStyle name="Currency 4 2 2 4 3 4 2 2" xfId="22577" xr:uid="{00000000-0005-0000-0000-00007B1A0000}"/>
    <cellStyle name="Currency 4 2 2 4 3 4 3" xfId="22578" xr:uid="{00000000-0005-0000-0000-00007C1A0000}"/>
    <cellStyle name="Currency 4 2 2 4 3 4 3 2" xfId="22579" xr:uid="{00000000-0005-0000-0000-00007D1A0000}"/>
    <cellStyle name="Currency 4 2 2 4 3 4 4" xfId="22580" xr:uid="{00000000-0005-0000-0000-00007E1A0000}"/>
    <cellStyle name="Currency 4 2 2 4 3 4 4 2" xfId="22581" xr:uid="{00000000-0005-0000-0000-00007F1A0000}"/>
    <cellStyle name="Currency 4 2 2 4 3 4 5" xfId="22582" xr:uid="{00000000-0005-0000-0000-0000801A0000}"/>
    <cellStyle name="Currency 4 2 2 4 3 4 6" xfId="22583" xr:uid="{00000000-0005-0000-0000-0000811A0000}"/>
    <cellStyle name="Currency 4 2 2 4 3 5" xfId="22584" xr:uid="{00000000-0005-0000-0000-0000821A0000}"/>
    <cellStyle name="Currency 4 2 2 4 3 5 2" xfId="22585" xr:uid="{00000000-0005-0000-0000-0000831A0000}"/>
    <cellStyle name="Currency 4 2 2 4 3 5 2 2" xfId="22586" xr:uid="{00000000-0005-0000-0000-0000841A0000}"/>
    <cellStyle name="Currency 4 2 2 4 3 5 3" xfId="22587" xr:uid="{00000000-0005-0000-0000-0000851A0000}"/>
    <cellStyle name="Currency 4 2 2 4 3 5 3 2" xfId="22588" xr:uid="{00000000-0005-0000-0000-0000861A0000}"/>
    <cellStyle name="Currency 4 2 2 4 3 5 4" xfId="22589" xr:uid="{00000000-0005-0000-0000-0000871A0000}"/>
    <cellStyle name="Currency 4 2 2 4 3 5 5" xfId="22590" xr:uid="{00000000-0005-0000-0000-0000881A0000}"/>
    <cellStyle name="Currency 4 2 2 4 3 6" xfId="22591" xr:uid="{00000000-0005-0000-0000-0000891A0000}"/>
    <cellStyle name="Currency 4 2 2 4 3 6 2" xfId="22592" xr:uid="{00000000-0005-0000-0000-00008A1A0000}"/>
    <cellStyle name="Currency 4 2 2 4 3 7" xfId="22593" xr:uid="{00000000-0005-0000-0000-00008B1A0000}"/>
    <cellStyle name="Currency 4 2 2 4 3 7 2" xfId="22594" xr:uid="{00000000-0005-0000-0000-00008C1A0000}"/>
    <cellStyle name="Currency 4 2 2 4 3 8" xfId="22595" xr:uid="{00000000-0005-0000-0000-00008D1A0000}"/>
    <cellStyle name="Currency 4 2 2 4 3 8 2" xfId="22596" xr:uid="{00000000-0005-0000-0000-00008E1A0000}"/>
    <cellStyle name="Currency 4 2 2 4 3 9" xfId="22597" xr:uid="{00000000-0005-0000-0000-00008F1A0000}"/>
    <cellStyle name="Currency 4 2 2 4 4" xfId="22598" xr:uid="{00000000-0005-0000-0000-0000901A0000}"/>
    <cellStyle name="Currency 4 2 2 4 4 2" xfId="22599" xr:uid="{00000000-0005-0000-0000-0000911A0000}"/>
    <cellStyle name="Currency 4 2 2 4 4 2 2" xfId="22600" xr:uid="{00000000-0005-0000-0000-0000921A0000}"/>
    <cellStyle name="Currency 4 2 2 4 4 3" xfId="22601" xr:uid="{00000000-0005-0000-0000-0000931A0000}"/>
    <cellStyle name="Currency 4 2 2 4 4 3 2" xfId="22602" xr:uid="{00000000-0005-0000-0000-0000941A0000}"/>
    <cellStyle name="Currency 4 2 2 4 4 4" xfId="22603" xr:uid="{00000000-0005-0000-0000-0000951A0000}"/>
    <cellStyle name="Currency 4 2 2 4 4 4 2" xfId="22604" xr:uid="{00000000-0005-0000-0000-0000961A0000}"/>
    <cellStyle name="Currency 4 2 2 4 4 5" xfId="22605" xr:uid="{00000000-0005-0000-0000-0000971A0000}"/>
    <cellStyle name="Currency 4 2 2 4 4 6" xfId="22606" xr:uid="{00000000-0005-0000-0000-0000981A0000}"/>
    <cellStyle name="Currency 4 2 2 4 5" xfId="22607" xr:uid="{00000000-0005-0000-0000-0000991A0000}"/>
    <cellStyle name="Currency 4 2 2 4 5 2" xfId="22608" xr:uid="{00000000-0005-0000-0000-00009A1A0000}"/>
    <cellStyle name="Currency 4 2 2 4 5 2 2" xfId="22609" xr:uid="{00000000-0005-0000-0000-00009B1A0000}"/>
    <cellStyle name="Currency 4 2 2 4 5 3" xfId="22610" xr:uid="{00000000-0005-0000-0000-00009C1A0000}"/>
    <cellStyle name="Currency 4 2 2 4 5 3 2" xfId="22611" xr:uid="{00000000-0005-0000-0000-00009D1A0000}"/>
    <cellStyle name="Currency 4 2 2 4 5 4" xfId="22612" xr:uid="{00000000-0005-0000-0000-00009E1A0000}"/>
    <cellStyle name="Currency 4 2 2 4 5 4 2" xfId="22613" xr:uid="{00000000-0005-0000-0000-00009F1A0000}"/>
    <cellStyle name="Currency 4 2 2 4 5 5" xfId="22614" xr:uid="{00000000-0005-0000-0000-0000A01A0000}"/>
    <cellStyle name="Currency 4 2 2 4 5 6" xfId="22615" xr:uid="{00000000-0005-0000-0000-0000A11A0000}"/>
    <cellStyle name="Currency 4 2 2 4 6" xfId="22616" xr:uid="{00000000-0005-0000-0000-0000A21A0000}"/>
    <cellStyle name="Currency 4 2 2 4 6 2" xfId="22617" xr:uid="{00000000-0005-0000-0000-0000A31A0000}"/>
    <cellStyle name="Currency 4 2 2 4 6 2 2" xfId="22618" xr:uid="{00000000-0005-0000-0000-0000A41A0000}"/>
    <cellStyle name="Currency 4 2 2 4 6 3" xfId="22619" xr:uid="{00000000-0005-0000-0000-0000A51A0000}"/>
    <cellStyle name="Currency 4 2 2 4 6 3 2" xfId="22620" xr:uid="{00000000-0005-0000-0000-0000A61A0000}"/>
    <cellStyle name="Currency 4 2 2 4 6 4" xfId="22621" xr:uid="{00000000-0005-0000-0000-0000A71A0000}"/>
    <cellStyle name="Currency 4 2 2 4 6 4 2" xfId="22622" xr:uid="{00000000-0005-0000-0000-0000A81A0000}"/>
    <cellStyle name="Currency 4 2 2 4 6 5" xfId="22623" xr:uid="{00000000-0005-0000-0000-0000A91A0000}"/>
    <cellStyle name="Currency 4 2 2 4 6 6" xfId="22624" xr:uid="{00000000-0005-0000-0000-0000AA1A0000}"/>
    <cellStyle name="Currency 4 2 2 4 7" xfId="22625" xr:uid="{00000000-0005-0000-0000-0000AB1A0000}"/>
    <cellStyle name="Currency 4 2 2 4 7 2" xfId="22626" xr:uid="{00000000-0005-0000-0000-0000AC1A0000}"/>
    <cellStyle name="Currency 4 2 2 4 7 2 2" xfId="22627" xr:uid="{00000000-0005-0000-0000-0000AD1A0000}"/>
    <cellStyle name="Currency 4 2 2 4 7 3" xfId="22628" xr:uid="{00000000-0005-0000-0000-0000AE1A0000}"/>
    <cellStyle name="Currency 4 2 2 4 7 3 2" xfId="22629" xr:uid="{00000000-0005-0000-0000-0000AF1A0000}"/>
    <cellStyle name="Currency 4 2 2 4 7 4" xfId="22630" xr:uid="{00000000-0005-0000-0000-0000B01A0000}"/>
    <cellStyle name="Currency 4 2 2 4 7 5" xfId="22631" xr:uid="{00000000-0005-0000-0000-0000B11A0000}"/>
    <cellStyle name="Currency 4 2 2 4 8" xfId="22632" xr:uid="{00000000-0005-0000-0000-0000B21A0000}"/>
    <cellStyle name="Currency 4 2 2 4 8 2" xfId="22633" xr:uid="{00000000-0005-0000-0000-0000B31A0000}"/>
    <cellStyle name="Currency 4 2 2 4 9" xfId="22634" xr:uid="{00000000-0005-0000-0000-0000B41A0000}"/>
    <cellStyle name="Currency 4 2 2 4 9 2" xfId="22635" xr:uid="{00000000-0005-0000-0000-0000B51A0000}"/>
    <cellStyle name="Currency 4 2 2 5" xfId="22636" xr:uid="{00000000-0005-0000-0000-0000B61A0000}"/>
    <cellStyle name="Currency 4 2 2 5 10" xfId="22637" xr:uid="{00000000-0005-0000-0000-0000B71A0000}"/>
    <cellStyle name="Currency 4 2 2 5 11" xfId="22638" xr:uid="{00000000-0005-0000-0000-0000B81A0000}"/>
    <cellStyle name="Currency 4 2 2 5 2" xfId="22639" xr:uid="{00000000-0005-0000-0000-0000B91A0000}"/>
    <cellStyle name="Currency 4 2 2 5 2 2" xfId="22640" xr:uid="{00000000-0005-0000-0000-0000BA1A0000}"/>
    <cellStyle name="Currency 4 2 2 5 2 2 2" xfId="22641" xr:uid="{00000000-0005-0000-0000-0000BB1A0000}"/>
    <cellStyle name="Currency 4 2 2 5 2 3" xfId="22642" xr:uid="{00000000-0005-0000-0000-0000BC1A0000}"/>
    <cellStyle name="Currency 4 2 2 5 2 3 2" xfId="22643" xr:uid="{00000000-0005-0000-0000-0000BD1A0000}"/>
    <cellStyle name="Currency 4 2 2 5 2 4" xfId="22644" xr:uid="{00000000-0005-0000-0000-0000BE1A0000}"/>
    <cellStyle name="Currency 4 2 2 5 2 4 2" xfId="22645" xr:uid="{00000000-0005-0000-0000-0000BF1A0000}"/>
    <cellStyle name="Currency 4 2 2 5 2 5" xfId="22646" xr:uid="{00000000-0005-0000-0000-0000C01A0000}"/>
    <cellStyle name="Currency 4 2 2 5 2 6" xfId="22647" xr:uid="{00000000-0005-0000-0000-0000C11A0000}"/>
    <cellStyle name="Currency 4 2 2 5 3" xfId="22648" xr:uid="{00000000-0005-0000-0000-0000C21A0000}"/>
    <cellStyle name="Currency 4 2 2 5 3 2" xfId="22649" xr:uid="{00000000-0005-0000-0000-0000C31A0000}"/>
    <cellStyle name="Currency 4 2 2 5 3 2 2" xfId="22650" xr:uid="{00000000-0005-0000-0000-0000C41A0000}"/>
    <cellStyle name="Currency 4 2 2 5 3 3" xfId="22651" xr:uid="{00000000-0005-0000-0000-0000C51A0000}"/>
    <cellStyle name="Currency 4 2 2 5 3 3 2" xfId="22652" xr:uid="{00000000-0005-0000-0000-0000C61A0000}"/>
    <cellStyle name="Currency 4 2 2 5 3 4" xfId="22653" xr:uid="{00000000-0005-0000-0000-0000C71A0000}"/>
    <cellStyle name="Currency 4 2 2 5 3 4 2" xfId="22654" xr:uid="{00000000-0005-0000-0000-0000C81A0000}"/>
    <cellStyle name="Currency 4 2 2 5 3 5" xfId="22655" xr:uid="{00000000-0005-0000-0000-0000C91A0000}"/>
    <cellStyle name="Currency 4 2 2 5 3 6" xfId="22656" xr:uid="{00000000-0005-0000-0000-0000CA1A0000}"/>
    <cellStyle name="Currency 4 2 2 5 4" xfId="22657" xr:uid="{00000000-0005-0000-0000-0000CB1A0000}"/>
    <cellStyle name="Currency 4 2 2 5 4 2" xfId="22658" xr:uid="{00000000-0005-0000-0000-0000CC1A0000}"/>
    <cellStyle name="Currency 4 2 2 5 4 2 2" xfId="22659" xr:uid="{00000000-0005-0000-0000-0000CD1A0000}"/>
    <cellStyle name="Currency 4 2 2 5 4 3" xfId="22660" xr:uid="{00000000-0005-0000-0000-0000CE1A0000}"/>
    <cellStyle name="Currency 4 2 2 5 4 3 2" xfId="22661" xr:uid="{00000000-0005-0000-0000-0000CF1A0000}"/>
    <cellStyle name="Currency 4 2 2 5 4 4" xfId="22662" xr:uid="{00000000-0005-0000-0000-0000D01A0000}"/>
    <cellStyle name="Currency 4 2 2 5 4 4 2" xfId="22663" xr:uid="{00000000-0005-0000-0000-0000D11A0000}"/>
    <cellStyle name="Currency 4 2 2 5 4 5" xfId="22664" xr:uid="{00000000-0005-0000-0000-0000D21A0000}"/>
    <cellStyle name="Currency 4 2 2 5 4 6" xfId="22665" xr:uid="{00000000-0005-0000-0000-0000D31A0000}"/>
    <cellStyle name="Currency 4 2 2 5 5" xfId="22666" xr:uid="{00000000-0005-0000-0000-0000D41A0000}"/>
    <cellStyle name="Currency 4 2 2 5 5 2" xfId="22667" xr:uid="{00000000-0005-0000-0000-0000D51A0000}"/>
    <cellStyle name="Currency 4 2 2 5 5 2 2" xfId="22668" xr:uid="{00000000-0005-0000-0000-0000D61A0000}"/>
    <cellStyle name="Currency 4 2 2 5 5 3" xfId="22669" xr:uid="{00000000-0005-0000-0000-0000D71A0000}"/>
    <cellStyle name="Currency 4 2 2 5 5 3 2" xfId="22670" xr:uid="{00000000-0005-0000-0000-0000D81A0000}"/>
    <cellStyle name="Currency 4 2 2 5 5 4" xfId="22671" xr:uid="{00000000-0005-0000-0000-0000D91A0000}"/>
    <cellStyle name="Currency 4 2 2 5 5 4 2" xfId="22672" xr:uid="{00000000-0005-0000-0000-0000DA1A0000}"/>
    <cellStyle name="Currency 4 2 2 5 5 5" xfId="22673" xr:uid="{00000000-0005-0000-0000-0000DB1A0000}"/>
    <cellStyle name="Currency 4 2 2 5 5 6" xfId="22674" xr:uid="{00000000-0005-0000-0000-0000DC1A0000}"/>
    <cellStyle name="Currency 4 2 2 5 6" xfId="22675" xr:uid="{00000000-0005-0000-0000-0000DD1A0000}"/>
    <cellStyle name="Currency 4 2 2 5 6 2" xfId="22676" xr:uid="{00000000-0005-0000-0000-0000DE1A0000}"/>
    <cellStyle name="Currency 4 2 2 5 6 2 2" xfId="22677" xr:uid="{00000000-0005-0000-0000-0000DF1A0000}"/>
    <cellStyle name="Currency 4 2 2 5 6 3" xfId="22678" xr:uid="{00000000-0005-0000-0000-0000E01A0000}"/>
    <cellStyle name="Currency 4 2 2 5 6 3 2" xfId="22679" xr:uid="{00000000-0005-0000-0000-0000E11A0000}"/>
    <cellStyle name="Currency 4 2 2 5 6 4" xfId="22680" xr:uid="{00000000-0005-0000-0000-0000E21A0000}"/>
    <cellStyle name="Currency 4 2 2 5 6 5" xfId="22681" xr:uid="{00000000-0005-0000-0000-0000E31A0000}"/>
    <cellStyle name="Currency 4 2 2 5 7" xfId="22682" xr:uid="{00000000-0005-0000-0000-0000E41A0000}"/>
    <cellStyle name="Currency 4 2 2 5 7 2" xfId="22683" xr:uid="{00000000-0005-0000-0000-0000E51A0000}"/>
    <cellStyle name="Currency 4 2 2 5 8" xfId="22684" xr:uid="{00000000-0005-0000-0000-0000E61A0000}"/>
    <cellStyle name="Currency 4 2 2 5 8 2" xfId="22685" xr:uid="{00000000-0005-0000-0000-0000E71A0000}"/>
    <cellStyle name="Currency 4 2 2 5 9" xfId="22686" xr:uid="{00000000-0005-0000-0000-0000E81A0000}"/>
    <cellStyle name="Currency 4 2 2 5 9 2" xfId="22687" xr:uid="{00000000-0005-0000-0000-0000E91A0000}"/>
    <cellStyle name="Currency 4 2 2 6" xfId="22688" xr:uid="{00000000-0005-0000-0000-0000EA1A0000}"/>
    <cellStyle name="Currency 4 2 2 6 10" xfId="22689" xr:uid="{00000000-0005-0000-0000-0000EB1A0000}"/>
    <cellStyle name="Currency 4 2 2 6 2" xfId="22690" xr:uid="{00000000-0005-0000-0000-0000EC1A0000}"/>
    <cellStyle name="Currency 4 2 2 6 2 2" xfId="22691" xr:uid="{00000000-0005-0000-0000-0000ED1A0000}"/>
    <cellStyle name="Currency 4 2 2 6 2 2 2" xfId="22692" xr:uid="{00000000-0005-0000-0000-0000EE1A0000}"/>
    <cellStyle name="Currency 4 2 2 6 2 3" xfId="22693" xr:uid="{00000000-0005-0000-0000-0000EF1A0000}"/>
    <cellStyle name="Currency 4 2 2 6 2 3 2" xfId="22694" xr:uid="{00000000-0005-0000-0000-0000F01A0000}"/>
    <cellStyle name="Currency 4 2 2 6 2 4" xfId="22695" xr:uid="{00000000-0005-0000-0000-0000F11A0000}"/>
    <cellStyle name="Currency 4 2 2 6 2 4 2" xfId="22696" xr:uid="{00000000-0005-0000-0000-0000F21A0000}"/>
    <cellStyle name="Currency 4 2 2 6 2 5" xfId="22697" xr:uid="{00000000-0005-0000-0000-0000F31A0000}"/>
    <cellStyle name="Currency 4 2 2 6 2 6" xfId="22698" xr:uid="{00000000-0005-0000-0000-0000F41A0000}"/>
    <cellStyle name="Currency 4 2 2 6 3" xfId="22699" xr:uid="{00000000-0005-0000-0000-0000F51A0000}"/>
    <cellStyle name="Currency 4 2 2 6 3 2" xfId="22700" xr:uid="{00000000-0005-0000-0000-0000F61A0000}"/>
    <cellStyle name="Currency 4 2 2 6 3 2 2" xfId="22701" xr:uid="{00000000-0005-0000-0000-0000F71A0000}"/>
    <cellStyle name="Currency 4 2 2 6 3 3" xfId="22702" xr:uid="{00000000-0005-0000-0000-0000F81A0000}"/>
    <cellStyle name="Currency 4 2 2 6 3 3 2" xfId="22703" xr:uid="{00000000-0005-0000-0000-0000F91A0000}"/>
    <cellStyle name="Currency 4 2 2 6 3 4" xfId="22704" xr:uid="{00000000-0005-0000-0000-0000FA1A0000}"/>
    <cellStyle name="Currency 4 2 2 6 3 4 2" xfId="22705" xr:uid="{00000000-0005-0000-0000-0000FB1A0000}"/>
    <cellStyle name="Currency 4 2 2 6 3 5" xfId="22706" xr:uid="{00000000-0005-0000-0000-0000FC1A0000}"/>
    <cellStyle name="Currency 4 2 2 6 3 6" xfId="22707" xr:uid="{00000000-0005-0000-0000-0000FD1A0000}"/>
    <cellStyle name="Currency 4 2 2 6 4" xfId="22708" xr:uid="{00000000-0005-0000-0000-0000FE1A0000}"/>
    <cellStyle name="Currency 4 2 2 6 4 2" xfId="22709" xr:uid="{00000000-0005-0000-0000-0000FF1A0000}"/>
    <cellStyle name="Currency 4 2 2 6 4 2 2" xfId="22710" xr:uid="{00000000-0005-0000-0000-0000001B0000}"/>
    <cellStyle name="Currency 4 2 2 6 4 3" xfId="22711" xr:uid="{00000000-0005-0000-0000-0000011B0000}"/>
    <cellStyle name="Currency 4 2 2 6 4 3 2" xfId="22712" xr:uid="{00000000-0005-0000-0000-0000021B0000}"/>
    <cellStyle name="Currency 4 2 2 6 4 4" xfId="22713" xr:uid="{00000000-0005-0000-0000-0000031B0000}"/>
    <cellStyle name="Currency 4 2 2 6 4 4 2" xfId="22714" xr:uid="{00000000-0005-0000-0000-0000041B0000}"/>
    <cellStyle name="Currency 4 2 2 6 4 5" xfId="22715" xr:uid="{00000000-0005-0000-0000-0000051B0000}"/>
    <cellStyle name="Currency 4 2 2 6 4 6" xfId="22716" xr:uid="{00000000-0005-0000-0000-0000061B0000}"/>
    <cellStyle name="Currency 4 2 2 6 5" xfId="22717" xr:uid="{00000000-0005-0000-0000-0000071B0000}"/>
    <cellStyle name="Currency 4 2 2 6 5 2" xfId="22718" xr:uid="{00000000-0005-0000-0000-0000081B0000}"/>
    <cellStyle name="Currency 4 2 2 6 5 2 2" xfId="22719" xr:uid="{00000000-0005-0000-0000-0000091B0000}"/>
    <cellStyle name="Currency 4 2 2 6 5 3" xfId="22720" xr:uid="{00000000-0005-0000-0000-00000A1B0000}"/>
    <cellStyle name="Currency 4 2 2 6 5 3 2" xfId="22721" xr:uid="{00000000-0005-0000-0000-00000B1B0000}"/>
    <cellStyle name="Currency 4 2 2 6 5 4" xfId="22722" xr:uid="{00000000-0005-0000-0000-00000C1B0000}"/>
    <cellStyle name="Currency 4 2 2 6 5 5" xfId="22723" xr:uid="{00000000-0005-0000-0000-00000D1B0000}"/>
    <cellStyle name="Currency 4 2 2 6 6" xfId="22724" xr:uid="{00000000-0005-0000-0000-00000E1B0000}"/>
    <cellStyle name="Currency 4 2 2 6 6 2" xfId="22725" xr:uid="{00000000-0005-0000-0000-00000F1B0000}"/>
    <cellStyle name="Currency 4 2 2 6 7" xfId="22726" xr:uid="{00000000-0005-0000-0000-0000101B0000}"/>
    <cellStyle name="Currency 4 2 2 6 7 2" xfId="22727" xr:uid="{00000000-0005-0000-0000-0000111B0000}"/>
    <cellStyle name="Currency 4 2 2 6 8" xfId="22728" xr:uid="{00000000-0005-0000-0000-0000121B0000}"/>
    <cellStyle name="Currency 4 2 2 6 8 2" xfId="22729" xr:uid="{00000000-0005-0000-0000-0000131B0000}"/>
    <cellStyle name="Currency 4 2 2 6 9" xfId="22730" xr:uid="{00000000-0005-0000-0000-0000141B0000}"/>
    <cellStyle name="Currency 4 2 2 7" xfId="22731" xr:uid="{00000000-0005-0000-0000-0000151B0000}"/>
    <cellStyle name="Currency 4 2 2 7 10" xfId="22732" xr:uid="{00000000-0005-0000-0000-0000161B0000}"/>
    <cellStyle name="Currency 4 2 2 7 2" xfId="22733" xr:uid="{00000000-0005-0000-0000-0000171B0000}"/>
    <cellStyle name="Currency 4 2 2 7 2 2" xfId="22734" xr:uid="{00000000-0005-0000-0000-0000181B0000}"/>
    <cellStyle name="Currency 4 2 2 7 2 2 2" xfId="22735" xr:uid="{00000000-0005-0000-0000-0000191B0000}"/>
    <cellStyle name="Currency 4 2 2 7 2 3" xfId="22736" xr:uid="{00000000-0005-0000-0000-00001A1B0000}"/>
    <cellStyle name="Currency 4 2 2 7 2 3 2" xfId="22737" xr:uid="{00000000-0005-0000-0000-00001B1B0000}"/>
    <cellStyle name="Currency 4 2 2 7 2 4" xfId="22738" xr:uid="{00000000-0005-0000-0000-00001C1B0000}"/>
    <cellStyle name="Currency 4 2 2 7 2 4 2" xfId="22739" xr:uid="{00000000-0005-0000-0000-00001D1B0000}"/>
    <cellStyle name="Currency 4 2 2 7 2 5" xfId="22740" xr:uid="{00000000-0005-0000-0000-00001E1B0000}"/>
    <cellStyle name="Currency 4 2 2 7 2 6" xfId="22741" xr:uid="{00000000-0005-0000-0000-00001F1B0000}"/>
    <cellStyle name="Currency 4 2 2 7 3" xfId="22742" xr:uid="{00000000-0005-0000-0000-0000201B0000}"/>
    <cellStyle name="Currency 4 2 2 7 3 2" xfId="22743" xr:uid="{00000000-0005-0000-0000-0000211B0000}"/>
    <cellStyle name="Currency 4 2 2 7 3 2 2" xfId="22744" xr:uid="{00000000-0005-0000-0000-0000221B0000}"/>
    <cellStyle name="Currency 4 2 2 7 3 3" xfId="22745" xr:uid="{00000000-0005-0000-0000-0000231B0000}"/>
    <cellStyle name="Currency 4 2 2 7 3 3 2" xfId="22746" xr:uid="{00000000-0005-0000-0000-0000241B0000}"/>
    <cellStyle name="Currency 4 2 2 7 3 4" xfId="22747" xr:uid="{00000000-0005-0000-0000-0000251B0000}"/>
    <cellStyle name="Currency 4 2 2 7 3 4 2" xfId="22748" xr:uid="{00000000-0005-0000-0000-0000261B0000}"/>
    <cellStyle name="Currency 4 2 2 7 3 5" xfId="22749" xr:uid="{00000000-0005-0000-0000-0000271B0000}"/>
    <cellStyle name="Currency 4 2 2 7 3 6" xfId="22750" xr:uid="{00000000-0005-0000-0000-0000281B0000}"/>
    <cellStyle name="Currency 4 2 2 7 4" xfId="22751" xr:uid="{00000000-0005-0000-0000-0000291B0000}"/>
    <cellStyle name="Currency 4 2 2 7 4 2" xfId="22752" xr:uid="{00000000-0005-0000-0000-00002A1B0000}"/>
    <cellStyle name="Currency 4 2 2 7 4 2 2" xfId="22753" xr:uid="{00000000-0005-0000-0000-00002B1B0000}"/>
    <cellStyle name="Currency 4 2 2 7 4 3" xfId="22754" xr:uid="{00000000-0005-0000-0000-00002C1B0000}"/>
    <cellStyle name="Currency 4 2 2 7 4 3 2" xfId="22755" xr:uid="{00000000-0005-0000-0000-00002D1B0000}"/>
    <cellStyle name="Currency 4 2 2 7 4 4" xfId="22756" xr:uid="{00000000-0005-0000-0000-00002E1B0000}"/>
    <cellStyle name="Currency 4 2 2 7 4 4 2" xfId="22757" xr:uid="{00000000-0005-0000-0000-00002F1B0000}"/>
    <cellStyle name="Currency 4 2 2 7 4 5" xfId="22758" xr:uid="{00000000-0005-0000-0000-0000301B0000}"/>
    <cellStyle name="Currency 4 2 2 7 4 6" xfId="22759" xr:uid="{00000000-0005-0000-0000-0000311B0000}"/>
    <cellStyle name="Currency 4 2 2 7 5" xfId="22760" xr:uid="{00000000-0005-0000-0000-0000321B0000}"/>
    <cellStyle name="Currency 4 2 2 7 5 2" xfId="22761" xr:uid="{00000000-0005-0000-0000-0000331B0000}"/>
    <cellStyle name="Currency 4 2 2 7 5 2 2" xfId="22762" xr:uid="{00000000-0005-0000-0000-0000341B0000}"/>
    <cellStyle name="Currency 4 2 2 7 5 3" xfId="22763" xr:uid="{00000000-0005-0000-0000-0000351B0000}"/>
    <cellStyle name="Currency 4 2 2 7 5 3 2" xfId="22764" xr:uid="{00000000-0005-0000-0000-0000361B0000}"/>
    <cellStyle name="Currency 4 2 2 7 5 4" xfId="22765" xr:uid="{00000000-0005-0000-0000-0000371B0000}"/>
    <cellStyle name="Currency 4 2 2 7 5 5" xfId="22766" xr:uid="{00000000-0005-0000-0000-0000381B0000}"/>
    <cellStyle name="Currency 4 2 2 7 6" xfId="22767" xr:uid="{00000000-0005-0000-0000-0000391B0000}"/>
    <cellStyle name="Currency 4 2 2 7 6 2" xfId="22768" xr:uid="{00000000-0005-0000-0000-00003A1B0000}"/>
    <cellStyle name="Currency 4 2 2 7 7" xfId="22769" xr:uid="{00000000-0005-0000-0000-00003B1B0000}"/>
    <cellStyle name="Currency 4 2 2 7 7 2" xfId="22770" xr:uid="{00000000-0005-0000-0000-00003C1B0000}"/>
    <cellStyle name="Currency 4 2 2 7 8" xfId="22771" xr:uid="{00000000-0005-0000-0000-00003D1B0000}"/>
    <cellStyle name="Currency 4 2 2 7 8 2" xfId="22772" xr:uid="{00000000-0005-0000-0000-00003E1B0000}"/>
    <cellStyle name="Currency 4 2 2 7 9" xfId="22773" xr:uid="{00000000-0005-0000-0000-00003F1B0000}"/>
    <cellStyle name="Currency 4 2 2 8" xfId="22774" xr:uid="{00000000-0005-0000-0000-0000401B0000}"/>
    <cellStyle name="Currency 4 2 2 8 2" xfId="22775" xr:uid="{00000000-0005-0000-0000-0000411B0000}"/>
    <cellStyle name="Currency 4 2 2 8 2 2" xfId="22776" xr:uid="{00000000-0005-0000-0000-0000421B0000}"/>
    <cellStyle name="Currency 4 2 2 8 3" xfId="22777" xr:uid="{00000000-0005-0000-0000-0000431B0000}"/>
    <cellStyle name="Currency 4 2 2 8 3 2" xfId="22778" xr:uid="{00000000-0005-0000-0000-0000441B0000}"/>
    <cellStyle name="Currency 4 2 2 8 4" xfId="22779" xr:uid="{00000000-0005-0000-0000-0000451B0000}"/>
    <cellStyle name="Currency 4 2 2 8 4 2" xfId="22780" xr:uid="{00000000-0005-0000-0000-0000461B0000}"/>
    <cellStyle name="Currency 4 2 2 8 5" xfId="22781" xr:uid="{00000000-0005-0000-0000-0000471B0000}"/>
    <cellStyle name="Currency 4 2 2 8 6" xfId="22782" xr:uid="{00000000-0005-0000-0000-0000481B0000}"/>
    <cellStyle name="Currency 4 2 2 9" xfId="22783" xr:uid="{00000000-0005-0000-0000-0000491B0000}"/>
    <cellStyle name="Currency 4 2 2 9 2" xfId="22784" xr:uid="{00000000-0005-0000-0000-00004A1B0000}"/>
    <cellStyle name="Currency 4 2 2 9 2 2" xfId="22785" xr:uid="{00000000-0005-0000-0000-00004B1B0000}"/>
    <cellStyle name="Currency 4 2 2 9 3" xfId="22786" xr:uid="{00000000-0005-0000-0000-00004C1B0000}"/>
    <cellStyle name="Currency 4 2 2 9 3 2" xfId="22787" xr:uid="{00000000-0005-0000-0000-00004D1B0000}"/>
    <cellStyle name="Currency 4 2 2 9 4" xfId="22788" xr:uid="{00000000-0005-0000-0000-00004E1B0000}"/>
    <cellStyle name="Currency 4 2 2 9 4 2" xfId="22789" xr:uid="{00000000-0005-0000-0000-00004F1B0000}"/>
    <cellStyle name="Currency 4 2 2 9 5" xfId="22790" xr:uid="{00000000-0005-0000-0000-0000501B0000}"/>
    <cellStyle name="Currency 4 2 2 9 6" xfId="22791" xr:uid="{00000000-0005-0000-0000-0000511B0000}"/>
    <cellStyle name="Currency 4 2 3" xfId="22792" xr:uid="{00000000-0005-0000-0000-0000521B0000}"/>
    <cellStyle name="Currency 4 2 3 10" xfId="22793" xr:uid="{00000000-0005-0000-0000-0000531B0000}"/>
    <cellStyle name="Currency 4 2 3 10 2" xfId="22794" xr:uid="{00000000-0005-0000-0000-0000541B0000}"/>
    <cellStyle name="Currency 4 2 3 11" xfId="22795" xr:uid="{00000000-0005-0000-0000-0000551B0000}"/>
    <cellStyle name="Currency 4 2 3 11 2" xfId="22796" xr:uid="{00000000-0005-0000-0000-0000561B0000}"/>
    <cellStyle name="Currency 4 2 3 12" xfId="22797" xr:uid="{00000000-0005-0000-0000-0000571B0000}"/>
    <cellStyle name="Currency 4 2 3 13" xfId="22798" xr:uid="{00000000-0005-0000-0000-0000581B0000}"/>
    <cellStyle name="Currency 4 2 3 2" xfId="22799" xr:uid="{00000000-0005-0000-0000-0000591B0000}"/>
    <cellStyle name="Currency 4 2 3 2 10" xfId="22800" xr:uid="{00000000-0005-0000-0000-00005A1B0000}"/>
    <cellStyle name="Currency 4 2 3 2 11" xfId="22801" xr:uid="{00000000-0005-0000-0000-00005B1B0000}"/>
    <cellStyle name="Currency 4 2 3 2 2" xfId="22802" xr:uid="{00000000-0005-0000-0000-00005C1B0000}"/>
    <cellStyle name="Currency 4 2 3 2 2 2" xfId="22803" xr:uid="{00000000-0005-0000-0000-00005D1B0000}"/>
    <cellStyle name="Currency 4 2 3 2 2 2 2" xfId="22804" xr:uid="{00000000-0005-0000-0000-00005E1B0000}"/>
    <cellStyle name="Currency 4 2 3 2 2 3" xfId="22805" xr:uid="{00000000-0005-0000-0000-00005F1B0000}"/>
    <cellStyle name="Currency 4 2 3 2 2 3 2" xfId="22806" xr:uid="{00000000-0005-0000-0000-0000601B0000}"/>
    <cellStyle name="Currency 4 2 3 2 2 4" xfId="22807" xr:uid="{00000000-0005-0000-0000-0000611B0000}"/>
    <cellStyle name="Currency 4 2 3 2 2 4 2" xfId="22808" xr:uid="{00000000-0005-0000-0000-0000621B0000}"/>
    <cellStyle name="Currency 4 2 3 2 2 5" xfId="22809" xr:uid="{00000000-0005-0000-0000-0000631B0000}"/>
    <cellStyle name="Currency 4 2 3 2 2 6" xfId="22810" xr:uid="{00000000-0005-0000-0000-0000641B0000}"/>
    <cellStyle name="Currency 4 2 3 2 3" xfId="22811" xr:uid="{00000000-0005-0000-0000-0000651B0000}"/>
    <cellStyle name="Currency 4 2 3 2 3 2" xfId="22812" xr:uid="{00000000-0005-0000-0000-0000661B0000}"/>
    <cellStyle name="Currency 4 2 3 2 3 2 2" xfId="22813" xr:uid="{00000000-0005-0000-0000-0000671B0000}"/>
    <cellStyle name="Currency 4 2 3 2 3 3" xfId="22814" xr:uid="{00000000-0005-0000-0000-0000681B0000}"/>
    <cellStyle name="Currency 4 2 3 2 3 3 2" xfId="22815" xr:uid="{00000000-0005-0000-0000-0000691B0000}"/>
    <cellStyle name="Currency 4 2 3 2 3 4" xfId="22816" xr:uid="{00000000-0005-0000-0000-00006A1B0000}"/>
    <cellStyle name="Currency 4 2 3 2 3 4 2" xfId="22817" xr:uid="{00000000-0005-0000-0000-00006B1B0000}"/>
    <cellStyle name="Currency 4 2 3 2 3 5" xfId="22818" xr:uid="{00000000-0005-0000-0000-00006C1B0000}"/>
    <cellStyle name="Currency 4 2 3 2 3 6" xfId="22819" xr:uid="{00000000-0005-0000-0000-00006D1B0000}"/>
    <cellStyle name="Currency 4 2 3 2 4" xfId="22820" xr:uid="{00000000-0005-0000-0000-00006E1B0000}"/>
    <cellStyle name="Currency 4 2 3 2 4 2" xfId="22821" xr:uid="{00000000-0005-0000-0000-00006F1B0000}"/>
    <cellStyle name="Currency 4 2 3 2 4 2 2" xfId="22822" xr:uid="{00000000-0005-0000-0000-0000701B0000}"/>
    <cellStyle name="Currency 4 2 3 2 4 3" xfId="22823" xr:uid="{00000000-0005-0000-0000-0000711B0000}"/>
    <cellStyle name="Currency 4 2 3 2 4 3 2" xfId="22824" xr:uid="{00000000-0005-0000-0000-0000721B0000}"/>
    <cellStyle name="Currency 4 2 3 2 4 4" xfId="22825" xr:uid="{00000000-0005-0000-0000-0000731B0000}"/>
    <cellStyle name="Currency 4 2 3 2 4 4 2" xfId="22826" xr:uid="{00000000-0005-0000-0000-0000741B0000}"/>
    <cellStyle name="Currency 4 2 3 2 4 5" xfId="22827" xr:uid="{00000000-0005-0000-0000-0000751B0000}"/>
    <cellStyle name="Currency 4 2 3 2 4 6" xfId="22828" xr:uid="{00000000-0005-0000-0000-0000761B0000}"/>
    <cellStyle name="Currency 4 2 3 2 5" xfId="22829" xr:uid="{00000000-0005-0000-0000-0000771B0000}"/>
    <cellStyle name="Currency 4 2 3 2 5 2" xfId="22830" xr:uid="{00000000-0005-0000-0000-0000781B0000}"/>
    <cellStyle name="Currency 4 2 3 2 5 2 2" xfId="22831" xr:uid="{00000000-0005-0000-0000-0000791B0000}"/>
    <cellStyle name="Currency 4 2 3 2 5 3" xfId="22832" xr:uid="{00000000-0005-0000-0000-00007A1B0000}"/>
    <cellStyle name="Currency 4 2 3 2 5 3 2" xfId="22833" xr:uid="{00000000-0005-0000-0000-00007B1B0000}"/>
    <cellStyle name="Currency 4 2 3 2 5 4" xfId="22834" xr:uid="{00000000-0005-0000-0000-00007C1B0000}"/>
    <cellStyle name="Currency 4 2 3 2 5 4 2" xfId="22835" xr:uid="{00000000-0005-0000-0000-00007D1B0000}"/>
    <cellStyle name="Currency 4 2 3 2 5 5" xfId="22836" xr:uid="{00000000-0005-0000-0000-00007E1B0000}"/>
    <cellStyle name="Currency 4 2 3 2 5 6" xfId="22837" xr:uid="{00000000-0005-0000-0000-00007F1B0000}"/>
    <cellStyle name="Currency 4 2 3 2 6" xfId="22838" xr:uid="{00000000-0005-0000-0000-0000801B0000}"/>
    <cellStyle name="Currency 4 2 3 2 6 2" xfId="22839" xr:uid="{00000000-0005-0000-0000-0000811B0000}"/>
    <cellStyle name="Currency 4 2 3 2 6 2 2" xfId="22840" xr:uid="{00000000-0005-0000-0000-0000821B0000}"/>
    <cellStyle name="Currency 4 2 3 2 6 3" xfId="22841" xr:uid="{00000000-0005-0000-0000-0000831B0000}"/>
    <cellStyle name="Currency 4 2 3 2 6 3 2" xfId="22842" xr:uid="{00000000-0005-0000-0000-0000841B0000}"/>
    <cellStyle name="Currency 4 2 3 2 6 4" xfId="22843" xr:uid="{00000000-0005-0000-0000-0000851B0000}"/>
    <cellStyle name="Currency 4 2 3 2 6 5" xfId="22844" xr:uid="{00000000-0005-0000-0000-0000861B0000}"/>
    <cellStyle name="Currency 4 2 3 2 7" xfId="22845" xr:uid="{00000000-0005-0000-0000-0000871B0000}"/>
    <cellStyle name="Currency 4 2 3 2 7 2" xfId="22846" xr:uid="{00000000-0005-0000-0000-0000881B0000}"/>
    <cellStyle name="Currency 4 2 3 2 8" xfId="22847" xr:uid="{00000000-0005-0000-0000-0000891B0000}"/>
    <cellStyle name="Currency 4 2 3 2 8 2" xfId="22848" xr:uid="{00000000-0005-0000-0000-00008A1B0000}"/>
    <cellStyle name="Currency 4 2 3 2 9" xfId="22849" xr:uid="{00000000-0005-0000-0000-00008B1B0000}"/>
    <cellStyle name="Currency 4 2 3 2 9 2" xfId="22850" xr:uid="{00000000-0005-0000-0000-00008C1B0000}"/>
    <cellStyle name="Currency 4 2 3 3" xfId="22851" xr:uid="{00000000-0005-0000-0000-00008D1B0000}"/>
    <cellStyle name="Currency 4 2 3 3 10" xfId="22852" xr:uid="{00000000-0005-0000-0000-00008E1B0000}"/>
    <cellStyle name="Currency 4 2 3 3 2" xfId="22853" xr:uid="{00000000-0005-0000-0000-00008F1B0000}"/>
    <cellStyle name="Currency 4 2 3 3 2 2" xfId="22854" xr:uid="{00000000-0005-0000-0000-0000901B0000}"/>
    <cellStyle name="Currency 4 2 3 3 2 2 2" xfId="22855" xr:uid="{00000000-0005-0000-0000-0000911B0000}"/>
    <cellStyle name="Currency 4 2 3 3 2 3" xfId="22856" xr:uid="{00000000-0005-0000-0000-0000921B0000}"/>
    <cellStyle name="Currency 4 2 3 3 2 3 2" xfId="22857" xr:uid="{00000000-0005-0000-0000-0000931B0000}"/>
    <cellStyle name="Currency 4 2 3 3 2 4" xfId="22858" xr:uid="{00000000-0005-0000-0000-0000941B0000}"/>
    <cellStyle name="Currency 4 2 3 3 2 4 2" xfId="22859" xr:uid="{00000000-0005-0000-0000-0000951B0000}"/>
    <cellStyle name="Currency 4 2 3 3 2 5" xfId="22860" xr:uid="{00000000-0005-0000-0000-0000961B0000}"/>
    <cellStyle name="Currency 4 2 3 3 2 6" xfId="22861" xr:uid="{00000000-0005-0000-0000-0000971B0000}"/>
    <cellStyle name="Currency 4 2 3 3 3" xfId="22862" xr:uid="{00000000-0005-0000-0000-0000981B0000}"/>
    <cellStyle name="Currency 4 2 3 3 3 2" xfId="22863" xr:uid="{00000000-0005-0000-0000-0000991B0000}"/>
    <cellStyle name="Currency 4 2 3 3 3 2 2" xfId="22864" xr:uid="{00000000-0005-0000-0000-00009A1B0000}"/>
    <cellStyle name="Currency 4 2 3 3 3 3" xfId="22865" xr:uid="{00000000-0005-0000-0000-00009B1B0000}"/>
    <cellStyle name="Currency 4 2 3 3 3 3 2" xfId="22866" xr:uid="{00000000-0005-0000-0000-00009C1B0000}"/>
    <cellStyle name="Currency 4 2 3 3 3 4" xfId="22867" xr:uid="{00000000-0005-0000-0000-00009D1B0000}"/>
    <cellStyle name="Currency 4 2 3 3 3 4 2" xfId="22868" xr:uid="{00000000-0005-0000-0000-00009E1B0000}"/>
    <cellStyle name="Currency 4 2 3 3 3 5" xfId="22869" xr:uid="{00000000-0005-0000-0000-00009F1B0000}"/>
    <cellStyle name="Currency 4 2 3 3 3 6" xfId="22870" xr:uid="{00000000-0005-0000-0000-0000A01B0000}"/>
    <cellStyle name="Currency 4 2 3 3 4" xfId="22871" xr:uid="{00000000-0005-0000-0000-0000A11B0000}"/>
    <cellStyle name="Currency 4 2 3 3 4 2" xfId="22872" xr:uid="{00000000-0005-0000-0000-0000A21B0000}"/>
    <cellStyle name="Currency 4 2 3 3 4 2 2" xfId="22873" xr:uid="{00000000-0005-0000-0000-0000A31B0000}"/>
    <cellStyle name="Currency 4 2 3 3 4 3" xfId="22874" xr:uid="{00000000-0005-0000-0000-0000A41B0000}"/>
    <cellStyle name="Currency 4 2 3 3 4 3 2" xfId="22875" xr:uid="{00000000-0005-0000-0000-0000A51B0000}"/>
    <cellStyle name="Currency 4 2 3 3 4 4" xfId="22876" xr:uid="{00000000-0005-0000-0000-0000A61B0000}"/>
    <cellStyle name="Currency 4 2 3 3 4 4 2" xfId="22877" xr:uid="{00000000-0005-0000-0000-0000A71B0000}"/>
    <cellStyle name="Currency 4 2 3 3 4 5" xfId="22878" xr:uid="{00000000-0005-0000-0000-0000A81B0000}"/>
    <cellStyle name="Currency 4 2 3 3 4 6" xfId="22879" xr:uid="{00000000-0005-0000-0000-0000A91B0000}"/>
    <cellStyle name="Currency 4 2 3 3 5" xfId="22880" xr:uid="{00000000-0005-0000-0000-0000AA1B0000}"/>
    <cellStyle name="Currency 4 2 3 3 5 2" xfId="22881" xr:uid="{00000000-0005-0000-0000-0000AB1B0000}"/>
    <cellStyle name="Currency 4 2 3 3 5 2 2" xfId="22882" xr:uid="{00000000-0005-0000-0000-0000AC1B0000}"/>
    <cellStyle name="Currency 4 2 3 3 5 3" xfId="22883" xr:uid="{00000000-0005-0000-0000-0000AD1B0000}"/>
    <cellStyle name="Currency 4 2 3 3 5 3 2" xfId="22884" xr:uid="{00000000-0005-0000-0000-0000AE1B0000}"/>
    <cellStyle name="Currency 4 2 3 3 5 4" xfId="22885" xr:uid="{00000000-0005-0000-0000-0000AF1B0000}"/>
    <cellStyle name="Currency 4 2 3 3 5 5" xfId="22886" xr:uid="{00000000-0005-0000-0000-0000B01B0000}"/>
    <cellStyle name="Currency 4 2 3 3 6" xfId="22887" xr:uid="{00000000-0005-0000-0000-0000B11B0000}"/>
    <cellStyle name="Currency 4 2 3 3 6 2" xfId="22888" xr:uid="{00000000-0005-0000-0000-0000B21B0000}"/>
    <cellStyle name="Currency 4 2 3 3 7" xfId="22889" xr:uid="{00000000-0005-0000-0000-0000B31B0000}"/>
    <cellStyle name="Currency 4 2 3 3 7 2" xfId="22890" xr:uid="{00000000-0005-0000-0000-0000B41B0000}"/>
    <cellStyle name="Currency 4 2 3 3 8" xfId="22891" xr:uid="{00000000-0005-0000-0000-0000B51B0000}"/>
    <cellStyle name="Currency 4 2 3 3 8 2" xfId="22892" xr:uid="{00000000-0005-0000-0000-0000B61B0000}"/>
    <cellStyle name="Currency 4 2 3 3 9" xfId="22893" xr:uid="{00000000-0005-0000-0000-0000B71B0000}"/>
    <cellStyle name="Currency 4 2 3 4" xfId="22894" xr:uid="{00000000-0005-0000-0000-0000B81B0000}"/>
    <cellStyle name="Currency 4 2 3 4 10" xfId="22895" xr:uid="{00000000-0005-0000-0000-0000B91B0000}"/>
    <cellStyle name="Currency 4 2 3 4 2" xfId="22896" xr:uid="{00000000-0005-0000-0000-0000BA1B0000}"/>
    <cellStyle name="Currency 4 2 3 4 2 2" xfId="22897" xr:uid="{00000000-0005-0000-0000-0000BB1B0000}"/>
    <cellStyle name="Currency 4 2 3 4 2 2 2" xfId="22898" xr:uid="{00000000-0005-0000-0000-0000BC1B0000}"/>
    <cellStyle name="Currency 4 2 3 4 2 3" xfId="22899" xr:uid="{00000000-0005-0000-0000-0000BD1B0000}"/>
    <cellStyle name="Currency 4 2 3 4 2 3 2" xfId="22900" xr:uid="{00000000-0005-0000-0000-0000BE1B0000}"/>
    <cellStyle name="Currency 4 2 3 4 2 4" xfId="22901" xr:uid="{00000000-0005-0000-0000-0000BF1B0000}"/>
    <cellStyle name="Currency 4 2 3 4 2 4 2" xfId="22902" xr:uid="{00000000-0005-0000-0000-0000C01B0000}"/>
    <cellStyle name="Currency 4 2 3 4 2 5" xfId="22903" xr:uid="{00000000-0005-0000-0000-0000C11B0000}"/>
    <cellStyle name="Currency 4 2 3 4 2 6" xfId="22904" xr:uid="{00000000-0005-0000-0000-0000C21B0000}"/>
    <cellStyle name="Currency 4 2 3 4 3" xfId="22905" xr:uid="{00000000-0005-0000-0000-0000C31B0000}"/>
    <cellStyle name="Currency 4 2 3 4 3 2" xfId="22906" xr:uid="{00000000-0005-0000-0000-0000C41B0000}"/>
    <cellStyle name="Currency 4 2 3 4 3 2 2" xfId="22907" xr:uid="{00000000-0005-0000-0000-0000C51B0000}"/>
    <cellStyle name="Currency 4 2 3 4 3 3" xfId="22908" xr:uid="{00000000-0005-0000-0000-0000C61B0000}"/>
    <cellStyle name="Currency 4 2 3 4 3 3 2" xfId="22909" xr:uid="{00000000-0005-0000-0000-0000C71B0000}"/>
    <cellStyle name="Currency 4 2 3 4 3 4" xfId="22910" xr:uid="{00000000-0005-0000-0000-0000C81B0000}"/>
    <cellStyle name="Currency 4 2 3 4 3 4 2" xfId="22911" xr:uid="{00000000-0005-0000-0000-0000C91B0000}"/>
    <cellStyle name="Currency 4 2 3 4 3 5" xfId="22912" xr:uid="{00000000-0005-0000-0000-0000CA1B0000}"/>
    <cellStyle name="Currency 4 2 3 4 3 6" xfId="22913" xr:uid="{00000000-0005-0000-0000-0000CB1B0000}"/>
    <cellStyle name="Currency 4 2 3 4 4" xfId="22914" xr:uid="{00000000-0005-0000-0000-0000CC1B0000}"/>
    <cellStyle name="Currency 4 2 3 4 4 2" xfId="22915" xr:uid="{00000000-0005-0000-0000-0000CD1B0000}"/>
    <cellStyle name="Currency 4 2 3 4 4 2 2" xfId="22916" xr:uid="{00000000-0005-0000-0000-0000CE1B0000}"/>
    <cellStyle name="Currency 4 2 3 4 4 3" xfId="22917" xr:uid="{00000000-0005-0000-0000-0000CF1B0000}"/>
    <cellStyle name="Currency 4 2 3 4 4 3 2" xfId="22918" xr:uid="{00000000-0005-0000-0000-0000D01B0000}"/>
    <cellStyle name="Currency 4 2 3 4 4 4" xfId="22919" xr:uid="{00000000-0005-0000-0000-0000D11B0000}"/>
    <cellStyle name="Currency 4 2 3 4 4 4 2" xfId="22920" xr:uid="{00000000-0005-0000-0000-0000D21B0000}"/>
    <cellStyle name="Currency 4 2 3 4 4 5" xfId="22921" xr:uid="{00000000-0005-0000-0000-0000D31B0000}"/>
    <cellStyle name="Currency 4 2 3 4 4 6" xfId="22922" xr:uid="{00000000-0005-0000-0000-0000D41B0000}"/>
    <cellStyle name="Currency 4 2 3 4 5" xfId="22923" xr:uid="{00000000-0005-0000-0000-0000D51B0000}"/>
    <cellStyle name="Currency 4 2 3 4 5 2" xfId="22924" xr:uid="{00000000-0005-0000-0000-0000D61B0000}"/>
    <cellStyle name="Currency 4 2 3 4 5 2 2" xfId="22925" xr:uid="{00000000-0005-0000-0000-0000D71B0000}"/>
    <cellStyle name="Currency 4 2 3 4 5 3" xfId="22926" xr:uid="{00000000-0005-0000-0000-0000D81B0000}"/>
    <cellStyle name="Currency 4 2 3 4 5 3 2" xfId="22927" xr:uid="{00000000-0005-0000-0000-0000D91B0000}"/>
    <cellStyle name="Currency 4 2 3 4 5 4" xfId="22928" xr:uid="{00000000-0005-0000-0000-0000DA1B0000}"/>
    <cellStyle name="Currency 4 2 3 4 5 5" xfId="22929" xr:uid="{00000000-0005-0000-0000-0000DB1B0000}"/>
    <cellStyle name="Currency 4 2 3 4 6" xfId="22930" xr:uid="{00000000-0005-0000-0000-0000DC1B0000}"/>
    <cellStyle name="Currency 4 2 3 4 6 2" xfId="22931" xr:uid="{00000000-0005-0000-0000-0000DD1B0000}"/>
    <cellStyle name="Currency 4 2 3 4 7" xfId="22932" xr:uid="{00000000-0005-0000-0000-0000DE1B0000}"/>
    <cellStyle name="Currency 4 2 3 4 7 2" xfId="22933" xr:uid="{00000000-0005-0000-0000-0000DF1B0000}"/>
    <cellStyle name="Currency 4 2 3 4 8" xfId="22934" xr:uid="{00000000-0005-0000-0000-0000E01B0000}"/>
    <cellStyle name="Currency 4 2 3 4 8 2" xfId="22935" xr:uid="{00000000-0005-0000-0000-0000E11B0000}"/>
    <cellStyle name="Currency 4 2 3 4 9" xfId="22936" xr:uid="{00000000-0005-0000-0000-0000E21B0000}"/>
    <cellStyle name="Currency 4 2 3 5" xfId="22937" xr:uid="{00000000-0005-0000-0000-0000E31B0000}"/>
    <cellStyle name="Currency 4 2 3 5 2" xfId="22938" xr:uid="{00000000-0005-0000-0000-0000E41B0000}"/>
    <cellStyle name="Currency 4 2 3 5 2 2" xfId="22939" xr:uid="{00000000-0005-0000-0000-0000E51B0000}"/>
    <cellStyle name="Currency 4 2 3 5 3" xfId="22940" xr:uid="{00000000-0005-0000-0000-0000E61B0000}"/>
    <cellStyle name="Currency 4 2 3 5 3 2" xfId="22941" xr:uid="{00000000-0005-0000-0000-0000E71B0000}"/>
    <cellStyle name="Currency 4 2 3 5 4" xfId="22942" xr:uid="{00000000-0005-0000-0000-0000E81B0000}"/>
    <cellStyle name="Currency 4 2 3 5 4 2" xfId="22943" xr:uid="{00000000-0005-0000-0000-0000E91B0000}"/>
    <cellStyle name="Currency 4 2 3 5 5" xfId="22944" xr:uid="{00000000-0005-0000-0000-0000EA1B0000}"/>
    <cellStyle name="Currency 4 2 3 5 6" xfId="22945" xr:uid="{00000000-0005-0000-0000-0000EB1B0000}"/>
    <cellStyle name="Currency 4 2 3 6" xfId="22946" xr:uid="{00000000-0005-0000-0000-0000EC1B0000}"/>
    <cellStyle name="Currency 4 2 3 6 2" xfId="22947" xr:uid="{00000000-0005-0000-0000-0000ED1B0000}"/>
    <cellStyle name="Currency 4 2 3 6 2 2" xfId="22948" xr:uid="{00000000-0005-0000-0000-0000EE1B0000}"/>
    <cellStyle name="Currency 4 2 3 6 3" xfId="22949" xr:uid="{00000000-0005-0000-0000-0000EF1B0000}"/>
    <cellStyle name="Currency 4 2 3 6 3 2" xfId="22950" xr:uid="{00000000-0005-0000-0000-0000F01B0000}"/>
    <cellStyle name="Currency 4 2 3 6 4" xfId="22951" xr:uid="{00000000-0005-0000-0000-0000F11B0000}"/>
    <cellStyle name="Currency 4 2 3 6 4 2" xfId="22952" xr:uid="{00000000-0005-0000-0000-0000F21B0000}"/>
    <cellStyle name="Currency 4 2 3 6 5" xfId="22953" xr:uid="{00000000-0005-0000-0000-0000F31B0000}"/>
    <cellStyle name="Currency 4 2 3 6 6" xfId="22954" xr:uid="{00000000-0005-0000-0000-0000F41B0000}"/>
    <cellStyle name="Currency 4 2 3 7" xfId="22955" xr:uid="{00000000-0005-0000-0000-0000F51B0000}"/>
    <cellStyle name="Currency 4 2 3 7 2" xfId="22956" xr:uid="{00000000-0005-0000-0000-0000F61B0000}"/>
    <cellStyle name="Currency 4 2 3 7 2 2" xfId="22957" xr:uid="{00000000-0005-0000-0000-0000F71B0000}"/>
    <cellStyle name="Currency 4 2 3 7 3" xfId="22958" xr:uid="{00000000-0005-0000-0000-0000F81B0000}"/>
    <cellStyle name="Currency 4 2 3 7 3 2" xfId="22959" xr:uid="{00000000-0005-0000-0000-0000F91B0000}"/>
    <cellStyle name="Currency 4 2 3 7 4" xfId="22960" xr:uid="{00000000-0005-0000-0000-0000FA1B0000}"/>
    <cellStyle name="Currency 4 2 3 7 4 2" xfId="22961" xr:uid="{00000000-0005-0000-0000-0000FB1B0000}"/>
    <cellStyle name="Currency 4 2 3 7 5" xfId="22962" xr:uid="{00000000-0005-0000-0000-0000FC1B0000}"/>
    <cellStyle name="Currency 4 2 3 7 6" xfId="22963" xr:uid="{00000000-0005-0000-0000-0000FD1B0000}"/>
    <cellStyle name="Currency 4 2 3 8" xfId="22964" xr:uid="{00000000-0005-0000-0000-0000FE1B0000}"/>
    <cellStyle name="Currency 4 2 3 8 2" xfId="22965" xr:uid="{00000000-0005-0000-0000-0000FF1B0000}"/>
    <cellStyle name="Currency 4 2 3 8 2 2" xfId="22966" xr:uid="{00000000-0005-0000-0000-0000001C0000}"/>
    <cellStyle name="Currency 4 2 3 8 3" xfId="22967" xr:uid="{00000000-0005-0000-0000-0000011C0000}"/>
    <cellStyle name="Currency 4 2 3 8 3 2" xfId="22968" xr:uid="{00000000-0005-0000-0000-0000021C0000}"/>
    <cellStyle name="Currency 4 2 3 8 4" xfId="22969" xr:uid="{00000000-0005-0000-0000-0000031C0000}"/>
    <cellStyle name="Currency 4 2 3 8 5" xfId="22970" xr:uid="{00000000-0005-0000-0000-0000041C0000}"/>
    <cellStyle name="Currency 4 2 3 9" xfId="22971" xr:uid="{00000000-0005-0000-0000-0000051C0000}"/>
    <cellStyle name="Currency 4 2 3 9 2" xfId="22972" xr:uid="{00000000-0005-0000-0000-0000061C0000}"/>
    <cellStyle name="Currency 4 2 4" xfId="22973" xr:uid="{00000000-0005-0000-0000-0000071C0000}"/>
    <cellStyle name="Currency 4 2 4 10" xfId="22974" xr:uid="{00000000-0005-0000-0000-0000081C0000}"/>
    <cellStyle name="Currency 4 2 4 10 2" xfId="22975" xr:uid="{00000000-0005-0000-0000-0000091C0000}"/>
    <cellStyle name="Currency 4 2 4 11" xfId="22976" xr:uid="{00000000-0005-0000-0000-00000A1C0000}"/>
    <cellStyle name="Currency 4 2 4 11 2" xfId="22977" xr:uid="{00000000-0005-0000-0000-00000B1C0000}"/>
    <cellStyle name="Currency 4 2 4 12" xfId="22978" xr:uid="{00000000-0005-0000-0000-00000C1C0000}"/>
    <cellStyle name="Currency 4 2 4 13" xfId="22979" xr:uid="{00000000-0005-0000-0000-00000D1C0000}"/>
    <cellStyle name="Currency 4 2 4 2" xfId="22980" xr:uid="{00000000-0005-0000-0000-00000E1C0000}"/>
    <cellStyle name="Currency 4 2 4 2 10" xfId="22981" xr:uid="{00000000-0005-0000-0000-00000F1C0000}"/>
    <cellStyle name="Currency 4 2 4 2 11" xfId="22982" xr:uid="{00000000-0005-0000-0000-0000101C0000}"/>
    <cellStyle name="Currency 4 2 4 2 2" xfId="22983" xr:uid="{00000000-0005-0000-0000-0000111C0000}"/>
    <cellStyle name="Currency 4 2 4 2 2 2" xfId="22984" xr:uid="{00000000-0005-0000-0000-0000121C0000}"/>
    <cellStyle name="Currency 4 2 4 2 2 2 2" xfId="22985" xr:uid="{00000000-0005-0000-0000-0000131C0000}"/>
    <cellStyle name="Currency 4 2 4 2 2 3" xfId="22986" xr:uid="{00000000-0005-0000-0000-0000141C0000}"/>
    <cellStyle name="Currency 4 2 4 2 2 3 2" xfId="22987" xr:uid="{00000000-0005-0000-0000-0000151C0000}"/>
    <cellStyle name="Currency 4 2 4 2 2 4" xfId="22988" xr:uid="{00000000-0005-0000-0000-0000161C0000}"/>
    <cellStyle name="Currency 4 2 4 2 2 4 2" xfId="22989" xr:uid="{00000000-0005-0000-0000-0000171C0000}"/>
    <cellStyle name="Currency 4 2 4 2 2 5" xfId="22990" xr:uid="{00000000-0005-0000-0000-0000181C0000}"/>
    <cellStyle name="Currency 4 2 4 2 2 6" xfId="22991" xr:uid="{00000000-0005-0000-0000-0000191C0000}"/>
    <cellStyle name="Currency 4 2 4 2 3" xfId="22992" xr:uid="{00000000-0005-0000-0000-00001A1C0000}"/>
    <cellStyle name="Currency 4 2 4 2 3 2" xfId="22993" xr:uid="{00000000-0005-0000-0000-00001B1C0000}"/>
    <cellStyle name="Currency 4 2 4 2 3 2 2" xfId="22994" xr:uid="{00000000-0005-0000-0000-00001C1C0000}"/>
    <cellStyle name="Currency 4 2 4 2 3 3" xfId="22995" xr:uid="{00000000-0005-0000-0000-00001D1C0000}"/>
    <cellStyle name="Currency 4 2 4 2 3 3 2" xfId="22996" xr:uid="{00000000-0005-0000-0000-00001E1C0000}"/>
    <cellStyle name="Currency 4 2 4 2 3 4" xfId="22997" xr:uid="{00000000-0005-0000-0000-00001F1C0000}"/>
    <cellStyle name="Currency 4 2 4 2 3 4 2" xfId="22998" xr:uid="{00000000-0005-0000-0000-0000201C0000}"/>
    <cellStyle name="Currency 4 2 4 2 3 5" xfId="22999" xr:uid="{00000000-0005-0000-0000-0000211C0000}"/>
    <cellStyle name="Currency 4 2 4 2 3 6" xfId="23000" xr:uid="{00000000-0005-0000-0000-0000221C0000}"/>
    <cellStyle name="Currency 4 2 4 2 4" xfId="23001" xr:uid="{00000000-0005-0000-0000-0000231C0000}"/>
    <cellStyle name="Currency 4 2 4 2 4 2" xfId="23002" xr:uid="{00000000-0005-0000-0000-0000241C0000}"/>
    <cellStyle name="Currency 4 2 4 2 4 2 2" xfId="23003" xr:uid="{00000000-0005-0000-0000-0000251C0000}"/>
    <cellStyle name="Currency 4 2 4 2 4 3" xfId="23004" xr:uid="{00000000-0005-0000-0000-0000261C0000}"/>
    <cellStyle name="Currency 4 2 4 2 4 3 2" xfId="23005" xr:uid="{00000000-0005-0000-0000-0000271C0000}"/>
    <cellStyle name="Currency 4 2 4 2 4 4" xfId="23006" xr:uid="{00000000-0005-0000-0000-0000281C0000}"/>
    <cellStyle name="Currency 4 2 4 2 4 4 2" xfId="23007" xr:uid="{00000000-0005-0000-0000-0000291C0000}"/>
    <cellStyle name="Currency 4 2 4 2 4 5" xfId="23008" xr:uid="{00000000-0005-0000-0000-00002A1C0000}"/>
    <cellStyle name="Currency 4 2 4 2 4 6" xfId="23009" xr:uid="{00000000-0005-0000-0000-00002B1C0000}"/>
    <cellStyle name="Currency 4 2 4 2 5" xfId="23010" xr:uid="{00000000-0005-0000-0000-00002C1C0000}"/>
    <cellStyle name="Currency 4 2 4 2 5 2" xfId="23011" xr:uid="{00000000-0005-0000-0000-00002D1C0000}"/>
    <cellStyle name="Currency 4 2 4 2 5 2 2" xfId="23012" xr:uid="{00000000-0005-0000-0000-00002E1C0000}"/>
    <cellStyle name="Currency 4 2 4 2 5 3" xfId="23013" xr:uid="{00000000-0005-0000-0000-00002F1C0000}"/>
    <cellStyle name="Currency 4 2 4 2 5 3 2" xfId="23014" xr:uid="{00000000-0005-0000-0000-0000301C0000}"/>
    <cellStyle name="Currency 4 2 4 2 5 4" xfId="23015" xr:uid="{00000000-0005-0000-0000-0000311C0000}"/>
    <cellStyle name="Currency 4 2 4 2 5 4 2" xfId="23016" xr:uid="{00000000-0005-0000-0000-0000321C0000}"/>
    <cellStyle name="Currency 4 2 4 2 5 5" xfId="23017" xr:uid="{00000000-0005-0000-0000-0000331C0000}"/>
    <cellStyle name="Currency 4 2 4 2 5 6" xfId="23018" xr:uid="{00000000-0005-0000-0000-0000341C0000}"/>
    <cellStyle name="Currency 4 2 4 2 6" xfId="23019" xr:uid="{00000000-0005-0000-0000-0000351C0000}"/>
    <cellStyle name="Currency 4 2 4 2 6 2" xfId="23020" xr:uid="{00000000-0005-0000-0000-0000361C0000}"/>
    <cellStyle name="Currency 4 2 4 2 6 2 2" xfId="23021" xr:uid="{00000000-0005-0000-0000-0000371C0000}"/>
    <cellStyle name="Currency 4 2 4 2 6 3" xfId="23022" xr:uid="{00000000-0005-0000-0000-0000381C0000}"/>
    <cellStyle name="Currency 4 2 4 2 6 3 2" xfId="23023" xr:uid="{00000000-0005-0000-0000-0000391C0000}"/>
    <cellStyle name="Currency 4 2 4 2 6 4" xfId="23024" xr:uid="{00000000-0005-0000-0000-00003A1C0000}"/>
    <cellStyle name="Currency 4 2 4 2 6 5" xfId="23025" xr:uid="{00000000-0005-0000-0000-00003B1C0000}"/>
    <cellStyle name="Currency 4 2 4 2 7" xfId="23026" xr:uid="{00000000-0005-0000-0000-00003C1C0000}"/>
    <cellStyle name="Currency 4 2 4 2 7 2" xfId="23027" xr:uid="{00000000-0005-0000-0000-00003D1C0000}"/>
    <cellStyle name="Currency 4 2 4 2 8" xfId="23028" xr:uid="{00000000-0005-0000-0000-00003E1C0000}"/>
    <cellStyle name="Currency 4 2 4 2 8 2" xfId="23029" xr:uid="{00000000-0005-0000-0000-00003F1C0000}"/>
    <cellStyle name="Currency 4 2 4 2 9" xfId="23030" xr:uid="{00000000-0005-0000-0000-0000401C0000}"/>
    <cellStyle name="Currency 4 2 4 2 9 2" xfId="23031" xr:uid="{00000000-0005-0000-0000-0000411C0000}"/>
    <cellStyle name="Currency 4 2 4 3" xfId="23032" xr:uid="{00000000-0005-0000-0000-0000421C0000}"/>
    <cellStyle name="Currency 4 2 4 3 10" xfId="23033" xr:uid="{00000000-0005-0000-0000-0000431C0000}"/>
    <cellStyle name="Currency 4 2 4 3 2" xfId="23034" xr:uid="{00000000-0005-0000-0000-0000441C0000}"/>
    <cellStyle name="Currency 4 2 4 3 2 2" xfId="23035" xr:uid="{00000000-0005-0000-0000-0000451C0000}"/>
    <cellStyle name="Currency 4 2 4 3 2 2 2" xfId="23036" xr:uid="{00000000-0005-0000-0000-0000461C0000}"/>
    <cellStyle name="Currency 4 2 4 3 2 3" xfId="23037" xr:uid="{00000000-0005-0000-0000-0000471C0000}"/>
    <cellStyle name="Currency 4 2 4 3 2 3 2" xfId="23038" xr:uid="{00000000-0005-0000-0000-0000481C0000}"/>
    <cellStyle name="Currency 4 2 4 3 2 4" xfId="23039" xr:uid="{00000000-0005-0000-0000-0000491C0000}"/>
    <cellStyle name="Currency 4 2 4 3 2 4 2" xfId="23040" xr:uid="{00000000-0005-0000-0000-00004A1C0000}"/>
    <cellStyle name="Currency 4 2 4 3 2 5" xfId="23041" xr:uid="{00000000-0005-0000-0000-00004B1C0000}"/>
    <cellStyle name="Currency 4 2 4 3 2 6" xfId="23042" xr:uid="{00000000-0005-0000-0000-00004C1C0000}"/>
    <cellStyle name="Currency 4 2 4 3 3" xfId="23043" xr:uid="{00000000-0005-0000-0000-00004D1C0000}"/>
    <cellStyle name="Currency 4 2 4 3 3 2" xfId="23044" xr:uid="{00000000-0005-0000-0000-00004E1C0000}"/>
    <cellStyle name="Currency 4 2 4 3 3 2 2" xfId="23045" xr:uid="{00000000-0005-0000-0000-00004F1C0000}"/>
    <cellStyle name="Currency 4 2 4 3 3 3" xfId="23046" xr:uid="{00000000-0005-0000-0000-0000501C0000}"/>
    <cellStyle name="Currency 4 2 4 3 3 3 2" xfId="23047" xr:uid="{00000000-0005-0000-0000-0000511C0000}"/>
    <cellStyle name="Currency 4 2 4 3 3 4" xfId="23048" xr:uid="{00000000-0005-0000-0000-0000521C0000}"/>
    <cellStyle name="Currency 4 2 4 3 3 4 2" xfId="23049" xr:uid="{00000000-0005-0000-0000-0000531C0000}"/>
    <cellStyle name="Currency 4 2 4 3 3 5" xfId="23050" xr:uid="{00000000-0005-0000-0000-0000541C0000}"/>
    <cellStyle name="Currency 4 2 4 3 3 6" xfId="23051" xr:uid="{00000000-0005-0000-0000-0000551C0000}"/>
    <cellStyle name="Currency 4 2 4 3 4" xfId="23052" xr:uid="{00000000-0005-0000-0000-0000561C0000}"/>
    <cellStyle name="Currency 4 2 4 3 4 2" xfId="23053" xr:uid="{00000000-0005-0000-0000-0000571C0000}"/>
    <cellStyle name="Currency 4 2 4 3 4 2 2" xfId="23054" xr:uid="{00000000-0005-0000-0000-0000581C0000}"/>
    <cellStyle name="Currency 4 2 4 3 4 3" xfId="23055" xr:uid="{00000000-0005-0000-0000-0000591C0000}"/>
    <cellStyle name="Currency 4 2 4 3 4 3 2" xfId="23056" xr:uid="{00000000-0005-0000-0000-00005A1C0000}"/>
    <cellStyle name="Currency 4 2 4 3 4 4" xfId="23057" xr:uid="{00000000-0005-0000-0000-00005B1C0000}"/>
    <cellStyle name="Currency 4 2 4 3 4 4 2" xfId="23058" xr:uid="{00000000-0005-0000-0000-00005C1C0000}"/>
    <cellStyle name="Currency 4 2 4 3 4 5" xfId="23059" xr:uid="{00000000-0005-0000-0000-00005D1C0000}"/>
    <cellStyle name="Currency 4 2 4 3 4 6" xfId="23060" xr:uid="{00000000-0005-0000-0000-00005E1C0000}"/>
    <cellStyle name="Currency 4 2 4 3 5" xfId="23061" xr:uid="{00000000-0005-0000-0000-00005F1C0000}"/>
    <cellStyle name="Currency 4 2 4 3 5 2" xfId="23062" xr:uid="{00000000-0005-0000-0000-0000601C0000}"/>
    <cellStyle name="Currency 4 2 4 3 5 2 2" xfId="23063" xr:uid="{00000000-0005-0000-0000-0000611C0000}"/>
    <cellStyle name="Currency 4 2 4 3 5 3" xfId="23064" xr:uid="{00000000-0005-0000-0000-0000621C0000}"/>
    <cellStyle name="Currency 4 2 4 3 5 3 2" xfId="23065" xr:uid="{00000000-0005-0000-0000-0000631C0000}"/>
    <cellStyle name="Currency 4 2 4 3 5 4" xfId="23066" xr:uid="{00000000-0005-0000-0000-0000641C0000}"/>
    <cellStyle name="Currency 4 2 4 3 5 5" xfId="23067" xr:uid="{00000000-0005-0000-0000-0000651C0000}"/>
    <cellStyle name="Currency 4 2 4 3 6" xfId="23068" xr:uid="{00000000-0005-0000-0000-0000661C0000}"/>
    <cellStyle name="Currency 4 2 4 3 6 2" xfId="23069" xr:uid="{00000000-0005-0000-0000-0000671C0000}"/>
    <cellStyle name="Currency 4 2 4 3 7" xfId="23070" xr:uid="{00000000-0005-0000-0000-0000681C0000}"/>
    <cellStyle name="Currency 4 2 4 3 7 2" xfId="23071" xr:uid="{00000000-0005-0000-0000-0000691C0000}"/>
    <cellStyle name="Currency 4 2 4 3 8" xfId="23072" xr:uid="{00000000-0005-0000-0000-00006A1C0000}"/>
    <cellStyle name="Currency 4 2 4 3 8 2" xfId="23073" xr:uid="{00000000-0005-0000-0000-00006B1C0000}"/>
    <cellStyle name="Currency 4 2 4 3 9" xfId="23074" xr:uid="{00000000-0005-0000-0000-00006C1C0000}"/>
    <cellStyle name="Currency 4 2 4 4" xfId="23075" xr:uid="{00000000-0005-0000-0000-00006D1C0000}"/>
    <cellStyle name="Currency 4 2 4 4 10" xfId="23076" xr:uid="{00000000-0005-0000-0000-00006E1C0000}"/>
    <cellStyle name="Currency 4 2 4 4 2" xfId="23077" xr:uid="{00000000-0005-0000-0000-00006F1C0000}"/>
    <cellStyle name="Currency 4 2 4 4 2 2" xfId="23078" xr:uid="{00000000-0005-0000-0000-0000701C0000}"/>
    <cellStyle name="Currency 4 2 4 4 2 2 2" xfId="23079" xr:uid="{00000000-0005-0000-0000-0000711C0000}"/>
    <cellStyle name="Currency 4 2 4 4 2 3" xfId="23080" xr:uid="{00000000-0005-0000-0000-0000721C0000}"/>
    <cellStyle name="Currency 4 2 4 4 2 3 2" xfId="23081" xr:uid="{00000000-0005-0000-0000-0000731C0000}"/>
    <cellStyle name="Currency 4 2 4 4 2 4" xfId="23082" xr:uid="{00000000-0005-0000-0000-0000741C0000}"/>
    <cellStyle name="Currency 4 2 4 4 2 4 2" xfId="23083" xr:uid="{00000000-0005-0000-0000-0000751C0000}"/>
    <cellStyle name="Currency 4 2 4 4 2 5" xfId="23084" xr:uid="{00000000-0005-0000-0000-0000761C0000}"/>
    <cellStyle name="Currency 4 2 4 4 2 6" xfId="23085" xr:uid="{00000000-0005-0000-0000-0000771C0000}"/>
    <cellStyle name="Currency 4 2 4 4 3" xfId="23086" xr:uid="{00000000-0005-0000-0000-0000781C0000}"/>
    <cellStyle name="Currency 4 2 4 4 3 2" xfId="23087" xr:uid="{00000000-0005-0000-0000-0000791C0000}"/>
    <cellStyle name="Currency 4 2 4 4 3 2 2" xfId="23088" xr:uid="{00000000-0005-0000-0000-00007A1C0000}"/>
    <cellStyle name="Currency 4 2 4 4 3 3" xfId="23089" xr:uid="{00000000-0005-0000-0000-00007B1C0000}"/>
    <cellStyle name="Currency 4 2 4 4 3 3 2" xfId="23090" xr:uid="{00000000-0005-0000-0000-00007C1C0000}"/>
    <cellStyle name="Currency 4 2 4 4 3 4" xfId="23091" xr:uid="{00000000-0005-0000-0000-00007D1C0000}"/>
    <cellStyle name="Currency 4 2 4 4 3 4 2" xfId="23092" xr:uid="{00000000-0005-0000-0000-00007E1C0000}"/>
    <cellStyle name="Currency 4 2 4 4 3 5" xfId="23093" xr:uid="{00000000-0005-0000-0000-00007F1C0000}"/>
    <cellStyle name="Currency 4 2 4 4 3 6" xfId="23094" xr:uid="{00000000-0005-0000-0000-0000801C0000}"/>
    <cellStyle name="Currency 4 2 4 4 4" xfId="23095" xr:uid="{00000000-0005-0000-0000-0000811C0000}"/>
    <cellStyle name="Currency 4 2 4 4 4 2" xfId="23096" xr:uid="{00000000-0005-0000-0000-0000821C0000}"/>
    <cellStyle name="Currency 4 2 4 4 4 2 2" xfId="23097" xr:uid="{00000000-0005-0000-0000-0000831C0000}"/>
    <cellStyle name="Currency 4 2 4 4 4 3" xfId="23098" xr:uid="{00000000-0005-0000-0000-0000841C0000}"/>
    <cellStyle name="Currency 4 2 4 4 4 3 2" xfId="23099" xr:uid="{00000000-0005-0000-0000-0000851C0000}"/>
    <cellStyle name="Currency 4 2 4 4 4 4" xfId="23100" xr:uid="{00000000-0005-0000-0000-0000861C0000}"/>
    <cellStyle name="Currency 4 2 4 4 4 4 2" xfId="23101" xr:uid="{00000000-0005-0000-0000-0000871C0000}"/>
    <cellStyle name="Currency 4 2 4 4 4 5" xfId="23102" xr:uid="{00000000-0005-0000-0000-0000881C0000}"/>
    <cellStyle name="Currency 4 2 4 4 4 6" xfId="23103" xr:uid="{00000000-0005-0000-0000-0000891C0000}"/>
    <cellStyle name="Currency 4 2 4 4 5" xfId="23104" xr:uid="{00000000-0005-0000-0000-00008A1C0000}"/>
    <cellStyle name="Currency 4 2 4 4 5 2" xfId="23105" xr:uid="{00000000-0005-0000-0000-00008B1C0000}"/>
    <cellStyle name="Currency 4 2 4 4 5 2 2" xfId="23106" xr:uid="{00000000-0005-0000-0000-00008C1C0000}"/>
    <cellStyle name="Currency 4 2 4 4 5 3" xfId="23107" xr:uid="{00000000-0005-0000-0000-00008D1C0000}"/>
    <cellStyle name="Currency 4 2 4 4 5 3 2" xfId="23108" xr:uid="{00000000-0005-0000-0000-00008E1C0000}"/>
    <cellStyle name="Currency 4 2 4 4 5 4" xfId="23109" xr:uid="{00000000-0005-0000-0000-00008F1C0000}"/>
    <cellStyle name="Currency 4 2 4 4 5 5" xfId="23110" xr:uid="{00000000-0005-0000-0000-0000901C0000}"/>
    <cellStyle name="Currency 4 2 4 4 6" xfId="23111" xr:uid="{00000000-0005-0000-0000-0000911C0000}"/>
    <cellStyle name="Currency 4 2 4 4 6 2" xfId="23112" xr:uid="{00000000-0005-0000-0000-0000921C0000}"/>
    <cellStyle name="Currency 4 2 4 4 7" xfId="23113" xr:uid="{00000000-0005-0000-0000-0000931C0000}"/>
    <cellStyle name="Currency 4 2 4 4 7 2" xfId="23114" xr:uid="{00000000-0005-0000-0000-0000941C0000}"/>
    <cellStyle name="Currency 4 2 4 4 8" xfId="23115" xr:uid="{00000000-0005-0000-0000-0000951C0000}"/>
    <cellStyle name="Currency 4 2 4 4 8 2" xfId="23116" xr:uid="{00000000-0005-0000-0000-0000961C0000}"/>
    <cellStyle name="Currency 4 2 4 4 9" xfId="23117" xr:uid="{00000000-0005-0000-0000-0000971C0000}"/>
    <cellStyle name="Currency 4 2 4 5" xfId="23118" xr:uid="{00000000-0005-0000-0000-0000981C0000}"/>
    <cellStyle name="Currency 4 2 4 5 2" xfId="23119" xr:uid="{00000000-0005-0000-0000-0000991C0000}"/>
    <cellStyle name="Currency 4 2 4 5 2 2" xfId="23120" xr:uid="{00000000-0005-0000-0000-00009A1C0000}"/>
    <cellStyle name="Currency 4 2 4 5 3" xfId="23121" xr:uid="{00000000-0005-0000-0000-00009B1C0000}"/>
    <cellStyle name="Currency 4 2 4 5 3 2" xfId="23122" xr:uid="{00000000-0005-0000-0000-00009C1C0000}"/>
    <cellStyle name="Currency 4 2 4 5 4" xfId="23123" xr:uid="{00000000-0005-0000-0000-00009D1C0000}"/>
    <cellStyle name="Currency 4 2 4 5 4 2" xfId="23124" xr:uid="{00000000-0005-0000-0000-00009E1C0000}"/>
    <cellStyle name="Currency 4 2 4 5 5" xfId="23125" xr:uid="{00000000-0005-0000-0000-00009F1C0000}"/>
    <cellStyle name="Currency 4 2 4 5 6" xfId="23126" xr:uid="{00000000-0005-0000-0000-0000A01C0000}"/>
    <cellStyle name="Currency 4 2 4 6" xfId="23127" xr:uid="{00000000-0005-0000-0000-0000A11C0000}"/>
    <cellStyle name="Currency 4 2 4 6 2" xfId="23128" xr:uid="{00000000-0005-0000-0000-0000A21C0000}"/>
    <cellStyle name="Currency 4 2 4 6 2 2" xfId="23129" xr:uid="{00000000-0005-0000-0000-0000A31C0000}"/>
    <cellStyle name="Currency 4 2 4 6 3" xfId="23130" xr:uid="{00000000-0005-0000-0000-0000A41C0000}"/>
    <cellStyle name="Currency 4 2 4 6 3 2" xfId="23131" xr:uid="{00000000-0005-0000-0000-0000A51C0000}"/>
    <cellStyle name="Currency 4 2 4 6 4" xfId="23132" xr:uid="{00000000-0005-0000-0000-0000A61C0000}"/>
    <cellStyle name="Currency 4 2 4 6 4 2" xfId="23133" xr:uid="{00000000-0005-0000-0000-0000A71C0000}"/>
    <cellStyle name="Currency 4 2 4 6 5" xfId="23134" xr:uid="{00000000-0005-0000-0000-0000A81C0000}"/>
    <cellStyle name="Currency 4 2 4 6 6" xfId="23135" xr:uid="{00000000-0005-0000-0000-0000A91C0000}"/>
    <cellStyle name="Currency 4 2 4 7" xfId="23136" xr:uid="{00000000-0005-0000-0000-0000AA1C0000}"/>
    <cellStyle name="Currency 4 2 4 7 2" xfId="23137" xr:uid="{00000000-0005-0000-0000-0000AB1C0000}"/>
    <cellStyle name="Currency 4 2 4 7 2 2" xfId="23138" xr:uid="{00000000-0005-0000-0000-0000AC1C0000}"/>
    <cellStyle name="Currency 4 2 4 7 3" xfId="23139" xr:uid="{00000000-0005-0000-0000-0000AD1C0000}"/>
    <cellStyle name="Currency 4 2 4 7 3 2" xfId="23140" xr:uid="{00000000-0005-0000-0000-0000AE1C0000}"/>
    <cellStyle name="Currency 4 2 4 7 4" xfId="23141" xr:uid="{00000000-0005-0000-0000-0000AF1C0000}"/>
    <cellStyle name="Currency 4 2 4 7 4 2" xfId="23142" xr:uid="{00000000-0005-0000-0000-0000B01C0000}"/>
    <cellStyle name="Currency 4 2 4 7 5" xfId="23143" xr:uid="{00000000-0005-0000-0000-0000B11C0000}"/>
    <cellStyle name="Currency 4 2 4 7 6" xfId="23144" xr:uid="{00000000-0005-0000-0000-0000B21C0000}"/>
    <cellStyle name="Currency 4 2 4 8" xfId="23145" xr:uid="{00000000-0005-0000-0000-0000B31C0000}"/>
    <cellStyle name="Currency 4 2 4 8 2" xfId="23146" xr:uid="{00000000-0005-0000-0000-0000B41C0000}"/>
    <cellStyle name="Currency 4 2 4 8 2 2" xfId="23147" xr:uid="{00000000-0005-0000-0000-0000B51C0000}"/>
    <cellStyle name="Currency 4 2 4 8 3" xfId="23148" xr:uid="{00000000-0005-0000-0000-0000B61C0000}"/>
    <cellStyle name="Currency 4 2 4 8 3 2" xfId="23149" xr:uid="{00000000-0005-0000-0000-0000B71C0000}"/>
    <cellStyle name="Currency 4 2 4 8 4" xfId="23150" xr:uid="{00000000-0005-0000-0000-0000B81C0000}"/>
    <cellStyle name="Currency 4 2 4 8 5" xfId="23151" xr:uid="{00000000-0005-0000-0000-0000B91C0000}"/>
    <cellStyle name="Currency 4 2 4 9" xfId="23152" xr:uid="{00000000-0005-0000-0000-0000BA1C0000}"/>
    <cellStyle name="Currency 4 2 4 9 2" xfId="23153" xr:uid="{00000000-0005-0000-0000-0000BB1C0000}"/>
    <cellStyle name="Currency 4 2 5" xfId="23154" xr:uid="{00000000-0005-0000-0000-0000BC1C0000}"/>
    <cellStyle name="Currency 4 2 5 10" xfId="23155" xr:uid="{00000000-0005-0000-0000-0000BD1C0000}"/>
    <cellStyle name="Currency 4 2 5 10 2" xfId="23156" xr:uid="{00000000-0005-0000-0000-0000BE1C0000}"/>
    <cellStyle name="Currency 4 2 5 11" xfId="23157" xr:uid="{00000000-0005-0000-0000-0000BF1C0000}"/>
    <cellStyle name="Currency 4 2 5 12" xfId="23158" xr:uid="{00000000-0005-0000-0000-0000C01C0000}"/>
    <cellStyle name="Currency 4 2 5 2" xfId="23159" xr:uid="{00000000-0005-0000-0000-0000C11C0000}"/>
    <cellStyle name="Currency 4 2 5 2 10" xfId="23160" xr:uid="{00000000-0005-0000-0000-0000C21C0000}"/>
    <cellStyle name="Currency 4 2 5 2 2" xfId="23161" xr:uid="{00000000-0005-0000-0000-0000C31C0000}"/>
    <cellStyle name="Currency 4 2 5 2 2 2" xfId="23162" xr:uid="{00000000-0005-0000-0000-0000C41C0000}"/>
    <cellStyle name="Currency 4 2 5 2 2 2 2" xfId="23163" xr:uid="{00000000-0005-0000-0000-0000C51C0000}"/>
    <cellStyle name="Currency 4 2 5 2 2 3" xfId="23164" xr:uid="{00000000-0005-0000-0000-0000C61C0000}"/>
    <cellStyle name="Currency 4 2 5 2 2 3 2" xfId="23165" xr:uid="{00000000-0005-0000-0000-0000C71C0000}"/>
    <cellStyle name="Currency 4 2 5 2 2 4" xfId="23166" xr:uid="{00000000-0005-0000-0000-0000C81C0000}"/>
    <cellStyle name="Currency 4 2 5 2 2 4 2" xfId="23167" xr:uid="{00000000-0005-0000-0000-0000C91C0000}"/>
    <cellStyle name="Currency 4 2 5 2 2 5" xfId="23168" xr:uid="{00000000-0005-0000-0000-0000CA1C0000}"/>
    <cellStyle name="Currency 4 2 5 2 2 6" xfId="23169" xr:uid="{00000000-0005-0000-0000-0000CB1C0000}"/>
    <cellStyle name="Currency 4 2 5 2 3" xfId="23170" xr:uid="{00000000-0005-0000-0000-0000CC1C0000}"/>
    <cellStyle name="Currency 4 2 5 2 3 2" xfId="23171" xr:uid="{00000000-0005-0000-0000-0000CD1C0000}"/>
    <cellStyle name="Currency 4 2 5 2 3 2 2" xfId="23172" xr:uid="{00000000-0005-0000-0000-0000CE1C0000}"/>
    <cellStyle name="Currency 4 2 5 2 3 3" xfId="23173" xr:uid="{00000000-0005-0000-0000-0000CF1C0000}"/>
    <cellStyle name="Currency 4 2 5 2 3 3 2" xfId="23174" xr:uid="{00000000-0005-0000-0000-0000D01C0000}"/>
    <cellStyle name="Currency 4 2 5 2 3 4" xfId="23175" xr:uid="{00000000-0005-0000-0000-0000D11C0000}"/>
    <cellStyle name="Currency 4 2 5 2 3 4 2" xfId="23176" xr:uid="{00000000-0005-0000-0000-0000D21C0000}"/>
    <cellStyle name="Currency 4 2 5 2 3 5" xfId="23177" xr:uid="{00000000-0005-0000-0000-0000D31C0000}"/>
    <cellStyle name="Currency 4 2 5 2 3 6" xfId="23178" xr:uid="{00000000-0005-0000-0000-0000D41C0000}"/>
    <cellStyle name="Currency 4 2 5 2 4" xfId="23179" xr:uid="{00000000-0005-0000-0000-0000D51C0000}"/>
    <cellStyle name="Currency 4 2 5 2 4 2" xfId="23180" xr:uid="{00000000-0005-0000-0000-0000D61C0000}"/>
    <cellStyle name="Currency 4 2 5 2 4 2 2" xfId="23181" xr:uid="{00000000-0005-0000-0000-0000D71C0000}"/>
    <cellStyle name="Currency 4 2 5 2 4 3" xfId="23182" xr:uid="{00000000-0005-0000-0000-0000D81C0000}"/>
    <cellStyle name="Currency 4 2 5 2 4 3 2" xfId="23183" xr:uid="{00000000-0005-0000-0000-0000D91C0000}"/>
    <cellStyle name="Currency 4 2 5 2 4 4" xfId="23184" xr:uid="{00000000-0005-0000-0000-0000DA1C0000}"/>
    <cellStyle name="Currency 4 2 5 2 4 4 2" xfId="23185" xr:uid="{00000000-0005-0000-0000-0000DB1C0000}"/>
    <cellStyle name="Currency 4 2 5 2 4 5" xfId="23186" xr:uid="{00000000-0005-0000-0000-0000DC1C0000}"/>
    <cellStyle name="Currency 4 2 5 2 4 6" xfId="23187" xr:uid="{00000000-0005-0000-0000-0000DD1C0000}"/>
    <cellStyle name="Currency 4 2 5 2 5" xfId="23188" xr:uid="{00000000-0005-0000-0000-0000DE1C0000}"/>
    <cellStyle name="Currency 4 2 5 2 5 2" xfId="23189" xr:uid="{00000000-0005-0000-0000-0000DF1C0000}"/>
    <cellStyle name="Currency 4 2 5 2 5 2 2" xfId="23190" xr:uid="{00000000-0005-0000-0000-0000E01C0000}"/>
    <cellStyle name="Currency 4 2 5 2 5 3" xfId="23191" xr:uid="{00000000-0005-0000-0000-0000E11C0000}"/>
    <cellStyle name="Currency 4 2 5 2 5 3 2" xfId="23192" xr:uid="{00000000-0005-0000-0000-0000E21C0000}"/>
    <cellStyle name="Currency 4 2 5 2 5 4" xfId="23193" xr:uid="{00000000-0005-0000-0000-0000E31C0000}"/>
    <cellStyle name="Currency 4 2 5 2 5 5" xfId="23194" xr:uid="{00000000-0005-0000-0000-0000E41C0000}"/>
    <cellStyle name="Currency 4 2 5 2 6" xfId="23195" xr:uid="{00000000-0005-0000-0000-0000E51C0000}"/>
    <cellStyle name="Currency 4 2 5 2 6 2" xfId="23196" xr:uid="{00000000-0005-0000-0000-0000E61C0000}"/>
    <cellStyle name="Currency 4 2 5 2 7" xfId="23197" xr:uid="{00000000-0005-0000-0000-0000E71C0000}"/>
    <cellStyle name="Currency 4 2 5 2 7 2" xfId="23198" xr:uid="{00000000-0005-0000-0000-0000E81C0000}"/>
    <cellStyle name="Currency 4 2 5 2 8" xfId="23199" xr:uid="{00000000-0005-0000-0000-0000E91C0000}"/>
    <cellStyle name="Currency 4 2 5 2 8 2" xfId="23200" xr:uid="{00000000-0005-0000-0000-0000EA1C0000}"/>
    <cellStyle name="Currency 4 2 5 2 9" xfId="23201" xr:uid="{00000000-0005-0000-0000-0000EB1C0000}"/>
    <cellStyle name="Currency 4 2 5 3" xfId="23202" xr:uid="{00000000-0005-0000-0000-0000EC1C0000}"/>
    <cellStyle name="Currency 4 2 5 3 10" xfId="23203" xr:uid="{00000000-0005-0000-0000-0000ED1C0000}"/>
    <cellStyle name="Currency 4 2 5 3 2" xfId="23204" xr:uid="{00000000-0005-0000-0000-0000EE1C0000}"/>
    <cellStyle name="Currency 4 2 5 3 2 2" xfId="23205" xr:uid="{00000000-0005-0000-0000-0000EF1C0000}"/>
    <cellStyle name="Currency 4 2 5 3 2 2 2" xfId="23206" xr:uid="{00000000-0005-0000-0000-0000F01C0000}"/>
    <cellStyle name="Currency 4 2 5 3 2 3" xfId="23207" xr:uid="{00000000-0005-0000-0000-0000F11C0000}"/>
    <cellStyle name="Currency 4 2 5 3 2 3 2" xfId="23208" xr:uid="{00000000-0005-0000-0000-0000F21C0000}"/>
    <cellStyle name="Currency 4 2 5 3 2 4" xfId="23209" xr:uid="{00000000-0005-0000-0000-0000F31C0000}"/>
    <cellStyle name="Currency 4 2 5 3 2 4 2" xfId="23210" xr:uid="{00000000-0005-0000-0000-0000F41C0000}"/>
    <cellStyle name="Currency 4 2 5 3 2 5" xfId="23211" xr:uid="{00000000-0005-0000-0000-0000F51C0000}"/>
    <cellStyle name="Currency 4 2 5 3 2 6" xfId="23212" xr:uid="{00000000-0005-0000-0000-0000F61C0000}"/>
    <cellStyle name="Currency 4 2 5 3 3" xfId="23213" xr:uid="{00000000-0005-0000-0000-0000F71C0000}"/>
    <cellStyle name="Currency 4 2 5 3 3 2" xfId="23214" xr:uid="{00000000-0005-0000-0000-0000F81C0000}"/>
    <cellStyle name="Currency 4 2 5 3 3 2 2" xfId="23215" xr:uid="{00000000-0005-0000-0000-0000F91C0000}"/>
    <cellStyle name="Currency 4 2 5 3 3 3" xfId="23216" xr:uid="{00000000-0005-0000-0000-0000FA1C0000}"/>
    <cellStyle name="Currency 4 2 5 3 3 3 2" xfId="23217" xr:uid="{00000000-0005-0000-0000-0000FB1C0000}"/>
    <cellStyle name="Currency 4 2 5 3 3 4" xfId="23218" xr:uid="{00000000-0005-0000-0000-0000FC1C0000}"/>
    <cellStyle name="Currency 4 2 5 3 3 4 2" xfId="23219" xr:uid="{00000000-0005-0000-0000-0000FD1C0000}"/>
    <cellStyle name="Currency 4 2 5 3 3 5" xfId="23220" xr:uid="{00000000-0005-0000-0000-0000FE1C0000}"/>
    <cellStyle name="Currency 4 2 5 3 3 6" xfId="23221" xr:uid="{00000000-0005-0000-0000-0000FF1C0000}"/>
    <cellStyle name="Currency 4 2 5 3 4" xfId="23222" xr:uid="{00000000-0005-0000-0000-0000001D0000}"/>
    <cellStyle name="Currency 4 2 5 3 4 2" xfId="23223" xr:uid="{00000000-0005-0000-0000-0000011D0000}"/>
    <cellStyle name="Currency 4 2 5 3 4 2 2" xfId="23224" xr:uid="{00000000-0005-0000-0000-0000021D0000}"/>
    <cellStyle name="Currency 4 2 5 3 4 3" xfId="23225" xr:uid="{00000000-0005-0000-0000-0000031D0000}"/>
    <cellStyle name="Currency 4 2 5 3 4 3 2" xfId="23226" xr:uid="{00000000-0005-0000-0000-0000041D0000}"/>
    <cellStyle name="Currency 4 2 5 3 4 4" xfId="23227" xr:uid="{00000000-0005-0000-0000-0000051D0000}"/>
    <cellStyle name="Currency 4 2 5 3 4 4 2" xfId="23228" xr:uid="{00000000-0005-0000-0000-0000061D0000}"/>
    <cellStyle name="Currency 4 2 5 3 4 5" xfId="23229" xr:uid="{00000000-0005-0000-0000-0000071D0000}"/>
    <cellStyle name="Currency 4 2 5 3 4 6" xfId="23230" xr:uid="{00000000-0005-0000-0000-0000081D0000}"/>
    <cellStyle name="Currency 4 2 5 3 5" xfId="23231" xr:uid="{00000000-0005-0000-0000-0000091D0000}"/>
    <cellStyle name="Currency 4 2 5 3 5 2" xfId="23232" xr:uid="{00000000-0005-0000-0000-00000A1D0000}"/>
    <cellStyle name="Currency 4 2 5 3 5 2 2" xfId="23233" xr:uid="{00000000-0005-0000-0000-00000B1D0000}"/>
    <cellStyle name="Currency 4 2 5 3 5 3" xfId="23234" xr:uid="{00000000-0005-0000-0000-00000C1D0000}"/>
    <cellStyle name="Currency 4 2 5 3 5 3 2" xfId="23235" xr:uid="{00000000-0005-0000-0000-00000D1D0000}"/>
    <cellStyle name="Currency 4 2 5 3 5 4" xfId="23236" xr:uid="{00000000-0005-0000-0000-00000E1D0000}"/>
    <cellStyle name="Currency 4 2 5 3 5 5" xfId="23237" xr:uid="{00000000-0005-0000-0000-00000F1D0000}"/>
    <cellStyle name="Currency 4 2 5 3 6" xfId="23238" xr:uid="{00000000-0005-0000-0000-0000101D0000}"/>
    <cellStyle name="Currency 4 2 5 3 6 2" xfId="23239" xr:uid="{00000000-0005-0000-0000-0000111D0000}"/>
    <cellStyle name="Currency 4 2 5 3 7" xfId="23240" xr:uid="{00000000-0005-0000-0000-0000121D0000}"/>
    <cellStyle name="Currency 4 2 5 3 7 2" xfId="23241" xr:uid="{00000000-0005-0000-0000-0000131D0000}"/>
    <cellStyle name="Currency 4 2 5 3 8" xfId="23242" xr:uid="{00000000-0005-0000-0000-0000141D0000}"/>
    <cellStyle name="Currency 4 2 5 3 8 2" xfId="23243" xr:uid="{00000000-0005-0000-0000-0000151D0000}"/>
    <cellStyle name="Currency 4 2 5 3 9" xfId="23244" xr:uid="{00000000-0005-0000-0000-0000161D0000}"/>
    <cellStyle name="Currency 4 2 5 4" xfId="23245" xr:uid="{00000000-0005-0000-0000-0000171D0000}"/>
    <cellStyle name="Currency 4 2 5 4 2" xfId="23246" xr:uid="{00000000-0005-0000-0000-0000181D0000}"/>
    <cellStyle name="Currency 4 2 5 4 2 2" xfId="23247" xr:uid="{00000000-0005-0000-0000-0000191D0000}"/>
    <cellStyle name="Currency 4 2 5 4 3" xfId="23248" xr:uid="{00000000-0005-0000-0000-00001A1D0000}"/>
    <cellStyle name="Currency 4 2 5 4 3 2" xfId="23249" xr:uid="{00000000-0005-0000-0000-00001B1D0000}"/>
    <cellStyle name="Currency 4 2 5 4 4" xfId="23250" xr:uid="{00000000-0005-0000-0000-00001C1D0000}"/>
    <cellStyle name="Currency 4 2 5 4 4 2" xfId="23251" xr:uid="{00000000-0005-0000-0000-00001D1D0000}"/>
    <cellStyle name="Currency 4 2 5 4 5" xfId="23252" xr:uid="{00000000-0005-0000-0000-00001E1D0000}"/>
    <cellStyle name="Currency 4 2 5 4 6" xfId="23253" xr:uid="{00000000-0005-0000-0000-00001F1D0000}"/>
    <cellStyle name="Currency 4 2 5 5" xfId="23254" xr:uid="{00000000-0005-0000-0000-0000201D0000}"/>
    <cellStyle name="Currency 4 2 5 5 2" xfId="23255" xr:uid="{00000000-0005-0000-0000-0000211D0000}"/>
    <cellStyle name="Currency 4 2 5 5 2 2" xfId="23256" xr:uid="{00000000-0005-0000-0000-0000221D0000}"/>
    <cellStyle name="Currency 4 2 5 5 3" xfId="23257" xr:uid="{00000000-0005-0000-0000-0000231D0000}"/>
    <cellStyle name="Currency 4 2 5 5 3 2" xfId="23258" xr:uid="{00000000-0005-0000-0000-0000241D0000}"/>
    <cellStyle name="Currency 4 2 5 5 4" xfId="23259" xr:uid="{00000000-0005-0000-0000-0000251D0000}"/>
    <cellStyle name="Currency 4 2 5 5 4 2" xfId="23260" xr:uid="{00000000-0005-0000-0000-0000261D0000}"/>
    <cellStyle name="Currency 4 2 5 5 5" xfId="23261" xr:uid="{00000000-0005-0000-0000-0000271D0000}"/>
    <cellStyle name="Currency 4 2 5 5 6" xfId="23262" xr:uid="{00000000-0005-0000-0000-0000281D0000}"/>
    <cellStyle name="Currency 4 2 5 6" xfId="23263" xr:uid="{00000000-0005-0000-0000-0000291D0000}"/>
    <cellStyle name="Currency 4 2 5 6 2" xfId="23264" xr:uid="{00000000-0005-0000-0000-00002A1D0000}"/>
    <cellStyle name="Currency 4 2 5 6 2 2" xfId="23265" xr:uid="{00000000-0005-0000-0000-00002B1D0000}"/>
    <cellStyle name="Currency 4 2 5 6 3" xfId="23266" xr:uid="{00000000-0005-0000-0000-00002C1D0000}"/>
    <cellStyle name="Currency 4 2 5 6 3 2" xfId="23267" xr:uid="{00000000-0005-0000-0000-00002D1D0000}"/>
    <cellStyle name="Currency 4 2 5 6 4" xfId="23268" xr:uid="{00000000-0005-0000-0000-00002E1D0000}"/>
    <cellStyle name="Currency 4 2 5 6 4 2" xfId="23269" xr:uid="{00000000-0005-0000-0000-00002F1D0000}"/>
    <cellStyle name="Currency 4 2 5 6 5" xfId="23270" xr:uid="{00000000-0005-0000-0000-0000301D0000}"/>
    <cellStyle name="Currency 4 2 5 6 6" xfId="23271" xr:uid="{00000000-0005-0000-0000-0000311D0000}"/>
    <cellStyle name="Currency 4 2 5 7" xfId="23272" xr:uid="{00000000-0005-0000-0000-0000321D0000}"/>
    <cellStyle name="Currency 4 2 5 7 2" xfId="23273" xr:uid="{00000000-0005-0000-0000-0000331D0000}"/>
    <cellStyle name="Currency 4 2 5 7 2 2" xfId="23274" xr:uid="{00000000-0005-0000-0000-0000341D0000}"/>
    <cellStyle name="Currency 4 2 5 7 3" xfId="23275" xr:uid="{00000000-0005-0000-0000-0000351D0000}"/>
    <cellStyle name="Currency 4 2 5 7 3 2" xfId="23276" xr:uid="{00000000-0005-0000-0000-0000361D0000}"/>
    <cellStyle name="Currency 4 2 5 7 4" xfId="23277" xr:uid="{00000000-0005-0000-0000-0000371D0000}"/>
    <cellStyle name="Currency 4 2 5 7 5" xfId="23278" xr:uid="{00000000-0005-0000-0000-0000381D0000}"/>
    <cellStyle name="Currency 4 2 5 8" xfId="23279" xr:uid="{00000000-0005-0000-0000-0000391D0000}"/>
    <cellStyle name="Currency 4 2 5 8 2" xfId="23280" xr:uid="{00000000-0005-0000-0000-00003A1D0000}"/>
    <cellStyle name="Currency 4 2 5 9" xfId="23281" xr:uid="{00000000-0005-0000-0000-00003B1D0000}"/>
    <cellStyle name="Currency 4 2 5 9 2" xfId="23282" xr:uid="{00000000-0005-0000-0000-00003C1D0000}"/>
    <cellStyle name="Currency 4 2 6" xfId="23283" xr:uid="{00000000-0005-0000-0000-00003D1D0000}"/>
    <cellStyle name="Currency 4 2 6 10" xfId="23284" xr:uid="{00000000-0005-0000-0000-00003E1D0000}"/>
    <cellStyle name="Currency 4 2 6 11" xfId="23285" xr:uid="{00000000-0005-0000-0000-00003F1D0000}"/>
    <cellStyle name="Currency 4 2 6 2" xfId="23286" xr:uid="{00000000-0005-0000-0000-0000401D0000}"/>
    <cellStyle name="Currency 4 2 6 2 2" xfId="23287" xr:uid="{00000000-0005-0000-0000-0000411D0000}"/>
    <cellStyle name="Currency 4 2 6 2 2 2" xfId="23288" xr:uid="{00000000-0005-0000-0000-0000421D0000}"/>
    <cellStyle name="Currency 4 2 6 2 3" xfId="23289" xr:uid="{00000000-0005-0000-0000-0000431D0000}"/>
    <cellStyle name="Currency 4 2 6 2 3 2" xfId="23290" xr:uid="{00000000-0005-0000-0000-0000441D0000}"/>
    <cellStyle name="Currency 4 2 6 2 4" xfId="23291" xr:uid="{00000000-0005-0000-0000-0000451D0000}"/>
    <cellStyle name="Currency 4 2 6 2 4 2" xfId="23292" xr:uid="{00000000-0005-0000-0000-0000461D0000}"/>
    <cellStyle name="Currency 4 2 6 2 5" xfId="23293" xr:uid="{00000000-0005-0000-0000-0000471D0000}"/>
    <cellStyle name="Currency 4 2 6 2 6" xfId="23294" xr:uid="{00000000-0005-0000-0000-0000481D0000}"/>
    <cellStyle name="Currency 4 2 6 3" xfId="23295" xr:uid="{00000000-0005-0000-0000-0000491D0000}"/>
    <cellStyle name="Currency 4 2 6 3 2" xfId="23296" xr:uid="{00000000-0005-0000-0000-00004A1D0000}"/>
    <cellStyle name="Currency 4 2 6 3 2 2" xfId="23297" xr:uid="{00000000-0005-0000-0000-00004B1D0000}"/>
    <cellStyle name="Currency 4 2 6 3 3" xfId="23298" xr:uid="{00000000-0005-0000-0000-00004C1D0000}"/>
    <cellStyle name="Currency 4 2 6 3 3 2" xfId="23299" xr:uid="{00000000-0005-0000-0000-00004D1D0000}"/>
    <cellStyle name="Currency 4 2 6 3 4" xfId="23300" xr:uid="{00000000-0005-0000-0000-00004E1D0000}"/>
    <cellStyle name="Currency 4 2 6 3 4 2" xfId="23301" xr:uid="{00000000-0005-0000-0000-00004F1D0000}"/>
    <cellStyle name="Currency 4 2 6 3 5" xfId="23302" xr:uid="{00000000-0005-0000-0000-0000501D0000}"/>
    <cellStyle name="Currency 4 2 6 3 6" xfId="23303" xr:uid="{00000000-0005-0000-0000-0000511D0000}"/>
    <cellStyle name="Currency 4 2 6 4" xfId="23304" xr:uid="{00000000-0005-0000-0000-0000521D0000}"/>
    <cellStyle name="Currency 4 2 6 4 2" xfId="23305" xr:uid="{00000000-0005-0000-0000-0000531D0000}"/>
    <cellStyle name="Currency 4 2 6 4 2 2" xfId="23306" xr:uid="{00000000-0005-0000-0000-0000541D0000}"/>
    <cellStyle name="Currency 4 2 6 4 3" xfId="23307" xr:uid="{00000000-0005-0000-0000-0000551D0000}"/>
    <cellStyle name="Currency 4 2 6 4 3 2" xfId="23308" xr:uid="{00000000-0005-0000-0000-0000561D0000}"/>
    <cellStyle name="Currency 4 2 6 4 4" xfId="23309" xr:uid="{00000000-0005-0000-0000-0000571D0000}"/>
    <cellStyle name="Currency 4 2 6 4 4 2" xfId="23310" xr:uid="{00000000-0005-0000-0000-0000581D0000}"/>
    <cellStyle name="Currency 4 2 6 4 5" xfId="23311" xr:uid="{00000000-0005-0000-0000-0000591D0000}"/>
    <cellStyle name="Currency 4 2 6 4 6" xfId="23312" xr:uid="{00000000-0005-0000-0000-00005A1D0000}"/>
    <cellStyle name="Currency 4 2 6 5" xfId="23313" xr:uid="{00000000-0005-0000-0000-00005B1D0000}"/>
    <cellStyle name="Currency 4 2 6 5 2" xfId="23314" xr:uid="{00000000-0005-0000-0000-00005C1D0000}"/>
    <cellStyle name="Currency 4 2 6 5 2 2" xfId="23315" xr:uid="{00000000-0005-0000-0000-00005D1D0000}"/>
    <cellStyle name="Currency 4 2 6 5 3" xfId="23316" xr:uid="{00000000-0005-0000-0000-00005E1D0000}"/>
    <cellStyle name="Currency 4 2 6 5 3 2" xfId="23317" xr:uid="{00000000-0005-0000-0000-00005F1D0000}"/>
    <cellStyle name="Currency 4 2 6 5 4" xfId="23318" xr:uid="{00000000-0005-0000-0000-0000601D0000}"/>
    <cellStyle name="Currency 4 2 6 5 4 2" xfId="23319" xr:uid="{00000000-0005-0000-0000-0000611D0000}"/>
    <cellStyle name="Currency 4 2 6 5 5" xfId="23320" xr:uid="{00000000-0005-0000-0000-0000621D0000}"/>
    <cellStyle name="Currency 4 2 6 5 6" xfId="23321" xr:uid="{00000000-0005-0000-0000-0000631D0000}"/>
    <cellStyle name="Currency 4 2 6 6" xfId="23322" xr:uid="{00000000-0005-0000-0000-0000641D0000}"/>
    <cellStyle name="Currency 4 2 6 6 2" xfId="23323" xr:uid="{00000000-0005-0000-0000-0000651D0000}"/>
    <cellStyle name="Currency 4 2 6 6 2 2" xfId="23324" xr:uid="{00000000-0005-0000-0000-0000661D0000}"/>
    <cellStyle name="Currency 4 2 6 6 3" xfId="23325" xr:uid="{00000000-0005-0000-0000-0000671D0000}"/>
    <cellStyle name="Currency 4 2 6 6 3 2" xfId="23326" xr:uid="{00000000-0005-0000-0000-0000681D0000}"/>
    <cellStyle name="Currency 4 2 6 6 4" xfId="23327" xr:uid="{00000000-0005-0000-0000-0000691D0000}"/>
    <cellStyle name="Currency 4 2 6 6 5" xfId="23328" xr:uid="{00000000-0005-0000-0000-00006A1D0000}"/>
    <cellStyle name="Currency 4 2 6 7" xfId="23329" xr:uid="{00000000-0005-0000-0000-00006B1D0000}"/>
    <cellStyle name="Currency 4 2 6 7 2" xfId="23330" xr:uid="{00000000-0005-0000-0000-00006C1D0000}"/>
    <cellStyle name="Currency 4 2 6 8" xfId="23331" xr:uid="{00000000-0005-0000-0000-00006D1D0000}"/>
    <cellStyle name="Currency 4 2 6 8 2" xfId="23332" xr:uid="{00000000-0005-0000-0000-00006E1D0000}"/>
    <cellStyle name="Currency 4 2 6 9" xfId="23333" xr:uid="{00000000-0005-0000-0000-00006F1D0000}"/>
    <cellStyle name="Currency 4 2 6 9 2" xfId="23334" xr:uid="{00000000-0005-0000-0000-0000701D0000}"/>
    <cellStyle name="Currency 4 2 7" xfId="23335" xr:uid="{00000000-0005-0000-0000-0000711D0000}"/>
    <cellStyle name="Currency 4 2 7 10" xfId="23336" xr:uid="{00000000-0005-0000-0000-0000721D0000}"/>
    <cellStyle name="Currency 4 2 7 2" xfId="23337" xr:uid="{00000000-0005-0000-0000-0000731D0000}"/>
    <cellStyle name="Currency 4 2 7 2 2" xfId="23338" xr:uid="{00000000-0005-0000-0000-0000741D0000}"/>
    <cellStyle name="Currency 4 2 7 2 2 2" xfId="23339" xr:uid="{00000000-0005-0000-0000-0000751D0000}"/>
    <cellStyle name="Currency 4 2 7 2 3" xfId="23340" xr:uid="{00000000-0005-0000-0000-0000761D0000}"/>
    <cellStyle name="Currency 4 2 7 2 3 2" xfId="23341" xr:uid="{00000000-0005-0000-0000-0000771D0000}"/>
    <cellStyle name="Currency 4 2 7 2 4" xfId="23342" xr:uid="{00000000-0005-0000-0000-0000781D0000}"/>
    <cellStyle name="Currency 4 2 7 2 4 2" xfId="23343" xr:uid="{00000000-0005-0000-0000-0000791D0000}"/>
    <cellStyle name="Currency 4 2 7 2 5" xfId="23344" xr:uid="{00000000-0005-0000-0000-00007A1D0000}"/>
    <cellStyle name="Currency 4 2 7 2 6" xfId="23345" xr:uid="{00000000-0005-0000-0000-00007B1D0000}"/>
    <cellStyle name="Currency 4 2 7 3" xfId="23346" xr:uid="{00000000-0005-0000-0000-00007C1D0000}"/>
    <cellStyle name="Currency 4 2 7 3 2" xfId="23347" xr:uid="{00000000-0005-0000-0000-00007D1D0000}"/>
    <cellStyle name="Currency 4 2 7 3 2 2" xfId="23348" xr:uid="{00000000-0005-0000-0000-00007E1D0000}"/>
    <cellStyle name="Currency 4 2 7 3 3" xfId="23349" xr:uid="{00000000-0005-0000-0000-00007F1D0000}"/>
    <cellStyle name="Currency 4 2 7 3 3 2" xfId="23350" xr:uid="{00000000-0005-0000-0000-0000801D0000}"/>
    <cellStyle name="Currency 4 2 7 3 4" xfId="23351" xr:uid="{00000000-0005-0000-0000-0000811D0000}"/>
    <cellStyle name="Currency 4 2 7 3 4 2" xfId="23352" xr:uid="{00000000-0005-0000-0000-0000821D0000}"/>
    <cellStyle name="Currency 4 2 7 3 5" xfId="23353" xr:uid="{00000000-0005-0000-0000-0000831D0000}"/>
    <cellStyle name="Currency 4 2 7 3 6" xfId="23354" xr:uid="{00000000-0005-0000-0000-0000841D0000}"/>
    <cellStyle name="Currency 4 2 7 4" xfId="23355" xr:uid="{00000000-0005-0000-0000-0000851D0000}"/>
    <cellStyle name="Currency 4 2 7 4 2" xfId="23356" xr:uid="{00000000-0005-0000-0000-0000861D0000}"/>
    <cellStyle name="Currency 4 2 7 4 2 2" xfId="23357" xr:uid="{00000000-0005-0000-0000-0000871D0000}"/>
    <cellStyle name="Currency 4 2 7 4 3" xfId="23358" xr:uid="{00000000-0005-0000-0000-0000881D0000}"/>
    <cellStyle name="Currency 4 2 7 4 3 2" xfId="23359" xr:uid="{00000000-0005-0000-0000-0000891D0000}"/>
    <cellStyle name="Currency 4 2 7 4 4" xfId="23360" xr:uid="{00000000-0005-0000-0000-00008A1D0000}"/>
    <cellStyle name="Currency 4 2 7 4 4 2" xfId="23361" xr:uid="{00000000-0005-0000-0000-00008B1D0000}"/>
    <cellStyle name="Currency 4 2 7 4 5" xfId="23362" xr:uid="{00000000-0005-0000-0000-00008C1D0000}"/>
    <cellStyle name="Currency 4 2 7 4 6" xfId="23363" xr:uid="{00000000-0005-0000-0000-00008D1D0000}"/>
    <cellStyle name="Currency 4 2 7 5" xfId="23364" xr:uid="{00000000-0005-0000-0000-00008E1D0000}"/>
    <cellStyle name="Currency 4 2 7 5 2" xfId="23365" xr:uid="{00000000-0005-0000-0000-00008F1D0000}"/>
    <cellStyle name="Currency 4 2 7 5 2 2" xfId="23366" xr:uid="{00000000-0005-0000-0000-0000901D0000}"/>
    <cellStyle name="Currency 4 2 7 5 3" xfId="23367" xr:uid="{00000000-0005-0000-0000-0000911D0000}"/>
    <cellStyle name="Currency 4 2 7 5 3 2" xfId="23368" xr:uid="{00000000-0005-0000-0000-0000921D0000}"/>
    <cellStyle name="Currency 4 2 7 5 4" xfId="23369" xr:uid="{00000000-0005-0000-0000-0000931D0000}"/>
    <cellStyle name="Currency 4 2 7 5 5" xfId="23370" xr:uid="{00000000-0005-0000-0000-0000941D0000}"/>
    <cellStyle name="Currency 4 2 7 6" xfId="23371" xr:uid="{00000000-0005-0000-0000-0000951D0000}"/>
    <cellStyle name="Currency 4 2 7 6 2" xfId="23372" xr:uid="{00000000-0005-0000-0000-0000961D0000}"/>
    <cellStyle name="Currency 4 2 7 7" xfId="23373" xr:uid="{00000000-0005-0000-0000-0000971D0000}"/>
    <cellStyle name="Currency 4 2 7 7 2" xfId="23374" xr:uid="{00000000-0005-0000-0000-0000981D0000}"/>
    <cellStyle name="Currency 4 2 7 8" xfId="23375" xr:uid="{00000000-0005-0000-0000-0000991D0000}"/>
    <cellStyle name="Currency 4 2 7 8 2" xfId="23376" xr:uid="{00000000-0005-0000-0000-00009A1D0000}"/>
    <cellStyle name="Currency 4 2 7 9" xfId="23377" xr:uid="{00000000-0005-0000-0000-00009B1D0000}"/>
    <cellStyle name="Currency 4 2 8" xfId="23378" xr:uid="{00000000-0005-0000-0000-00009C1D0000}"/>
    <cellStyle name="Currency 4 2 8 10" xfId="23379" xr:uid="{00000000-0005-0000-0000-00009D1D0000}"/>
    <cellStyle name="Currency 4 2 8 2" xfId="23380" xr:uid="{00000000-0005-0000-0000-00009E1D0000}"/>
    <cellStyle name="Currency 4 2 8 2 2" xfId="23381" xr:uid="{00000000-0005-0000-0000-00009F1D0000}"/>
    <cellStyle name="Currency 4 2 8 2 2 2" xfId="23382" xr:uid="{00000000-0005-0000-0000-0000A01D0000}"/>
    <cellStyle name="Currency 4 2 8 2 3" xfId="23383" xr:uid="{00000000-0005-0000-0000-0000A11D0000}"/>
    <cellStyle name="Currency 4 2 8 2 3 2" xfId="23384" xr:uid="{00000000-0005-0000-0000-0000A21D0000}"/>
    <cellStyle name="Currency 4 2 8 2 4" xfId="23385" xr:uid="{00000000-0005-0000-0000-0000A31D0000}"/>
    <cellStyle name="Currency 4 2 8 2 4 2" xfId="23386" xr:uid="{00000000-0005-0000-0000-0000A41D0000}"/>
    <cellStyle name="Currency 4 2 8 2 5" xfId="23387" xr:uid="{00000000-0005-0000-0000-0000A51D0000}"/>
    <cellStyle name="Currency 4 2 8 2 6" xfId="23388" xr:uid="{00000000-0005-0000-0000-0000A61D0000}"/>
    <cellStyle name="Currency 4 2 8 3" xfId="23389" xr:uid="{00000000-0005-0000-0000-0000A71D0000}"/>
    <cellStyle name="Currency 4 2 8 3 2" xfId="23390" xr:uid="{00000000-0005-0000-0000-0000A81D0000}"/>
    <cellStyle name="Currency 4 2 8 3 2 2" xfId="23391" xr:uid="{00000000-0005-0000-0000-0000A91D0000}"/>
    <cellStyle name="Currency 4 2 8 3 3" xfId="23392" xr:uid="{00000000-0005-0000-0000-0000AA1D0000}"/>
    <cellStyle name="Currency 4 2 8 3 3 2" xfId="23393" xr:uid="{00000000-0005-0000-0000-0000AB1D0000}"/>
    <cellStyle name="Currency 4 2 8 3 4" xfId="23394" xr:uid="{00000000-0005-0000-0000-0000AC1D0000}"/>
    <cellStyle name="Currency 4 2 8 3 4 2" xfId="23395" xr:uid="{00000000-0005-0000-0000-0000AD1D0000}"/>
    <cellStyle name="Currency 4 2 8 3 5" xfId="23396" xr:uid="{00000000-0005-0000-0000-0000AE1D0000}"/>
    <cellStyle name="Currency 4 2 8 3 6" xfId="23397" xr:uid="{00000000-0005-0000-0000-0000AF1D0000}"/>
    <cellStyle name="Currency 4 2 8 4" xfId="23398" xr:uid="{00000000-0005-0000-0000-0000B01D0000}"/>
    <cellStyle name="Currency 4 2 8 4 2" xfId="23399" xr:uid="{00000000-0005-0000-0000-0000B11D0000}"/>
    <cellStyle name="Currency 4 2 8 4 2 2" xfId="23400" xr:uid="{00000000-0005-0000-0000-0000B21D0000}"/>
    <cellStyle name="Currency 4 2 8 4 3" xfId="23401" xr:uid="{00000000-0005-0000-0000-0000B31D0000}"/>
    <cellStyle name="Currency 4 2 8 4 3 2" xfId="23402" xr:uid="{00000000-0005-0000-0000-0000B41D0000}"/>
    <cellStyle name="Currency 4 2 8 4 4" xfId="23403" xr:uid="{00000000-0005-0000-0000-0000B51D0000}"/>
    <cellStyle name="Currency 4 2 8 4 4 2" xfId="23404" xr:uid="{00000000-0005-0000-0000-0000B61D0000}"/>
    <cellStyle name="Currency 4 2 8 4 5" xfId="23405" xr:uid="{00000000-0005-0000-0000-0000B71D0000}"/>
    <cellStyle name="Currency 4 2 8 4 6" xfId="23406" xr:uid="{00000000-0005-0000-0000-0000B81D0000}"/>
    <cellStyle name="Currency 4 2 8 5" xfId="23407" xr:uid="{00000000-0005-0000-0000-0000B91D0000}"/>
    <cellStyle name="Currency 4 2 8 5 2" xfId="23408" xr:uid="{00000000-0005-0000-0000-0000BA1D0000}"/>
    <cellStyle name="Currency 4 2 8 5 2 2" xfId="23409" xr:uid="{00000000-0005-0000-0000-0000BB1D0000}"/>
    <cellStyle name="Currency 4 2 8 5 3" xfId="23410" xr:uid="{00000000-0005-0000-0000-0000BC1D0000}"/>
    <cellStyle name="Currency 4 2 8 5 3 2" xfId="23411" xr:uid="{00000000-0005-0000-0000-0000BD1D0000}"/>
    <cellStyle name="Currency 4 2 8 5 4" xfId="23412" xr:uid="{00000000-0005-0000-0000-0000BE1D0000}"/>
    <cellStyle name="Currency 4 2 8 5 5" xfId="23413" xr:uid="{00000000-0005-0000-0000-0000BF1D0000}"/>
    <cellStyle name="Currency 4 2 8 6" xfId="23414" xr:uid="{00000000-0005-0000-0000-0000C01D0000}"/>
    <cellStyle name="Currency 4 2 8 6 2" xfId="23415" xr:uid="{00000000-0005-0000-0000-0000C11D0000}"/>
    <cellStyle name="Currency 4 2 8 7" xfId="23416" xr:uid="{00000000-0005-0000-0000-0000C21D0000}"/>
    <cellStyle name="Currency 4 2 8 7 2" xfId="23417" xr:uid="{00000000-0005-0000-0000-0000C31D0000}"/>
    <cellStyle name="Currency 4 2 8 8" xfId="23418" xr:uid="{00000000-0005-0000-0000-0000C41D0000}"/>
    <cellStyle name="Currency 4 2 8 8 2" xfId="23419" xr:uid="{00000000-0005-0000-0000-0000C51D0000}"/>
    <cellStyle name="Currency 4 2 8 9" xfId="23420" xr:uid="{00000000-0005-0000-0000-0000C61D0000}"/>
    <cellStyle name="Currency 4 2 9" xfId="23421" xr:uid="{00000000-0005-0000-0000-0000C71D0000}"/>
    <cellStyle name="Currency 4 2 9 2" xfId="23422" xr:uid="{00000000-0005-0000-0000-0000C81D0000}"/>
    <cellStyle name="Currency 4 2 9 2 2" xfId="23423" xr:uid="{00000000-0005-0000-0000-0000C91D0000}"/>
    <cellStyle name="Currency 4 2 9 3" xfId="23424" xr:uid="{00000000-0005-0000-0000-0000CA1D0000}"/>
    <cellStyle name="Currency 4 2 9 3 2" xfId="23425" xr:uid="{00000000-0005-0000-0000-0000CB1D0000}"/>
    <cellStyle name="Currency 4 2 9 4" xfId="23426" xr:uid="{00000000-0005-0000-0000-0000CC1D0000}"/>
    <cellStyle name="Currency 4 2 9 4 2" xfId="23427" xr:uid="{00000000-0005-0000-0000-0000CD1D0000}"/>
    <cellStyle name="Currency 4 2 9 5" xfId="23428" xr:uid="{00000000-0005-0000-0000-0000CE1D0000}"/>
    <cellStyle name="Currency 4 2 9 6" xfId="23429" xr:uid="{00000000-0005-0000-0000-0000CF1D0000}"/>
    <cellStyle name="Currency 4 20" xfId="17683" xr:uid="{00000000-0005-0000-0000-0000D01D0000}"/>
    <cellStyle name="Currency 4 3" xfId="23430" xr:uid="{00000000-0005-0000-0000-0000D11D0000}"/>
    <cellStyle name="Currency 4 3 10" xfId="23431" xr:uid="{00000000-0005-0000-0000-0000D21D0000}"/>
    <cellStyle name="Currency 4 3 10 2" xfId="23432" xr:uid="{00000000-0005-0000-0000-0000D31D0000}"/>
    <cellStyle name="Currency 4 3 10 2 2" xfId="23433" xr:uid="{00000000-0005-0000-0000-0000D41D0000}"/>
    <cellStyle name="Currency 4 3 10 3" xfId="23434" xr:uid="{00000000-0005-0000-0000-0000D51D0000}"/>
    <cellStyle name="Currency 4 3 10 3 2" xfId="23435" xr:uid="{00000000-0005-0000-0000-0000D61D0000}"/>
    <cellStyle name="Currency 4 3 10 4" xfId="23436" xr:uid="{00000000-0005-0000-0000-0000D71D0000}"/>
    <cellStyle name="Currency 4 3 10 4 2" xfId="23437" xr:uid="{00000000-0005-0000-0000-0000D81D0000}"/>
    <cellStyle name="Currency 4 3 10 5" xfId="23438" xr:uid="{00000000-0005-0000-0000-0000D91D0000}"/>
    <cellStyle name="Currency 4 3 10 6" xfId="23439" xr:uid="{00000000-0005-0000-0000-0000DA1D0000}"/>
    <cellStyle name="Currency 4 3 11" xfId="23440" xr:uid="{00000000-0005-0000-0000-0000DB1D0000}"/>
    <cellStyle name="Currency 4 3 11 2" xfId="23441" xr:uid="{00000000-0005-0000-0000-0000DC1D0000}"/>
    <cellStyle name="Currency 4 3 11 2 2" xfId="23442" xr:uid="{00000000-0005-0000-0000-0000DD1D0000}"/>
    <cellStyle name="Currency 4 3 11 3" xfId="23443" xr:uid="{00000000-0005-0000-0000-0000DE1D0000}"/>
    <cellStyle name="Currency 4 3 11 3 2" xfId="23444" xr:uid="{00000000-0005-0000-0000-0000DF1D0000}"/>
    <cellStyle name="Currency 4 3 11 4" xfId="23445" xr:uid="{00000000-0005-0000-0000-0000E01D0000}"/>
    <cellStyle name="Currency 4 3 11 5" xfId="23446" xr:uid="{00000000-0005-0000-0000-0000E11D0000}"/>
    <cellStyle name="Currency 4 3 12" xfId="23447" xr:uid="{00000000-0005-0000-0000-0000E21D0000}"/>
    <cellStyle name="Currency 4 3 12 2" xfId="23448" xr:uid="{00000000-0005-0000-0000-0000E31D0000}"/>
    <cellStyle name="Currency 4 3 13" xfId="23449" xr:uid="{00000000-0005-0000-0000-0000E41D0000}"/>
    <cellStyle name="Currency 4 3 13 2" xfId="23450" xr:uid="{00000000-0005-0000-0000-0000E51D0000}"/>
    <cellStyle name="Currency 4 3 14" xfId="23451" xr:uid="{00000000-0005-0000-0000-0000E61D0000}"/>
    <cellStyle name="Currency 4 3 14 2" xfId="23452" xr:uid="{00000000-0005-0000-0000-0000E71D0000}"/>
    <cellStyle name="Currency 4 3 15" xfId="23453" xr:uid="{00000000-0005-0000-0000-0000E81D0000}"/>
    <cellStyle name="Currency 4 3 16" xfId="23454" xr:uid="{00000000-0005-0000-0000-0000E91D0000}"/>
    <cellStyle name="Currency 4 3 2" xfId="23455" xr:uid="{00000000-0005-0000-0000-0000EA1D0000}"/>
    <cellStyle name="Currency 4 3 2 10" xfId="23456" xr:uid="{00000000-0005-0000-0000-0000EB1D0000}"/>
    <cellStyle name="Currency 4 3 2 10 2" xfId="23457" xr:uid="{00000000-0005-0000-0000-0000EC1D0000}"/>
    <cellStyle name="Currency 4 3 2 11" xfId="23458" xr:uid="{00000000-0005-0000-0000-0000ED1D0000}"/>
    <cellStyle name="Currency 4 3 2 11 2" xfId="23459" xr:uid="{00000000-0005-0000-0000-0000EE1D0000}"/>
    <cellStyle name="Currency 4 3 2 12" xfId="23460" xr:uid="{00000000-0005-0000-0000-0000EF1D0000}"/>
    <cellStyle name="Currency 4 3 2 13" xfId="23461" xr:uid="{00000000-0005-0000-0000-0000F01D0000}"/>
    <cellStyle name="Currency 4 3 2 2" xfId="23462" xr:uid="{00000000-0005-0000-0000-0000F11D0000}"/>
    <cellStyle name="Currency 4 3 2 2 10" xfId="23463" xr:uid="{00000000-0005-0000-0000-0000F21D0000}"/>
    <cellStyle name="Currency 4 3 2 2 11" xfId="23464" xr:uid="{00000000-0005-0000-0000-0000F31D0000}"/>
    <cellStyle name="Currency 4 3 2 2 2" xfId="23465" xr:uid="{00000000-0005-0000-0000-0000F41D0000}"/>
    <cellStyle name="Currency 4 3 2 2 2 2" xfId="23466" xr:uid="{00000000-0005-0000-0000-0000F51D0000}"/>
    <cellStyle name="Currency 4 3 2 2 2 2 2" xfId="23467" xr:uid="{00000000-0005-0000-0000-0000F61D0000}"/>
    <cellStyle name="Currency 4 3 2 2 2 3" xfId="23468" xr:uid="{00000000-0005-0000-0000-0000F71D0000}"/>
    <cellStyle name="Currency 4 3 2 2 2 3 2" xfId="23469" xr:uid="{00000000-0005-0000-0000-0000F81D0000}"/>
    <cellStyle name="Currency 4 3 2 2 2 4" xfId="23470" xr:uid="{00000000-0005-0000-0000-0000F91D0000}"/>
    <cellStyle name="Currency 4 3 2 2 2 4 2" xfId="23471" xr:uid="{00000000-0005-0000-0000-0000FA1D0000}"/>
    <cellStyle name="Currency 4 3 2 2 2 5" xfId="23472" xr:uid="{00000000-0005-0000-0000-0000FB1D0000}"/>
    <cellStyle name="Currency 4 3 2 2 2 6" xfId="23473" xr:uid="{00000000-0005-0000-0000-0000FC1D0000}"/>
    <cellStyle name="Currency 4 3 2 2 3" xfId="23474" xr:uid="{00000000-0005-0000-0000-0000FD1D0000}"/>
    <cellStyle name="Currency 4 3 2 2 3 2" xfId="23475" xr:uid="{00000000-0005-0000-0000-0000FE1D0000}"/>
    <cellStyle name="Currency 4 3 2 2 3 2 2" xfId="23476" xr:uid="{00000000-0005-0000-0000-0000FF1D0000}"/>
    <cellStyle name="Currency 4 3 2 2 3 3" xfId="23477" xr:uid="{00000000-0005-0000-0000-0000001E0000}"/>
    <cellStyle name="Currency 4 3 2 2 3 3 2" xfId="23478" xr:uid="{00000000-0005-0000-0000-0000011E0000}"/>
    <cellStyle name="Currency 4 3 2 2 3 4" xfId="23479" xr:uid="{00000000-0005-0000-0000-0000021E0000}"/>
    <cellStyle name="Currency 4 3 2 2 3 4 2" xfId="23480" xr:uid="{00000000-0005-0000-0000-0000031E0000}"/>
    <cellStyle name="Currency 4 3 2 2 3 5" xfId="23481" xr:uid="{00000000-0005-0000-0000-0000041E0000}"/>
    <cellStyle name="Currency 4 3 2 2 3 6" xfId="23482" xr:uid="{00000000-0005-0000-0000-0000051E0000}"/>
    <cellStyle name="Currency 4 3 2 2 4" xfId="23483" xr:uid="{00000000-0005-0000-0000-0000061E0000}"/>
    <cellStyle name="Currency 4 3 2 2 4 2" xfId="23484" xr:uid="{00000000-0005-0000-0000-0000071E0000}"/>
    <cellStyle name="Currency 4 3 2 2 4 2 2" xfId="23485" xr:uid="{00000000-0005-0000-0000-0000081E0000}"/>
    <cellStyle name="Currency 4 3 2 2 4 3" xfId="23486" xr:uid="{00000000-0005-0000-0000-0000091E0000}"/>
    <cellStyle name="Currency 4 3 2 2 4 3 2" xfId="23487" xr:uid="{00000000-0005-0000-0000-00000A1E0000}"/>
    <cellStyle name="Currency 4 3 2 2 4 4" xfId="23488" xr:uid="{00000000-0005-0000-0000-00000B1E0000}"/>
    <cellStyle name="Currency 4 3 2 2 4 4 2" xfId="23489" xr:uid="{00000000-0005-0000-0000-00000C1E0000}"/>
    <cellStyle name="Currency 4 3 2 2 4 5" xfId="23490" xr:uid="{00000000-0005-0000-0000-00000D1E0000}"/>
    <cellStyle name="Currency 4 3 2 2 4 6" xfId="23491" xr:uid="{00000000-0005-0000-0000-00000E1E0000}"/>
    <cellStyle name="Currency 4 3 2 2 5" xfId="23492" xr:uid="{00000000-0005-0000-0000-00000F1E0000}"/>
    <cellStyle name="Currency 4 3 2 2 5 2" xfId="23493" xr:uid="{00000000-0005-0000-0000-0000101E0000}"/>
    <cellStyle name="Currency 4 3 2 2 5 2 2" xfId="23494" xr:uid="{00000000-0005-0000-0000-0000111E0000}"/>
    <cellStyle name="Currency 4 3 2 2 5 3" xfId="23495" xr:uid="{00000000-0005-0000-0000-0000121E0000}"/>
    <cellStyle name="Currency 4 3 2 2 5 3 2" xfId="23496" xr:uid="{00000000-0005-0000-0000-0000131E0000}"/>
    <cellStyle name="Currency 4 3 2 2 5 4" xfId="23497" xr:uid="{00000000-0005-0000-0000-0000141E0000}"/>
    <cellStyle name="Currency 4 3 2 2 5 4 2" xfId="23498" xr:uid="{00000000-0005-0000-0000-0000151E0000}"/>
    <cellStyle name="Currency 4 3 2 2 5 5" xfId="23499" xr:uid="{00000000-0005-0000-0000-0000161E0000}"/>
    <cellStyle name="Currency 4 3 2 2 5 6" xfId="23500" xr:uid="{00000000-0005-0000-0000-0000171E0000}"/>
    <cellStyle name="Currency 4 3 2 2 6" xfId="23501" xr:uid="{00000000-0005-0000-0000-0000181E0000}"/>
    <cellStyle name="Currency 4 3 2 2 6 2" xfId="23502" xr:uid="{00000000-0005-0000-0000-0000191E0000}"/>
    <cellStyle name="Currency 4 3 2 2 6 2 2" xfId="23503" xr:uid="{00000000-0005-0000-0000-00001A1E0000}"/>
    <cellStyle name="Currency 4 3 2 2 6 3" xfId="23504" xr:uid="{00000000-0005-0000-0000-00001B1E0000}"/>
    <cellStyle name="Currency 4 3 2 2 6 3 2" xfId="23505" xr:uid="{00000000-0005-0000-0000-00001C1E0000}"/>
    <cellStyle name="Currency 4 3 2 2 6 4" xfId="23506" xr:uid="{00000000-0005-0000-0000-00001D1E0000}"/>
    <cellStyle name="Currency 4 3 2 2 6 5" xfId="23507" xr:uid="{00000000-0005-0000-0000-00001E1E0000}"/>
    <cellStyle name="Currency 4 3 2 2 7" xfId="23508" xr:uid="{00000000-0005-0000-0000-00001F1E0000}"/>
    <cellStyle name="Currency 4 3 2 2 7 2" xfId="23509" xr:uid="{00000000-0005-0000-0000-0000201E0000}"/>
    <cellStyle name="Currency 4 3 2 2 8" xfId="23510" xr:uid="{00000000-0005-0000-0000-0000211E0000}"/>
    <cellStyle name="Currency 4 3 2 2 8 2" xfId="23511" xr:uid="{00000000-0005-0000-0000-0000221E0000}"/>
    <cellStyle name="Currency 4 3 2 2 9" xfId="23512" xr:uid="{00000000-0005-0000-0000-0000231E0000}"/>
    <cellStyle name="Currency 4 3 2 2 9 2" xfId="23513" xr:uid="{00000000-0005-0000-0000-0000241E0000}"/>
    <cellStyle name="Currency 4 3 2 3" xfId="23514" xr:uid="{00000000-0005-0000-0000-0000251E0000}"/>
    <cellStyle name="Currency 4 3 2 3 10" xfId="23515" xr:uid="{00000000-0005-0000-0000-0000261E0000}"/>
    <cellStyle name="Currency 4 3 2 3 2" xfId="23516" xr:uid="{00000000-0005-0000-0000-0000271E0000}"/>
    <cellStyle name="Currency 4 3 2 3 2 2" xfId="23517" xr:uid="{00000000-0005-0000-0000-0000281E0000}"/>
    <cellStyle name="Currency 4 3 2 3 2 2 2" xfId="23518" xr:uid="{00000000-0005-0000-0000-0000291E0000}"/>
    <cellStyle name="Currency 4 3 2 3 2 3" xfId="23519" xr:uid="{00000000-0005-0000-0000-00002A1E0000}"/>
    <cellStyle name="Currency 4 3 2 3 2 3 2" xfId="23520" xr:uid="{00000000-0005-0000-0000-00002B1E0000}"/>
    <cellStyle name="Currency 4 3 2 3 2 4" xfId="23521" xr:uid="{00000000-0005-0000-0000-00002C1E0000}"/>
    <cellStyle name="Currency 4 3 2 3 2 4 2" xfId="23522" xr:uid="{00000000-0005-0000-0000-00002D1E0000}"/>
    <cellStyle name="Currency 4 3 2 3 2 5" xfId="23523" xr:uid="{00000000-0005-0000-0000-00002E1E0000}"/>
    <cellStyle name="Currency 4 3 2 3 2 6" xfId="23524" xr:uid="{00000000-0005-0000-0000-00002F1E0000}"/>
    <cellStyle name="Currency 4 3 2 3 3" xfId="23525" xr:uid="{00000000-0005-0000-0000-0000301E0000}"/>
    <cellStyle name="Currency 4 3 2 3 3 2" xfId="23526" xr:uid="{00000000-0005-0000-0000-0000311E0000}"/>
    <cellStyle name="Currency 4 3 2 3 3 2 2" xfId="23527" xr:uid="{00000000-0005-0000-0000-0000321E0000}"/>
    <cellStyle name="Currency 4 3 2 3 3 3" xfId="23528" xr:uid="{00000000-0005-0000-0000-0000331E0000}"/>
    <cellStyle name="Currency 4 3 2 3 3 3 2" xfId="23529" xr:uid="{00000000-0005-0000-0000-0000341E0000}"/>
    <cellStyle name="Currency 4 3 2 3 3 4" xfId="23530" xr:uid="{00000000-0005-0000-0000-0000351E0000}"/>
    <cellStyle name="Currency 4 3 2 3 3 4 2" xfId="23531" xr:uid="{00000000-0005-0000-0000-0000361E0000}"/>
    <cellStyle name="Currency 4 3 2 3 3 5" xfId="23532" xr:uid="{00000000-0005-0000-0000-0000371E0000}"/>
    <cellStyle name="Currency 4 3 2 3 3 6" xfId="23533" xr:uid="{00000000-0005-0000-0000-0000381E0000}"/>
    <cellStyle name="Currency 4 3 2 3 4" xfId="23534" xr:uid="{00000000-0005-0000-0000-0000391E0000}"/>
    <cellStyle name="Currency 4 3 2 3 4 2" xfId="23535" xr:uid="{00000000-0005-0000-0000-00003A1E0000}"/>
    <cellStyle name="Currency 4 3 2 3 4 2 2" xfId="23536" xr:uid="{00000000-0005-0000-0000-00003B1E0000}"/>
    <cellStyle name="Currency 4 3 2 3 4 3" xfId="23537" xr:uid="{00000000-0005-0000-0000-00003C1E0000}"/>
    <cellStyle name="Currency 4 3 2 3 4 3 2" xfId="23538" xr:uid="{00000000-0005-0000-0000-00003D1E0000}"/>
    <cellStyle name="Currency 4 3 2 3 4 4" xfId="23539" xr:uid="{00000000-0005-0000-0000-00003E1E0000}"/>
    <cellStyle name="Currency 4 3 2 3 4 4 2" xfId="23540" xr:uid="{00000000-0005-0000-0000-00003F1E0000}"/>
    <cellStyle name="Currency 4 3 2 3 4 5" xfId="23541" xr:uid="{00000000-0005-0000-0000-0000401E0000}"/>
    <cellStyle name="Currency 4 3 2 3 4 6" xfId="23542" xr:uid="{00000000-0005-0000-0000-0000411E0000}"/>
    <cellStyle name="Currency 4 3 2 3 5" xfId="23543" xr:uid="{00000000-0005-0000-0000-0000421E0000}"/>
    <cellStyle name="Currency 4 3 2 3 5 2" xfId="23544" xr:uid="{00000000-0005-0000-0000-0000431E0000}"/>
    <cellStyle name="Currency 4 3 2 3 5 2 2" xfId="23545" xr:uid="{00000000-0005-0000-0000-0000441E0000}"/>
    <cellStyle name="Currency 4 3 2 3 5 3" xfId="23546" xr:uid="{00000000-0005-0000-0000-0000451E0000}"/>
    <cellStyle name="Currency 4 3 2 3 5 3 2" xfId="23547" xr:uid="{00000000-0005-0000-0000-0000461E0000}"/>
    <cellStyle name="Currency 4 3 2 3 5 4" xfId="23548" xr:uid="{00000000-0005-0000-0000-0000471E0000}"/>
    <cellStyle name="Currency 4 3 2 3 5 5" xfId="23549" xr:uid="{00000000-0005-0000-0000-0000481E0000}"/>
    <cellStyle name="Currency 4 3 2 3 6" xfId="23550" xr:uid="{00000000-0005-0000-0000-0000491E0000}"/>
    <cellStyle name="Currency 4 3 2 3 6 2" xfId="23551" xr:uid="{00000000-0005-0000-0000-00004A1E0000}"/>
    <cellStyle name="Currency 4 3 2 3 7" xfId="23552" xr:uid="{00000000-0005-0000-0000-00004B1E0000}"/>
    <cellStyle name="Currency 4 3 2 3 7 2" xfId="23553" xr:uid="{00000000-0005-0000-0000-00004C1E0000}"/>
    <cellStyle name="Currency 4 3 2 3 8" xfId="23554" xr:uid="{00000000-0005-0000-0000-00004D1E0000}"/>
    <cellStyle name="Currency 4 3 2 3 8 2" xfId="23555" xr:uid="{00000000-0005-0000-0000-00004E1E0000}"/>
    <cellStyle name="Currency 4 3 2 3 9" xfId="23556" xr:uid="{00000000-0005-0000-0000-00004F1E0000}"/>
    <cellStyle name="Currency 4 3 2 4" xfId="23557" xr:uid="{00000000-0005-0000-0000-0000501E0000}"/>
    <cellStyle name="Currency 4 3 2 4 10" xfId="23558" xr:uid="{00000000-0005-0000-0000-0000511E0000}"/>
    <cellStyle name="Currency 4 3 2 4 2" xfId="23559" xr:uid="{00000000-0005-0000-0000-0000521E0000}"/>
    <cellStyle name="Currency 4 3 2 4 2 2" xfId="23560" xr:uid="{00000000-0005-0000-0000-0000531E0000}"/>
    <cellStyle name="Currency 4 3 2 4 2 2 2" xfId="23561" xr:uid="{00000000-0005-0000-0000-0000541E0000}"/>
    <cellStyle name="Currency 4 3 2 4 2 3" xfId="23562" xr:uid="{00000000-0005-0000-0000-0000551E0000}"/>
    <cellStyle name="Currency 4 3 2 4 2 3 2" xfId="23563" xr:uid="{00000000-0005-0000-0000-0000561E0000}"/>
    <cellStyle name="Currency 4 3 2 4 2 4" xfId="23564" xr:uid="{00000000-0005-0000-0000-0000571E0000}"/>
    <cellStyle name="Currency 4 3 2 4 2 4 2" xfId="23565" xr:uid="{00000000-0005-0000-0000-0000581E0000}"/>
    <cellStyle name="Currency 4 3 2 4 2 5" xfId="23566" xr:uid="{00000000-0005-0000-0000-0000591E0000}"/>
    <cellStyle name="Currency 4 3 2 4 2 6" xfId="23567" xr:uid="{00000000-0005-0000-0000-00005A1E0000}"/>
    <cellStyle name="Currency 4 3 2 4 3" xfId="23568" xr:uid="{00000000-0005-0000-0000-00005B1E0000}"/>
    <cellStyle name="Currency 4 3 2 4 3 2" xfId="23569" xr:uid="{00000000-0005-0000-0000-00005C1E0000}"/>
    <cellStyle name="Currency 4 3 2 4 3 2 2" xfId="23570" xr:uid="{00000000-0005-0000-0000-00005D1E0000}"/>
    <cellStyle name="Currency 4 3 2 4 3 3" xfId="23571" xr:uid="{00000000-0005-0000-0000-00005E1E0000}"/>
    <cellStyle name="Currency 4 3 2 4 3 3 2" xfId="23572" xr:uid="{00000000-0005-0000-0000-00005F1E0000}"/>
    <cellStyle name="Currency 4 3 2 4 3 4" xfId="23573" xr:uid="{00000000-0005-0000-0000-0000601E0000}"/>
    <cellStyle name="Currency 4 3 2 4 3 4 2" xfId="23574" xr:uid="{00000000-0005-0000-0000-0000611E0000}"/>
    <cellStyle name="Currency 4 3 2 4 3 5" xfId="23575" xr:uid="{00000000-0005-0000-0000-0000621E0000}"/>
    <cellStyle name="Currency 4 3 2 4 3 6" xfId="23576" xr:uid="{00000000-0005-0000-0000-0000631E0000}"/>
    <cellStyle name="Currency 4 3 2 4 4" xfId="23577" xr:uid="{00000000-0005-0000-0000-0000641E0000}"/>
    <cellStyle name="Currency 4 3 2 4 4 2" xfId="23578" xr:uid="{00000000-0005-0000-0000-0000651E0000}"/>
    <cellStyle name="Currency 4 3 2 4 4 2 2" xfId="23579" xr:uid="{00000000-0005-0000-0000-0000661E0000}"/>
    <cellStyle name="Currency 4 3 2 4 4 3" xfId="23580" xr:uid="{00000000-0005-0000-0000-0000671E0000}"/>
    <cellStyle name="Currency 4 3 2 4 4 3 2" xfId="23581" xr:uid="{00000000-0005-0000-0000-0000681E0000}"/>
    <cellStyle name="Currency 4 3 2 4 4 4" xfId="23582" xr:uid="{00000000-0005-0000-0000-0000691E0000}"/>
    <cellStyle name="Currency 4 3 2 4 4 4 2" xfId="23583" xr:uid="{00000000-0005-0000-0000-00006A1E0000}"/>
    <cellStyle name="Currency 4 3 2 4 4 5" xfId="23584" xr:uid="{00000000-0005-0000-0000-00006B1E0000}"/>
    <cellStyle name="Currency 4 3 2 4 4 6" xfId="23585" xr:uid="{00000000-0005-0000-0000-00006C1E0000}"/>
    <cellStyle name="Currency 4 3 2 4 5" xfId="23586" xr:uid="{00000000-0005-0000-0000-00006D1E0000}"/>
    <cellStyle name="Currency 4 3 2 4 5 2" xfId="23587" xr:uid="{00000000-0005-0000-0000-00006E1E0000}"/>
    <cellStyle name="Currency 4 3 2 4 5 2 2" xfId="23588" xr:uid="{00000000-0005-0000-0000-00006F1E0000}"/>
    <cellStyle name="Currency 4 3 2 4 5 3" xfId="23589" xr:uid="{00000000-0005-0000-0000-0000701E0000}"/>
    <cellStyle name="Currency 4 3 2 4 5 3 2" xfId="23590" xr:uid="{00000000-0005-0000-0000-0000711E0000}"/>
    <cellStyle name="Currency 4 3 2 4 5 4" xfId="23591" xr:uid="{00000000-0005-0000-0000-0000721E0000}"/>
    <cellStyle name="Currency 4 3 2 4 5 5" xfId="23592" xr:uid="{00000000-0005-0000-0000-0000731E0000}"/>
    <cellStyle name="Currency 4 3 2 4 6" xfId="23593" xr:uid="{00000000-0005-0000-0000-0000741E0000}"/>
    <cellStyle name="Currency 4 3 2 4 6 2" xfId="23594" xr:uid="{00000000-0005-0000-0000-0000751E0000}"/>
    <cellStyle name="Currency 4 3 2 4 7" xfId="23595" xr:uid="{00000000-0005-0000-0000-0000761E0000}"/>
    <cellStyle name="Currency 4 3 2 4 7 2" xfId="23596" xr:uid="{00000000-0005-0000-0000-0000771E0000}"/>
    <cellStyle name="Currency 4 3 2 4 8" xfId="23597" xr:uid="{00000000-0005-0000-0000-0000781E0000}"/>
    <cellStyle name="Currency 4 3 2 4 8 2" xfId="23598" xr:uid="{00000000-0005-0000-0000-0000791E0000}"/>
    <cellStyle name="Currency 4 3 2 4 9" xfId="23599" xr:uid="{00000000-0005-0000-0000-00007A1E0000}"/>
    <cellStyle name="Currency 4 3 2 5" xfId="23600" xr:uid="{00000000-0005-0000-0000-00007B1E0000}"/>
    <cellStyle name="Currency 4 3 2 5 2" xfId="23601" xr:uid="{00000000-0005-0000-0000-00007C1E0000}"/>
    <cellStyle name="Currency 4 3 2 5 2 2" xfId="23602" xr:uid="{00000000-0005-0000-0000-00007D1E0000}"/>
    <cellStyle name="Currency 4 3 2 5 3" xfId="23603" xr:uid="{00000000-0005-0000-0000-00007E1E0000}"/>
    <cellStyle name="Currency 4 3 2 5 3 2" xfId="23604" xr:uid="{00000000-0005-0000-0000-00007F1E0000}"/>
    <cellStyle name="Currency 4 3 2 5 4" xfId="23605" xr:uid="{00000000-0005-0000-0000-0000801E0000}"/>
    <cellStyle name="Currency 4 3 2 5 4 2" xfId="23606" xr:uid="{00000000-0005-0000-0000-0000811E0000}"/>
    <cellStyle name="Currency 4 3 2 5 5" xfId="23607" xr:uid="{00000000-0005-0000-0000-0000821E0000}"/>
    <cellStyle name="Currency 4 3 2 5 6" xfId="23608" xr:uid="{00000000-0005-0000-0000-0000831E0000}"/>
    <cellStyle name="Currency 4 3 2 6" xfId="23609" xr:uid="{00000000-0005-0000-0000-0000841E0000}"/>
    <cellStyle name="Currency 4 3 2 6 2" xfId="23610" xr:uid="{00000000-0005-0000-0000-0000851E0000}"/>
    <cellStyle name="Currency 4 3 2 6 2 2" xfId="23611" xr:uid="{00000000-0005-0000-0000-0000861E0000}"/>
    <cellStyle name="Currency 4 3 2 6 3" xfId="23612" xr:uid="{00000000-0005-0000-0000-0000871E0000}"/>
    <cellStyle name="Currency 4 3 2 6 3 2" xfId="23613" xr:uid="{00000000-0005-0000-0000-0000881E0000}"/>
    <cellStyle name="Currency 4 3 2 6 4" xfId="23614" xr:uid="{00000000-0005-0000-0000-0000891E0000}"/>
    <cellStyle name="Currency 4 3 2 6 4 2" xfId="23615" xr:uid="{00000000-0005-0000-0000-00008A1E0000}"/>
    <cellStyle name="Currency 4 3 2 6 5" xfId="23616" xr:uid="{00000000-0005-0000-0000-00008B1E0000}"/>
    <cellStyle name="Currency 4 3 2 6 6" xfId="23617" xr:uid="{00000000-0005-0000-0000-00008C1E0000}"/>
    <cellStyle name="Currency 4 3 2 7" xfId="23618" xr:uid="{00000000-0005-0000-0000-00008D1E0000}"/>
    <cellStyle name="Currency 4 3 2 7 2" xfId="23619" xr:uid="{00000000-0005-0000-0000-00008E1E0000}"/>
    <cellStyle name="Currency 4 3 2 7 2 2" xfId="23620" xr:uid="{00000000-0005-0000-0000-00008F1E0000}"/>
    <cellStyle name="Currency 4 3 2 7 3" xfId="23621" xr:uid="{00000000-0005-0000-0000-0000901E0000}"/>
    <cellStyle name="Currency 4 3 2 7 3 2" xfId="23622" xr:uid="{00000000-0005-0000-0000-0000911E0000}"/>
    <cellStyle name="Currency 4 3 2 7 4" xfId="23623" xr:uid="{00000000-0005-0000-0000-0000921E0000}"/>
    <cellStyle name="Currency 4 3 2 7 4 2" xfId="23624" xr:uid="{00000000-0005-0000-0000-0000931E0000}"/>
    <cellStyle name="Currency 4 3 2 7 5" xfId="23625" xr:uid="{00000000-0005-0000-0000-0000941E0000}"/>
    <cellStyle name="Currency 4 3 2 7 6" xfId="23626" xr:uid="{00000000-0005-0000-0000-0000951E0000}"/>
    <cellStyle name="Currency 4 3 2 8" xfId="23627" xr:uid="{00000000-0005-0000-0000-0000961E0000}"/>
    <cellStyle name="Currency 4 3 2 8 2" xfId="23628" xr:uid="{00000000-0005-0000-0000-0000971E0000}"/>
    <cellStyle name="Currency 4 3 2 8 2 2" xfId="23629" xr:uid="{00000000-0005-0000-0000-0000981E0000}"/>
    <cellStyle name="Currency 4 3 2 8 3" xfId="23630" xr:uid="{00000000-0005-0000-0000-0000991E0000}"/>
    <cellStyle name="Currency 4 3 2 8 3 2" xfId="23631" xr:uid="{00000000-0005-0000-0000-00009A1E0000}"/>
    <cellStyle name="Currency 4 3 2 8 4" xfId="23632" xr:uid="{00000000-0005-0000-0000-00009B1E0000}"/>
    <cellStyle name="Currency 4 3 2 8 5" xfId="23633" xr:uid="{00000000-0005-0000-0000-00009C1E0000}"/>
    <cellStyle name="Currency 4 3 2 9" xfId="23634" xr:uid="{00000000-0005-0000-0000-00009D1E0000}"/>
    <cellStyle name="Currency 4 3 2 9 2" xfId="23635" xr:uid="{00000000-0005-0000-0000-00009E1E0000}"/>
    <cellStyle name="Currency 4 3 3" xfId="23636" xr:uid="{00000000-0005-0000-0000-00009F1E0000}"/>
    <cellStyle name="Currency 4 3 3 10" xfId="23637" xr:uid="{00000000-0005-0000-0000-0000A01E0000}"/>
    <cellStyle name="Currency 4 3 3 10 2" xfId="23638" xr:uid="{00000000-0005-0000-0000-0000A11E0000}"/>
    <cellStyle name="Currency 4 3 3 11" xfId="23639" xr:uid="{00000000-0005-0000-0000-0000A21E0000}"/>
    <cellStyle name="Currency 4 3 3 11 2" xfId="23640" xr:uid="{00000000-0005-0000-0000-0000A31E0000}"/>
    <cellStyle name="Currency 4 3 3 12" xfId="23641" xr:uid="{00000000-0005-0000-0000-0000A41E0000}"/>
    <cellStyle name="Currency 4 3 3 13" xfId="23642" xr:uid="{00000000-0005-0000-0000-0000A51E0000}"/>
    <cellStyle name="Currency 4 3 3 2" xfId="23643" xr:uid="{00000000-0005-0000-0000-0000A61E0000}"/>
    <cellStyle name="Currency 4 3 3 2 10" xfId="23644" xr:uid="{00000000-0005-0000-0000-0000A71E0000}"/>
    <cellStyle name="Currency 4 3 3 2 11" xfId="23645" xr:uid="{00000000-0005-0000-0000-0000A81E0000}"/>
    <cellStyle name="Currency 4 3 3 2 2" xfId="23646" xr:uid="{00000000-0005-0000-0000-0000A91E0000}"/>
    <cellStyle name="Currency 4 3 3 2 2 2" xfId="23647" xr:uid="{00000000-0005-0000-0000-0000AA1E0000}"/>
    <cellStyle name="Currency 4 3 3 2 2 2 2" xfId="23648" xr:uid="{00000000-0005-0000-0000-0000AB1E0000}"/>
    <cellStyle name="Currency 4 3 3 2 2 3" xfId="23649" xr:uid="{00000000-0005-0000-0000-0000AC1E0000}"/>
    <cellStyle name="Currency 4 3 3 2 2 3 2" xfId="23650" xr:uid="{00000000-0005-0000-0000-0000AD1E0000}"/>
    <cellStyle name="Currency 4 3 3 2 2 4" xfId="23651" xr:uid="{00000000-0005-0000-0000-0000AE1E0000}"/>
    <cellStyle name="Currency 4 3 3 2 2 4 2" xfId="23652" xr:uid="{00000000-0005-0000-0000-0000AF1E0000}"/>
    <cellStyle name="Currency 4 3 3 2 2 5" xfId="23653" xr:uid="{00000000-0005-0000-0000-0000B01E0000}"/>
    <cellStyle name="Currency 4 3 3 2 2 6" xfId="23654" xr:uid="{00000000-0005-0000-0000-0000B11E0000}"/>
    <cellStyle name="Currency 4 3 3 2 3" xfId="23655" xr:uid="{00000000-0005-0000-0000-0000B21E0000}"/>
    <cellStyle name="Currency 4 3 3 2 3 2" xfId="23656" xr:uid="{00000000-0005-0000-0000-0000B31E0000}"/>
    <cellStyle name="Currency 4 3 3 2 3 2 2" xfId="23657" xr:uid="{00000000-0005-0000-0000-0000B41E0000}"/>
    <cellStyle name="Currency 4 3 3 2 3 3" xfId="23658" xr:uid="{00000000-0005-0000-0000-0000B51E0000}"/>
    <cellStyle name="Currency 4 3 3 2 3 3 2" xfId="23659" xr:uid="{00000000-0005-0000-0000-0000B61E0000}"/>
    <cellStyle name="Currency 4 3 3 2 3 4" xfId="23660" xr:uid="{00000000-0005-0000-0000-0000B71E0000}"/>
    <cellStyle name="Currency 4 3 3 2 3 4 2" xfId="23661" xr:uid="{00000000-0005-0000-0000-0000B81E0000}"/>
    <cellStyle name="Currency 4 3 3 2 3 5" xfId="23662" xr:uid="{00000000-0005-0000-0000-0000B91E0000}"/>
    <cellStyle name="Currency 4 3 3 2 3 6" xfId="23663" xr:uid="{00000000-0005-0000-0000-0000BA1E0000}"/>
    <cellStyle name="Currency 4 3 3 2 4" xfId="23664" xr:uid="{00000000-0005-0000-0000-0000BB1E0000}"/>
    <cellStyle name="Currency 4 3 3 2 4 2" xfId="23665" xr:uid="{00000000-0005-0000-0000-0000BC1E0000}"/>
    <cellStyle name="Currency 4 3 3 2 4 2 2" xfId="23666" xr:uid="{00000000-0005-0000-0000-0000BD1E0000}"/>
    <cellStyle name="Currency 4 3 3 2 4 3" xfId="23667" xr:uid="{00000000-0005-0000-0000-0000BE1E0000}"/>
    <cellStyle name="Currency 4 3 3 2 4 3 2" xfId="23668" xr:uid="{00000000-0005-0000-0000-0000BF1E0000}"/>
    <cellStyle name="Currency 4 3 3 2 4 4" xfId="23669" xr:uid="{00000000-0005-0000-0000-0000C01E0000}"/>
    <cellStyle name="Currency 4 3 3 2 4 4 2" xfId="23670" xr:uid="{00000000-0005-0000-0000-0000C11E0000}"/>
    <cellStyle name="Currency 4 3 3 2 4 5" xfId="23671" xr:uid="{00000000-0005-0000-0000-0000C21E0000}"/>
    <cellStyle name="Currency 4 3 3 2 4 6" xfId="23672" xr:uid="{00000000-0005-0000-0000-0000C31E0000}"/>
    <cellStyle name="Currency 4 3 3 2 5" xfId="23673" xr:uid="{00000000-0005-0000-0000-0000C41E0000}"/>
    <cellStyle name="Currency 4 3 3 2 5 2" xfId="23674" xr:uid="{00000000-0005-0000-0000-0000C51E0000}"/>
    <cellStyle name="Currency 4 3 3 2 5 2 2" xfId="23675" xr:uid="{00000000-0005-0000-0000-0000C61E0000}"/>
    <cellStyle name="Currency 4 3 3 2 5 3" xfId="23676" xr:uid="{00000000-0005-0000-0000-0000C71E0000}"/>
    <cellStyle name="Currency 4 3 3 2 5 3 2" xfId="23677" xr:uid="{00000000-0005-0000-0000-0000C81E0000}"/>
    <cellStyle name="Currency 4 3 3 2 5 4" xfId="23678" xr:uid="{00000000-0005-0000-0000-0000C91E0000}"/>
    <cellStyle name="Currency 4 3 3 2 5 4 2" xfId="23679" xr:uid="{00000000-0005-0000-0000-0000CA1E0000}"/>
    <cellStyle name="Currency 4 3 3 2 5 5" xfId="23680" xr:uid="{00000000-0005-0000-0000-0000CB1E0000}"/>
    <cellStyle name="Currency 4 3 3 2 5 6" xfId="23681" xr:uid="{00000000-0005-0000-0000-0000CC1E0000}"/>
    <cellStyle name="Currency 4 3 3 2 6" xfId="23682" xr:uid="{00000000-0005-0000-0000-0000CD1E0000}"/>
    <cellStyle name="Currency 4 3 3 2 6 2" xfId="23683" xr:uid="{00000000-0005-0000-0000-0000CE1E0000}"/>
    <cellStyle name="Currency 4 3 3 2 6 2 2" xfId="23684" xr:uid="{00000000-0005-0000-0000-0000CF1E0000}"/>
    <cellStyle name="Currency 4 3 3 2 6 3" xfId="23685" xr:uid="{00000000-0005-0000-0000-0000D01E0000}"/>
    <cellStyle name="Currency 4 3 3 2 6 3 2" xfId="23686" xr:uid="{00000000-0005-0000-0000-0000D11E0000}"/>
    <cellStyle name="Currency 4 3 3 2 6 4" xfId="23687" xr:uid="{00000000-0005-0000-0000-0000D21E0000}"/>
    <cellStyle name="Currency 4 3 3 2 6 5" xfId="23688" xr:uid="{00000000-0005-0000-0000-0000D31E0000}"/>
    <cellStyle name="Currency 4 3 3 2 7" xfId="23689" xr:uid="{00000000-0005-0000-0000-0000D41E0000}"/>
    <cellStyle name="Currency 4 3 3 2 7 2" xfId="23690" xr:uid="{00000000-0005-0000-0000-0000D51E0000}"/>
    <cellStyle name="Currency 4 3 3 2 8" xfId="23691" xr:uid="{00000000-0005-0000-0000-0000D61E0000}"/>
    <cellStyle name="Currency 4 3 3 2 8 2" xfId="23692" xr:uid="{00000000-0005-0000-0000-0000D71E0000}"/>
    <cellStyle name="Currency 4 3 3 2 9" xfId="23693" xr:uid="{00000000-0005-0000-0000-0000D81E0000}"/>
    <cellStyle name="Currency 4 3 3 2 9 2" xfId="23694" xr:uid="{00000000-0005-0000-0000-0000D91E0000}"/>
    <cellStyle name="Currency 4 3 3 3" xfId="23695" xr:uid="{00000000-0005-0000-0000-0000DA1E0000}"/>
    <cellStyle name="Currency 4 3 3 3 10" xfId="23696" xr:uid="{00000000-0005-0000-0000-0000DB1E0000}"/>
    <cellStyle name="Currency 4 3 3 3 2" xfId="23697" xr:uid="{00000000-0005-0000-0000-0000DC1E0000}"/>
    <cellStyle name="Currency 4 3 3 3 2 2" xfId="23698" xr:uid="{00000000-0005-0000-0000-0000DD1E0000}"/>
    <cellStyle name="Currency 4 3 3 3 2 2 2" xfId="23699" xr:uid="{00000000-0005-0000-0000-0000DE1E0000}"/>
    <cellStyle name="Currency 4 3 3 3 2 3" xfId="23700" xr:uid="{00000000-0005-0000-0000-0000DF1E0000}"/>
    <cellStyle name="Currency 4 3 3 3 2 3 2" xfId="23701" xr:uid="{00000000-0005-0000-0000-0000E01E0000}"/>
    <cellStyle name="Currency 4 3 3 3 2 4" xfId="23702" xr:uid="{00000000-0005-0000-0000-0000E11E0000}"/>
    <cellStyle name="Currency 4 3 3 3 2 4 2" xfId="23703" xr:uid="{00000000-0005-0000-0000-0000E21E0000}"/>
    <cellStyle name="Currency 4 3 3 3 2 5" xfId="23704" xr:uid="{00000000-0005-0000-0000-0000E31E0000}"/>
    <cellStyle name="Currency 4 3 3 3 2 6" xfId="23705" xr:uid="{00000000-0005-0000-0000-0000E41E0000}"/>
    <cellStyle name="Currency 4 3 3 3 3" xfId="23706" xr:uid="{00000000-0005-0000-0000-0000E51E0000}"/>
    <cellStyle name="Currency 4 3 3 3 3 2" xfId="23707" xr:uid="{00000000-0005-0000-0000-0000E61E0000}"/>
    <cellStyle name="Currency 4 3 3 3 3 2 2" xfId="23708" xr:uid="{00000000-0005-0000-0000-0000E71E0000}"/>
    <cellStyle name="Currency 4 3 3 3 3 3" xfId="23709" xr:uid="{00000000-0005-0000-0000-0000E81E0000}"/>
    <cellStyle name="Currency 4 3 3 3 3 3 2" xfId="23710" xr:uid="{00000000-0005-0000-0000-0000E91E0000}"/>
    <cellStyle name="Currency 4 3 3 3 3 4" xfId="23711" xr:uid="{00000000-0005-0000-0000-0000EA1E0000}"/>
    <cellStyle name="Currency 4 3 3 3 3 4 2" xfId="23712" xr:uid="{00000000-0005-0000-0000-0000EB1E0000}"/>
    <cellStyle name="Currency 4 3 3 3 3 5" xfId="23713" xr:uid="{00000000-0005-0000-0000-0000EC1E0000}"/>
    <cellStyle name="Currency 4 3 3 3 3 6" xfId="23714" xr:uid="{00000000-0005-0000-0000-0000ED1E0000}"/>
    <cellStyle name="Currency 4 3 3 3 4" xfId="23715" xr:uid="{00000000-0005-0000-0000-0000EE1E0000}"/>
    <cellStyle name="Currency 4 3 3 3 4 2" xfId="23716" xr:uid="{00000000-0005-0000-0000-0000EF1E0000}"/>
    <cellStyle name="Currency 4 3 3 3 4 2 2" xfId="23717" xr:uid="{00000000-0005-0000-0000-0000F01E0000}"/>
    <cellStyle name="Currency 4 3 3 3 4 3" xfId="23718" xr:uid="{00000000-0005-0000-0000-0000F11E0000}"/>
    <cellStyle name="Currency 4 3 3 3 4 3 2" xfId="23719" xr:uid="{00000000-0005-0000-0000-0000F21E0000}"/>
    <cellStyle name="Currency 4 3 3 3 4 4" xfId="23720" xr:uid="{00000000-0005-0000-0000-0000F31E0000}"/>
    <cellStyle name="Currency 4 3 3 3 4 4 2" xfId="23721" xr:uid="{00000000-0005-0000-0000-0000F41E0000}"/>
    <cellStyle name="Currency 4 3 3 3 4 5" xfId="23722" xr:uid="{00000000-0005-0000-0000-0000F51E0000}"/>
    <cellStyle name="Currency 4 3 3 3 4 6" xfId="23723" xr:uid="{00000000-0005-0000-0000-0000F61E0000}"/>
    <cellStyle name="Currency 4 3 3 3 5" xfId="23724" xr:uid="{00000000-0005-0000-0000-0000F71E0000}"/>
    <cellStyle name="Currency 4 3 3 3 5 2" xfId="23725" xr:uid="{00000000-0005-0000-0000-0000F81E0000}"/>
    <cellStyle name="Currency 4 3 3 3 5 2 2" xfId="23726" xr:uid="{00000000-0005-0000-0000-0000F91E0000}"/>
    <cellStyle name="Currency 4 3 3 3 5 3" xfId="23727" xr:uid="{00000000-0005-0000-0000-0000FA1E0000}"/>
    <cellStyle name="Currency 4 3 3 3 5 3 2" xfId="23728" xr:uid="{00000000-0005-0000-0000-0000FB1E0000}"/>
    <cellStyle name="Currency 4 3 3 3 5 4" xfId="23729" xr:uid="{00000000-0005-0000-0000-0000FC1E0000}"/>
    <cellStyle name="Currency 4 3 3 3 5 5" xfId="23730" xr:uid="{00000000-0005-0000-0000-0000FD1E0000}"/>
    <cellStyle name="Currency 4 3 3 3 6" xfId="23731" xr:uid="{00000000-0005-0000-0000-0000FE1E0000}"/>
    <cellStyle name="Currency 4 3 3 3 6 2" xfId="23732" xr:uid="{00000000-0005-0000-0000-0000FF1E0000}"/>
    <cellStyle name="Currency 4 3 3 3 7" xfId="23733" xr:uid="{00000000-0005-0000-0000-0000001F0000}"/>
    <cellStyle name="Currency 4 3 3 3 7 2" xfId="23734" xr:uid="{00000000-0005-0000-0000-0000011F0000}"/>
    <cellStyle name="Currency 4 3 3 3 8" xfId="23735" xr:uid="{00000000-0005-0000-0000-0000021F0000}"/>
    <cellStyle name="Currency 4 3 3 3 8 2" xfId="23736" xr:uid="{00000000-0005-0000-0000-0000031F0000}"/>
    <cellStyle name="Currency 4 3 3 3 9" xfId="23737" xr:uid="{00000000-0005-0000-0000-0000041F0000}"/>
    <cellStyle name="Currency 4 3 3 4" xfId="23738" xr:uid="{00000000-0005-0000-0000-0000051F0000}"/>
    <cellStyle name="Currency 4 3 3 4 10" xfId="23739" xr:uid="{00000000-0005-0000-0000-0000061F0000}"/>
    <cellStyle name="Currency 4 3 3 4 2" xfId="23740" xr:uid="{00000000-0005-0000-0000-0000071F0000}"/>
    <cellStyle name="Currency 4 3 3 4 2 2" xfId="23741" xr:uid="{00000000-0005-0000-0000-0000081F0000}"/>
    <cellStyle name="Currency 4 3 3 4 2 2 2" xfId="23742" xr:uid="{00000000-0005-0000-0000-0000091F0000}"/>
    <cellStyle name="Currency 4 3 3 4 2 3" xfId="23743" xr:uid="{00000000-0005-0000-0000-00000A1F0000}"/>
    <cellStyle name="Currency 4 3 3 4 2 3 2" xfId="23744" xr:uid="{00000000-0005-0000-0000-00000B1F0000}"/>
    <cellStyle name="Currency 4 3 3 4 2 4" xfId="23745" xr:uid="{00000000-0005-0000-0000-00000C1F0000}"/>
    <cellStyle name="Currency 4 3 3 4 2 4 2" xfId="23746" xr:uid="{00000000-0005-0000-0000-00000D1F0000}"/>
    <cellStyle name="Currency 4 3 3 4 2 5" xfId="23747" xr:uid="{00000000-0005-0000-0000-00000E1F0000}"/>
    <cellStyle name="Currency 4 3 3 4 2 6" xfId="23748" xr:uid="{00000000-0005-0000-0000-00000F1F0000}"/>
    <cellStyle name="Currency 4 3 3 4 3" xfId="23749" xr:uid="{00000000-0005-0000-0000-0000101F0000}"/>
    <cellStyle name="Currency 4 3 3 4 3 2" xfId="23750" xr:uid="{00000000-0005-0000-0000-0000111F0000}"/>
    <cellStyle name="Currency 4 3 3 4 3 2 2" xfId="23751" xr:uid="{00000000-0005-0000-0000-0000121F0000}"/>
    <cellStyle name="Currency 4 3 3 4 3 3" xfId="23752" xr:uid="{00000000-0005-0000-0000-0000131F0000}"/>
    <cellStyle name="Currency 4 3 3 4 3 3 2" xfId="23753" xr:uid="{00000000-0005-0000-0000-0000141F0000}"/>
    <cellStyle name="Currency 4 3 3 4 3 4" xfId="23754" xr:uid="{00000000-0005-0000-0000-0000151F0000}"/>
    <cellStyle name="Currency 4 3 3 4 3 4 2" xfId="23755" xr:uid="{00000000-0005-0000-0000-0000161F0000}"/>
    <cellStyle name="Currency 4 3 3 4 3 5" xfId="23756" xr:uid="{00000000-0005-0000-0000-0000171F0000}"/>
    <cellStyle name="Currency 4 3 3 4 3 6" xfId="23757" xr:uid="{00000000-0005-0000-0000-0000181F0000}"/>
    <cellStyle name="Currency 4 3 3 4 4" xfId="23758" xr:uid="{00000000-0005-0000-0000-0000191F0000}"/>
    <cellStyle name="Currency 4 3 3 4 4 2" xfId="23759" xr:uid="{00000000-0005-0000-0000-00001A1F0000}"/>
    <cellStyle name="Currency 4 3 3 4 4 2 2" xfId="23760" xr:uid="{00000000-0005-0000-0000-00001B1F0000}"/>
    <cellStyle name="Currency 4 3 3 4 4 3" xfId="23761" xr:uid="{00000000-0005-0000-0000-00001C1F0000}"/>
    <cellStyle name="Currency 4 3 3 4 4 3 2" xfId="23762" xr:uid="{00000000-0005-0000-0000-00001D1F0000}"/>
    <cellStyle name="Currency 4 3 3 4 4 4" xfId="23763" xr:uid="{00000000-0005-0000-0000-00001E1F0000}"/>
    <cellStyle name="Currency 4 3 3 4 4 4 2" xfId="23764" xr:uid="{00000000-0005-0000-0000-00001F1F0000}"/>
    <cellStyle name="Currency 4 3 3 4 4 5" xfId="23765" xr:uid="{00000000-0005-0000-0000-0000201F0000}"/>
    <cellStyle name="Currency 4 3 3 4 4 6" xfId="23766" xr:uid="{00000000-0005-0000-0000-0000211F0000}"/>
    <cellStyle name="Currency 4 3 3 4 5" xfId="23767" xr:uid="{00000000-0005-0000-0000-0000221F0000}"/>
    <cellStyle name="Currency 4 3 3 4 5 2" xfId="23768" xr:uid="{00000000-0005-0000-0000-0000231F0000}"/>
    <cellStyle name="Currency 4 3 3 4 5 2 2" xfId="23769" xr:uid="{00000000-0005-0000-0000-0000241F0000}"/>
    <cellStyle name="Currency 4 3 3 4 5 3" xfId="23770" xr:uid="{00000000-0005-0000-0000-0000251F0000}"/>
    <cellStyle name="Currency 4 3 3 4 5 3 2" xfId="23771" xr:uid="{00000000-0005-0000-0000-0000261F0000}"/>
    <cellStyle name="Currency 4 3 3 4 5 4" xfId="23772" xr:uid="{00000000-0005-0000-0000-0000271F0000}"/>
    <cellStyle name="Currency 4 3 3 4 5 5" xfId="23773" xr:uid="{00000000-0005-0000-0000-0000281F0000}"/>
    <cellStyle name="Currency 4 3 3 4 6" xfId="23774" xr:uid="{00000000-0005-0000-0000-0000291F0000}"/>
    <cellStyle name="Currency 4 3 3 4 6 2" xfId="23775" xr:uid="{00000000-0005-0000-0000-00002A1F0000}"/>
    <cellStyle name="Currency 4 3 3 4 7" xfId="23776" xr:uid="{00000000-0005-0000-0000-00002B1F0000}"/>
    <cellStyle name="Currency 4 3 3 4 7 2" xfId="23777" xr:uid="{00000000-0005-0000-0000-00002C1F0000}"/>
    <cellStyle name="Currency 4 3 3 4 8" xfId="23778" xr:uid="{00000000-0005-0000-0000-00002D1F0000}"/>
    <cellStyle name="Currency 4 3 3 4 8 2" xfId="23779" xr:uid="{00000000-0005-0000-0000-00002E1F0000}"/>
    <cellStyle name="Currency 4 3 3 4 9" xfId="23780" xr:uid="{00000000-0005-0000-0000-00002F1F0000}"/>
    <cellStyle name="Currency 4 3 3 5" xfId="23781" xr:uid="{00000000-0005-0000-0000-0000301F0000}"/>
    <cellStyle name="Currency 4 3 3 5 2" xfId="23782" xr:uid="{00000000-0005-0000-0000-0000311F0000}"/>
    <cellStyle name="Currency 4 3 3 5 2 2" xfId="23783" xr:uid="{00000000-0005-0000-0000-0000321F0000}"/>
    <cellStyle name="Currency 4 3 3 5 3" xfId="23784" xr:uid="{00000000-0005-0000-0000-0000331F0000}"/>
    <cellStyle name="Currency 4 3 3 5 3 2" xfId="23785" xr:uid="{00000000-0005-0000-0000-0000341F0000}"/>
    <cellStyle name="Currency 4 3 3 5 4" xfId="23786" xr:uid="{00000000-0005-0000-0000-0000351F0000}"/>
    <cellStyle name="Currency 4 3 3 5 4 2" xfId="23787" xr:uid="{00000000-0005-0000-0000-0000361F0000}"/>
    <cellStyle name="Currency 4 3 3 5 5" xfId="23788" xr:uid="{00000000-0005-0000-0000-0000371F0000}"/>
    <cellStyle name="Currency 4 3 3 5 6" xfId="23789" xr:uid="{00000000-0005-0000-0000-0000381F0000}"/>
    <cellStyle name="Currency 4 3 3 6" xfId="23790" xr:uid="{00000000-0005-0000-0000-0000391F0000}"/>
    <cellStyle name="Currency 4 3 3 6 2" xfId="23791" xr:uid="{00000000-0005-0000-0000-00003A1F0000}"/>
    <cellStyle name="Currency 4 3 3 6 2 2" xfId="23792" xr:uid="{00000000-0005-0000-0000-00003B1F0000}"/>
    <cellStyle name="Currency 4 3 3 6 3" xfId="23793" xr:uid="{00000000-0005-0000-0000-00003C1F0000}"/>
    <cellStyle name="Currency 4 3 3 6 3 2" xfId="23794" xr:uid="{00000000-0005-0000-0000-00003D1F0000}"/>
    <cellStyle name="Currency 4 3 3 6 4" xfId="23795" xr:uid="{00000000-0005-0000-0000-00003E1F0000}"/>
    <cellStyle name="Currency 4 3 3 6 4 2" xfId="23796" xr:uid="{00000000-0005-0000-0000-00003F1F0000}"/>
    <cellStyle name="Currency 4 3 3 6 5" xfId="23797" xr:uid="{00000000-0005-0000-0000-0000401F0000}"/>
    <cellStyle name="Currency 4 3 3 6 6" xfId="23798" xr:uid="{00000000-0005-0000-0000-0000411F0000}"/>
    <cellStyle name="Currency 4 3 3 7" xfId="23799" xr:uid="{00000000-0005-0000-0000-0000421F0000}"/>
    <cellStyle name="Currency 4 3 3 7 2" xfId="23800" xr:uid="{00000000-0005-0000-0000-0000431F0000}"/>
    <cellStyle name="Currency 4 3 3 7 2 2" xfId="23801" xr:uid="{00000000-0005-0000-0000-0000441F0000}"/>
    <cellStyle name="Currency 4 3 3 7 3" xfId="23802" xr:uid="{00000000-0005-0000-0000-0000451F0000}"/>
    <cellStyle name="Currency 4 3 3 7 3 2" xfId="23803" xr:uid="{00000000-0005-0000-0000-0000461F0000}"/>
    <cellStyle name="Currency 4 3 3 7 4" xfId="23804" xr:uid="{00000000-0005-0000-0000-0000471F0000}"/>
    <cellStyle name="Currency 4 3 3 7 4 2" xfId="23805" xr:uid="{00000000-0005-0000-0000-0000481F0000}"/>
    <cellStyle name="Currency 4 3 3 7 5" xfId="23806" xr:uid="{00000000-0005-0000-0000-0000491F0000}"/>
    <cellStyle name="Currency 4 3 3 7 6" xfId="23807" xr:uid="{00000000-0005-0000-0000-00004A1F0000}"/>
    <cellStyle name="Currency 4 3 3 8" xfId="23808" xr:uid="{00000000-0005-0000-0000-00004B1F0000}"/>
    <cellStyle name="Currency 4 3 3 8 2" xfId="23809" xr:uid="{00000000-0005-0000-0000-00004C1F0000}"/>
    <cellStyle name="Currency 4 3 3 8 2 2" xfId="23810" xr:uid="{00000000-0005-0000-0000-00004D1F0000}"/>
    <cellStyle name="Currency 4 3 3 8 3" xfId="23811" xr:uid="{00000000-0005-0000-0000-00004E1F0000}"/>
    <cellStyle name="Currency 4 3 3 8 3 2" xfId="23812" xr:uid="{00000000-0005-0000-0000-00004F1F0000}"/>
    <cellStyle name="Currency 4 3 3 8 4" xfId="23813" xr:uid="{00000000-0005-0000-0000-0000501F0000}"/>
    <cellStyle name="Currency 4 3 3 8 5" xfId="23814" xr:uid="{00000000-0005-0000-0000-0000511F0000}"/>
    <cellStyle name="Currency 4 3 3 9" xfId="23815" xr:uid="{00000000-0005-0000-0000-0000521F0000}"/>
    <cellStyle name="Currency 4 3 3 9 2" xfId="23816" xr:uid="{00000000-0005-0000-0000-0000531F0000}"/>
    <cellStyle name="Currency 4 3 4" xfId="23817" xr:uid="{00000000-0005-0000-0000-0000541F0000}"/>
    <cellStyle name="Currency 4 3 4 10" xfId="23818" xr:uid="{00000000-0005-0000-0000-0000551F0000}"/>
    <cellStyle name="Currency 4 3 4 10 2" xfId="23819" xr:uid="{00000000-0005-0000-0000-0000561F0000}"/>
    <cellStyle name="Currency 4 3 4 11" xfId="23820" xr:uid="{00000000-0005-0000-0000-0000571F0000}"/>
    <cellStyle name="Currency 4 3 4 12" xfId="23821" xr:uid="{00000000-0005-0000-0000-0000581F0000}"/>
    <cellStyle name="Currency 4 3 4 2" xfId="23822" xr:uid="{00000000-0005-0000-0000-0000591F0000}"/>
    <cellStyle name="Currency 4 3 4 2 10" xfId="23823" xr:uid="{00000000-0005-0000-0000-00005A1F0000}"/>
    <cellStyle name="Currency 4 3 4 2 2" xfId="23824" xr:uid="{00000000-0005-0000-0000-00005B1F0000}"/>
    <cellStyle name="Currency 4 3 4 2 2 2" xfId="23825" xr:uid="{00000000-0005-0000-0000-00005C1F0000}"/>
    <cellStyle name="Currency 4 3 4 2 2 2 2" xfId="23826" xr:uid="{00000000-0005-0000-0000-00005D1F0000}"/>
    <cellStyle name="Currency 4 3 4 2 2 3" xfId="23827" xr:uid="{00000000-0005-0000-0000-00005E1F0000}"/>
    <cellStyle name="Currency 4 3 4 2 2 3 2" xfId="23828" xr:uid="{00000000-0005-0000-0000-00005F1F0000}"/>
    <cellStyle name="Currency 4 3 4 2 2 4" xfId="23829" xr:uid="{00000000-0005-0000-0000-0000601F0000}"/>
    <cellStyle name="Currency 4 3 4 2 2 4 2" xfId="23830" xr:uid="{00000000-0005-0000-0000-0000611F0000}"/>
    <cellStyle name="Currency 4 3 4 2 2 5" xfId="23831" xr:uid="{00000000-0005-0000-0000-0000621F0000}"/>
    <cellStyle name="Currency 4 3 4 2 2 6" xfId="23832" xr:uid="{00000000-0005-0000-0000-0000631F0000}"/>
    <cellStyle name="Currency 4 3 4 2 3" xfId="23833" xr:uid="{00000000-0005-0000-0000-0000641F0000}"/>
    <cellStyle name="Currency 4 3 4 2 3 2" xfId="23834" xr:uid="{00000000-0005-0000-0000-0000651F0000}"/>
    <cellStyle name="Currency 4 3 4 2 3 2 2" xfId="23835" xr:uid="{00000000-0005-0000-0000-0000661F0000}"/>
    <cellStyle name="Currency 4 3 4 2 3 3" xfId="23836" xr:uid="{00000000-0005-0000-0000-0000671F0000}"/>
    <cellStyle name="Currency 4 3 4 2 3 3 2" xfId="23837" xr:uid="{00000000-0005-0000-0000-0000681F0000}"/>
    <cellStyle name="Currency 4 3 4 2 3 4" xfId="23838" xr:uid="{00000000-0005-0000-0000-0000691F0000}"/>
    <cellStyle name="Currency 4 3 4 2 3 4 2" xfId="23839" xr:uid="{00000000-0005-0000-0000-00006A1F0000}"/>
    <cellStyle name="Currency 4 3 4 2 3 5" xfId="23840" xr:uid="{00000000-0005-0000-0000-00006B1F0000}"/>
    <cellStyle name="Currency 4 3 4 2 3 6" xfId="23841" xr:uid="{00000000-0005-0000-0000-00006C1F0000}"/>
    <cellStyle name="Currency 4 3 4 2 4" xfId="23842" xr:uid="{00000000-0005-0000-0000-00006D1F0000}"/>
    <cellStyle name="Currency 4 3 4 2 4 2" xfId="23843" xr:uid="{00000000-0005-0000-0000-00006E1F0000}"/>
    <cellStyle name="Currency 4 3 4 2 4 2 2" xfId="23844" xr:uid="{00000000-0005-0000-0000-00006F1F0000}"/>
    <cellStyle name="Currency 4 3 4 2 4 3" xfId="23845" xr:uid="{00000000-0005-0000-0000-0000701F0000}"/>
    <cellStyle name="Currency 4 3 4 2 4 3 2" xfId="23846" xr:uid="{00000000-0005-0000-0000-0000711F0000}"/>
    <cellStyle name="Currency 4 3 4 2 4 4" xfId="23847" xr:uid="{00000000-0005-0000-0000-0000721F0000}"/>
    <cellStyle name="Currency 4 3 4 2 4 4 2" xfId="23848" xr:uid="{00000000-0005-0000-0000-0000731F0000}"/>
    <cellStyle name="Currency 4 3 4 2 4 5" xfId="23849" xr:uid="{00000000-0005-0000-0000-0000741F0000}"/>
    <cellStyle name="Currency 4 3 4 2 4 6" xfId="23850" xr:uid="{00000000-0005-0000-0000-0000751F0000}"/>
    <cellStyle name="Currency 4 3 4 2 5" xfId="23851" xr:uid="{00000000-0005-0000-0000-0000761F0000}"/>
    <cellStyle name="Currency 4 3 4 2 5 2" xfId="23852" xr:uid="{00000000-0005-0000-0000-0000771F0000}"/>
    <cellStyle name="Currency 4 3 4 2 5 2 2" xfId="23853" xr:uid="{00000000-0005-0000-0000-0000781F0000}"/>
    <cellStyle name="Currency 4 3 4 2 5 3" xfId="23854" xr:uid="{00000000-0005-0000-0000-0000791F0000}"/>
    <cellStyle name="Currency 4 3 4 2 5 3 2" xfId="23855" xr:uid="{00000000-0005-0000-0000-00007A1F0000}"/>
    <cellStyle name="Currency 4 3 4 2 5 4" xfId="23856" xr:uid="{00000000-0005-0000-0000-00007B1F0000}"/>
    <cellStyle name="Currency 4 3 4 2 5 5" xfId="23857" xr:uid="{00000000-0005-0000-0000-00007C1F0000}"/>
    <cellStyle name="Currency 4 3 4 2 6" xfId="23858" xr:uid="{00000000-0005-0000-0000-00007D1F0000}"/>
    <cellStyle name="Currency 4 3 4 2 6 2" xfId="23859" xr:uid="{00000000-0005-0000-0000-00007E1F0000}"/>
    <cellStyle name="Currency 4 3 4 2 7" xfId="23860" xr:uid="{00000000-0005-0000-0000-00007F1F0000}"/>
    <cellStyle name="Currency 4 3 4 2 7 2" xfId="23861" xr:uid="{00000000-0005-0000-0000-0000801F0000}"/>
    <cellStyle name="Currency 4 3 4 2 8" xfId="23862" xr:uid="{00000000-0005-0000-0000-0000811F0000}"/>
    <cellStyle name="Currency 4 3 4 2 8 2" xfId="23863" xr:uid="{00000000-0005-0000-0000-0000821F0000}"/>
    <cellStyle name="Currency 4 3 4 2 9" xfId="23864" xr:uid="{00000000-0005-0000-0000-0000831F0000}"/>
    <cellStyle name="Currency 4 3 4 3" xfId="23865" xr:uid="{00000000-0005-0000-0000-0000841F0000}"/>
    <cellStyle name="Currency 4 3 4 3 10" xfId="23866" xr:uid="{00000000-0005-0000-0000-0000851F0000}"/>
    <cellStyle name="Currency 4 3 4 3 2" xfId="23867" xr:uid="{00000000-0005-0000-0000-0000861F0000}"/>
    <cellStyle name="Currency 4 3 4 3 2 2" xfId="23868" xr:uid="{00000000-0005-0000-0000-0000871F0000}"/>
    <cellStyle name="Currency 4 3 4 3 2 2 2" xfId="23869" xr:uid="{00000000-0005-0000-0000-0000881F0000}"/>
    <cellStyle name="Currency 4 3 4 3 2 3" xfId="23870" xr:uid="{00000000-0005-0000-0000-0000891F0000}"/>
    <cellStyle name="Currency 4 3 4 3 2 3 2" xfId="23871" xr:uid="{00000000-0005-0000-0000-00008A1F0000}"/>
    <cellStyle name="Currency 4 3 4 3 2 4" xfId="23872" xr:uid="{00000000-0005-0000-0000-00008B1F0000}"/>
    <cellStyle name="Currency 4 3 4 3 2 4 2" xfId="23873" xr:uid="{00000000-0005-0000-0000-00008C1F0000}"/>
    <cellStyle name="Currency 4 3 4 3 2 5" xfId="23874" xr:uid="{00000000-0005-0000-0000-00008D1F0000}"/>
    <cellStyle name="Currency 4 3 4 3 2 6" xfId="23875" xr:uid="{00000000-0005-0000-0000-00008E1F0000}"/>
    <cellStyle name="Currency 4 3 4 3 3" xfId="23876" xr:uid="{00000000-0005-0000-0000-00008F1F0000}"/>
    <cellStyle name="Currency 4 3 4 3 3 2" xfId="23877" xr:uid="{00000000-0005-0000-0000-0000901F0000}"/>
    <cellStyle name="Currency 4 3 4 3 3 2 2" xfId="23878" xr:uid="{00000000-0005-0000-0000-0000911F0000}"/>
    <cellStyle name="Currency 4 3 4 3 3 3" xfId="23879" xr:uid="{00000000-0005-0000-0000-0000921F0000}"/>
    <cellStyle name="Currency 4 3 4 3 3 3 2" xfId="23880" xr:uid="{00000000-0005-0000-0000-0000931F0000}"/>
    <cellStyle name="Currency 4 3 4 3 3 4" xfId="23881" xr:uid="{00000000-0005-0000-0000-0000941F0000}"/>
    <cellStyle name="Currency 4 3 4 3 3 4 2" xfId="23882" xr:uid="{00000000-0005-0000-0000-0000951F0000}"/>
    <cellStyle name="Currency 4 3 4 3 3 5" xfId="23883" xr:uid="{00000000-0005-0000-0000-0000961F0000}"/>
    <cellStyle name="Currency 4 3 4 3 3 6" xfId="23884" xr:uid="{00000000-0005-0000-0000-0000971F0000}"/>
    <cellStyle name="Currency 4 3 4 3 4" xfId="23885" xr:uid="{00000000-0005-0000-0000-0000981F0000}"/>
    <cellStyle name="Currency 4 3 4 3 4 2" xfId="23886" xr:uid="{00000000-0005-0000-0000-0000991F0000}"/>
    <cellStyle name="Currency 4 3 4 3 4 2 2" xfId="23887" xr:uid="{00000000-0005-0000-0000-00009A1F0000}"/>
    <cellStyle name="Currency 4 3 4 3 4 3" xfId="23888" xr:uid="{00000000-0005-0000-0000-00009B1F0000}"/>
    <cellStyle name="Currency 4 3 4 3 4 3 2" xfId="23889" xr:uid="{00000000-0005-0000-0000-00009C1F0000}"/>
    <cellStyle name="Currency 4 3 4 3 4 4" xfId="23890" xr:uid="{00000000-0005-0000-0000-00009D1F0000}"/>
    <cellStyle name="Currency 4 3 4 3 4 4 2" xfId="23891" xr:uid="{00000000-0005-0000-0000-00009E1F0000}"/>
    <cellStyle name="Currency 4 3 4 3 4 5" xfId="23892" xr:uid="{00000000-0005-0000-0000-00009F1F0000}"/>
    <cellStyle name="Currency 4 3 4 3 4 6" xfId="23893" xr:uid="{00000000-0005-0000-0000-0000A01F0000}"/>
    <cellStyle name="Currency 4 3 4 3 5" xfId="23894" xr:uid="{00000000-0005-0000-0000-0000A11F0000}"/>
    <cellStyle name="Currency 4 3 4 3 5 2" xfId="23895" xr:uid="{00000000-0005-0000-0000-0000A21F0000}"/>
    <cellStyle name="Currency 4 3 4 3 5 2 2" xfId="23896" xr:uid="{00000000-0005-0000-0000-0000A31F0000}"/>
    <cellStyle name="Currency 4 3 4 3 5 3" xfId="23897" xr:uid="{00000000-0005-0000-0000-0000A41F0000}"/>
    <cellStyle name="Currency 4 3 4 3 5 3 2" xfId="23898" xr:uid="{00000000-0005-0000-0000-0000A51F0000}"/>
    <cellStyle name="Currency 4 3 4 3 5 4" xfId="23899" xr:uid="{00000000-0005-0000-0000-0000A61F0000}"/>
    <cellStyle name="Currency 4 3 4 3 5 5" xfId="23900" xr:uid="{00000000-0005-0000-0000-0000A71F0000}"/>
    <cellStyle name="Currency 4 3 4 3 6" xfId="23901" xr:uid="{00000000-0005-0000-0000-0000A81F0000}"/>
    <cellStyle name="Currency 4 3 4 3 6 2" xfId="23902" xr:uid="{00000000-0005-0000-0000-0000A91F0000}"/>
    <cellStyle name="Currency 4 3 4 3 7" xfId="23903" xr:uid="{00000000-0005-0000-0000-0000AA1F0000}"/>
    <cellStyle name="Currency 4 3 4 3 7 2" xfId="23904" xr:uid="{00000000-0005-0000-0000-0000AB1F0000}"/>
    <cellStyle name="Currency 4 3 4 3 8" xfId="23905" xr:uid="{00000000-0005-0000-0000-0000AC1F0000}"/>
    <cellStyle name="Currency 4 3 4 3 8 2" xfId="23906" xr:uid="{00000000-0005-0000-0000-0000AD1F0000}"/>
    <cellStyle name="Currency 4 3 4 3 9" xfId="23907" xr:uid="{00000000-0005-0000-0000-0000AE1F0000}"/>
    <cellStyle name="Currency 4 3 4 4" xfId="23908" xr:uid="{00000000-0005-0000-0000-0000AF1F0000}"/>
    <cellStyle name="Currency 4 3 4 4 2" xfId="23909" xr:uid="{00000000-0005-0000-0000-0000B01F0000}"/>
    <cellStyle name="Currency 4 3 4 4 2 2" xfId="23910" xr:uid="{00000000-0005-0000-0000-0000B11F0000}"/>
    <cellStyle name="Currency 4 3 4 4 3" xfId="23911" xr:uid="{00000000-0005-0000-0000-0000B21F0000}"/>
    <cellStyle name="Currency 4 3 4 4 3 2" xfId="23912" xr:uid="{00000000-0005-0000-0000-0000B31F0000}"/>
    <cellStyle name="Currency 4 3 4 4 4" xfId="23913" xr:uid="{00000000-0005-0000-0000-0000B41F0000}"/>
    <cellStyle name="Currency 4 3 4 4 4 2" xfId="23914" xr:uid="{00000000-0005-0000-0000-0000B51F0000}"/>
    <cellStyle name="Currency 4 3 4 4 5" xfId="23915" xr:uid="{00000000-0005-0000-0000-0000B61F0000}"/>
    <cellStyle name="Currency 4 3 4 4 6" xfId="23916" xr:uid="{00000000-0005-0000-0000-0000B71F0000}"/>
    <cellStyle name="Currency 4 3 4 5" xfId="23917" xr:uid="{00000000-0005-0000-0000-0000B81F0000}"/>
    <cellStyle name="Currency 4 3 4 5 2" xfId="23918" xr:uid="{00000000-0005-0000-0000-0000B91F0000}"/>
    <cellStyle name="Currency 4 3 4 5 2 2" xfId="23919" xr:uid="{00000000-0005-0000-0000-0000BA1F0000}"/>
    <cellStyle name="Currency 4 3 4 5 3" xfId="23920" xr:uid="{00000000-0005-0000-0000-0000BB1F0000}"/>
    <cellStyle name="Currency 4 3 4 5 3 2" xfId="23921" xr:uid="{00000000-0005-0000-0000-0000BC1F0000}"/>
    <cellStyle name="Currency 4 3 4 5 4" xfId="23922" xr:uid="{00000000-0005-0000-0000-0000BD1F0000}"/>
    <cellStyle name="Currency 4 3 4 5 4 2" xfId="23923" xr:uid="{00000000-0005-0000-0000-0000BE1F0000}"/>
    <cellStyle name="Currency 4 3 4 5 5" xfId="23924" xr:uid="{00000000-0005-0000-0000-0000BF1F0000}"/>
    <cellStyle name="Currency 4 3 4 5 6" xfId="23925" xr:uid="{00000000-0005-0000-0000-0000C01F0000}"/>
    <cellStyle name="Currency 4 3 4 6" xfId="23926" xr:uid="{00000000-0005-0000-0000-0000C11F0000}"/>
    <cellStyle name="Currency 4 3 4 6 2" xfId="23927" xr:uid="{00000000-0005-0000-0000-0000C21F0000}"/>
    <cellStyle name="Currency 4 3 4 6 2 2" xfId="23928" xr:uid="{00000000-0005-0000-0000-0000C31F0000}"/>
    <cellStyle name="Currency 4 3 4 6 3" xfId="23929" xr:uid="{00000000-0005-0000-0000-0000C41F0000}"/>
    <cellStyle name="Currency 4 3 4 6 3 2" xfId="23930" xr:uid="{00000000-0005-0000-0000-0000C51F0000}"/>
    <cellStyle name="Currency 4 3 4 6 4" xfId="23931" xr:uid="{00000000-0005-0000-0000-0000C61F0000}"/>
    <cellStyle name="Currency 4 3 4 6 4 2" xfId="23932" xr:uid="{00000000-0005-0000-0000-0000C71F0000}"/>
    <cellStyle name="Currency 4 3 4 6 5" xfId="23933" xr:uid="{00000000-0005-0000-0000-0000C81F0000}"/>
    <cellStyle name="Currency 4 3 4 6 6" xfId="23934" xr:uid="{00000000-0005-0000-0000-0000C91F0000}"/>
    <cellStyle name="Currency 4 3 4 7" xfId="23935" xr:uid="{00000000-0005-0000-0000-0000CA1F0000}"/>
    <cellStyle name="Currency 4 3 4 7 2" xfId="23936" xr:uid="{00000000-0005-0000-0000-0000CB1F0000}"/>
    <cellStyle name="Currency 4 3 4 7 2 2" xfId="23937" xr:uid="{00000000-0005-0000-0000-0000CC1F0000}"/>
    <cellStyle name="Currency 4 3 4 7 3" xfId="23938" xr:uid="{00000000-0005-0000-0000-0000CD1F0000}"/>
    <cellStyle name="Currency 4 3 4 7 3 2" xfId="23939" xr:uid="{00000000-0005-0000-0000-0000CE1F0000}"/>
    <cellStyle name="Currency 4 3 4 7 4" xfId="23940" xr:uid="{00000000-0005-0000-0000-0000CF1F0000}"/>
    <cellStyle name="Currency 4 3 4 7 5" xfId="23941" xr:uid="{00000000-0005-0000-0000-0000D01F0000}"/>
    <cellStyle name="Currency 4 3 4 8" xfId="23942" xr:uid="{00000000-0005-0000-0000-0000D11F0000}"/>
    <cellStyle name="Currency 4 3 4 8 2" xfId="23943" xr:uid="{00000000-0005-0000-0000-0000D21F0000}"/>
    <cellStyle name="Currency 4 3 4 9" xfId="23944" xr:uid="{00000000-0005-0000-0000-0000D31F0000}"/>
    <cellStyle name="Currency 4 3 4 9 2" xfId="23945" xr:uid="{00000000-0005-0000-0000-0000D41F0000}"/>
    <cellStyle name="Currency 4 3 5" xfId="23946" xr:uid="{00000000-0005-0000-0000-0000D51F0000}"/>
    <cellStyle name="Currency 4 3 5 10" xfId="23947" xr:uid="{00000000-0005-0000-0000-0000D61F0000}"/>
    <cellStyle name="Currency 4 3 5 11" xfId="23948" xr:uid="{00000000-0005-0000-0000-0000D71F0000}"/>
    <cellStyle name="Currency 4 3 5 2" xfId="23949" xr:uid="{00000000-0005-0000-0000-0000D81F0000}"/>
    <cellStyle name="Currency 4 3 5 2 2" xfId="23950" xr:uid="{00000000-0005-0000-0000-0000D91F0000}"/>
    <cellStyle name="Currency 4 3 5 2 2 2" xfId="23951" xr:uid="{00000000-0005-0000-0000-0000DA1F0000}"/>
    <cellStyle name="Currency 4 3 5 2 3" xfId="23952" xr:uid="{00000000-0005-0000-0000-0000DB1F0000}"/>
    <cellStyle name="Currency 4 3 5 2 3 2" xfId="23953" xr:uid="{00000000-0005-0000-0000-0000DC1F0000}"/>
    <cellStyle name="Currency 4 3 5 2 4" xfId="23954" xr:uid="{00000000-0005-0000-0000-0000DD1F0000}"/>
    <cellStyle name="Currency 4 3 5 2 4 2" xfId="23955" xr:uid="{00000000-0005-0000-0000-0000DE1F0000}"/>
    <cellStyle name="Currency 4 3 5 2 5" xfId="23956" xr:uid="{00000000-0005-0000-0000-0000DF1F0000}"/>
    <cellStyle name="Currency 4 3 5 2 6" xfId="23957" xr:uid="{00000000-0005-0000-0000-0000E01F0000}"/>
    <cellStyle name="Currency 4 3 5 3" xfId="23958" xr:uid="{00000000-0005-0000-0000-0000E11F0000}"/>
    <cellStyle name="Currency 4 3 5 3 2" xfId="23959" xr:uid="{00000000-0005-0000-0000-0000E21F0000}"/>
    <cellStyle name="Currency 4 3 5 3 2 2" xfId="23960" xr:uid="{00000000-0005-0000-0000-0000E31F0000}"/>
    <cellStyle name="Currency 4 3 5 3 3" xfId="23961" xr:uid="{00000000-0005-0000-0000-0000E41F0000}"/>
    <cellStyle name="Currency 4 3 5 3 3 2" xfId="23962" xr:uid="{00000000-0005-0000-0000-0000E51F0000}"/>
    <cellStyle name="Currency 4 3 5 3 4" xfId="23963" xr:uid="{00000000-0005-0000-0000-0000E61F0000}"/>
    <cellStyle name="Currency 4 3 5 3 4 2" xfId="23964" xr:uid="{00000000-0005-0000-0000-0000E71F0000}"/>
    <cellStyle name="Currency 4 3 5 3 5" xfId="23965" xr:uid="{00000000-0005-0000-0000-0000E81F0000}"/>
    <cellStyle name="Currency 4 3 5 3 6" xfId="23966" xr:uid="{00000000-0005-0000-0000-0000E91F0000}"/>
    <cellStyle name="Currency 4 3 5 4" xfId="23967" xr:uid="{00000000-0005-0000-0000-0000EA1F0000}"/>
    <cellStyle name="Currency 4 3 5 4 2" xfId="23968" xr:uid="{00000000-0005-0000-0000-0000EB1F0000}"/>
    <cellStyle name="Currency 4 3 5 4 2 2" xfId="23969" xr:uid="{00000000-0005-0000-0000-0000EC1F0000}"/>
    <cellStyle name="Currency 4 3 5 4 3" xfId="23970" xr:uid="{00000000-0005-0000-0000-0000ED1F0000}"/>
    <cellStyle name="Currency 4 3 5 4 3 2" xfId="23971" xr:uid="{00000000-0005-0000-0000-0000EE1F0000}"/>
    <cellStyle name="Currency 4 3 5 4 4" xfId="23972" xr:uid="{00000000-0005-0000-0000-0000EF1F0000}"/>
    <cellStyle name="Currency 4 3 5 4 4 2" xfId="23973" xr:uid="{00000000-0005-0000-0000-0000F01F0000}"/>
    <cellStyle name="Currency 4 3 5 4 5" xfId="23974" xr:uid="{00000000-0005-0000-0000-0000F11F0000}"/>
    <cellStyle name="Currency 4 3 5 4 6" xfId="23975" xr:uid="{00000000-0005-0000-0000-0000F21F0000}"/>
    <cellStyle name="Currency 4 3 5 5" xfId="23976" xr:uid="{00000000-0005-0000-0000-0000F31F0000}"/>
    <cellStyle name="Currency 4 3 5 5 2" xfId="23977" xr:uid="{00000000-0005-0000-0000-0000F41F0000}"/>
    <cellStyle name="Currency 4 3 5 5 2 2" xfId="23978" xr:uid="{00000000-0005-0000-0000-0000F51F0000}"/>
    <cellStyle name="Currency 4 3 5 5 3" xfId="23979" xr:uid="{00000000-0005-0000-0000-0000F61F0000}"/>
    <cellStyle name="Currency 4 3 5 5 3 2" xfId="23980" xr:uid="{00000000-0005-0000-0000-0000F71F0000}"/>
    <cellStyle name="Currency 4 3 5 5 4" xfId="23981" xr:uid="{00000000-0005-0000-0000-0000F81F0000}"/>
    <cellStyle name="Currency 4 3 5 5 4 2" xfId="23982" xr:uid="{00000000-0005-0000-0000-0000F91F0000}"/>
    <cellStyle name="Currency 4 3 5 5 5" xfId="23983" xr:uid="{00000000-0005-0000-0000-0000FA1F0000}"/>
    <cellStyle name="Currency 4 3 5 5 6" xfId="23984" xr:uid="{00000000-0005-0000-0000-0000FB1F0000}"/>
    <cellStyle name="Currency 4 3 5 6" xfId="23985" xr:uid="{00000000-0005-0000-0000-0000FC1F0000}"/>
    <cellStyle name="Currency 4 3 5 6 2" xfId="23986" xr:uid="{00000000-0005-0000-0000-0000FD1F0000}"/>
    <cellStyle name="Currency 4 3 5 6 2 2" xfId="23987" xr:uid="{00000000-0005-0000-0000-0000FE1F0000}"/>
    <cellStyle name="Currency 4 3 5 6 3" xfId="23988" xr:uid="{00000000-0005-0000-0000-0000FF1F0000}"/>
    <cellStyle name="Currency 4 3 5 6 3 2" xfId="23989" xr:uid="{00000000-0005-0000-0000-000000200000}"/>
    <cellStyle name="Currency 4 3 5 6 4" xfId="23990" xr:uid="{00000000-0005-0000-0000-000001200000}"/>
    <cellStyle name="Currency 4 3 5 6 5" xfId="23991" xr:uid="{00000000-0005-0000-0000-000002200000}"/>
    <cellStyle name="Currency 4 3 5 7" xfId="23992" xr:uid="{00000000-0005-0000-0000-000003200000}"/>
    <cellStyle name="Currency 4 3 5 7 2" xfId="23993" xr:uid="{00000000-0005-0000-0000-000004200000}"/>
    <cellStyle name="Currency 4 3 5 8" xfId="23994" xr:uid="{00000000-0005-0000-0000-000005200000}"/>
    <cellStyle name="Currency 4 3 5 8 2" xfId="23995" xr:uid="{00000000-0005-0000-0000-000006200000}"/>
    <cellStyle name="Currency 4 3 5 9" xfId="23996" xr:uid="{00000000-0005-0000-0000-000007200000}"/>
    <cellStyle name="Currency 4 3 5 9 2" xfId="23997" xr:uid="{00000000-0005-0000-0000-000008200000}"/>
    <cellStyle name="Currency 4 3 6" xfId="23998" xr:uid="{00000000-0005-0000-0000-000009200000}"/>
    <cellStyle name="Currency 4 3 6 10" xfId="23999" xr:uid="{00000000-0005-0000-0000-00000A200000}"/>
    <cellStyle name="Currency 4 3 6 2" xfId="24000" xr:uid="{00000000-0005-0000-0000-00000B200000}"/>
    <cellStyle name="Currency 4 3 6 2 2" xfId="24001" xr:uid="{00000000-0005-0000-0000-00000C200000}"/>
    <cellStyle name="Currency 4 3 6 2 2 2" xfId="24002" xr:uid="{00000000-0005-0000-0000-00000D200000}"/>
    <cellStyle name="Currency 4 3 6 2 3" xfId="24003" xr:uid="{00000000-0005-0000-0000-00000E200000}"/>
    <cellStyle name="Currency 4 3 6 2 3 2" xfId="24004" xr:uid="{00000000-0005-0000-0000-00000F200000}"/>
    <cellStyle name="Currency 4 3 6 2 4" xfId="24005" xr:uid="{00000000-0005-0000-0000-000010200000}"/>
    <cellStyle name="Currency 4 3 6 2 4 2" xfId="24006" xr:uid="{00000000-0005-0000-0000-000011200000}"/>
    <cellStyle name="Currency 4 3 6 2 5" xfId="24007" xr:uid="{00000000-0005-0000-0000-000012200000}"/>
    <cellStyle name="Currency 4 3 6 2 6" xfId="24008" xr:uid="{00000000-0005-0000-0000-000013200000}"/>
    <cellStyle name="Currency 4 3 6 3" xfId="24009" xr:uid="{00000000-0005-0000-0000-000014200000}"/>
    <cellStyle name="Currency 4 3 6 3 2" xfId="24010" xr:uid="{00000000-0005-0000-0000-000015200000}"/>
    <cellStyle name="Currency 4 3 6 3 2 2" xfId="24011" xr:uid="{00000000-0005-0000-0000-000016200000}"/>
    <cellStyle name="Currency 4 3 6 3 3" xfId="24012" xr:uid="{00000000-0005-0000-0000-000017200000}"/>
    <cellStyle name="Currency 4 3 6 3 3 2" xfId="24013" xr:uid="{00000000-0005-0000-0000-000018200000}"/>
    <cellStyle name="Currency 4 3 6 3 4" xfId="24014" xr:uid="{00000000-0005-0000-0000-000019200000}"/>
    <cellStyle name="Currency 4 3 6 3 4 2" xfId="24015" xr:uid="{00000000-0005-0000-0000-00001A200000}"/>
    <cellStyle name="Currency 4 3 6 3 5" xfId="24016" xr:uid="{00000000-0005-0000-0000-00001B200000}"/>
    <cellStyle name="Currency 4 3 6 3 6" xfId="24017" xr:uid="{00000000-0005-0000-0000-00001C200000}"/>
    <cellStyle name="Currency 4 3 6 4" xfId="24018" xr:uid="{00000000-0005-0000-0000-00001D200000}"/>
    <cellStyle name="Currency 4 3 6 4 2" xfId="24019" xr:uid="{00000000-0005-0000-0000-00001E200000}"/>
    <cellStyle name="Currency 4 3 6 4 2 2" xfId="24020" xr:uid="{00000000-0005-0000-0000-00001F200000}"/>
    <cellStyle name="Currency 4 3 6 4 3" xfId="24021" xr:uid="{00000000-0005-0000-0000-000020200000}"/>
    <cellStyle name="Currency 4 3 6 4 3 2" xfId="24022" xr:uid="{00000000-0005-0000-0000-000021200000}"/>
    <cellStyle name="Currency 4 3 6 4 4" xfId="24023" xr:uid="{00000000-0005-0000-0000-000022200000}"/>
    <cellStyle name="Currency 4 3 6 4 4 2" xfId="24024" xr:uid="{00000000-0005-0000-0000-000023200000}"/>
    <cellStyle name="Currency 4 3 6 4 5" xfId="24025" xr:uid="{00000000-0005-0000-0000-000024200000}"/>
    <cellStyle name="Currency 4 3 6 4 6" xfId="24026" xr:uid="{00000000-0005-0000-0000-000025200000}"/>
    <cellStyle name="Currency 4 3 6 5" xfId="24027" xr:uid="{00000000-0005-0000-0000-000026200000}"/>
    <cellStyle name="Currency 4 3 6 5 2" xfId="24028" xr:uid="{00000000-0005-0000-0000-000027200000}"/>
    <cellStyle name="Currency 4 3 6 5 2 2" xfId="24029" xr:uid="{00000000-0005-0000-0000-000028200000}"/>
    <cellStyle name="Currency 4 3 6 5 3" xfId="24030" xr:uid="{00000000-0005-0000-0000-000029200000}"/>
    <cellStyle name="Currency 4 3 6 5 3 2" xfId="24031" xr:uid="{00000000-0005-0000-0000-00002A200000}"/>
    <cellStyle name="Currency 4 3 6 5 4" xfId="24032" xr:uid="{00000000-0005-0000-0000-00002B200000}"/>
    <cellStyle name="Currency 4 3 6 5 5" xfId="24033" xr:uid="{00000000-0005-0000-0000-00002C200000}"/>
    <cellStyle name="Currency 4 3 6 6" xfId="24034" xr:uid="{00000000-0005-0000-0000-00002D200000}"/>
    <cellStyle name="Currency 4 3 6 6 2" xfId="24035" xr:uid="{00000000-0005-0000-0000-00002E200000}"/>
    <cellStyle name="Currency 4 3 6 7" xfId="24036" xr:uid="{00000000-0005-0000-0000-00002F200000}"/>
    <cellStyle name="Currency 4 3 6 7 2" xfId="24037" xr:uid="{00000000-0005-0000-0000-000030200000}"/>
    <cellStyle name="Currency 4 3 6 8" xfId="24038" xr:uid="{00000000-0005-0000-0000-000031200000}"/>
    <cellStyle name="Currency 4 3 6 8 2" xfId="24039" xr:uid="{00000000-0005-0000-0000-000032200000}"/>
    <cellStyle name="Currency 4 3 6 9" xfId="24040" xr:uid="{00000000-0005-0000-0000-000033200000}"/>
    <cellStyle name="Currency 4 3 7" xfId="24041" xr:uid="{00000000-0005-0000-0000-000034200000}"/>
    <cellStyle name="Currency 4 3 7 10" xfId="24042" xr:uid="{00000000-0005-0000-0000-000035200000}"/>
    <cellStyle name="Currency 4 3 7 2" xfId="24043" xr:uid="{00000000-0005-0000-0000-000036200000}"/>
    <cellStyle name="Currency 4 3 7 2 2" xfId="24044" xr:uid="{00000000-0005-0000-0000-000037200000}"/>
    <cellStyle name="Currency 4 3 7 2 2 2" xfId="24045" xr:uid="{00000000-0005-0000-0000-000038200000}"/>
    <cellStyle name="Currency 4 3 7 2 3" xfId="24046" xr:uid="{00000000-0005-0000-0000-000039200000}"/>
    <cellStyle name="Currency 4 3 7 2 3 2" xfId="24047" xr:uid="{00000000-0005-0000-0000-00003A200000}"/>
    <cellStyle name="Currency 4 3 7 2 4" xfId="24048" xr:uid="{00000000-0005-0000-0000-00003B200000}"/>
    <cellStyle name="Currency 4 3 7 2 4 2" xfId="24049" xr:uid="{00000000-0005-0000-0000-00003C200000}"/>
    <cellStyle name="Currency 4 3 7 2 5" xfId="24050" xr:uid="{00000000-0005-0000-0000-00003D200000}"/>
    <cellStyle name="Currency 4 3 7 2 6" xfId="24051" xr:uid="{00000000-0005-0000-0000-00003E200000}"/>
    <cellStyle name="Currency 4 3 7 3" xfId="24052" xr:uid="{00000000-0005-0000-0000-00003F200000}"/>
    <cellStyle name="Currency 4 3 7 3 2" xfId="24053" xr:uid="{00000000-0005-0000-0000-000040200000}"/>
    <cellStyle name="Currency 4 3 7 3 2 2" xfId="24054" xr:uid="{00000000-0005-0000-0000-000041200000}"/>
    <cellStyle name="Currency 4 3 7 3 3" xfId="24055" xr:uid="{00000000-0005-0000-0000-000042200000}"/>
    <cellStyle name="Currency 4 3 7 3 3 2" xfId="24056" xr:uid="{00000000-0005-0000-0000-000043200000}"/>
    <cellStyle name="Currency 4 3 7 3 4" xfId="24057" xr:uid="{00000000-0005-0000-0000-000044200000}"/>
    <cellStyle name="Currency 4 3 7 3 4 2" xfId="24058" xr:uid="{00000000-0005-0000-0000-000045200000}"/>
    <cellStyle name="Currency 4 3 7 3 5" xfId="24059" xr:uid="{00000000-0005-0000-0000-000046200000}"/>
    <cellStyle name="Currency 4 3 7 3 6" xfId="24060" xr:uid="{00000000-0005-0000-0000-000047200000}"/>
    <cellStyle name="Currency 4 3 7 4" xfId="24061" xr:uid="{00000000-0005-0000-0000-000048200000}"/>
    <cellStyle name="Currency 4 3 7 4 2" xfId="24062" xr:uid="{00000000-0005-0000-0000-000049200000}"/>
    <cellStyle name="Currency 4 3 7 4 2 2" xfId="24063" xr:uid="{00000000-0005-0000-0000-00004A200000}"/>
    <cellStyle name="Currency 4 3 7 4 3" xfId="24064" xr:uid="{00000000-0005-0000-0000-00004B200000}"/>
    <cellStyle name="Currency 4 3 7 4 3 2" xfId="24065" xr:uid="{00000000-0005-0000-0000-00004C200000}"/>
    <cellStyle name="Currency 4 3 7 4 4" xfId="24066" xr:uid="{00000000-0005-0000-0000-00004D200000}"/>
    <cellStyle name="Currency 4 3 7 4 4 2" xfId="24067" xr:uid="{00000000-0005-0000-0000-00004E200000}"/>
    <cellStyle name="Currency 4 3 7 4 5" xfId="24068" xr:uid="{00000000-0005-0000-0000-00004F200000}"/>
    <cellStyle name="Currency 4 3 7 4 6" xfId="24069" xr:uid="{00000000-0005-0000-0000-000050200000}"/>
    <cellStyle name="Currency 4 3 7 5" xfId="24070" xr:uid="{00000000-0005-0000-0000-000051200000}"/>
    <cellStyle name="Currency 4 3 7 5 2" xfId="24071" xr:uid="{00000000-0005-0000-0000-000052200000}"/>
    <cellStyle name="Currency 4 3 7 5 2 2" xfId="24072" xr:uid="{00000000-0005-0000-0000-000053200000}"/>
    <cellStyle name="Currency 4 3 7 5 3" xfId="24073" xr:uid="{00000000-0005-0000-0000-000054200000}"/>
    <cellStyle name="Currency 4 3 7 5 3 2" xfId="24074" xr:uid="{00000000-0005-0000-0000-000055200000}"/>
    <cellStyle name="Currency 4 3 7 5 4" xfId="24075" xr:uid="{00000000-0005-0000-0000-000056200000}"/>
    <cellStyle name="Currency 4 3 7 5 5" xfId="24076" xr:uid="{00000000-0005-0000-0000-000057200000}"/>
    <cellStyle name="Currency 4 3 7 6" xfId="24077" xr:uid="{00000000-0005-0000-0000-000058200000}"/>
    <cellStyle name="Currency 4 3 7 6 2" xfId="24078" xr:uid="{00000000-0005-0000-0000-000059200000}"/>
    <cellStyle name="Currency 4 3 7 7" xfId="24079" xr:uid="{00000000-0005-0000-0000-00005A200000}"/>
    <cellStyle name="Currency 4 3 7 7 2" xfId="24080" xr:uid="{00000000-0005-0000-0000-00005B200000}"/>
    <cellStyle name="Currency 4 3 7 8" xfId="24081" xr:uid="{00000000-0005-0000-0000-00005C200000}"/>
    <cellStyle name="Currency 4 3 7 8 2" xfId="24082" xr:uid="{00000000-0005-0000-0000-00005D200000}"/>
    <cellStyle name="Currency 4 3 7 9" xfId="24083" xr:uid="{00000000-0005-0000-0000-00005E200000}"/>
    <cellStyle name="Currency 4 3 8" xfId="24084" xr:uid="{00000000-0005-0000-0000-00005F200000}"/>
    <cellStyle name="Currency 4 3 8 2" xfId="24085" xr:uid="{00000000-0005-0000-0000-000060200000}"/>
    <cellStyle name="Currency 4 3 8 2 2" xfId="24086" xr:uid="{00000000-0005-0000-0000-000061200000}"/>
    <cellStyle name="Currency 4 3 8 3" xfId="24087" xr:uid="{00000000-0005-0000-0000-000062200000}"/>
    <cellStyle name="Currency 4 3 8 3 2" xfId="24088" xr:uid="{00000000-0005-0000-0000-000063200000}"/>
    <cellStyle name="Currency 4 3 8 4" xfId="24089" xr:uid="{00000000-0005-0000-0000-000064200000}"/>
    <cellStyle name="Currency 4 3 8 4 2" xfId="24090" xr:uid="{00000000-0005-0000-0000-000065200000}"/>
    <cellStyle name="Currency 4 3 8 5" xfId="24091" xr:uid="{00000000-0005-0000-0000-000066200000}"/>
    <cellStyle name="Currency 4 3 8 6" xfId="24092" xr:uid="{00000000-0005-0000-0000-000067200000}"/>
    <cellStyle name="Currency 4 3 9" xfId="24093" xr:uid="{00000000-0005-0000-0000-000068200000}"/>
    <cellStyle name="Currency 4 3 9 2" xfId="24094" xr:uid="{00000000-0005-0000-0000-000069200000}"/>
    <cellStyle name="Currency 4 3 9 2 2" xfId="24095" xr:uid="{00000000-0005-0000-0000-00006A200000}"/>
    <cellStyle name="Currency 4 3 9 3" xfId="24096" xr:uid="{00000000-0005-0000-0000-00006B200000}"/>
    <cellStyle name="Currency 4 3 9 3 2" xfId="24097" xr:uid="{00000000-0005-0000-0000-00006C200000}"/>
    <cellStyle name="Currency 4 3 9 4" xfId="24098" xr:uid="{00000000-0005-0000-0000-00006D200000}"/>
    <cellStyle name="Currency 4 3 9 4 2" xfId="24099" xr:uid="{00000000-0005-0000-0000-00006E200000}"/>
    <cellStyle name="Currency 4 3 9 5" xfId="24100" xr:uid="{00000000-0005-0000-0000-00006F200000}"/>
    <cellStyle name="Currency 4 3 9 6" xfId="24101" xr:uid="{00000000-0005-0000-0000-000070200000}"/>
    <cellStyle name="Currency 4 4" xfId="24102" xr:uid="{00000000-0005-0000-0000-000071200000}"/>
    <cellStyle name="Currency 4 4 10" xfId="24103" xr:uid="{00000000-0005-0000-0000-000072200000}"/>
    <cellStyle name="Currency 4 4 10 2" xfId="24104" xr:uid="{00000000-0005-0000-0000-000073200000}"/>
    <cellStyle name="Currency 4 4 11" xfId="24105" xr:uid="{00000000-0005-0000-0000-000074200000}"/>
    <cellStyle name="Currency 4 4 11 2" xfId="24106" xr:uid="{00000000-0005-0000-0000-000075200000}"/>
    <cellStyle name="Currency 4 4 12" xfId="24107" xr:uid="{00000000-0005-0000-0000-000076200000}"/>
    <cellStyle name="Currency 4 4 13" xfId="24108" xr:uid="{00000000-0005-0000-0000-000077200000}"/>
    <cellStyle name="Currency 4 4 2" xfId="24109" xr:uid="{00000000-0005-0000-0000-000078200000}"/>
    <cellStyle name="Currency 4 4 2 10" xfId="24110" xr:uid="{00000000-0005-0000-0000-000079200000}"/>
    <cellStyle name="Currency 4 4 2 11" xfId="24111" xr:uid="{00000000-0005-0000-0000-00007A200000}"/>
    <cellStyle name="Currency 4 4 2 2" xfId="24112" xr:uid="{00000000-0005-0000-0000-00007B200000}"/>
    <cellStyle name="Currency 4 4 2 2 2" xfId="24113" xr:uid="{00000000-0005-0000-0000-00007C200000}"/>
    <cellStyle name="Currency 4 4 2 2 2 2" xfId="24114" xr:uid="{00000000-0005-0000-0000-00007D200000}"/>
    <cellStyle name="Currency 4 4 2 2 3" xfId="24115" xr:uid="{00000000-0005-0000-0000-00007E200000}"/>
    <cellStyle name="Currency 4 4 2 2 3 2" xfId="24116" xr:uid="{00000000-0005-0000-0000-00007F200000}"/>
    <cellStyle name="Currency 4 4 2 2 4" xfId="24117" xr:uid="{00000000-0005-0000-0000-000080200000}"/>
    <cellStyle name="Currency 4 4 2 2 4 2" xfId="24118" xr:uid="{00000000-0005-0000-0000-000081200000}"/>
    <cellStyle name="Currency 4 4 2 2 5" xfId="24119" xr:uid="{00000000-0005-0000-0000-000082200000}"/>
    <cellStyle name="Currency 4 4 2 2 6" xfId="24120" xr:uid="{00000000-0005-0000-0000-000083200000}"/>
    <cellStyle name="Currency 4 4 2 3" xfId="24121" xr:uid="{00000000-0005-0000-0000-000084200000}"/>
    <cellStyle name="Currency 4 4 2 3 2" xfId="24122" xr:uid="{00000000-0005-0000-0000-000085200000}"/>
    <cellStyle name="Currency 4 4 2 3 2 2" xfId="24123" xr:uid="{00000000-0005-0000-0000-000086200000}"/>
    <cellStyle name="Currency 4 4 2 3 3" xfId="24124" xr:uid="{00000000-0005-0000-0000-000087200000}"/>
    <cellStyle name="Currency 4 4 2 3 3 2" xfId="24125" xr:uid="{00000000-0005-0000-0000-000088200000}"/>
    <cellStyle name="Currency 4 4 2 3 4" xfId="24126" xr:uid="{00000000-0005-0000-0000-000089200000}"/>
    <cellStyle name="Currency 4 4 2 3 4 2" xfId="24127" xr:uid="{00000000-0005-0000-0000-00008A200000}"/>
    <cellStyle name="Currency 4 4 2 3 5" xfId="24128" xr:uid="{00000000-0005-0000-0000-00008B200000}"/>
    <cellStyle name="Currency 4 4 2 3 6" xfId="24129" xr:uid="{00000000-0005-0000-0000-00008C200000}"/>
    <cellStyle name="Currency 4 4 2 4" xfId="24130" xr:uid="{00000000-0005-0000-0000-00008D200000}"/>
    <cellStyle name="Currency 4 4 2 4 2" xfId="24131" xr:uid="{00000000-0005-0000-0000-00008E200000}"/>
    <cellStyle name="Currency 4 4 2 4 2 2" xfId="24132" xr:uid="{00000000-0005-0000-0000-00008F200000}"/>
    <cellStyle name="Currency 4 4 2 4 3" xfId="24133" xr:uid="{00000000-0005-0000-0000-000090200000}"/>
    <cellStyle name="Currency 4 4 2 4 3 2" xfId="24134" xr:uid="{00000000-0005-0000-0000-000091200000}"/>
    <cellStyle name="Currency 4 4 2 4 4" xfId="24135" xr:uid="{00000000-0005-0000-0000-000092200000}"/>
    <cellStyle name="Currency 4 4 2 4 4 2" xfId="24136" xr:uid="{00000000-0005-0000-0000-000093200000}"/>
    <cellStyle name="Currency 4 4 2 4 5" xfId="24137" xr:uid="{00000000-0005-0000-0000-000094200000}"/>
    <cellStyle name="Currency 4 4 2 4 6" xfId="24138" xr:uid="{00000000-0005-0000-0000-000095200000}"/>
    <cellStyle name="Currency 4 4 2 5" xfId="24139" xr:uid="{00000000-0005-0000-0000-000096200000}"/>
    <cellStyle name="Currency 4 4 2 5 2" xfId="24140" xr:uid="{00000000-0005-0000-0000-000097200000}"/>
    <cellStyle name="Currency 4 4 2 5 2 2" xfId="24141" xr:uid="{00000000-0005-0000-0000-000098200000}"/>
    <cellStyle name="Currency 4 4 2 5 3" xfId="24142" xr:uid="{00000000-0005-0000-0000-000099200000}"/>
    <cellStyle name="Currency 4 4 2 5 3 2" xfId="24143" xr:uid="{00000000-0005-0000-0000-00009A200000}"/>
    <cellStyle name="Currency 4 4 2 5 4" xfId="24144" xr:uid="{00000000-0005-0000-0000-00009B200000}"/>
    <cellStyle name="Currency 4 4 2 5 4 2" xfId="24145" xr:uid="{00000000-0005-0000-0000-00009C200000}"/>
    <cellStyle name="Currency 4 4 2 5 5" xfId="24146" xr:uid="{00000000-0005-0000-0000-00009D200000}"/>
    <cellStyle name="Currency 4 4 2 5 6" xfId="24147" xr:uid="{00000000-0005-0000-0000-00009E200000}"/>
    <cellStyle name="Currency 4 4 2 6" xfId="24148" xr:uid="{00000000-0005-0000-0000-00009F200000}"/>
    <cellStyle name="Currency 4 4 2 6 2" xfId="24149" xr:uid="{00000000-0005-0000-0000-0000A0200000}"/>
    <cellStyle name="Currency 4 4 2 6 2 2" xfId="24150" xr:uid="{00000000-0005-0000-0000-0000A1200000}"/>
    <cellStyle name="Currency 4 4 2 6 3" xfId="24151" xr:uid="{00000000-0005-0000-0000-0000A2200000}"/>
    <cellStyle name="Currency 4 4 2 6 3 2" xfId="24152" xr:uid="{00000000-0005-0000-0000-0000A3200000}"/>
    <cellStyle name="Currency 4 4 2 6 4" xfId="24153" xr:uid="{00000000-0005-0000-0000-0000A4200000}"/>
    <cellStyle name="Currency 4 4 2 6 5" xfId="24154" xr:uid="{00000000-0005-0000-0000-0000A5200000}"/>
    <cellStyle name="Currency 4 4 2 7" xfId="24155" xr:uid="{00000000-0005-0000-0000-0000A6200000}"/>
    <cellStyle name="Currency 4 4 2 7 2" xfId="24156" xr:uid="{00000000-0005-0000-0000-0000A7200000}"/>
    <cellStyle name="Currency 4 4 2 8" xfId="24157" xr:uid="{00000000-0005-0000-0000-0000A8200000}"/>
    <cellStyle name="Currency 4 4 2 8 2" xfId="24158" xr:uid="{00000000-0005-0000-0000-0000A9200000}"/>
    <cellStyle name="Currency 4 4 2 9" xfId="24159" xr:uid="{00000000-0005-0000-0000-0000AA200000}"/>
    <cellStyle name="Currency 4 4 2 9 2" xfId="24160" xr:uid="{00000000-0005-0000-0000-0000AB200000}"/>
    <cellStyle name="Currency 4 4 3" xfId="24161" xr:uid="{00000000-0005-0000-0000-0000AC200000}"/>
    <cellStyle name="Currency 4 4 3 10" xfId="24162" xr:uid="{00000000-0005-0000-0000-0000AD200000}"/>
    <cellStyle name="Currency 4 4 3 2" xfId="24163" xr:uid="{00000000-0005-0000-0000-0000AE200000}"/>
    <cellStyle name="Currency 4 4 3 2 2" xfId="24164" xr:uid="{00000000-0005-0000-0000-0000AF200000}"/>
    <cellStyle name="Currency 4 4 3 2 2 2" xfId="24165" xr:uid="{00000000-0005-0000-0000-0000B0200000}"/>
    <cellStyle name="Currency 4 4 3 2 3" xfId="24166" xr:uid="{00000000-0005-0000-0000-0000B1200000}"/>
    <cellStyle name="Currency 4 4 3 2 3 2" xfId="24167" xr:uid="{00000000-0005-0000-0000-0000B2200000}"/>
    <cellStyle name="Currency 4 4 3 2 4" xfId="24168" xr:uid="{00000000-0005-0000-0000-0000B3200000}"/>
    <cellStyle name="Currency 4 4 3 2 4 2" xfId="24169" xr:uid="{00000000-0005-0000-0000-0000B4200000}"/>
    <cellStyle name="Currency 4 4 3 2 5" xfId="24170" xr:uid="{00000000-0005-0000-0000-0000B5200000}"/>
    <cellStyle name="Currency 4 4 3 2 6" xfId="24171" xr:uid="{00000000-0005-0000-0000-0000B6200000}"/>
    <cellStyle name="Currency 4 4 3 3" xfId="24172" xr:uid="{00000000-0005-0000-0000-0000B7200000}"/>
    <cellStyle name="Currency 4 4 3 3 2" xfId="24173" xr:uid="{00000000-0005-0000-0000-0000B8200000}"/>
    <cellStyle name="Currency 4 4 3 3 2 2" xfId="24174" xr:uid="{00000000-0005-0000-0000-0000B9200000}"/>
    <cellStyle name="Currency 4 4 3 3 3" xfId="24175" xr:uid="{00000000-0005-0000-0000-0000BA200000}"/>
    <cellStyle name="Currency 4 4 3 3 3 2" xfId="24176" xr:uid="{00000000-0005-0000-0000-0000BB200000}"/>
    <cellStyle name="Currency 4 4 3 3 4" xfId="24177" xr:uid="{00000000-0005-0000-0000-0000BC200000}"/>
    <cellStyle name="Currency 4 4 3 3 4 2" xfId="24178" xr:uid="{00000000-0005-0000-0000-0000BD200000}"/>
    <cellStyle name="Currency 4 4 3 3 5" xfId="24179" xr:uid="{00000000-0005-0000-0000-0000BE200000}"/>
    <cellStyle name="Currency 4 4 3 3 6" xfId="24180" xr:uid="{00000000-0005-0000-0000-0000BF200000}"/>
    <cellStyle name="Currency 4 4 3 4" xfId="24181" xr:uid="{00000000-0005-0000-0000-0000C0200000}"/>
    <cellStyle name="Currency 4 4 3 4 2" xfId="24182" xr:uid="{00000000-0005-0000-0000-0000C1200000}"/>
    <cellStyle name="Currency 4 4 3 4 2 2" xfId="24183" xr:uid="{00000000-0005-0000-0000-0000C2200000}"/>
    <cellStyle name="Currency 4 4 3 4 3" xfId="24184" xr:uid="{00000000-0005-0000-0000-0000C3200000}"/>
    <cellStyle name="Currency 4 4 3 4 3 2" xfId="24185" xr:uid="{00000000-0005-0000-0000-0000C4200000}"/>
    <cellStyle name="Currency 4 4 3 4 4" xfId="24186" xr:uid="{00000000-0005-0000-0000-0000C5200000}"/>
    <cellStyle name="Currency 4 4 3 4 4 2" xfId="24187" xr:uid="{00000000-0005-0000-0000-0000C6200000}"/>
    <cellStyle name="Currency 4 4 3 4 5" xfId="24188" xr:uid="{00000000-0005-0000-0000-0000C7200000}"/>
    <cellStyle name="Currency 4 4 3 4 6" xfId="24189" xr:uid="{00000000-0005-0000-0000-0000C8200000}"/>
    <cellStyle name="Currency 4 4 3 5" xfId="24190" xr:uid="{00000000-0005-0000-0000-0000C9200000}"/>
    <cellStyle name="Currency 4 4 3 5 2" xfId="24191" xr:uid="{00000000-0005-0000-0000-0000CA200000}"/>
    <cellStyle name="Currency 4 4 3 5 2 2" xfId="24192" xr:uid="{00000000-0005-0000-0000-0000CB200000}"/>
    <cellStyle name="Currency 4 4 3 5 3" xfId="24193" xr:uid="{00000000-0005-0000-0000-0000CC200000}"/>
    <cellStyle name="Currency 4 4 3 5 3 2" xfId="24194" xr:uid="{00000000-0005-0000-0000-0000CD200000}"/>
    <cellStyle name="Currency 4 4 3 5 4" xfId="24195" xr:uid="{00000000-0005-0000-0000-0000CE200000}"/>
    <cellStyle name="Currency 4 4 3 5 5" xfId="24196" xr:uid="{00000000-0005-0000-0000-0000CF200000}"/>
    <cellStyle name="Currency 4 4 3 6" xfId="24197" xr:uid="{00000000-0005-0000-0000-0000D0200000}"/>
    <cellStyle name="Currency 4 4 3 6 2" xfId="24198" xr:uid="{00000000-0005-0000-0000-0000D1200000}"/>
    <cellStyle name="Currency 4 4 3 7" xfId="24199" xr:uid="{00000000-0005-0000-0000-0000D2200000}"/>
    <cellStyle name="Currency 4 4 3 7 2" xfId="24200" xr:uid="{00000000-0005-0000-0000-0000D3200000}"/>
    <cellStyle name="Currency 4 4 3 8" xfId="24201" xr:uid="{00000000-0005-0000-0000-0000D4200000}"/>
    <cellStyle name="Currency 4 4 3 8 2" xfId="24202" xr:uid="{00000000-0005-0000-0000-0000D5200000}"/>
    <cellStyle name="Currency 4 4 3 9" xfId="24203" xr:uid="{00000000-0005-0000-0000-0000D6200000}"/>
    <cellStyle name="Currency 4 4 4" xfId="24204" xr:uid="{00000000-0005-0000-0000-0000D7200000}"/>
    <cellStyle name="Currency 4 4 4 10" xfId="24205" xr:uid="{00000000-0005-0000-0000-0000D8200000}"/>
    <cellStyle name="Currency 4 4 4 2" xfId="24206" xr:uid="{00000000-0005-0000-0000-0000D9200000}"/>
    <cellStyle name="Currency 4 4 4 2 2" xfId="24207" xr:uid="{00000000-0005-0000-0000-0000DA200000}"/>
    <cellStyle name="Currency 4 4 4 2 2 2" xfId="24208" xr:uid="{00000000-0005-0000-0000-0000DB200000}"/>
    <cellStyle name="Currency 4 4 4 2 3" xfId="24209" xr:uid="{00000000-0005-0000-0000-0000DC200000}"/>
    <cellStyle name="Currency 4 4 4 2 3 2" xfId="24210" xr:uid="{00000000-0005-0000-0000-0000DD200000}"/>
    <cellStyle name="Currency 4 4 4 2 4" xfId="24211" xr:uid="{00000000-0005-0000-0000-0000DE200000}"/>
    <cellStyle name="Currency 4 4 4 2 4 2" xfId="24212" xr:uid="{00000000-0005-0000-0000-0000DF200000}"/>
    <cellStyle name="Currency 4 4 4 2 5" xfId="24213" xr:uid="{00000000-0005-0000-0000-0000E0200000}"/>
    <cellStyle name="Currency 4 4 4 2 6" xfId="24214" xr:uid="{00000000-0005-0000-0000-0000E1200000}"/>
    <cellStyle name="Currency 4 4 4 3" xfId="24215" xr:uid="{00000000-0005-0000-0000-0000E2200000}"/>
    <cellStyle name="Currency 4 4 4 3 2" xfId="24216" xr:uid="{00000000-0005-0000-0000-0000E3200000}"/>
    <cellStyle name="Currency 4 4 4 3 2 2" xfId="24217" xr:uid="{00000000-0005-0000-0000-0000E4200000}"/>
    <cellStyle name="Currency 4 4 4 3 3" xfId="24218" xr:uid="{00000000-0005-0000-0000-0000E5200000}"/>
    <cellStyle name="Currency 4 4 4 3 3 2" xfId="24219" xr:uid="{00000000-0005-0000-0000-0000E6200000}"/>
    <cellStyle name="Currency 4 4 4 3 4" xfId="24220" xr:uid="{00000000-0005-0000-0000-0000E7200000}"/>
    <cellStyle name="Currency 4 4 4 3 4 2" xfId="24221" xr:uid="{00000000-0005-0000-0000-0000E8200000}"/>
    <cellStyle name="Currency 4 4 4 3 5" xfId="24222" xr:uid="{00000000-0005-0000-0000-0000E9200000}"/>
    <cellStyle name="Currency 4 4 4 3 6" xfId="24223" xr:uid="{00000000-0005-0000-0000-0000EA200000}"/>
    <cellStyle name="Currency 4 4 4 4" xfId="24224" xr:uid="{00000000-0005-0000-0000-0000EB200000}"/>
    <cellStyle name="Currency 4 4 4 4 2" xfId="24225" xr:uid="{00000000-0005-0000-0000-0000EC200000}"/>
    <cellStyle name="Currency 4 4 4 4 2 2" xfId="24226" xr:uid="{00000000-0005-0000-0000-0000ED200000}"/>
    <cellStyle name="Currency 4 4 4 4 3" xfId="24227" xr:uid="{00000000-0005-0000-0000-0000EE200000}"/>
    <cellStyle name="Currency 4 4 4 4 3 2" xfId="24228" xr:uid="{00000000-0005-0000-0000-0000EF200000}"/>
    <cellStyle name="Currency 4 4 4 4 4" xfId="24229" xr:uid="{00000000-0005-0000-0000-0000F0200000}"/>
    <cellStyle name="Currency 4 4 4 4 4 2" xfId="24230" xr:uid="{00000000-0005-0000-0000-0000F1200000}"/>
    <cellStyle name="Currency 4 4 4 4 5" xfId="24231" xr:uid="{00000000-0005-0000-0000-0000F2200000}"/>
    <cellStyle name="Currency 4 4 4 4 6" xfId="24232" xr:uid="{00000000-0005-0000-0000-0000F3200000}"/>
    <cellStyle name="Currency 4 4 4 5" xfId="24233" xr:uid="{00000000-0005-0000-0000-0000F4200000}"/>
    <cellStyle name="Currency 4 4 4 5 2" xfId="24234" xr:uid="{00000000-0005-0000-0000-0000F5200000}"/>
    <cellStyle name="Currency 4 4 4 5 2 2" xfId="24235" xr:uid="{00000000-0005-0000-0000-0000F6200000}"/>
    <cellStyle name="Currency 4 4 4 5 3" xfId="24236" xr:uid="{00000000-0005-0000-0000-0000F7200000}"/>
    <cellStyle name="Currency 4 4 4 5 3 2" xfId="24237" xr:uid="{00000000-0005-0000-0000-0000F8200000}"/>
    <cellStyle name="Currency 4 4 4 5 4" xfId="24238" xr:uid="{00000000-0005-0000-0000-0000F9200000}"/>
    <cellStyle name="Currency 4 4 4 5 5" xfId="24239" xr:uid="{00000000-0005-0000-0000-0000FA200000}"/>
    <cellStyle name="Currency 4 4 4 6" xfId="24240" xr:uid="{00000000-0005-0000-0000-0000FB200000}"/>
    <cellStyle name="Currency 4 4 4 6 2" xfId="24241" xr:uid="{00000000-0005-0000-0000-0000FC200000}"/>
    <cellStyle name="Currency 4 4 4 7" xfId="24242" xr:uid="{00000000-0005-0000-0000-0000FD200000}"/>
    <cellStyle name="Currency 4 4 4 7 2" xfId="24243" xr:uid="{00000000-0005-0000-0000-0000FE200000}"/>
    <cellStyle name="Currency 4 4 4 8" xfId="24244" xr:uid="{00000000-0005-0000-0000-0000FF200000}"/>
    <cellStyle name="Currency 4 4 4 8 2" xfId="24245" xr:uid="{00000000-0005-0000-0000-000000210000}"/>
    <cellStyle name="Currency 4 4 4 9" xfId="24246" xr:uid="{00000000-0005-0000-0000-000001210000}"/>
    <cellStyle name="Currency 4 4 5" xfId="24247" xr:uid="{00000000-0005-0000-0000-000002210000}"/>
    <cellStyle name="Currency 4 4 5 2" xfId="24248" xr:uid="{00000000-0005-0000-0000-000003210000}"/>
    <cellStyle name="Currency 4 4 5 2 2" xfId="24249" xr:uid="{00000000-0005-0000-0000-000004210000}"/>
    <cellStyle name="Currency 4 4 5 3" xfId="24250" xr:uid="{00000000-0005-0000-0000-000005210000}"/>
    <cellStyle name="Currency 4 4 5 3 2" xfId="24251" xr:uid="{00000000-0005-0000-0000-000006210000}"/>
    <cellStyle name="Currency 4 4 5 4" xfId="24252" xr:uid="{00000000-0005-0000-0000-000007210000}"/>
    <cellStyle name="Currency 4 4 5 4 2" xfId="24253" xr:uid="{00000000-0005-0000-0000-000008210000}"/>
    <cellStyle name="Currency 4 4 5 5" xfId="24254" xr:uid="{00000000-0005-0000-0000-000009210000}"/>
    <cellStyle name="Currency 4 4 5 6" xfId="24255" xr:uid="{00000000-0005-0000-0000-00000A210000}"/>
    <cellStyle name="Currency 4 4 6" xfId="24256" xr:uid="{00000000-0005-0000-0000-00000B210000}"/>
    <cellStyle name="Currency 4 4 6 2" xfId="24257" xr:uid="{00000000-0005-0000-0000-00000C210000}"/>
    <cellStyle name="Currency 4 4 6 2 2" xfId="24258" xr:uid="{00000000-0005-0000-0000-00000D210000}"/>
    <cellStyle name="Currency 4 4 6 3" xfId="24259" xr:uid="{00000000-0005-0000-0000-00000E210000}"/>
    <cellStyle name="Currency 4 4 6 3 2" xfId="24260" xr:uid="{00000000-0005-0000-0000-00000F210000}"/>
    <cellStyle name="Currency 4 4 6 4" xfId="24261" xr:uid="{00000000-0005-0000-0000-000010210000}"/>
    <cellStyle name="Currency 4 4 6 4 2" xfId="24262" xr:uid="{00000000-0005-0000-0000-000011210000}"/>
    <cellStyle name="Currency 4 4 6 5" xfId="24263" xr:uid="{00000000-0005-0000-0000-000012210000}"/>
    <cellStyle name="Currency 4 4 6 6" xfId="24264" xr:uid="{00000000-0005-0000-0000-000013210000}"/>
    <cellStyle name="Currency 4 4 7" xfId="24265" xr:uid="{00000000-0005-0000-0000-000014210000}"/>
    <cellStyle name="Currency 4 4 7 2" xfId="24266" xr:uid="{00000000-0005-0000-0000-000015210000}"/>
    <cellStyle name="Currency 4 4 7 2 2" xfId="24267" xr:uid="{00000000-0005-0000-0000-000016210000}"/>
    <cellStyle name="Currency 4 4 7 3" xfId="24268" xr:uid="{00000000-0005-0000-0000-000017210000}"/>
    <cellStyle name="Currency 4 4 7 3 2" xfId="24269" xr:uid="{00000000-0005-0000-0000-000018210000}"/>
    <cellStyle name="Currency 4 4 7 4" xfId="24270" xr:uid="{00000000-0005-0000-0000-000019210000}"/>
    <cellStyle name="Currency 4 4 7 4 2" xfId="24271" xr:uid="{00000000-0005-0000-0000-00001A210000}"/>
    <cellStyle name="Currency 4 4 7 5" xfId="24272" xr:uid="{00000000-0005-0000-0000-00001B210000}"/>
    <cellStyle name="Currency 4 4 7 6" xfId="24273" xr:uid="{00000000-0005-0000-0000-00001C210000}"/>
    <cellStyle name="Currency 4 4 8" xfId="24274" xr:uid="{00000000-0005-0000-0000-00001D210000}"/>
    <cellStyle name="Currency 4 4 8 2" xfId="24275" xr:uid="{00000000-0005-0000-0000-00001E210000}"/>
    <cellStyle name="Currency 4 4 8 2 2" xfId="24276" xr:uid="{00000000-0005-0000-0000-00001F210000}"/>
    <cellStyle name="Currency 4 4 8 3" xfId="24277" xr:uid="{00000000-0005-0000-0000-000020210000}"/>
    <cellStyle name="Currency 4 4 8 3 2" xfId="24278" xr:uid="{00000000-0005-0000-0000-000021210000}"/>
    <cellStyle name="Currency 4 4 8 4" xfId="24279" xr:uid="{00000000-0005-0000-0000-000022210000}"/>
    <cellStyle name="Currency 4 4 8 5" xfId="24280" xr:uid="{00000000-0005-0000-0000-000023210000}"/>
    <cellStyle name="Currency 4 4 9" xfId="24281" xr:uid="{00000000-0005-0000-0000-000024210000}"/>
    <cellStyle name="Currency 4 4 9 2" xfId="24282" xr:uid="{00000000-0005-0000-0000-000025210000}"/>
    <cellStyle name="Currency 4 5" xfId="24283" xr:uid="{00000000-0005-0000-0000-000026210000}"/>
    <cellStyle name="Currency 4 5 10" xfId="24284" xr:uid="{00000000-0005-0000-0000-000027210000}"/>
    <cellStyle name="Currency 4 5 10 2" xfId="24285" xr:uid="{00000000-0005-0000-0000-000028210000}"/>
    <cellStyle name="Currency 4 5 11" xfId="24286" xr:uid="{00000000-0005-0000-0000-000029210000}"/>
    <cellStyle name="Currency 4 5 11 2" xfId="24287" xr:uid="{00000000-0005-0000-0000-00002A210000}"/>
    <cellStyle name="Currency 4 5 12" xfId="24288" xr:uid="{00000000-0005-0000-0000-00002B210000}"/>
    <cellStyle name="Currency 4 5 13" xfId="24289" xr:uid="{00000000-0005-0000-0000-00002C210000}"/>
    <cellStyle name="Currency 4 5 2" xfId="24290" xr:uid="{00000000-0005-0000-0000-00002D210000}"/>
    <cellStyle name="Currency 4 5 2 10" xfId="24291" xr:uid="{00000000-0005-0000-0000-00002E210000}"/>
    <cellStyle name="Currency 4 5 2 11" xfId="24292" xr:uid="{00000000-0005-0000-0000-00002F210000}"/>
    <cellStyle name="Currency 4 5 2 2" xfId="24293" xr:uid="{00000000-0005-0000-0000-000030210000}"/>
    <cellStyle name="Currency 4 5 2 2 2" xfId="24294" xr:uid="{00000000-0005-0000-0000-000031210000}"/>
    <cellStyle name="Currency 4 5 2 2 2 2" xfId="24295" xr:uid="{00000000-0005-0000-0000-000032210000}"/>
    <cellStyle name="Currency 4 5 2 2 3" xfId="24296" xr:uid="{00000000-0005-0000-0000-000033210000}"/>
    <cellStyle name="Currency 4 5 2 2 3 2" xfId="24297" xr:uid="{00000000-0005-0000-0000-000034210000}"/>
    <cellStyle name="Currency 4 5 2 2 4" xfId="24298" xr:uid="{00000000-0005-0000-0000-000035210000}"/>
    <cellStyle name="Currency 4 5 2 2 4 2" xfId="24299" xr:uid="{00000000-0005-0000-0000-000036210000}"/>
    <cellStyle name="Currency 4 5 2 2 5" xfId="24300" xr:uid="{00000000-0005-0000-0000-000037210000}"/>
    <cellStyle name="Currency 4 5 2 2 6" xfId="24301" xr:uid="{00000000-0005-0000-0000-000038210000}"/>
    <cellStyle name="Currency 4 5 2 3" xfId="24302" xr:uid="{00000000-0005-0000-0000-000039210000}"/>
    <cellStyle name="Currency 4 5 2 3 2" xfId="24303" xr:uid="{00000000-0005-0000-0000-00003A210000}"/>
    <cellStyle name="Currency 4 5 2 3 2 2" xfId="24304" xr:uid="{00000000-0005-0000-0000-00003B210000}"/>
    <cellStyle name="Currency 4 5 2 3 3" xfId="24305" xr:uid="{00000000-0005-0000-0000-00003C210000}"/>
    <cellStyle name="Currency 4 5 2 3 3 2" xfId="24306" xr:uid="{00000000-0005-0000-0000-00003D210000}"/>
    <cellStyle name="Currency 4 5 2 3 4" xfId="24307" xr:uid="{00000000-0005-0000-0000-00003E210000}"/>
    <cellStyle name="Currency 4 5 2 3 4 2" xfId="24308" xr:uid="{00000000-0005-0000-0000-00003F210000}"/>
    <cellStyle name="Currency 4 5 2 3 5" xfId="24309" xr:uid="{00000000-0005-0000-0000-000040210000}"/>
    <cellStyle name="Currency 4 5 2 3 6" xfId="24310" xr:uid="{00000000-0005-0000-0000-000041210000}"/>
    <cellStyle name="Currency 4 5 2 4" xfId="24311" xr:uid="{00000000-0005-0000-0000-000042210000}"/>
    <cellStyle name="Currency 4 5 2 4 2" xfId="24312" xr:uid="{00000000-0005-0000-0000-000043210000}"/>
    <cellStyle name="Currency 4 5 2 4 2 2" xfId="24313" xr:uid="{00000000-0005-0000-0000-000044210000}"/>
    <cellStyle name="Currency 4 5 2 4 3" xfId="24314" xr:uid="{00000000-0005-0000-0000-000045210000}"/>
    <cellStyle name="Currency 4 5 2 4 3 2" xfId="24315" xr:uid="{00000000-0005-0000-0000-000046210000}"/>
    <cellStyle name="Currency 4 5 2 4 4" xfId="24316" xr:uid="{00000000-0005-0000-0000-000047210000}"/>
    <cellStyle name="Currency 4 5 2 4 4 2" xfId="24317" xr:uid="{00000000-0005-0000-0000-000048210000}"/>
    <cellStyle name="Currency 4 5 2 4 5" xfId="24318" xr:uid="{00000000-0005-0000-0000-000049210000}"/>
    <cellStyle name="Currency 4 5 2 4 6" xfId="24319" xr:uid="{00000000-0005-0000-0000-00004A210000}"/>
    <cellStyle name="Currency 4 5 2 5" xfId="24320" xr:uid="{00000000-0005-0000-0000-00004B210000}"/>
    <cellStyle name="Currency 4 5 2 5 2" xfId="24321" xr:uid="{00000000-0005-0000-0000-00004C210000}"/>
    <cellStyle name="Currency 4 5 2 5 2 2" xfId="24322" xr:uid="{00000000-0005-0000-0000-00004D210000}"/>
    <cellStyle name="Currency 4 5 2 5 3" xfId="24323" xr:uid="{00000000-0005-0000-0000-00004E210000}"/>
    <cellStyle name="Currency 4 5 2 5 3 2" xfId="24324" xr:uid="{00000000-0005-0000-0000-00004F210000}"/>
    <cellStyle name="Currency 4 5 2 5 4" xfId="24325" xr:uid="{00000000-0005-0000-0000-000050210000}"/>
    <cellStyle name="Currency 4 5 2 5 4 2" xfId="24326" xr:uid="{00000000-0005-0000-0000-000051210000}"/>
    <cellStyle name="Currency 4 5 2 5 5" xfId="24327" xr:uid="{00000000-0005-0000-0000-000052210000}"/>
    <cellStyle name="Currency 4 5 2 5 6" xfId="24328" xr:uid="{00000000-0005-0000-0000-000053210000}"/>
    <cellStyle name="Currency 4 5 2 6" xfId="24329" xr:uid="{00000000-0005-0000-0000-000054210000}"/>
    <cellStyle name="Currency 4 5 2 6 2" xfId="24330" xr:uid="{00000000-0005-0000-0000-000055210000}"/>
    <cellStyle name="Currency 4 5 2 6 2 2" xfId="24331" xr:uid="{00000000-0005-0000-0000-000056210000}"/>
    <cellStyle name="Currency 4 5 2 6 3" xfId="24332" xr:uid="{00000000-0005-0000-0000-000057210000}"/>
    <cellStyle name="Currency 4 5 2 6 3 2" xfId="24333" xr:uid="{00000000-0005-0000-0000-000058210000}"/>
    <cellStyle name="Currency 4 5 2 6 4" xfId="24334" xr:uid="{00000000-0005-0000-0000-000059210000}"/>
    <cellStyle name="Currency 4 5 2 6 5" xfId="24335" xr:uid="{00000000-0005-0000-0000-00005A210000}"/>
    <cellStyle name="Currency 4 5 2 7" xfId="24336" xr:uid="{00000000-0005-0000-0000-00005B210000}"/>
    <cellStyle name="Currency 4 5 2 7 2" xfId="24337" xr:uid="{00000000-0005-0000-0000-00005C210000}"/>
    <cellStyle name="Currency 4 5 2 8" xfId="24338" xr:uid="{00000000-0005-0000-0000-00005D210000}"/>
    <cellStyle name="Currency 4 5 2 8 2" xfId="24339" xr:uid="{00000000-0005-0000-0000-00005E210000}"/>
    <cellStyle name="Currency 4 5 2 9" xfId="24340" xr:uid="{00000000-0005-0000-0000-00005F210000}"/>
    <cellStyle name="Currency 4 5 2 9 2" xfId="24341" xr:uid="{00000000-0005-0000-0000-000060210000}"/>
    <cellStyle name="Currency 4 5 3" xfId="24342" xr:uid="{00000000-0005-0000-0000-000061210000}"/>
    <cellStyle name="Currency 4 5 3 10" xfId="24343" xr:uid="{00000000-0005-0000-0000-000062210000}"/>
    <cellStyle name="Currency 4 5 3 2" xfId="24344" xr:uid="{00000000-0005-0000-0000-000063210000}"/>
    <cellStyle name="Currency 4 5 3 2 2" xfId="24345" xr:uid="{00000000-0005-0000-0000-000064210000}"/>
    <cellStyle name="Currency 4 5 3 2 2 2" xfId="24346" xr:uid="{00000000-0005-0000-0000-000065210000}"/>
    <cellStyle name="Currency 4 5 3 2 3" xfId="24347" xr:uid="{00000000-0005-0000-0000-000066210000}"/>
    <cellStyle name="Currency 4 5 3 2 3 2" xfId="24348" xr:uid="{00000000-0005-0000-0000-000067210000}"/>
    <cellStyle name="Currency 4 5 3 2 4" xfId="24349" xr:uid="{00000000-0005-0000-0000-000068210000}"/>
    <cellStyle name="Currency 4 5 3 2 4 2" xfId="24350" xr:uid="{00000000-0005-0000-0000-000069210000}"/>
    <cellStyle name="Currency 4 5 3 2 5" xfId="24351" xr:uid="{00000000-0005-0000-0000-00006A210000}"/>
    <cellStyle name="Currency 4 5 3 2 6" xfId="24352" xr:uid="{00000000-0005-0000-0000-00006B210000}"/>
    <cellStyle name="Currency 4 5 3 3" xfId="24353" xr:uid="{00000000-0005-0000-0000-00006C210000}"/>
    <cellStyle name="Currency 4 5 3 3 2" xfId="24354" xr:uid="{00000000-0005-0000-0000-00006D210000}"/>
    <cellStyle name="Currency 4 5 3 3 2 2" xfId="24355" xr:uid="{00000000-0005-0000-0000-00006E210000}"/>
    <cellStyle name="Currency 4 5 3 3 3" xfId="24356" xr:uid="{00000000-0005-0000-0000-00006F210000}"/>
    <cellStyle name="Currency 4 5 3 3 3 2" xfId="24357" xr:uid="{00000000-0005-0000-0000-000070210000}"/>
    <cellStyle name="Currency 4 5 3 3 4" xfId="24358" xr:uid="{00000000-0005-0000-0000-000071210000}"/>
    <cellStyle name="Currency 4 5 3 3 4 2" xfId="24359" xr:uid="{00000000-0005-0000-0000-000072210000}"/>
    <cellStyle name="Currency 4 5 3 3 5" xfId="24360" xr:uid="{00000000-0005-0000-0000-000073210000}"/>
    <cellStyle name="Currency 4 5 3 3 6" xfId="24361" xr:uid="{00000000-0005-0000-0000-000074210000}"/>
    <cellStyle name="Currency 4 5 3 4" xfId="24362" xr:uid="{00000000-0005-0000-0000-000075210000}"/>
    <cellStyle name="Currency 4 5 3 4 2" xfId="24363" xr:uid="{00000000-0005-0000-0000-000076210000}"/>
    <cellStyle name="Currency 4 5 3 4 2 2" xfId="24364" xr:uid="{00000000-0005-0000-0000-000077210000}"/>
    <cellStyle name="Currency 4 5 3 4 3" xfId="24365" xr:uid="{00000000-0005-0000-0000-000078210000}"/>
    <cellStyle name="Currency 4 5 3 4 3 2" xfId="24366" xr:uid="{00000000-0005-0000-0000-000079210000}"/>
    <cellStyle name="Currency 4 5 3 4 4" xfId="24367" xr:uid="{00000000-0005-0000-0000-00007A210000}"/>
    <cellStyle name="Currency 4 5 3 4 4 2" xfId="24368" xr:uid="{00000000-0005-0000-0000-00007B210000}"/>
    <cellStyle name="Currency 4 5 3 4 5" xfId="24369" xr:uid="{00000000-0005-0000-0000-00007C210000}"/>
    <cellStyle name="Currency 4 5 3 4 6" xfId="24370" xr:uid="{00000000-0005-0000-0000-00007D210000}"/>
    <cellStyle name="Currency 4 5 3 5" xfId="24371" xr:uid="{00000000-0005-0000-0000-00007E210000}"/>
    <cellStyle name="Currency 4 5 3 5 2" xfId="24372" xr:uid="{00000000-0005-0000-0000-00007F210000}"/>
    <cellStyle name="Currency 4 5 3 5 2 2" xfId="24373" xr:uid="{00000000-0005-0000-0000-000080210000}"/>
    <cellStyle name="Currency 4 5 3 5 3" xfId="24374" xr:uid="{00000000-0005-0000-0000-000081210000}"/>
    <cellStyle name="Currency 4 5 3 5 3 2" xfId="24375" xr:uid="{00000000-0005-0000-0000-000082210000}"/>
    <cellStyle name="Currency 4 5 3 5 4" xfId="24376" xr:uid="{00000000-0005-0000-0000-000083210000}"/>
    <cellStyle name="Currency 4 5 3 5 5" xfId="24377" xr:uid="{00000000-0005-0000-0000-000084210000}"/>
    <cellStyle name="Currency 4 5 3 6" xfId="24378" xr:uid="{00000000-0005-0000-0000-000085210000}"/>
    <cellStyle name="Currency 4 5 3 6 2" xfId="24379" xr:uid="{00000000-0005-0000-0000-000086210000}"/>
    <cellStyle name="Currency 4 5 3 7" xfId="24380" xr:uid="{00000000-0005-0000-0000-000087210000}"/>
    <cellStyle name="Currency 4 5 3 7 2" xfId="24381" xr:uid="{00000000-0005-0000-0000-000088210000}"/>
    <cellStyle name="Currency 4 5 3 8" xfId="24382" xr:uid="{00000000-0005-0000-0000-000089210000}"/>
    <cellStyle name="Currency 4 5 3 8 2" xfId="24383" xr:uid="{00000000-0005-0000-0000-00008A210000}"/>
    <cellStyle name="Currency 4 5 3 9" xfId="24384" xr:uid="{00000000-0005-0000-0000-00008B210000}"/>
    <cellStyle name="Currency 4 5 4" xfId="24385" xr:uid="{00000000-0005-0000-0000-00008C210000}"/>
    <cellStyle name="Currency 4 5 4 10" xfId="24386" xr:uid="{00000000-0005-0000-0000-00008D210000}"/>
    <cellStyle name="Currency 4 5 4 2" xfId="24387" xr:uid="{00000000-0005-0000-0000-00008E210000}"/>
    <cellStyle name="Currency 4 5 4 2 2" xfId="24388" xr:uid="{00000000-0005-0000-0000-00008F210000}"/>
    <cellStyle name="Currency 4 5 4 2 2 2" xfId="24389" xr:uid="{00000000-0005-0000-0000-000090210000}"/>
    <cellStyle name="Currency 4 5 4 2 3" xfId="24390" xr:uid="{00000000-0005-0000-0000-000091210000}"/>
    <cellStyle name="Currency 4 5 4 2 3 2" xfId="24391" xr:uid="{00000000-0005-0000-0000-000092210000}"/>
    <cellStyle name="Currency 4 5 4 2 4" xfId="24392" xr:uid="{00000000-0005-0000-0000-000093210000}"/>
    <cellStyle name="Currency 4 5 4 2 4 2" xfId="24393" xr:uid="{00000000-0005-0000-0000-000094210000}"/>
    <cellStyle name="Currency 4 5 4 2 5" xfId="24394" xr:uid="{00000000-0005-0000-0000-000095210000}"/>
    <cellStyle name="Currency 4 5 4 2 6" xfId="24395" xr:uid="{00000000-0005-0000-0000-000096210000}"/>
    <cellStyle name="Currency 4 5 4 3" xfId="24396" xr:uid="{00000000-0005-0000-0000-000097210000}"/>
    <cellStyle name="Currency 4 5 4 3 2" xfId="24397" xr:uid="{00000000-0005-0000-0000-000098210000}"/>
    <cellStyle name="Currency 4 5 4 3 2 2" xfId="24398" xr:uid="{00000000-0005-0000-0000-000099210000}"/>
    <cellStyle name="Currency 4 5 4 3 3" xfId="24399" xr:uid="{00000000-0005-0000-0000-00009A210000}"/>
    <cellStyle name="Currency 4 5 4 3 3 2" xfId="24400" xr:uid="{00000000-0005-0000-0000-00009B210000}"/>
    <cellStyle name="Currency 4 5 4 3 4" xfId="24401" xr:uid="{00000000-0005-0000-0000-00009C210000}"/>
    <cellStyle name="Currency 4 5 4 3 4 2" xfId="24402" xr:uid="{00000000-0005-0000-0000-00009D210000}"/>
    <cellStyle name="Currency 4 5 4 3 5" xfId="24403" xr:uid="{00000000-0005-0000-0000-00009E210000}"/>
    <cellStyle name="Currency 4 5 4 3 6" xfId="24404" xr:uid="{00000000-0005-0000-0000-00009F210000}"/>
    <cellStyle name="Currency 4 5 4 4" xfId="24405" xr:uid="{00000000-0005-0000-0000-0000A0210000}"/>
    <cellStyle name="Currency 4 5 4 4 2" xfId="24406" xr:uid="{00000000-0005-0000-0000-0000A1210000}"/>
    <cellStyle name="Currency 4 5 4 4 2 2" xfId="24407" xr:uid="{00000000-0005-0000-0000-0000A2210000}"/>
    <cellStyle name="Currency 4 5 4 4 3" xfId="24408" xr:uid="{00000000-0005-0000-0000-0000A3210000}"/>
    <cellStyle name="Currency 4 5 4 4 3 2" xfId="24409" xr:uid="{00000000-0005-0000-0000-0000A4210000}"/>
    <cellStyle name="Currency 4 5 4 4 4" xfId="24410" xr:uid="{00000000-0005-0000-0000-0000A5210000}"/>
    <cellStyle name="Currency 4 5 4 4 4 2" xfId="24411" xr:uid="{00000000-0005-0000-0000-0000A6210000}"/>
    <cellStyle name="Currency 4 5 4 4 5" xfId="24412" xr:uid="{00000000-0005-0000-0000-0000A7210000}"/>
    <cellStyle name="Currency 4 5 4 4 6" xfId="24413" xr:uid="{00000000-0005-0000-0000-0000A8210000}"/>
    <cellStyle name="Currency 4 5 4 5" xfId="24414" xr:uid="{00000000-0005-0000-0000-0000A9210000}"/>
    <cellStyle name="Currency 4 5 4 5 2" xfId="24415" xr:uid="{00000000-0005-0000-0000-0000AA210000}"/>
    <cellStyle name="Currency 4 5 4 5 2 2" xfId="24416" xr:uid="{00000000-0005-0000-0000-0000AB210000}"/>
    <cellStyle name="Currency 4 5 4 5 3" xfId="24417" xr:uid="{00000000-0005-0000-0000-0000AC210000}"/>
    <cellStyle name="Currency 4 5 4 5 3 2" xfId="24418" xr:uid="{00000000-0005-0000-0000-0000AD210000}"/>
    <cellStyle name="Currency 4 5 4 5 4" xfId="24419" xr:uid="{00000000-0005-0000-0000-0000AE210000}"/>
    <cellStyle name="Currency 4 5 4 5 5" xfId="24420" xr:uid="{00000000-0005-0000-0000-0000AF210000}"/>
    <cellStyle name="Currency 4 5 4 6" xfId="24421" xr:uid="{00000000-0005-0000-0000-0000B0210000}"/>
    <cellStyle name="Currency 4 5 4 6 2" xfId="24422" xr:uid="{00000000-0005-0000-0000-0000B1210000}"/>
    <cellStyle name="Currency 4 5 4 7" xfId="24423" xr:uid="{00000000-0005-0000-0000-0000B2210000}"/>
    <cellStyle name="Currency 4 5 4 7 2" xfId="24424" xr:uid="{00000000-0005-0000-0000-0000B3210000}"/>
    <cellStyle name="Currency 4 5 4 8" xfId="24425" xr:uid="{00000000-0005-0000-0000-0000B4210000}"/>
    <cellStyle name="Currency 4 5 4 8 2" xfId="24426" xr:uid="{00000000-0005-0000-0000-0000B5210000}"/>
    <cellStyle name="Currency 4 5 4 9" xfId="24427" xr:uid="{00000000-0005-0000-0000-0000B6210000}"/>
    <cellStyle name="Currency 4 5 5" xfId="24428" xr:uid="{00000000-0005-0000-0000-0000B7210000}"/>
    <cellStyle name="Currency 4 5 5 2" xfId="24429" xr:uid="{00000000-0005-0000-0000-0000B8210000}"/>
    <cellStyle name="Currency 4 5 5 2 2" xfId="24430" xr:uid="{00000000-0005-0000-0000-0000B9210000}"/>
    <cellStyle name="Currency 4 5 5 3" xfId="24431" xr:uid="{00000000-0005-0000-0000-0000BA210000}"/>
    <cellStyle name="Currency 4 5 5 3 2" xfId="24432" xr:uid="{00000000-0005-0000-0000-0000BB210000}"/>
    <cellStyle name="Currency 4 5 5 4" xfId="24433" xr:uid="{00000000-0005-0000-0000-0000BC210000}"/>
    <cellStyle name="Currency 4 5 5 4 2" xfId="24434" xr:uid="{00000000-0005-0000-0000-0000BD210000}"/>
    <cellStyle name="Currency 4 5 5 5" xfId="24435" xr:uid="{00000000-0005-0000-0000-0000BE210000}"/>
    <cellStyle name="Currency 4 5 5 6" xfId="24436" xr:uid="{00000000-0005-0000-0000-0000BF210000}"/>
    <cellStyle name="Currency 4 5 6" xfId="24437" xr:uid="{00000000-0005-0000-0000-0000C0210000}"/>
    <cellStyle name="Currency 4 5 6 2" xfId="24438" xr:uid="{00000000-0005-0000-0000-0000C1210000}"/>
    <cellStyle name="Currency 4 5 6 2 2" xfId="24439" xr:uid="{00000000-0005-0000-0000-0000C2210000}"/>
    <cellStyle name="Currency 4 5 6 3" xfId="24440" xr:uid="{00000000-0005-0000-0000-0000C3210000}"/>
    <cellStyle name="Currency 4 5 6 3 2" xfId="24441" xr:uid="{00000000-0005-0000-0000-0000C4210000}"/>
    <cellStyle name="Currency 4 5 6 4" xfId="24442" xr:uid="{00000000-0005-0000-0000-0000C5210000}"/>
    <cellStyle name="Currency 4 5 6 4 2" xfId="24443" xr:uid="{00000000-0005-0000-0000-0000C6210000}"/>
    <cellStyle name="Currency 4 5 6 5" xfId="24444" xr:uid="{00000000-0005-0000-0000-0000C7210000}"/>
    <cellStyle name="Currency 4 5 6 6" xfId="24445" xr:uid="{00000000-0005-0000-0000-0000C8210000}"/>
    <cellStyle name="Currency 4 5 7" xfId="24446" xr:uid="{00000000-0005-0000-0000-0000C9210000}"/>
    <cellStyle name="Currency 4 5 7 2" xfId="24447" xr:uid="{00000000-0005-0000-0000-0000CA210000}"/>
    <cellStyle name="Currency 4 5 7 2 2" xfId="24448" xr:uid="{00000000-0005-0000-0000-0000CB210000}"/>
    <cellStyle name="Currency 4 5 7 3" xfId="24449" xr:uid="{00000000-0005-0000-0000-0000CC210000}"/>
    <cellStyle name="Currency 4 5 7 3 2" xfId="24450" xr:uid="{00000000-0005-0000-0000-0000CD210000}"/>
    <cellStyle name="Currency 4 5 7 4" xfId="24451" xr:uid="{00000000-0005-0000-0000-0000CE210000}"/>
    <cellStyle name="Currency 4 5 7 4 2" xfId="24452" xr:uid="{00000000-0005-0000-0000-0000CF210000}"/>
    <cellStyle name="Currency 4 5 7 5" xfId="24453" xr:uid="{00000000-0005-0000-0000-0000D0210000}"/>
    <cellStyle name="Currency 4 5 7 6" xfId="24454" xr:uid="{00000000-0005-0000-0000-0000D1210000}"/>
    <cellStyle name="Currency 4 5 8" xfId="24455" xr:uid="{00000000-0005-0000-0000-0000D2210000}"/>
    <cellStyle name="Currency 4 5 8 2" xfId="24456" xr:uid="{00000000-0005-0000-0000-0000D3210000}"/>
    <cellStyle name="Currency 4 5 8 2 2" xfId="24457" xr:uid="{00000000-0005-0000-0000-0000D4210000}"/>
    <cellStyle name="Currency 4 5 8 3" xfId="24458" xr:uid="{00000000-0005-0000-0000-0000D5210000}"/>
    <cellStyle name="Currency 4 5 8 3 2" xfId="24459" xr:uid="{00000000-0005-0000-0000-0000D6210000}"/>
    <cellStyle name="Currency 4 5 8 4" xfId="24460" xr:uid="{00000000-0005-0000-0000-0000D7210000}"/>
    <cellStyle name="Currency 4 5 8 5" xfId="24461" xr:uid="{00000000-0005-0000-0000-0000D8210000}"/>
    <cellStyle name="Currency 4 5 9" xfId="24462" xr:uid="{00000000-0005-0000-0000-0000D9210000}"/>
    <cellStyle name="Currency 4 5 9 2" xfId="24463" xr:uid="{00000000-0005-0000-0000-0000DA210000}"/>
    <cellStyle name="Currency 4 6" xfId="24464" xr:uid="{00000000-0005-0000-0000-0000DB210000}"/>
    <cellStyle name="Currency 4 6 10" xfId="24465" xr:uid="{00000000-0005-0000-0000-0000DC210000}"/>
    <cellStyle name="Currency 4 6 10 2" xfId="24466" xr:uid="{00000000-0005-0000-0000-0000DD210000}"/>
    <cellStyle name="Currency 4 6 11" xfId="24467" xr:uid="{00000000-0005-0000-0000-0000DE210000}"/>
    <cellStyle name="Currency 4 6 12" xfId="24468" xr:uid="{00000000-0005-0000-0000-0000DF210000}"/>
    <cellStyle name="Currency 4 6 2" xfId="24469" xr:uid="{00000000-0005-0000-0000-0000E0210000}"/>
    <cellStyle name="Currency 4 6 2 10" xfId="24470" xr:uid="{00000000-0005-0000-0000-0000E1210000}"/>
    <cellStyle name="Currency 4 6 2 2" xfId="24471" xr:uid="{00000000-0005-0000-0000-0000E2210000}"/>
    <cellStyle name="Currency 4 6 2 2 2" xfId="24472" xr:uid="{00000000-0005-0000-0000-0000E3210000}"/>
    <cellStyle name="Currency 4 6 2 2 2 2" xfId="24473" xr:uid="{00000000-0005-0000-0000-0000E4210000}"/>
    <cellStyle name="Currency 4 6 2 2 3" xfId="24474" xr:uid="{00000000-0005-0000-0000-0000E5210000}"/>
    <cellStyle name="Currency 4 6 2 2 3 2" xfId="24475" xr:uid="{00000000-0005-0000-0000-0000E6210000}"/>
    <cellStyle name="Currency 4 6 2 2 4" xfId="24476" xr:uid="{00000000-0005-0000-0000-0000E7210000}"/>
    <cellStyle name="Currency 4 6 2 2 4 2" xfId="24477" xr:uid="{00000000-0005-0000-0000-0000E8210000}"/>
    <cellStyle name="Currency 4 6 2 2 5" xfId="24478" xr:uid="{00000000-0005-0000-0000-0000E9210000}"/>
    <cellStyle name="Currency 4 6 2 2 6" xfId="24479" xr:uid="{00000000-0005-0000-0000-0000EA210000}"/>
    <cellStyle name="Currency 4 6 2 3" xfId="24480" xr:uid="{00000000-0005-0000-0000-0000EB210000}"/>
    <cellStyle name="Currency 4 6 2 3 2" xfId="24481" xr:uid="{00000000-0005-0000-0000-0000EC210000}"/>
    <cellStyle name="Currency 4 6 2 3 2 2" xfId="24482" xr:uid="{00000000-0005-0000-0000-0000ED210000}"/>
    <cellStyle name="Currency 4 6 2 3 3" xfId="24483" xr:uid="{00000000-0005-0000-0000-0000EE210000}"/>
    <cellStyle name="Currency 4 6 2 3 3 2" xfId="24484" xr:uid="{00000000-0005-0000-0000-0000EF210000}"/>
    <cellStyle name="Currency 4 6 2 3 4" xfId="24485" xr:uid="{00000000-0005-0000-0000-0000F0210000}"/>
    <cellStyle name="Currency 4 6 2 3 4 2" xfId="24486" xr:uid="{00000000-0005-0000-0000-0000F1210000}"/>
    <cellStyle name="Currency 4 6 2 3 5" xfId="24487" xr:uid="{00000000-0005-0000-0000-0000F2210000}"/>
    <cellStyle name="Currency 4 6 2 3 6" xfId="24488" xr:uid="{00000000-0005-0000-0000-0000F3210000}"/>
    <cellStyle name="Currency 4 6 2 4" xfId="24489" xr:uid="{00000000-0005-0000-0000-0000F4210000}"/>
    <cellStyle name="Currency 4 6 2 4 2" xfId="24490" xr:uid="{00000000-0005-0000-0000-0000F5210000}"/>
    <cellStyle name="Currency 4 6 2 4 2 2" xfId="24491" xr:uid="{00000000-0005-0000-0000-0000F6210000}"/>
    <cellStyle name="Currency 4 6 2 4 3" xfId="24492" xr:uid="{00000000-0005-0000-0000-0000F7210000}"/>
    <cellStyle name="Currency 4 6 2 4 3 2" xfId="24493" xr:uid="{00000000-0005-0000-0000-0000F8210000}"/>
    <cellStyle name="Currency 4 6 2 4 4" xfId="24494" xr:uid="{00000000-0005-0000-0000-0000F9210000}"/>
    <cellStyle name="Currency 4 6 2 4 4 2" xfId="24495" xr:uid="{00000000-0005-0000-0000-0000FA210000}"/>
    <cellStyle name="Currency 4 6 2 4 5" xfId="24496" xr:uid="{00000000-0005-0000-0000-0000FB210000}"/>
    <cellStyle name="Currency 4 6 2 4 6" xfId="24497" xr:uid="{00000000-0005-0000-0000-0000FC210000}"/>
    <cellStyle name="Currency 4 6 2 5" xfId="24498" xr:uid="{00000000-0005-0000-0000-0000FD210000}"/>
    <cellStyle name="Currency 4 6 2 5 2" xfId="24499" xr:uid="{00000000-0005-0000-0000-0000FE210000}"/>
    <cellStyle name="Currency 4 6 2 5 2 2" xfId="24500" xr:uid="{00000000-0005-0000-0000-0000FF210000}"/>
    <cellStyle name="Currency 4 6 2 5 3" xfId="24501" xr:uid="{00000000-0005-0000-0000-000000220000}"/>
    <cellStyle name="Currency 4 6 2 5 3 2" xfId="24502" xr:uid="{00000000-0005-0000-0000-000001220000}"/>
    <cellStyle name="Currency 4 6 2 5 4" xfId="24503" xr:uid="{00000000-0005-0000-0000-000002220000}"/>
    <cellStyle name="Currency 4 6 2 5 5" xfId="24504" xr:uid="{00000000-0005-0000-0000-000003220000}"/>
    <cellStyle name="Currency 4 6 2 6" xfId="24505" xr:uid="{00000000-0005-0000-0000-000004220000}"/>
    <cellStyle name="Currency 4 6 2 6 2" xfId="24506" xr:uid="{00000000-0005-0000-0000-000005220000}"/>
    <cellStyle name="Currency 4 6 2 7" xfId="24507" xr:uid="{00000000-0005-0000-0000-000006220000}"/>
    <cellStyle name="Currency 4 6 2 7 2" xfId="24508" xr:uid="{00000000-0005-0000-0000-000007220000}"/>
    <cellStyle name="Currency 4 6 2 8" xfId="24509" xr:uid="{00000000-0005-0000-0000-000008220000}"/>
    <cellStyle name="Currency 4 6 2 8 2" xfId="24510" xr:uid="{00000000-0005-0000-0000-000009220000}"/>
    <cellStyle name="Currency 4 6 2 9" xfId="24511" xr:uid="{00000000-0005-0000-0000-00000A220000}"/>
    <cellStyle name="Currency 4 6 3" xfId="24512" xr:uid="{00000000-0005-0000-0000-00000B220000}"/>
    <cellStyle name="Currency 4 6 3 10" xfId="24513" xr:uid="{00000000-0005-0000-0000-00000C220000}"/>
    <cellStyle name="Currency 4 6 3 2" xfId="24514" xr:uid="{00000000-0005-0000-0000-00000D220000}"/>
    <cellStyle name="Currency 4 6 3 2 2" xfId="24515" xr:uid="{00000000-0005-0000-0000-00000E220000}"/>
    <cellStyle name="Currency 4 6 3 2 2 2" xfId="24516" xr:uid="{00000000-0005-0000-0000-00000F220000}"/>
    <cellStyle name="Currency 4 6 3 2 3" xfId="24517" xr:uid="{00000000-0005-0000-0000-000010220000}"/>
    <cellStyle name="Currency 4 6 3 2 3 2" xfId="24518" xr:uid="{00000000-0005-0000-0000-000011220000}"/>
    <cellStyle name="Currency 4 6 3 2 4" xfId="24519" xr:uid="{00000000-0005-0000-0000-000012220000}"/>
    <cellStyle name="Currency 4 6 3 2 4 2" xfId="24520" xr:uid="{00000000-0005-0000-0000-000013220000}"/>
    <cellStyle name="Currency 4 6 3 2 5" xfId="24521" xr:uid="{00000000-0005-0000-0000-000014220000}"/>
    <cellStyle name="Currency 4 6 3 2 6" xfId="24522" xr:uid="{00000000-0005-0000-0000-000015220000}"/>
    <cellStyle name="Currency 4 6 3 3" xfId="24523" xr:uid="{00000000-0005-0000-0000-000016220000}"/>
    <cellStyle name="Currency 4 6 3 3 2" xfId="24524" xr:uid="{00000000-0005-0000-0000-000017220000}"/>
    <cellStyle name="Currency 4 6 3 3 2 2" xfId="24525" xr:uid="{00000000-0005-0000-0000-000018220000}"/>
    <cellStyle name="Currency 4 6 3 3 3" xfId="24526" xr:uid="{00000000-0005-0000-0000-000019220000}"/>
    <cellStyle name="Currency 4 6 3 3 3 2" xfId="24527" xr:uid="{00000000-0005-0000-0000-00001A220000}"/>
    <cellStyle name="Currency 4 6 3 3 4" xfId="24528" xr:uid="{00000000-0005-0000-0000-00001B220000}"/>
    <cellStyle name="Currency 4 6 3 3 4 2" xfId="24529" xr:uid="{00000000-0005-0000-0000-00001C220000}"/>
    <cellStyle name="Currency 4 6 3 3 5" xfId="24530" xr:uid="{00000000-0005-0000-0000-00001D220000}"/>
    <cellStyle name="Currency 4 6 3 3 6" xfId="24531" xr:uid="{00000000-0005-0000-0000-00001E220000}"/>
    <cellStyle name="Currency 4 6 3 4" xfId="24532" xr:uid="{00000000-0005-0000-0000-00001F220000}"/>
    <cellStyle name="Currency 4 6 3 4 2" xfId="24533" xr:uid="{00000000-0005-0000-0000-000020220000}"/>
    <cellStyle name="Currency 4 6 3 4 2 2" xfId="24534" xr:uid="{00000000-0005-0000-0000-000021220000}"/>
    <cellStyle name="Currency 4 6 3 4 3" xfId="24535" xr:uid="{00000000-0005-0000-0000-000022220000}"/>
    <cellStyle name="Currency 4 6 3 4 3 2" xfId="24536" xr:uid="{00000000-0005-0000-0000-000023220000}"/>
    <cellStyle name="Currency 4 6 3 4 4" xfId="24537" xr:uid="{00000000-0005-0000-0000-000024220000}"/>
    <cellStyle name="Currency 4 6 3 4 4 2" xfId="24538" xr:uid="{00000000-0005-0000-0000-000025220000}"/>
    <cellStyle name="Currency 4 6 3 4 5" xfId="24539" xr:uid="{00000000-0005-0000-0000-000026220000}"/>
    <cellStyle name="Currency 4 6 3 4 6" xfId="24540" xr:uid="{00000000-0005-0000-0000-000027220000}"/>
    <cellStyle name="Currency 4 6 3 5" xfId="24541" xr:uid="{00000000-0005-0000-0000-000028220000}"/>
    <cellStyle name="Currency 4 6 3 5 2" xfId="24542" xr:uid="{00000000-0005-0000-0000-000029220000}"/>
    <cellStyle name="Currency 4 6 3 5 2 2" xfId="24543" xr:uid="{00000000-0005-0000-0000-00002A220000}"/>
    <cellStyle name="Currency 4 6 3 5 3" xfId="24544" xr:uid="{00000000-0005-0000-0000-00002B220000}"/>
    <cellStyle name="Currency 4 6 3 5 3 2" xfId="24545" xr:uid="{00000000-0005-0000-0000-00002C220000}"/>
    <cellStyle name="Currency 4 6 3 5 4" xfId="24546" xr:uid="{00000000-0005-0000-0000-00002D220000}"/>
    <cellStyle name="Currency 4 6 3 5 5" xfId="24547" xr:uid="{00000000-0005-0000-0000-00002E220000}"/>
    <cellStyle name="Currency 4 6 3 6" xfId="24548" xr:uid="{00000000-0005-0000-0000-00002F220000}"/>
    <cellStyle name="Currency 4 6 3 6 2" xfId="24549" xr:uid="{00000000-0005-0000-0000-000030220000}"/>
    <cellStyle name="Currency 4 6 3 7" xfId="24550" xr:uid="{00000000-0005-0000-0000-000031220000}"/>
    <cellStyle name="Currency 4 6 3 7 2" xfId="24551" xr:uid="{00000000-0005-0000-0000-000032220000}"/>
    <cellStyle name="Currency 4 6 3 8" xfId="24552" xr:uid="{00000000-0005-0000-0000-000033220000}"/>
    <cellStyle name="Currency 4 6 3 8 2" xfId="24553" xr:uid="{00000000-0005-0000-0000-000034220000}"/>
    <cellStyle name="Currency 4 6 3 9" xfId="24554" xr:uid="{00000000-0005-0000-0000-000035220000}"/>
    <cellStyle name="Currency 4 6 4" xfId="24555" xr:uid="{00000000-0005-0000-0000-000036220000}"/>
    <cellStyle name="Currency 4 6 4 2" xfId="24556" xr:uid="{00000000-0005-0000-0000-000037220000}"/>
    <cellStyle name="Currency 4 6 4 2 2" xfId="24557" xr:uid="{00000000-0005-0000-0000-000038220000}"/>
    <cellStyle name="Currency 4 6 4 3" xfId="24558" xr:uid="{00000000-0005-0000-0000-000039220000}"/>
    <cellStyle name="Currency 4 6 4 3 2" xfId="24559" xr:uid="{00000000-0005-0000-0000-00003A220000}"/>
    <cellStyle name="Currency 4 6 4 4" xfId="24560" xr:uid="{00000000-0005-0000-0000-00003B220000}"/>
    <cellStyle name="Currency 4 6 4 4 2" xfId="24561" xr:uid="{00000000-0005-0000-0000-00003C220000}"/>
    <cellStyle name="Currency 4 6 4 5" xfId="24562" xr:uid="{00000000-0005-0000-0000-00003D220000}"/>
    <cellStyle name="Currency 4 6 4 6" xfId="24563" xr:uid="{00000000-0005-0000-0000-00003E220000}"/>
    <cellStyle name="Currency 4 6 5" xfId="24564" xr:uid="{00000000-0005-0000-0000-00003F220000}"/>
    <cellStyle name="Currency 4 6 5 2" xfId="24565" xr:uid="{00000000-0005-0000-0000-000040220000}"/>
    <cellStyle name="Currency 4 6 5 2 2" xfId="24566" xr:uid="{00000000-0005-0000-0000-000041220000}"/>
    <cellStyle name="Currency 4 6 5 3" xfId="24567" xr:uid="{00000000-0005-0000-0000-000042220000}"/>
    <cellStyle name="Currency 4 6 5 3 2" xfId="24568" xr:uid="{00000000-0005-0000-0000-000043220000}"/>
    <cellStyle name="Currency 4 6 5 4" xfId="24569" xr:uid="{00000000-0005-0000-0000-000044220000}"/>
    <cellStyle name="Currency 4 6 5 4 2" xfId="24570" xr:uid="{00000000-0005-0000-0000-000045220000}"/>
    <cellStyle name="Currency 4 6 5 5" xfId="24571" xr:uid="{00000000-0005-0000-0000-000046220000}"/>
    <cellStyle name="Currency 4 6 5 6" xfId="24572" xr:uid="{00000000-0005-0000-0000-000047220000}"/>
    <cellStyle name="Currency 4 6 6" xfId="24573" xr:uid="{00000000-0005-0000-0000-000048220000}"/>
    <cellStyle name="Currency 4 6 6 2" xfId="24574" xr:uid="{00000000-0005-0000-0000-000049220000}"/>
    <cellStyle name="Currency 4 6 6 2 2" xfId="24575" xr:uid="{00000000-0005-0000-0000-00004A220000}"/>
    <cellStyle name="Currency 4 6 6 3" xfId="24576" xr:uid="{00000000-0005-0000-0000-00004B220000}"/>
    <cellStyle name="Currency 4 6 6 3 2" xfId="24577" xr:uid="{00000000-0005-0000-0000-00004C220000}"/>
    <cellStyle name="Currency 4 6 6 4" xfId="24578" xr:uid="{00000000-0005-0000-0000-00004D220000}"/>
    <cellStyle name="Currency 4 6 6 4 2" xfId="24579" xr:uid="{00000000-0005-0000-0000-00004E220000}"/>
    <cellStyle name="Currency 4 6 6 5" xfId="24580" xr:uid="{00000000-0005-0000-0000-00004F220000}"/>
    <cellStyle name="Currency 4 6 6 6" xfId="24581" xr:uid="{00000000-0005-0000-0000-000050220000}"/>
    <cellStyle name="Currency 4 6 7" xfId="24582" xr:uid="{00000000-0005-0000-0000-000051220000}"/>
    <cellStyle name="Currency 4 6 7 2" xfId="24583" xr:uid="{00000000-0005-0000-0000-000052220000}"/>
    <cellStyle name="Currency 4 6 7 2 2" xfId="24584" xr:uid="{00000000-0005-0000-0000-000053220000}"/>
    <cellStyle name="Currency 4 6 7 3" xfId="24585" xr:uid="{00000000-0005-0000-0000-000054220000}"/>
    <cellStyle name="Currency 4 6 7 3 2" xfId="24586" xr:uid="{00000000-0005-0000-0000-000055220000}"/>
    <cellStyle name="Currency 4 6 7 4" xfId="24587" xr:uid="{00000000-0005-0000-0000-000056220000}"/>
    <cellStyle name="Currency 4 6 7 5" xfId="24588" xr:uid="{00000000-0005-0000-0000-000057220000}"/>
    <cellStyle name="Currency 4 6 8" xfId="24589" xr:uid="{00000000-0005-0000-0000-000058220000}"/>
    <cellStyle name="Currency 4 6 8 2" xfId="24590" xr:uid="{00000000-0005-0000-0000-000059220000}"/>
    <cellStyle name="Currency 4 6 9" xfId="24591" xr:uid="{00000000-0005-0000-0000-00005A220000}"/>
    <cellStyle name="Currency 4 6 9 2" xfId="24592" xr:uid="{00000000-0005-0000-0000-00005B220000}"/>
    <cellStyle name="Currency 4 7" xfId="24593" xr:uid="{00000000-0005-0000-0000-00005C220000}"/>
    <cellStyle name="Currency 4 7 10" xfId="24594" xr:uid="{00000000-0005-0000-0000-00005D220000}"/>
    <cellStyle name="Currency 4 7 11" xfId="24595" xr:uid="{00000000-0005-0000-0000-00005E220000}"/>
    <cellStyle name="Currency 4 7 2" xfId="24596" xr:uid="{00000000-0005-0000-0000-00005F220000}"/>
    <cellStyle name="Currency 4 7 2 2" xfId="24597" xr:uid="{00000000-0005-0000-0000-000060220000}"/>
    <cellStyle name="Currency 4 7 2 2 2" xfId="24598" xr:uid="{00000000-0005-0000-0000-000061220000}"/>
    <cellStyle name="Currency 4 7 2 3" xfId="24599" xr:uid="{00000000-0005-0000-0000-000062220000}"/>
    <cellStyle name="Currency 4 7 2 3 2" xfId="24600" xr:uid="{00000000-0005-0000-0000-000063220000}"/>
    <cellStyle name="Currency 4 7 2 4" xfId="24601" xr:uid="{00000000-0005-0000-0000-000064220000}"/>
    <cellStyle name="Currency 4 7 2 4 2" xfId="24602" xr:uid="{00000000-0005-0000-0000-000065220000}"/>
    <cellStyle name="Currency 4 7 2 5" xfId="24603" xr:uid="{00000000-0005-0000-0000-000066220000}"/>
    <cellStyle name="Currency 4 7 2 6" xfId="24604" xr:uid="{00000000-0005-0000-0000-000067220000}"/>
    <cellStyle name="Currency 4 7 3" xfId="24605" xr:uid="{00000000-0005-0000-0000-000068220000}"/>
    <cellStyle name="Currency 4 7 3 2" xfId="24606" xr:uid="{00000000-0005-0000-0000-000069220000}"/>
    <cellStyle name="Currency 4 7 3 2 2" xfId="24607" xr:uid="{00000000-0005-0000-0000-00006A220000}"/>
    <cellStyle name="Currency 4 7 3 3" xfId="24608" xr:uid="{00000000-0005-0000-0000-00006B220000}"/>
    <cellStyle name="Currency 4 7 3 3 2" xfId="24609" xr:uid="{00000000-0005-0000-0000-00006C220000}"/>
    <cellStyle name="Currency 4 7 3 4" xfId="24610" xr:uid="{00000000-0005-0000-0000-00006D220000}"/>
    <cellStyle name="Currency 4 7 3 4 2" xfId="24611" xr:uid="{00000000-0005-0000-0000-00006E220000}"/>
    <cellStyle name="Currency 4 7 3 5" xfId="24612" xr:uid="{00000000-0005-0000-0000-00006F220000}"/>
    <cellStyle name="Currency 4 7 3 6" xfId="24613" xr:uid="{00000000-0005-0000-0000-000070220000}"/>
    <cellStyle name="Currency 4 7 4" xfId="24614" xr:uid="{00000000-0005-0000-0000-000071220000}"/>
    <cellStyle name="Currency 4 7 4 2" xfId="24615" xr:uid="{00000000-0005-0000-0000-000072220000}"/>
    <cellStyle name="Currency 4 7 4 2 2" xfId="24616" xr:uid="{00000000-0005-0000-0000-000073220000}"/>
    <cellStyle name="Currency 4 7 4 3" xfId="24617" xr:uid="{00000000-0005-0000-0000-000074220000}"/>
    <cellStyle name="Currency 4 7 4 3 2" xfId="24618" xr:uid="{00000000-0005-0000-0000-000075220000}"/>
    <cellStyle name="Currency 4 7 4 4" xfId="24619" xr:uid="{00000000-0005-0000-0000-000076220000}"/>
    <cellStyle name="Currency 4 7 4 4 2" xfId="24620" xr:uid="{00000000-0005-0000-0000-000077220000}"/>
    <cellStyle name="Currency 4 7 4 5" xfId="24621" xr:uid="{00000000-0005-0000-0000-000078220000}"/>
    <cellStyle name="Currency 4 7 4 6" xfId="24622" xr:uid="{00000000-0005-0000-0000-000079220000}"/>
    <cellStyle name="Currency 4 7 5" xfId="24623" xr:uid="{00000000-0005-0000-0000-00007A220000}"/>
    <cellStyle name="Currency 4 7 5 2" xfId="24624" xr:uid="{00000000-0005-0000-0000-00007B220000}"/>
    <cellStyle name="Currency 4 7 5 2 2" xfId="24625" xr:uid="{00000000-0005-0000-0000-00007C220000}"/>
    <cellStyle name="Currency 4 7 5 3" xfId="24626" xr:uid="{00000000-0005-0000-0000-00007D220000}"/>
    <cellStyle name="Currency 4 7 5 3 2" xfId="24627" xr:uid="{00000000-0005-0000-0000-00007E220000}"/>
    <cellStyle name="Currency 4 7 5 4" xfId="24628" xr:uid="{00000000-0005-0000-0000-00007F220000}"/>
    <cellStyle name="Currency 4 7 5 4 2" xfId="24629" xr:uid="{00000000-0005-0000-0000-000080220000}"/>
    <cellStyle name="Currency 4 7 5 5" xfId="24630" xr:uid="{00000000-0005-0000-0000-000081220000}"/>
    <cellStyle name="Currency 4 7 5 6" xfId="24631" xr:uid="{00000000-0005-0000-0000-000082220000}"/>
    <cellStyle name="Currency 4 7 6" xfId="24632" xr:uid="{00000000-0005-0000-0000-000083220000}"/>
    <cellStyle name="Currency 4 7 6 2" xfId="24633" xr:uid="{00000000-0005-0000-0000-000084220000}"/>
    <cellStyle name="Currency 4 7 6 2 2" xfId="24634" xr:uid="{00000000-0005-0000-0000-000085220000}"/>
    <cellStyle name="Currency 4 7 6 3" xfId="24635" xr:uid="{00000000-0005-0000-0000-000086220000}"/>
    <cellStyle name="Currency 4 7 6 3 2" xfId="24636" xr:uid="{00000000-0005-0000-0000-000087220000}"/>
    <cellStyle name="Currency 4 7 6 4" xfId="24637" xr:uid="{00000000-0005-0000-0000-000088220000}"/>
    <cellStyle name="Currency 4 7 6 5" xfId="24638" xr:uid="{00000000-0005-0000-0000-000089220000}"/>
    <cellStyle name="Currency 4 7 7" xfId="24639" xr:uid="{00000000-0005-0000-0000-00008A220000}"/>
    <cellStyle name="Currency 4 7 7 2" xfId="24640" xr:uid="{00000000-0005-0000-0000-00008B220000}"/>
    <cellStyle name="Currency 4 7 8" xfId="24641" xr:uid="{00000000-0005-0000-0000-00008C220000}"/>
    <cellStyle name="Currency 4 7 8 2" xfId="24642" xr:uid="{00000000-0005-0000-0000-00008D220000}"/>
    <cellStyle name="Currency 4 7 9" xfId="24643" xr:uid="{00000000-0005-0000-0000-00008E220000}"/>
    <cellStyle name="Currency 4 7 9 2" xfId="24644" xr:uid="{00000000-0005-0000-0000-00008F220000}"/>
    <cellStyle name="Currency 4 8" xfId="24645" xr:uid="{00000000-0005-0000-0000-000090220000}"/>
    <cellStyle name="Currency 4 8 10" xfId="24646" xr:uid="{00000000-0005-0000-0000-000091220000}"/>
    <cellStyle name="Currency 4 8 2" xfId="24647" xr:uid="{00000000-0005-0000-0000-000092220000}"/>
    <cellStyle name="Currency 4 8 2 2" xfId="24648" xr:uid="{00000000-0005-0000-0000-000093220000}"/>
    <cellStyle name="Currency 4 8 2 2 2" xfId="24649" xr:uid="{00000000-0005-0000-0000-000094220000}"/>
    <cellStyle name="Currency 4 8 2 3" xfId="24650" xr:uid="{00000000-0005-0000-0000-000095220000}"/>
    <cellStyle name="Currency 4 8 2 3 2" xfId="24651" xr:uid="{00000000-0005-0000-0000-000096220000}"/>
    <cellStyle name="Currency 4 8 2 4" xfId="24652" xr:uid="{00000000-0005-0000-0000-000097220000}"/>
    <cellStyle name="Currency 4 8 2 4 2" xfId="24653" xr:uid="{00000000-0005-0000-0000-000098220000}"/>
    <cellStyle name="Currency 4 8 2 5" xfId="24654" xr:uid="{00000000-0005-0000-0000-000099220000}"/>
    <cellStyle name="Currency 4 8 2 6" xfId="24655" xr:uid="{00000000-0005-0000-0000-00009A220000}"/>
    <cellStyle name="Currency 4 8 3" xfId="24656" xr:uid="{00000000-0005-0000-0000-00009B220000}"/>
    <cellStyle name="Currency 4 8 3 2" xfId="24657" xr:uid="{00000000-0005-0000-0000-00009C220000}"/>
    <cellStyle name="Currency 4 8 3 2 2" xfId="24658" xr:uid="{00000000-0005-0000-0000-00009D220000}"/>
    <cellStyle name="Currency 4 8 3 3" xfId="24659" xr:uid="{00000000-0005-0000-0000-00009E220000}"/>
    <cellStyle name="Currency 4 8 3 3 2" xfId="24660" xr:uid="{00000000-0005-0000-0000-00009F220000}"/>
    <cellStyle name="Currency 4 8 3 4" xfId="24661" xr:uid="{00000000-0005-0000-0000-0000A0220000}"/>
    <cellStyle name="Currency 4 8 3 4 2" xfId="24662" xr:uid="{00000000-0005-0000-0000-0000A1220000}"/>
    <cellStyle name="Currency 4 8 3 5" xfId="24663" xr:uid="{00000000-0005-0000-0000-0000A2220000}"/>
    <cellStyle name="Currency 4 8 3 6" xfId="24664" xr:uid="{00000000-0005-0000-0000-0000A3220000}"/>
    <cellStyle name="Currency 4 8 4" xfId="24665" xr:uid="{00000000-0005-0000-0000-0000A4220000}"/>
    <cellStyle name="Currency 4 8 4 2" xfId="24666" xr:uid="{00000000-0005-0000-0000-0000A5220000}"/>
    <cellStyle name="Currency 4 8 4 2 2" xfId="24667" xr:uid="{00000000-0005-0000-0000-0000A6220000}"/>
    <cellStyle name="Currency 4 8 4 3" xfId="24668" xr:uid="{00000000-0005-0000-0000-0000A7220000}"/>
    <cellStyle name="Currency 4 8 4 3 2" xfId="24669" xr:uid="{00000000-0005-0000-0000-0000A8220000}"/>
    <cellStyle name="Currency 4 8 4 4" xfId="24670" xr:uid="{00000000-0005-0000-0000-0000A9220000}"/>
    <cellStyle name="Currency 4 8 4 4 2" xfId="24671" xr:uid="{00000000-0005-0000-0000-0000AA220000}"/>
    <cellStyle name="Currency 4 8 4 5" xfId="24672" xr:uid="{00000000-0005-0000-0000-0000AB220000}"/>
    <cellStyle name="Currency 4 8 4 6" xfId="24673" xr:uid="{00000000-0005-0000-0000-0000AC220000}"/>
    <cellStyle name="Currency 4 8 5" xfId="24674" xr:uid="{00000000-0005-0000-0000-0000AD220000}"/>
    <cellStyle name="Currency 4 8 5 2" xfId="24675" xr:uid="{00000000-0005-0000-0000-0000AE220000}"/>
    <cellStyle name="Currency 4 8 5 2 2" xfId="24676" xr:uid="{00000000-0005-0000-0000-0000AF220000}"/>
    <cellStyle name="Currency 4 8 5 3" xfId="24677" xr:uid="{00000000-0005-0000-0000-0000B0220000}"/>
    <cellStyle name="Currency 4 8 5 3 2" xfId="24678" xr:uid="{00000000-0005-0000-0000-0000B1220000}"/>
    <cellStyle name="Currency 4 8 5 4" xfId="24679" xr:uid="{00000000-0005-0000-0000-0000B2220000}"/>
    <cellStyle name="Currency 4 8 5 5" xfId="24680" xr:uid="{00000000-0005-0000-0000-0000B3220000}"/>
    <cellStyle name="Currency 4 8 6" xfId="24681" xr:uid="{00000000-0005-0000-0000-0000B4220000}"/>
    <cellStyle name="Currency 4 8 6 2" xfId="24682" xr:uid="{00000000-0005-0000-0000-0000B5220000}"/>
    <cellStyle name="Currency 4 8 7" xfId="24683" xr:uid="{00000000-0005-0000-0000-0000B6220000}"/>
    <cellStyle name="Currency 4 8 7 2" xfId="24684" xr:uid="{00000000-0005-0000-0000-0000B7220000}"/>
    <cellStyle name="Currency 4 8 8" xfId="24685" xr:uid="{00000000-0005-0000-0000-0000B8220000}"/>
    <cellStyle name="Currency 4 8 8 2" xfId="24686" xr:uid="{00000000-0005-0000-0000-0000B9220000}"/>
    <cellStyle name="Currency 4 8 9" xfId="24687" xr:uid="{00000000-0005-0000-0000-0000BA220000}"/>
    <cellStyle name="Currency 4 9" xfId="24688" xr:uid="{00000000-0005-0000-0000-0000BB220000}"/>
    <cellStyle name="Currency 4 9 10" xfId="24689" xr:uid="{00000000-0005-0000-0000-0000BC220000}"/>
    <cellStyle name="Currency 4 9 2" xfId="24690" xr:uid="{00000000-0005-0000-0000-0000BD220000}"/>
    <cellStyle name="Currency 4 9 2 2" xfId="24691" xr:uid="{00000000-0005-0000-0000-0000BE220000}"/>
    <cellStyle name="Currency 4 9 2 2 2" xfId="24692" xr:uid="{00000000-0005-0000-0000-0000BF220000}"/>
    <cellStyle name="Currency 4 9 2 3" xfId="24693" xr:uid="{00000000-0005-0000-0000-0000C0220000}"/>
    <cellStyle name="Currency 4 9 2 3 2" xfId="24694" xr:uid="{00000000-0005-0000-0000-0000C1220000}"/>
    <cellStyle name="Currency 4 9 2 4" xfId="24695" xr:uid="{00000000-0005-0000-0000-0000C2220000}"/>
    <cellStyle name="Currency 4 9 2 4 2" xfId="24696" xr:uid="{00000000-0005-0000-0000-0000C3220000}"/>
    <cellStyle name="Currency 4 9 2 5" xfId="24697" xr:uid="{00000000-0005-0000-0000-0000C4220000}"/>
    <cellStyle name="Currency 4 9 2 6" xfId="24698" xr:uid="{00000000-0005-0000-0000-0000C5220000}"/>
    <cellStyle name="Currency 4 9 3" xfId="24699" xr:uid="{00000000-0005-0000-0000-0000C6220000}"/>
    <cellStyle name="Currency 4 9 3 2" xfId="24700" xr:uid="{00000000-0005-0000-0000-0000C7220000}"/>
    <cellStyle name="Currency 4 9 3 2 2" xfId="24701" xr:uid="{00000000-0005-0000-0000-0000C8220000}"/>
    <cellStyle name="Currency 4 9 3 3" xfId="24702" xr:uid="{00000000-0005-0000-0000-0000C9220000}"/>
    <cellStyle name="Currency 4 9 3 3 2" xfId="24703" xr:uid="{00000000-0005-0000-0000-0000CA220000}"/>
    <cellStyle name="Currency 4 9 3 4" xfId="24704" xr:uid="{00000000-0005-0000-0000-0000CB220000}"/>
    <cellStyle name="Currency 4 9 3 4 2" xfId="24705" xr:uid="{00000000-0005-0000-0000-0000CC220000}"/>
    <cellStyle name="Currency 4 9 3 5" xfId="24706" xr:uid="{00000000-0005-0000-0000-0000CD220000}"/>
    <cellStyle name="Currency 4 9 3 6" xfId="24707" xr:uid="{00000000-0005-0000-0000-0000CE220000}"/>
    <cellStyle name="Currency 4 9 4" xfId="24708" xr:uid="{00000000-0005-0000-0000-0000CF220000}"/>
    <cellStyle name="Currency 4 9 4 2" xfId="24709" xr:uid="{00000000-0005-0000-0000-0000D0220000}"/>
    <cellStyle name="Currency 4 9 4 2 2" xfId="24710" xr:uid="{00000000-0005-0000-0000-0000D1220000}"/>
    <cellStyle name="Currency 4 9 4 3" xfId="24711" xr:uid="{00000000-0005-0000-0000-0000D2220000}"/>
    <cellStyle name="Currency 4 9 4 3 2" xfId="24712" xr:uid="{00000000-0005-0000-0000-0000D3220000}"/>
    <cellStyle name="Currency 4 9 4 4" xfId="24713" xr:uid="{00000000-0005-0000-0000-0000D4220000}"/>
    <cellStyle name="Currency 4 9 4 4 2" xfId="24714" xr:uid="{00000000-0005-0000-0000-0000D5220000}"/>
    <cellStyle name="Currency 4 9 4 5" xfId="24715" xr:uid="{00000000-0005-0000-0000-0000D6220000}"/>
    <cellStyle name="Currency 4 9 4 6" xfId="24716" xr:uid="{00000000-0005-0000-0000-0000D7220000}"/>
    <cellStyle name="Currency 4 9 5" xfId="24717" xr:uid="{00000000-0005-0000-0000-0000D8220000}"/>
    <cellStyle name="Currency 4 9 5 2" xfId="24718" xr:uid="{00000000-0005-0000-0000-0000D9220000}"/>
    <cellStyle name="Currency 4 9 5 2 2" xfId="24719" xr:uid="{00000000-0005-0000-0000-0000DA220000}"/>
    <cellStyle name="Currency 4 9 5 3" xfId="24720" xr:uid="{00000000-0005-0000-0000-0000DB220000}"/>
    <cellStyle name="Currency 4 9 5 3 2" xfId="24721" xr:uid="{00000000-0005-0000-0000-0000DC220000}"/>
    <cellStyle name="Currency 4 9 5 4" xfId="24722" xr:uid="{00000000-0005-0000-0000-0000DD220000}"/>
    <cellStyle name="Currency 4 9 5 5" xfId="24723" xr:uid="{00000000-0005-0000-0000-0000DE220000}"/>
    <cellStyle name="Currency 4 9 6" xfId="24724" xr:uid="{00000000-0005-0000-0000-0000DF220000}"/>
    <cellStyle name="Currency 4 9 6 2" xfId="24725" xr:uid="{00000000-0005-0000-0000-0000E0220000}"/>
    <cellStyle name="Currency 4 9 7" xfId="24726" xr:uid="{00000000-0005-0000-0000-0000E1220000}"/>
    <cellStyle name="Currency 4 9 7 2" xfId="24727" xr:uid="{00000000-0005-0000-0000-0000E2220000}"/>
    <cellStyle name="Currency 4 9 8" xfId="24728" xr:uid="{00000000-0005-0000-0000-0000E3220000}"/>
    <cellStyle name="Currency 4 9 8 2" xfId="24729" xr:uid="{00000000-0005-0000-0000-0000E4220000}"/>
    <cellStyle name="Currency 4 9 9" xfId="24730" xr:uid="{00000000-0005-0000-0000-0000E5220000}"/>
    <cellStyle name="Currency 5" xfId="1473" xr:uid="{00000000-0005-0000-0000-0000E6220000}"/>
    <cellStyle name="Currency 6" xfId="43982" xr:uid="{00000000-0005-0000-0000-0000E7220000}"/>
    <cellStyle name="Currency0" xfId="11694" xr:uid="{00000000-0005-0000-0000-0000E8220000}"/>
    <cellStyle name="Currency0 2" xfId="24731" xr:uid="{00000000-0005-0000-0000-0000E9220000}"/>
    <cellStyle name="Currency0 3" xfId="24732" xr:uid="{00000000-0005-0000-0000-0000EA220000}"/>
    <cellStyle name="Currency0 4" xfId="24733" xr:uid="{00000000-0005-0000-0000-0000EB220000}"/>
    <cellStyle name="Currency0 5" xfId="24734" xr:uid="{00000000-0005-0000-0000-0000EC220000}"/>
    <cellStyle name="Currency0 6" xfId="24735" xr:uid="{00000000-0005-0000-0000-0000ED220000}"/>
    <cellStyle name="Currency0 7" xfId="17688" xr:uid="{00000000-0005-0000-0000-0000EE220000}"/>
    <cellStyle name="Currency2" xfId="11695" xr:uid="{00000000-0005-0000-0000-0000EF220000}"/>
    <cellStyle name="Date" xfId="11696" xr:uid="{00000000-0005-0000-0000-0000F0220000}"/>
    <cellStyle name="Date 2" xfId="24737" xr:uid="{00000000-0005-0000-0000-0000F1220000}"/>
    <cellStyle name="Date 3" xfId="24736" xr:uid="{00000000-0005-0000-0000-0000F2220000}"/>
    <cellStyle name="DateHeading" xfId="24738" xr:uid="{00000000-0005-0000-0000-0000F3220000}"/>
    <cellStyle name="Dezimal [0]_fee projec" xfId="11697" xr:uid="{00000000-0005-0000-0000-0000F4220000}"/>
    <cellStyle name="Dezimal_fee projec" xfId="11698" xr:uid="{00000000-0005-0000-0000-0000F5220000}"/>
    <cellStyle name="Error" xfId="11699" xr:uid="{00000000-0005-0000-0000-0000F6220000}"/>
    <cellStyle name="Errortest" xfId="11700" xr:uid="{00000000-0005-0000-0000-0000F7220000}"/>
    <cellStyle name="Euro" xfId="24739" xr:uid="{00000000-0005-0000-0000-0000F8220000}"/>
    <cellStyle name="Euro 2" xfId="24740" xr:uid="{00000000-0005-0000-0000-0000F9220000}"/>
    <cellStyle name="Explanatory Text" xfId="9260" builtinId="53" customBuiltin="1"/>
    <cellStyle name="Explanatory Text 2" xfId="1474" xr:uid="{00000000-0005-0000-0000-0000FB220000}"/>
    <cellStyle name="Explanatory Text 2 2" xfId="24741" xr:uid="{00000000-0005-0000-0000-0000FC220000}"/>
    <cellStyle name="Explanatory Text 3" xfId="24742" xr:uid="{00000000-0005-0000-0000-0000FD220000}"/>
    <cellStyle name="f" xfId="11701" xr:uid="{00000000-0005-0000-0000-0000FE220000}"/>
    <cellStyle name="f_vlookup" xfId="11702" xr:uid="{00000000-0005-0000-0000-0000FF220000}"/>
    <cellStyle name="File Input Cell" xfId="11703" xr:uid="{00000000-0005-0000-0000-000000230000}"/>
    <cellStyle name="Fixed" xfId="11704" xr:uid="{00000000-0005-0000-0000-000001230000}"/>
    <cellStyle name="Fixed 2" xfId="24744" xr:uid="{00000000-0005-0000-0000-000002230000}"/>
    <cellStyle name="Fixed 3" xfId="24743" xr:uid="{00000000-0005-0000-0000-000003230000}"/>
    <cellStyle name="Fixed Inputs from Catawba Contracts" xfId="11705" xr:uid="{00000000-0005-0000-0000-000004230000}"/>
    <cellStyle name="Fixed Inputs from Catawba Contracts 2" xfId="14990" xr:uid="{00000000-0005-0000-0000-000005230000}"/>
    <cellStyle name="Fixed Inputs from Catawba Contracts 3" xfId="15030" xr:uid="{00000000-0005-0000-0000-000006230000}"/>
    <cellStyle name="Fixed Inputs from Catawba Contracts 4" xfId="12368" xr:uid="{00000000-0005-0000-0000-000007230000}"/>
    <cellStyle name="Fixed Inputs from Catawba Contracts 5" xfId="15017" xr:uid="{00000000-0005-0000-0000-000008230000}"/>
    <cellStyle name="Fixed Inputs from Catawba Contracts 6" xfId="12359" xr:uid="{00000000-0005-0000-0000-000009230000}"/>
    <cellStyle name="Fixed Inputs from Catawba Contracts 7" xfId="15006" xr:uid="{00000000-0005-0000-0000-00000A230000}"/>
    <cellStyle name="Fixed Inputs from Catawba Contracts 8" xfId="15007" xr:uid="{00000000-0005-0000-0000-00000B230000}"/>
    <cellStyle name="Fixed Inputs from Catawba Contracts 9" xfId="14998" xr:uid="{00000000-0005-0000-0000-00000C230000}"/>
    <cellStyle name="Good" xfId="9251" builtinId="26" customBuiltin="1"/>
    <cellStyle name="Good 2" xfId="1475" xr:uid="{00000000-0005-0000-0000-00000E230000}"/>
    <cellStyle name="Good 2 2" xfId="24745" xr:uid="{00000000-0005-0000-0000-00000F230000}"/>
    <cellStyle name="Good 3" xfId="24746" xr:uid="{00000000-0005-0000-0000-000010230000}"/>
    <cellStyle name="Grey" xfId="11706" xr:uid="{00000000-0005-0000-0000-000011230000}"/>
    <cellStyle name="Grey 2" xfId="24747" xr:uid="{00000000-0005-0000-0000-000012230000}"/>
    <cellStyle name="Grey 3" xfId="24748" xr:uid="{00000000-0005-0000-0000-000013230000}"/>
    <cellStyle name="Grey 4" xfId="24749" xr:uid="{00000000-0005-0000-0000-000014230000}"/>
    <cellStyle name="Grey 5" xfId="24750" xr:uid="{00000000-0005-0000-0000-000015230000}"/>
    <cellStyle name="HEADER" xfId="11707" xr:uid="{00000000-0005-0000-0000-000016230000}"/>
    <cellStyle name="Header1" xfId="11708" xr:uid="{00000000-0005-0000-0000-000017230000}"/>
    <cellStyle name="Header2" xfId="11709" xr:uid="{00000000-0005-0000-0000-000018230000}"/>
    <cellStyle name="Header2 2" xfId="14991" xr:uid="{00000000-0005-0000-0000-000019230000}"/>
    <cellStyle name="Header2 3" xfId="15031" xr:uid="{00000000-0005-0000-0000-00001A230000}"/>
    <cellStyle name="Header2 4" xfId="12369" xr:uid="{00000000-0005-0000-0000-00001B230000}"/>
    <cellStyle name="Header2 5" xfId="15012" xr:uid="{00000000-0005-0000-0000-00001C230000}"/>
    <cellStyle name="Header2 6" xfId="12356" xr:uid="{00000000-0005-0000-0000-00001D230000}"/>
    <cellStyle name="Header2 7" xfId="12330" xr:uid="{00000000-0005-0000-0000-00001E230000}"/>
    <cellStyle name="Header2 8" xfId="12353" xr:uid="{00000000-0005-0000-0000-00001F230000}"/>
    <cellStyle name="Header2 9" xfId="12333" xr:uid="{00000000-0005-0000-0000-000020230000}"/>
    <cellStyle name="Heading" xfId="24751" xr:uid="{00000000-0005-0000-0000-000021230000}"/>
    <cellStyle name="Heading 1" xfId="9247" builtinId="16" customBuiltin="1"/>
    <cellStyle name="Heading 1 2" xfId="1476" xr:uid="{00000000-0005-0000-0000-000023230000}"/>
    <cellStyle name="Heading 1 2 2" xfId="24753" xr:uid="{00000000-0005-0000-0000-000024230000}"/>
    <cellStyle name="Heading 1 2 3" xfId="24752" xr:uid="{00000000-0005-0000-0000-000025230000}"/>
    <cellStyle name="Heading 1 3" xfId="24754" xr:uid="{00000000-0005-0000-0000-000026230000}"/>
    <cellStyle name="Heading 1 3 2" xfId="24755" xr:uid="{00000000-0005-0000-0000-000027230000}"/>
    <cellStyle name="Heading 2" xfId="9248" builtinId="17" customBuiltin="1"/>
    <cellStyle name="Heading 2 2" xfId="1477" xr:uid="{00000000-0005-0000-0000-000029230000}"/>
    <cellStyle name="Heading 2 2 2" xfId="24757" xr:uid="{00000000-0005-0000-0000-00002A230000}"/>
    <cellStyle name="Heading 2 2 3" xfId="24756" xr:uid="{00000000-0005-0000-0000-00002B230000}"/>
    <cellStyle name="Heading 2 3" xfId="24758" xr:uid="{00000000-0005-0000-0000-00002C230000}"/>
    <cellStyle name="Heading 2 3 2" xfId="24759" xr:uid="{00000000-0005-0000-0000-00002D230000}"/>
    <cellStyle name="Heading 3" xfId="9249" builtinId="18" customBuiltin="1"/>
    <cellStyle name="Heading 3 2" xfId="1478" xr:uid="{00000000-0005-0000-0000-00002F230000}"/>
    <cellStyle name="Heading 3 2 2" xfId="24760" xr:uid="{00000000-0005-0000-0000-000030230000}"/>
    <cellStyle name="Heading 3 3" xfId="24761" xr:uid="{00000000-0005-0000-0000-000031230000}"/>
    <cellStyle name="Heading 4" xfId="9250" builtinId="19" customBuiltin="1"/>
    <cellStyle name="Heading 4 2" xfId="1479" xr:uid="{00000000-0005-0000-0000-000033230000}"/>
    <cellStyle name="Heading 4 2 2" xfId="24762" xr:uid="{00000000-0005-0000-0000-000034230000}"/>
    <cellStyle name="Heading 4 3" xfId="24763" xr:uid="{00000000-0005-0000-0000-000035230000}"/>
    <cellStyle name="Heading1" xfId="11710" xr:uid="{00000000-0005-0000-0000-000036230000}"/>
    <cellStyle name="Heading2" xfId="11711" xr:uid="{00000000-0005-0000-0000-000037230000}"/>
    <cellStyle name="HEADINGS" xfId="24764" xr:uid="{00000000-0005-0000-0000-000038230000}"/>
    <cellStyle name="Highlight" xfId="1480" xr:uid="{00000000-0005-0000-0000-000039230000}"/>
    <cellStyle name="HIGHLIGHT 2" xfId="24765" xr:uid="{00000000-0005-0000-0000-00003A230000}"/>
    <cellStyle name="Historical Inputs" xfId="11712" xr:uid="{00000000-0005-0000-0000-00003B230000}"/>
    <cellStyle name="Hot Inputs" xfId="11713" xr:uid="{00000000-0005-0000-0000-00003C230000}"/>
    <cellStyle name="Hot Inputs 2" xfId="14992" xr:uid="{00000000-0005-0000-0000-00003D230000}"/>
    <cellStyle name="Hot Inputs 3" xfId="15032" xr:uid="{00000000-0005-0000-0000-00003E230000}"/>
    <cellStyle name="Hot Inputs 4" xfId="12370" xr:uid="{00000000-0005-0000-0000-00003F230000}"/>
    <cellStyle name="Hot Inputs 5" xfId="14983" xr:uid="{00000000-0005-0000-0000-000040230000}"/>
    <cellStyle name="Hot Inputs 6" xfId="15005" xr:uid="{00000000-0005-0000-0000-000041230000}"/>
    <cellStyle name="Hot Inputs 7" xfId="15011" xr:uid="{00000000-0005-0000-0000-000042230000}"/>
    <cellStyle name="Hot Inputs 8" xfId="12355" xr:uid="{00000000-0005-0000-0000-000043230000}"/>
    <cellStyle name="Hot Inputs 9" xfId="15020" xr:uid="{00000000-0005-0000-0000-000044230000}"/>
    <cellStyle name="Hyperlink" xfId="43983" builtinId="8"/>
    <cellStyle name="Imported data from another worksheet" xfId="11714" xr:uid="{00000000-0005-0000-0000-000046230000}"/>
    <cellStyle name="Imported data from another worksheet 2" xfId="14993" xr:uid="{00000000-0005-0000-0000-000047230000}"/>
    <cellStyle name="Imported data from another worksheet 3" xfId="15033" xr:uid="{00000000-0005-0000-0000-000048230000}"/>
    <cellStyle name="Imported data from another worksheet 4" xfId="12371" xr:uid="{00000000-0005-0000-0000-000049230000}"/>
    <cellStyle name="Imported data from another worksheet 5" xfId="15015" xr:uid="{00000000-0005-0000-0000-00004A230000}"/>
    <cellStyle name="Imported data from another worksheet 6" xfId="12358" xr:uid="{00000000-0005-0000-0000-00004B230000}"/>
    <cellStyle name="Imported data from another worksheet 7" xfId="12329" xr:uid="{00000000-0005-0000-0000-00004C230000}"/>
    <cellStyle name="Imported data from another worksheet 8" xfId="12354" xr:uid="{00000000-0005-0000-0000-00004D230000}"/>
    <cellStyle name="Imported data from another worksheet 9" xfId="14988" xr:uid="{00000000-0005-0000-0000-00004E230000}"/>
    <cellStyle name="inc/dec" xfId="11715" xr:uid="{00000000-0005-0000-0000-00004F230000}"/>
    <cellStyle name="IndirectReference" xfId="11716" xr:uid="{00000000-0005-0000-0000-000050230000}"/>
    <cellStyle name="Input" xfId="9254" builtinId="20" customBuiltin="1"/>
    <cellStyle name="Input [yellow]" xfId="11717" xr:uid="{00000000-0005-0000-0000-000052230000}"/>
    <cellStyle name="Input [yellow] 10" xfId="15092" xr:uid="{00000000-0005-0000-0000-000053230000}"/>
    <cellStyle name="Input [yellow] 2" xfId="14994" xr:uid="{00000000-0005-0000-0000-000054230000}"/>
    <cellStyle name="Input [yellow] 2 2" xfId="24767" xr:uid="{00000000-0005-0000-0000-000055230000}"/>
    <cellStyle name="Input [yellow] 3" xfId="15034" xr:uid="{00000000-0005-0000-0000-000056230000}"/>
    <cellStyle name="Input [yellow] 3 2" xfId="24768" xr:uid="{00000000-0005-0000-0000-000057230000}"/>
    <cellStyle name="Input [yellow] 4" xfId="12372" xr:uid="{00000000-0005-0000-0000-000058230000}"/>
    <cellStyle name="Input [yellow] 5" xfId="12321" xr:uid="{00000000-0005-0000-0000-000059230000}"/>
    <cellStyle name="Input [yellow] 5 2" xfId="24769" xr:uid="{00000000-0005-0000-0000-00005A230000}"/>
    <cellStyle name="Input [yellow] 6" xfId="12322" xr:uid="{00000000-0005-0000-0000-00005B230000}"/>
    <cellStyle name="Input [yellow] 6 2" xfId="24766" xr:uid="{00000000-0005-0000-0000-00005C230000}"/>
    <cellStyle name="Input [yellow] 7" xfId="14984" xr:uid="{00000000-0005-0000-0000-00005D230000}"/>
    <cellStyle name="Input [yellow] 8" xfId="15009" xr:uid="{00000000-0005-0000-0000-00005E230000}"/>
    <cellStyle name="Input [yellow] 9" xfId="12334" xr:uid="{00000000-0005-0000-0000-00005F230000}"/>
    <cellStyle name="Input 10" xfId="24770" xr:uid="{00000000-0005-0000-0000-000060230000}"/>
    <cellStyle name="Input 11" xfId="24771" xr:uid="{00000000-0005-0000-0000-000061230000}"/>
    <cellStyle name="Input 12" xfId="24772" xr:uid="{00000000-0005-0000-0000-000062230000}"/>
    <cellStyle name="Input 13" xfId="24773" xr:uid="{00000000-0005-0000-0000-000063230000}"/>
    <cellStyle name="Input 14" xfId="24774" xr:uid="{00000000-0005-0000-0000-000064230000}"/>
    <cellStyle name="Input 15" xfId="24775" xr:uid="{00000000-0005-0000-0000-000065230000}"/>
    <cellStyle name="Input 16" xfId="24776" xr:uid="{00000000-0005-0000-0000-000066230000}"/>
    <cellStyle name="Input 17" xfId="24777" xr:uid="{00000000-0005-0000-0000-000067230000}"/>
    <cellStyle name="Input 18" xfId="24778" xr:uid="{00000000-0005-0000-0000-000068230000}"/>
    <cellStyle name="Input 19" xfId="24779" xr:uid="{00000000-0005-0000-0000-000069230000}"/>
    <cellStyle name="Input 2" xfId="1481" xr:uid="{00000000-0005-0000-0000-00006A230000}"/>
    <cellStyle name="Input 2 2" xfId="24780" xr:uid="{00000000-0005-0000-0000-00006B230000}"/>
    <cellStyle name="Input 20" xfId="24781" xr:uid="{00000000-0005-0000-0000-00006C230000}"/>
    <cellStyle name="Input 21" xfId="24782" xr:uid="{00000000-0005-0000-0000-00006D230000}"/>
    <cellStyle name="Input 22" xfId="17666" xr:uid="{00000000-0005-0000-0000-00006E230000}"/>
    <cellStyle name="Input 3" xfId="11718" xr:uid="{00000000-0005-0000-0000-00006F230000}"/>
    <cellStyle name="Input 3 2" xfId="24783" xr:uid="{00000000-0005-0000-0000-000070230000}"/>
    <cellStyle name="Input 4" xfId="11719" xr:uid="{00000000-0005-0000-0000-000071230000}"/>
    <cellStyle name="Input 4 2" xfId="24784" xr:uid="{00000000-0005-0000-0000-000072230000}"/>
    <cellStyle name="Input 5" xfId="11720" xr:uid="{00000000-0005-0000-0000-000073230000}"/>
    <cellStyle name="Input 5 2" xfId="24785" xr:uid="{00000000-0005-0000-0000-000074230000}"/>
    <cellStyle name="Input 6" xfId="11721" xr:uid="{00000000-0005-0000-0000-000075230000}"/>
    <cellStyle name="Input 6 2" xfId="24786" xr:uid="{00000000-0005-0000-0000-000076230000}"/>
    <cellStyle name="Input 7" xfId="24787" xr:uid="{00000000-0005-0000-0000-000077230000}"/>
    <cellStyle name="Input 8" xfId="24788" xr:uid="{00000000-0005-0000-0000-000078230000}"/>
    <cellStyle name="Input 9" xfId="24789" xr:uid="{00000000-0005-0000-0000-000079230000}"/>
    <cellStyle name="Input Percent" xfId="11722" xr:uid="{00000000-0005-0000-0000-00007A230000}"/>
    <cellStyle name="Input Percent 2" xfId="14995" xr:uid="{00000000-0005-0000-0000-00007B230000}"/>
    <cellStyle name="Input Percent 3" xfId="15035" xr:uid="{00000000-0005-0000-0000-00007C230000}"/>
    <cellStyle name="Input Percent 4" xfId="12373" xr:uid="{00000000-0005-0000-0000-00007D230000}"/>
    <cellStyle name="Input Percent 5" xfId="12328" xr:uid="{00000000-0005-0000-0000-00007E230000}"/>
    <cellStyle name="Input Percent 6" xfId="14999" xr:uid="{00000000-0005-0000-0000-00007F230000}"/>
    <cellStyle name="Input Percent 7" xfId="12332" xr:uid="{00000000-0005-0000-0000-000080230000}"/>
    <cellStyle name="Input Percent 8" xfId="12351" xr:uid="{00000000-0005-0000-0000-000081230000}"/>
    <cellStyle name="Input Percent 9" xfId="15024" xr:uid="{00000000-0005-0000-0000-000082230000}"/>
    <cellStyle name="inputarea" xfId="11723" xr:uid="{00000000-0005-0000-0000-000083230000}"/>
    <cellStyle name="INPUTS" xfId="24790" xr:uid="{00000000-0005-0000-0000-000084230000}"/>
    <cellStyle name="INPUTS 2" xfId="24791" xr:uid="{00000000-0005-0000-0000-000085230000}"/>
    <cellStyle name="INPUTS 3" xfId="24792" xr:uid="{00000000-0005-0000-0000-000086230000}"/>
    <cellStyle name="Inputs2" xfId="24793" xr:uid="{00000000-0005-0000-0000-000087230000}"/>
    <cellStyle name="Lines" xfId="11724" xr:uid="{00000000-0005-0000-0000-000088230000}"/>
    <cellStyle name="Linked Cell" xfId="9257" builtinId="24" customBuiltin="1"/>
    <cellStyle name="Linked Cell 2" xfId="1482" xr:uid="{00000000-0005-0000-0000-00008A230000}"/>
    <cellStyle name="Linked Cell 2 2" xfId="24794" xr:uid="{00000000-0005-0000-0000-00008B230000}"/>
    <cellStyle name="Linked Cell 3" xfId="24795" xr:uid="{00000000-0005-0000-0000-00008C230000}"/>
    <cellStyle name="Manual Input" xfId="11725" xr:uid="{00000000-0005-0000-0000-00008D230000}"/>
    <cellStyle name="Manual Input Cell" xfId="11726" xr:uid="{00000000-0005-0000-0000-00008E230000}"/>
    <cellStyle name="Manual Input Cell 2" xfId="14996" xr:uid="{00000000-0005-0000-0000-00008F230000}"/>
    <cellStyle name="Manual Input Cell 3" xfId="15036" xr:uid="{00000000-0005-0000-0000-000090230000}"/>
    <cellStyle name="Manual Input Cell 4" xfId="12374" xr:uid="{00000000-0005-0000-0000-000091230000}"/>
    <cellStyle name="Manual Input Cell 5" xfId="15018" xr:uid="{00000000-0005-0000-0000-000092230000}"/>
    <cellStyle name="Manual Input Cell 6" xfId="12360" xr:uid="{00000000-0005-0000-0000-000093230000}"/>
    <cellStyle name="Manual Input Cell 7" xfId="12320" xr:uid="{00000000-0005-0000-0000-000094230000}"/>
    <cellStyle name="Manual Input Cell 8" xfId="12323" xr:uid="{00000000-0005-0000-0000-000095230000}"/>
    <cellStyle name="Manual Input Cell 9" xfId="12352" xr:uid="{00000000-0005-0000-0000-000096230000}"/>
    <cellStyle name="mennu bar" xfId="11727" xr:uid="{00000000-0005-0000-0000-000097230000}"/>
    <cellStyle name="mennu bar 2" xfId="14997" xr:uid="{00000000-0005-0000-0000-000098230000}"/>
    <cellStyle name="mennu bar 3" xfId="15037" xr:uid="{00000000-0005-0000-0000-000099230000}"/>
    <cellStyle name="mennu bar 4" xfId="12375" xr:uid="{00000000-0005-0000-0000-00009A230000}"/>
    <cellStyle name="mennu bar 5" xfId="15010" xr:uid="{00000000-0005-0000-0000-00009B230000}"/>
    <cellStyle name="mennu bar 6" xfId="15014" xr:uid="{00000000-0005-0000-0000-00009C230000}"/>
    <cellStyle name="mennu bar 7" xfId="12357" xr:uid="{00000000-0005-0000-0000-00009D230000}"/>
    <cellStyle name="mennu bar 8" xfId="15038" xr:uid="{00000000-0005-0000-0000-00009E230000}"/>
    <cellStyle name="mennu bar 9" xfId="12326" xr:uid="{00000000-0005-0000-0000-00009F230000}"/>
    <cellStyle name="Millares_prectav00" xfId="24796" xr:uid="{00000000-0005-0000-0000-0000A0230000}"/>
    <cellStyle name="Model Generated Cell" xfId="11728" xr:uid="{00000000-0005-0000-0000-0000A1230000}"/>
    <cellStyle name="ModGen" xfId="11729" xr:uid="{00000000-0005-0000-0000-0000A2230000}"/>
    <cellStyle name="Moneda [0]_prehcc00" xfId="24797" xr:uid="{00000000-0005-0000-0000-0000A3230000}"/>
    <cellStyle name="Moneda_prectav00" xfId="24798" xr:uid="{00000000-0005-0000-0000-0000A4230000}"/>
    <cellStyle name="Names" xfId="11730" xr:uid="{00000000-0005-0000-0000-0000A5230000}"/>
    <cellStyle name="Neutral" xfId="9253" builtinId="28" customBuiltin="1"/>
    <cellStyle name="Neutral 2" xfId="1483" xr:uid="{00000000-0005-0000-0000-0000A7230000}"/>
    <cellStyle name="Neutral 2 2" xfId="24799" xr:uid="{00000000-0005-0000-0000-0000A8230000}"/>
    <cellStyle name="Neutral 3" xfId="24800" xr:uid="{00000000-0005-0000-0000-0000A9230000}"/>
    <cellStyle name="no dec" xfId="11731" xr:uid="{00000000-0005-0000-0000-0000AA230000}"/>
    <cellStyle name="Normal" xfId="0" builtinId="0"/>
    <cellStyle name="Normal - Style1" xfId="11732" xr:uid="{00000000-0005-0000-0000-0000AC230000}"/>
    <cellStyle name="Normal 10" xfId="1484" xr:uid="{00000000-0005-0000-0000-0000AD230000}"/>
    <cellStyle name="Normal 10 10" xfId="24802" xr:uid="{00000000-0005-0000-0000-0000AE230000}"/>
    <cellStyle name="Normal 10 10 2" xfId="24803" xr:uid="{00000000-0005-0000-0000-0000AF230000}"/>
    <cellStyle name="Normal 10 10 2 2" xfId="24804" xr:uid="{00000000-0005-0000-0000-0000B0230000}"/>
    <cellStyle name="Normal 10 10 3" xfId="24805" xr:uid="{00000000-0005-0000-0000-0000B1230000}"/>
    <cellStyle name="Normal 10 10 3 2" xfId="24806" xr:uid="{00000000-0005-0000-0000-0000B2230000}"/>
    <cellStyle name="Normal 10 10 4" xfId="24807" xr:uid="{00000000-0005-0000-0000-0000B3230000}"/>
    <cellStyle name="Normal 10 10 4 2" xfId="24808" xr:uid="{00000000-0005-0000-0000-0000B4230000}"/>
    <cellStyle name="Normal 10 10 5" xfId="24809" xr:uid="{00000000-0005-0000-0000-0000B5230000}"/>
    <cellStyle name="Normal 10 10 6" xfId="24810" xr:uid="{00000000-0005-0000-0000-0000B6230000}"/>
    <cellStyle name="Normal 10 11" xfId="24811" xr:uid="{00000000-0005-0000-0000-0000B7230000}"/>
    <cellStyle name="Normal 10 11 2" xfId="24812" xr:uid="{00000000-0005-0000-0000-0000B8230000}"/>
    <cellStyle name="Normal 10 11 2 2" xfId="24813" xr:uid="{00000000-0005-0000-0000-0000B9230000}"/>
    <cellStyle name="Normal 10 11 3" xfId="24814" xr:uid="{00000000-0005-0000-0000-0000BA230000}"/>
    <cellStyle name="Normal 10 11 3 2" xfId="24815" xr:uid="{00000000-0005-0000-0000-0000BB230000}"/>
    <cellStyle name="Normal 10 11 4" xfId="24816" xr:uid="{00000000-0005-0000-0000-0000BC230000}"/>
    <cellStyle name="Normal 10 11 5" xfId="24817" xr:uid="{00000000-0005-0000-0000-0000BD230000}"/>
    <cellStyle name="Normal 10 12" xfId="24818" xr:uid="{00000000-0005-0000-0000-0000BE230000}"/>
    <cellStyle name="Normal 10 12 2" xfId="24819" xr:uid="{00000000-0005-0000-0000-0000BF230000}"/>
    <cellStyle name="Normal 10 13" xfId="24820" xr:uid="{00000000-0005-0000-0000-0000C0230000}"/>
    <cellStyle name="Normal 10 13 2" xfId="24821" xr:uid="{00000000-0005-0000-0000-0000C1230000}"/>
    <cellStyle name="Normal 10 14" xfId="24822" xr:uid="{00000000-0005-0000-0000-0000C2230000}"/>
    <cellStyle name="Normal 10 14 2" xfId="24823" xr:uid="{00000000-0005-0000-0000-0000C3230000}"/>
    <cellStyle name="Normal 10 15" xfId="24824" xr:uid="{00000000-0005-0000-0000-0000C4230000}"/>
    <cellStyle name="Normal 10 16" xfId="24825" xr:uid="{00000000-0005-0000-0000-0000C5230000}"/>
    <cellStyle name="Normal 10 17" xfId="24826" xr:uid="{00000000-0005-0000-0000-0000C6230000}"/>
    <cellStyle name="Normal 10 18" xfId="24801" xr:uid="{00000000-0005-0000-0000-0000C7230000}"/>
    <cellStyle name="Normal 10 2" xfId="11733" xr:uid="{00000000-0005-0000-0000-0000C8230000}"/>
    <cellStyle name="Normal 10 2 10" xfId="24828" xr:uid="{00000000-0005-0000-0000-0000C9230000}"/>
    <cellStyle name="Normal 10 2 10 2" xfId="24829" xr:uid="{00000000-0005-0000-0000-0000CA230000}"/>
    <cellStyle name="Normal 10 2 11" xfId="24830" xr:uid="{00000000-0005-0000-0000-0000CB230000}"/>
    <cellStyle name="Normal 10 2 11 2" xfId="24831" xr:uid="{00000000-0005-0000-0000-0000CC230000}"/>
    <cellStyle name="Normal 10 2 12" xfId="24832" xr:uid="{00000000-0005-0000-0000-0000CD230000}"/>
    <cellStyle name="Normal 10 2 13" xfId="24833" xr:uid="{00000000-0005-0000-0000-0000CE230000}"/>
    <cellStyle name="Normal 10 2 14" xfId="24834" xr:uid="{00000000-0005-0000-0000-0000CF230000}"/>
    <cellStyle name="Normal 10 2 15" xfId="24827" xr:uid="{00000000-0005-0000-0000-0000D0230000}"/>
    <cellStyle name="Normal 10 2 2" xfId="11734" xr:uid="{00000000-0005-0000-0000-0000D1230000}"/>
    <cellStyle name="Normal 10 2 2 10" xfId="24836" xr:uid="{00000000-0005-0000-0000-0000D2230000}"/>
    <cellStyle name="Normal 10 2 2 11" xfId="24837" xr:uid="{00000000-0005-0000-0000-0000D3230000}"/>
    <cellStyle name="Normal 10 2 2 12" xfId="24835" xr:uid="{00000000-0005-0000-0000-0000D4230000}"/>
    <cellStyle name="Normal 10 2 2 2" xfId="11735" xr:uid="{00000000-0005-0000-0000-0000D5230000}"/>
    <cellStyle name="Normal 10 2 2 2 2" xfId="11736" xr:uid="{00000000-0005-0000-0000-0000D6230000}"/>
    <cellStyle name="Normal 10 2 2 2 2 2" xfId="24840" xr:uid="{00000000-0005-0000-0000-0000D7230000}"/>
    <cellStyle name="Normal 10 2 2 2 2 3" xfId="24839" xr:uid="{00000000-0005-0000-0000-0000D8230000}"/>
    <cellStyle name="Normal 10 2 2 2 3" xfId="24841" xr:uid="{00000000-0005-0000-0000-0000D9230000}"/>
    <cellStyle name="Normal 10 2 2 2 3 2" xfId="24842" xr:uid="{00000000-0005-0000-0000-0000DA230000}"/>
    <cellStyle name="Normal 10 2 2 2 4" xfId="24843" xr:uid="{00000000-0005-0000-0000-0000DB230000}"/>
    <cellStyle name="Normal 10 2 2 2 4 2" xfId="24844" xr:uid="{00000000-0005-0000-0000-0000DC230000}"/>
    <cellStyle name="Normal 10 2 2 2 5" xfId="24845" xr:uid="{00000000-0005-0000-0000-0000DD230000}"/>
    <cellStyle name="Normal 10 2 2 2 6" xfId="24846" xr:uid="{00000000-0005-0000-0000-0000DE230000}"/>
    <cellStyle name="Normal 10 2 2 2 7" xfId="24838" xr:uid="{00000000-0005-0000-0000-0000DF230000}"/>
    <cellStyle name="Normal 10 2 2 3" xfId="11737" xr:uid="{00000000-0005-0000-0000-0000E0230000}"/>
    <cellStyle name="Normal 10 2 2 3 2" xfId="24848" xr:uid="{00000000-0005-0000-0000-0000E1230000}"/>
    <cellStyle name="Normal 10 2 2 3 2 2" xfId="24849" xr:uid="{00000000-0005-0000-0000-0000E2230000}"/>
    <cellStyle name="Normal 10 2 2 3 3" xfId="24850" xr:uid="{00000000-0005-0000-0000-0000E3230000}"/>
    <cellStyle name="Normal 10 2 2 3 3 2" xfId="24851" xr:uid="{00000000-0005-0000-0000-0000E4230000}"/>
    <cellStyle name="Normal 10 2 2 3 4" xfId="24852" xr:uid="{00000000-0005-0000-0000-0000E5230000}"/>
    <cellStyle name="Normal 10 2 2 3 4 2" xfId="24853" xr:uid="{00000000-0005-0000-0000-0000E6230000}"/>
    <cellStyle name="Normal 10 2 2 3 5" xfId="24854" xr:uid="{00000000-0005-0000-0000-0000E7230000}"/>
    <cellStyle name="Normal 10 2 2 3 6" xfId="24855" xr:uid="{00000000-0005-0000-0000-0000E8230000}"/>
    <cellStyle name="Normal 10 2 2 3 7" xfId="24847" xr:uid="{00000000-0005-0000-0000-0000E9230000}"/>
    <cellStyle name="Normal 10 2 2 4" xfId="11738" xr:uid="{00000000-0005-0000-0000-0000EA230000}"/>
    <cellStyle name="Normal 10 2 2 4 2" xfId="24857" xr:uid="{00000000-0005-0000-0000-0000EB230000}"/>
    <cellStyle name="Normal 10 2 2 4 2 2" xfId="24858" xr:uid="{00000000-0005-0000-0000-0000EC230000}"/>
    <cellStyle name="Normal 10 2 2 4 3" xfId="24859" xr:uid="{00000000-0005-0000-0000-0000ED230000}"/>
    <cellStyle name="Normal 10 2 2 4 3 2" xfId="24860" xr:uid="{00000000-0005-0000-0000-0000EE230000}"/>
    <cellStyle name="Normal 10 2 2 4 4" xfId="24861" xr:uid="{00000000-0005-0000-0000-0000EF230000}"/>
    <cellStyle name="Normal 10 2 2 4 4 2" xfId="24862" xr:uid="{00000000-0005-0000-0000-0000F0230000}"/>
    <cellStyle name="Normal 10 2 2 4 5" xfId="24863" xr:uid="{00000000-0005-0000-0000-0000F1230000}"/>
    <cellStyle name="Normal 10 2 2 4 6" xfId="24864" xr:uid="{00000000-0005-0000-0000-0000F2230000}"/>
    <cellStyle name="Normal 10 2 2 4 7" xfId="24856" xr:uid="{00000000-0005-0000-0000-0000F3230000}"/>
    <cellStyle name="Normal 10 2 2 5" xfId="24865" xr:uid="{00000000-0005-0000-0000-0000F4230000}"/>
    <cellStyle name="Normal 10 2 2 5 2" xfId="24866" xr:uid="{00000000-0005-0000-0000-0000F5230000}"/>
    <cellStyle name="Normal 10 2 2 5 2 2" xfId="24867" xr:uid="{00000000-0005-0000-0000-0000F6230000}"/>
    <cellStyle name="Normal 10 2 2 5 3" xfId="24868" xr:uid="{00000000-0005-0000-0000-0000F7230000}"/>
    <cellStyle name="Normal 10 2 2 5 3 2" xfId="24869" xr:uid="{00000000-0005-0000-0000-0000F8230000}"/>
    <cellStyle name="Normal 10 2 2 5 4" xfId="24870" xr:uid="{00000000-0005-0000-0000-0000F9230000}"/>
    <cellStyle name="Normal 10 2 2 5 4 2" xfId="24871" xr:uid="{00000000-0005-0000-0000-0000FA230000}"/>
    <cellStyle name="Normal 10 2 2 5 5" xfId="24872" xr:uid="{00000000-0005-0000-0000-0000FB230000}"/>
    <cellStyle name="Normal 10 2 2 5 6" xfId="24873" xr:uid="{00000000-0005-0000-0000-0000FC230000}"/>
    <cellStyle name="Normal 10 2 2 6" xfId="24874" xr:uid="{00000000-0005-0000-0000-0000FD230000}"/>
    <cellStyle name="Normal 10 2 2 6 2" xfId="24875" xr:uid="{00000000-0005-0000-0000-0000FE230000}"/>
    <cellStyle name="Normal 10 2 2 6 2 2" xfId="24876" xr:uid="{00000000-0005-0000-0000-0000FF230000}"/>
    <cellStyle name="Normal 10 2 2 6 3" xfId="24877" xr:uid="{00000000-0005-0000-0000-000000240000}"/>
    <cellStyle name="Normal 10 2 2 6 3 2" xfId="24878" xr:uid="{00000000-0005-0000-0000-000001240000}"/>
    <cellStyle name="Normal 10 2 2 6 4" xfId="24879" xr:uid="{00000000-0005-0000-0000-000002240000}"/>
    <cellStyle name="Normal 10 2 2 6 5" xfId="24880" xr:uid="{00000000-0005-0000-0000-000003240000}"/>
    <cellStyle name="Normal 10 2 2 7" xfId="24881" xr:uid="{00000000-0005-0000-0000-000004240000}"/>
    <cellStyle name="Normal 10 2 2 7 2" xfId="24882" xr:uid="{00000000-0005-0000-0000-000005240000}"/>
    <cellStyle name="Normal 10 2 2 8" xfId="24883" xr:uid="{00000000-0005-0000-0000-000006240000}"/>
    <cellStyle name="Normal 10 2 2 8 2" xfId="24884" xr:uid="{00000000-0005-0000-0000-000007240000}"/>
    <cellStyle name="Normal 10 2 2 9" xfId="24885" xr:uid="{00000000-0005-0000-0000-000008240000}"/>
    <cellStyle name="Normal 10 2 2 9 2" xfId="24886" xr:uid="{00000000-0005-0000-0000-000009240000}"/>
    <cellStyle name="Normal 10 2 3" xfId="11739" xr:uid="{00000000-0005-0000-0000-00000A240000}"/>
    <cellStyle name="Normal 10 2 3 10" xfId="24888" xr:uid="{00000000-0005-0000-0000-00000B240000}"/>
    <cellStyle name="Normal 10 2 3 11" xfId="24887" xr:uid="{00000000-0005-0000-0000-00000C240000}"/>
    <cellStyle name="Normal 10 2 3 2" xfId="11740" xr:uid="{00000000-0005-0000-0000-00000D240000}"/>
    <cellStyle name="Normal 10 2 3 2 2" xfId="24890" xr:uid="{00000000-0005-0000-0000-00000E240000}"/>
    <cellStyle name="Normal 10 2 3 2 2 2" xfId="24891" xr:uid="{00000000-0005-0000-0000-00000F240000}"/>
    <cellStyle name="Normal 10 2 3 2 3" xfId="24892" xr:uid="{00000000-0005-0000-0000-000010240000}"/>
    <cellStyle name="Normal 10 2 3 2 3 2" xfId="24893" xr:uid="{00000000-0005-0000-0000-000011240000}"/>
    <cellStyle name="Normal 10 2 3 2 4" xfId="24894" xr:uid="{00000000-0005-0000-0000-000012240000}"/>
    <cellStyle name="Normal 10 2 3 2 4 2" xfId="24895" xr:uid="{00000000-0005-0000-0000-000013240000}"/>
    <cellStyle name="Normal 10 2 3 2 5" xfId="24896" xr:uid="{00000000-0005-0000-0000-000014240000}"/>
    <cellStyle name="Normal 10 2 3 2 6" xfId="24897" xr:uid="{00000000-0005-0000-0000-000015240000}"/>
    <cellStyle name="Normal 10 2 3 2 7" xfId="24889" xr:uid="{00000000-0005-0000-0000-000016240000}"/>
    <cellStyle name="Normal 10 2 3 3" xfId="24898" xr:uid="{00000000-0005-0000-0000-000017240000}"/>
    <cellStyle name="Normal 10 2 3 3 2" xfId="24899" xr:uid="{00000000-0005-0000-0000-000018240000}"/>
    <cellStyle name="Normal 10 2 3 3 2 2" xfId="24900" xr:uid="{00000000-0005-0000-0000-000019240000}"/>
    <cellStyle name="Normal 10 2 3 3 3" xfId="24901" xr:uid="{00000000-0005-0000-0000-00001A240000}"/>
    <cellStyle name="Normal 10 2 3 3 3 2" xfId="24902" xr:uid="{00000000-0005-0000-0000-00001B240000}"/>
    <cellStyle name="Normal 10 2 3 3 4" xfId="24903" xr:uid="{00000000-0005-0000-0000-00001C240000}"/>
    <cellStyle name="Normal 10 2 3 3 4 2" xfId="24904" xr:uid="{00000000-0005-0000-0000-00001D240000}"/>
    <cellStyle name="Normal 10 2 3 3 5" xfId="24905" xr:uid="{00000000-0005-0000-0000-00001E240000}"/>
    <cellStyle name="Normal 10 2 3 3 6" xfId="24906" xr:uid="{00000000-0005-0000-0000-00001F240000}"/>
    <cellStyle name="Normal 10 2 3 4" xfId="24907" xr:uid="{00000000-0005-0000-0000-000020240000}"/>
    <cellStyle name="Normal 10 2 3 4 2" xfId="24908" xr:uid="{00000000-0005-0000-0000-000021240000}"/>
    <cellStyle name="Normal 10 2 3 4 2 2" xfId="24909" xr:uid="{00000000-0005-0000-0000-000022240000}"/>
    <cellStyle name="Normal 10 2 3 4 3" xfId="24910" xr:uid="{00000000-0005-0000-0000-000023240000}"/>
    <cellStyle name="Normal 10 2 3 4 3 2" xfId="24911" xr:uid="{00000000-0005-0000-0000-000024240000}"/>
    <cellStyle name="Normal 10 2 3 4 4" xfId="24912" xr:uid="{00000000-0005-0000-0000-000025240000}"/>
    <cellStyle name="Normal 10 2 3 4 4 2" xfId="24913" xr:uid="{00000000-0005-0000-0000-000026240000}"/>
    <cellStyle name="Normal 10 2 3 4 5" xfId="24914" xr:uid="{00000000-0005-0000-0000-000027240000}"/>
    <cellStyle name="Normal 10 2 3 4 6" xfId="24915" xr:uid="{00000000-0005-0000-0000-000028240000}"/>
    <cellStyle name="Normal 10 2 3 5" xfId="24916" xr:uid="{00000000-0005-0000-0000-000029240000}"/>
    <cellStyle name="Normal 10 2 3 5 2" xfId="24917" xr:uid="{00000000-0005-0000-0000-00002A240000}"/>
    <cellStyle name="Normal 10 2 3 5 2 2" xfId="24918" xr:uid="{00000000-0005-0000-0000-00002B240000}"/>
    <cellStyle name="Normal 10 2 3 5 3" xfId="24919" xr:uid="{00000000-0005-0000-0000-00002C240000}"/>
    <cellStyle name="Normal 10 2 3 5 3 2" xfId="24920" xr:uid="{00000000-0005-0000-0000-00002D240000}"/>
    <cellStyle name="Normal 10 2 3 5 4" xfId="24921" xr:uid="{00000000-0005-0000-0000-00002E240000}"/>
    <cellStyle name="Normal 10 2 3 5 5" xfId="24922" xr:uid="{00000000-0005-0000-0000-00002F240000}"/>
    <cellStyle name="Normal 10 2 3 6" xfId="24923" xr:uid="{00000000-0005-0000-0000-000030240000}"/>
    <cellStyle name="Normal 10 2 3 6 2" xfId="24924" xr:uid="{00000000-0005-0000-0000-000031240000}"/>
    <cellStyle name="Normal 10 2 3 7" xfId="24925" xr:uid="{00000000-0005-0000-0000-000032240000}"/>
    <cellStyle name="Normal 10 2 3 7 2" xfId="24926" xr:uid="{00000000-0005-0000-0000-000033240000}"/>
    <cellStyle name="Normal 10 2 3 8" xfId="24927" xr:uid="{00000000-0005-0000-0000-000034240000}"/>
    <cellStyle name="Normal 10 2 3 8 2" xfId="24928" xr:uid="{00000000-0005-0000-0000-000035240000}"/>
    <cellStyle name="Normal 10 2 3 9" xfId="24929" xr:uid="{00000000-0005-0000-0000-000036240000}"/>
    <cellStyle name="Normal 10 2 4" xfId="11741" xr:uid="{00000000-0005-0000-0000-000037240000}"/>
    <cellStyle name="Normal 10 2 4 10" xfId="24931" xr:uid="{00000000-0005-0000-0000-000038240000}"/>
    <cellStyle name="Normal 10 2 4 11" xfId="24930" xr:uid="{00000000-0005-0000-0000-000039240000}"/>
    <cellStyle name="Normal 10 2 4 2" xfId="24932" xr:uid="{00000000-0005-0000-0000-00003A240000}"/>
    <cellStyle name="Normal 10 2 4 2 2" xfId="24933" xr:uid="{00000000-0005-0000-0000-00003B240000}"/>
    <cellStyle name="Normal 10 2 4 2 2 2" xfId="24934" xr:uid="{00000000-0005-0000-0000-00003C240000}"/>
    <cellStyle name="Normal 10 2 4 2 3" xfId="24935" xr:uid="{00000000-0005-0000-0000-00003D240000}"/>
    <cellStyle name="Normal 10 2 4 2 3 2" xfId="24936" xr:uid="{00000000-0005-0000-0000-00003E240000}"/>
    <cellStyle name="Normal 10 2 4 2 4" xfId="24937" xr:uid="{00000000-0005-0000-0000-00003F240000}"/>
    <cellStyle name="Normal 10 2 4 2 4 2" xfId="24938" xr:uid="{00000000-0005-0000-0000-000040240000}"/>
    <cellStyle name="Normal 10 2 4 2 5" xfId="24939" xr:uid="{00000000-0005-0000-0000-000041240000}"/>
    <cellStyle name="Normal 10 2 4 2 6" xfId="24940" xr:uid="{00000000-0005-0000-0000-000042240000}"/>
    <cellStyle name="Normal 10 2 4 3" xfId="24941" xr:uid="{00000000-0005-0000-0000-000043240000}"/>
    <cellStyle name="Normal 10 2 4 3 2" xfId="24942" xr:uid="{00000000-0005-0000-0000-000044240000}"/>
    <cellStyle name="Normal 10 2 4 3 2 2" xfId="24943" xr:uid="{00000000-0005-0000-0000-000045240000}"/>
    <cellStyle name="Normal 10 2 4 3 3" xfId="24944" xr:uid="{00000000-0005-0000-0000-000046240000}"/>
    <cellStyle name="Normal 10 2 4 3 3 2" xfId="24945" xr:uid="{00000000-0005-0000-0000-000047240000}"/>
    <cellStyle name="Normal 10 2 4 3 4" xfId="24946" xr:uid="{00000000-0005-0000-0000-000048240000}"/>
    <cellStyle name="Normal 10 2 4 3 4 2" xfId="24947" xr:uid="{00000000-0005-0000-0000-000049240000}"/>
    <cellStyle name="Normal 10 2 4 3 5" xfId="24948" xr:uid="{00000000-0005-0000-0000-00004A240000}"/>
    <cellStyle name="Normal 10 2 4 3 6" xfId="24949" xr:uid="{00000000-0005-0000-0000-00004B240000}"/>
    <cellStyle name="Normal 10 2 4 4" xfId="24950" xr:uid="{00000000-0005-0000-0000-00004C240000}"/>
    <cellStyle name="Normal 10 2 4 4 2" xfId="24951" xr:uid="{00000000-0005-0000-0000-00004D240000}"/>
    <cellStyle name="Normal 10 2 4 4 2 2" xfId="24952" xr:uid="{00000000-0005-0000-0000-00004E240000}"/>
    <cellStyle name="Normal 10 2 4 4 3" xfId="24953" xr:uid="{00000000-0005-0000-0000-00004F240000}"/>
    <cellStyle name="Normal 10 2 4 4 3 2" xfId="24954" xr:uid="{00000000-0005-0000-0000-000050240000}"/>
    <cellStyle name="Normal 10 2 4 4 4" xfId="24955" xr:uid="{00000000-0005-0000-0000-000051240000}"/>
    <cellStyle name="Normal 10 2 4 4 4 2" xfId="24956" xr:uid="{00000000-0005-0000-0000-000052240000}"/>
    <cellStyle name="Normal 10 2 4 4 5" xfId="24957" xr:uid="{00000000-0005-0000-0000-000053240000}"/>
    <cellStyle name="Normal 10 2 4 4 6" xfId="24958" xr:uid="{00000000-0005-0000-0000-000054240000}"/>
    <cellStyle name="Normal 10 2 4 5" xfId="24959" xr:uid="{00000000-0005-0000-0000-000055240000}"/>
    <cellStyle name="Normal 10 2 4 5 2" xfId="24960" xr:uid="{00000000-0005-0000-0000-000056240000}"/>
    <cellStyle name="Normal 10 2 4 5 2 2" xfId="24961" xr:uid="{00000000-0005-0000-0000-000057240000}"/>
    <cellStyle name="Normal 10 2 4 5 3" xfId="24962" xr:uid="{00000000-0005-0000-0000-000058240000}"/>
    <cellStyle name="Normal 10 2 4 5 3 2" xfId="24963" xr:uid="{00000000-0005-0000-0000-000059240000}"/>
    <cellStyle name="Normal 10 2 4 5 4" xfId="24964" xr:uid="{00000000-0005-0000-0000-00005A240000}"/>
    <cellStyle name="Normal 10 2 4 5 5" xfId="24965" xr:uid="{00000000-0005-0000-0000-00005B240000}"/>
    <cellStyle name="Normal 10 2 4 6" xfId="24966" xr:uid="{00000000-0005-0000-0000-00005C240000}"/>
    <cellStyle name="Normal 10 2 4 6 2" xfId="24967" xr:uid="{00000000-0005-0000-0000-00005D240000}"/>
    <cellStyle name="Normal 10 2 4 7" xfId="24968" xr:uid="{00000000-0005-0000-0000-00005E240000}"/>
    <cellStyle name="Normal 10 2 4 7 2" xfId="24969" xr:uid="{00000000-0005-0000-0000-00005F240000}"/>
    <cellStyle name="Normal 10 2 4 8" xfId="24970" xr:uid="{00000000-0005-0000-0000-000060240000}"/>
    <cellStyle name="Normal 10 2 4 8 2" xfId="24971" xr:uid="{00000000-0005-0000-0000-000061240000}"/>
    <cellStyle name="Normal 10 2 4 9" xfId="24972" xr:uid="{00000000-0005-0000-0000-000062240000}"/>
    <cellStyle name="Normal 10 2 5" xfId="11742" xr:uid="{00000000-0005-0000-0000-000063240000}"/>
    <cellStyle name="Normal 10 2 5 2" xfId="24974" xr:uid="{00000000-0005-0000-0000-000064240000}"/>
    <cellStyle name="Normal 10 2 5 2 2" xfId="24975" xr:uid="{00000000-0005-0000-0000-000065240000}"/>
    <cellStyle name="Normal 10 2 5 3" xfId="24976" xr:uid="{00000000-0005-0000-0000-000066240000}"/>
    <cellStyle name="Normal 10 2 5 3 2" xfId="24977" xr:uid="{00000000-0005-0000-0000-000067240000}"/>
    <cellStyle name="Normal 10 2 5 4" xfId="24978" xr:uid="{00000000-0005-0000-0000-000068240000}"/>
    <cellStyle name="Normal 10 2 5 4 2" xfId="24979" xr:uid="{00000000-0005-0000-0000-000069240000}"/>
    <cellStyle name="Normal 10 2 5 5" xfId="24980" xr:uid="{00000000-0005-0000-0000-00006A240000}"/>
    <cellStyle name="Normal 10 2 5 6" xfId="24981" xr:uid="{00000000-0005-0000-0000-00006B240000}"/>
    <cellStyle name="Normal 10 2 5 7" xfId="24973" xr:uid="{00000000-0005-0000-0000-00006C240000}"/>
    <cellStyle name="Normal 10 2 6" xfId="24982" xr:uid="{00000000-0005-0000-0000-00006D240000}"/>
    <cellStyle name="Normal 10 2 6 2" xfId="24983" xr:uid="{00000000-0005-0000-0000-00006E240000}"/>
    <cellStyle name="Normal 10 2 6 2 2" xfId="24984" xr:uid="{00000000-0005-0000-0000-00006F240000}"/>
    <cellStyle name="Normal 10 2 6 3" xfId="24985" xr:uid="{00000000-0005-0000-0000-000070240000}"/>
    <cellStyle name="Normal 10 2 6 3 2" xfId="24986" xr:uid="{00000000-0005-0000-0000-000071240000}"/>
    <cellStyle name="Normal 10 2 6 4" xfId="24987" xr:uid="{00000000-0005-0000-0000-000072240000}"/>
    <cellStyle name="Normal 10 2 6 4 2" xfId="24988" xr:uid="{00000000-0005-0000-0000-000073240000}"/>
    <cellStyle name="Normal 10 2 6 5" xfId="24989" xr:uid="{00000000-0005-0000-0000-000074240000}"/>
    <cellStyle name="Normal 10 2 6 6" xfId="24990" xr:uid="{00000000-0005-0000-0000-000075240000}"/>
    <cellStyle name="Normal 10 2 7" xfId="24991" xr:uid="{00000000-0005-0000-0000-000076240000}"/>
    <cellStyle name="Normal 10 2 7 2" xfId="24992" xr:uid="{00000000-0005-0000-0000-000077240000}"/>
    <cellStyle name="Normal 10 2 7 2 2" xfId="24993" xr:uid="{00000000-0005-0000-0000-000078240000}"/>
    <cellStyle name="Normal 10 2 7 3" xfId="24994" xr:uid="{00000000-0005-0000-0000-000079240000}"/>
    <cellStyle name="Normal 10 2 7 3 2" xfId="24995" xr:uid="{00000000-0005-0000-0000-00007A240000}"/>
    <cellStyle name="Normal 10 2 7 4" xfId="24996" xr:uid="{00000000-0005-0000-0000-00007B240000}"/>
    <cellStyle name="Normal 10 2 7 4 2" xfId="24997" xr:uid="{00000000-0005-0000-0000-00007C240000}"/>
    <cellStyle name="Normal 10 2 7 5" xfId="24998" xr:uid="{00000000-0005-0000-0000-00007D240000}"/>
    <cellStyle name="Normal 10 2 7 6" xfId="24999" xr:uid="{00000000-0005-0000-0000-00007E240000}"/>
    <cellStyle name="Normal 10 2 8" xfId="25000" xr:uid="{00000000-0005-0000-0000-00007F240000}"/>
    <cellStyle name="Normal 10 2 8 2" xfId="25001" xr:uid="{00000000-0005-0000-0000-000080240000}"/>
    <cellStyle name="Normal 10 2 8 2 2" xfId="25002" xr:uid="{00000000-0005-0000-0000-000081240000}"/>
    <cellStyle name="Normal 10 2 8 3" xfId="25003" xr:uid="{00000000-0005-0000-0000-000082240000}"/>
    <cellStyle name="Normal 10 2 8 3 2" xfId="25004" xr:uid="{00000000-0005-0000-0000-000083240000}"/>
    <cellStyle name="Normal 10 2 8 4" xfId="25005" xr:uid="{00000000-0005-0000-0000-000084240000}"/>
    <cellStyle name="Normal 10 2 8 5" xfId="25006" xr:uid="{00000000-0005-0000-0000-000085240000}"/>
    <cellStyle name="Normal 10 2 9" xfId="25007" xr:uid="{00000000-0005-0000-0000-000086240000}"/>
    <cellStyle name="Normal 10 2 9 2" xfId="25008" xr:uid="{00000000-0005-0000-0000-000087240000}"/>
    <cellStyle name="Normal 10 3" xfId="11743" xr:uid="{00000000-0005-0000-0000-000088240000}"/>
    <cellStyle name="Normal 10 3 10" xfId="25010" xr:uid="{00000000-0005-0000-0000-000089240000}"/>
    <cellStyle name="Normal 10 3 10 2" xfId="25011" xr:uid="{00000000-0005-0000-0000-00008A240000}"/>
    <cellStyle name="Normal 10 3 11" xfId="25012" xr:uid="{00000000-0005-0000-0000-00008B240000}"/>
    <cellStyle name="Normal 10 3 11 2" xfId="25013" xr:uid="{00000000-0005-0000-0000-00008C240000}"/>
    <cellStyle name="Normal 10 3 12" xfId="25014" xr:uid="{00000000-0005-0000-0000-00008D240000}"/>
    <cellStyle name="Normal 10 3 13" xfId="25015" xr:uid="{00000000-0005-0000-0000-00008E240000}"/>
    <cellStyle name="Normal 10 3 14" xfId="25009" xr:uid="{00000000-0005-0000-0000-00008F240000}"/>
    <cellStyle name="Normal 10 3 2" xfId="11744" xr:uid="{00000000-0005-0000-0000-000090240000}"/>
    <cellStyle name="Normal 10 3 2 10" xfId="25017" xr:uid="{00000000-0005-0000-0000-000091240000}"/>
    <cellStyle name="Normal 10 3 2 11" xfId="25018" xr:uid="{00000000-0005-0000-0000-000092240000}"/>
    <cellStyle name="Normal 10 3 2 12" xfId="25016" xr:uid="{00000000-0005-0000-0000-000093240000}"/>
    <cellStyle name="Normal 10 3 2 2" xfId="11745" xr:uid="{00000000-0005-0000-0000-000094240000}"/>
    <cellStyle name="Normal 10 3 2 2 2" xfId="25020" xr:uid="{00000000-0005-0000-0000-000095240000}"/>
    <cellStyle name="Normal 10 3 2 2 2 2" xfId="25021" xr:uid="{00000000-0005-0000-0000-000096240000}"/>
    <cellStyle name="Normal 10 3 2 2 3" xfId="25022" xr:uid="{00000000-0005-0000-0000-000097240000}"/>
    <cellStyle name="Normal 10 3 2 2 3 2" xfId="25023" xr:uid="{00000000-0005-0000-0000-000098240000}"/>
    <cellStyle name="Normal 10 3 2 2 4" xfId="25024" xr:uid="{00000000-0005-0000-0000-000099240000}"/>
    <cellStyle name="Normal 10 3 2 2 4 2" xfId="25025" xr:uid="{00000000-0005-0000-0000-00009A240000}"/>
    <cellStyle name="Normal 10 3 2 2 5" xfId="25026" xr:uid="{00000000-0005-0000-0000-00009B240000}"/>
    <cellStyle name="Normal 10 3 2 2 6" xfId="25027" xr:uid="{00000000-0005-0000-0000-00009C240000}"/>
    <cellStyle name="Normal 10 3 2 2 7" xfId="25019" xr:uid="{00000000-0005-0000-0000-00009D240000}"/>
    <cellStyle name="Normal 10 3 2 3" xfId="25028" xr:uid="{00000000-0005-0000-0000-00009E240000}"/>
    <cellStyle name="Normal 10 3 2 3 2" xfId="25029" xr:uid="{00000000-0005-0000-0000-00009F240000}"/>
    <cellStyle name="Normal 10 3 2 3 2 2" xfId="25030" xr:uid="{00000000-0005-0000-0000-0000A0240000}"/>
    <cellStyle name="Normal 10 3 2 3 3" xfId="25031" xr:uid="{00000000-0005-0000-0000-0000A1240000}"/>
    <cellStyle name="Normal 10 3 2 3 3 2" xfId="25032" xr:uid="{00000000-0005-0000-0000-0000A2240000}"/>
    <cellStyle name="Normal 10 3 2 3 4" xfId="25033" xr:uid="{00000000-0005-0000-0000-0000A3240000}"/>
    <cellStyle name="Normal 10 3 2 3 4 2" xfId="25034" xr:uid="{00000000-0005-0000-0000-0000A4240000}"/>
    <cellStyle name="Normal 10 3 2 3 5" xfId="25035" xr:uid="{00000000-0005-0000-0000-0000A5240000}"/>
    <cellStyle name="Normal 10 3 2 3 6" xfId="25036" xr:uid="{00000000-0005-0000-0000-0000A6240000}"/>
    <cellStyle name="Normal 10 3 2 4" xfId="25037" xr:uid="{00000000-0005-0000-0000-0000A7240000}"/>
    <cellStyle name="Normal 10 3 2 4 2" xfId="25038" xr:uid="{00000000-0005-0000-0000-0000A8240000}"/>
    <cellStyle name="Normal 10 3 2 4 2 2" xfId="25039" xr:uid="{00000000-0005-0000-0000-0000A9240000}"/>
    <cellStyle name="Normal 10 3 2 4 3" xfId="25040" xr:uid="{00000000-0005-0000-0000-0000AA240000}"/>
    <cellStyle name="Normal 10 3 2 4 3 2" xfId="25041" xr:uid="{00000000-0005-0000-0000-0000AB240000}"/>
    <cellStyle name="Normal 10 3 2 4 4" xfId="25042" xr:uid="{00000000-0005-0000-0000-0000AC240000}"/>
    <cellStyle name="Normal 10 3 2 4 4 2" xfId="25043" xr:uid="{00000000-0005-0000-0000-0000AD240000}"/>
    <cellStyle name="Normal 10 3 2 4 5" xfId="25044" xr:uid="{00000000-0005-0000-0000-0000AE240000}"/>
    <cellStyle name="Normal 10 3 2 4 6" xfId="25045" xr:uid="{00000000-0005-0000-0000-0000AF240000}"/>
    <cellStyle name="Normal 10 3 2 5" xfId="25046" xr:uid="{00000000-0005-0000-0000-0000B0240000}"/>
    <cellStyle name="Normal 10 3 2 5 2" xfId="25047" xr:uid="{00000000-0005-0000-0000-0000B1240000}"/>
    <cellStyle name="Normal 10 3 2 5 2 2" xfId="25048" xr:uid="{00000000-0005-0000-0000-0000B2240000}"/>
    <cellStyle name="Normal 10 3 2 5 3" xfId="25049" xr:uid="{00000000-0005-0000-0000-0000B3240000}"/>
    <cellStyle name="Normal 10 3 2 5 3 2" xfId="25050" xr:uid="{00000000-0005-0000-0000-0000B4240000}"/>
    <cellStyle name="Normal 10 3 2 5 4" xfId="25051" xr:uid="{00000000-0005-0000-0000-0000B5240000}"/>
    <cellStyle name="Normal 10 3 2 5 4 2" xfId="25052" xr:uid="{00000000-0005-0000-0000-0000B6240000}"/>
    <cellStyle name="Normal 10 3 2 5 5" xfId="25053" xr:uid="{00000000-0005-0000-0000-0000B7240000}"/>
    <cellStyle name="Normal 10 3 2 5 6" xfId="25054" xr:uid="{00000000-0005-0000-0000-0000B8240000}"/>
    <cellStyle name="Normal 10 3 2 6" xfId="25055" xr:uid="{00000000-0005-0000-0000-0000B9240000}"/>
    <cellStyle name="Normal 10 3 2 6 2" xfId="25056" xr:uid="{00000000-0005-0000-0000-0000BA240000}"/>
    <cellStyle name="Normal 10 3 2 6 2 2" xfId="25057" xr:uid="{00000000-0005-0000-0000-0000BB240000}"/>
    <cellStyle name="Normal 10 3 2 6 3" xfId="25058" xr:uid="{00000000-0005-0000-0000-0000BC240000}"/>
    <cellStyle name="Normal 10 3 2 6 3 2" xfId="25059" xr:uid="{00000000-0005-0000-0000-0000BD240000}"/>
    <cellStyle name="Normal 10 3 2 6 4" xfId="25060" xr:uid="{00000000-0005-0000-0000-0000BE240000}"/>
    <cellStyle name="Normal 10 3 2 6 5" xfId="25061" xr:uid="{00000000-0005-0000-0000-0000BF240000}"/>
    <cellStyle name="Normal 10 3 2 7" xfId="25062" xr:uid="{00000000-0005-0000-0000-0000C0240000}"/>
    <cellStyle name="Normal 10 3 2 7 2" xfId="25063" xr:uid="{00000000-0005-0000-0000-0000C1240000}"/>
    <cellStyle name="Normal 10 3 2 8" xfId="25064" xr:uid="{00000000-0005-0000-0000-0000C2240000}"/>
    <cellStyle name="Normal 10 3 2 8 2" xfId="25065" xr:uid="{00000000-0005-0000-0000-0000C3240000}"/>
    <cellStyle name="Normal 10 3 2 9" xfId="25066" xr:uid="{00000000-0005-0000-0000-0000C4240000}"/>
    <cellStyle name="Normal 10 3 2 9 2" xfId="25067" xr:uid="{00000000-0005-0000-0000-0000C5240000}"/>
    <cellStyle name="Normal 10 3 3" xfId="11746" xr:uid="{00000000-0005-0000-0000-0000C6240000}"/>
    <cellStyle name="Normal 10 3 3 10" xfId="25069" xr:uid="{00000000-0005-0000-0000-0000C7240000}"/>
    <cellStyle name="Normal 10 3 3 11" xfId="25068" xr:uid="{00000000-0005-0000-0000-0000C8240000}"/>
    <cellStyle name="Normal 10 3 3 2" xfId="25070" xr:uid="{00000000-0005-0000-0000-0000C9240000}"/>
    <cellStyle name="Normal 10 3 3 2 2" xfId="25071" xr:uid="{00000000-0005-0000-0000-0000CA240000}"/>
    <cellStyle name="Normal 10 3 3 2 2 2" xfId="25072" xr:uid="{00000000-0005-0000-0000-0000CB240000}"/>
    <cellStyle name="Normal 10 3 3 2 3" xfId="25073" xr:uid="{00000000-0005-0000-0000-0000CC240000}"/>
    <cellStyle name="Normal 10 3 3 2 3 2" xfId="25074" xr:uid="{00000000-0005-0000-0000-0000CD240000}"/>
    <cellStyle name="Normal 10 3 3 2 4" xfId="25075" xr:uid="{00000000-0005-0000-0000-0000CE240000}"/>
    <cellStyle name="Normal 10 3 3 2 4 2" xfId="25076" xr:uid="{00000000-0005-0000-0000-0000CF240000}"/>
    <cellStyle name="Normal 10 3 3 2 5" xfId="25077" xr:uid="{00000000-0005-0000-0000-0000D0240000}"/>
    <cellStyle name="Normal 10 3 3 2 6" xfId="25078" xr:uid="{00000000-0005-0000-0000-0000D1240000}"/>
    <cellStyle name="Normal 10 3 3 3" xfId="25079" xr:uid="{00000000-0005-0000-0000-0000D2240000}"/>
    <cellStyle name="Normal 10 3 3 3 2" xfId="25080" xr:uid="{00000000-0005-0000-0000-0000D3240000}"/>
    <cellStyle name="Normal 10 3 3 3 2 2" xfId="25081" xr:uid="{00000000-0005-0000-0000-0000D4240000}"/>
    <cellStyle name="Normal 10 3 3 3 3" xfId="25082" xr:uid="{00000000-0005-0000-0000-0000D5240000}"/>
    <cellStyle name="Normal 10 3 3 3 3 2" xfId="25083" xr:uid="{00000000-0005-0000-0000-0000D6240000}"/>
    <cellStyle name="Normal 10 3 3 3 4" xfId="25084" xr:uid="{00000000-0005-0000-0000-0000D7240000}"/>
    <cellStyle name="Normal 10 3 3 3 4 2" xfId="25085" xr:uid="{00000000-0005-0000-0000-0000D8240000}"/>
    <cellStyle name="Normal 10 3 3 3 5" xfId="25086" xr:uid="{00000000-0005-0000-0000-0000D9240000}"/>
    <cellStyle name="Normal 10 3 3 3 6" xfId="25087" xr:uid="{00000000-0005-0000-0000-0000DA240000}"/>
    <cellStyle name="Normal 10 3 3 4" xfId="25088" xr:uid="{00000000-0005-0000-0000-0000DB240000}"/>
    <cellStyle name="Normal 10 3 3 4 2" xfId="25089" xr:uid="{00000000-0005-0000-0000-0000DC240000}"/>
    <cellStyle name="Normal 10 3 3 4 2 2" xfId="25090" xr:uid="{00000000-0005-0000-0000-0000DD240000}"/>
    <cellStyle name="Normal 10 3 3 4 3" xfId="25091" xr:uid="{00000000-0005-0000-0000-0000DE240000}"/>
    <cellStyle name="Normal 10 3 3 4 3 2" xfId="25092" xr:uid="{00000000-0005-0000-0000-0000DF240000}"/>
    <cellStyle name="Normal 10 3 3 4 4" xfId="25093" xr:uid="{00000000-0005-0000-0000-0000E0240000}"/>
    <cellStyle name="Normal 10 3 3 4 4 2" xfId="25094" xr:uid="{00000000-0005-0000-0000-0000E1240000}"/>
    <cellStyle name="Normal 10 3 3 4 5" xfId="25095" xr:uid="{00000000-0005-0000-0000-0000E2240000}"/>
    <cellStyle name="Normal 10 3 3 4 6" xfId="25096" xr:uid="{00000000-0005-0000-0000-0000E3240000}"/>
    <cellStyle name="Normal 10 3 3 5" xfId="25097" xr:uid="{00000000-0005-0000-0000-0000E4240000}"/>
    <cellStyle name="Normal 10 3 3 5 2" xfId="25098" xr:uid="{00000000-0005-0000-0000-0000E5240000}"/>
    <cellStyle name="Normal 10 3 3 5 2 2" xfId="25099" xr:uid="{00000000-0005-0000-0000-0000E6240000}"/>
    <cellStyle name="Normal 10 3 3 5 3" xfId="25100" xr:uid="{00000000-0005-0000-0000-0000E7240000}"/>
    <cellStyle name="Normal 10 3 3 5 3 2" xfId="25101" xr:uid="{00000000-0005-0000-0000-0000E8240000}"/>
    <cellStyle name="Normal 10 3 3 5 4" xfId="25102" xr:uid="{00000000-0005-0000-0000-0000E9240000}"/>
    <cellStyle name="Normal 10 3 3 5 5" xfId="25103" xr:uid="{00000000-0005-0000-0000-0000EA240000}"/>
    <cellStyle name="Normal 10 3 3 6" xfId="25104" xr:uid="{00000000-0005-0000-0000-0000EB240000}"/>
    <cellStyle name="Normal 10 3 3 6 2" xfId="25105" xr:uid="{00000000-0005-0000-0000-0000EC240000}"/>
    <cellStyle name="Normal 10 3 3 7" xfId="25106" xr:uid="{00000000-0005-0000-0000-0000ED240000}"/>
    <cellStyle name="Normal 10 3 3 7 2" xfId="25107" xr:uid="{00000000-0005-0000-0000-0000EE240000}"/>
    <cellStyle name="Normal 10 3 3 8" xfId="25108" xr:uid="{00000000-0005-0000-0000-0000EF240000}"/>
    <cellStyle name="Normal 10 3 3 8 2" xfId="25109" xr:uid="{00000000-0005-0000-0000-0000F0240000}"/>
    <cellStyle name="Normal 10 3 3 9" xfId="25110" xr:uid="{00000000-0005-0000-0000-0000F1240000}"/>
    <cellStyle name="Normal 10 3 4" xfId="11747" xr:uid="{00000000-0005-0000-0000-0000F2240000}"/>
    <cellStyle name="Normal 10 3 4 10" xfId="25112" xr:uid="{00000000-0005-0000-0000-0000F3240000}"/>
    <cellStyle name="Normal 10 3 4 11" xfId="25111" xr:uid="{00000000-0005-0000-0000-0000F4240000}"/>
    <cellStyle name="Normal 10 3 4 2" xfId="25113" xr:uid="{00000000-0005-0000-0000-0000F5240000}"/>
    <cellStyle name="Normal 10 3 4 2 2" xfId="25114" xr:uid="{00000000-0005-0000-0000-0000F6240000}"/>
    <cellStyle name="Normal 10 3 4 2 2 2" xfId="25115" xr:uid="{00000000-0005-0000-0000-0000F7240000}"/>
    <cellStyle name="Normal 10 3 4 2 3" xfId="25116" xr:uid="{00000000-0005-0000-0000-0000F8240000}"/>
    <cellStyle name="Normal 10 3 4 2 3 2" xfId="25117" xr:uid="{00000000-0005-0000-0000-0000F9240000}"/>
    <cellStyle name="Normal 10 3 4 2 4" xfId="25118" xr:uid="{00000000-0005-0000-0000-0000FA240000}"/>
    <cellStyle name="Normal 10 3 4 2 4 2" xfId="25119" xr:uid="{00000000-0005-0000-0000-0000FB240000}"/>
    <cellStyle name="Normal 10 3 4 2 5" xfId="25120" xr:uid="{00000000-0005-0000-0000-0000FC240000}"/>
    <cellStyle name="Normal 10 3 4 2 6" xfId="25121" xr:uid="{00000000-0005-0000-0000-0000FD240000}"/>
    <cellStyle name="Normal 10 3 4 3" xfId="25122" xr:uid="{00000000-0005-0000-0000-0000FE240000}"/>
    <cellStyle name="Normal 10 3 4 3 2" xfId="25123" xr:uid="{00000000-0005-0000-0000-0000FF240000}"/>
    <cellStyle name="Normal 10 3 4 3 2 2" xfId="25124" xr:uid="{00000000-0005-0000-0000-000000250000}"/>
    <cellStyle name="Normal 10 3 4 3 3" xfId="25125" xr:uid="{00000000-0005-0000-0000-000001250000}"/>
    <cellStyle name="Normal 10 3 4 3 3 2" xfId="25126" xr:uid="{00000000-0005-0000-0000-000002250000}"/>
    <cellStyle name="Normal 10 3 4 3 4" xfId="25127" xr:uid="{00000000-0005-0000-0000-000003250000}"/>
    <cellStyle name="Normal 10 3 4 3 4 2" xfId="25128" xr:uid="{00000000-0005-0000-0000-000004250000}"/>
    <cellStyle name="Normal 10 3 4 3 5" xfId="25129" xr:uid="{00000000-0005-0000-0000-000005250000}"/>
    <cellStyle name="Normal 10 3 4 3 6" xfId="25130" xr:uid="{00000000-0005-0000-0000-000006250000}"/>
    <cellStyle name="Normal 10 3 4 4" xfId="25131" xr:uid="{00000000-0005-0000-0000-000007250000}"/>
    <cellStyle name="Normal 10 3 4 4 2" xfId="25132" xr:uid="{00000000-0005-0000-0000-000008250000}"/>
    <cellStyle name="Normal 10 3 4 4 2 2" xfId="25133" xr:uid="{00000000-0005-0000-0000-000009250000}"/>
    <cellStyle name="Normal 10 3 4 4 3" xfId="25134" xr:uid="{00000000-0005-0000-0000-00000A250000}"/>
    <cellStyle name="Normal 10 3 4 4 3 2" xfId="25135" xr:uid="{00000000-0005-0000-0000-00000B250000}"/>
    <cellStyle name="Normal 10 3 4 4 4" xfId="25136" xr:uid="{00000000-0005-0000-0000-00000C250000}"/>
    <cellStyle name="Normal 10 3 4 4 4 2" xfId="25137" xr:uid="{00000000-0005-0000-0000-00000D250000}"/>
    <cellStyle name="Normal 10 3 4 4 5" xfId="25138" xr:uid="{00000000-0005-0000-0000-00000E250000}"/>
    <cellStyle name="Normal 10 3 4 4 6" xfId="25139" xr:uid="{00000000-0005-0000-0000-00000F250000}"/>
    <cellStyle name="Normal 10 3 4 5" xfId="25140" xr:uid="{00000000-0005-0000-0000-000010250000}"/>
    <cellStyle name="Normal 10 3 4 5 2" xfId="25141" xr:uid="{00000000-0005-0000-0000-000011250000}"/>
    <cellStyle name="Normal 10 3 4 5 2 2" xfId="25142" xr:uid="{00000000-0005-0000-0000-000012250000}"/>
    <cellStyle name="Normal 10 3 4 5 3" xfId="25143" xr:uid="{00000000-0005-0000-0000-000013250000}"/>
    <cellStyle name="Normal 10 3 4 5 3 2" xfId="25144" xr:uid="{00000000-0005-0000-0000-000014250000}"/>
    <cellStyle name="Normal 10 3 4 5 4" xfId="25145" xr:uid="{00000000-0005-0000-0000-000015250000}"/>
    <cellStyle name="Normal 10 3 4 5 5" xfId="25146" xr:uid="{00000000-0005-0000-0000-000016250000}"/>
    <cellStyle name="Normal 10 3 4 6" xfId="25147" xr:uid="{00000000-0005-0000-0000-000017250000}"/>
    <cellStyle name="Normal 10 3 4 6 2" xfId="25148" xr:uid="{00000000-0005-0000-0000-000018250000}"/>
    <cellStyle name="Normal 10 3 4 7" xfId="25149" xr:uid="{00000000-0005-0000-0000-000019250000}"/>
    <cellStyle name="Normal 10 3 4 7 2" xfId="25150" xr:uid="{00000000-0005-0000-0000-00001A250000}"/>
    <cellStyle name="Normal 10 3 4 8" xfId="25151" xr:uid="{00000000-0005-0000-0000-00001B250000}"/>
    <cellStyle name="Normal 10 3 4 8 2" xfId="25152" xr:uid="{00000000-0005-0000-0000-00001C250000}"/>
    <cellStyle name="Normal 10 3 4 9" xfId="25153" xr:uid="{00000000-0005-0000-0000-00001D250000}"/>
    <cellStyle name="Normal 10 3 5" xfId="25154" xr:uid="{00000000-0005-0000-0000-00001E250000}"/>
    <cellStyle name="Normal 10 3 5 2" xfId="25155" xr:uid="{00000000-0005-0000-0000-00001F250000}"/>
    <cellStyle name="Normal 10 3 5 2 2" xfId="25156" xr:uid="{00000000-0005-0000-0000-000020250000}"/>
    <cellStyle name="Normal 10 3 5 3" xfId="25157" xr:uid="{00000000-0005-0000-0000-000021250000}"/>
    <cellStyle name="Normal 10 3 5 3 2" xfId="25158" xr:uid="{00000000-0005-0000-0000-000022250000}"/>
    <cellStyle name="Normal 10 3 5 4" xfId="25159" xr:uid="{00000000-0005-0000-0000-000023250000}"/>
    <cellStyle name="Normal 10 3 5 4 2" xfId="25160" xr:uid="{00000000-0005-0000-0000-000024250000}"/>
    <cellStyle name="Normal 10 3 5 5" xfId="25161" xr:uid="{00000000-0005-0000-0000-000025250000}"/>
    <cellStyle name="Normal 10 3 5 6" xfId="25162" xr:uid="{00000000-0005-0000-0000-000026250000}"/>
    <cellStyle name="Normal 10 3 6" xfId="25163" xr:uid="{00000000-0005-0000-0000-000027250000}"/>
    <cellStyle name="Normal 10 3 6 2" xfId="25164" xr:uid="{00000000-0005-0000-0000-000028250000}"/>
    <cellStyle name="Normal 10 3 6 2 2" xfId="25165" xr:uid="{00000000-0005-0000-0000-000029250000}"/>
    <cellStyle name="Normal 10 3 6 3" xfId="25166" xr:uid="{00000000-0005-0000-0000-00002A250000}"/>
    <cellStyle name="Normal 10 3 6 3 2" xfId="25167" xr:uid="{00000000-0005-0000-0000-00002B250000}"/>
    <cellStyle name="Normal 10 3 6 4" xfId="25168" xr:uid="{00000000-0005-0000-0000-00002C250000}"/>
    <cellStyle name="Normal 10 3 6 4 2" xfId="25169" xr:uid="{00000000-0005-0000-0000-00002D250000}"/>
    <cellStyle name="Normal 10 3 6 5" xfId="25170" xr:uid="{00000000-0005-0000-0000-00002E250000}"/>
    <cellStyle name="Normal 10 3 6 6" xfId="25171" xr:uid="{00000000-0005-0000-0000-00002F250000}"/>
    <cellStyle name="Normal 10 3 7" xfId="25172" xr:uid="{00000000-0005-0000-0000-000030250000}"/>
    <cellStyle name="Normal 10 3 7 2" xfId="25173" xr:uid="{00000000-0005-0000-0000-000031250000}"/>
    <cellStyle name="Normal 10 3 7 2 2" xfId="25174" xr:uid="{00000000-0005-0000-0000-000032250000}"/>
    <cellStyle name="Normal 10 3 7 3" xfId="25175" xr:uid="{00000000-0005-0000-0000-000033250000}"/>
    <cellStyle name="Normal 10 3 7 3 2" xfId="25176" xr:uid="{00000000-0005-0000-0000-000034250000}"/>
    <cellStyle name="Normal 10 3 7 4" xfId="25177" xr:uid="{00000000-0005-0000-0000-000035250000}"/>
    <cellStyle name="Normal 10 3 7 4 2" xfId="25178" xr:uid="{00000000-0005-0000-0000-000036250000}"/>
    <cellStyle name="Normal 10 3 7 5" xfId="25179" xr:uid="{00000000-0005-0000-0000-000037250000}"/>
    <cellStyle name="Normal 10 3 7 6" xfId="25180" xr:uid="{00000000-0005-0000-0000-000038250000}"/>
    <cellStyle name="Normal 10 3 8" xfId="25181" xr:uid="{00000000-0005-0000-0000-000039250000}"/>
    <cellStyle name="Normal 10 3 8 2" xfId="25182" xr:uid="{00000000-0005-0000-0000-00003A250000}"/>
    <cellStyle name="Normal 10 3 8 2 2" xfId="25183" xr:uid="{00000000-0005-0000-0000-00003B250000}"/>
    <cellStyle name="Normal 10 3 8 3" xfId="25184" xr:uid="{00000000-0005-0000-0000-00003C250000}"/>
    <cellStyle name="Normal 10 3 8 3 2" xfId="25185" xr:uid="{00000000-0005-0000-0000-00003D250000}"/>
    <cellStyle name="Normal 10 3 8 4" xfId="25186" xr:uid="{00000000-0005-0000-0000-00003E250000}"/>
    <cellStyle name="Normal 10 3 8 5" xfId="25187" xr:uid="{00000000-0005-0000-0000-00003F250000}"/>
    <cellStyle name="Normal 10 3 9" xfId="25188" xr:uid="{00000000-0005-0000-0000-000040250000}"/>
    <cellStyle name="Normal 10 3 9 2" xfId="25189" xr:uid="{00000000-0005-0000-0000-000041250000}"/>
    <cellStyle name="Normal 10 4" xfId="11748" xr:uid="{00000000-0005-0000-0000-000042250000}"/>
    <cellStyle name="Normal 10 4 10" xfId="25191" xr:uid="{00000000-0005-0000-0000-000043250000}"/>
    <cellStyle name="Normal 10 4 10 2" xfId="25192" xr:uid="{00000000-0005-0000-0000-000044250000}"/>
    <cellStyle name="Normal 10 4 11" xfId="25193" xr:uid="{00000000-0005-0000-0000-000045250000}"/>
    <cellStyle name="Normal 10 4 12" xfId="25194" xr:uid="{00000000-0005-0000-0000-000046250000}"/>
    <cellStyle name="Normal 10 4 13" xfId="25190" xr:uid="{00000000-0005-0000-0000-000047250000}"/>
    <cellStyle name="Normal 10 4 2" xfId="11749" xr:uid="{00000000-0005-0000-0000-000048250000}"/>
    <cellStyle name="Normal 10 4 2 10" xfId="25196" xr:uid="{00000000-0005-0000-0000-000049250000}"/>
    <cellStyle name="Normal 10 4 2 11" xfId="25195" xr:uid="{00000000-0005-0000-0000-00004A250000}"/>
    <cellStyle name="Normal 10 4 2 2" xfId="11750" xr:uid="{00000000-0005-0000-0000-00004B250000}"/>
    <cellStyle name="Normal 10 4 2 2 2" xfId="25198" xr:uid="{00000000-0005-0000-0000-00004C250000}"/>
    <cellStyle name="Normal 10 4 2 2 2 2" xfId="25199" xr:uid="{00000000-0005-0000-0000-00004D250000}"/>
    <cellStyle name="Normal 10 4 2 2 3" xfId="25200" xr:uid="{00000000-0005-0000-0000-00004E250000}"/>
    <cellStyle name="Normal 10 4 2 2 3 2" xfId="25201" xr:uid="{00000000-0005-0000-0000-00004F250000}"/>
    <cellStyle name="Normal 10 4 2 2 4" xfId="25202" xr:uid="{00000000-0005-0000-0000-000050250000}"/>
    <cellStyle name="Normal 10 4 2 2 4 2" xfId="25203" xr:uid="{00000000-0005-0000-0000-000051250000}"/>
    <cellStyle name="Normal 10 4 2 2 5" xfId="25204" xr:uid="{00000000-0005-0000-0000-000052250000}"/>
    <cellStyle name="Normal 10 4 2 2 6" xfId="25205" xr:uid="{00000000-0005-0000-0000-000053250000}"/>
    <cellStyle name="Normal 10 4 2 2 7" xfId="25197" xr:uid="{00000000-0005-0000-0000-000054250000}"/>
    <cellStyle name="Normal 10 4 2 3" xfId="25206" xr:uid="{00000000-0005-0000-0000-000055250000}"/>
    <cellStyle name="Normal 10 4 2 3 2" xfId="25207" xr:uid="{00000000-0005-0000-0000-000056250000}"/>
    <cellStyle name="Normal 10 4 2 3 2 2" xfId="25208" xr:uid="{00000000-0005-0000-0000-000057250000}"/>
    <cellStyle name="Normal 10 4 2 3 3" xfId="25209" xr:uid="{00000000-0005-0000-0000-000058250000}"/>
    <cellStyle name="Normal 10 4 2 3 3 2" xfId="25210" xr:uid="{00000000-0005-0000-0000-000059250000}"/>
    <cellStyle name="Normal 10 4 2 3 4" xfId="25211" xr:uid="{00000000-0005-0000-0000-00005A250000}"/>
    <cellStyle name="Normal 10 4 2 3 4 2" xfId="25212" xr:uid="{00000000-0005-0000-0000-00005B250000}"/>
    <cellStyle name="Normal 10 4 2 3 5" xfId="25213" xr:uid="{00000000-0005-0000-0000-00005C250000}"/>
    <cellStyle name="Normal 10 4 2 3 6" xfId="25214" xr:uid="{00000000-0005-0000-0000-00005D250000}"/>
    <cellStyle name="Normal 10 4 2 4" xfId="25215" xr:uid="{00000000-0005-0000-0000-00005E250000}"/>
    <cellStyle name="Normal 10 4 2 4 2" xfId="25216" xr:uid="{00000000-0005-0000-0000-00005F250000}"/>
    <cellStyle name="Normal 10 4 2 4 2 2" xfId="25217" xr:uid="{00000000-0005-0000-0000-000060250000}"/>
    <cellStyle name="Normal 10 4 2 4 3" xfId="25218" xr:uid="{00000000-0005-0000-0000-000061250000}"/>
    <cellStyle name="Normal 10 4 2 4 3 2" xfId="25219" xr:uid="{00000000-0005-0000-0000-000062250000}"/>
    <cellStyle name="Normal 10 4 2 4 4" xfId="25220" xr:uid="{00000000-0005-0000-0000-000063250000}"/>
    <cellStyle name="Normal 10 4 2 4 4 2" xfId="25221" xr:uid="{00000000-0005-0000-0000-000064250000}"/>
    <cellStyle name="Normal 10 4 2 4 5" xfId="25222" xr:uid="{00000000-0005-0000-0000-000065250000}"/>
    <cellStyle name="Normal 10 4 2 4 6" xfId="25223" xr:uid="{00000000-0005-0000-0000-000066250000}"/>
    <cellStyle name="Normal 10 4 2 5" xfId="25224" xr:uid="{00000000-0005-0000-0000-000067250000}"/>
    <cellStyle name="Normal 10 4 2 5 2" xfId="25225" xr:uid="{00000000-0005-0000-0000-000068250000}"/>
    <cellStyle name="Normal 10 4 2 5 2 2" xfId="25226" xr:uid="{00000000-0005-0000-0000-000069250000}"/>
    <cellStyle name="Normal 10 4 2 5 3" xfId="25227" xr:uid="{00000000-0005-0000-0000-00006A250000}"/>
    <cellStyle name="Normal 10 4 2 5 3 2" xfId="25228" xr:uid="{00000000-0005-0000-0000-00006B250000}"/>
    <cellStyle name="Normal 10 4 2 5 4" xfId="25229" xr:uid="{00000000-0005-0000-0000-00006C250000}"/>
    <cellStyle name="Normal 10 4 2 5 5" xfId="25230" xr:uid="{00000000-0005-0000-0000-00006D250000}"/>
    <cellStyle name="Normal 10 4 2 6" xfId="25231" xr:uid="{00000000-0005-0000-0000-00006E250000}"/>
    <cellStyle name="Normal 10 4 2 6 2" xfId="25232" xr:uid="{00000000-0005-0000-0000-00006F250000}"/>
    <cellStyle name="Normal 10 4 2 7" xfId="25233" xr:uid="{00000000-0005-0000-0000-000070250000}"/>
    <cellStyle name="Normal 10 4 2 7 2" xfId="25234" xr:uid="{00000000-0005-0000-0000-000071250000}"/>
    <cellStyle name="Normal 10 4 2 8" xfId="25235" xr:uid="{00000000-0005-0000-0000-000072250000}"/>
    <cellStyle name="Normal 10 4 2 8 2" xfId="25236" xr:uid="{00000000-0005-0000-0000-000073250000}"/>
    <cellStyle name="Normal 10 4 2 9" xfId="25237" xr:uid="{00000000-0005-0000-0000-000074250000}"/>
    <cellStyle name="Normal 10 4 3" xfId="11751" xr:uid="{00000000-0005-0000-0000-000075250000}"/>
    <cellStyle name="Normal 10 4 3 10" xfId="25239" xr:uid="{00000000-0005-0000-0000-000076250000}"/>
    <cellStyle name="Normal 10 4 3 11" xfId="25238" xr:uid="{00000000-0005-0000-0000-000077250000}"/>
    <cellStyle name="Normal 10 4 3 2" xfId="25240" xr:uid="{00000000-0005-0000-0000-000078250000}"/>
    <cellStyle name="Normal 10 4 3 2 2" xfId="25241" xr:uid="{00000000-0005-0000-0000-000079250000}"/>
    <cellStyle name="Normal 10 4 3 2 2 2" xfId="25242" xr:uid="{00000000-0005-0000-0000-00007A250000}"/>
    <cellStyle name="Normal 10 4 3 2 3" xfId="25243" xr:uid="{00000000-0005-0000-0000-00007B250000}"/>
    <cellStyle name="Normal 10 4 3 2 3 2" xfId="25244" xr:uid="{00000000-0005-0000-0000-00007C250000}"/>
    <cellStyle name="Normal 10 4 3 2 4" xfId="25245" xr:uid="{00000000-0005-0000-0000-00007D250000}"/>
    <cellStyle name="Normal 10 4 3 2 4 2" xfId="25246" xr:uid="{00000000-0005-0000-0000-00007E250000}"/>
    <cellStyle name="Normal 10 4 3 2 5" xfId="25247" xr:uid="{00000000-0005-0000-0000-00007F250000}"/>
    <cellStyle name="Normal 10 4 3 2 6" xfId="25248" xr:uid="{00000000-0005-0000-0000-000080250000}"/>
    <cellStyle name="Normal 10 4 3 3" xfId="25249" xr:uid="{00000000-0005-0000-0000-000081250000}"/>
    <cellStyle name="Normal 10 4 3 3 2" xfId="25250" xr:uid="{00000000-0005-0000-0000-000082250000}"/>
    <cellStyle name="Normal 10 4 3 3 2 2" xfId="25251" xr:uid="{00000000-0005-0000-0000-000083250000}"/>
    <cellStyle name="Normal 10 4 3 3 3" xfId="25252" xr:uid="{00000000-0005-0000-0000-000084250000}"/>
    <cellStyle name="Normal 10 4 3 3 3 2" xfId="25253" xr:uid="{00000000-0005-0000-0000-000085250000}"/>
    <cellStyle name="Normal 10 4 3 3 4" xfId="25254" xr:uid="{00000000-0005-0000-0000-000086250000}"/>
    <cellStyle name="Normal 10 4 3 3 4 2" xfId="25255" xr:uid="{00000000-0005-0000-0000-000087250000}"/>
    <cellStyle name="Normal 10 4 3 3 5" xfId="25256" xr:uid="{00000000-0005-0000-0000-000088250000}"/>
    <cellStyle name="Normal 10 4 3 3 6" xfId="25257" xr:uid="{00000000-0005-0000-0000-000089250000}"/>
    <cellStyle name="Normal 10 4 3 4" xfId="25258" xr:uid="{00000000-0005-0000-0000-00008A250000}"/>
    <cellStyle name="Normal 10 4 3 4 2" xfId="25259" xr:uid="{00000000-0005-0000-0000-00008B250000}"/>
    <cellStyle name="Normal 10 4 3 4 2 2" xfId="25260" xr:uid="{00000000-0005-0000-0000-00008C250000}"/>
    <cellStyle name="Normal 10 4 3 4 3" xfId="25261" xr:uid="{00000000-0005-0000-0000-00008D250000}"/>
    <cellStyle name="Normal 10 4 3 4 3 2" xfId="25262" xr:uid="{00000000-0005-0000-0000-00008E250000}"/>
    <cellStyle name="Normal 10 4 3 4 4" xfId="25263" xr:uid="{00000000-0005-0000-0000-00008F250000}"/>
    <cellStyle name="Normal 10 4 3 4 4 2" xfId="25264" xr:uid="{00000000-0005-0000-0000-000090250000}"/>
    <cellStyle name="Normal 10 4 3 4 5" xfId="25265" xr:uid="{00000000-0005-0000-0000-000091250000}"/>
    <cellStyle name="Normal 10 4 3 4 6" xfId="25266" xr:uid="{00000000-0005-0000-0000-000092250000}"/>
    <cellStyle name="Normal 10 4 3 5" xfId="25267" xr:uid="{00000000-0005-0000-0000-000093250000}"/>
    <cellStyle name="Normal 10 4 3 5 2" xfId="25268" xr:uid="{00000000-0005-0000-0000-000094250000}"/>
    <cellStyle name="Normal 10 4 3 5 2 2" xfId="25269" xr:uid="{00000000-0005-0000-0000-000095250000}"/>
    <cellStyle name="Normal 10 4 3 5 3" xfId="25270" xr:uid="{00000000-0005-0000-0000-000096250000}"/>
    <cellStyle name="Normal 10 4 3 5 3 2" xfId="25271" xr:uid="{00000000-0005-0000-0000-000097250000}"/>
    <cellStyle name="Normal 10 4 3 5 4" xfId="25272" xr:uid="{00000000-0005-0000-0000-000098250000}"/>
    <cellStyle name="Normal 10 4 3 5 5" xfId="25273" xr:uid="{00000000-0005-0000-0000-000099250000}"/>
    <cellStyle name="Normal 10 4 3 6" xfId="25274" xr:uid="{00000000-0005-0000-0000-00009A250000}"/>
    <cellStyle name="Normal 10 4 3 6 2" xfId="25275" xr:uid="{00000000-0005-0000-0000-00009B250000}"/>
    <cellStyle name="Normal 10 4 3 7" xfId="25276" xr:uid="{00000000-0005-0000-0000-00009C250000}"/>
    <cellStyle name="Normal 10 4 3 7 2" xfId="25277" xr:uid="{00000000-0005-0000-0000-00009D250000}"/>
    <cellStyle name="Normal 10 4 3 8" xfId="25278" xr:uid="{00000000-0005-0000-0000-00009E250000}"/>
    <cellStyle name="Normal 10 4 3 8 2" xfId="25279" xr:uid="{00000000-0005-0000-0000-00009F250000}"/>
    <cellStyle name="Normal 10 4 3 9" xfId="25280" xr:uid="{00000000-0005-0000-0000-0000A0250000}"/>
    <cellStyle name="Normal 10 4 4" xfId="11752" xr:uid="{00000000-0005-0000-0000-0000A1250000}"/>
    <cellStyle name="Normal 10 4 4 2" xfId="25282" xr:uid="{00000000-0005-0000-0000-0000A2250000}"/>
    <cellStyle name="Normal 10 4 4 2 2" xfId="25283" xr:uid="{00000000-0005-0000-0000-0000A3250000}"/>
    <cellStyle name="Normal 10 4 4 3" xfId="25284" xr:uid="{00000000-0005-0000-0000-0000A4250000}"/>
    <cellStyle name="Normal 10 4 4 3 2" xfId="25285" xr:uid="{00000000-0005-0000-0000-0000A5250000}"/>
    <cellStyle name="Normal 10 4 4 4" xfId="25286" xr:uid="{00000000-0005-0000-0000-0000A6250000}"/>
    <cellStyle name="Normal 10 4 4 4 2" xfId="25287" xr:uid="{00000000-0005-0000-0000-0000A7250000}"/>
    <cellStyle name="Normal 10 4 4 5" xfId="25288" xr:uid="{00000000-0005-0000-0000-0000A8250000}"/>
    <cellStyle name="Normal 10 4 4 6" xfId="25289" xr:uid="{00000000-0005-0000-0000-0000A9250000}"/>
    <cellStyle name="Normal 10 4 4 7" xfId="25281" xr:uid="{00000000-0005-0000-0000-0000AA250000}"/>
    <cellStyle name="Normal 10 4 5" xfId="25290" xr:uid="{00000000-0005-0000-0000-0000AB250000}"/>
    <cellStyle name="Normal 10 4 5 2" xfId="25291" xr:uid="{00000000-0005-0000-0000-0000AC250000}"/>
    <cellStyle name="Normal 10 4 5 2 2" xfId="25292" xr:uid="{00000000-0005-0000-0000-0000AD250000}"/>
    <cellStyle name="Normal 10 4 5 3" xfId="25293" xr:uid="{00000000-0005-0000-0000-0000AE250000}"/>
    <cellStyle name="Normal 10 4 5 3 2" xfId="25294" xr:uid="{00000000-0005-0000-0000-0000AF250000}"/>
    <cellStyle name="Normal 10 4 5 4" xfId="25295" xr:uid="{00000000-0005-0000-0000-0000B0250000}"/>
    <cellStyle name="Normal 10 4 5 4 2" xfId="25296" xr:uid="{00000000-0005-0000-0000-0000B1250000}"/>
    <cellStyle name="Normal 10 4 5 5" xfId="25297" xr:uid="{00000000-0005-0000-0000-0000B2250000}"/>
    <cellStyle name="Normal 10 4 5 6" xfId="25298" xr:uid="{00000000-0005-0000-0000-0000B3250000}"/>
    <cellStyle name="Normal 10 4 6" xfId="25299" xr:uid="{00000000-0005-0000-0000-0000B4250000}"/>
    <cellStyle name="Normal 10 4 6 2" xfId="25300" xr:uid="{00000000-0005-0000-0000-0000B5250000}"/>
    <cellStyle name="Normal 10 4 6 2 2" xfId="25301" xr:uid="{00000000-0005-0000-0000-0000B6250000}"/>
    <cellStyle name="Normal 10 4 6 3" xfId="25302" xr:uid="{00000000-0005-0000-0000-0000B7250000}"/>
    <cellStyle name="Normal 10 4 6 3 2" xfId="25303" xr:uid="{00000000-0005-0000-0000-0000B8250000}"/>
    <cellStyle name="Normal 10 4 6 4" xfId="25304" xr:uid="{00000000-0005-0000-0000-0000B9250000}"/>
    <cellStyle name="Normal 10 4 6 4 2" xfId="25305" xr:uid="{00000000-0005-0000-0000-0000BA250000}"/>
    <cellStyle name="Normal 10 4 6 5" xfId="25306" xr:uid="{00000000-0005-0000-0000-0000BB250000}"/>
    <cellStyle name="Normal 10 4 6 6" xfId="25307" xr:uid="{00000000-0005-0000-0000-0000BC250000}"/>
    <cellStyle name="Normal 10 4 7" xfId="25308" xr:uid="{00000000-0005-0000-0000-0000BD250000}"/>
    <cellStyle name="Normal 10 4 7 2" xfId="25309" xr:uid="{00000000-0005-0000-0000-0000BE250000}"/>
    <cellStyle name="Normal 10 4 7 2 2" xfId="25310" xr:uid="{00000000-0005-0000-0000-0000BF250000}"/>
    <cellStyle name="Normal 10 4 7 3" xfId="25311" xr:uid="{00000000-0005-0000-0000-0000C0250000}"/>
    <cellStyle name="Normal 10 4 7 3 2" xfId="25312" xr:uid="{00000000-0005-0000-0000-0000C1250000}"/>
    <cellStyle name="Normal 10 4 7 4" xfId="25313" xr:uid="{00000000-0005-0000-0000-0000C2250000}"/>
    <cellStyle name="Normal 10 4 7 5" xfId="25314" xr:uid="{00000000-0005-0000-0000-0000C3250000}"/>
    <cellStyle name="Normal 10 4 8" xfId="25315" xr:uid="{00000000-0005-0000-0000-0000C4250000}"/>
    <cellStyle name="Normal 10 4 8 2" xfId="25316" xr:uid="{00000000-0005-0000-0000-0000C5250000}"/>
    <cellStyle name="Normal 10 4 9" xfId="25317" xr:uid="{00000000-0005-0000-0000-0000C6250000}"/>
    <cellStyle name="Normal 10 4 9 2" xfId="25318" xr:uid="{00000000-0005-0000-0000-0000C7250000}"/>
    <cellStyle name="Normal 10 5" xfId="11753" xr:uid="{00000000-0005-0000-0000-0000C8250000}"/>
    <cellStyle name="Normal 10 5 10" xfId="25320" xr:uid="{00000000-0005-0000-0000-0000C9250000}"/>
    <cellStyle name="Normal 10 5 11" xfId="25321" xr:uid="{00000000-0005-0000-0000-0000CA250000}"/>
    <cellStyle name="Normal 10 5 12" xfId="25319" xr:uid="{00000000-0005-0000-0000-0000CB250000}"/>
    <cellStyle name="Normal 10 5 2" xfId="11754" xr:uid="{00000000-0005-0000-0000-0000CC250000}"/>
    <cellStyle name="Normal 10 5 2 2" xfId="11755" xr:uid="{00000000-0005-0000-0000-0000CD250000}"/>
    <cellStyle name="Normal 10 5 2 2 2" xfId="25324" xr:uid="{00000000-0005-0000-0000-0000CE250000}"/>
    <cellStyle name="Normal 10 5 2 2 3" xfId="25323" xr:uid="{00000000-0005-0000-0000-0000CF250000}"/>
    <cellStyle name="Normal 10 5 2 3" xfId="25325" xr:uid="{00000000-0005-0000-0000-0000D0250000}"/>
    <cellStyle name="Normal 10 5 2 3 2" xfId="25326" xr:uid="{00000000-0005-0000-0000-0000D1250000}"/>
    <cellStyle name="Normal 10 5 2 4" xfId="25327" xr:uid="{00000000-0005-0000-0000-0000D2250000}"/>
    <cellStyle name="Normal 10 5 2 4 2" xfId="25328" xr:uid="{00000000-0005-0000-0000-0000D3250000}"/>
    <cellStyle name="Normal 10 5 2 5" xfId="25329" xr:uid="{00000000-0005-0000-0000-0000D4250000}"/>
    <cellStyle name="Normal 10 5 2 6" xfId="25330" xr:uid="{00000000-0005-0000-0000-0000D5250000}"/>
    <cellStyle name="Normal 10 5 2 7" xfId="25322" xr:uid="{00000000-0005-0000-0000-0000D6250000}"/>
    <cellStyle name="Normal 10 5 3" xfId="11756" xr:uid="{00000000-0005-0000-0000-0000D7250000}"/>
    <cellStyle name="Normal 10 5 3 2" xfId="25332" xr:uid="{00000000-0005-0000-0000-0000D8250000}"/>
    <cellStyle name="Normal 10 5 3 2 2" xfId="25333" xr:uid="{00000000-0005-0000-0000-0000D9250000}"/>
    <cellStyle name="Normal 10 5 3 3" xfId="25334" xr:uid="{00000000-0005-0000-0000-0000DA250000}"/>
    <cellStyle name="Normal 10 5 3 3 2" xfId="25335" xr:uid="{00000000-0005-0000-0000-0000DB250000}"/>
    <cellStyle name="Normal 10 5 3 4" xfId="25336" xr:uid="{00000000-0005-0000-0000-0000DC250000}"/>
    <cellStyle name="Normal 10 5 3 4 2" xfId="25337" xr:uid="{00000000-0005-0000-0000-0000DD250000}"/>
    <cellStyle name="Normal 10 5 3 5" xfId="25338" xr:uid="{00000000-0005-0000-0000-0000DE250000}"/>
    <cellStyle name="Normal 10 5 3 6" xfId="25339" xr:uid="{00000000-0005-0000-0000-0000DF250000}"/>
    <cellStyle name="Normal 10 5 3 7" xfId="25331" xr:uid="{00000000-0005-0000-0000-0000E0250000}"/>
    <cellStyle name="Normal 10 5 4" xfId="11757" xr:uid="{00000000-0005-0000-0000-0000E1250000}"/>
    <cellStyle name="Normal 10 5 4 2" xfId="25341" xr:uid="{00000000-0005-0000-0000-0000E2250000}"/>
    <cellStyle name="Normal 10 5 4 2 2" xfId="25342" xr:uid="{00000000-0005-0000-0000-0000E3250000}"/>
    <cellStyle name="Normal 10 5 4 3" xfId="25343" xr:uid="{00000000-0005-0000-0000-0000E4250000}"/>
    <cellStyle name="Normal 10 5 4 3 2" xfId="25344" xr:uid="{00000000-0005-0000-0000-0000E5250000}"/>
    <cellStyle name="Normal 10 5 4 4" xfId="25345" xr:uid="{00000000-0005-0000-0000-0000E6250000}"/>
    <cellStyle name="Normal 10 5 4 4 2" xfId="25346" xr:uid="{00000000-0005-0000-0000-0000E7250000}"/>
    <cellStyle name="Normal 10 5 4 5" xfId="25347" xr:uid="{00000000-0005-0000-0000-0000E8250000}"/>
    <cellStyle name="Normal 10 5 4 6" xfId="25348" xr:uid="{00000000-0005-0000-0000-0000E9250000}"/>
    <cellStyle name="Normal 10 5 4 7" xfId="25340" xr:uid="{00000000-0005-0000-0000-0000EA250000}"/>
    <cellStyle name="Normal 10 5 5" xfId="25349" xr:uid="{00000000-0005-0000-0000-0000EB250000}"/>
    <cellStyle name="Normal 10 5 5 2" xfId="25350" xr:uid="{00000000-0005-0000-0000-0000EC250000}"/>
    <cellStyle name="Normal 10 5 5 2 2" xfId="25351" xr:uid="{00000000-0005-0000-0000-0000ED250000}"/>
    <cellStyle name="Normal 10 5 5 3" xfId="25352" xr:uid="{00000000-0005-0000-0000-0000EE250000}"/>
    <cellStyle name="Normal 10 5 5 3 2" xfId="25353" xr:uid="{00000000-0005-0000-0000-0000EF250000}"/>
    <cellStyle name="Normal 10 5 5 4" xfId="25354" xr:uid="{00000000-0005-0000-0000-0000F0250000}"/>
    <cellStyle name="Normal 10 5 5 4 2" xfId="25355" xr:uid="{00000000-0005-0000-0000-0000F1250000}"/>
    <cellStyle name="Normal 10 5 5 5" xfId="25356" xr:uid="{00000000-0005-0000-0000-0000F2250000}"/>
    <cellStyle name="Normal 10 5 5 6" xfId="25357" xr:uid="{00000000-0005-0000-0000-0000F3250000}"/>
    <cellStyle name="Normal 10 5 6" xfId="25358" xr:uid="{00000000-0005-0000-0000-0000F4250000}"/>
    <cellStyle name="Normal 10 5 6 2" xfId="25359" xr:uid="{00000000-0005-0000-0000-0000F5250000}"/>
    <cellStyle name="Normal 10 5 6 2 2" xfId="25360" xr:uid="{00000000-0005-0000-0000-0000F6250000}"/>
    <cellStyle name="Normal 10 5 6 3" xfId="25361" xr:uid="{00000000-0005-0000-0000-0000F7250000}"/>
    <cellStyle name="Normal 10 5 6 3 2" xfId="25362" xr:uid="{00000000-0005-0000-0000-0000F8250000}"/>
    <cellStyle name="Normal 10 5 6 4" xfId="25363" xr:uid="{00000000-0005-0000-0000-0000F9250000}"/>
    <cellStyle name="Normal 10 5 6 5" xfId="25364" xr:uid="{00000000-0005-0000-0000-0000FA250000}"/>
    <cellStyle name="Normal 10 5 7" xfId="25365" xr:uid="{00000000-0005-0000-0000-0000FB250000}"/>
    <cellStyle name="Normal 10 5 7 2" xfId="25366" xr:uid="{00000000-0005-0000-0000-0000FC250000}"/>
    <cellStyle name="Normal 10 5 8" xfId="25367" xr:uid="{00000000-0005-0000-0000-0000FD250000}"/>
    <cellStyle name="Normal 10 5 8 2" xfId="25368" xr:uid="{00000000-0005-0000-0000-0000FE250000}"/>
    <cellStyle name="Normal 10 5 9" xfId="25369" xr:uid="{00000000-0005-0000-0000-0000FF250000}"/>
    <cellStyle name="Normal 10 5 9 2" xfId="25370" xr:uid="{00000000-0005-0000-0000-000000260000}"/>
    <cellStyle name="Normal 10 6" xfId="11758" xr:uid="{00000000-0005-0000-0000-000001260000}"/>
    <cellStyle name="Normal 10 6 10" xfId="25372" xr:uid="{00000000-0005-0000-0000-000002260000}"/>
    <cellStyle name="Normal 10 6 11" xfId="25371" xr:uid="{00000000-0005-0000-0000-000003260000}"/>
    <cellStyle name="Normal 10 6 2" xfId="11759" xr:uid="{00000000-0005-0000-0000-000004260000}"/>
    <cellStyle name="Normal 10 6 2 2" xfId="25374" xr:uid="{00000000-0005-0000-0000-000005260000}"/>
    <cellStyle name="Normal 10 6 2 2 2" xfId="25375" xr:uid="{00000000-0005-0000-0000-000006260000}"/>
    <cellStyle name="Normal 10 6 2 3" xfId="25376" xr:uid="{00000000-0005-0000-0000-000007260000}"/>
    <cellStyle name="Normal 10 6 2 3 2" xfId="25377" xr:uid="{00000000-0005-0000-0000-000008260000}"/>
    <cellStyle name="Normal 10 6 2 4" xfId="25378" xr:uid="{00000000-0005-0000-0000-000009260000}"/>
    <cellStyle name="Normal 10 6 2 4 2" xfId="25379" xr:uid="{00000000-0005-0000-0000-00000A260000}"/>
    <cellStyle name="Normal 10 6 2 5" xfId="25380" xr:uid="{00000000-0005-0000-0000-00000B260000}"/>
    <cellStyle name="Normal 10 6 2 6" xfId="25381" xr:uid="{00000000-0005-0000-0000-00000C260000}"/>
    <cellStyle name="Normal 10 6 2 7" xfId="25373" xr:uid="{00000000-0005-0000-0000-00000D260000}"/>
    <cellStyle name="Normal 10 6 3" xfId="25382" xr:uid="{00000000-0005-0000-0000-00000E260000}"/>
    <cellStyle name="Normal 10 6 3 2" xfId="25383" xr:uid="{00000000-0005-0000-0000-00000F260000}"/>
    <cellStyle name="Normal 10 6 3 2 2" xfId="25384" xr:uid="{00000000-0005-0000-0000-000010260000}"/>
    <cellStyle name="Normal 10 6 3 3" xfId="25385" xr:uid="{00000000-0005-0000-0000-000011260000}"/>
    <cellStyle name="Normal 10 6 3 3 2" xfId="25386" xr:uid="{00000000-0005-0000-0000-000012260000}"/>
    <cellStyle name="Normal 10 6 3 4" xfId="25387" xr:uid="{00000000-0005-0000-0000-000013260000}"/>
    <cellStyle name="Normal 10 6 3 4 2" xfId="25388" xr:uid="{00000000-0005-0000-0000-000014260000}"/>
    <cellStyle name="Normal 10 6 3 5" xfId="25389" xr:uid="{00000000-0005-0000-0000-000015260000}"/>
    <cellStyle name="Normal 10 6 3 6" xfId="25390" xr:uid="{00000000-0005-0000-0000-000016260000}"/>
    <cellStyle name="Normal 10 6 4" xfId="25391" xr:uid="{00000000-0005-0000-0000-000017260000}"/>
    <cellStyle name="Normal 10 6 4 2" xfId="25392" xr:uid="{00000000-0005-0000-0000-000018260000}"/>
    <cellStyle name="Normal 10 6 4 2 2" xfId="25393" xr:uid="{00000000-0005-0000-0000-000019260000}"/>
    <cellStyle name="Normal 10 6 4 3" xfId="25394" xr:uid="{00000000-0005-0000-0000-00001A260000}"/>
    <cellStyle name="Normal 10 6 4 3 2" xfId="25395" xr:uid="{00000000-0005-0000-0000-00001B260000}"/>
    <cellStyle name="Normal 10 6 4 4" xfId="25396" xr:uid="{00000000-0005-0000-0000-00001C260000}"/>
    <cellStyle name="Normal 10 6 4 4 2" xfId="25397" xr:uid="{00000000-0005-0000-0000-00001D260000}"/>
    <cellStyle name="Normal 10 6 4 5" xfId="25398" xr:uid="{00000000-0005-0000-0000-00001E260000}"/>
    <cellStyle name="Normal 10 6 4 6" xfId="25399" xr:uid="{00000000-0005-0000-0000-00001F260000}"/>
    <cellStyle name="Normal 10 6 5" xfId="25400" xr:uid="{00000000-0005-0000-0000-000020260000}"/>
    <cellStyle name="Normal 10 6 5 2" xfId="25401" xr:uid="{00000000-0005-0000-0000-000021260000}"/>
    <cellStyle name="Normal 10 6 5 2 2" xfId="25402" xr:uid="{00000000-0005-0000-0000-000022260000}"/>
    <cellStyle name="Normal 10 6 5 3" xfId="25403" xr:uid="{00000000-0005-0000-0000-000023260000}"/>
    <cellStyle name="Normal 10 6 5 3 2" xfId="25404" xr:uid="{00000000-0005-0000-0000-000024260000}"/>
    <cellStyle name="Normal 10 6 5 4" xfId="25405" xr:uid="{00000000-0005-0000-0000-000025260000}"/>
    <cellStyle name="Normal 10 6 5 5" xfId="25406" xr:uid="{00000000-0005-0000-0000-000026260000}"/>
    <cellStyle name="Normal 10 6 6" xfId="25407" xr:uid="{00000000-0005-0000-0000-000027260000}"/>
    <cellStyle name="Normal 10 6 6 2" xfId="25408" xr:uid="{00000000-0005-0000-0000-000028260000}"/>
    <cellStyle name="Normal 10 6 7" xfId="25409" xr:uid="{00000000-0005-0000-0000-000029260000}"/>
    <cellStyle name="Normal 10 6 7 2" xfId="25410" xr:uid="{00000000-0005-0000-0000-00002A260000}"/>
    <cellStyle name="Normal 10 6 8" xfId="25411" xr:uid="{00000000-0005-0000-0000-00002B260000}"/>
    <cellStyle name="Normal 10 6 8 2" xfId="25412" xr:uid="{00000000-0005-0000-0000-00002C260000}"/>
    <cellStyle name="Normal 10 6 9" xfId="25413" xr:uid="{00000000-0005-0000-0000-00002D260000}"/>
    <cellStyle name="Normal 10 7" xfId="11760" xr:uid="{00000000-0005-0000-0000-00002E260000}"/>
    <cellStyle name="Normal 10 7 10" xfId="25415" xr:uid="{00000000-0005-0000-0000-00002F260000}"/>
    <cellStyle name="Normal 10 7 11" xfId="25414" xr:uid="{00000000-0005-0000-0000-000030260000}"/>
    <cellStyle name="Normal 10 7 2" xfId="25416" xr:uid="{00000000-0005-0000-0000-000031260000}"/>
    <cellStyle name="Normal 10 7 2 2" xfId="25417" xr:uid="{00000000-0005-0000-0000-000032260000}"/>
    <cellStyle name="Normal 10 7 2 2 2" xfId="25418" xr:uid="{00000000-0005-0000-0000-000033260000}"/>
    <cellStyle name="Normal 10 7 2 3" xfId="25419" xr:uid="{00000000-0005-0000-0000-000034260000}"/>
    <cellStyle name="Normal 10 7 2 3 2" xfId="25420" xr:uid="{00000000-0005-0000-0000-000035260000}"/>
    <cellStyle name="Normal 10 7 2 4" xfId="25421" xr:uid="{00000000-0005-0000-0000-000036260000}"/>
    <cellStyle name="Normal 10 7 2 4 2" xfId="25422" xr:uid="{00000000-0005-0000-0000-000037260000}"/>
    <cellStyle name="Normal 10 7 2 5" xfId="25423" xr:uid="{00000000-0005-0000-0000-000038260000}"/>
    <cellStyle name="Normal 10 7 2 6" xfId="25424" xr:uid="{00000000-0005-0000-0000-000039260000}"/>
    <cellStyle name="Normal 10 7 3" xfId="25425" xr:uid="{00000000-0005-0000-0000-00003A260000}"/>
    <cellStyle name="Normal 10 7 3 2" xfId="25426" xr:uid="{00000000-0005-0000-0000-00003B260000}"/>
    <cellStyle name="Normal 10 7 3 2 2" xfId="25427" xr:uid="{00000000-0005-0000-0000-00003C260000}"/>
    <cellStyle name="Normal 10 7 3 3" xfId="25428" xr:uid="{00000000-0005-0000-0000-00003D260000}"/>
    <cellStyle name="Normal 10 7 3 3 2" xfId="25429" xr:uid="{00000000-0005-0000-0000-00003E260000}"/>
    <cellStyle name="Normal 10 7 3 4" xfId="25430" xr:uid="{00000000-0005-0000-0000-00003F260000}"/>
    <cellStyle name="Normal 10 7 3 4 2" xfId="25431" xr:uid="{00000000-0005-0000-0000-000040260000}"/>
    <cellStyle name="Normal 10 7 3 5" xfId="25432" xr:uid="{00000000-0005-0000-0000-000041260000}"/>
    <cellStyle name="Normal 10 7 3 6" xfId="25433" xr:uid="{00000000-0005-0000-0000-000042260000}"/>
    <cellStyle name="Normal 10 7 4" xfId="25434" xr:uid="{00000000-0005-0000-0000-000043260000}"/>
    <cellStyle name="Normal 10 7 4 2" xfId="25435" xr:uid="{00000000-0005-0000-0000-000044260000}"/>
    <cellStyle name="Normal 10 7 4 2 2" xfId="25436" xr:uid="{00000000-0005-0000-0000-000045260000}"/>
    <cellStyle name="Normal 10 7 4 3" xfId="25437" xr:uid="{00000000-0005-0000-0000-000046260000}"/>
    <cellStyle name="Normal 10 7 4 3 2" xfId="25438" xr:uid="{00000000-0005-0000-0000-000047260000}"/>
    <cellStyle name="Normal 10 7 4 4" xfId="25439" xr:uid="{00000000-0005-0000-0000-000048260000}"/>
    <cellStyle name="Normal 10 7 4 4 2" xfId="25440" xr:uid="{00000000-0005-0000-0000-000049260000}"/>
    <cellStyle name="Normal 10 7 4 5" xfId="25441" xr:uid="{00000000-0005-0000-0000-00004A260000}"/>
    <cellStyle name="Normal 10 7 4 6" xfId="25442" xr:uid="{00000000-0005-0000-0000-00004B260000}"/>
    <cellStyle name="Normal 10 7 5" xfId="25443" xr:uid="{00000000-0005-0000-0000-00004C260000}"/>
    <cellStyle name="Normal 10 7 5 2" xfId="25444" xr:uid="{00000000-0005-0000-0000-00004D260000}"/>
    <cellStyle name="Normal 10 7 5 2 2" xfId="25445" xr:uid="{00000000-0005-0000-0000-00004E260000}"/>
    <cellStyle name="Normal 10 7 5 3" xfId="25446" xr:uid="{00000000-0005-0000-0000-00004F260000}"/>
    <cellStyle name="Normal 10 7 5 3 2" xfId="25447" xr:uid="{00000000-0005-0000-0000-000050260000}"/>
    <cellStyle name="Normal 10 7 5 4" xfId="25448" xr:uid="{00000000-0005-0000-0000-000051260000}"/>
    <cellStyle name="Normal 10 7 5 5" xfId="25449" xr:uid="{00000000-0005-0000-0000-000052260000}"/>
    <cellStyle name="Normal 10 7 6" xfId="25450" xr:uid="{00000000-0005-0000-0000-000053260000}"/>
    <cellStyle name="Normal 10 7 6 2" xfId="25451" xr:uid="{00000000-0005-0000-0000-000054260000}"/>
    <cellStyle name="Normal 10 7 7" xfId="25452" xr:uid="{00000000-0005-0000-0000-000055260000}"/>
    <cellStyle name="Normal 10 7 7 2" xfId="25453" xr:uid="{00000000-0005-0000-0000-000056260000}"/>
    <cellStyle name="Normal 10 7 8" xfId="25454" xr:uid="{00000000-0005-0000-0000-000057260000}"/>
    <cellStyle name="Normal 10 7 8 2" xfId="25455" xr:uid="{00000000-0005-0000-0000-000058260000}"/>
    <cellStyle name="Normal 10 7 9" xfId="25456" xr:uid="{00000000-0005-0000-0000-000059260000}"/>
    <cellStyle name="Normal 10 8" xfId="11761" xr:uid="{00000000-0005-0000-0000-00005A260000}"/>
    <cellStyle name="Normal 10 8 2" xfId="25458" xr:uid="{00000000-0005-0000-0000-00005B260000}"/>
    <cellStyle name="Normal 10 8 2 2" xfId="25459" xr:uid="{00000000-0005-0000-0000-00005C260000}"/>
    <cellStyle name="Normal 10 8 3" xfId="25460" xr:uid="{00000000-0005-0000-0000-00005D260000}"/>
    <cellStyle name="Normal 10 8 3 2" xfId="25461" xr:uid="{00000000-0005-0000-0000-00005E260000}"/>
    <cellStyle name="Normal 10 8 4" xfId="25462" xr:uid="{00000000-0005-0000-0000-00005F260000}"/>
    <cellStyle name="Normal 10 8 4 2" xfId="25463" xr:uid="{00000000-0005-0000-0000-000060260000}"/>
    <cellStyle name="Normal 10 8 5" xfId="25464" xr:uid="{00000000-0005-0000-0000-000061260000}"/>
    <cellStyle name="Normal 10 8 6" xfId="25465" xr:uid="{00000000-0005-0000-0000-000062260000}"/>
    <cellStyle name="Normal 10 8 7" xfId="25457" xr:uid="{00000000-0005-0000-0000-000063260000}"/>
    <cellStyle name="Normal 10 9" xfId="25466" xr:uid="{00000000-0005-0000-0000-000064260000}"/>
    <cellStyle name="Normal 10 9 2" xfId="25467" xr:uid="{00000000-0005-0000-0000-000065260000}"/>
    <cellStyle name="Normal 10 9 2 2" xfId="25468" xr:uid="{00000000-0005-0000-0000-000066260000}"/>
    <cellStyle name="Normal 10 9 3" xfId="25469" xr:uid="{00000000-0005-0000-0000-000067260000}"/>
    <cellStyle name="Normal 10 9 3 2" xfId="25470" xr:uid="{00000000-0005-0000-0000-000068260000}"/>
    <cellStyle name="Normal 10 9 4" xfId="25471" xr:uid="{00000000-0005-0000-0000-000069260000}"/>
    <cellStyle name="Normal 10 9 4 2" xfId="25472" xr:uid="{00000000-0005-0000-0000-00006A260000}"/>
    <cellStyle name="Normal 10 9 5" xfId="25473" xr:uid="{00000000-0005-0000-0000-00006B260000}"/>
    <cellStyle name="Normal 10 9 6" xfId="25474" xr:uid="{00000000-0005-0000-0000-00006C260000}"/>
    <cellStyle name="Normal 100" xfId="15040" xr:uid="{00000000-0005-0000-0000-00006D260000}"/>
    <cellStyle name="Normal 101" xfId="15042" xr:uid="{00000000-0005-0000-0000-00006E260000}"/>
    <cellStyle name="Normal 102" xfId="15044" xr:uid="{00000000-0005-0000-0000-00006F260000}"/>
    <cellStyle name="Normal 103" xfId="15046" xr:uid="{00000000-0005-0000-0000-000070260000}"/>
    <cellStyle name="Normal 104" xfId="15048" xr:uid="{00000000-0005-0000-0000-000071260000}"/>
    <cellStyle name="Normal 105" xfId="15050" xr:uid="{00000000-0005-0000-0000-000072260000}"/>
    <cellStyle name="Normal 106" xfId="15052" xr:uid="{00000000-0005-0000-0000-000073260000}"/>
    <cellStyle name="Normal 107" xfId="43980" xr:uid="{00000000-0005-0000-0000-000074260000}"/>
    <cellStyle name="Normal 108" xfId="43985" xr:uid="{DEA5F406-92AB-4552-88D2-91499D641249}"/>
    <cellStyle name="Normal 109" xfId="43987" xr:uid="{A65861B7-78BA-4214-B8C7-F7928B88B671}"/>
    <cellStyle name="Normal 11" xfId="1485" xr:uid="{00000000-0005-0000-0000-000075260000}"/>
    <cellStyle name="Normal 11 10" xfId="25475" xr:uid="{00000000-0005-0000-0000-000076260000}"/>
    <cellStyle name="Normal 11 10 2" xfId="25476" xr:uid="{00000000-0005-0000-0000-000077260000}"/>
    <cellStyle name="Normal 11 11" xfId="25477" xr:uid="{00000000-0005-0000-0000-000078260000}"/>
    <cellStyle name="Normal 11 12" xfId="25478" xr:uid="{00000000-0005-0000-0000-000079260000}"/>
    <cellStyle name="Normal 11 13" xfId="25479" xr:uid="{00000000-0005-0000-0000-00007A260000}"/>
    <cellStyle name="Normal 11 2" xfId="1486" xr:uid="{00000000-0005-0000-0000-00007B260000}"/>
    <cellStyle name="Normal 11 2 10" xfId="25480" xr:uid="{00000000-0005-0000-0000-00007C260000}"/>
    <cellStyle name="Normal 11 2 11" xfId="25481" xr:uid="{00000000-0005-0000-0000-00007D260000}"/>
    <cellStyle name="Normal 11 2 2" xfId="11762" xr:uid="{00000000-0005-0000-0000-00007E260000}"/>
    <cellStyle name="Normal 11 2 2 2" xfId="11763" xr:uid="{00000000-0005-0000-0000-00007F260000}"/>
    <cellStyle name="Normal 11 2 2 2 2" xfId="11764" xr:uid="{00000000-0005-0000-0000-000080260000}"/>
    <cellStyle name="Normal 11 2 2 2 2 2" xfId="11765" xr:uid="{00000000-0005-0000-0000-000081260000}"/>
    <cellStyle name="Normal 11 2 2 2 2 3" xfId="25484" xr:uid="{00000000-0005-0000-0000-000082260000}"/>
    <cellStyle name="Normal 11 2 2 2 3" xfId="11766" xr:uid="{00000000-0005-0000-0000-000083260000}"/>
    <cellStyle name="Normal 11 2 2 2 4" xfId="11767" xr:uid="{00000000-0005-0000-0000-000084260000}"/>
    <cellStyle name="Normal 11 2 2 2 5" xfId="25483" xr:uid="{00000000-0005-0000-0000-000085260000}"/>
    <cellStyle name="Normal 11 2 2 3" xfId="11768" xr:uid="{00000000-0005-0000-0000-000086260000}"/>
    <cellStyle name="Normal 11 2 2 3 2" xfId="11769" xr:uid="{00000000-0005-0000-0000-000087260000}"/>
    <cellStyle name="Normal 11 2 2 3 2 2" xfId="25486" xr:uid="{00000000-0005-0000-0000-000088260000}"/>
    <cellStyle name="Normal 11 2 2 3 3" xfId="25485" xr:uid="{00000000-0005-0000-0000-000089260000}"/>
    <cellStyle name="Normal 11 2 2 4" xfId="11770" xr:uid="{00000000-0005-0000-0000-00008A260000}"/>
    <cellStyle name="Normal 11 2 2 4 2" xfId="25488" xr:uid="{00000000-0005-0000-0000-00008B260000}"/>
    <cellStyle name="Normal 11 2 2 4 3" xfId="25487" xr:uid="{00000000-0005-0000-0000-00008C260000}"/>
    <cellStyle name="Normal 11 2 2 5" xfId="11771" xr:uid="{00000000-0005-0000-0000-00008D260000}"/>
    <cellStyle name="Normal 11 2 2 5 2" xfId="25489" xr:uid="{00000000-0005-0000-0000-00008E260000}"/>
    <cellStyle name="Normal 11 2 2 6" xfId="25490" xr:uid="{00000000-0005-0000-0000-00008F260000}"/>
    <cellStyle name="Normal 11 2 2 7" xfId="25482" xr:uid="{00000000-0005-0000-0000-000090260000}"/>
    <cellStyle name="Normal 11 2 3" xfId="11772" xr:uid="{00000000-0005-0000-0000-000091260000}"/>
    <cellStyle name="Normal 11 2 3 2" xfId="11773" xr:uid="{00000000-0005-0000-0000-000092260000}"/>
    <cellStyle name="Normal 11 2 3 2 2" xfId="11774" xr:uid="{00000000-0005-0000-0000-000093260000}"/>
    <cellStyle name="Normal 11 2 3 2 2 2" xfId="25493" xr:uid="{00000000-0005-0000-0000-000094260000}"/>
    <cellStyle name="Normal 11 2 3 2 3" xfId="25492" xr:uid="{00000000-0005-0000-0000-000095260000}"/>
    <cellStyle name="Normal 11 2 3 3" xfId="11775" xr:uid="{00000000-0005-0000-0000-000096260000}"/>
    <cellStyle name="Normal 11 2 3 3 2" xfId="25495" xr:uid="{00000000-0005-0000-0000-000097260000}"/>
    <cellStyle name="Normal 11 2 3 3 3" xfId="25494" xr:uid="{00000000-0005-0000-0000-000098260000}"/>
    <cellStyle name="Normal 11 2 3 4" xfId="11776" xr:uid="{00000000-0005-0000-0000-000099260000}"/>
    <cellStyle name="Normal 11 2 3 4 2" xfId="25497" xr:uid="{00000000-0005-0000-0000-00009A260000}"/>
    <cellStyle name="Normal 11 2 3 4 3" xfId="25496" xr:uid="{00000000-0005-0000-0000-00009B260000}"/>
    <cellStyle name="Normal 11 2 3 5" xfId="25498" xr:uid="{00000000-0005-0000-0000-00009C260000}"/>
    <cellStyle name="Normal 11 2 3 6" xfId="25499" xr:uid="{00000000-0005-0000-0000-00009D260000}"/>
    <cellStyle name="Normal 11 2 3 7" xfId="25491" xr:uid="{00000000-0005-0000-0000-00009E260000}"/>
    <cellStyle name="Normal 11 2 4" xfId="11777" xr:uid="{00000000-0005-0000-0000-00009F260000}"/>
    <cellStyle name="Normal 11 2 4 2" xfId="11778" xr:uid="{00000000-0005-0000-0000-0000A0260000}"/>
    <cellStyle name="Normal 11 2 4 2 2" xfId="11779" xr:uid="{00000000-0005-0000-0000-0000A1260000}"/>
    <cellStyle name="Normal 11 2 4 2 2 2" xfId="25502" xr:uid="{00000000-0005-0000-0000-0000A2260000}"/>
    <cellStyle name="Normal 11 2 4 2 3" xfId="25501" xr:uid="{00000000-0005-0000-0000-0000A3260000}"/>
    <cellStyle name="Normal 11 2 4 3" xfId="11780" xr:uid="{00000000-0005-0000-0000-0000A4260000}"/>
    <cellStyle name="Normal 11 2 4 3 2" xfId="25504" xr:uid="{00000000-0005-0000-0000-0000A5260000}"/>
    <cellStyle name="Normal 11 2 4 3 3" xfId="25503" xr:uid="{00000000-0005-0000-0000-0000A6260000}"/>
    <cellStyle name="Normal 11 2 4 4" xfId="11781" xr:uid="{00000000-0005-0000-0000-0000A7260000}"/>
    <cellStyle name="Normal 11 2 4 4 2" xfId="25506" xr:uid="{00000000-0005-0000-0000-0000A8260000}"/>
    <cellStyle name="Normal 11 2 4 4 3" xfId="25505" xr:uid="{00000000-0005-0000-0000-0000A9260000}"/>
    <cellStyle name="Normal 11 2 4 5" xfId="25507" xr:uid="{00000000-0005-0000-0000-0000AA260000}"/>
    <cellStyle name="Normal 11 2 4 6" xfId="25508" xr:uid="{00000000-0005-0000-0000-0000AB260000}"/>
    <cellStyle name="Normal 11 2 4 7" xfId="25500" xr:uid="{00000000-0005-0000-0000-0000AC260000}"/>
    <cellStyle name="Normal 11 2 5" xfId="11782" xr:uid="{00000000-0005-0000-0000-0000AD260000}"/>
    <cellStyle name="Normal 11 2 5 2" xfId="11783" xr:uid="{00000000-0005-0000-0000-0000AE260000}"/>
    <cellStyle name="Normal 11 2 5 2 2" xfId="11784" xr:uid="{00000000-0005-0000-0000-0000AF260000}"/>
    <cellStyle name="Normal 11 2 5 2 2 2" xfId="25511" xr:uid="{00000000-0005-0000-0000-0000B0260000}"/>
    <cellStyle name="Normal 11 2 5 2 3" xfId="25510" xr:uid="{00000000-0005-0000-0000-0000B1260000}"/>
    <cellStyle name="Normal 11 2 5 3" xfId="11785" xr:uid="{00000000-0005-0000-0000-0000B2260000}"/>
    <cellStyle name="Normal 11 2 5 3 2" xfId="25513" xr:uid="{00000000-0005-0000-0000-0000B3260000}"/>
    <cellStyle name="Normal 11 2 5 3 3" xfId="25512" xr:uid="{00000000-0005-0000-0000-0000B4260000}"/>
    <cellStyle name="Normal 11 2 5 4" xfId="11786" xr:uid="{00000000-0005-0000-0000-0000B5260000}"/>
    <cellStyle name="Normal 11 2 5 4 2" xfId="25514" xr:uid="{00000000-0005-0000-0000-0000B6260000}"/>
    <cellStyle name="Normal 11 2 5 5" xfId="25515" xr:uid="{00000000-0005-0000-0000-0000B7260000}"/>
    <cellStyle name="Normal 11 2 5 6" xfId="25509" xr:uid="{00000000-0005-0000-0000-0000B8260000}"/>
    <cellStyle name="Normal 11 2 6" xfId="11787" xr:uid="{00000000-0005-0000-0000-0000B9260000}"/>
    <cellStyle name="Normal 11 2 6 2" xfId="11788" xr:uid="{00000000-0005-0000-0000-0000BA260000}"/>
    <cellStyle name="Normal 11 2 6 2 2" xfId="25517" xr:uid="{00000000-0005-0000-0000-0000BB260000}"/>
    <cellStyle name="Normal 11 2 6 3" xfId="25516" xr:uid="{00000000-0005-0000-0000-0000BC260000}"/>
    <cellStyle name="Normal 11 2 7" xfId="11789" xr:uid="{00000000-0005-0000-0000-0000BD260000}"/>
    <cellStyle name="Normal 11 2 7 2" xfId="25519" xr:uid="{00000000-0005-0000-0000-0000BE260000}"/>
    <cellStyle name="Normal 11 2 7 3" xfId="25518" xr:uid="{00000000-0005-0000-0000-0000BF260000}"/>
    <cellStyle name="Normal 11 2 8" xfId="11790" xr:uid="{00000000-0005-0000-0000-0000C0260000}"/>
    <cellStyle name="Normal 11 2 8 2" xfId="25521" xr:uid="{00000000-0005-0000-0000-0000C1260000}"/>
    <cellStyle name="Normal 11 2 8 3" xfId="25520" xr:uid="{00000000-0005-0000-0000-0000C2260000}"/>
    <cellStyle name="Normal 11 2 9" xfId="25522" xr:uid="{00000000-0005-0000-0000-0000C3260000}"/>
    <cellStyle name="Normal 11 3" xfId="11791" xr:uid="{00000000-0005-0000-0000-0000C4260000}"/>
    <cellStyle name="Normal 11 3 10" xfId="25524" xr:uid="{00000000-0005-0000-0000-0000C5260000}"/>
    <cellStyle name="Normal 11 3 11" xfId="25523" xr:uid="{00000000-0005-0000-0000-0000C6260000}"/>
    <cellStyle name="Normal 11 3 2" xfId="11792" xr:uid="{00000000-0005-0000-0000-0000C7260000}"/>
    <cellStyle name="Normal 11 3 2 2" xfId="11793" xr:uid="{00000000-0005-0000-0000-0000C8260000}"/>
    <cellStyle name="Normal 11 3 2 2 2" xfId="11794" xr:uid="{00000000-0005-0000-0000-0000C9260000}"/>
    <cellStyle name="Normal 11 3 2 2 2 2" xfId="25527" xr:uid="{00000000-0005-0000-0000-0000CA260000}"/>
    <cellStyle name="Normal 11 3 2 2 3" xfId="25526" xr:uid="{00000000-0005-0000-0000-0000CB260000}"/>
    <cellStyle name="Normal 11 3 2 3" xfId="11795" xr:uid="{00000000-0005-0000-0000-0000CC260000}"/>
    <cellStyle name="Normal 11 3 2 3 2" xfId="25529" xr:uid="{00000000-0005-0000-0000-0000CD260000}"/>
    <cellStyle name="Normal 11 3 2 3 3" xfId="25528" xr:uid="{00000000-0005-0000-0000-0000CE260000}"/>
    <cellStyle name="Normal 11 3 2 4" xfId="11796" xr:uid="{00000000-0005-0000-0000-0000CF260000}"/>
    <cellStyle name="Normal 11 3 2 4 2" xfId="25531" xr:uid="{00000000-0005-0000-0000-0000D0260000}"/>
    <cellStyle name="Normal 11 3 2 4 3" xfId="25530" xr:uid="{00000000-0005-0000-0000-0000D1260000}"/>
    <cellStyle name="Normal 11 3 2 5" xfId="25532" xr:uid="{00000000-0005-0000-0000-0000D2260000}"/>
    <cellStyle name="Normal 11 3 2 6" xfId="25533" xr:uid="{00000000-0005-0000-0000-0000D3260000}"/>
    <cellStyle name="Normal 11 3 2 7" xfId="25525" xr:uid="{00000000-0005-0000-0000-0000D4260000}"/>
    <cellStyle name="Normal 11 3 3" xfId="11797" xr:uid="{00000000-0005-0000-0000-0000D5260000}"/>
    <cellStyle name="Normal 11 3 3 2" xfId="11798" xr:uid="{00000000-0005-0000-0000-0000D6260000}"/>
    <cellStyle name="Normal 11 3 3 2 2" xfId="25536" xr:uid="{00000000-0005-0000-0000-0000D7260000}"/>
    <cellStyle name="Normal 11 3 3 2 3" xfId="25535" xr:uid="{00000000-0005-0000-0000-0000D8260000}"/>
    <cellStyle name="Normal 11 3 3 3" xfId="25537" xr:uid="{00000000-0005-0000-0000-0000D9260000}"/>
    <cellStyle name="Normal 11 3 3 3 2" xfId="25538" xr:uid="{00000000-0005-0000-0000-0000DA260000}"/>
    <cellStyle name="Normal 11 3 3 4" xfId="25539" xr:uid="{00000000-0005-0000-0000-0000DB260000}"/>
    <cellStyle name="Normal 11 3 3 4 2" xfId="25540" xr:uid="{00000000-0005-0000-0000-0000DC260000}"/>
    <cellStyle name="Normal 11 3 3 5" xfId="25541" xr:uid="{00000000-0005-0000-0000-0000DD260000}"/>
    <cellStyle name="Normal 11 3 3 6" xfId="25542" xr:uid="{00000000-0005-0000-0000-0000DE260000}"/>
    <cellStyle name="Normal 11 3 3 7" xfId="25534" xr:uid="{00000000-0005-0000-0000-0000DF260000}"/>
    <cellStyle name="Normal 11 3 4" xfId="11799" xr:uid="{00000000-0005-0000-0000-0000E0260000}"/>
    <cellStyle name="Normal 11 3 4 2" xfId="25544" xr:uid="{00000000-0005-0000-0000-0000E1260000}"/>
    <cellStyle name="Normal 11 3 4 2 2" xfId="25545" xr:uid="{00000000-0005-0000-0000-0000E2260000}"/>
    <cellStyle name="Normal 11 3 4 3" xfId="25546" xr:uid="{00000000-0005-0000-0000-0000E3260000}"/>
    <cellStyle name="Normal 11 3 4 3 2" xfId="25547" xr:uid="{00000000-0005-0000-0000-0000E4260000}"/>
    <cellStyle name="Normal 11 3 4 4" xfId="25548" xr:uid="{00000000-0005-0000-0000-0000E5260000}"/>
    <cellStyle name="Normal 11 3 4 4 2" xfId="25549" xr:uid="{00000000-0005-0000-0000-0000E6260000}"/>
    <cellStyle name="Normal 11 3 4 5" xfId="25550" xr:uid="{00000000-0005-0000-0000-0000E7260000}"/>
    <cellStyle name="Normal 11 3 4 6" xfId="25551" xr:uid="{00000000-0005-0000-0000-0000E8260000}"/>
    <cellStyle name="Normal 11 3 4 7" xfId="25543" xr:uid="{00000000-0005-0000-0000-0000E9260000}"/>
    <cellStyle name="Normal 11 3 5" xfId="11800" xr:uid="{00000000-0005-0000-0000-0000EA260000}"/>
    <cellStyle name="Normal 11 3 5 2" xfId="25553" xr:uid="{00000000-0005-0000-0000-0000EB260000}"/>
    <cellStyle name="Normal 11 3 5 2 2" xfId="25554" xr:uid="{00000000-0005-0000-0000-0000EC260000}"/>
    <cellStyle name="Normal 11 3 5 3" xfId="25555" xr:uid="{00000000-0005-0000-0000-0000ED260000}"/>
    <cellStyle name="Normal 11 3 5 3 2" xfId="25556" xr:uid="{00000000-0005-0000-0000-0000EE260000}"/>
    <cellStyle name="Normal 11 3 5 4" xfId="25557" xr:uid="{00000000-0005-0000-0000-0000EF260000}"/>
    <cellStyle name="Normal 11 3 5 5" xfId="25558" xr:uid="{00000000-0005-0000-0000-0000F0260000}"/>
    <cellStyle name="Normal 11 3 5 6" xfId="25552" xr:uid="{00000000-0005-0000-0000-0000F1260000}"/>
    <cellStyle name="Normal 11 3 6" xfId="25559" xr:uid="{00000000-0005-0000-0000-0000F2260000}"/>
    <cellStyle name="Normal 11 3 6 2" xfId="25560" xr:uid="{00000000-0005-0000-0000-0000F3260000}"/>
    <cellStyle name="Normal 11 3 7" xfId="25561" xr:uid="{00000000-0005-0000-0000-0000F4260000}"/>
    <cellStyle name="Normal 11 3 7 2" xfId="25562" xr:uid="{00000000-0005-0000-0000-0000F5260000}"/>
    <cellStyle name="Normal 11 3 8" xfId="25563" xr:uid="{00000000-0005-0000-0000-0000F6260000}"/>
    <cellStyle name="Normal 11 3 8 2" xfId="25564" xr:uid="{00000000-0005-0000-0000-0000F7260000}"/>
    <cellStyle name="Normal 11 3 9" xfId="25565" xr:uid="{00000000-0005-0000-0000-0000F8260000}"/>
    <cellStyle name="Normal 11 4" xfId="11801" xr:uid="{00000000-0005-0000-0000-0000F9260000}"/>
    <cellStyle name="Normal 11 4 2" xfId="11802" xr:uid="{00000000-0005-0000-0000-0000FA260000}"/>
    <cellStyle name="Normal 11 4 2 2" xfId="11803" xr:uid="{00000000-0005-0000-0000-0000FB260000}"/>
    <cellStyle name="Normal 11 4 2 2 2" xfId="25568" xr:uid="{00000000-0005-0000-0000-0000FC260000}"/>
    <cellStyle name="Normal 11 4 2 3" xfId="25567" xr:uid="{00000000-0005-0000-0000-0000FD260000}"/>
    <cellStyle name="Normal 11 4 3" xfId="11804" xr:uid="{00000000-0005-0000-0000-0000FE260000}"/>
    <cellStyle name="Normal 11 4 3 2" xfId="25570" xr:uid="{00000000-0005-0000-0000-0000FF260000}"/>
    <cellStyle name="Normal 11 4 3 3" xfId="25569" xr:uid="{00000000-0005-0000-0000-000000270000}"/>
    <cellStyle name="Normal 11 4 4" xfId="11805" xr:uid="{00000000-0005-0000-0000-000001270000}"/>
    <cellStyle name="Normal 11 4 4 2" xfId="25572" xr:uid="{00000000-0005-0000-0000-000002270000}"/>
    <cellStyle name="Normal 11 4 4 3" xfId="25571" xr:uid="{00000000-0005-0000-0000-000003270000}"/>
    <cellStyle name="Normal 11 4 5" xfId="25573" xr:uid="{00000000-0005-0000-0000-000004270000}"/>
    <cellStyle name="Normal 11 4 6" xfId="25574" xr:uid="{00000000-0005-0000-0000-000005270000}"/>
    <cellStyle name="Normal 11 4 7" xfId="25566" xr:uid="{00000000-0005-0000-0000-000006270000}"/>
    <cellStyle name="Normal 11 5" xfId="11806" xr:uid="{00000000-0005-0000-0000-000007270000}"/>
    <cellStyle name="Normal 11 5 2" xfId="11807" xr:uid="{00000000-0005-0000-0000-000008270000}"/>
    <cellStyle name="Normal 11 5 2 2" xfId="11808" xr:uid="{00000000-0005-0000-0000-000009270000}"/>
    <cellStyle name="Normal 11 5 2 2 2" xfId="25577" xr:uid="{00000000-0005-0000-0000-00000A270000}"/>
    <cellStyle name="Normal 11 5 2 3" xfId="25576" xr:uid="{00000000-0005-0000-0000-00000B270000}"/>
    <cellStyle name="Normal 11 5 3" xfId="11809" xr:uid="{00000000-0005-0000-0000-00000C270000}"/>
    <cellStyle name="Normal 11 5 3 2" xfId="25579" xr:uid="{00000000-0005-0000-0000-00000D270000}"/>
    <cellStyle name="Normal 11 5 3 3" xfId="25578" xr:uid="{00000000-0005-0000-0000-00000E270000}"/>
    <cellStyle name="Normal 11 5 4" xfId="11810" xr:uid="{00000000-0005-0000-0000-00000F270000}"/>
    <cellStyle name="Normal 11 5 4 2" xfId="25581" xr:uid="{00000000-0005-0000-0000-000010270000}"/>
    <cellStyle name="Normal 11 5 4 3" xfId="25580" xr:uid="{00000000-0005-0000-0000-000011270000}"/>
    <cellStyle name="Normal 11 5 5" xfId="25582" xr:uid="{00000000-0005-0000-0000-000012270000}"/>
    <cellStyle name="Normal 11 5 6" xfId="25583" xr:uid="{00000000-0005-0000-0000-000013270000}"/>
    <cellStyle name="Normal 11 5 7" xfId="25575" xr:uid="{00000000-0005-0000-0000-000014270000}"/>
    <cellStyle name="Normal 11 6" xfId="11811" xr:uid="{00000000-0005-0000-0000-000015270000}"/>
    <cellStyle name="Normal 11 6 2" xfId="11812" xr:uid="{00000000-0005-0000-0000-000016270000}"/>
    <cellStyle name="Normal 11 6 2 2" xfId="11813" xr:uid="{00000000-0005-0000-0000-000017270000}"/>
    <cellStyle name="Normal 11 6 2 2 2" xfId="25586" xr:uid="{00000000-0005-0000-0000-000018270000}"/>
    <cellStyle name="Normal 11 6 2 3" xfId="25585" xr:uid="{00000000-0005-0000-0000-000019270000}"/>
    <cellStyle name="Normal 11 6 3" xfId="11814" xr:uid="{00000000-0005-0000-0000-00001A270000}"/>
    <cellStyle name="Normal 11 6 3 2" xfId="25588" xr:uid="{00000000-0005-0000-0000-00001B270000}"/>
    <cellStyle name="Normal 11 6 3 3" xfId="25587" xr:uid="{00000000-0005-0000-0000-00001C270000}"/>
    <cellStyle name="Normal 11 6 4" xfId="11815" xr:uid="{00000000-0005-0000-0000-00001D270000}"/>
    <cellStyle name="Normal 11 6 4 2" xfId="25590" xr:uid="{00000000-0005-0000-0000-00001E270000}"/>
    <cellStyle name="Normal 11 6 4 3" xfId="25589" xr:uid="{00000000-0005-0000-0000-00001F270000}"/>
    <cellStyle name="Normal 11 6 5" xfId="25591" xr:uid="{00000000-0005-0000-0000-000020270000}"/>
    <cellStyle name="Normal 11 6 6" xfId="25592" xr:uid="{00000000-0005-0000-0000-000021270000}"/>
    <cellStyle name="Normal 11 6 7" xfId="25584" xr:uid="{00000000-0005-0000-0000-000022270000}"/>
    <cellStyle name="Normal 11 7" xfId="11816" xr:uid="{00000000-0005-0000-0000-000023270000}"/>
    <cellStyle name="Normal 11 7 2" xfId="11817" xr:uid="{00000000-0005-0000-0000-000024270000}"/>
    <cellStyle name="Normal 11 7 2 2" xfId="25595" xr:uid="{00000000-0005-0000-0000-000025270000}"/>
    <cellStyle name="Normal 11 7 2 3" xfId="25594" xr:uid="{00000000-0005-0000-0000-000026270000}"/>
    <cellStyle name="Normal 11 7 3" xfId="25596" xr:uid="{00000000-0005-0000-0000-000027270000}"/>
    <cellStyle name="Normal 11 7 3 2" xfId="25597" xr:uid="{00000000-0005-0000-0000-000028270000}"/>
    <cellStyle name="Normal 11 7 4" xfId="25598" xr:uid="{00000000-0005-0000-0000-000029270000}"/>
    <cellStyle name="Normal 11 7 5" xfId="25599" xr:uid="{00000000-0005-0000-0000-00002A270000}"/>
    <cellStyle name="Normal 11 7 6" xfId="25593" xr:uid="{00000000-0005-0000-0000-00002B270000}"/>
    <cellStyle name="Normal 11 8" xfId="11818" xr:uid="{00000000-0005-0000-0000-00002C270000}"/>
    <cellStyle name="Normal 11 8 2" xfId="25601" xr:uid="{00000000-0005-0000-0000-00002D270000}"/>
    <cellStyle name="Normal 11 8 3" xfId="25600" xr:uid="{00000000-0005-0000-0000-00002E270000}"/>
    <cellStyle name="Normal 11 9" xfId="11819" xr:uid="{00000000-0005-0000-0000-00002F270000}"/>
    <cellStyle name="Normal 11 9 2" xfId="25603" xr:uid="{00000000-0005-0000-0000-000030270000}"/>
    <cellStyle name="Normal 11 9 3" xfId="25602" xr:uid="{00000000-0005-0000-0000-000031270000}"/>
    <cellStyle name="Normal 110" xfId="43988" xr:uid="{8733EDFA-2B89-447B-8393-693F83D6A2DA}"/>
    <cellStyle name="Normal 111" xfId="43989" xr:uid="{49DCFB3B-AF64-4921-B53B-D546824D3CC8}"/>
    <cellStyle name="Normal 12" xfId="1487" xr:uid="{00000000-0005-0000-0000-000032270000}"/>
    <cellStyle name="Normal 12 2" xfId="11820" xr:uid="{00000000-0005-0000-0000-000033270000}"/>
    <cellStyle name="Normal 12 2 2" xfId="11821" xr:uid="{00000000-0005-0000-0000-000034270000}"/>
    <cellStyle name="Normal 12 2 2 2" xfId="11822" xr:uid="{00000000-0005-0000-0000-000035270000}"/>
    <cellStyle name="Normal 12 2 2 2 2" xfId="11823" xr:uid="{00000000-0005-0000-0000-000036270000}"/>
    <cellStyle name="Normal 12 2 2 3" xfId="11824" xr:uid="{00000000-0005-0000-0000-000037270000}"/>
    <cellStyle name="Normal 12 2 2 4" xfId="11825" xr:uid="{00000000-0005-0000-0000-000038270000}"/>
    <cellStyle name="Normal 12 2 2 5" xfId="25606" xr:uid="{00000000-0005-0000-0000-000039270000}"/>
    <cellStyle name="Normal 12 2 3" xfId="11826" xr:uid="{00000000-0005-0000-0000-00003A270000}"/>
    <cellStyle name="Normal 12 2 3 2" xfId="11827" xr:uid="{00000000-0005-0000-0000-00003B270000}"/>
    <cellStyle name="Normal 12 2 3 3" xfId="25607" xr:uid="{00000000-0005-0000-0000-00003C270000}"/>
    <cellStyle name="Normal 12 2 4" xfId="11828" xr:uid="{00000000-0005-0000-0000-00003D270000}"/>
    <cellStyle name="Normal 12 2 5" xfId="11829" xr:uid="{00000000-0005-0000-0000-00003E270000}"/>
    <cellStyle name="Normal 12 2 6" xfId="25605" xr:uid="{00000000-0005-0000-0000-00003F270000}"/>
    <cellStyle name="Normal 12 3" xfId="11830" xr:uid="{00000000-0005-0000-0000-000040270000}"/>
    <cellStyle name="Normal 12 3 2" xfId="11831" xr:uid="{00000000-0005-0000-0000-000041270000}"/>
    <cellStyle name="Normal 12 3 2 2" xfId="11832" xr:uid="{00000000-0005-0000-0000-000042270000}"/>
    <cellStyle name="Normal 12 3 2 3" xfId="25609" xr:uid="{00000000-0005-0000-0000-000043270000}"/>
    <cellStyle name="Normal 12 3 3" xfId="11833" xr:uid="{00000000-0005-0000-0000-000044270000}"/>
    <cellStyle name="Normal 12 3 4" xfId="11834" xr:uid="{00000000-0005-0000-0000-000045270000}"/>
    <cellStyle name="Normal 12 3 5" xfId="25608" xr:uid="{00000000-0005-0000-0000-000046270000}"/>
    <cellStyle name="Normal 12 4" xfId="11835" xr:uid="{00000000-0005-0000-0000-000047270000}"/>
    <cellStyle name="Normal 12 4 2" xfId="11836" xr:uid="{00000000-0005-0000-0000-000048270000}"/>
    <cellStyle name="Normal 12 4 2 2" xfId="11837" xr:uid="{00000000-0005-0000-0000-000049270000}"/>
    <cellStyle name="Normal 12 4 3" xfId="11838" xr:uid="{00000000-0005-0000-0000-00004A270000}"/>
    <cellStyle name="Normal 12 4 4" xfId="11839" xr:uid="{00000000-0005-0000-0000-00004B270000}"/>
    <cellStyle name="Normal 12 4 5" xfId="25610" xr:uid="{00000000-0005-0000-0000-00004C270000}"/>
    <cellStyle name="Normal 12 5" xfId="11840" xr:uid="{00000000-0005-0000-0000-00004D270000}"/>
    <cellStyle name="Normal 12 5 2" xfId="11841" xr:uid="{00000000-0005-0000-0000-00004E270000}"/>
    <cellStyle name="Normal 12 5 2 2" xfId="11842" xr:uid="{00000000-0005-0000-0000-00004F270000}"/>
    <cellStyle name="Normal 12 5 3" xfId="11843" xr:uid="{00000000-0005-0000-0000-000050270000}"/>
    <cellStyle name="Normal 12 5 4" xfId="11844" xr:uid="{00000000-0005-0000-0000-000051270000}"/>
    <cellStyle name="Normal 12 5 5" xfId="25611" xr:uid="{00000000-0005-0000-0000-000052270000}"/>
    <cellStyle name="Normal 12 6" xfId="11845" xr:uid="{00000000-0005-0000-0000-000053270000}"/>
    <cellStyle name="Normal 12 6 2" xfId="11846" xr:uid="{00000000-0005-0000-0000-000054270000}"/>
    <cellStyle name="Normal 12 6 3" xfId="25612" xr:uid="{00000000-0005-0000-0000-000055270000}"/>
    <cellStyle name="Normal 12 7" xfId="11847" xr:uid="{00000000-0005-0000-0000-000056270000}"/>
    <cellStyle name="Normal 12 8" xfId="11848" xr:uid="{00000000-0005-0000-0000-000057270000}"/>
    <cellStyle name="Normal 12 9" xfId="25604" xr:uid="{00000000-0005-0000-0000-000058270000}"/>
    <cellStyle name="Normal 13" xfId="1488" xr:uid="{00000000-0005-0000-0000-000059270000}"/>
    <cellStyle name="Normal 13 2" xfId="1489" xr:uid="{00000000-0005-0000-0000-00005A270000}"/>
    <cellStyle name="Normal 13 2 2" xfId="11849" xr:uid="{00000000-0005-0000-0000-00005B270000}"/>
    <cellStyle name="Normal 13 2 2 2" xfId="25613" xr:uid="{00000000-0005-0000-0000-00005C270000}"/>
    <cellStyle name="Normal 13 2 3" xfId="11850" xr:uid="{00000000-0005-0000-0000-00005D270000}"/>
    <cellStyle name="Normal 13 2 3 2" xfId="25614" xr:uid="{00000000-0005-0000-0000-00005E270000}"/>
    <cellStyle name="Normal 13 3" xfId="10874" xr:uid="{00000000-0005-0000-0000-00005F270000}"/>
    <cellStyle name="Normal 13 3 2" xfId="25616" xr:uid="{00000000-0005-0000-0000-000060270000}"/>
    <cellStyle name="Normal 13 3 3" xfId="25615" xr:uid="{00000000-0005-0000-0000-000061270000}"/>
    <cellStyle name="Normal 13 4" xfId="25617" xr:uid="{00000000-0005-0000-0000-000062270000}"/>
    <cellStyle name="Normal 13 5" xfId="25618" xr:uid="{00000000-0005-0000-0000-000063270000}"/>
    <cellStyle name="Normal 14" xfId="1490" xr:uid="{00000000-0005-0000-0000-000064270000}"/>
    <cellStyle name="Normal 14 2" xfId="11851" xr:uid="{00000000-0005-0000-0000-000065270000}"/>
    <cellStyle name="Normal 14 2 2" xfId="11852" xr:uid="{00000000-0005-0000-0000-000066270000}"/>
    <cellStyle name="Normal 14 2 3" xfId="11853" xr:uid="{00000000-0005-0000-0000-000067270000}"/>
    <cellStyle name="Normal 14 2 4" xfId="11854" xr:uid="{00000000-0005-0000-0000-000068270000}"/>
    <cellStyle name="Normal 14 2 4 2" xfId="11855" xr:uid="{00000000-0005-0000-0000-000069270000}"/>
    <cellStyle name="Normal 14 2 5" xfId="11856" xr:uid="{00000000-0005-0000-0000-00006A270000}"/>
    <cellStyle name="Normal 14 2 6" xfId="11857" xr:uid="{00000000-0005-0000-0000-00006B270000}"/>
    <cellStyle name="Normal 14 3" xfId="11858" xr:uid="{00000000-0005-0000-0000-00006C270000}"/>
    <cellStyle name="Normal 14 4" xfId="11859" xr:uid="{00000000-0005-0000-0000-00006D270000}"/>
    <cellStyle name="Normal 14 4 2" xfId="11860" xr:uid="{00000000-0005-0000-0000-00006E270000}"/>
    <cellStyle name="Normal 14 4 2 2" xfId="11861" xr:uid="{00000000-0005-0000-0000-00006F270000}"/>
    <cellStyle name="Normal 14 4 3" xfId="11862" xr:uid="{00000000-0005-0000-0000-000070270000}"/>
    <cellStyle name="Normal 14 4 4" xfId="11863" xr:uid="{00000000-0005-0000-0000-000071270000}"/>
    <cellStyle name="Normal 14 5" xfId="11864" xr:uid="{00000000-0005-0000-0000-000072270000}"/>
    <cellStyle name="Normal 14 5 2" xfId="11865" xr:uid="{00000000-0005-0000-0000-000073270000}"/>
    <cellStyle name="Normal 14 5 2 2" xfId="11866" xr:uid="{00000000-0005-0000-0000-000074270000}"/>
    <cellStyle name="Normal 14 5 3" xfId="11867" xr:uid="{00000000-0005-0000-0000-000075270000}"/>
    <cellStyle name="Normal 14 5 4" xfId="11868" xr:uid="{00000000-0005-0000-0000-000076270000}"/>
    <cellStyle name="Normal 14_KY NBV" xfId="25619" xr:uid="{00000000-0005-0000-0000-000077270000}"/>
    <cellStyle name="Normal 15" xfId="9300" xr:uid="{00000000-0005-0000-0000-000078270000}"/>
    <cellStyle name="Normal 15 2" xfId="11869" xr:uid="{00000000-0005-0000-0000-000079270000}"/>
    <cellStyle name="Normal 15 2 2" xfId="11870" xr:uid="{00000000-0005-0000-0000-00007A270000}"/>
    <cellStyle name="Normal 15 2 2 2" xfId="11871" xr:uid="{00000000-0005-0000-0000-00007B270000}"/>
    <cellStyle name="Normal 15 2 2 2 2" xfId="11872" xr:uid="{00000000-0005-0000-0000-00007C270000}"/>
    <cellStyle name="Normal 15 2 2 3" xfId="11873" xr:uid="{00000000-0005-0000-0000-00007D270000}"/>
    <cellStyle name="Normal 15 2 2 4" xfId="11874" xr:uid="{00000000-0005-0000-0000-00007E270000}"/>
    <cellStyle name="Normal 15 2 2 5" xfId="25621" xr:uid="{00000000-0005-0000-0000-00007F270000}"/>
    <cellStyle name="Normal 15 2 3" xfId="11875" xr:uid="{00000000-0005-0000-0000-000080270000}"/>
    <cellStyle name="Normal 15 2 3 2" xfId="11876" xr:uid="{00000000-0005-0000-0000-000081270000}"/>
    <cellStyle name="Normal 15 2 4" xfId="11877" xr:uid="{00000000-0005-0000-0000-000082270000}"/>
    <cellStyle name="Normal 15 2 5" xfId="11878" xr:uid="{00000000-0005-0000-0000-000083270000}"/>
    <cellStyle name="Normal 15 2 6" xfId="25620" xr:uid="{00000000-0005-0000-0000-000084270000}"/>
    <cellStyle name="Normal 15 3" xfId="11879" xr:uid="{00000000-0005-0000-0000-000085270000}"/>
    <cellStyle name="Normal 15 3 2" xfId="11880" xr:uid="{00000000-0005-0000-0000-000086270000}"/>
    <cellStyle name="Normal 15 3 2 2" xfId="11881" xr:uid="{00000000-0005-0000-0000-000087270000}"/>
    <cellStyle name="Normal 15 3 3" xfId="11882" xr:uid="{00000000-0005-0000-0000-000088270000}"/>
    <cellStyle name="Normal 15 3 4" xfId="11883" xr:uid="{00000000-0005-0000-0000-000089270000}"/>
    <cellStyle name="Normal 15 4" xfId="11884" xr:uid="{00000000-0005-0000-0000-00008A270000}"/>
    <cellStyle name="Normal 15 4 2" xfId="11885" xr:uid="{00000000-0005-0000-0000-00008B270000}"/>
    <cellStyle name="Normal 15 4 2 2" xfId="11886" xr:uid="{00000000-0005-0000-0000-00008C270000}"/>
    <cellStyle name="Normal 15 4 3" xfId="11887" xr:uid="{00000000-0005-0000-0000-00008D270000}"/>
    <cellStyle name="Normal 15 4 4" xfId="11888" xr:uid="{00000000-0005-0000-0000-00008E270000}"/>
    <cellStyle name="Normal 15 5" xfId="11889" xr:uid="{00000000-0005-0000-0000-00008F270000}"/>
    <cellStyle name="Normal 15 5 2" xfId="11890" xr:uid="{00000000-0005-0000-0000-000090270000}"/>
    <cellStyle name="Normal 15 5 2 2" xfId="11891" xr:uid="{00000000-0005-0000-0000-000091270000}"/>
    <cellStyle name="Normal 15 5 3" xfId="11892" xr:uid="{00000000-0005-0000-0000-000092270000}"/>
    <cellStyle name="Normal 15 5 4" xfId="11893" xr:uid="{00000000-0005-0000-0000-000093270000}"/>
    <cellStyle name="Normal 15 6" xfId="11894" xr:uid="{00000000-0005-0000-0000-000094270000}"/>
    <cellStyle name="Normal 15 6 2" xfId="11895" xr:uid="{00000000-0005-0000-0000-000095270000}"/>
    <cellStyle name="Normal 15 7" xfId="11896" xr:uid="{00000000-0005-0000-0000-000096270000}"/>
    <cellStyle name="Normal 15 8" xfId="11897" xr:uid="{00000000-0005-0000-0000-000097270000}"/>
    <cellStyle name="Normal 15 9" xfId="11392" xr:uid="{00000000-0005-0000-0000-000098270000}"/>
    <cellStyle name="Normal 15_KY NBV" xfId="25622" xr:uid="{00000000-0005-0000-0000-000099270000}"/>
    <cellStyle name="Normal 150" xfId="11898" xr:uid="{00000000-0005-0000-0000-00009A270000}"/>
    <cellStyle name="Normal 16" xfId="9817" xr:uid="{00000000-0005-0000-0000-00009B270000}"/>
    <cellStyle name="Normal 16 2" xfId="11900" xr:uid="{00000000-0005-0000-0000-00009C270000}"/>
    <cellStyle name="Normal 16 2 2" xfId="11901" xr:uid="{00000000-0005-0000-0000-00009D270000}"/>
    <cellStyle name="Normal 16 2 2 2" xfId="11902" xr:uid="{00000000-0005-0000-0000-00009E270000}"/>
    <cellStyle name="Normal 16 2 2 3" xfId="11903" xr:uid="{00000000-0005-0000-0000-00009F270000}"/>
    <cellStyle name="Normal 16 2 3" xfId="11904" xr:uid="{00000000-0005-0000-0000-0000A0270000}"/>
    <cellStyle name="Normal 16 2 4" xfId="11905" xr:uid="{00000000-0005-0000-0000-0000A1270000}"/>
    <cellStyle name="Normal 16 2 5" xfId="25624" xr:uid="{00000000-0005-0000-0000-0000A2270000}"/>
    <cellStyle name="Normal 16 3" xfId="11906" xr:uid="{00000000-0005-0000-0000-0000A3270000}"/>
    <cellStyle name="Normal 16 3 2" xfId="11907" xr:uid="{00000000-0005-0000-0000-0000A4270000}"/>
    <cellStyle name="Normal 16 3 2 2" xfId="11908" xr:uid="{00000000-0005-0000-0000-0000A5270000}"/>
    <cellStyle name="Normal 16 3 2 3" xfId="11909" xr:uid="{00000000-0005-0000-0000-0000A6270000}"/>
    <cellStyle name="Normal 16 3 3" xfId="11910" xr:uid="{00000000-0005-0000-0000-0000A7270000}"/>
    <cellStyle name="Normal 16 4" xfId="11911" xr:uid="{00000000-0005-0000-0000-0000A8270000}"/>
    <cellStyle name="Normal 16 4 2" xfId="11912" xr:uid="{00000000-0005-0000-0000-0000A9270000}"/>
    <cellStyle name="Normal 16 4 2 2" xfId="11913" xr:uid="{00000000-0005-0000-0000-0000AA270000}"/>
    <cellStyle name="Normal 16 4 3" xfId="11914" xr:uid="{00000000-0005-0000-0000-0000AB270000}"/>
    <cellStyle name="Normal 16 4 4" xfId="11915" xr:uid="{00000000-0005-0000-0000-0000AC270000}"/>
    <cellStyle name="Normal 16 5" xfId="11916" xr:uid="{00000000-0005-0000-0000-0000AD270000}"/>
    <cellStyle name="Normal 16 6" xfId="11899" xr:uid="{00000000-0005-0000-0000-0000AE270000}"/>
    <cellStyle name="Normal 16 7" xfId="25623" xr:uid="{00000000-0005-0000-0000-0000AF270000}"/>
    <cellStyle name="Normal 17" xfId="9818" xr:uid="{00000000-0005-0000-0000-0000B0270000}"/>
    <cellStyle name="Normal 17 2" xfId="10871" xr:uid="{00000000-0005-0000-0000-0000B1270000}"/>
    <cellStyle name="Normal 17 2 2" xfId="11919" xr:uid="{00000000-0005-0000-0000-0000B2270000}"/>
    <cellStyle name="Normal 17 2 2 2" xfId="11920" xr:uid="{00000000-0005-0000-0000-0000B3270000}"/>
    <cellStyle name="Normal 17 2 2 3" xfId="11921" xr:uid="{00000000-0005-0000-0000-0000B4270000}"/>
    <cellStyle name="Normal 17 2 3" xfId="11922" xr:uid="{00000000-0005-0000-0000-0000B5270000}"/>
    <cellStyle name="Normal 17 2 4" xfId="11918" xr:uid="{00000000-0005-0000-0000-0000B6270000}"/>
    <cellStyle name="Normal 17 2 5" xfId="14465" xr:uid="{00000000-0005-0000-0000-0000B7270000}"/>
    <cellStyle name="Normal 17 2 6" xfId="15094" xr:uid="{00000000-0005-0000-0000-0000B8270000}"/>
    <cellStyle name="Normal 17 3" xfId="11923" xr:uid="{00000000-0005-0000-0000-0000B9270000}"/>
    <cellStyle name="Normal 17 3 2" xfId="11924" xr:uid="{00000000-0005-0000-0000-0000BA270000}"/>
    <cellStyle name="Normal 17 4" xfId="11925" xr:uid="{00000000-0005-0000-0000-0000BB270000}"/>
    <cellStyle name="Normal 17 5" xfId="11926" xr:uid="{00000000-0005-0000-0000-0000BC270000}"/>
    <cellStyle name="Normal 17 6" xfId="11393" xr:uid="{00000000-0005-0000-0000-0000BD270000}"/>
    <cellStyle name="Normal 17 7" xfId="11917" xr:uid="{00000000-0005-0000-0000-0000BE270000}"/>
    <cellStyle name="Normal 17 8" xfId="13412" xr:uid="{00000000-0005-0000-0000-0000BF270000}"/>
    <cellStyle name="Normal 17 8 2" xfId="25625" xr:uid="{00000000-0005-0000-0000-0000C0270000}"/>
    <cellStyle name="Normal 17 9" xfId="15093" xr:uid="{00000000-0005-0000-0000-0000C1270000}"/>
    <cellStyle name="Normal 18" xfId="10872" xr:uid="{00000000-0005-0000-0000-0000C2270000}"/>
    <cellStyle name="Normal 18 2" xfId="11928" xr:uid="{00000000-0005-0000-0000-0000C3270000}"/>
    <cellStyle name="Normal 18 3" xfId="11927" xr:uid="{00000000-0005-0000-0000-0000C4270000}"/>
    <cellStyle name="Normal 18 4" xfId="14466" xr:uid="{00000000-0005-0000-0000-0000C5270000}"/>
    <cellStyle name="Normal 18 4 2" xfId="25626" xr:uid="{00000000-0005-0000-0000-0000C6270000}"/>
    <cellStyle name="Normal 18 5" xfId="15095" xr:uid="{00000000-0005-0000-0000-0000C7270000}"/>
    <cellStyle name="Normal 19" xfId="11929" xr:uid="{00000000-0005-0000-0000-0000C8270000}"/>
    <cellStyle name="Normal 19 2" xfId="11930" xr:uid="{00000000-0005-0000-0000-0000C9270000}"/>
    <cellStyle name="Normal 19 3" xfId="25627" xr:uid="{00000000-0005-0000-0000-0000CA270000}"/>
    <cellStyle name="Normal 2" xfId="67" xr:uid="{00000000-0005-0000-0000-0000CB270000}"/>
    <cellStyle name="Normal 2 10" xfId="1491" xr:uid="{00000000-0005-0000-0000-0000CC270000}"/>
    <cellStyle name="Normal 2 10 2" xfId="1492" xr:uid="{00000000-0005-0000-0000-0000CD270000}"/>
    <cellStyle name="Normal 2 11" xfId="1493" xr:uid="{00000000-0005-0000-0000-0000CE270000}"/>
    <cellStyle name="Normal 2 12" xfId="9286" xr:uid="{00000000-0005-0000-0000-0000CF270000}"/>
    <cellStyle name="Normal 2 12 2" xfId="9815" xr:uid="{00000000-0005-0000-0000-0000D0270000}"/>
    <cellStyle name="Normal 2 12 2 2" xfId="10869" xr:uid="{00000000-0005-0000-0000-0000D1270000}"/>
    <cellStyle name="Normal 2 12 2 2 2" xfId="14463" xr:uid="{00000000-0005-0000-0000-0000D2270000}"/>
    <cellStyle name="Normal 2 12 2 2 3" xfId="15098" xr:uid="{00000000-0005-0000-0000-0000D3270000}"/>
    <cellStyle name="Normal 2 12 2 3" xfId="13410" xr:uid="{00000000-0005-0000-0000-0000D4270000}"/>
    <cellStyle name="Normal 2 12 2 4" xfId="15097" xr:uid="{00000000-0005-0000-0000-0000D5270000}"/>
    <cellStyle name="Normal 2 12 3" xfId="10343" xr:uid="{00000000-0005-0000-0000-0000D6270000}"/>
    <cellStyle name="Normal 2 12 3 2" xfId="13937" xr:uid="{00000000-0005-0000-0000-0000D7270000}"/>
    <cellStyle name="Normal 2 12 3 3" xfId="15099" xr:uid="{00000000-0005-0000-0000-0000D8270000}"/>
    <cellStyle name="Normal 2 12 4" xfId="10875" xr:uid="{00000000-0005-0000-0000-0000D9270000}"/>
    <cellStyle name="Normal 2 12 4 2" xfId="14468" xr:uid="{00000000-0005-0000-0000-0000DA270000}"/>
    <cellStyle name="Normal 2 12 4 3" xfId="15100" xr:uid="{00000000-0005-0000-0000-0000DB270000}"/>
    <cellStyle name="Normal 2 12 5" xfId="12884" xr:uid="{00000000-0005-0000-0000-0000DC270000}"/>
    <cellStyle name="Normal 2 12 6" xfId="15096" xr:uid="{00000000-0005-0000-0000-0000DD270000}"/>
    <cellStyle name="Normal 2 13" xfId="43986" xr:uid="{243BAC3E-9F0C-492B-AC77-0E510970A8CD}"/>
    <cellStyle name="Normal 2 2" xfId="1494" xr:uid="{00000000-0005-0000-0000-0000DE270000}"/>
    <cellStyle name="Normal 2 2 2" xfId="11931" xr:uid="{00000000-0005-0000-0000-0000DF270000}"/>
    <cellStyle name="Normal 2 2 2 10" xfId="25628" xr:uid="{00000000-0005-0000-0000-0000E0270000}"/>
    <cellStyle name="Normal 2 2 2 10 2" xfId="25629" xr:uid="{00000000-0005-0000-0000-0000E1270000}"/>
    <cellStyle name="Normal 2 2 2 10 2 2" xfId="25630" xr:uid="{00000000-0005-0000-0000-0000E2270000}"/>
    <cellStyle name="Normal 2 2 2 10 3" xfId="25631" xr:uid="{00000000-0005-0000-0000-0000E3270000}"/>
    <cellStyle name="Normal 2 2 2 10 3 2" xfId="25632" xr:uid="{00000000-0005-0000-0000-0000E4270000}"/>
    <cellStyle name="Normal 2 2 2 10 4" xfId="25633" xr:uid="{00000000-0005-0000-0000-0000E5270000}"/>
    <cellStyle name="Normal 2 2 2 10 4 2" xfId="25634" xr:uid="{00000000-0005-0000-0000-0000E6270000}"/>
    <cellStyle name="Normal 2 2 2 10 5" xfId="25635" xr:uid="{00000000-0005-0000-0000-0000E7270000}"/>
    <cellStyle name="Normal 2 2 2 10 6" xfId="25636" xr:uid="{00000000-0005-0000-0000-0000E8270000}"/>
    <cellStyle name="Normal 2 2 2 11" xfId="25637" xr:uid="{00000000-0005-0000-0000-0000E9270000}"/>
    <cellStyle name="Normal 2 2 2 11 2" xfId="25638" xr:uid="{00000000-0005-0000-0000-0000EA270000}"/>
    <cellStyle name="Normal 2 2 2 11 2 2" xfId="25639" xr:uid="{00000000-0005-0000-0000-0000EB270000}"/>
    <cellStyle name="Normal 2 2 2 11 3" xfId="25640" xr:uid="{00000000-0005-0000-0000-0000EC270000}"/>
    <cellStyle name="Normal 2 2 2 11 3 2" xfId="25641" xr:uid="{00000000-0005-0000-0000-0000ED270000}"/>
    <cellStyle name="Normal 2 2 2 11 4" xfId="25642" xr:uid="{00000000-0005-0000-0000-0000EE270000}"/>
    <cellStyle name="Normal 2 2 2 11 4 2" xfId="25643" xr:uid="{00000000-0005-0000-0000-0000EF270000}"/>
    <cellStyle name="Normal 2 2 2 11 5" xfId="25644" xr:uid="{00000000-0005-0000-0000-0000F0270000}"/>
    <cellStyle name="Normal 2 2 2 11 6" xfId="25645" xr:uid="{00000000-0005-0000-0000-0000F1270000}"/>
    <cellStyle name="Normal 2 2 2 12" xfId="25646" xr:uid="{00000000-0005-0000-0000-0000F2270000}"/>
    <cellStyle name="Normal 2 2 2 12 2" xfId="25647" xr:uid="{00000000-0005-0000-0000-0000F3270000}"/>
    <cellStyle name="Normal 2 2 2 12 2 2" xfId="25648" xr:uid="{00000000-0005-0000-0000-0000F4270000}"/>
    <cellStyle name="Normal 2 2 2 12 3" xfId="25649" xr:uid="{00000000-0005-0000-0000-0000F5270000}"/>
    <cellStyle name="Normal 2 2 2 12 3 2" xfId="25650" xr:uid="{00000000-0005-0000-0000-0000F6270000}"/>
    <cellStyle name="Normal 2 2 2 12 4" xfId="25651" xr:uid="{00000000-0005-0000-0000-0000F7270000}"/>
    <cellStyle name="Normal 2 2 2 12 5" xfId="25652" xr:uid="{00000000-0005-0000-0000-0000F8270000}"/>
    <cellStyle name="Normal 2 2 2 13" xfId="25653" xr:uid="{00000000-0005-0000-0000-0000F9270000}"/>
    <cellStyle name="Normal 2 2 2 13 2" xfId="25654" xr:uid="{00000000-0005-0000-0000-0000FA270000}"/>
    <cellStyle name="Normal 2 2 2 14" xfId="25655" xr:uid="{00000000-0005-0000-0000-0000FB270000}"/>
    <cellStyle name="Normal 2 2 2 14 2" xfId="25656" xr:uid="{00000000-0005-0000-0000-0000FC270000}"/>
    <cellStyle name="Normal 2 2 2 15" xfId="25657" xr:uid="{00000000-0005-0000-0000-0000FD270000}"/>
    <cellStyle name="Normal 2 2 2 15 2" xfId="25658" xr:uid="{00000000-0005-0000-0000-0000FE270000}"/>
    <cellStyle name="Normal 2 2 2 16" xfId="25659" xr:uid="{00000000-0005-0000-0000-0000FF270000}"/>
    <cellStyle name="Normal 2 2 2 17" xfId="25660" xr:uid="{00000000-0005-0000-0000-000000280000}"/>
    <cellStyle name="Normal 2 2 2 18" xfId="17680" xr:uid="{00000000-0005-0000-0000-000001280000}"/>
    <cellStyle name="Normal 2 2 2 2" xfId="25661" xr:uid="{00000000-0005-0000-0000-000002280000}"/>
    <cellStyle name="Normal 2 2 2 3" xfId="25662" xr:uid="{00000000-0005-0000-0000-000003280000}"/>
    <cellStyle name="Normal 2 2 2 3 10" xfId="25663" xr:uid="{00000000-0005-0000-0000-000004280000}"/>
    <cellStyle name="Normal 2 2 2 3 10 2" xfId="25664" xr:uid="{00000000-0005-0000-0000-000005280000}"/>
    <cellStyle name="Normal 2 2 2 3 11" xfId="25665" xr:uid="{00000000-0005-0000-0000-000006280000}"/>
    <cellStyle name="Normal 2 2 2 3 11 2" xfId="25666" xr:uid="{00000000-0005-0000-0000-000007280000}"/>
    <cellStyle name="Normal 2 2 2 3 12" xfId="25667" xr:uid="{00000000-0005-0000-0000-000008280000}"/>
    <cellStyle name="Normal 2 2 2 3 13" xfId="25668" xr:uid="{00000000-0005-0000-0000-000009280000}"/>
    <cellStyle name="Normal 2 2 2 3 2" xfId="25669" xr:uid="{00000000-0005-0000-0000-00000A280000}"/>
    <cellStyle name="Normal 2 2 2 3 2 10" xfId="25670" xr:uid="{00000000-0005-0000-0000-00000B280000}"/>
    <cellStyle name="Normal 2 2 2 3 2 11" xfId="25671" xr:uid="{00000000-0005-0000-0000-00000C280000}"/>
    <cellStyle name="Normal 2 2 2 3 2 2" xfId="25672" xr:uid="{00000000-0005-0000-0000-00000D280000}"/>
    <cellStyle name="Normal 2 2 2 3 2 2 2" xfId="25673" xr:uid="{00000000-0005-0000-0000-00000E280000}"/>
    <cellStyle name="Normal 2 2 2 3 2 2 2 2" xfId="25674" xr:uid="{00000000-0005-0000-0000-00000F280000}"/>
    <cellStyle name="Normal 2 2 2 3 2 2 3" xfId="25675" xr:uid="{00000000-0005-0000-0000-000010280000}"/>
    <cellStyle name="Normal 2 2 2 3 2 2 3 2" xfId="25676" xr:uid="{00000000-0005-0000-0000-000011280000}"/>
    <cellStyle name="Normal 2 2 2 3 2 2 4" xfId="25677" xr:uid="{00000000-0005-0000-0000-000012280000}"/>
    <cellStyle name="Normal 2 2 2 3 2 2 4 2" xfId="25678" xr:uid="{00000000-0005-0000-0000-000013280000}"/>
    <cellStyle name="Normal 2 2 2 3 2 2 5" xfId="25679" xr:uid="{00000000-0005-0000-0000-000014280000}"/>
    <cellStyle name="Normal 2 2 2 3 2 2 6" xfId="25680" xr:uid="{00000000-0005-0000-0000-000015280000}"/>
    <cellStyle name="Normal 2 2 2 3 2 3" xfId="25681" xr:uid="{00000000-0005-0000-0000-000016280000}"/>
    <cellStyle name="Normal 2 2 2 3 2 3 2" xfId="25682" xr:uid="{00000000-0005-0000-0000-000017280000}"/>
    <cellStyle name="Normal 2 2 2 3 2 3 2 2" xfId="25683" xr:uid="{00000000-0005-0000-0000-000018280000}"/>
    <cellStyle name="Normal 2 2 2 3 2 3 3" xfId="25684" xr:uid="{00000000-0005-0000-0000-000019280000}"/>
    <cellStyle name="Normal 2 2 2 3 2 3 3 2" xfId="25685" xr:uid="{00000000-0005-0000-0000-00001A280000}"/>
    <cellStyle name="Normal 2 2 2 3 2 3 4" xfId="25686" xr:uid="{00000000-0005-0000-0000-00001B280000}"/>
    <cellStyle name="Normal 2 2 2 3 2 3 4 2" xfId="25687" xr:uid="{00000000-0005-0000-0000-00001C280000}"/>
    <cellStyle name="Normal 2 2 2 3 2 3 5" xfId="25688" xr:uid="{00000000-0005-0000-0000-00001D280000}"/>
    <cellStyle name="Normal 2 2 2 3 2 3 6" xfId="25689" xr:uid="{00000000-0005-0000-0000-00001E280000}"/>
    <cellStyle name="Normal 2 2 2 3 2 4" xfId="25690" xr:uid="{00000000-0005-0000-0000-00001F280000}"/>
    <cellStyle name="Normal 2 2 2 3 2 4 2" xfId="25691" xr:uid="{00000000-0005-0000-0000-000020280000}"/>
    <cellStyle name="Normal 2 2 2 3 2 4 2 2" xfId="25692" xr:uid="{00000000-0005-0000-0000-000021280000}"/>
    <cellStyle name="Normal 2 2 2 3 2 4 3" xfId="25693" xr:uid="{00000000-0005-0000-0000-000022280000}"/>
    <cellStyle name="Normal 2 2 2 3 2 4 3 2" xfId="25694" xr:uid="{00000000-0005-0000-0000-000023280000}"/>
    <cellStyle name="Normal 2 2 2 3 2 4 4" xfId="25695" xr:uid="{00000000-0005-0000-0000-000024280000}"/>
    <cellStyle name="Normal 2 2 2 3 2 4 4 2" xfId="25696" xr:uid="{00000000-0005-0000-0000-000025280000}"/>
    <cellStyle name="Normal 2 2 2 3 2 4 5" xfId="25697" xr:uid="{00000000-0005-0000-0000-000026280000}"/>
    <cellStyle name="Normal 2 2 2 3 2 4 6" xfId="25698" xr:uid="{00000000-0005-0000-0000-000027280000}"/>
    <cellStyle name="Normal 2 2 2 3 2 5" xfId="25699" xr:uid="{00000000-0005-0000-0000-000028280000}"/>
    <cellStyle name="Normal 2 2 2 3 2 5 2" xfId="25700" xr:uid="{00000000-0005-0000-0000-000029280000}"/>
    <cellStyle name="Normal 2 2 2 3 2 5 2 2" xfId="25701" xr:uid="{00000000-0005-0000-0000-00002A280000}"/>
    <cellStyle name="Normal 2 2 2 3 2 5 3" xfId="25702" xr:uid="{00000000-0005-0000-0000-00002B280000}"/>
    <cellStyle name="Normal 2 2 2 3 2 5 3 2" xfId="25703" xr:uid="{00000000-0005-0000-0000-00002C280000}"/>
    <cellStyle name="Normal 2 2 2 3 2 5 4" xfId="25704" xr:uid="{00000000-0005-0000-0000-00002D280000}"/>
    <cellStyle name="Normal 2 2 2 3 2 5 4 2" xfId="25705" xr:uid="{00000000-0005-0000-0000-00002E280000}"/>
    <cellStyle name="Normal 2 2 2 3 2 5 5" xfId="25706" xr:uid="{00000000-0005-0000-0000-00002F280000}"/>
    <cellStyle name="Normal 2 2 2 3 2 5 6" xfId="25707" xr:uid="{00000000-0005-0000-0000-000030280000}"/>
    <cellStyle name="Normal 2 2 2 3 2 6" xfId="25708" xr:uid="{00000000-0005-0000-0000-000031280000}"/>
    <cellStyle name="Normal 2 2 2 3 2 6 2" xfId="25709" xr:uid="{00000000-0005-0000-0000-000032280000}"/>
    <cellStyle name="Normal 2 2 2 3 2 6 2 2" xfId="25710" xr:uid="{00000000-0005-0000-0000-000033280000}"/>
    <cellStyle name="Normal 2 2 2 3 2 6 3" xfId="25711" xr:uid="{00000000-0005-0000-0000-000034280000}"/>
    <cellStyle name="Normal 2 2 2 3 2 6 3 2" xfId="25712" xr:uid="{00000000-0005-0000-0000-000035280000}"/>
    <cellStyle name="Normal 2 2 2 3 2 6 4" xfId="25713" xr:uid="{00000000-0005-0000-0000-000036280000}"/>
    <cellStyle name="Normal 2 2 2 3 2 6 5" xfId="25714" xr:uid="{00000000-0005-0000-0000-000037280000}"/>
    <cellStyle name="Normal 2 2 2 3 2 7" xfId="25715" xr:uid="{00000000-0005-0000-0000-000038280000}"/>
    <cellStyle name="Normal 2 2 2 3 2 7 2" xfId="25716" xr:uid="{00000000-0005-0000-0000-000039280000}"/>
    <cellStyle name="Normal 2 2 2 3 2 8" xfId="25717" xr:uid="{00000000-0005-0000-0000-00003A280000}"/>
    <cellStyle name="Normal 2 2 2 3 2 8 2" xfId="25718" xr:uid="{00000000-0005-0000-0000-00003B280000}"/>
    <cellStyle name="Normal 2 2 2 3 2 9" xfId="25719" xr:uid="{00000000-0005-0000-0000-00003C280000}"/>
    <cellStyle name="Normal 2 2 2 3 2 9 2" xfId="25720" xr:uid="{00000000-0005-0000-0000-00003D280000}"/>
    <cellStyle name="Normal 2 2 2 3 3" xfId="25721" xr:uid="{00000000-0005-0000-0000-00003E280000}"/>
    <cellStyle name="Normal 2 2 2 3 3 10" xfId="25722" xr:uid="{00000000-0005-0000-0000-00003F280000}"/>
    <cellStyle name="Normal 2 2 2 3 3 2" xfId="25723" xr:uid="{00000000-0005-0000-0000-000040280000}"/>
    <cellStyle name="Normal 2 2 2 3 3 2 2" xfId="25724" xr:uid="{00000000-0005-0000-0000-000041280000}"/>
    <cellStyle name="Normal 2 2 2 3 3 2 2 2" xfId="25725" xr:uid="{00000000-0005-0000-0000-000042280000}"/>
    <cellStyle name="Normal 2 2 2 3 3 2 3" xfId="25726" xr:uid="{00000000-0005-0000-0000-000043280000}"/>
    <cellStyle name="Normal 2 2 2 3 3 2 3 2" xfId="25727" xr:uid="{00000000-0005-0000-0000-000044280000}"/>
    <cellStyle name="Normal 2 2 2 3 3 2 4" xfId="25728" xr:uid="{00000000-0005-0000-0000-000045280000}"/>
    <cellStyle name="Normal 2 2 2 3 3 2 4 2" xfId="25729" xr:uid="{00000000-0005-0000-0000-000046280000}"/>
    <cellStyle name="Normal 2 2 2 3 3 2 5" xfId="25730" xr:uid="{00000000-0005-0000-0000-000047280000}"/>
    <cellStyle name="Normal 2 2 2 3 3 2 6" xfId="25731" xr:uid="{00000000-0005-0000-0000-000048280000}"/>
    <cellStyle name="Normal 2 2 2 3 3 3" xfId="25732" xr:uid="{00000000-0005-0000-0000-000049280000}"/>
    <cellStyle name="Normal 2 2 2 3 3 3 2" xfId="25733" xr:uid="{00000000-0005-0000-0000-00004A280000}"/>
    <cellStyle name="Normal 2 2 2 3 3 3 2 2" xfId="25734" xr:uid="{00000000-0005-0000-0000-00004B280000}"/>
    <cellStyle name="Normal 2 2 2 3 3 3 3" xfId="25735" xr:uid="{00000000-0005-0000-0000-00004C280000}"/>
    <cellStyle name="Normal 2 2 2 3 3 3 3 2" xfId="25736" xr:uid="{00000000-0005-0000-0000-00004D280000}"/>
    <cellStyle name="Normal 2 2 2 3 3 3 4" xfId="25737" xr:uid="{00000000-0005-0000-0000-00004E280000}"/>
    <cellStyle name="Normal 2 2 2 3 3 3 4 2" xfId="25738" xr:uid="{00000000-0005-0000-0000-00004F280000}"/>
    <cellStyle name="Normal 2 2 2 3 3 3 5" xfId="25739" xr:uid="{00000000-0005-0000-0000-000050280000}"/>
    <cellStyle name="Normal 2 2 2 3 3 3 6" xfId="25740" xr:uid="{00000000-0005-0000-0000-000051280000}"/>
    <cellStyle name="Normal 2 2 2 3 3 4" xfId="25741" xr:uid="{00000000-0005-0000-0000-000052280000}"/>
    <cellStyle name="Normal 2 2 2 3 3 4 2" xfId="25742" xr:uid="{00000000-0005-0000-0000-000053280000}"/>
    <cellStyle name="Normal 2 2 2 3 3 4 2 2" xfId="25743" xr:uid="{00000000-0005-0000-0000-000054280000}"/>
    <cellStyle name="Normal 2 2 2 3 3 4 3" xfId="25744" xr:uid="{00000000-0005-0000-0000-000055280000}"/>
    <cellStyle name="Normal 2 2 2 3 3 4 3 2" xfId="25745" xr:uid="{00000000-0005-0000-0000-000056280000}"/>
    <cellStyle name="Normal 2 2 2 3 3 4 4" xfId="25746" xr:uid="{00000000-0005-0000-0000-000057280000}"/>
    <cellStyle name="Normal 2 2 2 3 3 4 4 2" xfId="25747" xr:uid="{00000000-0005-0000-0000-000058280000}"/>
    <cellStyle name="Normal 2 2 2 3 3 4 5" xfId="25748" xr:uid="{00000000-0005-0000-0000-000059280000}"/>
    <cellStyle name="Normal 2 2 2 3 3 4 6" xfId="25749" xr:uid="{00000000-0005-0000-0000-00005A280000}"/>
    <cellStyle name="Normal 2 2 2 3 3 5" xfId="25750" xr:uid="{00000000-0005-0000-0000-00005B280000}"/>
    <cellStyle name="Normal 2 2 2 3 3 5 2" xfId="25751" xr:uid="{00000000-0005-0000-0000-00005C280000}"/>
    <cellStyle name="Normal 2 2 2 3 3 5 2 2" xfId="25752" xr:uid="{00000000-0005-0000-0000-00005D280000}"/>
    <cellStyle name="Normal 2 2 2 3 3 5 3" xfId="25753" xr:uid="{00000000-0005-0000-0000-00005E280000}"/>
    <cellStyle name="Normal 2 2 2 3 3 5 3 2" xfId="25754" xr:uid="{00000000-0005-0000-0000-00005F280000}"/>
    <cellStyle name="Normal 2 2 2 3 3 5 4" xfId="25755" xr:uid="{00000000-0005-0000-0000-000060280000}"/>
    <cellStyle name="Normal 2 2 2 3 3 5 5" xfId="25756" xr:uid="{00000000-0005-0000-0000-000061280000}"/>
    <cellStyle name="Normal 2 2 2 3 3 6" xfId="25757" xr:uid="{00000000-0005-0000-0000-000062280000}"/>
    <cellStyle name="Normal 2 2 2 3 3 6 2" xfId="25758" xr:uid="{00000000-0005-0000-0000-000063280000}"/>
    <cellStyle name="Normal 2 2 2 3 3 7" xfId="25759" xr:uid="{00000000-0005-0000-0000-000064280000}"/>
    <cellStyle name="Normal 2 2 2 3 3 7 2" xfId="25760" xr:uid="{00000000-0005-0000-0000-000065280000}"/>
    <cellStyle name="Normal 2 2 2 3 3 8" xfId="25761" xr:uid="{00000000-0005-0000-0000-000066280000}"/>
    <cellStyle name="Normal 2 2 2 3 3 8 2" xfId="25762" xr:uid="{00000000-0005-0000-0000-000067280000}"/>
    <cellStyle name="Normal 2 2 2 3 3 9" xfId="25763" xr:uid="{00000000-0005-0000-0000-000068280000}"/>
    <cellStyle name="Normal 2 2 2 3 4" xfId="25764" xr:uid="{00000000-0005-0000-0000-000069280000}"/>
    <cellStyle name="Normal 2 2 2 3 4 10" xfId="25765" xr:uid="{00000000-0005-0000-0000-00006A280000}"/>
    <cellStyle name="Normal 2 2 2 3 4 2" xfId="25766" xr:uid="{00000000-0005-0000-0000-00006B280000}"/>
    <cellStyle name="Normal 2 2 2 3 4 2 2" xfId="25767" xr:uid="{00000000-0005-0000-0000-00006C280000}"/>
    <cellStyle name="Normal 2 2 2 3 4 2 2 2" xfId="25768" xr:uid="{00000000-0005-0000-0000-00006D280000}"/>
    <cellStyle name="Normal 2 2 2 3 4 2 3" xfId="25769" xr:uid="{00000000-0005-0000-0000-00006E280000}"/>
    <cellStyle name="Normal 2 2 2 3 4 2 3 2" xfId="25770" xr:uid="{00000000-0005-0000-0000-00006F280000}"/>
    <cellStyle name="Normal 2 2 2 3 4 2 4" xfId="25771" xr:uid="{00000000-0005-0000-0000-000070280000}"/>
    <cellStyle name="Normal 2 2 2 3 4 2 4 2" xfId="25772" xr:uid="{00000000-0005-0000-0000-000071280000}"/>
    <cellStyle name="Normal 2 2 2 3 4 2 5" xfId="25773" xr:uid="{00000000-0005-0000-0000-000072280000}"/>
    <cellStyle name="Normal 2 2 2 3 4 2 6" xfId="25774" xr:uid="{00000000-0005-0000-0000-000073280000}"/>
    <cellStyle name="Normal 2 2 2 3 4 3" xfId="25775" xr:uid="{00000000-0005-0000-0000-000074280000}"/>
    <cellStyle name="Normal 2 2 2 3 4 3 2" xfId="25776" xr:uid="{00000000-0005-0000-0000-000075280000}"/>
    <cellStyle name="Normal 2 2 2 3 4 3 2 2" xfId="25777" xr:uid="{00000000-0005-0000-0000-000076280000}"/>
    <cellStyle name="Normal 2 2 2 3 4 3 3" xfId="25778" xr:uid="{00000000-0005-0000-0000-000077280000}"/>
    <cellStyle name="Normal 2 2 2 3 4 3 3 2" xfId="25779" xr:uid="{00000000-0005-0000-0000-000078280000}"/>
    <cellStyle name="Normal 2 2 2 3 4 3 4" xfId="25780" xr:uid="{00000000-0005-0000-0000-000079280000}"/>
    <cellStyle name="Normal 2 2 2 3 4 3 4 2" xfId="25781" xr:uid="{00000000-0005-0000-0000-00007A280000}"/>
    <cellStyle name="Normal 2 2 2 3 4 3 5" xfId="25782" xr:uid="{00000000-0005-0000-0000-00007B280000}"/>
    <cellStyle name="Normal 2 2 2 3 4 3 6" xfId="25783" xr:uid="{00000000-0005-0000-0000-00007C280000}"/>
    <cellStyle name="Normal 2 2 2 3 4 4" xfId="25784" xr:uid="{00000000-0005-0000-0000-00007D280000}"/>
    <cellStyle name="Normal 2 2 2 3 4 4 2" xfId="25785" xr:uid="{00000000-0005-0000-0000-00007E280000}"/>
    <cellStyle name="Normal 2 2 2 3 4 4 2 2" xfId="25786" xr:uid="{00000000-0005-0000-0000-00007F280000}"/>
    <cellStyle name="Normal 2 2 2 3 4 4 3" xfId="25787" xr:uid="{00000000-0005-0000-0000-000080280000}"/>
    <cellStyle name="Normal 2 2 2 3 4 4 3 2" xfId="25788" xr:uid="{00000000-0005-0000-0000-000081280000}"/>
    <cellStyle name="Normal 2 2 2 3 4 4 4" xfId="25789" xr:uid="{00000000-0005-0000-0000-000082280000}"/>
    <cellStyle name="Normal 2 2 2 3 4 4 4 2" xfId="25790" xr:uid="{00000000-0005-0000-0000-000083280000}"/>
    <cellStyle name="Normal 2 2 2 3 4 4 5" xfId="25791" xr:uid="{00000000-0005-0000-0000-000084280000}"/>
    <cellStyle name="Normal 2 2 2 3 4 4 6" xfId="25792" xr:uid="{00000000-0005-0000-0000-000085280000}"/>
    <cellStyle name="Normal 2 2 2 3 4 5" xfId="25793" xr:uid="{00000000-0005-0000-0000-000086280000}"/>
    <cellStyle name="Normal 2 2 2 3 4 5 2" xfId="25794" xr:uid="{00000000-0005-0000-0000-000087280000}"/>
    <cellStyle name="Normal 2 2 2 3 4 5 2 2" xfId="25795" xr:uid="{00000000-0005-0000-0000-000088280000}"/>
    <cellStyle name="Normal 2 2 2 3 4 5 3" xfId="25796" xr:uid="{00000000-0005-0000-0000-000089280000}"/>
    <cellStyle name="Normal 2 2 2 3 4 5 3 2" xfId="25797" xr:uid="{00000000-0005-0000-0000-00008A280000}"/>
    <cellStyle name="Normal 2 2 2 3 4 5 4" xfId="25798" xr:uid="{00000000-0005-0000-0000-00008B280000}"/>
    <cellStyle name="Normal 2 2 2 3 4 5 5" xfId="25799" xr:uid="{00000000-0005-0000-0000-00008C280000}"/>
    <cellStyle name="Normal 2 2 2 3 4 6" xfId="25800" xr:uid="{00000000-0005-0000-0000-00008D280000}"/>
    <cellStyle name="Normal 2 2 2 3 4 6 2" xfId="25801" xr:uid="{00000000-0005-0000-0000-00008E280000}"/>
    <cellStyle name="Normal 2 2 2 3 4 7" xfId="25802" xr:uid="{00000000-0005-0000-0000-00008F280000}"/>
    <cellStyle name="Normal 2 2 2 3 4 7 2" xfId="25803" xr:uid="{00000000-0005-0000-0000-000090280000}"/>
    <cellStyle name="Normal 2 2 2 3 4 8" xfId="25804" xr:uid="{00000000-0005-0000-0000-000091280000}"/>
    <cellStyle name="Normal 2 2 2 3 4 8 2" xfId="25805" xr:uid="{00000000-0005-0000-0000-000092280000}"/>
    <cellStyle name="Normal 2 2 2 3 4 9" xfId="25806" xr:uid="{00000000-0005-0000-0000-000093280000}"/>
    <cellStyle name="Normal 2 2 2 3 5" xfId="25807" xr:uid="{00000000-0005-0000-0000-000094280000}"/>
    <cellStyle name="Normal 2 2 2 3 5 2" xfId="25808" xr:uid="{00000000-0005-0000-0000-000095280000}"/>
    <cellStyle name="Normal 2 2 2 3 5 2 2" xfId="25809" xr:uid="{00000000-0005-0000-0000-000096280000}"/>
    <cellStyle name="Normal 2 2 2 3 5 3" xfId="25810" xr:uid="{00000000-0005-0000-0000-000097280000}"/>
    <cellStyle name="Normal 2 2 2 3 5 3 2" xfId="25811" xr:uid="{00000000-0005-0000-0000-000098280000}"/>
    <cellStyle name="Normal 2 2 2 3 5 4" xfId="25812" xr:uid="{00000000-0005-0000-0000-000099280000}"/>
    <cellStyle name="Normal 2 2 2 3 5 4 2" xfId="25813" xr:uid="{00000000-0005-0000-0000-00009A280000}"/>
    <cellStyle name="Normal 2 2 2 3 5 5" xfId="25814" xr:uid="{00000000-0005-0000-0000-00009B280000}"/>
    <cellStyle name="Normal 2 2 2 3 5 6" xfId="25815" xr:uid="{00000000-0005-0000-0000-00009C280000}"/>
    <cellStyle name="Normal 2 2 2 3 6" xfId="25816" xr:uid="{00000000-0005-0000-0000-00009D280000}"/>
    <cellStyle name="Normal 2 2 2 3 6 2" xfId="25817" xr:uid="{00000000-0005-0000-0000-00009E280000}"/>
    <cellStyle name="Normal 2 2 2 3 6 2 2" xfId="25818" xr:uid="{00000000-0005-0000-0000-00009F280000}"/>
    <cellStyle name="Normal 2 2 2 3 6 3" xfId="25819" xr:uid="{00000000-0005-0000-0000-0000A0280000}"/>
    <cellStyle name="Normal 2 2 2 3 6 3 2" xfId="25820" xr:uid="{00000000-0005-0000-0000-0000A1280000}"/>
    <cellStyle name="Normal 2 2 2 3 6 4" xfId="25821" xr:uid="{00000000-0005-0000-0000-0000A2280000}"/>
    <cellStyle name="Normal 2 2 2 3 6 4 2" xfId="25822" xr:uid="{00000000-0005-0000-0000-0000A3280000}"/>
    <cellStyle name="Normal 2 2 2 3 6 5" xfId="25823" xr:uid="{00000000-0005-0000-0000-0000A4280000}"/>
    <cellStyle name="Normal 2 2 2 3 6 6" xfId="25824" xr:uid="{00000000-0005-0000-0000-0000A5280000}"/>
    <cellStyle name="Normal 2 2 2 3 7" xfId="25825" xr:uid="{00000000-0005-0000-0000-0000A6280000}"/>
    <cellStyle name="Normal 2 2 2 3 7 2" xfId="25826" xr:uid="{00000000-0005-0000-0000-0000A7280000}"/>
    <cellStyle name="Normal 2 2 2 3 7 2 2" xfId="25827" xr:uid="{00000000-0005-0000-0000-0000A8280000}"/>
    <cellStyle name="Normal 2 2 2 3 7 3" xfId="25828" xr:uid="{00000000-0005-0000-0000-0000A9280000}"/>
    <cellStyle name="Normal 2 2 2 3 7 3 2" xfId="25829" xr:uid="{00000000-0005-0000-0000-0000AA280000}"/>
    <cellStyle name="Normal 2 2 2 3 7 4" xfId="25830" xr:uid="{00000000-0005-0000-0000-0000AB280000}"/>
    <cellStyle name="Normal 2 2 2 3 7 4 2" xfId="25831" xr:uid="{00000000-0005-0000-0000-0000AC280000}"/>
    <cellStyle name="Normal 2 2 2 3 7 5" xfId="25832" xr:uid="{00000000-0005-0000-0000-0000AD280000}"/>
    <cellStyle name="Normal 2 2 2 3 7 6" xfId="25833" xr:uid="{00000000-0005-0000-0000-0000AE280000}"/>
    <cellStyle name="Normal 2 2 2 3 8" xfId="25834" xr:uid="{00000000-0005-0000-0000-0000AF280000}"/>
    <cellStyle name="Normal 2 2 2 3 8 2" xfId="25835" xr:uid="{00000000-0005-0000-0000-0000B0280000}"/>
    <cellStyle name="Normal 2 2 2 3 8 2 2" xfId="25836" xr:uid="{00000000-0005-0000-0000-0000B1280000}"/>
    <cellStyle name="Normal 2 2 2 3 8 3" xfId="25837" xr:uid="{00000000-0005-0000-0000-0000B2280000}"/>
    <cellStyle name="Normal 2 2 2 3 8 3 2" xfId="25838" xr:uid="{00000000-0005-0000-0000-0000B3280000}"/>
    <cellStyle name="Normal 2 2 2 3 8 4" xfId="25839" xr:uid="{00000000-0005-0000-0000-0000B4280000}"/>
    <cellStyle name="Normal 2 2 2 3 8 5" xfId="25840" xr:uid="{00000000-0005-0000-0000-0000B5280000}"/>
    <cellStyle name="Normal 2 2 2 3 9" xfId="25841" xr:uid="{00000000-0005-0000-0000-0000B6280000}"/>
    <cellStyle name="Normal 2 2 2 3 9 2" xfId="25842" xr:uid="{00000000-0005-0000-0000-0000B7280000}"/>
    <cellStyle name="Normal 2 2 2 4" xfId="25843" xr:uid="{00000000-0005-0000-0000-0000B8280000}"/>
    <cellStyle name="Normal 2 2 2 4 10" xfId="25844" xr:uid="{00000000-0005-0000-0000-0000B9280000}"/>
    <cellStyle name="Normal 2 2 2 4 10 2" xfId="25845" xr:uid="{00000000-0005-0000-0000-0000BA280000}"/>
    <cellStyle name="Normal 2 2 2 4 11" xfId="25846" xr:uid="{00000000-0005-0000-0000-0000BB280000}"/>
    <cellStyle name="Normal 2 2 2 4 11 2" xfId="25847" xr:uid="{00000000-0005-0000-0000-0000BC280000}"/>
    <cellStyle name="Normal 2 2 2 4 12" xfId="25848" xr:uid="{00000000-0005-0000-0000-0000BD280000}"/>
    <cellStyle name="Normal 2 2 2 4 13" xfId="25849" xr:uid="{00000000-0005-0000-0000-0000BE280000}"/>
    <cellStyle name="Normal 2 2 2 4 2" xfId="25850" xr:uid="{00000000-0005-0000-0000-0000BF280000}"/>
    <cellStyle name="Normal 2 2 2 4 2 10" xfId="25851" xr:uid="{00000000-0005-0000-0000-0000C0280000}"/>
    <cellStyle name="Normal 2 2 2 4 2 11" xfId="25852" xr:uid="{00000000-0005-0000-0000-0000C1280000}"/>
    <cellStyle name="Normal 2 2 2 4 2 2" xfId="25853" xr:uid="{00000000-0005-0000-0000-0000C2280000}"/>
    <cellStyle name="Normal 2 2 2 4 2 2 2" xfId="25854" xr:uid="{00000000-0005-0000-0000-0000C3280000}"/>
    <cellStyle name="Normal 2 2 2 4 2 2 2 2" xfId="25855" xr:uid="{00000000-0005-0000-0000-0000C4280000}"/>
    <cellStyle name="Normal 2 2 2 4 2 2 3" xfId="25856" xr:uid="{00000000-0005-0000-0000-0000C5280000}"/>
    <cellStyle name="Normal 2 2 2 4 2 2 3 2" xfId="25857" xr:uid="{00000000-0005-0000-0000-0000C6280000}"/>
    <cellStyle name="Normal 2 2 2 4 2 2 4" xfId="25858" xr:uid="{00000000-0005-0000-0000-0000C7280000}"/>
    <cellStyle name="Normal 2 2 2 4 2 2 4 2" xfId="25859" xr:uid="{00000000-0005-0000-0000-0000C8280000}"/>
    <cellStyle name="Normal 2 2 2 4 2 2 5" xfId="25860" xr:uid="{00000000-0005-0000-0000-0000C9280000}"/>
    <cellStyle name="Normal 2 2 2 4 2 2 6" xfId="25861" xr:uid="{00000000-0005-0000-0000-0000CA280000}"/>
    <cellStyle name="Normal 2 2 2 4 2 3" xfId="25862" xr:uid="{00000000-0005-0000-0000-0000CB280000}"/>
    <cellStyle name="Normal 2 2 2 4 2 3 2" xfId="25863" xr:uid="{00000000-0005-0000-0000-0000CC280000}"/>
    <cellStyle name="Normal 2 2 2 4 2 3 2 2" xfId="25864" xr:uid="{00000000-0005-0000-0000-0000CD280000}"/>
    <cellStyle name="Normal 2 2 2 4 2 3 3" xfId="25865" xr:uid="{00000000-0005-0000-0000-0000CE280000}"/>
    <cellStyle name="Normal 2 2 2 4 2 3 3 2" xfId="25866" xr:uid="{00000000-0005-0000-0000-0000CF280000}"/>
    <cellStyle name="Normal 2 2 2 4 2 3 4" xfId="25867" xr:uid="{00000000-0005-0000-0000-0000D0280000}"/>
    <cellStyle name="Normal 2 2 2 4 2 3 4 2" xfId="25868" xr:uid="{00000000-0005-0000-0000-0000D1280000}"/>
    <cellStyle name="Normal 2 2 2 4 2 3 5" xfId="25869" xr:uid="{00000000-0005-0000-0000-0000D2280000}"/>
    <cellStyle name="Normal 2 2 2 4 2 3 6" xfId="25870" xr:uid="{00000000-0005-0000-0000-0000D3280000}"/>
    <cellStyle name="Normal 2 2 2 4 2 4" xfId="25871" xr:uid="{00000000-0005-0000-0000-0000D4280000}"/>
    <cellStyle name="Normal 2 2 2 4 2 4 2" xfId="25872" xr:uid="{00000000-0005-0000-0000-0000D5280000}"/>
    <cellStyle name="Normal 2 2 2 4 2 4 2 2" xfId="25873" xr:uid="{00000000-0005-0000-0000-0000D6280000}"/>
    <cellStyle name="Normal 2 2 2 4 2 4 3" xfId="25874" xr:uid="{00000000-0005-0000-0000-0000D7280000}"/>
    <cellStyle name="Normal 2 2 2 4 2 4 3 2" xfId="25875" xr:uid="{00000000-0005-0000-0000-0000D8280000}"/>
    <cellStyle name="Normal 2 2 2 4 2 4 4" xfId="25876" xr:uid="{00000000-0005-0000-0000-0000D9280000}"/>
    <cellStyle name="Normal 2 2 2 4 2 4 4 2" xfId="25877" xr:uid="{00000000-0005-0000-0000-0000DA280000}"/>
    <cellStyle name="Normal 2 2 2 4 2 4 5" xfId="25878" xr:uid="{00000000-0005-0000-0000-0000DB280000}"/>
    <cellStyle name="Normal 2 2 2 4 2 4 6" xfId="25879" xr:uid="{00000000-0005-0000-0000-0000DC280000}"/>
    <cellStyle name="Normal 2 2 2 4 2 5" xfId="25880" xr:uid="{00000000-0005-0000-0000-0000DD280000}"/>
    <cellStyle name="Normal 2 2 2 4 2 5 2" xfId="25881" xr:uid="{00000000-0005-0000-0000-0000DE280000}"/>
    <cellStyle name="Normal 2 2 2 4 2 5 2 2" xfId="25882" xr:uid="{00000000-0005-0000-0000-0000DF280000}"/>
    <cellStyle name="Normal 2 2 2 4 2 5 3" xfId="25883" xr:uid="{00000000-0005-0000-0000-0000E0280000}"/>
    <cellStyle name="Normal 2 2 2 4 2 5 3 2" xfId="25884" xr:uid="{00000000-0005-0000-0000-0000E1280000}"/>
    <cellStyle name="Normal 2 2 2 4 2 5 4" xfId="25885" xr:uid="{00000000-0005-0000-0000-0000E2280000}"/>
    <cellStyle name="Normal 2 2 2 4 2 5 4 2" xfId="25886" xr:uid="{00000000-0005-0000-0000-0000E3280000}"/>
    <cellStyle name="Normal 2 2 2 4 2 5 5" xfId="25887" xr:uid="{00000000-0005-0000-0000-0000E4280000}"/>
    <cellStyle name="Normal 2 2 2 4 2 5 6" xfId="25888" xr:uid="{00000000-0005-0000-0000-0000E5280000}"/>
    <cellStyle name="Normal 2 2 2 4 2 6" xfId="25889" xr:uid="{00000000-0005-0000-0000-0000E6280000}"/>
    <cellStyle name="Normal 2 2 2 4 2 6 2" xfId="25890" xr:uid="{00000000-0005-0000-0000-0000E7280000}"/>
    <cellStyle name="Normal 2 2 2 4 2 6 2 2" xfId="25891" xr:uid="{00000000-0005-0000-0000-0000E8280000}"/>
    <cellStyle name="Normal 2 2 2 4 2 6 3" xfId="25892" xr:uid="{00000000-0005-0000-0000-0000E9280000}"/>
    <cellStyle name="Normal 2 2 2 4 2 6 3 2" xfId="25893" xr:uid="{00000000-0005-0000-0000-0000EA280000}"/>
    <cellStyle name="Normal 2 2 2 4 2 6 4" xfId="25894" xr:uid="{00000000-0005-0000-0000-0000EB280000}"/>
    <cellStyle name="Normal 2 2 2 4 2 6 5" xfId="25895" xr:uid="{00000000-0005-0000-0000-0000EC280000}"/>
    <cellStyle name="Normal 2 2 2 4 2 7" xfId="25896" xr:uid="{00000000-0005-0000-0000-0000ED280000}"/>
    <cellStyle name="Normal 2 2 2 4 2 7 2" xfId="25897" xr:uid="{00000000-0005-0000-0000-0000EE280000}"/>
    <cellStyle name="Normal 2 2 2 4 2 8" xfId="25898" xr:uid="{00000000-0005-0000-0000-0000EF280000}"/>
    <cellStyle name="Normal 2 2 2 4 2 8 2" xfId="25899" xr:uid="{00000000-0005-0000-0000-0000F0280000}"/>
    <cellStyle name="Normal 2 2 2 4 2 9" xfId="25900" xr:uid="{00000000-0005-0000-0000-0000F1280000}"/>
    <cellStyle name="Normal 2 2 2 4 2 9 2" xfId="25901" xr:uid="{00000000-0005-0000-0000-0000F2280000}"/>
    <cellStyle name="Normal 2 2 2 4 3" xfId="25902" xr:uid="{00000000-0005-0000-0000-0000F3280000}"/>
    <cellStyle name="Normal 2 2 2 4 3 10" xfId="25903" xr:uid="{00000000-0005-0000-0000-0000F4280000}"/>
    <cellStyle name="Normal 2 2 2 4 3 2" xfId="25904" xr:uid="{00000000-0005-0000-0000-0000F5280000}"/>
    <cellStyle name="Normal 2 2 2 4 3 2 2" xfId="25905" xr:uid="{00000000-0005-0000-0000-0000F6280000}"/>
    <cellStyle name="Normal 2 2 2 4 3 2 2 2" xfId="25906" xr:uid="{00000000-0005-0000-0000-0000F7280000}"/>
    <cellStyle name="Normal 2 2 2 4 3 2 3" xfId="25907" xr:uid="{00000000-0005-0000-0000-0000F8280000}"/>
    <cellStyle name="Normal 2 2 2 4 3 2 3 2" xfId="25908" xr:uid="{00000000-0005-0000-0000-0000F9280000}"/>
    <cellStyle name="Normal 2 2 2 4 3 2 4" xfId="25909" xr:uid="{00000000-0005-0000-0000-0000FA280000}"/>
    <cellStyle name="Normal 2 2 2 4 3 2 4 2" xfId="25910" xr:uid="{00000000-0005-0000-0000-0000FB280000}"/>
    <cellStyle name="Normal 2 2 2 4 3 2 5" xfId="25911" xr:uid="{00000000-0005-0000-0000-0000FC280000}"/>
    <cellStyle name="Normal 2 2 2 4 3 2 6" xfId="25912" xr:uid="{00000000-0005-0000-0000-0000FD280000}"/>
    <cellStyle name="Normal 2 2 2 4 3 3" xfId="25913" xr:uid="{00000000-0005-0000-0000-0000FE280000}"/>
    <cellStyle name="Normal 2 2 2 4 3 3 2" xfId="25914" xr:uid="{00000000-0005-0000-0000-0000FF280000}"/>
    <cellStyle name="Normal 2 2 2 4 3 3 2 2" xfId="25915" xr:uid="{00000000-0005-0000-0000-000000290000}"/>
    <cellStyle name="Normal 2 2 2 4 3 3 3" xfId="25916" xr:uid="{00000000-0005-0000-0000-000001290000}"/>
    <cellStyle name="Normal 2 2 2 4 3 3 3 2" xfId="25917" xr:uid="{00000000-0005-0000-0000-000002290000}"/>
    <cellStyle name="Normal 2 2 2 4 3 3 4" xfId="25918" xr:uid="{00000000-0005-0000-0000-000003290000}"/>
    <cellStyle name="Normal 2 2 2 4 3 3 4 2" xfId="25919" xr:uid="{00000000-0005-0000-0000-000004290000}"/>
    <cellStyle name="Normal 2 2 2 4 3 3 5" xfId="25920" xr:uid="{00000000-0005-0000-0000-000005290000}"/>
    <cellStyle name="Normal 2 2 2 4 3 3 6" xfId="25921" xr:uid="{00000000-0005-0000-0000-000006290000}"/>
    <cellStyle name="Normal 2 2 2 4 3 4" xfId="25922" xr:uid="{00000000-0005-0000-0000-000007290000}"/>
    <cellStyle name="Normal 2 2 2 4 3 4 2" xfId="25923" xr:uid="{00000000-0005-0000-0000-000008290000}"/>
    <cellStyle name="Normal 2 2 2 4 3 4 2 2" xfId="25924" xr:uid="{00000000-0005-0000-0000-000009290000}"/>
    <cellStyle name="Normal 2 2 2 4 3 4 3" xfId="25925" xr:uid="{00000000-0005-0000-0000-00000A290000}"/>
    <cellStyle name="Normal 2 2 2 4 3 4 3 2" xfId="25926" xr:uid="{00000000-0005-0000-0000-00000B290000}"/>
    <cellStyle name="Normal 2 2 2 4 3 4 4" xfId="25927" xr:uid="{00000000-0005-0000-0000-00000C290000}"/>
    <cellStyle name="Normal 2 2 2 4 3 4 4 2" xfId="25928" xr:uid="{00000000-0005-0000-0000-00000D290000}"/>
    <cellStyle name="Normal 2 2 2 4 3 4 5" xfId="25929" xr:uid="{00000000-0005-0000-0000-00000E290000}"/>
    <cellStyle name="Normal 2 2 2 4 3 4 6" xfId="25930" xr:uid="{00000000-0005-0000-0000-00000F290000}"/>
    <cellStyle name="Normal 2 2 2 4 3 5" xfId="25931" xr:uid="{00000000-0005-0000-0000-000010290000}"/>
    <cellStyle name="Normal 2 2 2 4 3 5 2" xfId="25932" xr:uid="{00000000-0005-0000-0000-000011290000}"/>
    <cellStyle name="Normal 2 2 2 4 3 5 2 2" xfId="25933" xr:uid="{00000000-0005-0000-0000-000012290000}"/>
    <cellStyle name="Normal 2 2 2 4 3 5 3" xfId="25934" xr:uid="{00000000-0005-0000-0000-000013290000}"/>
    <cellStyle name="Normal 2 2 2 4 3 5 3 2" xfId="25935" xr:uid="{00000000-0005-0000-0000-000014290000}"/>
    <cellStyle name="Normal 2 2 2 4 3 5 4" xfId="25936" xr:uid="{00000000-0005-0000-0000-000015290000}"/>
    <cellStyle name="Normal 2 2 2 4 3 5 5" xfId="25937" xr:uid="{00000000-0005-0000-0000-000016290000}"/>
    <cellStyle name="Normal 2 2 2 4 3 6" xfId="25938" xr:uid="{00000000-0005-0000-0000-000017290000}"/>
    <cellStyle name="Normal 2 2 2 4 3 6 2" xfId="25939" xr:uid="{00000000-0005-0000-0000-000018290000}"/>
    <cellStyle name="Normal 2 2 2 4 3 7" xfId="25940" xr:uid="{00000000-0005-0000-0000-000019290000}"/>
    <cellStyle name="Normal 2 2 2 4 3 7 2" xfId="25941" xr:uid="{00000000-0005-0000-0000-00001A290000}"/>
    <cellStyle name="Normal 2 2 2 4 3 8" xfId="25942" xr:uid="{00000000-0005-0000-0000-00001B290000}"/>
    <cellStyle name="Normal 2 2 2 4 3 8 2" xfId="25943" xr:uid="{00000000-0005-0000-0000-00001C290000}"/>
    <cellStyle name="Normal 2 2 2 4 3 9" xfId="25944" xr:uid="{00000000-0005-0000-0000-00001D290000}"/>
    <cellStyle name="Normal 2 2 2 4 4" xfId="25945" xr:uid="{00000000-0005-0000-0000-00001E290000}"/>
    <cellStyle name="Normal 2 2 2 4 4 10" xfId="25946" xr:uid="{00000000-0005-0000-0000-00001F290000}"/>
    <cellStyle name="Normal 2 2 2 4 4 2" xfId="25947" xr:uid="{00000000-0005-0000-0000-000020290000}"/>
    <cellStyle name="Normal 2 2 2 4 4 2 2" xfId="25948" xr:uid="{00000000-0005-0000-0000-000021290000}"/>
    <cellStyle name="Normal 2 2 2 4 4 2 2 2" xfId="25949" xr:uid="{00000000-0005-0000-0000-000022290000}"/>
    <cellStyle name="Normal 2 2 2 4 4 2 3" xfId="25950" xr:uid="{00000000-0005-0000-0000-000023290000}"/>
    <cellStyle name="Normal 2 2 2 4 4 2 3 2" xfId="25951" xr:uid="{00000000-0005-0000-0000-000024290000}"/>
    <cellStyle name="Normal 2 2 2 4 4 2 4" xfId="25952" xr:uid="{00000000-0005-0000-0000-000025290000}"/>
    <cellStyle name="Normal 2 2 2 4 4 2 4 2" xfId="25953" xr:uid="{00000000-0005-0000-0000-000026290000}"/>
    <cellStyle name="Normal 2 2 2 4 4 2 5" xfId="25954" xr:uid="{00000000-0005-0000-0000-000027290000}"/>
    <cellStyle name="Normal 2 2 2 4 4 2 6" xfId="25955" xr:uid="{00000000-0005-0000-0000-000028290000}"/>
    <cellStyle name="Normal 2 2 2 4 4 3" xfId="25956" xr:uid="{00000000-0005-0000-0000-000029290000}"/>
    <cellStyle name="Normal 2 2 2 4 4 3 2" xfId="25957" xr:uid="{00000000-0005-0000-0000-00002A290000}"/>
    <cellStyle name="Normal 2 2 2 4 4 3 2 2" xfId="25958" xr:uid="{00000000-0005-0000-0000-00002B290000}"/>
    <cellStyle name="Normal 2 2 2 4 4 3 3" xfId="25959" xr:uid="{00000000-0005-0000-0000-00002C290000}"/>
    <cellStyle name="Normal 2 2 2 4 4 3 3 2" xfId="25960" xr:uid="{00000000-0005-0000-0000-00002D290000}"/>
    <cellStyle name="Normal 2 2 2 4 4 3 4" xfId="25961" xr:uid="{00000000-0005-0000-0000-00002E290000}"/>
    <cellStyle name="Normal 2 2 2 4 4 3 4 2" xfId="25962" xr:uid="{00000000-0005-0000-0000-00002F290000}"/>
    <cellStyle name="Normal 2 2 2 4 4 3 5" xfId="25963" xr:uid="{00000000-0005-0000-0000-000030290000}"/>
    <cellStyle name="Normal 2 2 2 4 4 3 6" xfId="25964" xr:uid="{00000000-0005-0000-0000-000031290000}"/>
    <cellStyle name="Normal 2 2 2 4 4 4" xfId="25965" xr:uid="{00000000-0005-0000-0000-000032290000}"/>
    <cellStyle name="Normal 2 2 2 4 4 4 2" xfId="25966" xr:uid="{00000000-0005-0000-0000-000033290000}"/>
    <cellStyle name="Normal 2 2 2 4 4 4 2 2" xfId="25967" xr:uid="{00000000-0005-0000-0000-000034290000}"/>
    <cellStyle name="Normal 2 2 2 4 4 4 3" xfId="25968" xr:uid="{00000000-0005-0000-0000-000035290000}"/>
    <cellStyle name="Normal 2 2 2 4 4 4 3 2" xfId="25969" xr:uid="{00000000-0005-0000-0000-000036290000}"/>
    <cellStyle name="Normal 2 2 2 4 4 4 4" xfId="25970" xr:uid="{00000000-0005-0000-0000-000037290000}"/>
    <cellStyle name="Normal 2 2 2 4 4 4 4 2" xfId="25971" xr:uid="{00000000-0005-0000-0000-000038290000}"/>
    <cellStyle name="Normal 2 2 2 4 4 4 5" xfId="25972" xr:uid="{00000000-0005-0000-0000-000039290000}"/>
    <cellStyle name="Normal 2 2 2 4 4 4 6" xfId="25973" xr:uid="{00000000-0005-0000-0000-00003A290000}"/>
    <cellStyle name="Normal 2 2 2 4 4 5" xfId="25974" xr:uid="{00000000-0005-0000-0000-00003B290000}"/>
    <cellStyle name="Normal 2 2 2 4 4 5 2" xfId="25975" xr:uid="{00000000-0005-0000-0000-00003C290000}"/>
    <cellStyle name="Normal 2 2 2 4 4 5 2 2" xfId="25976" xr:uid="{00000000-0005-0000-0000-00003D290000}"/>
    <cellStyle name="Normal 2 2 2 4 4 5 3" xfId="25977" xr:uid="{00000000-0005-0000-0000-00003E290000}"/>
    <cellStyle name="Normal 2 2 2 4 4 5 3 2" xfId="25978" xr:uid="{00000000-0005-0000-0000-00003F290000}"/>
    <cellStyle name="Normal 2 2 2 4 4 5 4" xfId="25979" xr:uid="{00000000-0005-0000-0000-000040290000}"/>
    <cellStyle name="Normal 2 2 2 4 4 5 5" xfId="25980" xr:uid="{00000000-0005-0000-0000-000041290000}"/>
    <cellStyle name="Normal 2 2 2 4 4 6" xfId="25981" xr:uid="{00000000-0005-0000-0000-000042290000}"/>
    <cellStyle name="Normal 2 2 2 4 4 6 2" xfId="25982" xr:uid="{00000000-0005-0000-0000-000043290000}"/>
    <cellStyle name="Normal 2 2 2 4 4 7" xfId="25983" xr:uid="{00000000-0005-0000-0000-000044290000}"/>
    <cellStyle name="Normal 2 2 2 4 4 7 2" xfId="25984" xr:uid="{00000000-0005-0000-0000-000045290000}"/>
    <cellStyle name="Normal 2 2 2 4 4 8" xfId="25985" xr:uid="{00000000-0005-0000-0000-000046290000}"/>
    <cellStyle name="Normal 2 2 2 4 4 8 2" xfId="25986" xr:uid="{00000000-0005-0000-0000-000047290000}"/>
    <cellStyle name="Normal 2 2 2 4 4 9" xfId="25987" xr:uid="{00000000-0005-0000-0000-000048290000}"/>
    <cellStyle name="Normal 2 2 2 4 5" xfId="25988" xr:uid="{00000000-0005-0000-0000-000049290000}"/>
    <cellStyle name="Normal 2 2 2 4 5 2" xfId="25989" xr:uid="{00000000-0005-0000-0000-00004A290000}"/>
    <cellStyle name="Normal 2 2 2 4 5 2 2" xfId="25990" xr:uid="{00000000-0005-0000-0000-00004B290000}"/>
    <cellStyle name="Normal 2 2 2 4 5 3" xfId="25991" xr:uid="{00000000-0005-0000-0000-00004C290000}"/>
    <cellStyle name="Normal 2 2 2 4 5 3 2" xfId="25992" xr:uid="{00000000-0005-0000-0000-00004D290000}"/>
    <cellStyle name="Normal 2 2 2 4 5 4" xfId="25993" xr:uid="{00000000-0005-0000-0000-00004E290000}"/>
    <cellStyle name="Normal 2 2 2 4 5 4 2" xfId="25994" xr:uid="{00000000-0005-0000-0000-00004F290000}"/>
    <cellStyle name="Normal 2 2 2 4 5 5" xfId="25995" xr:uid="{00000000-0005-0000-0000-000050290000}"/>
    <cellStyle name="Normal 2 2 2 4 5 6" xfId="25996" xr:uid="{00000000-0005-0000-0000-000051290000}"/>
    <cellStyle name="Normal 2 2 2 4 6" xfId="25997" xr:uid="{00000000-0005-0000-0000-000052290000}"/>
    <cellStyle name="Normal 2 2 2 4 6 2" xfId="25998" xr:uid="{00000000-0005-0000-0000-000053290000}"/>
    <cellStyle name="Normal 2 2 2 4 6 2 2" xfId="25999" xr:uid="{00000000-0005-0000-0000-000054290000}"/>
    <cellStyle name="Normal 2 2 2 4 6 3" xfId="26000" xr:uid="{00000000-0005-0000-0000-000055290000}"/>
    <cellStyle name="Normal 2 2 2 4 6 3 2" xfId="26001" xr:uid="{00000000-0005-0000-0000-000056290000}"/>
    <cellStyle name="Normal 2 2 2 4 6 4" xfId="26002" xr:uid="{00000000-0005-0000-0000-000057290000}"/>
    <cellStyle name="Normal 2 2 2 4 6 4 2" xfId="26003" xr:uid="{00000000-0005-0000-0000-000058290000}"/>
    <cellStyle name="Normal 2 2 2 4 6 5" xfId="26004" xr:uid="{00000000-0005-0000-0000-000059290000}"/>
    <cellStyle name="Normal 2 2 2 4 6 6" xfId="26005" xr:uid="{00000000-0005-0000-0000-00005A290000}"/>
    <cellStyle name="Normal 2 2 2 4 7" xfId="26006" xr:uid="{00000000-0005-0000-0000-00005B290000}"/>
    <cellStyle name="Normal 2 2 2 4 7 2" xfId="26007" xr:uid="{00000000-0005-0000-0000-00005C290000}"/>
    <cellStyle name="Normal 2 2 2 4 7 2 2" xfId="26008" xr:uid="{00000000-0005-0000-0000-00005D290000}"/>
    <cellStyle name="Normal 2 2 2 4 7 3" xfId="26009" xr:uid="{00000000-0005-0000-0000-00005E290000}"/>
    <cellStyle name="Normal 2 2 2 4 7 3 2" xfId="26010" xr:uid="{00000000-0005-0000-0000-00005F290000}"/>
    <cellStyle name="Normal 2 2 2 4 7 4" xfId="26011" xr:uid="{00000000-0005-0000-0000-000060290000}"/>
    <cellStyle name="Normal 2 2 2 4 7 4 2" xfId="26012" xr:uid="{00000000-0005-0000-0000-000061290000}"/>
    <cellStyle name="Normal 2 2 2 4 7 5" xfId="26013" xr:uid="{00000000-0005-0000-0000-000062290000}"/>
    <cellStyle name="Normal 2 2 2 4 7 6" xfId="26014" xr:uid="{00000000-0005-0000-0000-000063290000}"/>
    <cellStyle name="Normal 2 2 2 4 8" xfId="26015" xr:uid="{00000000-0005-0000-0000-000064290000}"/>
    <cellStyle name="Normal 2 2 2 4 8 2" xfId="26016" xr:uid="{00000000-0005-0000-0000-000065290000}"/>
    <cellStyle name="Normal 2 2 2 4 8 2 2" xfId="26017" xr:uid="{00000000-0005-0000-0000-000066290000}"/>
    <cellStyle name="Normal 2 2 2 4 8 3" xfId="26018" xr:uid="{00000000-0005-0000-0000-000067290000}"/>
    <cellStyle name="Normal 2 2 2 4 8 3 2" xfId="26019" xr:uid="{00000000-0005-0000-0000-000068290000}"/>
    <cellStyle name="Normal 2 2 2 4 8 4" xfId="26020" xr:uid="{00000000-0005-0000-0000-000069290000}"/>
    <cellStyle name="Normal 2 2 2 4 8 5" xfId="26021" xr:uid="{00000000-0005-0000-0000-00006A290000}"/>
    <cellStyle name="Normal 2 2 2 4 9" xfId="26022" xr:uid="{00000000-0005-0000-0000-00006B290000}"/>
    <cellStyle name="Normal 2 2 2 4 9 2" xfId="26023" xr:uid="{00000000-0005-0000-0000-00006C290000}"/>
    <cellStyle name="Normal 2 2 2 5" xfId="26024" xr:uid="{00000000-0005-0000-0000-00006D290000}"/>
    <cellStyle name="Normal 2 2 2 5 10" xfId="26025" xr:uid="{00000000-0005-0000-0000-00006E290000}"/>
    <cellStyle name="Normal 2 2 2 5 10 2" xfId="26026" xr:uid="{00000000-0005-0000-0000-00006F290000}"/>
    <cellStyle name="Normal 2 2 2 5 11" xfId="26027" xr:uid="{00000000-0005-0000-0000-000070290000}"/>
    <cellStyle name="Normal 2 2 2 5 12" xfId="26028" xr:uid="{00000000-0005-0000-0000-000071290000}"/>
    <cellStyle name="Normal 2 2 2 5 2" xfId="26029" xr:uid="{00000000-0005-0000-0000-000072290000}"/>
    <cellStyle name="Normal 2 2 2 5 2 10" xfId="26030" xr:uid="{00000000-0005-0000-0000-000073290000}"/>
    <cellStyle name="Normal 2 2 2 5 2 2" xfId="26031" xr:uid="{00000000-0005-0000-0000-000074290000}"/>
    <cellStyle name="Normal 2 2 2 5 2 2 2" xfId="26032" xr:uid="{00000000-0005-0000-0000-000075290000}"/>
    <cellStyle name="Normal 2 2 2 5 2 2 2 2" xfId="26033" xr:uid="{00000000-0005-0000-0000-000076290000}"/>
    <cellStyle name="Normal 2 2 2 5 2 2 3" xfId="26034" xr:uid="{00000000-0005-0000-0000-000077290000}"/>
    <cellStyle name="Normal 2 2 2 5 2 2 3 2" xfId="26035" xr:uid="{00000000-0005-0000-0000-000078290000}"/>
    <cellStyle name="Normal 2 2 2 5 2 2 4" xfId="26036" xr:uid="{00000000-0005-0000-0000-000079290000}"/>
    <cellStyle name="Normal 2 2 2 5 2 2 4 2" xfId="26037" xr:uid="{00000000-0005-0000-0000-00007A290000}"/>
    <cellStyle name="Normal 2 2 2 5 2 2 5" xfId="26038" xr:uid="{00000000-0005-0000-0000-00007B290000}"/>
    <cellStyle name="Normal 2 2 2 5 2 2 6" xfId="26039" xr:uid="{00000000-0005-0000-0000-00007C290000}"/>
    <cellStyle name="Normal 2 2 2 5 2 3" xfId="26040" xr:uid="{00000000-0005-0000-0000-00007D290000}"/>
    <cellStyle name="Normal 2 2 2 5 2 3 2" xfId="26041" xr:uid="{00000000-0005-0000-0000-00007E290000}"/>
    <cellStyle name="Normal 2 2 2 5 2 3 2 2" xfId="26042" xr:uid="{00000000-0005-0000-0000-00007F290000}"/>
    <cellStyle name="Normal 2 2 2 5 2 3 3" xfId="26043" xr:uid="{00000000-0005-0000-0000-000080290000}"/>
    <cellStyle name="Normal 2 2 2 5 2 3 3 2" xfId="26044" xr:uid="{00000000-0005-0000-0000-000081290000}"/>
    <cellStyle name="Normal 2 2 2 5 2 3 4" xfId="26045" xr:uid="{00000000-0005-0000-0000-000082290000}"/>
    <cellStyle name="Normal 2 2 2 5 2 3 4 2" xfId="26046" xr:uid="{00000000-0005-0000-0000-000083290000}"/>
    <cellStyle name="Normal 2 2 2 5 2 3 5" xfId="26047" xr:uid="{00000000-0005-0000-0000-000084290000}"/>
    <cellStyle name="Normal 2 2 2 5 2 3 6" xfId="26048" xr:uid="{00000000-0005-0000-0000-000085290000}"/>
    <cellStyle name="Normal 2 2 2 5 2 4" xfId="26049" xr:uid="{00000000-0005-0000-0000-000086290000}"/>
    <cellStyle name="Normal 2 2 2 5 2 4 2" xfId="26050" xr:uid="{00000000-0005-0000-0000-000087290000}"/>
    <cellStyle name="Normal 2 2 2 5 2 4 2 2" xfId="26051" xr:uid="{00000000-0005-0000-0000-000088290000}"/>
    <cellStyle name="Normal 2 2 2 5 2 4 3" xfId="26052" xr:uid="{00000000-0005-0000-0000-000089290000}"/>
    <cellStyle name="Normal 2 2 2 5 2 4 3 2" xfId="26053" xr:uid="{00000000-0005-0000-0000-00008A290000}"/>
    <cellStyle name="Normal 2 2 2 5 2 4 4" xfId="26054" xr:uid="{00000000-0005-0000-0000-00008B290000}"/>
    <cellStyle name="Normal 2 2 2 5 2 4 4 2" xfId="26055" xr:uid="{00000000-0005-0000-0000-00008C290000}"/>
    <cellStyle name="Normal 2 2 2 5 2 4 5" xfId="26056" xr:uid="{00000000-0005-0000-0000-00008D290000}"/>
    <cellStyle name="Normal 2 2 2 5 2 4 6" xfId="26057" xr:uid="{00000000-0005-0000-0000-00008E290000}"/>
    <cellStyle name="Normal 2 2 2 5 2 5" xfId="26058" xr:uid="{00000000-0005-0000-0000-00008F290000}"/>
    <cellStyle name="Normal 2 2 2 5 2 5 2" xfId="26059" xr:uid="{00000000-0005-0000-0000-000090290000}"/>
    <cellStyle name="Normal 2 2 2 5 2 5 2 2" xfId="26060" xr:uid="{00000000-0005-0000-0000-000091290000}"/>
    <cellStyle name="Normal 2 2 2 5 2 5 3" xfId="26061" xr:uid="{00000000-0005-0000-0000-000092290000}"/>
    <cellStyle name="Normal 2 2 2 5 2 5 3 2" xfId="26062" xr:uid="{00000000-0005-0000-0000-000093290000}"/>
    <cellStyle name="Normal 2 2 2 5 2 5 4" xfId="26063" xr:uid="{00000000-0005-0000-0000-000094290000}"/>
    <cellStyle name="Normal 2 2 2 5 2 5 5" xfId="26064" xr:uid="{00000000-0005-0000-0000-000095290000}"/>
    <cellStyle name="Normal 2 2 2 5 2 6" xfId="26065" xr:uid="{00000000-0005-0000-0000-000096290000}"/>
    <cellStyle name="Normal 2 2 2 5 2 6 2" xfId="26066" xr:uid="{00000000-0005-0000-0000-000097290000}"/>
    <cellStyle name="Normal 2 2 2 5 2 7" xfId="26067" xr:uid="{00000000-0005-0000-0000-000098290000}"/>
    <cellStyle name="Normal 2 2 2 5 2 7 2" xfId="26068" xr:uid="{00000000-0005-0000-0000-000099290000}"/>
    <cellStyle name="Normal 2 2 2 5 2 8" xfId="26069" xr:uid="{00000000-0005-0000-0000-00009A290000}"/>
    <cellStyle name="Normal 2 2 2 5 2 8 2" xfId="26070" xr:uid="{00000000-0005-0000-0000-00009B290000}"/>
    <cellStyle name="Normal 2 2 2 5 2 9" xfId="26071" xr:uid="{00000000-0005-0000-0000-00009C290000}"/>
    <cellStyle name="Normal 2 2 2 5 3" xfId="26072" xr:uid="{00000000-0005-0000-0000-00009D290000}"/>
    <cellStyle name="Normal 2 2 2 5 3 10" xfId="26073" xr:uid="{00000000-0005-0000-0000-00009E290000}"/>
    <cellStyle name="Normal 2 2 2 5 3 2" xfId="26074" xr:uid="{00000000-0005-0000-0000-00009F290000}"/>
    <cellStyle name="Normal 2 2 2 5 3 2 2" xfId="26075" xr:uid="{00000000-0005-0000-0000-0000A0290000}"/>
    <cellStyle name="Normal 2 2 2 5 3 2 2 2" xfId="26076" xr:uid="{00000000-0005-0000-0000-0000A1290000}"/>
    <cellStyle name="Normal 2 2 2 5 3 2 3" xfId="26077" xr:uid="{00000000-0005-0000-0000-0000A2290000}"/>
    <cellStyle name="Normal 2 2 2 5 3 2 3 2" xfId="26078" xr:uid="{00000000-0005-0000-0000-0000A3290000}"/>
    <cellStyle name="Normal 2 2 2 5 3 2 4" xfId="26079" xr:uid="{00000000-0005-0000-0000-0000A4290000}"/>
    <cellStyle name="Normal 2 2 2 5 3 2 4 2" xfId="26080" xr:uid="{00000000-0005-0000-0000-0000A5290000}"/>
    <cellStyle name="Normal 2 2 2 5 3 2 5" xfId="26081" xr:uid="{00000000-0005-0000-0000-0000A6290000}"/>
    <cellStyle name="Normal 2 2 2 5 3 2 6" xfId="26082" xr:uid="{00000000-0005-0000-0000-0000A7290000}"/>
    <cellStyle name="Normal 2 2 2 5 3 3" xfId="26083" xr:uid="{00000000-0005-0000-0000-0000A8290000}"/>
    <cellStyle name="Normal 2 2 2 5 3 3 2" xfId="26084" xr:uid="{00000000-0005-0000-0000-0000A9290000}"/>
    <cellStyle name="Normal 2 2 2 5 3 3 2 2" xfId="26085" xr:uid="{00000000-0005-0000-0000-0000AA290000}"/>
    <cellStyle name="Normal 2 2 2 5 3 3 3" xfId="26086" xr:uid="{00000000-0005-0000-0000-0000AB290000}"/>
    <cellStyle name="Normal 2 2 2 5 3 3 3 2" xfId="26087" xr:uid="{00000000-0005-0000-0000-0000AC290000}"/>
    <cellStyle name="Normal 2 2 2 5 3 3 4" xfId="26088" xr:uid="{00000000-0005-0000-0000-0000AD290000}"/>
    <cellStyle name="Normal 2 2 2 5 3 3 4 2" xfId="26089" xr:uid="{00000000-0005-0000-0000-0000AE290000}"/>
    <cellStyle name="Normal 2 2 2 5 3 3 5" xfId="26090" xr:uid="{00000000-0005-0000-0000-0000AF290000}"/>
    <cellStyle name="Normal 2 2 2 5 3 3 6" xfId="26091" xr:uid="{00000000-0005-0000-0000-0000B0290000}"/>
    <cellStyle name="Normal 2 2 2 5 3 4" xfId="26092" xr:uid="{00000000-0005-0000-0000-0000B1290000}"/>
    <cellStyle name="Normal 2 2 2 5 3 4 2" xfId="26093" xr:uid="{00000000-0005-0000-0000-0000B2290000}"/>
    <cellStyle name="Normal 2 2 2 5 3 4 2 2" xfId="26094" xr:uid="{00000000-0005-0000-0000-0000B3290000}"/>
    <cellStyle name="Normal 2 2 2 5 3 4 3" xfId="26095" xr:uid="{00000000-0005-0000-0000-0000B4290000}"/>
    <cellStyle name="Normal 2 2 2 5 3 4 3 2" xfId="26096" xr:uid="{00000000-0005-0000-0000-0000B5290000}"/>
    <cellStyle name="Normal 2 2 2 5 3 4 4" xfId="26097" xr:uid="{00000000-0005-0000-0000-0000B6290000}"/>
    <cellStyle name="Normal 2 2 2 5 3 4 4 2" xfId="26098" xr:uid="{00000000-0005-0000-0000-0000B7290000}"/>
    <cellStyle name="Normal 2 2 2 5 3 4 5" xfId="26099" xr:uid="{00000000-0005-0000-0000-0000B8290000}"/>
    <cellStyle name="Normal 2 2 2 5 3 4 6" xfId="26100" xr:uid="{00000000-0005-0000-0000-0000B9290000}"/>
    <cellStyle name="Normal 2 2 2 5 3 5" xfId="26101" xr:uid="{00000000-0005-0000-0000-0000BA290000}"/>
    <cellStyle name="Normal 2 2 2 5 3 5 2" xfId="26102" xr:uid="{00000000-0005-0000-0000-0000BB290000}"/>
    <cellStyle name="Normal 2 2 2 5 3 5 2 2" xfId="26103" xr:uid="{00000000-0005-0000-0000-0000BC290000}"/>
    <cellStyle name="Normal 2 2 2 5 3 5 3" xfId="26104" xr:uid="{00000000-0005-0000-0000-0000BD290000}"/>
    <cellStyle name="Normal 2 2 2 5 3 5 3 2" xfId="26105" xr:uid="{00000000-0005-0000-0000-0000BE290000}"/>
    <cellStyle name="Normal 2 2 2 5 3 5 4" xfId="26106" xr:uid="{00000000-0005-0000-0000-0000BF290000}"/>
    <cellStyle name="Normal 2 2 2 5 3 5 5" xfId="26107" xr:uid="{00000000-0005-0000-0000-0000C0290000}"/>
    <cellStyle name="Normal 2 2 2 5 3 6" xfId="26108" xr:uid="{00000000-0005-0000-0000-0000C1290000}"/>
    <cellStyle name="Normal 2 2 2 5 3 6 2" xfId="26109" xr:uid="{00000000-0005-0000-0000-0000C2290000}"/>
    <cellStyle name="Normal 2 2 2 5 3 7" xfId="26110" xr:uid="{00000000-0005-0000-0000-0000C3290000}"/>
    <cellStyle name="Normal 2 2 2 5 3 7 2" xfId="26111" xr:uid="{00000000-0005-0000-0000-0000C4290000}"/>
    <cellStyle name="Normal 2 2 2 5 3 8" xfId="26112" xr:uid="{00000000-0005-0000-0000-0000C5290000}"/>
    <cellStyle name="Normal 2 2 2 5 3 8 2" xfId="26113" xr:uid="{00000000-0005-0000-0000-0000C6290000}"/>
    <cellStyle name="Normal 2 2 2 5 3 9" xfId="26114" xr:uid="{00000000-0005-0000-0000-0000C7290000}"/>
    <cellStyle name="Normal 2 2 2 5 4" xfId="26115" xr:uid="{00000000-0005-0000-0000-0000C8290000}"/>
    <cellStyle name="Normal 2 2 2 5 4 2" xfId="26116" xr:uid="{00000000-0005-0000-0000-0000C9290000}"/>
    <cellStyle name="Normal 2 2 2 5 4 2 2" xfId="26117" xr:uid="{00000000-0005-0000-0000-0000CA290000}"/>
    <cellStyle name="Normal 2 2 2 5 4 3" xfId="26118" xr:uid="{00000000-0005-0000-0000-0000CB290000}"/>
    <cellStyle name="Normal 2 2 2 5 4 3 2" xfId="26119" xr:uid="{00000000-0005-0000-0000-0000CC290000}"/>
    <cellStyle name="Normal 2 2 2 5 4 4" xfId="26120" xr:uid="{00000000-0005-0000-0000-0000CD290000}"/>
    <cellStyle name="Normal 2 2 2 5 4 4 2" xfId="26121" xr:uid="{00000000-0005-0000-0000-0000CE290000}"/>
    <cellStyle name="Normal 2 2 2 5 4 5" xfId="26122" xr:uid="{00000000-0005-0000-0000-0000CF290000}"/>
    <cellStyle name="Normal 2 2 2 5 4 6" xfId="26123" xr:uid="{00000000-0005-0000-0000-0000D0290000}"/>
    <cellStyle name="Normal 2 2 2 5 5" xfId="26124" xr:uid="{00000000-0005-0000-0000-0000D1290000}"/>
    <cellStyle name="Normal 2 2 2 5 5 2" xfId="26125" xr:uid="{00000000-0005-0000-0000-0000D2290000}"/>
    <cellStyle name="Normal 2 2 2 5 5 2 2" xfId="26126" xr:uid="{00000000-0005-0000-0000-0000D3290000}"/>
    <cellStyle name="Normal 2 2 2 5 5 3" xfId="26127" xr:uid="{00000000-0005-0000-0000-0000D4290000}"/>
    <cellStyle name="Normal 2 2 2 5 5 3 2" xfId="26128" xr:uid="{00000000-0005-0000-0000-0000D5290000}"/>
    <cellStyle name="Normal 2 2 2 5 5 4" xfId="26129" xr:uid="{00000000-0005-0000-0000-0000D6290000}"/>
    <cellStyle name="Normal 2 2 2 5 5 4 2" xfId="26130" xr:uid="{00000000-0005-0000-0000-0000D7290000}"/>
    <cellStyle name="Normal 2 2 2 5 5 5" xfId="26131" xr:uid="{00000000-0005-0000-0000-0000D8290000}"/>
    <cellStyle name="Normal 2 2 2 5 5 6" xfId="26132" xr:uid="{00000000-0005-0000-0000-0000D9290000}"/>
    <cellStyle name="Normal 2 2 2 5 6" xfId="26133" xr:uid="{00000000-0005-0000-0000-0000DA290000}"/>
    <cellStyle name="Normal 2 2 2 5 6 2" xfId="26134" xr:uid="{00000000-0005-0000-0000-0000DB290000}"/>
    <cellStyle name="Normal 2 2 2 5 6 2 2" xfId="26135" xr:uid="{00000000-0005-0000-0000-0000DC290000}"/>
    <cellStyle name="Normal 2 2 2 5 6 3" xfId="26136" xr:uid="{00000000-0005-0000-0000-0000DD290000}"/>
    <cellStyle name="Normal 2 2 2 5 6 3 2" xfId="26137" xr:uid="{00000000-0005-0000-0000-0000DE290000}"/>
    <cellStyle name="Normal 2 2 2 5 6 4" xfId="26138" xr:uid="{00000000-0005-0000-0000-0000DF290000}"/>
    <cellStyle name="Normal 2 2 2 5 6 4 2" xfId="26139" xr:uid="{00000000-0005-0000-0000-0000E0290000}"/>
    <cellStyle name="Normal 2 2 2 5 6 5" xfId="26140" xr:uid="{00000000-0005-0000-0000-0000E1290000}"/>
    <cellStyle name="Normal 2 2 2 5 6 6" xfId="26141" xr:uid="{00000000-0005-0000-0000-0000E2290000}"/>
    <cellStyle name="Normal 2 2 2 5 7" xfId="26142" xr:uid="{00000000-0005-0000-0000-0000E3290000}"/>
    <cellStyle name="Normal 2 2 2 5 7 2" xfId="26143" xr:uid="{00000000-0005-0000-0000-0000E4290000}"/>
    <cellStyle name="Normal 2 2 2 5 7 2 2" xfId="26144" xr:uid="{00000000-0005-0000-0000-0000E5290000}"/>
    <cellStyle name="Normal 2 2 2 5 7 3" xfId="26145" xr:uid="{00000000-0005-0000-0000-0000E6290000}"/>
    <cellStyle name="Normal 2 2 2 5 7 3 2" xfId="26146" xr:uid="{00000000-0005-0000-0000-0000E7290000}"/>
    <cellStyle name="Normal 2 2 2 5 7 4" xfId="26147" xr:uid="{00000000-0005-0000-0000-0000E8290000}"/>
    <cellStyle name="Normal 2 2 2 5 7 5" xfId="26148" xr:uid="{00000000-0005-0000-0000-0000E9290000}"/>
    <cellStyle name="Normal 2 2 2 5 8" xfId="26149" xr:uid="{00000000-0005-0000-0000-0000EA290000}"/>
    <cellStyle name="Normal 2 2 2 5 8 2" xfId="26150" xr:uid="{00000000-0005-0000-0000-0000EB290000}"/>
    <cellStyle name="Normal 2 2 2 5 9" xfId="26151" xr:uid="{00000000-0005-0000-0000-0000EC290000}"/>
    <cellStyle name="Normal 2 2 2 5 9 2" xfId="26152" xr:uid="{00000000-0005-0000-0000-0000ED290000}"/>
    <cellStyle name="Normal 2 2 2 6" xfId="26153" xr:uid="{00000000-0005-0000-0000-0000EE290000}"/>
    <cellStyle name="Normal 2 2 2 6 10" xfId="26154" xr:uid="{00000000-0005-0000-0000-0000EF290000}"/>
    <cellStyle name="Normal 2 2 2 6 11" xfId="26155" xr:uid="{00000000-0005-0000-0000-0000F0290000}"/>
    <cellStyle name="Normal 2 2 2 6 2" xfId="26156" xr:uid="{00000000-0005-0000-0000-0000F1290000}"/>
    <cellStyle name="Normal 2 2 2 6 2 2" xfId="26157" xr:uid="{00000000-0005-0000-0000-0000F2290000}"/>
    <cellStyle name="Normal 2 2 2 6 2 2 2" xfId="26158" xr:uid="{00000000-0005-0000-0000-0000F3290000}"/>
    <cellStyle name="Normal 2 2 2 6 2 3" xfId="26159" xr:uid="{00000000-0005-0000-0000-0000F4290000}"/>
    <cellStyle name="Normal 2 2 2 6 2 3 2" xfId="26160" xr:uid="{00000000-0005-0000-0000-0000F5290000}"/>
    <cellStyle name="Normal 2 2 2 6 2 4" xfId="26161" xr:uid="{00000000-0005-0000-0000-0000F6290000}"/>
    <cellStyle name="Normal 2 2 2 6 2 4 2" xfId="26162" xr:uid="{00000000-0005-0000-0000-0000F7290000}"/>
    <cellStyle name="Normal 2 2 2 6 2 5" xfId="26163" xr:uid="{00000000-0005-0000-0000-0000F8290000}"/>
    <cellStyle name="Normal 2 2 2 6 2 6" xfId="26164" xr:uid="{00000000-0005-0000-0000-0000F9290000}"/>
    <cellStyle name="Normal 2 2 2 6 3" xfId="26165" xr:uid="{00000000-0005-0000-0000-0000FA290000}"/>
    <cellStyle name="Normal 2 2 2 6 3 2" xfId="26166" xr:uid="{00000000-0005-0000-0000-0000FB290000}"/>
    <cellStyle name="Normal 2 2 2 6 3 2 2" xfId="26167" xr:uid="{00000000-0005-0000-0000-0000FC290000}"/>
    <cellStyle name="Normal 2 2 2 6 3 3" xfId="26168" xr:uid="{00000000-0005-0000-0000-0000FD290000}"/>
    <cellStyle name="Normal 2 2 2 6 3 3 2" xfId="26169" xr:uid="{00000000-0005-0000-0000-0000FE290000}"/>
    <cellStyle name="Normal 2 2 2 6 3 4" xfId="26170" xr:uid="{00000000-0005-0000-0000-0000FF290000}"/>
    <cellStyle name="Normal 2 2 2 6 3 4 2" xfId="26171" xr:uid="{00000000-0005-0000-0000-0000002A0000}"/>
    <cellStyle name="Normal 2 2 2 6 3 5" xfId="26172" xr:uid="{00000000-0005-0000-0000-0000012A0000}"/>
    <cellStyle name="Normal 2 2 2 6 3 6" xfId="26173" xr:uid="{00000000-0005-0000-0000-0000022A0000}"/>
    <cellStyle name="Normal 2 2 2 6 4" xfId="26174" xr:uid="{00000000-0005-0000-0000-0000032A0000}"/>
    <cellStyle name="Normal 2 2 2 6 4 2" xfId="26175" xr:uid="{00000000-0005-0000-0000-0000042A0000}"/>
    <cellStyle name="Normal 2 2 2 6 4 2 2" xfId="26176" xr:uid="{00000000-0005-0000-0000-0000052A0000}"/>
    <cellStyle name="Normal 2 2 2 6 4 3" xfId="26177" xr:uid="{00000000-0005-0000-0000-0000062A0000}"/>
    <cellStyle name="Normal 2 2 2 6 4 3 2" xfId="26178" xr:uid="{00000000-0005-0000-0000-0000072A0000}"/>
    <cellStyle name="Normal 2 2 2 6 4 4" xfId="26179" xr:uid="{00000000-0005-0000-0000-0000082A0000}"/>
    <cellStyle name="Normal 2 2 2 6 4 4 2" xfId="26180" xr:uid="{00000000-0005-0000-0000-0000092A0000}"/>
    <cellStyle name="Normal 2 2 2 6 4 5" xfId="26181" xr:uid="{00000000-0005-0000-0000-00000A2A0000}"/>
    <cellStyle name="Normal 2 2 2 6 4 6" xfId="26182" xr:uid="{00000000-0005-0000-0000-00000B2A0000}"/>
    <cellStyle name="Normal 2 2 2 6 5" xfId="26183" xr:uid="{00000000-0005-0000-0000-00000C2A0000}"/>
    <cellStyle name="Normal 2 2 2 6 5 2" xfId="26184" xr:uid="{00000000-0005-0000-0000-00000D2A0000}"/>
    <cellStyle name="Normal 2 2 2 6 5 2 2" xfId="26185" xr:uid="{00000000-0005-0000-0000-00000E2A0000}"/>
    <cellStyle name="Normal 2 2 2 6 5 3" xfId="26186" xr:uid="{00000000-0005-0000-0000-00000F2A0000}"/>
    <cellStyle name="Normal 2 2 2 6 5 3 2" xfId="26187" xr:uid="{00000000-0005-0000-0000-0000102A0000}"/>
    <cellStyle name="Normal 2 2 2 6 5 4" xfId="26188" xr:uid="{00000000-0005-0000-0000-0000112A0000}"/>
    <cellStyle name="Normal 2 2 2 6 5 4 2" xfId="26189" xr:uid="{00000000-0005-0000-0000-0000122A0000}"/>
    <cellStyle name="Normal 2 2 2 6 5 5" xfId="26190" xr:uid="{00000000-0005-0000-0000-0000132A0000}"/>
    <cellStyle name="Normal 2 2 2 6 5 6" xfId="26191" xr:uid="{00000000-0005-0000-0000-0000142A0000}"/>
    <cellStyle name="Normal 2 2 2 6 6" xfId="26192" xr:uid="{00000000-0005-0000-0000-0000152A0000}"/>
    <cellStyle name="Normal 2 2 2 6 6 2" xfId="26193" xr:uid="{00000000-0005-0000-0000-0000162A0000}"/>
    <cellStyle name="Normal 2 2 2 6 6 2 2" xfId="26194" xr:uid="{00000000-0005-0000-0000-0000172A0000}"/>
    <cellStyle name="Normal 2 2 2 6 6 3" xfId="26195" xr:uid="{00000000-0005-0000-0000-0000182A0000}"/>
    <cellStyle name="Normal 2 2 2 6 6 3 2" xfId="26196" xr:uid="{00000000-0005-0000-0000-0000192A0000}"/>
    <cellStyle name="Normal 2 2 2 6 6 4" xfId="26197" xr:uid="{00000000-0005-0000-0000-00001A2A0000}"/>
    <cellStyle name="Normal 2 2 2 6 6 5" xfId="26198" xr:uid="{00000000-0005-0000-0000-00001B2A0000}"/>
    <cellStyle name="Normal 2 2 2 6 7" xfId="26199" xr:uid="{00000000-0005-0000-0000-00001C2A0000}"/>
    <cellStyle name="Normal 2 2 2 6 7 2" xfId="26200" xr:uid="{00000000-0005-0000-0000-00001D2A0000}"/>
    <cellStyle name="Normal 2 2 2 6 8" xfId="26201" xr:uid="{00000000-0005-0000-0000-00001E2A0000}"/>
    <cellStyle name="Normal 2 2 2 6 8 2" xfId="26202" xr:uid="{00000000-0005-0000-0000-00001F2A0000}"/>
    <cellStyle name="Normal 2 2 2 6 9" xfId="26203" xr:uid="{00000000-0005-0000-0000-0000202A0000}"/>
    <cellStyle name="Normal 2 2 2 6 9 2" xfId="26204" xr:uid="{00000000-0005-0000-0000-0000212A0000}"/>
    <cellStyle name="Normal 2 2 2 7" xfId="26205" xr:uid="{00000000-0005-0000-0000-0000222A0000}"/>
    <cellStyle name="Normal 2 2 2 7 10" xfId="26206" xr:uid="{00000000-0005-0000-0000-0000232A0000}"/>
    <cellStyle name="Normal 2 2 2 7 2" xfId="26207" xr:uid="{00000000-0005-0000-0000-0000242A0000}"/>
    <cellStyle name="Normal 2 2 2 7 2 2" xfId="26208" xr:uid="{00000000-0005-0000-0000-0000252A0000}"/>
    <cellStyle name="Normal 2 2 2 7 2 2 2" xfId="26209" xr:uid="{00000000-0005-0000-0000-0000262A0000}"/>
    <cellStyle name="Normal 2 2 2 7 2 3" xfId="26210" xr:uid="{00000000-0005-0000-0000-0000272A0000}"/>
    <cellStyle name="Normal 2 2 2 7 2 3 2" xfId="26211" xr:uid="{00000000-0005-0000-0000-0000282A0000}"/>
    <cellStyle name="Normal 2 2 2 7 2 4" xfId="26212" xr:uid="{00000000-0005-0000-0000-0000292A0000}"/>
    <cellStyle name="Normal 2 2 2 7 2 4 2" xfId="26213" xr:uid="{00000000-0005-0000-0000-00002A2A0000}"/>
    <cellStyle name="Normal 2 2 2 7 2 5" xfId="26214" xr:uid="{00000000-0005-0000-0000-00002B2A0000}"/>
    <cellStyle name="Normal 2 2 2 7 2 6" xfId="26215" xr:uid="{00000000-0005-0000-0000-00002C2A0000}"/>
    <cellStyle name="Normal 2 2 2 7 3" xfId="26216" xr:uid="{00000000-0005-0000-0000-00002D2A0000}"/>
    <cellStyle name="Normal 2 2 2 7 3 2" xfId="26217" xr:uid="{00000000-0005-0000-0000-00002E2A0000}"/>
    <cellStyle name="Normal 2 2 2 7 3 2 2" xfId="26218" xr:uid="{00000000-0005-0000-0000-00002F2A0000}"/>
    <cellStyle name="Normal 2 2 2 7 3 3" xfId="26219" xr:uid="{00000000-0005-0000-0000-0000302A0000}"/>
    <cellStyle name="Normal 2 2 2 7 3 3 2" xfId="26220" xr:uid="{00000000-0005-0000-0000-0000312A0000}"/>
    <cellStyle name="Normal 2 2 2 7 3 4" xfId="26221" xr:uid="{00000000-0005-0000-0000-0000322A0000}"/>
    <cellStyle name="Normal 2 2 2 7 3 4 2" xfId="26222" xr:uid="{00000000-0005-0000-0000-0000332A0000}"/>
    <cellStyle name="Normal 2 2 2 7 3 5" xfId="26223" xr:uid="{00000000-0005-0000-0000-0000342A0000}"/>
    <cellStyle name="Normal 2 2 2 7 3 6" xfId="26224" xr:uid="{00000000-0005-0000-0000-0000352A0000}"/>
    <cellStyle name="Normal 2 2 2 7 4" xfId="26225" xr:uid="{00000000-0005-0000-0000-0000362A0000}"/>
    <cellStyle name="Normal 2 2 2 7 4 2" xfId="26226" xr:uid="{00000000-0005-0000-0000-0000372A0000}"/>
    <cellStyle name="Normal 2 2 2 7 4 2 2" xfId="26227" xr:uid="{00000000-0005-0000-0000-0000382A0000}"/>
    <cellStyle name="Normal 2 2 2 7 4 3" xfId="26228" xr:uid="{00000000-0005-0000-0000-0000392A0000}"/>
    <cellStyle name="Normal 2 2 2 7 4 3 2" xfId="26229" xr:uid="{00000000-0005-0000-0000-00003A2A0000}"/>
    <cellStyle name="Normal 2 2 2 7 4 4" xfId="26230" xr:uid="{00000000-0005-0000-0000-00003B2A0000}"/>
    <cellStyle name="Normal 2 2 2 7 4 4 2" xfId="26231" xr:uid="{00000000-0005-0000-0000-00003C2A0000}"/>
    <cellStyle name="Normal 2 2 2 7 4 5" xfId="26232" xr:uid="{00000000-0005-0000-0000-00003D2A0000}"/>
    <cellStyle name="Normal 2 2 2 7 4 6" xfId="26233" xr:uid="{00000000-0005-0000-0000-00003E2A0000}"/>
    <cellStyle name="Normal 2 2 2 7 5" xfId="26234" xr:uid="{00000000-0005-0000-0000-00003F2A0000}"/>
    <cellStyle name="Normal 2 2 2 7 5 2" xfId="26235" xr:uid="{00000000-0005-0000-0000-0000402A0000}"/>
    <cellStyle name="Normal 2 2 2 7 5 2 2" xfId="26236" xr:uid="{00000000-0005-0000-0000-0000412A0000}"/>
    <cellStyle name="Normal 2 2 2 7 5 3" xfId="26237" xr:uid="{00000000-0005-0000-0000-0000422A0000}"/>
    <cellStyle name="Normal 2 2 2 7 5 3 2" xfId="26238" xr:uid="{00000000-0005-0000-0000-0000432A0000}"/>
    <cellStyle name="Normal 2 2 2 7 5 4" xfId="26239" xr:uid="{00000000-0005-0000-0000-0000442A0000}"/>
    <cellStyle name="Normal 2 2 2 7 5 5" xfId="26240" xr:uid="{00000000-0005-0000-0000-0000452A0000}"/>
    <cellStyle name="Normal 2 2 2 7 6" xfId="26241" xr:uid="{00000000-0005-0000-0000-0000462A0000}"/>
    <cellStyle name="Normal 2 2 2 7 6 2" xfId="26242" xr:uid="{00000000-0005-0000-0000-0000472A0000}"/>
    <cellStyle name="Normal 2 2 2 7 7" xfId="26243" xr:uid="{00000000-0005-0000-0000-0000482A0000}"/>
    <cellStyle name="Normal 2 2 2 7 7 2" xfId="26244" xr:uid="{00000000-0005-0000-0000-0000492A0000}"/>
    <cellStyle name="Normal 2 2 2 7 8" xfId="26245" xr:uid="{00000000-0005-0000-0000-00004A2A0000}"/>
    <cellStyle name="Normal 2 2 2 7 8 2" xfId="26246" xr:uid="{00000000-0005-0000-0000-00004B2A0000}"/>
    <cellStyle name="Normal 2 2 2 7 9" xfId="26247" xr:uid="{00000000-0005-0000-0000-00004C2A0000}"/>
    <cellStyle name="Normal 2 2 2 8" xfId="26248" xr:uid="{00000000-0005-0000-0000-00004D2A0000}"/>
    <cellStyle name="Normal 2 2 2 8 10" xfId="26249" xr:uid="{00000000-0005-0000-0000-00004E2A0000}"/>
    <cellStyle name="Normal 2 2 2 8 2" xfId="26250" xr:uid="{00000000-0005-0000-0000-00004F2A0000}"/>
    <cellStyle name="Normal 2 2 2 8 2 2" xfId="26251" xr:uid="{00000000-0005-0000-0000-0000502A0000}"/>
    <cellStyle name="Normal 2 2 2 8 2 2 2" xfId="26252" xr:uid="{00000000-0005-0000-0000-0000512A0000}"/>
    <cellStyle name="Normal 2 2 2 8 2 3" xfId="26253" xr:uid="{00000000-0005-0000-0000-0000522A0000}"/>
    <cellStyle name="Normal 2 2 2 8 2 3 2" xfId="26254" xr:uid="{00000000-0005-0000-0000-0000532A0000}"/>
    <cellStyle name="Normal 2 2 2 8 2 4" xfId="26255" xr:uid="{00000000-0005-0000-0000-0000542A0000}"/>
    <cellStyle name="Normal 2 2 2 8 2 4 2" xfId="26256" xr:uid="{00000000-0005-0000-0000-0000552A0000}"/>
    <cellStyle name="Normal 2 2 2 8 2 5" xfId="26257" xr:uid="{00000000-0005-0000-0000-0000562A0000}"/>
    <cellStyle name="Normal 2 2 2 8 2 6" xfId="26258" xr:uid="{00000000-0005-0000-0000-0000572A0000}"/>
    <cellStyle name="Normal 2 2 2 8 3" xfId="26259" xr:uid="{00000000-0005-0000-0000-0000582A0000}"/>
    <cellStyle name="Normal 2 2 2 8 3 2" xfId="26260" xr:uid="{00000000-0005-0000-0000-0000592A0000}"/>
    <cellStyle name="Normal 2 2 2 8 3 2 2" xfId="26261" xr:uid="{00000000-0005-0000-0000-00005A2A0000}"/>
    <cellStyle name="Normal 2 2 2 8 3 3" xfId="26262" xr:uid="{00000000-0005-0000-0000-00005B2A0000}"/>
    <cellStyle name="Normal 2 2 2 8 3 3 2" xfId="26263" xr:uid="{00000000-0005-0000-0000-00005C2A0000}"/>
    <cellStyle name="Normal 2 2 2 8 3 4" xfId="26264" xr:uid="{00000000-0005-0000-0000-00005D2A0000}"/>
    <cellStyle name="Normal 2 2 2 8 3 4 2" xfId="26265" xr:uid="{00000000-0005-0000-0000-00005E2A0000}"/>
    <cellStyle name="Normal 2 2 2 8 3 5" xfId="26266" xr:uid="{00000000-0005-0000-0000-00005F2A0000}"/>
    <cellStyle name="Normal 2 2 2 8 3 6" xfId="26267" xr:uid="{00000000-0005-0000-0000-0000602A0000}"/>
    <cellStyle name="Normal 2 2 2 8 4" xfId="26268" xr:uid="{00000000-0005-0000-0000-0000612A0000}"/>
    <cellStyle name="Normal 2 2 2 8 4 2" xfId="26269" xr:uid="{00000000-0005-0000-0000-0000622A0000}"/>
    <cellStyle name="Normal 2 2 2 8 4 2 2" xfId="26270" xr:uid="{00000000-0005-0000-0000-0000632A0000}"/>
    <cellStyle name="Normal 2 2 2 8 4 3" xfId="26271" xr:uid="{00000000-0005-0000-0000-0000642A0000}"/>
    <cellStyle name="Normal 2 2 2 8 4 3 2" xfId="26272" xr:uid="{00000000-0005-0000-0000-0000652A0000}"/>
    <cellStyle name="Normal 2 2 2 8 4 4" xfId="26273" xr:uid="{00000000-0005-0000-0000-0000662A0000}"/>
    <cellStyle name="Normal 2 2 2 8 4 4 2" xfId="26274" xr:uid="{00000000-0005-0000-0000-0000672A0000}"/>
    <cellStyle name="Normal 2 2 2 8 4 5" xfId="26275" xr:uid="{00000000-0005-0000-0000-0000682A0000}"/>
    <cellStyle name="Normal 2 2 2 8 4 6" xfId="26276" xr:uid="{00000000-0005-0000-0000-0000692A0000}"/>
    <cellStyle name="Normal 2 2 2 8 5" xfId="26277" xr:uid="{00000000-0005-0000-0000-00006A2A0000}"/>
    <cellStyle name="Normal 2 2 2 8 5 2" xfId="26278" xr:uid="{00000000-0005-0000-0000-00006B2A0000}"/>
    <cellStyle name="Normal 2 2 2 8 5 2 2" xfId="26279" xr:uid="{00000000-0005-0000-0000-00006C2A0000}"/>
    <cellStyle name="Normal 2 2 2 8 5 3" xfId="26280" xr:uid="{00000000-0005-0000-0000-00006D2A0000}"/>
    <cellStyle name="Normal 2 2 2 8 5 3 2" xfId="26281" xr:uid="{00000000-0005-0000-0000-00006E2A0000}"/>
    <cellStyle name="Normal 2 2 2 8 5 4" xfId="26282" xr:uid="{00000000-0005-0000-0000-00006F2A0000}"/>
    <cellStyle name="Normal 2 2 2 8 5 5" xfId="26283" xr:uid="{00000000-0005-0000-0000-0000702A0000}"/>
    <cellStyle name="Normal 2 2 2 8 6" xfId="26284" xr:uid="{00000000-0005-0000-0000-0000712A0000}"/>
    <cellStyle name="Normal 2 2 2 8 6 2" xfId="26285" xr:uid="{00000000-0005-0000-0000-0000722A0000}"/>
    <cellStyle name="Normal 2 2 2 8 7" xfId="26286" xr:uid="{00000000-0005-0000-0000-0000732A0000}"/>
    <cellStyle name="Normal 2 2 2 8 7 2" xfId="26287" xr:uid="{00000000-0005-0000-0000-0000742A0000}"/>
    <cellStyle name="Normal 2 2 2 8 8" xfId="26288" xr:uid="{00000000-0005-0000-0000-0000752A0000}"/>
    <cellStyle name="Normal 2 2 2 8 8 2" xfId="26289" xr:uid="{00000000-0005-0000-0000-0000762A0000}"/>
    <cellStyle name="Normal 2 2 2 8 9" xfId="26290" xr:uid="{00000000-0005-0000-0000-0000772A0000}"/>
    <cellStyle name="Normal 2 2 2 9" xfId="26291" xr:uid="{00000000-0005-0000-0000-0000782A0000}"/>
    <cellStyle name="Normal 2 2 2 9 2" xfId="26292" xr:uid="{00000000-0005-0000-0000-0000792A0000}"/>
    <cellStyle name="Normal 2 2 2 9 2 2" xfId="26293" xr:uid="{00000000-0005-0000-0000-00007A2A0000}"/>
    <cellStyle name="Normal 2 2 2 9 3" xfId="26294" xr:uid="{00000000-0005-0000-0000-00007B2A0000}"/>
    <cellStyle name="Normal 2 2 2 9 3 2" xfId="26295" xr:uid="{00000000-0005-0000-0000-00007C2A0000}"/>
    <cellStyle name="Normal 2 2 2 9 4" xfId="26296" xr:uid="{00000000-0005-0000-0000-00007D2A0000}"/>
    <cellStyle name="Normal 2 2 2 9 4 2" xfId="26297" xr:uid="{00000000-0005-0000-0000-00007E2A0000}"/>
    <cellStyle name="Normal 2 2 2 9 5" xfId="26298" xr:uid="{00000000-0005-0000-0000-00007F2A0000}"/>
    <cellStyle name="Normal 2 2 2 9 6" xfId="26299" xr:uid="{00000000-0005-0000-0000-0000802A0000}"/>
    <cellStyle name="Normal 2 2 3" xfId="11932" xr:uid="{00000000-0005-0000-0000-0000812A0000}"/>
    <cellStyle name="Normal 2 2 3 2" xfId="17685" xr:uid="{00000000-0005-0000-0000-0000822A0000}"/>
    <cellStyle name="Normal 2 2 4" xfId="26300" xr:uid="{00000000-0005-0000-0000-0000832A0000}"/>
    <cellStyle name="Normal 2 2 5" xfId="17670" xr:uid="{00000000-0005-0000-0000-0000842A0000}"/>
    <cellStyle name="Normal 2 3" xfId="1495" xr:uid="{00000000-0005-0000-0000-0000852A0000}"/>
    <cellStyle name="Normal 2 3 10" xfId="8991" xr:uid="{00000000-0005-0000-0000-0000862A0000}"/>
    <cellStyle name="Normal 2 3 10 2" xfId="9559" xr:uid="{00000000-0005-0000-0000-0000872A0000}"/>
    <cellStyle name="Normal 2 3 10 2 2" xfId="10613" xr:uid="{00000000-0005-0000-0000-0000882A0000}"/>
    <cellStyle name="Normal 2 3 10 2 2 2" xfId="14207" xr:uid="{00000000-0005-0000-0000-0000892A0000}"/>
    <cellStyle name="Normal 2 3 10 2 2 3" xfId="15104" xr:uid="{00000000-0005-0000-0000-00008A2A0000}"/>
    <cellStyle name="Normal 2 3 10 2 3" xfId="13154" xr:uid="{00000000-0005-0000-0000-00008B2A0000}"/>
    <cellStyle name="Normal 2 3 10 2 4" xfId="15103" xr:uid="{00000000-0005-0000-0000-00008C2A0000}"/>
    <cellStyle name="Normal 2 3 10 3" xfId="10075" xr:uid="{00000000-0005-0000-0000-00008D2A0000}"/>
    <cellStyle name="Normal 2 3 10 3 2" xfId="13669" xr:uid="{00000000-0005-0000-0000-00008E2A0000}"/>
    <cellStyle name="Normal 2 3 10 3 3" xfId="15105" xr:uid="{00000000-0005-0000-0000-00008F2A0000}"/>
    <cellStyle name="Normal 2 3 10 4" xfId="10877" xr:uid="{00000000-0005-0000-0000-0000902A0000}"/>
    <cellStyle name="Normal 2 3 10 4 2" xfId="14470" xr:uid="{00000000-0005-0000-0000-0000912A0000}"/>
    <cellStyle name="Normal 2 3 10 4 3" xfId="15106" xr:uid="{00000000-0005-0000-0000-0000922A0000}"/>
    <cellStyle name="Normal 2 3 10 5" xfId="12616" xr:uid="{00000000-0005-0000-0000-0000932A0000}"/>
    <cellStyle name="Normal 2 3 10 6" xfId="15102" xr:uid="{00000000-0005-0000-0000-0000942A0000}"/>
    <cellStyle name="Normal 2 3 11" xfId="9303" xr:uid="{00000000-0005-0000-0000-0000952A0000}"/>
    <cellStyle name="Normal 2 3 11 2" xfId="10357" xr:uid="{00000000-0005-0000-0000-0000962A0000}"/>
    <cellStyle name="Normal 2 3 11 2 2" xfId="13951" xr:uid="{00000000-0005-0000-0000-0000972A0000}"/>
    <cellStyle name="Normal 2 3 11 2 3" xfId="15108" xr:uid="{00000000-0005-0000-0000-0000982A0000}"/>
    <cellStyle name="Normal 2 3 11 3" xfId="12898" xr:uid="{00000000-0005-0000-0000-0000992A0000}"/>
    <cellStyle name="Normal 2 3 11 4" xfId="15107" xr:uid="{00000000-0005-0000-0000-00009A2A0000}"/>
    <cellStyle name="Normal 2 3 12" xfId="9819" xr:uid="{00000000-0005-0000-0000-00009B2A0000}"/>
    <cellStyle name="Normal 2 3 12 2" xfId="13413" xr:uid="{00000000-0005-0000-0000-00009C2A0000}"/>
    <cellStyle name="Normal 2 3 12 3" xfId="15109" xr:uid="{00000000-0005-0000-0000-00009D2A0000}"/>
    <cellStyle name="Normal 2 3 13" xfId="10876" xr:uid="{00000000-0005-0000-0000-00009E2A0000}"/>
    <cellStyle name="Normal 2 3 13 2" xfId="14469" xr:uid="{00000000-0005-0000-0000-00009F2A0000}"/>
    <cellStyle name="Normal 2 3 13 3" xfId="15110" xr:uid="{00000000-0005-0000-0000-0000A02A0000}"/>
    <cellStyle name="Normal 2 3 14" xfId="12335" xr:uid="{00000000-0005-0000-0000-0000A12A0000}"/>
    <cellStyle name="Normal 2 3 14 2" xfId="17671" xr:uid="{00000000-0005-0000-0000-0000A22A0000}"/>
    <cellStyle name="Normal 2 3 15" xfId="15101" xr:uid="{00000000-0005-0000-0000-0000A32A0000}"/>
    <cellStyle name="Normal 2 3 2" xfId="1496" xr:uid="{00000000-0005-0000-0000-0000A42A0000}"/>
    <cellStyle name="Normal 2 3 2 10" xfId="9304" xr:uid="{00000000-0005-0000-0000-0000A52A0000}"/>
    <cellStyle name="Normal 2 3 2 10 2" xfId="10358" xr:uid="{00000000-0005-0000-0000-0000A62A0000}"/>
    <cellStyle name="Normal 2 3 2 10 2 2" xfId="13952" xr:uid="{00000000-0005-0000-0000-0000A72A0000}"/>
    <cellStyle name="Normal 2 3 2 10 2 2 2" xfId="26304" xr:uid="{00000000-0005-0000-0000-0000A82A0000}"/>
    <cellStyle name="Normal 2 3 2 10 2 3" xfId="26303" xr:uid="{00000000-0005-0000-0000-0000A92A0000}"/>
    <cellStyle name="Normal 2 3 2 10 2 4" xfId="15113" xr:uid="{00000000-0005-0000-0000-0000AA2A0000}"/>
    <cellStyle name="Normal 2 3 2 10 3" xfId="12899" xr:uid="{00000000-0005-0000-0000-0000AB2A0000}"/>
    <cellStyle name="Normal 2 3 2 10 3 2" xfId="26306" xr:uid="{00000000-0005-0000-0000-0000AC2A0000}"/>
    <cellStyle name="Normal 2 3 2 10 3 3" xfId="26305" xr:uid="{00000000-0005-0000-0000-0000AD2A0000}"/>
    <cellStyle name="Normal 2 3 2 10 4" xfId="26307" xr:uid="{00000000-0005-0000-0000-0000AE2A0000}"/>
    <cellStyle name="Normal 2 3 2 10 4 2" xfId="26308" xr:uid="{00000000-0005-0000-0000-0000AF2A0000}"/>
    <cellStyle name="Normal 2 3 2 10 5" xfId="26309" xr:uid="{00000000-0005-0000-0000-0000B02A0000}"/>
    <cellStyle name="Normal 2 3 2 10 6" xfId="26310" xr:uid="{00000000-0005-0000-0000-0000B12A0000}"/>
    <cellStyle name="Normal 2 3 2 10 7" xfId="26302" xr:uid="{00000000-0005-0000-0000-0000B22A0000}"/>
    <cellStyle name="Normal 2 3 2 10 8" xfId="15112" xr:uid="{00000000-0005-0000-0000-0000B32A0000}"/>
    <cellStyle name="Normal 2 3 2 11" xfId="9820" xr:uid="{00000000-0005-0000-0000-0000B42A0000}"/>
    <cellStyle name="Normal 2 3 2 11 2" xfId="13414" xr:uid="{00000000-0005-0000-0000-0000B52A0000}"/>
    <cellStyle name="Normal 2 3 2 11 2 2" xfId="26313" xr:uid="{00000000-0005-0000-0000-0000B62A0000}"/>
    <cellStyle name="Normal 2 3 2 11 2 3" xfId="26312" xr:uid="{00000000-0005-0000-0000-0000B72A0000}"/>
    <cellStyle name="Normal 2 3 2 11 3" xfId="26314" xr:uid="{00000000-0005-0000-0000-0000B82A0000}"/>
    <cellStyle name="Normal 2 3 2 11 3 2" xfId="26315" xr:uid="{00000000-0005-0000-0000-0000B92A0000}"/>
    <cellStyle name="Normal 2 3 2 11 4" xfId="26316" xr:uid="{00000000-0005-0000-0000-0000BA2A0000}"/>
    <cellStyle name="Normal 2 3 2 11 4 2" xfId="26317" xr:uid="{00000000-0005-0000-0000-0000BB2A0000}"/>
    <cellStyle name="Normal 2 3 2 11 5" xfId="26318" xr:uid="{00000000-0005-0000-0000-0000BC2A0000}"/>
    <cellStyle name="Normal 2 3 2 11 6" xfId="26319" xr:uid="{00000000-0005-0000-0000-0000BD2A0000}"/>
    <cellStyle name="Normal 2 3 2 11 7" xfId="26311" xr:uid="{00000000-0005-0000-0000-0000BE2A0000}"/>
    <cellStyle name="Normal 2 3 2 11 8" xfId="15114" xr:uid="{00000000-0005-0000-0000-0000BF2A0000}"/>
    <cellStyle name="Normal 2 3 2 12" xfId="10878" xr:uid="{00000000-0005-0000-0000-0000C02A0000}"/>
    <cellStyle name="Normal 2 3 2 12 2" xfId="14471" xr:uid="{00000000-0005-0000-0000-0000C12A0000}"/>
    <cellStyle name="Normal 2 3 2 12 2 2" xfId="26322" xr:uid="{00000000-0005-0000-0000-0000C22A0000}"/>
    <cellStyle name="Normal 2 3 2 12 2 3" xfId="26321" xr:uid="{00000000-0005-0000-0000-0000C32A0000}"/>
    <cellStyle name="Normal 2 3 2 12 3" xfId="26323" xr:uid="{00000000-0005-0000-0000-0000C42A0000}"/>
    <cellStyle name="Normal 2 3 2 12 3 2" xfId="26324" xr:uid="{00000000-0005-0000-0000-0000C52A0000}"/>
    <cellStyle name="Normal 2 3 2 12 4" xfId="26325" xr:uid="{00000000-0005-0000-0000-0000C62A0000}"/>
    <cellStyle name="Normal 2 3 2 12 5" xfId="26326" xr:uid="{00000000-0005-0000-0000-0000C72A0000}"/>
    <cellStyle name="Normal 2 3 2 12 6" xfId="26320" xr:uid="{00000000-0005-0000-0000-0000C82A0000}"/>
    <cellStyle name="Normal 2 3 2 12 7" xfId="15115" xr:uid="{00000000-0005-0000-0000-0000C92A0000}"/>
    <cellStyle name="Normal 2 3 2 13" xfId="12336" xr:uid="{00000000-0005-0000-0000-0000CA2A0000}"/>
    <cellStyle name="Normal 2 3 2 13 2" xfId="26328" xr:uid="{00000000-0005-0000-0000-0000CB2A0000}"/>
    <cellStyle name="Normal 2 3 2 13 3" xfId="26327" xr:uid="{00000000-0005-0000-0000-0000CC2A0000}"/>
    <cellStyle name="Normal 2 3 2 14" xfId="26329" xr:uid="{00000000-0005-0000-0000-0000CD2A0000}"/>
    <cellStyle name="Normal 2 3 2 14 2" xfId="26330" xr:uid="{00000000-0005-0000-0000-0000CE2A0000}"/>
    <cellStyle name="Normal 2 3 2 15" xfId="26331" xr:uid="{00000000-0005-0000-0000-0000CF2A0000}"/>
    <cellStyle name="Normal 2 3 2 15 2" xfId="26332" xr:uid="{00000000-0005-0000-0000-0000D02A0000}"/>
    <cellStyle name="Normal 2 3 2 16" xfId="26333" xr:uid="{00000000-0005-0000-0000-0000D12A0000}"/>
    <cellStyle name="Normal 2 3 2 17" xfId="26334" xr:uid="{00000000-0005-0000-0000-0000D22A0000}"/>
    <cellStyle name="Normal 2 3 2 18" xfId="26301" xr:uid="{00000000-0005-0000-0000-0000D32A0000}"/>
    <cellStyle name="Normal 2 3 2 19" xfId="15111" xr:uid="{00000000-0005-0000-0000-0000D42A0000}"/>
    <cellStyle name="Normal 2 3 2 2" xfId="1497" xr:uid="{00000000-0005-0000-0000-0000D52A0000}"/>
    <cellStyle name="Normal 2 3 2 2 10" xfId="9821" xr:uid="{00000000-0005-0000-0000-0000D62A0000}"/>
    <cellStyle name="Normal 2 3 2 2 10 2" xfId="13415" xr:uid="{00000000-0005-0000-0000-0000D72A0000}"/>
    <cellStyle name="Normal 2 3 2 2 10 3" xfId="15117" xr:uid="{00000000-0005-0000-0000-0000D82A0000}"/>
    <cellStyle name="Normal 2 3 2 2 11" xfId="10879" xr:uid="{00000000-0005-0000-0000-0000D92A0000}"/>
    <cellStyle name="Normal 2 3 2 2 11 2" xfId="14472" xr:uid="{00000000-0005-0000-0000-0000DA2A0000}"/>
    <cellStyle name="Normal 2 3 2 2 11 3" xfId="15118" xr:uid="{00000000-0005-0000-0000-0000DB2A0000}"/>
    <cellStyle name="Normal 2 3 2 2 12" xfId="12337" xr:uid="{00000000-0005-0000-0000-0000DC2A0000}"/>
    <cellStyle name="Normal 2 3 2 2 12 2" xfId="26335" xr:uid="{00000000-0005-0000-0000-0000DD2A0000}"/>
    <cellStyle name="Normal 2 3 2 2 13" xfId="15116" xr:uid="{00000000-0005-0000-0000-0000DE2A0000}"/>
    <cellStyle name="Normal 2 3 2 2 2" xfId="1498" xr:uid="{00000000-0005-0000-0000-0000DF2A0000}"/>
    <cellStyle name="Normal 2 3 2 2 2 10" xfId="10880" xr:uid="{00000000-0005-0000-0000-0000E02A0000}"/>
    <cellStyle name="Normal 2 3 2 2 2 10 2" xfId="14473" xr:uid="{00000000-0005-0000-0000-0000E12A0000}"/>
    <cellStyle name="Normal 2 3 2 2 2 10 3" xfId="15120" xr:uid="{00000000-0005-0000-0000-0000E22A0000}"/>
    <cellStyle name="Normal 2 3 2 2 2 11" xfId="12338" xr:uid="{00000000-0005-0000-0000-0000E32A0000}"/>
    <cellStyle name="Normal 2 3 2 2 2 12" xfId="15119" xr:uid="{00000000-0005-0000-0000-0000E42A0000}"/>
    <cellStyle name="Normal 2 3 2 2 2 2" xfId="1499" xr:uid="{00000000-0005-0000-0000-0000E52A0000}"/>
    <cellStyle name="Normal 2 3 2 2 2 2 10" xfId="12339" xr:uid="{00000000-0005-0000-0000-0000E62A0000}"/>
    <cellStyle name="Normal 2 3 2 2 2 2 11" xfId="15121" xr:uid="{00000000-0005-0000-0000-0000E72A0000}"/>
    <cellStyle name="Normal 2 3 2 2 2 2 2" xfId="8797" xr:uid="{00000000-0005-0000-0000-0000E82A0000}"/>
    <cellStyle name="Normal 2 3 2 2 2 2 2 2" xfId="8925" xr:uid="{00000000-0005-0000-0000-0000E92A0000}"/>
    <cellStyle name="Normal 2 3 2 2 2 2 2 2 2" xfId="9181" xr:uid="{00000000-0005-0000-0000-0000EA2A0000}"/>
    <cellStyle name="Normal 2 3 2 2 2 2 2 2 2 2" xfId="9749" xr:uid="{00000000-0005-0000-0000-0000EB2A0000}"/>
    <cellStyle name="Normal 2 3 2 2 2 2 2 2 2 2 2" xfId="10803" xr:uid="{00000000-0005-0000-0000-0000EC2A0000}"/>
    <cellStyle name="Normal 2 3 2 2 2 2 2 2 2 2 2 2" xfId="14397" xr:uid="{00000000-0005-0000-0000-0000ED2A0000}"/>
    <cellStyle name="Normal 2 3 2 2 2 2 2 2 2 2 2 3" xfId="15126" xr:uid="{00000000-0005-0000-0000-0000EE2A0000}"/>
    <cellStyle name="Normal 2 3 2 2 2 2 2 2 2 2 3" xfId="13344" xr:uid="{00000000-0005-0000-0000-0000EF2A0000}"/>
    <cellStyle name="Normal 2 3 2 2 2 2 2 2 2 2 4" xfId="15125" xr:uid="{00000000-0005-0000-0000-0000F02A0000}"/>
    <cellStyle name="Normal 2 3 2 2 2 2 2 2 2 3" xfId="10265" xr:uid="{00000000-0005-0000-0000-0000F12A0000}"/>
    <cellStyle name="Normal 2 3 2 2 2 2 2 2 2 3 2" xfId="13859" xr:uid="{00000000-0005-0000-0000-0000F22A0000}"/>
    <cellStyle name="Normal 2 3 2 2 2 2 2 2 2 3 3" xfId="15127" xr:uid="{00000000-0005-0000-0000-0000F32A0000}"/>
    <cellStyle name="Normal 2 3 2 2 2 2 2 2 2 4" xfId="10884" xr:uid="{00000000-0005-0000-0000-0000F42A0000}"/>
    <cellStyle name="Normal 2 3 2 2 2 2 2 2 2 4 2" xfId="14477" xr:uid="{00000000-0005-0000-0000-0000F52A0000}"/>
    <cellStyle name="Normal 2 3 2 2 2 2 2 2 2 4 3" xfId="15128" xr:uid="{00000000-0005-0000-0000-0000F62A0000}"/>
    <cellStyle name="Normal 2 3 2 2 2 2 2 2 2 5" xfId="12806" xr:uid="{00000000-0005-0000-0000-0000F72A0000}"/>
    <cellStyle name="Normal 2 3 2 2 2 2 2 2 2 6" xfId="15124" xr:uid="{00000000-0005-0000-0000-0000F82A0000}"/>
    <cellStyle name="Normal 2 3 2 2 2 2 2 2 3" xfId="9493" xr:uid="{00000000-0005-0000-0000-0000F92A0000}"/>
    <cellStyle name="Normal 2 3 2 2 2 2 2 2 3 2" xfId="10547" xr:uid="{00000000-0005-0000-0000-0000FA2A0000}"/>
    <cellStyle name="Normal 2 3 2 2 2 2 2 2 3 2 2" xfId="14141" xr:uid="{00000000-0005-0000-0000-0000FB2A0000}"/>
    <cellStyle name="Normal 2 3 2 2 2 2 2 2 3 2 3" xfId="15130" xr:uid="{00000000-0005-0000-0000-0000FC2A0000}"/>
    <cellStyle name="Normal 2 3 2 2 2 2 2 2 3 3" xfId="13088" xr:uid="{00000000-0005-0000-0000-0000FD2A0000}"/>
    <cellStyle name="Normal 2 3 2 2 2 2 2 2 3 4" xfId="15129" xr:uid="{00000000-0005-0000-0000-0000FE2A0000}"/>
    <cellStyle name="Normal 2 3 2 2 2 2 2 2 4" xfId="10009" xr:uid="{00000000-0005-0000-0000-0000FF2A0000}"/>
    <cellStyle name="Normal 2 3 2 2 2 2 2 2 4 2" xfId="13603" xr:uid="{00000000-0005-0000-0000-0000002B0000}"/>
    <cellStyle name="Normal 2 3 2 2 2 2 2 2 4 3" xfId="15131" xr:uid="{00000000-0005-0000-0000-0000012B0000}"/>
    <cellStyle name="Normal 2 3 2 2 2 2 2 2 5" xfId="10883" xr:uid="{00000000-0005-0000-0000-0000022B0000}"/>
    <cellStyle name="Normal 2 3 2 2 2 2 2 2 5 2" xfId="14476" xr:uid="{00000000-0005-0000-0000-0000032B0000}"/>
    <cellStyle name="Normal 2 3 2 2 2 2 2 2 5 3" xfId="15132" xr:uid="{00000000-0005-0000-0000-0000042B0000}"/>
    <cellStyle name="Normal 2 3 2 2 2 2 2 2 6" xfId="12550" xr:uid="{00000000-0005-0000-0000-0000052B0000}"/>
    <cellStyle name="Normal 2 3 2 2 2 2 2 2 7" xfId="15123" xr:uid="{00000000-0005-0000-0000-0000062B0000}"/>
    <cellStyle name="Normal 2 3 2 2 2 2 2 3" xfId="9053" xr:uid="{00000000-0005-0000-0000-0000072B0000}"/>
    <cellStyle name="Normal 2 3 2 2 2 2 2 3 2" xfId="9621" xr:uid="{00000000-0005-0000-0000-0000082B0000}"/>
    <cellStyle name="Normal 2 3 2 2 2 2 2 3 2 2" xfId="10675" xr:uid="{00000000-0005-0000-0000-0000092B0000}"/>
    <cellStyle name="Normal 2 3 2 2 2 2 2 3 2 2 2" xfId="14269" xr:uid="{00000000-0005-0000-0000-00000A2B0000}"/>
    <cellStyle name="Normal 2 3 2 2 2 2 2 3 2 2 3" xfId="15135" xr:uid="{00000000-0005-0000-0000-00000B2B0000}"/>
    <cellStyle name="Normal 2 3 2 2 2 2 2 3 2 3" xfId="13216" xr:uid="{00000000-0005-0000-0000-00000C2B0000}"/>
    <cellStyle name="Normal 2 3 2 2 2 2 2 3 2 4" xfId="15134" xr:uid="{00000000-0005-0000-0000-00000D2B0000}"/>
    <cellStyle name="Normal 2 3 2 2 2 2 2 3 3" xfId="10137" xr:uid="{00000000-0005-0000-0000-00000E2B0000}"/>
    <cellStyle name="Normal 2 3 2 2 2 2 2 3 3 2" xfId="13731" xr:uid="{00000000-0005-0000-0000-00000F2B0000}"/>
    <cellStyle name="Normal 2 3 2 2 2 2 2 3 3 3" xfId="15136" xr:uid="{00000000-0005-0000-0000-0000102B0000}"/>
    <cellStyle name="Normal 2 3 2 2 2 2 2 3 4" xfId="10885" xr:uid="{00000000-0005-0000-0000-0000112B0000}"/>
    <cellStyle name="Normal 2 3 2 2 2 2 2 3 4 2" xfId="14478" xr:uid="{00000000-0005-0000-0000-0000122B0000}"/>
    <cellStyle name="Normal 2 3 2 2 2 2 2 3 4 3" xfId="15137" xr:uid="{00000000-0005-0000-0000-0000132B0000}"/>
    <cellStyle name="Normal 2 3 2 2 2 2 2 3 5" xfId="12678" xr:uid="{00000000-0005-0000-0000-0000142B0000}"/>
    <cellStyle name="Normal 2 3 2 2 2 2 2 3 6" xfId="15133" xr:uid="{00000000-0005-0000-0000-0000152B0000}"/>
    <cellStyle name="Normal 2 3 2 2 2 2 2 4" xfId="9365" xr:uid="{00000000-0005-0000-0000-0000162B0000}"/>
    <cellStyle name="Normal 2 3 2 2 2 2 2 4 2" xfId="10419" xr:uid="{00000000-0005-0000-0000-0000172B0000}"/>
    <cellStyle name="Normal 2 3 2 2 2 2 2 4 2 2" xfId="14013" xr:uid="{00000000-0005-0000-0000-0000182B0000}"/>
    <cellStyle name="Normal 2 3 2 2 2 2 2 4 2 3" xfId="15139" xr:uid="{00000000-0005-0000-0000-0000192B0000}"/>
    <cellStyle name="Normal 2 3 2 2 2 2 2 4 3" xfId="12960" xr:uid="{00000000-0005-0000-0000-00001A2B0000}"/>
    <cellStyle name="Normal 2 3 2 2 2 2 2 4 4" xfId="15138" xr:uid="{00000000-0005-0000-0000-00001B2B0000}"/>
    <cellStyle name="Normal 2 3 2 2 2 2 2 5" xfId="9881" xr:uid="{00000000-0005-0000-0000-00001C2B0000}"/>
    <cellStyle name="Normal 2 3 2 2 2 2 2 5 2" xfId="13475" xr:uid="{00000000-0005-0000-0000-00001D2B0000}"/>
    <cellStyle name="Normal 2 3 2 2 2 2 2 5 3" xfId="15140" xr:uid="{00000000-0005-0000-0000-00001E2B0000}"/>
    <cellStyle name="Normal 2 3 2 2 2 2 2 6" xfId="10882" xr:uid="{00000000-0005-0000-0000-00001F2B0000}"/>
    <cellStyle name="Normal 2 3 2 2 2 2 2 6 2" xfId="14475" xr:uid="{00000000-0005-0000-0000-0000202B0000}"/>
    <cellStyle name="Normal 2 3 2 2 2 2 2 6 3" xfId="15141" xr:uid="{00000000-0005-0000-0000-0000212B0000}"/>
    <cellStyle name="Normal 2 3 2 2 2 2 2 7" xfId="12422" xr:uid="{00000000-0005-0000-0000-0000222B0000}"/>
    <cellStyle name="Normal 2 3 2 2 2 2 2 8" xfId="15122" xr:uid="{00000000-0005-0000-0000-0000232B0000}"/>
    <cellStyle name="Normal 2 3 2 2 2 2 3" xfId="8829" xr:uid="{00000000-0005-0000-0000-0000242B0000}"/>
    <cellStyle name="Normal 2 3 2 2 2 2 3 2" xfId="8957" xr:uid="{00000000-0005-0000-0000-0000252B0000}"/>
    <cellStyle name="Normal 2 3 2 2 2 2 3 2 2" xfId="9213" xr:uid="{00000000-0005-0000-0000-0000262B0000}"/>
    <cellStyle name="Normal 2 3 2 2 2 2 3 2 2 2" xfId="9781" xr:uid="{00000000-0005-0000-0000-0000272B0000}"/>
    <cellStyle name="Normal 2 3 2 2 2 2 3 2 2 2 2" xfId="10835" xr:uid="{00000000-0005-0000-0000-0000282B0000}"/>
    <cellStyle name="Normal 2 3 2 2 2 2 3 2 2 2 2 2" xfId="14429" xr:uid="{00000000-0005-0000-0000-0000292B0000}"/>
    <cellStyle name="Normal 2 3 2 2 2 2 3 2 2 2 2 3" xfId="15146" xr:uid="{00000000-0005-0000-0000-00002A2B0000}"/>
    <cellStyle name="Normal 2 3 2 2 2 2 3 2 2 2 3" xfId="13376" xr:uid="{00000000-0005-0000-0000-00002B2B0000}"/>
    <cellStyle name="Normal 2 3 2 2 2 2 3 2 2 2 4" xfId="15145" xr:uid="{00000000-0005-0000-0000-00002C2B0000}"/>
    <cellStyle name="Normal 2 3 2 2 2 2 3 2 2 3" xfId="10297" xr:uid="{00000000-0005-0000-0000-00002D2B0000}"/>
    <cellStyle name="Normal 2 3 2 2 2 2 3 2 2 3 2" xfId="13891" xr:uid="{00000000-0005-0000-0000-00002E2B0000}"/>
    <cellStyle name="Normal 2 3 2 2 2 2 3 2 2 3 3" xfId="15147" xr:uid="{00000000-0005-0000-0000-00002F2B0000}"/>
    <cellStyle name="Normal 2 3 2 2 2 2 3 2 2 4" xfId="10888" xr:uid="{00000000-0005-0000-0000-0000302B0000}"/>
    <cellStyle name="Normal 2 3 2 2 2 2 3 2 2 4 2" xfId="14481" xr:uid="{00000000-0005-0000-0000-0000312B0000}"/>
    <cellStyle name="Normal 2 3 2 2 2 2 3 2 2 4 3" xfId="15148" xr:uid="{00000000-0005-0000-0000-0000322B0000}"/>
    <cellStyle name="Normal 2 3 2 2 2 2 3 2 2 5" xfId="12838" xr:uid="{00000000-0005-0000-0000-0000332B0000}"/>
    <cellStyle name="Normal 2 3 2 2 2 2 3 2 2 6" xfId="15144" xr:uid="{00000000-0005-0000-0000-0000342B0000}"/>
    <cellStyle name="Normal 2 3 2 2 2 2 3 2 3" xfId="9525" xr:uid="{00000000-0005-0000-0000-0000352B0000}"/>
    <cellStyle name="Normal 2 3 2 2 2 2 3 2 3 2" xfId="10579" xr:uid="{00000000-0005-0000-0000-0000362B0000}"/>
    <cellStyle name="Normal 2 3 2 2 2 2 3 2 3 2 2" xfId="14173" xr:uid="{00000000-0005-0000-0000-0000372B0000}"/>
    <cellStyle name="Normal 2 3 2 2 2 2 3 2 3 2 3" xfId="15150" xr:uid="{00000000-0005-0000-0000-0000382B0000}"/>
    <cellStyle name="Normal 2 3 2 2 2 2 3 2 3 3" xfId="13120" xr:uid="{00000000-0005-0000-0000-0000392B0000}"/>
    <cellStyle name="Normal 2 3 2 2 2 2 3 2 3 4" xfId="15149" xr:uid="{00000000-0005-0000-0000-00003A2B0000}"/>
    <cellStyle name="Normal 2 3 2 2 2 2 3 2 4" xfId="10041" xr:uid="{00000000-0005-0000-0000-00003B2B0000}"/>
    <cellStyle name="Normal 2 3 2 2 2 2 3 2 4 2" xfId="13635" xr:uid="{00000000-0005-0000-0000-00003C2B0000}"/>
    <cellStyle name="Normal 2 3 2 2 2 2 3 2 4 3" xfId="15151" xr:uid="{00000000-0005-0000-0000-00003D2B0000}"/>
    <cellStyle name="Normal 2 3 2 2 2 2 3 2 5" xfId="10887" xr:uid="{00000000-0005-0000-0000-00003E2B0000}"/>
    <cellStyle name="Normal 2 3 2 2 2 2 3 2 5 2" xfId="14480" xr:uid="{00000000-0005-0000-0000-00003F2B0000}"/>
    <cellStyle name="Normal 2 3 2 2 2 2 3 2 5 3" xfId="15152" xr:uid="{00000000-0005-0000-0000-0000402B0000}"/>
    <cellStyle name="Normal 2 3 2 2 2 2 3 2 6" xfId="12582" xr:uid="{00000000-0005-0000-0000-0000412B0000}"/>
    <cellStyle name="Normal 2 3 2 2 2 2 3 2 7" xfId="15143" xr:uid="{00000000-0005-0000-0000-0000422B0000}"/>
    <cellStyle name="Normal 2 3 2 2 2 2 3 3" xfId="9085" xr:uid="{00000000-0005-0000-0000-0000432B0000}"/>
    <cellStyle name="Normal 2 3 2 2 2 2 3 3 2" xfId="9653" xr:uid="{00000000-0005-0000-0000-0000442B0000}"/>
    <cellStyle name="Normal 2 3 2 2 2 2 3 3 2 2" xfId="10707" xr:uid="{00000000-0005-0000-0000-0000452B0000}"/>
    <cellStyle name="Normal 2 3 2 2 2 2 3 3 2 2 2" xfId="14301" xr:uid="{00000000-0005-0000-0000-0000462B0000}"/>
    <cellStyle name="Normal 2 3 2 2 2 2 3 3 2 2 3" xfId="15155" xr:uid="{00000000-0005-0000-0000-0000472B0000}"/>
    <cellStyle name="Normal 2 3 2 2 2 2 3 3 2 3" xfId="13248" xr:uid="{00000000-0005-0000-0000-0000482B0000}"/>
    <cellStyle name="Normal 2 3 2 2 2 2 3 3 2 4" xfId="15154" xr:uid="{00000000-0005-0000-0000-0000492B0000}"/>
    <cellStyle name="Normal 2 3 2 2 2 2 3 3 3" xfId="10169" xr:uid="{00000000-0005-0000-0000-00004A2B0000}"/>
    <cellStyle name="Normal 2 3 2 2 2 2 3 3 3 2" xfId="13763" xr:uid="{00000000-0005-0000-0000-00004B2B0000}"/>
    <cellStyle name="Normal 2 3 2 2 2 2 3 3 3 3" xfId="15156" xr:uid="{00000000-0005-0000-0000-00004C2B0000}"/>
    <cellStyle name="Normal 2 3 2 2 2 2 3 3 4" xfId="10889" xr:uid="{00000000-0005-0000-0000-00004D2B0000}"/>
    <cellStyle name="Normal 2 3 2 2 2 2 3 3 4 2" xfId="14482" xr:uid="{00000000-0005-0000-0000-00004E2B0000}"/>
    <cellStyle name="Normal 2 3 2 2 2 2 3 3 4 3" xfId="15157" xr:uid="{00000000-0005-0000-0000-00004F2B0000}"/>
    <cellStyle name="Normal 2 3 2 2 2 2 3 3 5" xfId="12710" xr:uid="{00000000-0005-0000-0000-0000502B0000}"/>
    <cellStyle name="Normal 2 3 2 2 2 2 3 3 6" xfId="15153" xr:uid="{00000000-0005-0000-0000-0000512B0000}"/>
    <cellStyle name="Normal 2 3 2 2 2 2 3 4" xfId="9397" xr:uid="{00000000-0005-0000-0000-0000522B0000}"/>
    <cellStyle name="Normal 2 3 2 2 2 2 3 4 2" xfId="10451" xr:uid="{00000000-0005-0000-0000-0000532B0000}"/>
    <cellStyle name="Normal 2 3 2 2 2 2 3 4 2 2" xfId="14045" xr:uid="{00000000-0005-0000-0000-0000542B0000}"/>
    <cellStyle name="Normal 2 3 2 2 2 2 3 4 2 3" xfId="15159" xr:uid="{00000000-0005-0000-0000-0000552B0000}"/>
    <cellStyle name="Normal 2 3 2 2 2 2 3 4 3" xfId="12992" xr:uid="{00000000-0005-0000-0000-0000562B0000}"/>
    <cellStyle name="Normal 2 3 2 2 2 2 3 4 4" xfId="15158" xr:uid="{00000000-0005-0000-0000-0000572B0000}"/>
    <cellStyle name="Normal 2 3 2 2 2 2 3 5" xfId="9913" xr:uid="{00000000-0005-0000-0000-0000582B0000}"/>
    <cellStyle name="Normal 2 3 2 2 2 2 3 5 2" xfId="13507" xr:uid="{00000000-0005-0000-0000-0000592B0000}"/>
    <cellStyle name="Normal 2 3 2 2 2 2 3 5 3" xfId="15160" xr:uid="{00000000-0005-0000-0000-00005A2B0000}"/>
    <cellStyle name="Normal 2 3 2 2 2 2 3 6" xfId="10886" xr:uid="{00000000-0005-0000-0000-00005B2B0000}"/>
    <cellStyle name="Normal 2 3 2 2 2 2 3 6 2" xfId="14479" xr:uid="{00000000-0005-0000-0000-00005C2B0000}"/>
    <cellStyle name="Normal 2 3 2 2 2 2 3 6 3" xfId="15161" xr:uid="{00000000-0005-0000-0000-00005D2B0000}"/>
    <cellStyle name="Normal 2 3 2 2 2 2 3 7" xfId="12454" xr:uid="{00000000-0005-0000-0000-00005E2B0000}"/>
    <cellStyle name="Normal 2 3 2 2 2 2 3 8" xfId="15142" xr:uid="{00000000-0005-0000-0000-00005F2B0000}"/>
    <cellStyle name="Normal 2 3 2 2 2 2 4" xfId="8861" xr:uid="{00000000-0005-0000-0000-0000602B0000}"/>
    <cellStyle name="Normal 2 3 2 2 2 2 4 2" xfId="8989" xr:uid="{00000000-0005-0000-0000-0000612B0000}"/>
    <cellStyle name="Normal 2 3 2 2 2 2 4 2 2" xfId="9245" xr:uid="{00000000-0005-0000-0000-0000622B0000}"/>
    <cellStyle name="Normal 2 3 2 2 2 2 4 2 2 2" xfId="9813" xr:uid="{00000000-0005-0000-0000-0000632B0000}"/>
    <cellStyle name="Normal 2 3 2 2 2 2 4 2 2 2 2" xfId="10867" xr:uid="{00000000-0005-0000-0000-0000642B0000}"/>
    <cellStyle name="Normal 2 3 2 2 2 2 4 2 2 2 2 2" xfId="14461" xr:uid="{00000000-0005-0000-0000-0000652B0000}"/>
    <cellStyle name="Normal 2 3 2 2 2 2 4 2 2 2 2 3" xfId="15166" xr:uid="{00000000-0005-0000-0000-0000662B0000}"/>
    <cellStyle name="Normal 2 3 2 2 2 2 4 2 2 2 3" xfId="13408" xr:uid="{00000000-0005-0000-0000-0000672B0000}"/>
    <cellStyle name="Normal 2 3 2 2 2 2 4 2 2 2 4" xfId="15165" xr:uid="{00000000-0005-0000-0000-0000682B0000}"/>
    <cellStyle name="Normal 2 3 2 2 2 2 4 2 2 3" xfId="10329" xr:uid="{00000000-0005-0000-0000-0000692B0000}"/>
    <cellStyle name="Normal 2 3 2 2 2 2 4 2 2 3 2" xfId="13923" xr:uid="{00000000-0005-0000-0000-00006A2B0000}"/>
    <cellStyle name="Normal 2 3 2 2 2 2 4 2 2 3 3" xfId="15167" xr:uid="{00000000-0005-0000-0000-00006B2B0000}"/>
    <cellStyle name="Normal 2 3 2 2 2 2 4 2 2 4" xfId="10892" xr:uid="{00000000-0005-0000-0000-00006C2B0000}"/>
    <cellStyle name="Normal 2 3 2 2 2 2 4 2 2 4 2" xfId="14485" xr:uid="{00000000-0005-0000-0000-00006D2B0000}"/>
    <cellStyle name="Normal 2 3 2 2 2 2 4 2 2 4 3" xfId="15168" xr:uid="{00000000-0005-0000-0000-00006E2B0000}"/>
    <cellStyle name="Normal 2 3 2 2 2 2 4 2 2 5" xfId="12870" xr:uid="{00000000-0005-0000-0000-00006F2B0000}"/>
    <cellStyle name="Normal 2 3 2 2 2 2 4 2 2 6" xfId="15164" xr:uid="{00000000-0005-0000-0000-0000702B0000}"/>
    <cellStyle name="Normal 2 3 2 2 2 2 4 2 3" xfId="9557" xr:uid="{00000000-0005-0000-0000-0000712B0000}"/>
    <cellStyle name="Normal 2 3 2 2 2 2 4 2 3 2" xfId="10611" xr:uid="{00000000-0005-0000-0000-0000722B0000}"/>
    <cellStyle name="Normal 2 3 2 2 2 2 4 2 3 2 2" xfId="14205" xr:uid="{00000000-0005-0000-0000-0000732B0000}"/>
    <cellStyle name="Normal 2 3 2 2 2 2 4 2 3 2 3" xfId="15170" xr:uid="{00000000-0005-0000-0000-0000742B0000}"/>
    <cellStyle name="Normal 2 3 2 2 2 2 4 2 3 3" xfId="13152" xr:uid="{00000000-0005-0000-0000-0000752B0000}"/>
    <cellStyle name="Normal 2 3 2 2 2 2 4 2 3 4" xfId="15169" xr:uid="{00000000-0005-0000-0000-0000762B0000}"/>
    <cellStyle name="Normal 2 3 2 2 2 2 4 2 4" xfId="10073" xr:uid="{00000000-0005-0000-0000-0000772B0000}"/>
    <cellStyle name="Normal 2 3 2 2 2 2 4 2 4 2" xfId="13667" xr:uid="{00000000-0005-0000-0000-0000782B0000}"/>
    <cellStyle name="Normal 2 3 2 2 2 2 4 2 4 3" xfId="15171" xr:uid="{00000000-0005-0000-0000-0000792B0000}"/>
    <cellStyle name="Normal 2 3 2 2 2 2 4 2 5" xfId="10891" xr:uid="{00000000-0005-0000-0000-00007A2B0000}"/>
    <cellStyle name="Normal 2 3 2 2 2 2 4 2 5 2" xfId="14484" xr:uid="{00000000-0005-0000-0000-00007B2B0000}"/>
    <cellStyle name="Normal 2 3 2 2 2 2 4 2 5 3" xfId="15172" xr:uid="{00000000-0005-0000-0000-00007C2B0000}"/>
    <cellStyle name="Normal 2 3 2 2 2 2 4 2 6" xfId="12614" xr:uid="{00000000-0005-0000-0000-00007D2B0000}"/>
    <cellStyle name="Normal 2 3 2 2 2 2 4 2 7" xfId="15163" xr:uid="{00000000-0005-0000-0000-00007E2B0000}"/>
    <cellStyle name="Normal 2 3 2 2 2 2 4 3" xfId="9117" xr:uid="{00000000-0005-0000-0000-00007F2B0000}"/>
    <cellStyle name="Normal 2 3 2 2 2 2 4 3 2" xfId="9685" xr:uid="{00000000-0005-0000-0000-0000802B0000}"/>
    <cellStyle name="Normal 2 3 2 2 2 2 4 3 2 2" xfId="10739" xr:uid="{00000000-0005-0000-0000-0000812B0000}"/>
    <cellStyle name="Normal 2 3 2 2 2 2 4 3 2 2 2" xfId="14333" xr:uid="{00000000-0005-0000-0000-0000822B0000}"/>
    <cellStyle name="Normal 2 3 2 2 2 2 4 3 2 2 3" xfId="15175" xr:uid="{00000000-0005-0000-0000-0000832B0000}"/>
    <cellStyle name="Normal 2 3 2 2 2 2 4 3 2 3" xfId="13280" xr:uid="{00000000-0005-0000-0000-0000842B0000}"/>
    <cellStyle name="Normal 2 3 2 2 2 2 4 3 2 4" xfId="15174" xr:uid="{00000000-0005-0000-0000-0000852B0000}"/>
    <cellStyle name="Normal 2 3 2 2 2 2 4 3 3" xfId="10201" xr:uid="{00000000-0005-0000-0000-0000862B0000}"/>
    <cellStyle name="Normal 2 3 2 2 2 2 4 3 3 2" xfId="13795" xr:uid="{00000000-0005-0000-0000-0000872B0000}"/>
    <cellStyle name="Normal 2 3 2 2 2 2 4 3 3 3" xfId="15176" xr:uid="{00000000-0005-0000-0000-0000882B0000}"/>
    <cellStyle name="Normal 2 3 2 2 2 2 4 3 4" xfId="10893" xr:uid="{00000000-0005-0000-0000-0000892B0000}"/>
    <cellStyle name="Normal 2 3 2 2 2 2 4 3 4 2" xfId="14486" xr:uid="{00000000-0005-0000-0000-00008A2B0000}"/>
    <cellStyle name="Normal 2 3 2 2 2 2 4 3 4 3" xfId="15177" xr:uid="{00000000-0005-0000-0000-00008B2B0000}"/>
    <cellStyle name="Normal 2 3 2 2 2 2 4 3 5" xfId="12742" xr:uid="{00000000-0005-0000-0000-00008C2B0000}"/>
    <cellStyle name="Normal 2 3 2 2 2 2 4 3 6" xfId="15173" xr:uid="{00000000-0005-0000-0000-00008D2B0000}"/>
    <cellStyle name="Normal 2 3 2 2 2 2 4 4" xfId="9429" xr:uid="{00000000-0005-0000-0000-00008E2B0000}"/>
    <cellStyle name="Normal 2 3 2 2 2 2 4 4 2" xfId="10483" xr:uid="{00000000-0005-0000-0000-00008F2B0000}"/>
    <cellStyle name="Normal 2 3 2 2 2 2 4 4 2 2" xfId="14077" xr:uid="{00000000-0005-0000-0000-0000902B0000}"/>
    <cellStyle name="Normal 2 3 2 2 2 2 4 4 2 3" xfId="15179" xr:uid="{00000000-0005-0000-0000-0000912B0000}"/>
    <cellStyle name="Normal 2 3 2 2 2 2 4 4 3" xfId="13024" xr:uid="{00000000-0005-0000-0000-0000922B0000}"/>
    <cellStyle name="Normal 2 3 2 2 2 2 4 4 4" xfId="15178" xr:uid="{00000000-0005-0000-0000-0000932B0000}"/>
    <cellStyle name="Normal 2 3 2 2 2 2 4 5" xfId="9945" xr:uid="{00000000-0005-0000-0000-0000942B0000}"/>
    <cellStyle name="Normal 2 3 2 2 2 2 4 5 2" xfId="13539" xr:uid="{00000000-0005-0000-0000-0000952B0000}"/>
    <cellStyle name="Normal 2 3 2 2 2 2 4 5 3" xfId="15180" xr:uid="{00000000-0005-0000-0000-0000962B0000}"/>
    <cellStyle name="Normal 2 3 2 2 2 2 4 6" xfId="10890" xr:uid="{00000000-0005-0000-0000-0000972B0000}"/>
    <cellStyle name="Normal 2 3 2 2 2 2 4 6 2" xfId="14483" xr:uid="{00000000-0005-0000-0000-0000982B0000}"/>
    <cellStyle name="Normal 2 3 2 2 2 2 4 6 3" xfId="15181" xr:uid="{00000000-0005-0000-0000-0000992B0000}"/>
    <cellStyle name="Normal 2 3 2 2 2 2 4 7" xfId="12486" xr:uid="{00000000-0005-0000-0000-00009A2B0000}"/>
    <cellStyle name="Normal 2 3 2 2 2 2 4 8" xfId="15162" xr:uid="{00000000-0005-0000-0000-00009B2B0000}"/>
    <cellStyle name="Normal 2 3 2 2 2 2 5" xfId="8867" xr:uid="{00000000-0005-0000-0000-00009C2B0000}"/>
    <cellStyle name="Normal 2 3 2 2 2 2 5 2" xfId="9123" xr:uid="{00000000-0005-0000-0000-00009D2B0000}"/>
    <cellStyle name="Normal 2 3 2 2 2 2 5 2 2" xfId="9691" xr:uid="{00000000-0005-0000-0000-00009E2B0000}"/>
    <cellStyle name="Normal 2 3 2 2 2 2 5 2 2 2" xfId="10745" xr:uid="{00000000-0005-0000-0000-00009F2B0000}"/>
    <cellStyle name="Normal 2 3 2 2 2 2 5 2 2 2 2" xfId="14339" xr:uid="{00000000-0005-0000-0000-0000A02B0000}"/>
    <cellStyle name="Normal 2 3 2 2 2 2 5 2 2 2 3" xfId="15185" xr:uid="{00000000-0005-0000-0000-0000A12B0000}"/>
    <cellStyle name="Normal 2 3 2 2 2 2 5 2 2 3" xfId="13286" xr:uid="{00000000-0005-0000-0000-0000A22B0000}"/>
    <cellStyle name="Normal 2 3 2 2 2 2 5 2 2 4" xfId="15184" xr:uid="{00000000-0005-0000-0000-0000A32B0000}"/>
    <cellStyle name="Normal 2 3 2 2 2 2 5 2 3" xfId="10207" xr:uid="{00000000-0005-0000-0000-0000A42B0000}"/>
    <cellStyle name="Normal 2 3 2 2 2 2 5 2 3 2" xfId="13801" xr:uid="{00000000-0005-0000-0000-0000A52B0000}"/>
    <cellStyle name="Normal 2 3 2 2 2 2 5 2 3 3" xfId="15186" xr:uid="{00000000-0005-0000-0000-0000A62B0000}"/>
    <cellStyle name="Normal 2 3 2 2 2 2 5 2 4" xfId="10895" xr:uid="{00000000-0005-0000-0000-0000A72B0000}"/>
    <cellStyle name="Normal 2 3 2 2 2 2 5 2 4 2" xfId="14488" xr:uid="{00000000-0005-0000-0000-0000A82B0000}"/>
    <cellStyle name="Normal 2 3 2 2 2 2 5 2 4 3" xfId="15187" xr:uid="{00000000-0005-0000-0000-0000A92B0000}"/>
    <cellStyle name="Normal 2 3 2 2 2 2 5 2 5" xfId="12748" xr:uid="{00000000-0005-0000-0000-0000AA2B0000}"/>
    <cellStyle name="Normal 2 3 2 2 2 2 5 2 6" xfId="15183" xr:uid="{00000000-0005-0000-0000-0000AB2B0000}"/>
    <cellStyle name="Normal 2 3 2 2 2 2 5 3" xfId="9435" xr:uid="{00000000-0005-0000-0000-0000AC2B0000}"/>
    <cellStyle name="Normal 2 3 2 2 2 2 5 3 2" xfId="10489" xr:uid="{00000000-0005-0000-0000-0000AD2B0000}"/>
    <cellStyle name="Normal 2 3 2 2 2 2 5 3 2 2" xfId="14083" xr:uid="{00000000-0005-0000-0000-0000AE2B0000}"/>
    <cellStyle name="Normal 2 3 2 2 2 2 5 3 2 3" xfId="15189" xr:uid="{00000000-0005-0000-0000-0000AF2B0000}"/>
    <cellStyle name="Normal 2 3 2 2 2 2 5 3 3" xfId="13030" xr:uid="{00000000-0005-0000-0000-0000B02B0000}"/>
    <cellStyle name="Normal 2 3 2 2 2 2 5 3 4" xfId="15188" xr:uid="{00000000-0005-0000-0000-0000B12B0000}"/>
    <cellStyle name="Normal 2 3 2 2 2 2 5 4" xfId="9951" xr:uid="{00000000-0005-0000-0000-0000B22B0000}"/>
    <cellStyle name="Normal 2 3 2 2 2 2 5 4 2" xfId="13545" xr:uid="{00000000-0005-0000-0000-0000B32B0000}"/>
    <cellStyle name="Normal 2 3 2 2 2 2 5 4 3" xfId="15190" xr:uid="{00000000-0005-0000-0000-0000B42B0000}"/>
    <cellStyle name="Normal 2 3 2 2 2 2 5 5" xfId="10894" xr:uid="{00000000-0005-0000-0000-0000B52B0000}"/>
    <cellStyle name="Normal 2 3 2 2 2 2 5 5 2" xfId="14487" xr:uid="{00000000-0005-0000-0000-0000B62B0000}"/>
    <cellStyle name="Normal 2 3 2 2 2 2 5 5 3" xfId="15191" xr:uid="{00000000-0005-0000-0000-0000B72B0000}"/>
    <cellStyle name="Normal 2 3 2 2 2 2 5 6" xfId="12492" xr:uid="{00000000-0005-0000-0000-0000B82B0000}"/>
    <cellStyle name="Normal 2 3 2 2 2 2 5 7" xfId="15182" xr:uid="{00000000-0005-0000-0000-0000B92B0000}"/>
    <cellStyle name="Normal 2 3 2 2 2 2 6" xfId="8995" xr:uid="{00000000-0005-0000-0000-0000BA2B0000}"/>
    <cellStyle name="Normal 2 3 2 2 2 2 6 2" xfId="9563" xr:uid="{00000000-0005-0000-0000-0000BB2B0000}"/>
    <cellStyle name="Normal 2 3 2 2 2 2 6 2 2" xfId="10617" xr:uid="{00000000-0005-0000-0000-0000BC2B0000}"/>
    <cellStyle name="Normal 2 3 2 2 2 2 6 2 2 2" xfId="14211" xr:uid="{00000000-0005-0000-0000-0000BD2B0000}"/>
    <cellStyle name="Normal 2 3 2 2 2 2 6 2 2 3" xfId="15194" xr:uid="{00000000-0005-0000-0000-0000BE2B0000}"/>
    <cellStyle name="Normal 2 3 2 2 2 2 6 2 3" xfId="13158" xr:uid="{00000000-0005-0000-0000-0000BF2B0000}"/>
    <cellStyle name="Normal 2 3 2 2 2 2 6 2 4" xfId="15193" xr:uid="{00000000-0005-0000-0000-0000C02B0000}"/>
    <cellStyle name="Normal 2 3 2 2 2 2 6 3" xfId="10079" xr:uid="{00000000-0005-0000-0000-0000C12B0000}"/>
    <cellStyle name="Normal 2 3 2 2 2 2 6 3 2" xfId="13673" xr:uid="{00000000-0005-0000-0000-0000C22B0000}"/>
    <cellStyle name="Normal 2 3 2 2 2 2 6 3 3" xfId="15195" xr:uid="{00000000-0005-0000-0000-0000C32B0000}"/>
    <cellStyle name="Normal 2 3 2 2 2 2 6 4" xfId="10896" xr:uid="{00000000-0005-0000-0000-0000C42B0000}"/>
    <cellStyle name="Normal 2 3 2 2 2 2 6 4 2" xfId="14489" xr:uid="{00000000-0005-0000-0000-0000C52B0000}"/>
    <cellStyle name="Normal 2 3 2 2 2 2 6 4 3" xfId="15196" xr:uid="{00000000-0005-0000-0000-0000C62B0000}"/>
    <cellStyle name="Normal 2 3 2 2 2 2 6 5" xfId="12620" xr:uid="{00000000-0005-0000-0000-0000C72B0000}"/>
    <cellStyle name="Normal 2 3 2 2 2 2 6 6" xfId="15192" xr:uid="{00000000-0005-0000-0000-0000C82B0000}"/>
    <cellStyle name="Normal 2 3 2 2 2 2 7" xfId="9307" xr:uid="{00000000-0005-0000-0000-0000C92B0000}"/>
    <cellStyle name="Normal 2 3 2 2 2 2 7 2" xfId="10361" xr:uid="{00000000-0005-0000-0000-0000CA2B0000}"/>
    <cellStyle name="Normal 2 3 2 2 2 2 7 2 2" xfId="13955" xr:uid="{00000000-0005-0000-0000-0000CB2B0000}"/>
    <cellStyle name="Normal 2 3 2 2 2 2 7 2 3" xfId="15198" xr:uid="{00000000-0005-0000-0000-0000CC2B0000}"/>
    <cellStyle name="Normal 2 3 2 2 2 2 7 3" xfId="12902" xr:uid="{00000000-0005-0000-0000-0000CD2B0000}"/>
    <cellStyle name="Normal 2 3 2 2 2 2 7 4" xfId="15197" xr:uid="{00000000-0005-0000-0000-0000CE2B0000}"/>
    <cellStyle name="Normal 2 3 2 2 2 2 8" xfId="9823" xr:uid="{00000000-0005-0000-0000-0000CF2B0000}"/>
    <cellStyle name="Normal 2 3 2 2 2 2 8 2" xfId="13417" xr:uid="{00000000-0005-0000-0000-0000D02B0000}"/>
    <cellStyle name="Normal 2 3 2 2 2 2 8 3" xfId="15199" xr:uid="{00000000-0005-0000-0000-0000D12B0000}"/>
    <cellStyle name="Normal 2 3 2 2 2 2 9" xfId="10881" xr:uid="{00000000-0005-0000-0000-0000D22B0000}"/>
    <cellStyle name="Normal 2 3 2 2 2 2 9 2" xfId="14474" xr:uid="{00000000-0005-0000-0000-0000D32B0000}"/>
    <cellStyle name="Normal 2 3 2 2 2 2 9 3" xfId="15200" xr:uid="{00000000-0005-0000-0000-0000D42B0000}"/>
    <cellStyle name="Normal 2 3 2 2 2 3" xfId="8781" xr:uid="{00000000-0005-0000-0000-0000D52B0000}"/>
    <cellStyle name="Normal 2 3 2 2 2 3 2" xfId="8909" xr:uid="{00000000-0005-0000-0000-0000D62B0000}"/>
    <cellStyle name="Normal 2 3 2 2 2 3 2 2" xfId="9165" xr:uid="{00000000-0005-0000-0000-0000D72B0000}"/>
    <cellStyle name="Normal 2 3 2 2 2 3 2 2 2" xfId="9733" xr:uid="{00000000-0005-0000-0000-0000D82B0000}"/>
    <cellStyle name="Normal 2 3 2 2 2 3 2 2 2 2" xfId="10787" xr:uid="{00000000-0005-0000-0000-0000D92B0000}"/>
    <cellStyle name="Normal 2 3 2 2 2 3 2 2 2 2 2" xfId="14381" xr:uid="{00000000-0005-0000-0000-0000DA2B0000}"/>
    <cellStyle name="Normal 2 3 2 2 2 3 2 2 2 2 3" xfId="15205" xr:uid="{00000000-0005-0000-0000-0000DB2B0000}"/>
    <cellStyle name="Normal 2 3 2 2 2 3 2 2 2 3" xfId="13328" xr:uid="{00000000-0005-0000-0000-0000DC2B0000}"/>
    <cellStyle name="Normal 2 3 2 2 2 3 2 2 2 4" xfId="15204" xr:uid="{00000000-0005-0000-0000-0000DD2B0000}"/>
    <cellStyle name="Normal 2 3 2 2 2 3 2 2 3" xfId="10249" xr:uid="{00000000-0005-0000-0000-0000DE2B0000}"/>
    <cellStyle name="Normal 2 3 2 2 2 3 2 2 3 2" xfId="13843" xr:uid="{00000000-0005-0000-0000-0000DF2B0000}"/>
    <cellStyle name="Normal 2 3 2 2 2 3 2 2 3 3" xfId="15206" xr:uid="{00000000-0005-0000-0000-0000E02B0000}"/>
    <cellStyle name="Normal 2 3 2 2 2 3 2 2 4" xfId="10899" xr:uid="{00000000-0005-0000-0000-0000E12B0000}"/>
    <cellStyle name="Normal 2 3 2 2 2 3 2 2 4 2" xfId="14492" xr:uid="{00000000-0005-0000-0000-0000E22B0000}"/>
    <cellStyle name="Normal 2 3 2 2 2 3 2 2 4 3" xfId="15207" xr:uid="{00000000-0005-0000-0000-0000E32B0000}"/>
    <cellStyle name="Normal 2 3 2 2 2 3 2 2 5" xfId="12790" xr:uid="{00000000-0005-0000-0000-0000E42B0000}"/>
    <cellStyle name="Normal 2 3 2 2 2 3 2 2 6" xfId="15203" xr:uid="{00000000-0005-0000-0000-0000E52B0000}"/>
    <cellStyle name="Normal 2 3 2 2 2 3 2 3" xfId="9477" xr:uid="{00000000-0005-0000-0000-0000E62B0000}"/>
    <cellStyle name="Normal 2 3 2 2 2 3 2 3 2" xfId="10531" xr:uid="{00000000-0005-0000-0000-0000E72B0000}"/>
    <cellStyle name="Normal 2 3 2 2 2 3 2 3 2 2" xfId="14125" xr:uid="{00000000-0005-0000-0000-0000E82B0000}"/>
    <cellStyle name="Normal 2 3 2 2 2 3 2 3 2 3" xfId="15209" xr:uid="{00000000-0005-0000-0000-0000E92B0000}"/>
    <cellStyle name="Normal 2 3 2 2 2 3 2 3 3" xfId="13072" xr:uid="{00000000-0005-0000-0000-0000EA2B0000}"/>
    <cellStyle name="Normal 2 3 2 2 2 3 2 3 4" xfId="15208" xr:uid="{00000000-0005-0000-0000-0000EB2B0000}"/>
    <cellStyle name="Normal 2 3 2 2 2 3 2 4" xfId="9993" xr:uid="{00000000-0005-0000-0000-0000EC2B0000}"/>
    <cellStyle name="Normal 2 3 2 2 2 3 2 4 2" xfId="13587" xr:uid="{00000000-0005-0000-0000-0000ED2B0000}"/>
    <cellStyle name="Normal 2 3 2 2 2 3 2 4 3" xfId="15210" xr:uid="{00000000-0005-0000-0000-0000EE2B0000}"/>
    <cellStyle name="Normal 2 3 2 2 2 3 2 5" xfId="10898" xr:uid="{00000000-0005-0000-0000-0000EF2B0000}"/>
    <cellStyle name="Normal 2 3 2 2 2 3 2 5 2" xfId="14491" xr:uid="{00000000-0005-0000-0000-0000F02B0000}"/>
    <cellStyle name="Normal 2 3 2 2 2 3 2 5 3" xfId="15211" xr:uid="{00000000-0005-0000-0000-0000F12B0000}"/>
    <cellStyle name="Normal 2 3 2 2 2 3 2 6" xfId="12534" xr:uid="{00000000-0005-0000-0000-0000F22B0000}"/>
    <cellStyle name="Normal 2 3 2 2 2 3 2 7" xfId="15202" xr:uid="{00000000-0005-0000-0000-0000F32B0000}"/>
    <cellStyle name="Normal 2 3 2 2 2 3 3" xfId="9037" xr:uid="{00000000-0005-0000-0000-0000F42B0000}"/>
    <cellStyle name="Normal 2 3 2 2 2 3 3 2" xfId="9605" xr:uid="{00000000-0005-0000-0000-0000F52B0000}"/>
    <cellStyle name="Normal 2 3 2 2 2 3 3 2 2" xfId="10659" xr:uid="{00000000-0005-0000-0000-0000F62B0000}"/>
    <cellStyle name="Normal 2 3 2 2 2 3 3 2 2 2" xfId="14253" xr:uid="{00000000-0005-0000-0000-0000F72B0000}"/>
    <cellStyle name="Normal 2 3 2 2 2 3 3 2 2 3" xfId="15214" xr:uid="{00000000-0005-0000-0000-0000F82B0000}"/>
    <cellStyle name="Normal 2 3 2 2 2 3 3 2 3" xfId="13200" xr:uid="{00000000-0005-0000-0000-0000F92B0000}"/>
    <cellStyle name="Normal 2 3 2 2 2 3 3 2 4" xfId="15213" xr:uid="{00000000-0005-0000-0000-0000FA2B0000}"/>
    <cellStyle name="Normal 2 3 2 2 2 3 3 3" xfId="10121" xr:uid="{00000000-0005-0000-0000-0000FB2B0000}"/>
    <cellStyle name="Normal 2 3 2 2 2 3 3 3 2" xfId="13715" xr:uid="{00000000-0005-0000-0000-0000FC2B0000}"/>
    <cellStyle name="Normal 2 3 2 2 2 3 3 3 3" xfId="15215" xr:uid="{00000000-0005-0000-0000-0000FD2B0000}"/>
    <cellStyle name="Normal 2 3 2 2 2 3 3 4" xfId="10900" xr:uid="{00000000-0005-0000-0000-0000FE2B0000}"/>
    <cellStyle name="Normal 2 3 2 2 2 3 3 4 2" xfId="14493" xr:uid="{00000000-0005-0000-0000-0000FF2B0000}"/>
    <cellStyle name="Normal 2 3 2 2 2 3 3 4 3" xfId="15216" xr:uid="{00000000-0005-0000-0000-0000002C0000}"/>
    <cellStyle name="Normal 2 3 2 2 2 3 3 5" xfId="12662" xr:uid="{00000000-0005-0000-0000-0000012C0000}"/>
    <cellStyle name="Normal 2 3 2 2 2 3 3 6" xfId="15212" xr:uid="{00000000-0005-0000-0000-0000022C0000}"/>
    <cellStyle name="Normal 2 3 2 2 2 3 4" xfId="9349" xr:uid="{00000000-0005-0000-0000-0000032C0000}"/>
    <cellStyle name="Normal 2 3 2 2 2 3 4 2" xfId="10403" xr:uid="{00000000-0005-0000-0000-0000042C0000}"/>
    <cellStyle name="Normal 2 3 2 2 2 3 4 2 2" xfId="13997" xr:uid="{00000000-0005-0000-0000-0000052C0000}"/>
    <cellStyle name="Normal 2 3 2 2 2 3 4 2 3" xfId="15218" xr:uid="{00000000-0005-0000-0000-0000062C0000}"/>
    <cellStyle name="Normal 2 3 2 2 2 3 4 3" xfId="12944" xr:uid="{00000000-0005-0000-0000-0000072C0000}"/>
    <cellStyle name="Normal 2 3 2 2 2 3 4 4" xfId="15217" xr:uid="{00000000-0005-0000-0000-0000082C0000}"/>
    <cellStyle name="Normal 2 3 2 2 2 3 5" xfId="9865" xr:uid="{00000000-0005-0000-0000-0000092C0000}"/>
    <cellStyle name="Normal 2 3 2 2 2 3 5 2" xfId="13459" xr:uid="{00000000-0005-0000-0000-00000A2C0000}"/>
    <cellStyle name="Normal 2 3 2 2 2 3 5 3" xfId="15219" xr:uid="{00000000-0005-0000-0000-00000B2C0000}"/>
    <cellStyle name="Normal 2 3 2 2 2 3 6" xfId="10897" xr:uid="{00000000-0005-0000-0000-00000C2C0000}"/>
    <cellStyle name="Normal 2 3 2 2 2 3 6 2" xfId="14490" xr:uid="{00000000-0005-0000-0000-00000D2C0000}"/>
    <cellStyle name="Normal 2 3 2 2 2 3 6 3" xfId="15220" xr:uid="{00000000-0005-0000-0000-00000E2C0000}"/>
    <cellStyle name="Normal 2 3 2 2 2 3 7" xfId="12406" xr:uid="{00000000-0005-0000-0000-00000F2C0000}"/>
    <cellStyle name="Normal 2 3 2 2 2 3 8" xfId="15201" xr:uid="{00000000-0005-0000-0000-0000102C0000}"/>
    <cellStyle name="Normal 2 3 2 2 2 4" xfId="8813" xr:uid="{00000000-0005-0000-0000-0000112C0000}"/>
    <cellStyle name="Normal 2 3 2 2 2 4 2" xfId="8941" xr:uid="{00000000-0005-0000-0000-0000122C0000}"/>
    <cellStyle name="Normal 2 3 2 2 2 4 2 2" xfId="9197" xr:uid="{00000000-0005-0000-0000-0000132C0000}"/>
    <cellStyle name="Normal 2 3 2 2 2 4 2 2 2" xfId="9765" xr:uid="{00000000-0005-0000-0000-0000142C0000}"/>
    <cellStyle name="Normal 2 3 2 2 2 4 2 2 2 2" xfId="10819" xr:uid="{00000000-0005-0000-0000-0000152C0000}"/>
    <cellStyle name="Normal 2 3 2 2 2 4 2 2 2 2 2" xfId="14413" xr:uid="{00000000-0005-0000-0000-0000162C0000}"/>
    <cellStyle name="Normal 2 3 2 2 2 4 2 2 2 2 3" xfId="15225" xr:uid="{00000000-0005-0000-0000-0000172C0000}"/>
    <cellStyle name="Normal 2 3 2 2 2 4 2 2 2 3" xfId="13360" xr:uid="{00000000-0005-0000-0000-0000182C0000}"/>
    <cellStyle name="Normal 2 3 2 2 2 4 2 2 2 4" xfId="15224" xr:uid="{00000000-0005-0000-0000-0000192C0000}"/>
    <cellStyle name="Normal 2 3 2 2 2 4 2 2 3" xfId="10281" xr:uid="{00000000-0005-0000-0000-00001A2C0000}"/>
    <cellStyle name="Normal 2 3 2 2 2 4 2 2 3 2" xfId="13875" xr:uid="{00000000-0005-0000-0000-00001B2C0000}"/>
    <cellStyle name="Normal 2 3 2 2 2 4 2 2 3 3" xfId="15226" xr:uid="{00000000-0005-0000-0000-00001C2C0000}"/>
    <cellStyle name="Normal 2 3 2 2 2 4 2 2 4" xfId="10903" xr:uid="{00000000-0005-0000-0000-00001D2C0000}"/>
    <cellStyle name="Normal 2 3 2 2 2 4 2 2 4 2" xfId="14496" xr:uid="{00000000-0005-0000-0000-00001E2C0000}"/>
    <cellStyle name="Normal 2 3 2 2 2 4 2 2 4 3" xfId="15227" xr:uid="{00000000-0005-0000-0000-00001F2C0000}"/>
    <cellStyle name="Normal 2 3 2 2 2 4 2 2 5" xfId="12822" xr:uid="{00000000-0005-0000-0000-0000202C0000}"/>
    <cellStyle name="Normal 2 3 2 2 2 4 2 2 6" xfId="15223" xr:uid="{00000000-0005-0000-0000-0000212C0000}"/>
    <cellStyle name="Normal 2 3 2 2 2 4 2 3" xfId="9509" xr:uid="{00000000-0005-0000-0000-0000222C0000}"/>
    <cellStyle name="Normal 2 3 2 2 2 4 2 3 2" xfId="10563" xr:uid="{00000000-0005-0000-0000-0000232C0000}"/>
    <cellStyle name="Normal 2 3 2 2 2 4 2 3 2 2" xfId="14157" xr:uid="{00000000-0005-0000-0000-0000242C0000}"/>
    <cellStyle name="Normal 2 3 2 2 2 4 2 3 2 3" xfId="15229" xr:uid="{00000000-0005-0000-0000-0000252C0000}"/>
    <cellStyle name="Normal 2 3 2 2 2 4 2 3 3" xfId="13104" xr:uid="{00000000-0005-0000-0000-0000262C0000}"/>
    <cellStyle name="Normal 2 3 2 2 2 4 2 3 4" xfId="15228" xr:uid="{00000000-0005-0000-0000-0000272C0000}"/>
    <cellStyle name="Normal 2 3 2 2 2 4 2 4" xfId="10025" xr:uid="{00000000-0005-0000-0000-0000282C0000}"/>
    <cellStyle name="Normal 2 3 2 2 2 4 2 4 2" xfId="13619" xr:uid="{00000000-0005-0000-0000-0000292C0000}"/>
    <cellStyle name="Normal 2 3 2 2 2 4 2 4 3" xfId="15230" xr:uid="{00000000-0005-0000-0000-00002A2C0000}"/>
    <cellStyle name="Normal 2 3 2 2 2 4 2 5" xfId="10902" xr:uid="{00000000-0005-0000-0000-00002B2C0000}"/>
    <cellStyle name="Normal 2 3 2 2 2 4 2 5 2" xfId="14495" xr:uid="{00000000-0005-0000-0000-00002C2C0000}"/>
    <cellStyle name="Normal 2 3 2 2 2 4 2 5 3" xfId="15231" xr:uid="{00000000-0005-0000-0000-00002D2C0000}"/>
    <cellStyle name="Normal 2 3 2 2 2 4 2 6" xfId="12566" xr:uid="{00000000-0005-0000-0000-00002E2C0000}"/>
    <cellStyle name="Normal 2 3 2 2 2 4 2 7" xfId="15222" xr:uid="{00000000-0005-0000-0000-00002F2C0000}"/>
    <cellStyle name="Normal 2 3 2 2 2 4 3" xfId="9069" xr:uid="{00000000-0005-0000-0000-0000302C0000}"/>
    <cellStyle name="Normal 2 3 2 2 2 4 3 2" xfId="9637" xr:uid="{00000000-0005-0000-0000-0000312C0000}"/>
    <cellStyle name="Normal 2 3 2 2 2 4 3 2 2" xfId="10691" xr:uid="{00000000-0005-0000-0000-0000322C0000}"/>
    <cellStyle name="Normal 2 3 2 2 2 4 3 2 2 2" xfId="14285" xr:uid="{00000000-0005-0000-0000-0000332C0000}"/>
    <cellStyle name="Normal 2 3 2 2 2 4 3 2 2 3" xfId="15234" xr:uid="{00000000-0005-0000-0000-0000342C0000}"/>
    <cellStyle name="Normal 2 3 2 2 2 4 3 2 3" xfId="13232" xr:uid="{00000000-0005-0000-0000-0000352C0000}"/>
    <cellStyle name="Normal 2 3 2 2 2 4 3 2 4" xfId="15233" xr:uid="{00000000-0005-0000-0000-0000362C0000}"/>
    <cellStyle name="Normal 2 3 2 2 2 4 3 3" xfId="10153" xr:uid="{00000000-0005-0000-0000-0000372C0000}"/>
    <cellStyle name="Normal 2 3 2 2 2 4 3 3 2" xfId="13747" xr:uid="{00000000-0005-0000-0000-0000382C0000}"/>
    <cellStyle name="Normal 2 3 2 2 2 4 3 3 3" xfId="15235" xr:uid="{00000000-0005-0000-0000-0000392C0000}"/>
    <cellStyle name="Normal 2 3 2 2 2 4 3 4" xfId="10904" xr:uid="{00000000-0005-0000-0000-00003A2C0000}"/>
    <cellStyle name="Normal 2 3 2 2 2 4 3 4 2" xfId="14497" xr:uid="{00000000-0005-0000-0000-00003B2C0000}"/>
    <cellStyle name="Normal 2 3 2 2 2 4 3 4 3" xfId="15236" xr:uid="{00000000-0005-0000-0000-00003C2C0000}"/>
    <cellStyle name="Normal 2 3 2 2 2 4 3 5" xfId="12694" xr:uid="{00000000-0005-0000-0000-00003D2C0000}"/>
    <cellStyle name="Normal 2 3 2 2 2 4 3 6" xfId="15232" xr:uid="{00000000-0005-0000-0000-00003E2C0000}"/>
    <cellStyle name="Normal 2 3 2 2 2 4 4" xfId="9381" xr:uid="{00000000-0005-0000-0000-00003F2C0000}"/>
    <cellStyle name="Normal 2 3 2 2 2 4 4 2" xfId="10435" xr:uid="{00000000-0005-0000-0000-0000402C0000}"/>
    <cellStyle name="Normal 2 3 2 2 2 4 4 2 2" xfId="14029" xr:uid="{00000000-0005-0000-0000-0000412C0000}"/>
    <cellStyle name="Normal 2 3 2 2 2 4 4 2 3" xfId="15238" xr:uid="{00000000-0005-0000-0000-0000422C0000}"/>
    <cellStyle name="Normal 2 3 2 2 2 4 4 3" xfId="12976" xr:uid="{00000000-0005-0000-0000-0000432C0000}"/>
    <cellStyle name="Normal 2 3 2 2 2 4 4 4" xfId="15237" xr:uid="{00000000-0005-0000-0000-0000442C0000}"/>
    <cellStyle name="Normal 2 3 2 2 2 4 5" xfId="9897" xr:uid="{00000000-0005-0000-0000-0000452C0000}"/>
    <cellStyle name="Normal 2 3 2 2 2 4 5 2" xfId="13491" xr:uid="{00000000-0005-0000-0000-0000462C0000}"/>
    <cellStyle name="Normal 2 3 2 2 2 4 5 3" xfId="15239" xr:uid="{00000000-0005-0000-0000-0000472C0000}"/>
    <cellStyle name="Normal 2 3 2 2 2 4 6" xfId="10901" xr:uid="{00000000-0005-0000-0000-0000482C0000}"/>
    <cellStyle name="Normal 2 3 2 2 2 4 6 2" xfId="14494" xr:uid="{00000000-0005-0000-0000-0000492C0000}"/>
    <cellStyle name="Normal 2 3 2 2 2 4 6 3" xfId="15240" xr:uid="{00000000-0005-0000-0000-00004A2C0000}"/>
    <cellStyle name="Normal 2 3 2 2 2 4 7" xfId="12438" xr:uid="{00000000-0005-0000-0000-00004B2C0000}"/>
    <cellStyle name="Normal 2 3 2 2 2 4 8" xfId="15221" xr:uid="{00000000-0005-0000-0000-00004C2C0000}"/>
    <cellStyle name="Normal 2 3 2 2 2 5" xfId="8845" xr:uid="{00000000-0005-0000-0000-00004D2C0000}"/>
    <cellStyle name="Normal 2 3 2 2 2 5 2" xfId="8973" xr:uid="{00000000-0005-0000-0000-00004E2C0000}"/>
    <cellStyle name="Normal 2 3 2 2 2 5 2 2" xfId="9229" xr:uid="{00000000-0005-0000-0000-00004F2C0000}"/>
    <cellStyle name="Normal 2 3 2 2 2 5 2 2 2" xfId="9797" xr:uid="{00000000-0005-0000-0000-0000502C0000}"/>
    <cellStyle name="Normal 2 3 2 2 2 5 2 2 2 2" xfId="10851" xr:uid="{00000000-0005-0000-0000-0000512C0000}"/>
    <cellStyle name="Normal 2 3 2 2 2 5 2 2 2 2 2" xfId="14445" xr:uid="{00000000-0005-0000-0000-0000522C0000}"/>
    <cellStyle name="Normal 2 3 2 2 2 5 2 2 2 2 3" xfId="15245" xr:uid="{00000000-0005-0000-0000-0000532C0000}"/>
    <cellStyle name="Normal 2 3 2 2 2 5 2 2 2 3" xfId="13392" xr:uid="{00000000-0005-0000-0000-0000542C0000}"/>
    <cellStyle name="Normal 2 3 2 2 2 5 2 2 2 4" xfId="15244" xr:uid="{00000000-0005-0000-0000-0000552C0000}"/>
    <cellStyle name="Normal 2 3 2 2 2 5 2 2 3" xfId="10313" xr:uid="{00000000-0005-0000-0000-0000562C0000}"/>
    <cellStyle name="Normal 2 3 2 2 2 5 2 2 3 2" xfId="13907" xr:uid="{00000000-0005-0000-0000-0000572C0000}"/>
    <cellStyle name="Normal 2 3 2 2 2 5 2 2 3 3" xfId="15246" xr:uid="{00000000-0005-0000-0000-0000582C0000}"/>
    <cellStyle name="Normal 2 3 2 2 2 5 2 2 4" xfId="10907" xr:uid="{00000000-0005-0000-0000-0000592C0000}"/>
    <cellStyle name="Normal 2 3 2 2 2 5 2 2 4 2" xfId="14500" xr:uid="{00000000-0005-0000-0000-00005A2C0000}"/>
    <cellStyle name="Normal 2 3 2 2 2 5 2 2 4 3" xfId="15247" xr:uid="{00000000-0005-0000-0000-00005B2C0000}"/>
    <cellStyle name="Normal 2 3 2 2 2 5 2 2 5" xfId="12854" xr:uid="{00000000-0005-0000-0000-00005C2C0000}"/>
    <cellStyle name="Normal 2 3 2 2 2 5 2 2 6" xfId="15243" xr:uid="{00000000-0005-0000-0000-00005D2C0000}"/>
    <cellStyle name="Normal 2 3 2 2 2 5 2 3" xfId="9541" xr:uid="{00000000-0005-0000-0000-00005E2C0000}"/>
    <cellStyle name="Normal 2 3 2 2 2 5 2 3 2" xfId="10595" xr:uid="{00000000-0005-0000-0000-00005F2C0000}"/>
    <cellStyle name="Normal 2 3 2 2 2 5 2 3 2 2" xfId="14189" xr:uid="{00000000-0005-0000-0000-0000602C0000}"/>
    <cellStyle name="Normal 2 3 2 2 2 5 2 3 2 3" xfId="15249" xr:uid="{00000000-0005-0000-0000-0000612C0000}"/>
    <cellStyle name="Normal 2 3 2 2 2 5 2 3 3" xfId="13136" xr:uid="{00000000-0005-0000-0000-0000622C0000}"/>
    <cellStyle name="Normal 2 3 2 2 2 5 2 3 4" xfId="15248" xr:uid="{00000000-0005-0000-0000-0000632C0000}"/>
    <cellStyle name="Normal 2 3 2 2 2 5 2 4" xfId="10057" xr:uid="{00000000-0005-0000-0000-0000642C0000}"/>
    <cellStyle name="Normal 2 3 2 2 2 5 2 4 2" xfId="13651" xr:uid="{00000000-0005-0000-0000-0000652C0000}"/>
    <cellStyle name="Normal 2 3 2 2 2 5 2 4 3" xfId="15250" xr:uid="{00000000-0005-0000-0000-0000662C0000}"/>
    <cellStyle name="Normal 2 3 2 2 2 5 2 5" xfId="10906" xr:uid="{00000000-0005-0000-0000-0000672C0000}"/>
    <cellStyle name="Normal 2 3 2 2 2 5 2 5 2" xfId="14499" xr:uid="{00000000-0005-0000-0000-0000682C0000}"/>
    <cellStyle name="Normal 2 3 2 2 2 5 2 5 3" xfId="15251" xr:uid="{00000000-0005-0000-0000-0000692C0000}"/>
    <cellStyle name="Normal 2 3 2 2 2 5 2 6" xfId="12598" xr:uid="{00000000-0005-0000-0000-00006A2C0000}"/>
    <cellStyle name="Normal 2 3 2 2 2 5 2 7" xfId="15242" xr:uid="{00000000-0005-0000-0000-00006B2C0000}"/>
    <cellStyle name="Normal 2 3 2 2 2 5 3" xfId="9101" xr:uid="{00000000-0005-0000-0000-00006C2C0000}"/>
    <cellStyle name="Normal 2 3 2 2 2 5 3 2" xfId="9669" xr:uid="{00000000-0005-0000-0000-00006D2C0000}"/>
    <cellStyle name="Normal 2 3 2 2 2 5 3 2 2" xfId="10723" xr:uid="{00000000-0005-0000-0000-00006E2C0000}"/>
    <cellStyle name="Normal 2 3 2 2 2 5 3 2 2 2" xfId="14317" xr:uid="{00000000-0005-0000-0000-00006F2C0000}"/>
    <cellStyle name="Normal 2 3 2 2 2 5 3 2 2 3" xfId="15254" xr:uid="{00000000-0005-0000-0000-0000702C0000}"/>
    <cellStyle name="Normal 2 3 2 2 2 5 3 2 3" xfId="13264" xr:uid="{00000000-0005-0000-0000-0000712C0000}"/>
    <cellStyle name="Normal 2 3 2 2 2 5 3 2 4" xfId="15253" xr:uid="{00000000-0005-0000-0000-0000722C0000}"/>
    <cellStyle name="Normal 2 3 2 2 2 5 3 3" xfId="10185" xr:uid="{00000000-0005-0000-0000-0000732C0000}"/>
    <cellStyle name="Normal 2 3 2 2 2 5 3 3 2" xfId="13779" xr:uid="{00000000-0005-0000-0000-0000742C0000}"/>
    <cellStyle name="Normal 2 3 2 2 2 5 3 3 3" xfId="15255" xr:uid="{00000000-0005-0000-0000-0000752C0000}"/>
    <cellStyle name="Normal 2 3 2 2 2 5 3 4" xfId="10908" xr:uid="{00000000-0005-0000-0000-0000762C0000}"/>
    <cellStyle name="Normal 2 3 2 2 2 5 3 4 2" xfId="14501" xr:uid="{00000000-0005-0000-0000-0000772C0000}"/>
    <cellStyle name="Normal 2 3 2 2 2 5 3 4 3" xfId="15256" xr:uid="{00000000-0005-0000-0000-0000782C0000}"/>
    <cellStyle name="Normal 2 3 2 2 2 5 3 5" xfId="12726" xr:uid="{00000000-0005-0000-0000-0000792C0000}"/>
    <cellStyle name="Normal 2 3 2 2 2 5 3 6" xfId="15252" xr:uid="{00000000-0005-0000-0000-00007A2C0000}"/>
    <cellStyle name="Normal 2 3 2 2 2 5 4" xfId="9413" xr:uid="{00000000-0005-0000-0000-00007B2C0000}"/>
    <cellStyle name="Normal 2 3 2 2 2 5 4 2" xfId="10467" xr:uid="{00000000-0005-0000-0000-00007C2C0000}"/>
    <cellStyle name="Normal 2 3 2 2 2 5 4 2 2" xfId="14061" xr:uid="{00000000-0005-0000-0000-00007D2C0000}"/>
    <cellStyle name="Normal 2 3 2 2 2 5 4 2 3" xfId="15258" xr:uid="{00000000-0005-0000-0000-00007E2C0000}"/>
    <cellStyle name="Normal 2 3 2 2 2 5 4 3" xfId="13008" xr:uid="{00000000-0005-0000-0000-00007F2C0000}"/>
    <cellStyle name="Normal 2 3 2 2 2 5 4 4" xfId="15257" xr:uid="{00000000-0005-0000-0000-0000802C0000}"/>
    <cellStyle name="Normal 2 3 2 2 2 5 5" xfId="9929" xr:uid="{00000000-0005-0000-0000-0000812C0000}"/>
    <cellStyle name="Normal 2 3 2 2 2 5 5 2" xfId="13523" xr:uid="{00000000-0005-0000-0000-0000822C0000}"/>
    <cellStyle name="Normal 2 3 2 2 2 5 5 3" xfId="15259" xr:uid="{00000000-0005-0000-0000-0000832C0000}"/>
    <cellStyle name="Normal 2 3 2 2 2 5 6" xfId="10905" xr:uid="{00000000-0005-0000-0000-0000842C0000}"/>
    <cellStyle name="Normal 2 3 2 2 2 5 6 2" xfId="14498" xr:uid="{00000000-0005-0000-0000-0000852C0000}"/>
    <cellStyle name="Normal 2 3 2 2 2 5 6 3" xfId="15260" xr:uid="{00000000-0005-0000-0000-0000862C0000}"/>
    <cellStyle name="Normal 2 3 2 2 2 5 7" xfId="12470" xr:uid="{00000000-0005-0000-0000-0000872C0000}"/>
    <cellStyle name="Normal 2 3 2 2 2 5 8" xfId="15241" xr:uid="{00000000-0005-0000-0000-0000882C0000}"/>
    <cellStyle name="Normal 2 3 2 2 2 6" xfId="8866" xr:uid="{00000000-0005-0000-0000-0000892C0000}"/>
    <cellStyle name="Normal 2 3 2 2 2 6 2" xfId="9122" xr:uid="{00000000-0005-0000-0000-00008A2C0000}"/>
    <cellStyle name="Normal 2 3 2 2 2 6 2 2" xfId="9690" xr:uid="{00000000-0005-0000-0000-00008B2C0000}"/>
    <cellStyle name="Normal 2 3 2 2 2 6 2 2 2" xfId="10744" xr:uid="{00000000-0005-0000-0000-00008C2C0000}"/>
    <cellStyle name="Normal 2 3 2 2 2 6 2 2 2 2" xfId="14338" xr:uid="{00000000-0005-0000-0000-00008D2C0000}"/>
    <cellStyle name="Normal 2 3 2 2 2 6 2 2 2 3" xfId="15264" xr:uid="{00000000-0005-0000-0000-00008E2C0000}"/>
    <cellStyle name="Normal 2 3 2 2 2 6 2 2 3" xfId="13285" xr:uid="{00000000-0005-0000-0000-00008F2C0000}"/>
    <cellStyle name="Normal 2 3 2 2 2 6 2 2 4" xfId="15263" xr:uid="{00000000-0005-0000-0000-0000902C0000}"/>
    <cellStyle name="Normal 2 3 2 2 2 6 2 3" xfId="10206" xr:uid="{00000000-0005-0000-0000-0000912C0000}"/>
    <cellStyle name="Normal 2 3 2 2 2 6 2 3 2" xfId="13800" xr:uid="{00000000-0005-0000-0000-0000922C0000}"/>
    <cellStyle name="Normal 2 3 2 2 2 6 2 3 3" xfId="15265" xr:uid="{00000000-0005-0000-0000-0000932C0000}"/>
    <cellStyle name="Normal 2 3 2 2 2 6 2 4" xfId="10910" xr:uid="{00000000-0005-0000-0000-0000942C0000}"/>
    <cellStyle name="Normal 2 3 2 2 2 6 2 4 2" xfId="14503" xr:uid="{00000000-0005-0000-0000-0000952C0000}"/>
    <cellStyle name="Normal 2 3 2 2 2 6 2 4 3" xfId="15266" xr:uid="{00000000-0005-0000-0000-0000962C0000}"/>
    <cellStyle name="Normal 2 3 2 2 2 6 2 5" xfId="12747" xr:uid="{00000000-0005-0000-0000-0000972C0000}"/>
    <cellStyle name="Normal 2 3 2 2 2 6 2 6" xfId="15262" xr:uid="{00000000-0005-0000-0000-0000982C0000}"/>
    <cellStyle name="Normal 2 3 2 2 2 6 3" xfId="9434" xr:uid="{00000000-0005-0000-0000-0000992C0000}"/>
    <cellStyle name="Normal 2 3 2 2 2 6 3 2" xfId="10488" xr:uid="{00000000-0005-0000-0000-00009A2C0000}"/>
    <cellStyle name="Normal 2 3 2 2 2 6 3 2 2" xfId="14082" xr:uid="{00000000-0005-0000-0000-00009B2C0000}"/>
    <cellStyle name="Normal 2 3 2 2 2 6 3 2 3" xfId="15268" xr:uid="{00000000-0005-0000-0000-00009C2C0000}"/>
    <cellStyle name="Normal 2 3 2 2 2 6 3 3" xfId="13029" xr:uid="{00000000-0005-0000-0000-00009D2C0000}"/>
    <cellStyle name="Normal 2 3 2 2 2 6 3 4" xfId="15267" xr:uid="{00000000-0005-0000-0000-00009E2C0000}"/>
    <cellStyle name="Normal 2 3 2 2 2 6 4" xfId="9950" xr:uid="{00000000-0005-0000-0000-00009F2C0000}"/>
    <cellStyle name="Normal 2 3 2 2 2 6 4 2" xfId="13544" xr:uid="{00000000-0005-0000-0000-0000A02C0000}"/>
    <cellStyle name="Normal 2 3 2 2 2 6 4 3" xfId="15269" xr:uid="{00000000-0005-0000-0000-0000A12C0000}"/>
    <cellStyle name="Normal 2 3 2 2 2 6 5" xfId="10909" xr:uid="{00000000-0005-0000-0000-0000A22C0000}"/>
    <cellStyle name="Normal 2 3 2 2 2 6 5 2" xfId="14502" xr:uid="{00000000-0005-0000-0000-0000A32C0000}"/>
    <cellStyle name="Normal 2 3 2 2 2 6 5 3" xfId="15270" xr:uid="{00000000-0005-0000-0000-0000A42C0000}"/>
    <cellStyle name="Normal 2 3 2 2 2 6 6" xfId="12491" xr:uid="{00000000-0005-0000-0000-0000A52C0000}"/>
    <cellStyle name="Normal 2 3 2 2 2 6 7" xfId="15261" xr:uid="{00000000-0005-0000-0000-0000A62C0000}"/>
    <cellStyle name="Normal 2 3 2 2 2 7" xfId="8994" xr:uid="{00000000-0005-0000-0000-0000A72C0000}"/>
    <cellStyle name="Normal 2 3 2 2 2 7 2" xfId="9562" xr:uid="{00000000-0005-0000-0000-0000A82C0000}"/>
    <cellStyle name="Normal 2 3 2 2 2 7 2 2" xfId="10616" xr:uid="{00000000-0005-0000-0000-0000A92C0000}"/>
    <cellStyle name="Normal 2 3 2 2 2 7 2 2 2" xfId="14210" xr:uid="{00000000-0005-0000-0000-0000AA2C0000}"/>
    <cellStyle name="Normal 2 3 2 2 2 7 2 2 3" xfId="15273" xr:uid="{00000000-0005-0000-0000-0000AB2C0000}"/>
    <cellStyle name="Normal 2 3 2 2 2 7 2 3" xfId="13157" xr:uid="{00000000-0005-0000-0000-0000AC2C0000}"/>
    <cellStyle name="Normal 2 3 2 2 2 7 2 4" xfId="15272" xr:uid="{00000000-0005-0000-0000-0000AD2C0000}"/>
    <cellStyle name="Normal 2 3 2 2 2 7 3" xfId="10078" xr:uid="{00000000-0005-0000-0000-0000AE2C0000}"/>
    <cellStyle name="Normal 2 3 2 2 2 7 3 2" xfId="13672" xr:uid="{00000000-0005-0000-0000-0000AF2C0000}"/>
    <cellStyle name="Normal 2 3 2 2 2 7 3 3" xfId="15274" xr:uid="{00000000-0005-0000-0000-0000B02C0000}"/>
    <cellStyle name="Normal 2 3 2 2 2 7 4" xfId="10911" xr:uid="{00000000-0005-0000-0000-0000B12C0000}"/>
    <cellStyle name="Normal 2 3 2 2 2 7 4 2" xfId="14504" xr:uid="{00000000-0005-0000-0000-0000B22C0000}"/>
    <cellStyle name="Normal 2 3 2 2 2 7 4 3" xfId="15275" xr:uid="{00000000-0005-0000-0000-0000B32C0000}"/>
    <cellStyle name="Normal 2 3 2 2 2 7 5" xfId="12619" xr:uid="{00000000-0005-0000-0000-0000B42C0000}"/>
    <cellStyle name="Normal 2 3 2 2 2 7 6" xfId="15271" xr:uid="{00000000-0005-0000-0000-0000B52C0000}"/>
    <cellStyle name="Normal 2 3 2 2 2 8" xfId="9306" xr:uid="{00000000-0005-0000-0000-0000B62C0000}"/>
    <cellStyle name="Normal 2 3 2 2 2 8 2" xfId="10360" xr:uid="{00000000-0005-0000-0000-0000B72C0000}"/>
    <cellStyle name="Normal 2 3 2 2 2 8 2 2" xfId="13954" xr:uid="{00000000-0005-0000-0000-0000B82C0000}"/>
    <cellStyle name="Normal 2 3 2 2 2 8 2 3" xfId="15277" xr:uid="{00000000-0005-0000-0000-0000B92C0000}"/>
    <cellStyle name="Normal 2 3 2 2 2 8 3" xfId="12901" xr:uid="{00000000-0005-0000-0000-0000BA2C0000}"/>
    <cellStyle name="Normal 2 3 2 2 2 8 4" xfId="15276" xr:uid="{00000000-0005-0000-0000-0000BB2C0000}"/>
    <cellStyle name="Normal 2 3 2 2 2 9" xfId="9822" xr:uid="{00000000-0005-0000-0000-0000BC2C0000}"/>
    <cellStyle name="Normal 2 3 2 2 2 9 2" xfId="13416" xr:uid="{00000000-0005-0000-0000-0000BD2C0000}"/>
    <cellStyle name="Normal 2 3 2 2 2 9 3" xfId="15278" xr:uid="{00000000-0005-0000-0000-0000BE2C0000}"/>
    <cellStyle name="Normal 2 3 2 2 3" xfId="1500" xr:uid="{00000000-0005-0000-0000-0000BF2C0000}"/>
    <cellStyle name="Normal 2 3 2 2 3 10" xfId="12340" xr:uid="{00000000-0005-0000-0000-0000C02C0000}"/>
    <cellStyle name="Normal 2 3 2 2 3 11" xfId="15279" xr:uid="{00000000-0005-0000-0000-0000C12C0000}"/>
    <cellStyle name="Normal 2 3 2 2 3 2" xfId="8789" xr:uid="{00000000-0005-0000-0000-0000C22C0000}"/>
    <cellStyle name="Normal 2 3 2 2 3 2 2" xfId="8917" xr:uid="{00000000-0005-0000-0000-0000C32C0000}"/>
    <cellStyle name="Normal 2 3 2 2 3 2 2 2" xfId="9173" xr:uid="{00000000-0005-0000-0000-0000C42C0000}"/>
    <cellStyle name="Normal 2 3 2 2 3 2 2 2 2" xfId="9741" xr:uid="{00000000-0005-0000-0000-0000C52C0000}"/>
    <cellStyle name="Normal 2 3 2 2 3 2 2 2 2 2" xfId="10795" xr:uid="{00000000-0005-0000-0000-0000C62C0000}"/>
    <cellStyle name="Normal 2 3 2 2 3 2 2 2 2 2 2" xfId="14389" xr:uid="{00000000-0005-0000-0000-0000C72C0000}"/>
    <cellStyle name="Normal 2 3 2 2 3 2 2 2 2 2 3" xfId="15284" xr:uid="{00000000-0005-0000-0000-0000C82C0000}"/>
    <cellStyle name="Normal 2 3 2 2 3 2 2 2 2 3" xfId="13336" xr:uid="{00000000-0005-0000-0000-0000C92C0000}"/>
    <cellStyle name="Normal 2 3 2 2 3 2 2 2 2 4" xfId="15283" xr:uid="{00000000-0005-0000-0000-0000CA2C0000}"/>
    <cellStyle name="Normal 2 3 2 2 3 2 2 2 3" xfId="10257" xr:uid="{00000000-0005-0000-0000-0000CB2C0000}"/>
    <cellStyle name="Normal 2 3 2 2 3 2 2 2 3 2" xfId="13851" xr:uid="{00000000-0005-0000-0000-0000CC2C0000}"/>
    <cellStyle name="Normal 2 3 2 2 3 2 2 2 3 3" xfId="15285" xr:uid="{00000000-0005-0000-0000-0000CD2C0000}"/>
    <cellStyle name="Normal 2 3 2 2 3 2 2 2 4" xfId="10915" xr:uid="{00000000-0005-0000-0000-0000CE2C0000}"/>
    <cellStyle name="Normal 2 3 2 2 3 2 2 2 4 2" xfId="14508" xr:uid="{00000000-0005-0000-0000-0000CF2C0000}"/>
    <cellStyle name="Normal 2 3 2 2 3 2 2 2 4 3" xfId="15286" xr:uid="{00000000-0005-0000-0000-0000D02C0000}"/>
    <cellStyle name="Normal 2 3 2 2 3 2 2 2 5" xfId="12798" xr:uid="{00000000-0005-0000-0000-0000D12C0000}"/>
    <cellStyle name="Normal 2 3 2 2 3 2 2 2 6" xfId="15282" xr:uid="{00000000-0005-0000-0000-0000D22C0000}"/>
    <cellStyle name="Normal 2 3 2 2 3 2 2 3" xfId="9485" xr:uid="{00000000-0005-0000-0000-0000D32C0000}"/>
    <cellStyle name="Normal 2 3 2 2 3 2 2 3 2" xfId="10539" xr:uid="{00000000-0005-0000-0000-0000D42C0000}"/>
    <cellStyle name="Normal 2 3 2 2 3 2 2 3 2 2" xfId="14133" xr:uid="{00000000-0005-0000-0000-0000D52C0000}"/>
    <cellStyle name="Normal 2 3 2 2 3 2 2 3 2 3" xfId="15288" xr:uid="{00000000-0005-0000-0000-0000D62C0000}"/>
    <cellStyle name="Normal 2 3 2 2 3 2 2 3 3" xfId="13080" xr:uid="{00000000-0005-0000-0000-0000D72C0000}"/>
    <cellStyle name="Normal 2 3 2 2 3 2 2 3 4" xfId="15287" xr:uid="{00000000-0005-0000-0000-0000D82C0000}"/>
    <cellStyle name="Normal 2 3 2 2 3 2 2 4" xfId="10001" xr:uid="{00000000-0005-0000-0000-0000D92C0000}"/>
    <cellStyle name="Normal 2 3 2 2 3 2 2 4 2" xfId="13595" xr:uid="{00000000-0005-0000-0000-0000DA2C0000}"/>
    <cellStyle name="Normal 2 3 2 2 3 2 2 4 3" xfId="15289" xr:uid="{00000000-0005-0000-0000-0000DB2C0000}"/>
    <cellStyle name="Normal 2 3 2 2 3 2 2 5" xfId="10914" xr:uid="{00000000-0005-0000-0000-0000DC2C0000}"/>
    <cellStyle name="Normal 2 3 2 2 3 2 2 5 2" xfId="14507" xr:uid="{00000000-0005-0000-0000-0000DD2C0000}"/>
    <cellStyle name="Normal 2 3 2 2 3 2 2 5 3" xfId="15290" xr:uid="{00000000-0005-0000-0000-0000DE2C0000}"/>
    <cellStyle name="Normal 2 3 2 2 3 2 2 6" xfId="12542" xr:uid="{00000000-0005-0000-0000-0000DF2C0000}"/>
    <cellStyle name="Normal 2 3 2 2 3 2 2 7" xfId="15281" xr:uid="{00000000-0005-0000-0000-0000E02C0000}"/>
    <cellStyle name="Normal 2 3 2 2 3 2 3" xfId="9045" xr:uid="{00000000-0005-0000-0000-0000E12C0000}"/>
    <cellStyle name="Normal 2 3 2 2 3 2 3 2" xfId="9613" xr:uid="{00000000-0005-0000-0000-0000E22C0000}"/>
    <cellStyle name="Normal 2 3 2 2 3 2 3 2 2" xfId="10667" xr:uid="{00000000-0005-0000-0000-0000E32C0000}"/>
    <cellStyle name="Normal 2 3 2 2 3 2 3 2 2 2" xfId="14261" xr:uid="{00000000-0005-0000-0000-0000E42C0000}"/>
    <cellStyle name="Normal 2 3 2 2 3 2 3 2 2 3" xfId="15293" xr:uid="{00000000-0005-0000-0000-0000E52C0000}"/>
    <cellStyle name="Normal 2 3 2 2 3 2 3 2 3" xfId="13208" xr:uid="{00000000-0005-0000-0000-0000E62C0000}"/>
    <cellStyle name="Normal 2 3 2 2 3 2 3 2 4" xfId="15292" xr:uid="{00000000-0005-0000-0000-0000E72C0000}"/>
    <cellStyle name="Normal 2 3 2 2 3 2 3 3" xfId="10129" xr:uid="{00000000-0005-0000-0000-0000E82C0000}"/>
    <cellStyle name="Normal 2 3 2 2 3 2 3 3 2" xfId="13723" xr:uid="{00000000-0005-0000-0000-0000E92C0000}"/>
    <cellStyle name="Normal 2 3 2 2 3 2 3 3 3" xfId="15294" xr:uid="{00000000-0005-0000-0000-0000EA2C0000}"/>
    <cellStyle name="Normal 2 3 2 2 3 2 3 4" xfId="10916" xr:uid="{00000000-0005-0000-0000-0000EB2C0000}"/>
    <cellStyle name="Normal 2 3 2 2 3 2 3 4 2" xfId="14509" xr:uid="{00000000-0005-0000-0000-0000EC2C0000}"/>
    <cellStyle name="Normal 2 3 2 2 3 2 3 4 3" xfId="15295" xr:uid="{00000000-0005-0000-0000-0000ED2C0000}"/>
    <cellStyle name="Normal 2 3 2 2 3 2 3 5" xfId="12670" xr:uid="{00000000-0005-0000-0000-0000EE2C0000}"/>
    <cellStyle name="Normal 2 3 2 2 3 2 3 6" xfId="15291" xr:uid="{00000000-0005-0000-0000-0000EF2C0000}"/>
    <cellStyle name="Normal 2 3 2 2 3 2 4" xfId="9357" xr:uid="{00000000-0005-0000-0000-0000F02C0000}"/>
    <cellStyle name="Normal 2 3 2 2 3 2 4 2" xfId="10411" xr:uid="{00000000-0005-0000-0000-0000F12C0000}"/>
    <cellStyle name="Normal 2 3 2 2 3 2 4 2 2" xfId="14005" xr:uid="{00000000-0005-0000-0000-0000F22C0000}"/>
    <cellStyle name="Normal 2 3 2 2 3 2 4 2 3" xfId="15297" xr:uid="{00000000-0005-0000-0000-0000F32C0000}"/>
    <cellStyle name="Normal 2 3 2 2 3 2 4 3" xfId="12952" xr:uid="{00000000-0005-0000-0000-0000F42C0000}"/>
    <cellStyle name="Normal 2 3 2 2 3 2 4 4" xfId="15296" xr:uid="{00000000-0005-0000-0000-0000F52C0000}"/>
    <cellStyle name="Normal 2 3 2 2 3 2 5" xfId="9873" xr:uid="{00000000-0005-0000-0000-0000F62C0000}"/>
    <cellStyle name="Normal 2 3 2 2 3 2 5 2" xfId="13467" xr:uid="{00000000-0005-0000-0000-0000F72C0000}"/>
    <cellStyle name="Normal 2 3 2 2 3 2 5 3" xfId="15298" xr:uid="{00000000-0005-0000-0000-0000F82C0000}"/>
    <cellStyle name="Normal 2 3 2 2 3 2 6" xfId="10913" xr:uid="{00000000-0005-0000-0000-0000F92C0000}"/>
    <cellStyle name="Normal 2 3 2 2 3 2 6 2" xfId="14506" xr:uid="{00000000-0005-0000-0000-0000FA2C0000}"/>
    <cellStyle name="Normal 2 3 2 2 3 2 6 3" xfId="15299" xr:uid="{00000000-0005-0000-0000-0000FB2C0000}"/>
    <cellStyle name="Normal 2 3 2 2 3 2 7" xfId="12414" xr:uid="{00000000-0005-0000-0000-0000FC2C0000}"/>
    <cellStyle name="Normal 2 3 2 2 3 2 8" xfId="15280" xr:uid="{00000000-0005-0000-0000-0000FD2C0000}"/>
    <cellStyle name="Normal 2 3 2 2 3 3" xfId="8821" xr:uid="{00000000-0005-0000-0000-0000FE2C0000}"/>
    <cellStyle name="Normal 2 3 2 2 3 3 2" xfId="8949" xr:uid="{00000000-0005-0000-0000-0000FF2C0000}"/>
    <cellStyle name="Normal 2 3 2 2 3 3 2 2" xfId="9205" xr:uid="{00000000-0005-0000-0000-0000002D0000}"/>
    <cellStyle name="Normal 2 3 2 2 3 3 2 2 2" xfId="9773" xr:uid="{00000000-0005-0000-0000-0000012D0000}"/>
    <cellStyle name="Normal 2 3 2 2 3 3 2 2 2 2" xfId="10827" xr:uid="{00000000-0005-0000-0000-0000022D0000}"/>
    <cellStyle name="Normal 2 3 2 2 3 3 2 2 2 2 2" xfId="14421" xr:uid="{00000000-0005-0000-0000-0000032D0000}"/>
    <cellStyle name="Normal 2 3 2 2 3 3 2 2 2 2 3" xfId="15304" xr:uid="{00000000-0005-0000-0000-0000042D0000}"/>
    <cellStyle name="Normal 2 3 2 2 3 3 2 2 2 3" xfId="13368" xr:uid="{00000000-0005-0000-0000-0000052D0000}"/>
    <cellStyle name="Normal 2 3 2 2 3 3 2 2 2 4" xfId="15303" xr:uid="{00000000-0005-0000-0000-0000062D0000}"/>
    <cellStyle name="Normal 2 3 2 2 3 3 2 2 3" xfId="10289" xr:uid="{00000000-0005-0000-0000-0000072D0000}"/>
    <cellStyle name="Normal 2 3 2 2 3 3 2 2 3 2" xfId="13883" xr:uid="{00000000-0005-0000-0000-0000082D0000}"/>
    <cellStyle name="Normal 2 3 2 2 3 3 2 2 3 3" xfId="15305" xr:uid="{00000000-0005-0000-0000-0000092D0000}"/>
    <cellStyle name="Normal 2 3 2 2 3 3 2 2 4" xfId="10919" xr:uid="{00000000-0005-0000-0000-00000A2D0000}"/>
    <cellStyle name="Normal 2 3 2 2 3 3 2 2 4 2" xfId="14512" xr:uid="{00000000-0005-0000-0000-00000B2D0000}"/>
    <cellStyle name="Normal 2 3 2 2 3 3 2 2 4 3" xfId="15306" xr:uid="{00000000-0005-0000-0000-00000C2D0000}"/>
    <cellStyle name="Normal 2 3 2 2 3 3 2 2 5" xfId="12830" xr:uid="{00000000-0005-0000-0000-00000D2D0000}"/>
    <cellStyle name="Normal 2 3 2 2 3 3 2 2 6" xfId="15302" xr:uid="{00000000-0005-0000-0000-00000E2D0000}"/>
    <cellStyle name="Normal 2 3 2 2 3 3 2 3" xfId="9517" xr:uid="{00000000-0005-0000-0000-00000F2D0000}"/>
    <cellStyle name="Normal 2 3 2 2 3 3 2 3 2" xfId="10571" xr:uid="{00000000-0005-0000-0000-0000102D0000}"/>
    <cellStyle name="Normal 2 3 2 2 3 3 2 3 2 2" xfId="14165" xr:uid="{00000000-0005-0000-0000-0000112D0000}"/>
    <cellStyle name="Normal 2 3 2 2 3 3 2 3 2 3" xfId="15308" xr:uid="{00000000-0005-0000-0000-0000122D0000}"/>
    <cellStyle name="Normal 2 3 2 2 3 3 2 3 3" xfId="13112" xr:uid="{00000000-0005-0000-0000-0000132D0000}"/>
    <cellStyle name="Normal 2 3 2 2 3 3 2 3 4" xfId="15307" xr:uid="{00000000-0005-0000-0000-0000142D0000}"/>
    <cellStyle name="Normal 2 3 2 2 3 3 2 4" xfId="10033" xr:uid="{00000000-0005-0000-0000-0000152D0000}"/>
    <cellStyle name="Normal 2 3 2 2 3 3 2 4 2" xfId="13627" xr:uid="{00000000-0005-0000-0000-0000162D0000}"/>
    <cellStyle name="Normal 2 3 2 2 3 3 2 4 3" xfId="15309" xr:uid="{00000000-0005-0000-0000-0000172D0000}"/>
    <cellStyle name="Normal 2 3 2 2 3 3 2 5" xfId="10918" xr:uid="{00000000-0005-0000-0000-0000182D0000}"/>
    <cellStyle name="Normal 2 3 2 2 3 3 2 5 2" xfId="14511" xr:uid="{00000000-0005-0000-0000-0000192D0000}"/>
    <cellStyle name="Normal 2 3 2 2 3 3 2 5 3" xfId="15310" xr:uid="{00000000-0005-0000-0000-00001A2D0000}"/>
    <cellStyle name="Normal 2 3 2 2 3 3 2 6" xfId="12574" xr:uid="{00000000-0005-0000-0000-00001B2D0000}"/>
    <cellStyle name="Normal 2 3 2 2 3 3 2 7" xfId="15301" xr:uid="{00000000-0005-0000-0000-00001C2D0000}"/>
    <cellStyle name="Normal 2 3 2 2 3 3 3" xfId="9077" xr:uid="{00000000-0005-0000-0000-00001D2D0000}"/>
    <cellStyle name="Normal 2 3 2 2 3 3 3 2" xfId="9645" xr:uid="{00000000-0005-0000-0000-00001E2D0000}"/>
    <cellStyle name="Normal 2 3 2 2 3 3 3 2 2" xfId="10699" xr:uid="{00000000-0005-0000-0000-00001F2D0000}"/>
    <cellStyle name="Normal 2 3 2 2 3 3 3 2 2 2" xfId="14293" xr:uid="{00000000-0005-0000-0000-0000202D0000}"/>
    <cellStyle name="Normal 2 3 2 2 3 3 3 2 2 3" xfId="15313" xr:uid="{00000000-0005-0000-0000-0000212D0000}"/>
    <cellStyle name="Normal 2 3 2 2 3 3 3 2 3" xfId="13240" xr:uid="{00000000-0005-0000-0000-0000222D0000}"/>
    <cellStyle name="Normal 2 3 2 2 3 3 3 2 4" xfId="15312" xr:uid="{00000000-0005-0000-0000-0000232D0000}"/>
    <cellStyle name="Normal 2 3 2 2 3 3 3 3" xfId="10161" xr:uid="{00000000-0005-0000-0000-0000242D0000}"/>
    <cellStyle name="Normal 2 3 2 2 3 3 3 3 2" xfId="13755" xr:uid="{00000000-0005-0000-0000-0000252D0000}"/>
    <cellStyle name="Normal 2 3 2 2 3 3 3 3 3" xfId="15314" xr:uid="{00000000-0005-0000-0000-0000262D0000}"/>
    <cellStyle name="Normal 2 3 2 2 3 3 3 4" xfId="10920" xr:uid="{00000000-0005-0000-0000-0000272D0000}"/>
    <cellStyle name="Normal 2 3 2 2 3 3 3 4 2" xfId="14513" xr:uid="{00000000-0005-0000-0000-0000282D0000}"/>
    <cellStyle name="Normal 2 3 2 2 3 3 3 4 3" xfId="15315" xr:uid="{00000000-0005-0000-0000-0000292D0000}"/>
    <cellStyle name="Normal 2 3 2 2 3 3 3 5" xfId="12702" xr:uid="{00000000-0005-0000-0000-00002A2D0000}"/>
    <cellStyle name="Normal 2 3 2 2 3 3 3 6" xfId="15311" xr:uid="{00000000-0005-0000-0000-00002B2D0000}"/>
    <cellStyle name="Normal 2 3 2 2 3 3 4" xfId="9389" xr:uid="{00000000-0005-0000-0000-00002C2D0000}"/>
    <cellStyle name="Normal 2 3 2 2 3 3 4 2" xfId="10443" xr:uid="{00000000-0005-0000-0000-00002D2D0000}"/>
    <cellStyle name="Normal 2 3 2 2 3 3 4 2 2" xfId="14037" xr:uid="{00000000-0005-0000-0000-00002E2D0000}"/>
    <cellStyle name="Normal 2 3 2 2 3 3 4 2 3" xfId="15317" xr:uid="{00000000-0005-0000-0000-00002F2D0000}"/>
    <cellStyle name="Normal 2 3 2 2 3 3 4 3" xfId="12984" xr:uid="{00000000-0005-0000-0000-0000302D0000}"/>
    <cellStyle name="Normal 2 3 2 2 3 3 4 4" xfId="15316" xr:uid="{00000000-0005-0000-0000-0000312D0000}"/>
    <cellStyle name="Normal 2 3 2 2 3 3 5" xfId="9905" xr:uid="{00000000-0005-0000-0000-0000322D0000}"/>
    <cellStyle name="Normal 2 3 2 2 3 3 5 2" xfId="13499" xr:uid="{00000000-0005-0000-0000-0000332D0000}"/>
    <cellStyle name="Normal 2 3 2 2 3 3 5 3" xfId="15318" xr:uid="{00000000-0005-0000-0000-0000342D0000}"/>
    <cellStyle name="Normal 2 3 2 2 3 3 6" xfId="10917" xr:uid="{00000000-0005-0000-0000-0000352D0000}"/>
    <cellStyle name="Normal 2 3 2 2 3 3 6 2" xfId="14510" xr:uid="{00000000-0005-0000-0000-0000362D0000}"/>
    <cellStyle name="Normal 2 3 2 2 3 3 6 3" xfId="15319" xr:uid="{00000000-0005-0000-0000-0000372D0000}"/>
    <cellStyle name="Normal 2 3 2 2 3 3 7" xfId="12446" xr:uid="{00000000-0005-0000-0000-0000382D0000}"/>
    <cellStyle name="Normal 2 3 2 2 3 3 8" xfId="15300" xr:uid="{00000000-0005-0000-0000-0000392D0000}"/>
    <cellStyle name="Normal 2 3 2 2 3 4" xfId="8853" xr:uid="{00000000-0005-0000-0000-00003A2D0000}"/>
    <cellStyle name="Normal 2 3 2 2 3 4 2" xfId="8981" xr:uid="{00000000-0005-0000-0000-00003B2D0000}"/>
    <cellStyle name="Normal 2 3 2 2 3 4 2 2" xfId="9237" xr:uid="{00000000-0005-0000-0000-00003C2D0000}"/>
    <cellStyle name="Normal 2 3 2 2 3 4 2 2 2" xfId="9805" xr:uid="{00000000-0005-0000-0000-00003D2D0000}"/>
    <cellStyle name="Normal 2 3 2 2 3 4 2 2 2 2" xfId="10859" xr:uid="{00000000-0005-0000-0000-00003E2D0000}"/>
    <cellStyle name="Normal 2 3 2 2 3 4 2 2 2 2 2" xfId="14453" xr:uid="{00000000-0005-0000-0000-00003F2D0000}"/>
    <cellStyle name="Normal 2 3 2 2 3 4 2 2 2 2 3" xfId="15324" xr:uid="{00000000-0005-0000-0000-0000402D0000}"/>
    <cellStyle name="Normal 2 3 2 2 3 4 2 2 2 3" xfId="13400" xr:uid="{00000000-0005-0000-0000-0000412D0000}"/>
    <cellStyle name="Normal 2 3 2 2 3 4 2 2 2 4" xfId="15323" xr:uid="{00000000-0005-0000-0000-0000422D0000}"/>
    <cellStyle name="Normal 2 3 2 2 3 4 2 2 3" xfId="10321" xr:uid="{00000000-0005-0000-0000-0000432D0000}"/>
    <cellStyle name="Normal 2 3 2 2 3 4 2 2 3 2" xfId="13915" xr:uid="{00000000-0005-0000-0000-0000442D0000}"/>
    <cellStyle name="Normal 2 3 2 2 3 4 2 2 3 3" xfId="15325" xr:uid="{00000000-0005-0000-0000-0000452D0000}"/>
    <cellStyle name="Normal 2 3 2 2 3 4 2 2 4" xfId="10923" xr:uid="{00000000-0005-0000-0000-0000462D0000}"/>
    <cellStyle name="Normal 2 3 2 2 3 4 2 2 4 2" xfId="14516" xr:uid="{00000000-0005-0000-0000-0000472D0000}"/>
    <cellStyle name="Normal 2 3 2 2 3 4 2 2 4 3" xfId="15326" xr:uid="{00000000-0005-0000-0000-0000482D0000}"/>
    <cellStyle name="Normal 2 3 2 2 3 4 2 2 5" xfId="12862" xr:uid="{00000000-0005-0000-0000-0000492D0000}"/>
    <cellStyle name="Normal 2 3 2 2 3 4 2 2 6" xfId="15322" xr:uid="{00000000-0005-0000-0000-00004A2D0000}"/>
    <cellStyle name="Normal 2 3 2 2 3 4 2 3" xfId="9549" xr:uid="{00000000-0005-0000-0000-00004B2D0000}"/>
    <cellStyle name="Normal 2 3 2 2 3 4 2 3 2" xfId="10603" xr:uid="{00000000-0005-0000-0000-00004C2D0000}"/>
    <cellStyle name="Normal 2 3 2 2 3 4 2 3 2 2" xfId="14197" xr:uid="{00000000-0005-0000-0000-00004D2D0000}"/>
    <cellStyle name="Normal 2 3 2 2 3 4 2 3 2 3" xfId="15328" xr:uid="{00000000-0005-0000-0000-00004E2D0000}"/>
    <cellStyle name="Normal 2 3 2 2 3 4 2 3 3" xfId="13144" xr:uid="{00000000-0005-0000-0000-00004F2D0000}"/>
    <cellStyle name="Normal 2 3 2 2 3 4 2 3 4" xfId="15327" xr:uid="{00000000-0005-0000-0000-0000502D0000}"/>
    <cellStyle name="Normal 2 3 2 2 3 4 2 4" xfId="10065" xr:uid="{00000000-0005-0000-0000-0000512D0000}"/>
    <cellStyle name="Normal 2 3 2 2 3 4 2 4 2" xfId="13659" xr:uid="{00000000-0005-0000-0000-0000522D0000}"/>
    <cellStyle name="Normal 2 3 2 2 3 4 2 4 3" xfId="15329" xr:uid="{00000000-0005-0000-0000-0000532D0000}"/>
    <cellStyle name="Normal 2 3 2 2 3 4 2 5" xfId="10922" xr:uid="{00000000-0005-0000-0000-0000542D0000}"/>
    <cellStyle name="Normal 2 3 2 2 3 4 2 5 2" xfId="14515" xr:uid="{00000000-0005-0000-0000-0000552D0000}"/>
    <cellStyle name="Normal 2 3 2 2 3 4 2 5 3" xfId="15330" xr:uid="{00000000-0005-0000-0000-0000562D0000}"/>
    <cellStyle name="Normal 2 3 2 2 3 4 2 6" xfId="12606" xr:uid="{00000000-0005-0000-0000-0000572D0000}"/>
    <cellStyle name="Normal 2 3 2 2 3 4 2 7" xfId="15321" xr:uid="{00000000-0005-0000-0000-0000582D0000}"/>
    <cellStyle name="Normal 2 3 2 2 3 4 3" xfId="9109" xr:uid="{00000000-0005-0000-0000-0000592D0000}"/>
    <cellStyle name="Normal 2 3 2 2 3 4 3 2" xfId="9677" xr:uid="{00000000-0005-0000-0000-00005A2D0000}"/>
    <cellStyle name="Normal 2 3 2 2 3 4 3 2 2" xfId="10731" xr:uid="{00000000-0005-0000-0000-00005B2D0000}"/>
    <cellStyle name="Normal 2 3 2 2 3 4 3 2 2 2" xfId="14325" xr:uid="{00000000-0005-0000-0000-00005C2D0000}"/>
    <cellStyle name="Normal 2 3 2 2 3 4 3 2 2 3" xfId="15333" xr:uid="{00000000-0005-0000-0000-00005D2D0000}"/>
    <cellStyle name="Normal 2 3 2 2 3 4 3 2 3" xfId="13272" xr:uid="{00000000-0005-0000-0000-00005E2D0000}"/>
    <cellStyle name="Normal 2 3 2 2 3 4 3 2 4" xfId="15332" xr:uid="{00000000-0005-0000-0000-00005F2D0000}"/>
    <cellStyle name="Normal 2 3 2 2 3 4 3 3" xfId="10193" xr:uid="{00000000-0005-0000-0000-0000602D0000}"/>
    <cellStyle name="Normal 2 3 2 2 3 4 3 3 2" xfId="13787" xr:uid="{00000000-0005-0000-0000-0000612D0000}"/>
    <cellStyle name="Normal 2 3 2 2 3 4 3 3 3" xfId="15334" xr:uid="{00000000-0005-0000-0000-0000622D0000}"/>
    <cellStyle name="Normal 2 3 2 2 3 4 3 4" xfId="10924" xr:uid="{00000000-0005-0000-0000-0000632D0000}"/>
    <cellStyle name="Normal 2 3 2 2 3 4 3 4 2" xfId="14517" xr:uid="{00000000-0005-0000-0000-0000642D0000}"/>
    <cellStyle name="Normal 2 3 2 2 3 4 3 4 3" xfId="15335" xr:uid="{00000000-0005-0000-0000-0000652D0000}"/>
    <cellStyle name="Normal 2 3 2 2 3 4 3 5" xfId="12734" xr:uid="{00000000-0005-0000-0000-0000662D0000}"/>
    <cellStyle name="Normal 2 3 2 2 3 4 3 6" xfId="15331" xr:uid="{00000000-0005-0000-0000-0000672D0000}"/>
    <cellStyle name="Normal 2 3 2 2 3 4 4" xfId="9421" xr:uid="{00000000-0005-0000-0000-0000682D0000}"/>
    <cellStyle name="Normal 2 3 2 2 3 4 4 2" xfId="10475" xr:uid="{00000000-0005-0000-0000-0000692D0000}"/>
    <cellStyle name="Normal 2 3 2 2 3 4 4 2 2" xfId="14069" xr:uid="{00000000-0005-0000-0000-00006A2D0000}"/>
    <cellStyle name="Normal 2 3 2 2 3 4 4 2 3" xfId="15337" xr:uid="{00000000-0005-0000-0000-00006B2D0000}"/>
    <cellStyle name="Normal 2 3 2 2 3 4 4 3" xfId="13016" xr:uid="{00000000-0005-0000-0000-00006C2D0000}"/>
    <cellStyle name="Normal 2 3 2 2 3 4 4 4" xfId="15336" xr:uid="{00000000-0005-0000-0000-00006D2D0000}"/>
    <cellStyle name="Normal 2 3 2 2 3 4 5" xfId="9937" xr:uid="{00000000-0005-0000-0000-00006E2D0000}"/>
    <cellStyle name="Normal 2 3 2 2 3 4 5 2" xfId="13531" xr:uid="{00000000-0005-0000-0000-00006F2D0000}"/>
    <cellStyle name="Normal 2 3 2 2 3 4 5 3" xfId="15338" xr:uid="{00000000-0005-0000-0000-0000702D0000}"/>
    <cellStyle name="Normal 2 3 2 2 3 4 6" xfId="10921" xr:uid="{00000000-0005-0000-0000-0000712D0000}"/>
    <cellStyle name="Normal 2 3 2 2 3 4 6 2" xfId="14514" xr:uid="{00000000-0005-0000-0000-0000722D0000}"/>
    <cellStyle name="Normal 2 3 2 2 3 4 6 3" xfId="15339" xr:uid="{00000000-0005-0000-0000-0000732D0000}"/>
    <cellStyle name="Normal 2 3 2 2 3 4 7" xfId="12478" xr:uid="{00000000-0005-0000-0000-0000742D0000}"/>
    <cellStyle name="Normal 2 3 2 2 3 4 8" xfId="15320" xr:uid="{00000000-0005-0000-0000-0000752D0000}"/>
    <cellStyle name="Normal 2 3 2 2 3 5" xfId="8868" xr:uid="{00000000-0005-0000-0000-0000762D0000}"/>
    <cellStyle name="Normal 2 3 2 2 3 5 2" xfId="9124" xr:uid="{00000000-0005-0000-0000-0000772D0000}"/>
    <cellStyle name="Normal 2 3 2 2 3 5 2 2" xfId="9692" xr:uid="{00000000-0005-0000-0000-0000782D0000}"/>
    <cellStyle name="Normal 2 3 2 2 3 5 2 2 2" xfId="10746" xr:uid="{00000000-0005-0000-0000-0000792D0000}"/>
    <cellStyle name="Normal 2 3 2 2 3 5 2 2 2 2" xfId="14340" xr:uid="{00000000-0005-0000-0000-00007A2D0000}"/>
    <cellStyle name="Normal 2 3 2 2 3 5 2 2 2 3" xfId="15343" xr:uid="{00000000-0005-0000-0000-00007B2D0000}"/>
    <cellStyle name="Normal 2 3 2 2 3 5 2 2 3" xfId="13287" xr:uid="{00000000-0005-0000-0000-00007C2D0000}"/>
    <cellStyle name="Normal 2 3 2 2 3 5 2 2 4" xfId="15342" xr:uid="{00000000-0005-0000-0000-00007D2D0000}"/>
    <cellStyle name="Normal 2 3 2 2 3 5 2 3" xfId="10208" xr:uid="{00000000-0005-0000-0000-00007E2D0000}"/>
    <cellStyle name="Normal 2 3 2 2 3 5 2 3 2" xfId="13802" xr:uid="{00000000-0005-0000-0000-00007F2D0000}"/>
    <cellStyle name="Normal 2 3 2 2 3 5 2 3 3" xfId="15344" xr:uid="{00000000-0005-0000-0000-0000802D0000}"/>
    <cellStyle name="Normal 2 3 2 2 3 5 2 4" xfId="10926" xr:uid="{00000000-0005-0000-0000-0000812D0000}"/>
    <cellStyle name="Normal 2 3 2 2 3 5 2 4 2" xfId="14519" xr:uid="{00000000-0005-0000-0000-0000822D0000}"/>
    <cellStyle name="Normal 2 3 2 2 3 5 2 4 3" xfId="15345" xr:uid="{00000000-0005-0000-0000-0000832D0000}"/>
    <cellStyle name="Normal 2 3 2 2 3 5 2 5" xfId="12749" xr:uid="{00000000-0005-0000-0000-0000842D0000}"/>
    <cellStyle name="Normal 2 3 2 2 3 5 2 6" xfId="15341" xr:uid="{00000000-0005-0000-0000-0000852D0000}"/>
    <cellStyle name="Normal 2 3 2 2 3 5 3" xfId="9436" xr:uid="{00000000-0005-0000-0000-0000862D0000}"/>
    <cellStyle name="Normal 2 3 2 2 3 5 3 2" xfId="10490" xr:uid="{00000000-0005-0000-0000-0000872D0000}"/>
    <cellStyle name="Normal 2 3 2 2 3 5 3 2 2" xfId="14084" xr:uid="{00000000-0005-0000-0000-0000882D0000}"/>
    <cellStyle name="Normal 2 3 2 2 3 5 3 2 3" xfId="15347" xr:uid="{00000000-0005-0000-0000-0000892D0000}"/>
    <cellStyle name="Normal 2 3 2 2 3 5 3 3" xfId="13031" xr:uid="{00000000-0005-0000-0000-00008A2D0000}"/>
    <cellStyle name="Normal 2 3 2 2 3 5 3 4" xfId="15346" xr:uid="{00000000-0005-0000-0000-00008B2D0000}"/>
    <cellStyle name="Normal 2 3 2 2 3 5 4" xfId="9952" xr:uid="{00000000-0005-0000-0000-00008C2D0000}"/>
    <cellStyle name="Normal 2 3 2 2 3 5 4 2" xfId="13546" xr:uid="{00000000-0005-0000-0000-00008D2D0000}"/>
    <cellStyle name="Normal 2 3 2 2 3 5 4 3" xfId="15348" xr:uid="{00000000-0005-0000-0000-00008E2D0000}"/>
    <cellStyle name="Normal 2 3 2 2 3 5 5" xfId="10925" xr:uid="{00000000-0005-0000-0000-00008F2D0000}"/>
    <cellStyle name="Normal 2 3 2 2 3 5 5 2" xfId="14518" xr:uid="{00000000-0005-0000-0000-0000902D0000}"/>
    <cellStyle name="Normal 2 3 2 2 3 5 5 3" xfId="15349" xr:uid="{00000000-0005-0000-0000-0000912D0000}"/>
    <cellStyle name="Normal 2 3 2 2 3 5 6" xfId="12493" xr:uid="{00000000-0005-0000-0000-0000922D0000}"/>
    <cellStyle name="Normal 2 3 2 2 3 5 7" xfId="15340" xr:uid="{00000000-0005-0000-0000-0000932D0000}"/>
    <cellStyle name="Normal 2 3 2 2 3 6" xfId="8996" xr:uid="{00000000-0005-0000-0000-0000942D0000}"/>
    <cellStyle name="Normal 2 3 2 2 3 6 2" xfId="9564" xr:uid="{00000000-0005-0000-0000-0000952D0000}"/>
    <cellStyle name="Normal 2 3 2 2 3 6 2 2" xfId="10618" xr:uid="{00000000-0005-0000-0000-0000962D0000}"/>
    <cellStyle name="Normal 2 3 2 2 3 6 2 2 2" xfId="14212" xr:uid="{00000000-0005-0000-0000-0000972D0000}"/>
    <cellStyle name="Normal 2 3 2 2 3 6 2 2 3" xfId="15352" xr:uid="{00000000-0005-0000-0000-0000982D0000}"/>
    <cellStyle name="Normal 2 3 2 2 3 6 2 3" xfId="13159" xr:uid="{00000000-0005-0000-0000-0000992D0000}"/>
    <cellStyle name="Normal 2 3 2 2 3 6 2 4" xfId="15351" xr:uid="{00000000-0005-0000-0000-00009A2D0000}"/>
    <cellStyle name="Normal 2 3 2 2 3 6 3" xfId="10080" xr:uid="{00000000-0005-0000-0000-00009B2D0000}"/>
    <cellStyle name="Normal 2 3 2 2 3 6 3 2" xfId="13674" xr:uid="{00000000-0005-0000-0000-00009C2D0000}"/>
    <cellStyle name="Normal 2 3 2 2 3 6 3 3" xfId="15353" xr:uid="{00000000-0005-0000-0000-00009D2D0000}"/>
    <cellStyle name="Normal 2 3 2 2 3 6 4" xfId="10927" xr:uid="{00000000-0005-0000-0000-00009E2D0000}"/>
    <cellStyle name="Normal 2 3 2 2 3 6 4 2" xfId="14520" xr:uid="{00000000-0005-0000-0000-00009F2D0000}"/>
    <cellStyle name="Normal 2 3 2 2 3 6 4 3" xfId="15354" xr:uid="{00000000-0005-0000-0000-0000A02D0000}"/>
    <cellStyle name="Normal 2 3 2 2 3 6 5" xfId="12621" xr:uid="{00000000-0005-0000-0000-0000A12D0000}"/>
    <cellStyle name="Normal 2 3 2 2 3 6 6" xfId="15350" xr:uid="{00000000-0005-0000-0000-0000A22D0000}"/>
    <cellStyle name="Normal 2 3 2 2 3 7" xfId="9308" xr:uid="{00000000-0005-0000-0000-0000A32D0000}"/>
    <cellStyle name="Normal 2 3 2 2 3 7 2" xfId="10362" xr:uid="{00000000-0005-0000-0000-0000A42D0000}"/>
    <cellStyle name="Normal 2 3 2 2 3 7 2 2" xfId="13956" xr:uid="{00000000-0005-0000-0000-0000A52D0000}"/>
    <cellStyle name="Normal 2 3 2 2 3 7 2 3" xfId="15356" xr:uid="{00000000-0005-0000-0000-0000A62D0000}"/>
    <cellStyle name="Normal 2 3 2 2 3 7 3" xfId="12903" xr:uid="{00000000-0005-0000-0000-0000A72D0000}"/>
    <cellStyle name="Normal 2 3 2 2 3 7 4" xfId="15355" xr:uid="{00000000-0005-0000-0000-0000A82D0000}"/>
    <cellStyle name="Normal 2 3 2 2 3 8" xfId="9824" xr:uid="{00000000-0005-0000-0000-0000A92D0000}"/>
    <cellStyle name="Normal 2 3 2 2 3 8 2" xfId="13418" xr:uid="{00000000-0005-0000-0000-0000AA2D0000}"/>
    <cellStyle name="Normal 2 3 2 2 3 8 3" xfId="15357" xr:uid="{00000000-0005-0000-0000-0000AB2D0000}"/>
    <cellStyle name="Normal 2 3 2 2 3 9" xfId="10912" xr:uid="{00000000-0005-0000-0000-0000AC2D0000}"/>
    <cellStyle name="Normal 2 3 2 2 3 9 2" xfId="14505" xr:uid="{00000000-0005-0000-0000-0000AD2D0000}"/>
    <cellStyle name="Normal 2 3 2 2 3 9 3" xfId="15358" xr:uid="{00000000-0005-0000-0000-0000AE2D0000}"/>
    <cellStyle name="Normal 2 3 2 2 4" xfId="8773" xr:uid="{00000000-0005-0000-0000-0000AF2D0000}"/>
    <cellStyle name="Normal 2 3 2 2 4 2" xfId="8901" xr:uid="{00000000-0005-0000-0000-0000B02D0000}"/>
    <cellStyle name="Normal 2 3 2 2 4 2 2" xfId="9157" xr:uid="{00000000-0005-0000-0000-0000B12D0000}"/>
    <cellStyle name="Normal 2 3 2 2 4 2 2 2" xfId="9725" xr:uid="{00000000-0005-0000-0000-0000B22D0000}"/>
    <cellStyle name="Normal 2 3 2 2 4 2 2 2 2" xfId="10779" xr:uid="{00000000-0005-0000-0000-0000B32D0000}"/>
    <cellStyle name="Normal 2 3 2 2 4 2 2 2 2 2" xfId="14373" xr:uid="{00000000-0005-0000-0000-0000B42D0000}"/>
    <cellStyle name="Normal 2 3 2 2 4 2 2 2 2 3" xfId="15363" xr:uid="{00000000-0005-0000-0000-0000B52D0000}"/>
    <cellStyle name="Normal 2 3 2 2 4 2 2 2 3" xfId="13320" xr:uid="{00000000-0005-0000-0000-0000B62D0000}"/>
    <cellStyle name="Normal 2 3 2 2 4 2 2 2 4" xfId="15362" xr:uid="{00000000-0005-0000-0000-0000B72D0000}"/>
    <cellStyle name="Normal 2 3 2 2 4 2 2 3" xfId="10241" xr:uid="{00000000-0005-0000-0000-0000B82D0000}"/>
    <cellStyle name="Normal 2 3 2 2 4 2 2 3 2" xfId="13835" xr:uid="{00000000-0005-0000-0000-0000B92D0000}"/>
    <cellStyle name="Normal 2 3 2 2 4 2 2 3 3" xfId="15364" xr:uid="{00000000-0005-0000-0000-0000BA2D0000}"/>
    <cellStyle name="Normal 2 3 2 2 4 2 2 4" xfId="10930" xr:uid="{00000000-0005-0000-0000-0000BB2D0000}"/>
    <cellStyle name="Normal 2 3 2 2 4 2 2 4 2" xfId="14523" xr:uid="{00000000-0005-0000-0000-0000BC2D0000}"/>
    <cellStyle name="Normal 2 3 2 2 4 2 2 4 3" xfId="15365" xr:uid="{00000000-0005-0000-0000-0000BD2D0000}"/>
    <cellStyle name="Normal 2 3 2 2 4 2 2 5" xfId="12782" xr:uid="{00000000-0005-0000-0000-0000BE2D0000}"/>
    <cellStyle name="Normal 2 3 2 2 4 2 2 6" xfId="15361" xr:uid="{00000000-0005-0000-0000-0000BF2D0000}"/>
    <cellStyle name="Normal 2 3 2 2 4 2 3" xfId="9469" xr:uid="{00000000-0005-0000-0000-0000C02D0000}"/>
    <cellStyle name="Normal 2 3 2 2 4 2 3 2" xfId="10523" xr:uid="{00000000-0005-0000-0000-0000C12D0000}"/>
    <cellStyle name="Normal 2 3 2 2 4 2 3 2 2" xfId="14117" xr:uid="{00000000-0005-0000-0000-0000C22D0000}"/>
    <cellStyle name="Normal 2 3 2 2 4 2 3 2 3" xfId="15367" xr:uid="{00000000-0005-0000-0000-0000C32D0000}"/>
    <cellStyle name="Normal 2 3 2 2 4 2 3 3" xfId="13064" xr:uid="{00000000-0005-0000-0000-0000C42D0000}"/>
    <cellStyle name="Normal 2 3 2 2 4 2 3 4" xfId="15366" xr:uid="{00000000-0005-0000-0000-0000C52D0000}"/>
    <cellStyle name="Normal 2 3 2 2 4 2 4" xfId="9985" xr:uid="{00000000-0005-0000-0000-0000C62D0000}"/>
    <cellStyle name="Normal 2 3 2 2 4 2 4 2" xfId="13579" xr:uid="{00000000-0005-0000-0000-0000C72D0000}"/>
    <cellStyle name="Normal 2 3 2 2 4 2 4 3" xfId="15368" xr:uid="{00000000-0005-0000-0000-0000C82D0000}"/>
    <cellStyle name="Normal 2 3 2 2 4 2 5" xfId="10929" xr:uid="{00000000-0005-0000-0000-0000C92D0000}"/>
    <cellStyle name="Normal 2 3 2 2 4 2 5 2" xfId="14522" xr:uid="{00000000-0005-0000-0000-0000CA2D0000}"/>
    <cellStyle name="Normal 2 3 2 2 4 2 5 3" xfId="15369" xr:uid="{00000000-0005-0000-0000-0000CB2D0000}"/>
    <cellStyle name="Normal 2 3 2 2 4 2 6" xfId="12526" xr:uid="{00000000-0005-0000-0000-0000CC2D0000}"/>
    <cellStyle name="Normal 2 3 2 2 4 2 7" xfId="15360" xr:uid="{00000000-0005-0000-0000-0000CD2D0000}"/>
    <cellStyle name="Normal 2 3 2 2 4 3" xfId="9029" xr:uid="{00000000-0005-0000-0000-0000CE2D0000}"/>
    <cellStyle name="Normal 2 3 2 2 4 3 2" xfId="9597" xr:uid="{00000000-0005-0000-0000-0000CF2D0000}"/>
    <cellStyle name="Normal 2 3 2 2 4 3 2 2" xfId="10651" xr:uid="{00000000-0005-0000-0000-0000D02D0000}"/>
    <cellStyle name="Normal 2 3 2 2 4 3 2 2 2" xfId="14245" xr:uid="{00000000-0005-0000-0000-0000D12D0000}"/>
    <cellStyle name="Normal 2 3 2 2 4 3 2 2 3" xfId="15372" xr:uid="{00000000-0005-0000-0000-0000D22D0000}"/>
    <cellStyle name="Normal 2 3 2 2 4 3 2 3" xfId="13192" xr:uid="{00000000-0005-0000-0000-0000D32D0000}"/>
    <cellStyle name="Normal 2 3 2 2 4 3 2 4" xfId="15371" xr:uid="{00000000-0005-0000-0000-0000D42D0000}"/>
    <cellStyle name="Normal 2 3 2 2 4 3 3" xfId="10113" xr:uid="{00000000-0005-0000-0000-0000D52D0000}"/>
    <cellStyle name="Normal 2 3 2 2 4 3 3 2" xfId="13707" xr:uid="{00000000-0005-0000-0000-0000D62D0000}"/>
    <cellStyle name="Normal 2 3 2 2 4 3 3 3" xfId="15373" xr:uid="{00000000-0005-0000-0000-0000D72D0000}"/>
    <cellStyle name="Normal 2 3 2 2 4 3 4" xfId="10931" xr:uid="{00000000-0005-0000-0000-0000D82D0000}"/>
    <cellStyle name="Normal 2 3 2 2 4 3 4 2" xfId="14524" xr:uid="{00000000-0005-0000-0000-0000D92D0000}"/>
    <cellStyle name="Normal 2 3 2 2 4 3 4 3" xfId="15374" xr:uid="{00000000-0005-0000-0000-0000DA2D0000}"/>
    <cellStyle name="Normal 2 3 2 2 4 3 5" xfId="12654" xr:uid="{00000000-0005-0000-0000-0000DB2D0000}"/>
    <cellStyle name="Normal 2 3 2 2 4 3 6" xfId="15370" xr:uid="{00000000-0005-0000-0000-0000DC2D0000}"/>
    <cellStyle name="Normal 2 3 2 2 4 4" xfId="9341" xr:uid="{00000000-0005-0000-0000-0000DD2D0000}"/>
    <cellStyle name="Normal 2 3 2 2 4 4 2" xfId="10395" xr:uid="{00000000-0005-0000-0000-0000DE2D0000}"/>
    <cellStyle name="Normal 2 3 2 2 4 4 2 2" xfId="13989" xr:uid="{00000000-0005-0000-0000-0000DF2D0000}"/>
    <cellStyle name="Normal 2 3 2 2 4 4 2 3" xfId="15376" xr:uid="{00000000-0005-0000-0000-0000E02D0000}"/>
    <cellStyle name="Normal 2 3 2 2 4 4 3" xfId="12936" xr:uid="{00000000-0005-0000-0000-0000E12D0000}"/>
    <cellStyle name="Normal 2 3 2 2 4 4 4" xfId="15375" xr:uid="{00000000-0005-0000-0000-0000E22D0000}"/>
    <cellStyle name="Normal 2 3 2 2 4 5" xfId="9857" xr:uid="{00000000-0005-0000-0000-0000E32D0000}"/>
    <cellStyle name="Normal 2 3 2 2 4 5 2" xfId="13451" xr:uid="{00000000-0005-0000-0000-0000E42D0000}"/>
    <cellStyle name="Normal 2 3 2 2 4 5 3" xfId="15377" xr:uid="{00000000-0005-0000-0000-0000E52D0000}"/>
    <cellStyle name="Normal 2 3 2 2 4 6" xfId="10928" xr:uid="{00000000-0005-0000-0000-0000E62D0000}"/>
    <cellStyle name="Normal 2 3 2 2 4 6 2" xfId="14521" xr:uid="{00000000-0005-0000-0000-0000E72D0000}"/>
    <cellStyle name="Normal 2 3 2 2 4 6 3" xfId="15378" xr:uid="{00000000-0005-0000-0000-0000E82D0000}"/>
    <cellStyle name="Normal 2 3 2 2 4 7" xfId="12398" xr:uid="{00000000-0005-0000-0000-0000E92D0000}"/>
    <cellStyle name="Normal 2 3 2 2 4 8" xfId="15359" xr:uid="{00000000-0005-0000-0000-0000EA2D0000}"/>
    <cellStyle name="Normal 2 3 2 2 5" xfId="8805" xr:uid="{00000000-0005-0000-0000-0000EB2D0000}"/>
    <cellStyle name="Normal 2 3 2 2 5 2" xfId="8933" xr:uid="{00000000-0005-0000-0000-0000EC2D0000}"/>
    <cellStyle name="Normal 2 3 2 2 5 2 2" xfId="9189" xr:uid="{00000000-0005-0000-0000-0000ED2D0000}"/>
    <cellStyle name="Normal 2 3 2 2 5 2 2 2" xfId="9757" xr:uid="{00000000-0005-0000-0000-0000EE2D0000}"/>
    <cellStyle name="Normal 2 3 2 2 5 2 2 2 2" xfId="10811" xr:uid="{00000000-0005-0000-0000-0000EF2D0000}"/>
    <cellStyle name="Normal 2 3 2 2 5 2 2 2 2 2" xfId="14405" xr:uid="{00000000-0005-0000-0000-0000F02D0000}"/>
    <cellStyle name="Normal 2 3 2 2 5 2 2 2 2 3" xfId="15383" xr:uid="{00000000-0005-0000-0000-0000F12D0000}"/>
    <cellStyle name="Normal 2 3 2 2 5 2 2 2 3" xfId="13352" xr:uid="{00000000-0005-0000-0000-0000F22D0000}"/>
    <cellStyle name="Normal 2 3 2 2 5 2 2 2 4" xfId="15382" xr:uid="{00000000-0005-0000-0000-0000F32D0000}"/>
    <cellStyle name="Normal 2 3 2 2 5 2 2 3" xfId="10273" xr:uid="{00000000-0005-0000-0000-0000F42D0000}"/>
    <cellStyle name="Normal 2 3 2 2 5 2 2 3 2" xfId="13867" xr:uid="{00000000-0005-0000-0000-0000F52D0000}"/>
    <cellStyle name="Normal 2 3 2 2 5 2 2 3 3" xfId="15384" xr:uid="{00000000-0005-0000-0000-0000F62D0000}"/>
    <cellStyle name="Normal 2 3 2 2 5 2 2 4" xfId="10934" xr:uid="{00000000-0005-0000-0000-0000F72D0000}"/>
    <cellStyle name="Normal 2 3 2 2 5 2 2 4 2" xfId="14527" xr:uid="{00000000-0005-0000-0000-0000F82D0000}"/>
    <cellStyle name="Normal 2 3 2 2 5 2 2 4 3" xfId="15385" xr:uid="{00000000-0005-0000-0000-0000F92D0000}"/>
    <cellStyle name="Normal 2 3 2 2 5 2 2 5" xfId="12814" xr:uid="{00000000-0005-0000-0000-0000FA2D0000}"/>
    <cellStyle name="Normal 2 3 2 2 5 2 2 6" xfId="15381" xr:uid="{00000000-0005-0000-0000-0000FB2D0000}"/>
    <cellStyle name="Normal 2 3 2 2 5 2 3" xfId="9501" xr:uid="{00000000-0005-0000-0000-0000FC2D0000}"/>
    <cellStyle name="Normal 2 3 2 2 5 2 3 2" xfId="10555" xr:uid="{00000000-0005-0000-0000-0000FD2D0000}"/>
    <cellStyle name="Normal 2 3 2 2 5 2 3 2 2" xfId="14149" xr:uid="{00000000-0005-0000-0000-0000FE2D0000}"/>
    <cellStyle name="Normal 2 3 2 2 5 2 3 2 3" xfId="15387" xr:uid="{00000000-0005-0000-0000-0000FF2D0000}"/>
    <cellStyle name="Normal 2 3 2 2 5 2 3 3" xfId="13096" xr:uid="{00000000-0005-0000-0000-0000002E0000}"/>
    <cellStyle name="Normal 2 3 2 2 5 2 3 4" xfId="15386" xr:uid="{00000000-0005-0000-0000-0000012E0000}"/>
    <cellStyle name="Normal 2 3 2 2 5 2 4" xfId="10017" xr:uid="{00000000-0005-0000-0000-0000022E0000}"/>
    <cellStyle name="Normal 2 3 2 2 5 2 4 2" xfId="13611" xr:uid="{00000000-0005-0000-0000-0000032E0000}"/>
    <cellStyle name="Normal 2 3 2 2 5 2 4 3" xfId="15388" xr:uid="{00000000-0005-0000-0000-0000042E0000}"/>
    <cellStyle name="Normal 2 3 2 2 5 2 5" xfId="10933" xr:uid="{00000000-0005-0000-0000-0000052E0000}"/>
    <cellStyle name="Normal 2 3 2 2 5 2 5 2" xfId="14526" xr:uid="{00000000-0005-0000-0000-0000062E0000}"/>
    <cellStyle name="Normal 2 3 2 2 5 2 5 3" xfId="15389" xr:uid="{00000000-0005-0000-0000-0000072E0000}"/>
    <cellStyle name="Normal 2 3 2 2 5 2 6" xfId="12558" xr:uid="{00000000-0005-0000-0000-0000082E0000}"/>
    <cellStyle name="Normal 2 3 2 2 5 2 7" xfId="15380" xr:uid="{00000000-0005-0000-0000-0000092E0000}"/>
    <cellStyle name="Normal 2 3 2 2 5 3" xfId="9061" xr:uid="{00000000-0005-0000-0000-00000A2E0000}"/>
    <cellStyle name="Normal 2 3 2 2 5 3 2" xfId="9629" xr:uid="{00000000-0005-0000-0000-00000B2E0000}"/>
    <cellStyle name="Normal 2 3 2 2 5 3 2 2" xfId="10683" xr:uid="{00000000-0005-0000-0000-00000C2E0000}"/>
    <cellStyle name="Normal 2 3 2 2 5 3 2 2 2" xfId="14277" xr:uid="{00000000-0005-0000-0000-00000D2E0000}"/>
    <cellStyle name="Normal 2 3 2 2 5 3 2 2 3" xfId="15392" xr:uid="{00000000-0005-0000-0000-00000E2E0000}"/>
    <cellStyle name="Normal 2 3 2 2 5 3 2 3" xfId="13224" xr:uid="{00000000-0005-0000-0000-00000F2E0000}"/>
    <cellStyle name="Normal 2 3 2 2 5 3 2 4" xfId="15391" xr:uid="{00000000-0005-0000-0000-0000102E0000}"/>
    <cellStyle name="Normal 2 3 2 2 5 3 3" xfId="10145" xr:uid="{00000000-0005-0000-0000-0000112E0000}"/>
    <cellStyle name="Normal 2 3 2 2 5 3 3 2" xfId="13739" xr:uid="{00000000-0005-0000-0000-0000122E0000}"/>
    <cellStyle name="Normal 2 3 2 2 5 3 3 3" xfId="15393" xr:uid="{00000000-0005-0000-0000-0000132E0000}"/>
    <cellStyle name="Normal 2 3 2 2 5 3 4" xfId="10935" xr:uid="{00000000-0005-0000-0000-0000142E0000}"/>
    <cellStyle name="Normal 2 3 2 2 5 3 4 2" xfId="14528" xr:uid="{00000000-0005-0000-0000-0000152E0000}"/>
    <cellStyle name="Normal 2 3 2 2 5 3 4 3" xfId="15394" xr:uid="{00000000-0005-0000-0000-0000162E0000}"/>
    <cellStyle name="Normal 2 3 2 2 5 3 5" xfId="12686" xr:uid="{00000000-0005-0000-0000-0000172E0000}"/>
    <cellStyle name="Normal 2 3 2 2 5 3 6" xfId="15390" xr:uid="{00000000-0005-0000-0000-0000182E0000}"/>
    <cellStyle name="Normal 2 3 2 2 5 4" xfId="9373" xr:uid="{00000000-0005-0000-0000-0000192E0000}"/>
    <cellStyle name="Normal 2 3 2 2 5 4 2" xfId="10427" xr:uid="{00000000-0005-0000-0000-00001A2E0000}"/>
    <cellStyle name="Normal 2 3 2 2 5 4 2 2" xfId="14021" xr:uid="{00000000-0005-0000-0000-00001B2E0000}"/>
    <cellStyle name="Normal 2 3 2 2 5 4 2 3" xfId="15396" xr:uid="{00000000-0005-0000-0000-00001C2E0000}"/>
    <cellStyle name="Normal 2 3 2 2 5 4 3" xfId="12968" xr:uid="{00000000-0005-0000-0000-00001D2E0000}"/>
    <cellStyle name="Normal 2 3 2 2 5 4 4" xfId="15395" xr:uid="{00000000-0005-0000-0000-00001E2E0000}"/>
    <cellStyle name="Normal 2 3 2 2 5 5" xfId="9889" xr:uid="{00000000-0005-0000-0000-00001F2E0000}"/>
    <cellStyle name="Normal 2 3 2 2 5 5 2" xfId="13483" xr:uid="{00000000-0005-0000-0000-0000202E0000}"/>
    <cellStyle name="Normal 2 3 2 2 5 5 3" xfId="15397" xr:uid="{00000000-0005-0000-0000-0000212E0000}"/>
    <cellStyle name="Normal 2 3 2 2 5 6" xfId="10932" xr:uid="{00000000-0005-0000-0000-0000222E0000}"/>
    <cellStyle name="Normal 2 3 2 2 5 6 2" xfId="14525" xr:uid="{00000000-0005-0000-0000-0000232E0000}"/>
    <cellStyle name="Normal 2 3 2 2 5 6 3" xfId="15398" xr:uid="{00000000-0005-0000-0000-0000242E0000}"/>
    <cellStyle name="Normal 2 3 2 2 5 7" xfId="12430" xr:uid="{00000000-0005-0000-0000-0000252E0000}"/>
    <cellStyle name="Normal 2 3 2 2 5 8" xfId="15379" xr:uid="{00000000-0005-0000-0000-0000262E0000}"/>
    <cellStyle name="Normal 2 3 2 2 6" xfId="8837" xr:uid="{00000000-0005-0000-0000-0000272E0000}"/>
    <cellStyle name="Normal 2 3 2 2 6 2" xfId="8965" xr:uid="{00000000-0005-0000-0000-0000282E0000}"/>
    <cellStyle name="Normal 2 3 2 2 6 2 2" xfId="9221" xr:uid="{00000000-0005-0000-0000-0000292E0000}"/>
    <cellStyle name="Normal 2 3 2 2 6 2 2 2" xfId="9789" xr:uid="{00000000-0005-0000-0000-00002A2E0000}"/>
    <cellStyle name="Normal 2 3 2 2 6 2 2 2 2" xfId="10843" xr:uid="{00000000-0005-0000-0000-00002B2E0000}"/>
    <cellStyle name="Normal 2 3 2 2 6 2 2 2 2 2" xfId="14437" xr:uid="{00000000-0005-0000-0000-00002C2E0000}"/>
    <cellStyle name="Normal 2 3 2 2 6 2 2 2 2 3" xfId="15403" xr:uid="{00000000-0005-0000-0000-00002D2E0000}"/>
    <cellStyle name="Normal 2 3 2 2 6 2 2 2 3" xfId="13384" xr:uid="{00000000-0005-0000-0000-00002E2E0000}"/>
    <cellStyle name="Normal 2 3 2 2 6 2 2 2 4" xfId="15402" xr:uid="{00000000-0005-0000-0000-00002F2E0000}"/>
    <cellStyle name="Normal 2 3 2 2 6 2 2 3" xfId="10305" xr:uid="{00000000-0005-0000-0000-0000302E0000}"/>
    <cellStyle name="Normal 2 3 2 2 6 2 2 3 2" xfId="13899" xr:uid="{00000000-0005-0000-0000-0000312E0000}"/>
    <cellStyle name="Normal 2 3 2 2 6 2 2 3 3" xfId="15404" xr:uid="{00000000-0005-0000-0000-0000322E0000}"/>
    <cellStyle name="Normal 2 3 2 2 6 2 2 4" xfId="10938" xr:uid="{00000000-0005-0000-0000-0000332E0000}"/>
    <cellStyle name="Normal 2 3 2 2 6 2 2 4 2" xfId="14531" xr:uid="{00000000-0005-0000-0000-0000342E0000}"/>
    <cellStyle name="Normal 2 3 2 2 6 2 2 4 3" xfId="15405" xr:uid="{00000000-0005-0000-0000-0000352E0000}"/>
    <cellStyle name="Normal 2 3 2 2 6 2 2 5" xfId="12846" xr:uid="{00000000-0005-0000-0000-0000362E0000}"/>
    <cellStyle name="Normal 2 3 2 2 6 2 2 6" xfId="15401" xr:uid="{00000000-0005-0000-0000-0000372E0000}"/>
    <cellStyle name="Normal 2 3 2 2 6 2 3" xfId="9533" xr:uid="{00000000-0005-0000-0000-0000382E0000}"/>
    <cellStyle name="Normal 2 3 2 2 6 2 3 2" xfId="10587" xr:uid="{00000000-0005-0000-0000-0000392E0000}"/>
    <cellStyle name="Normal 2 3 2 2 6 2 3 2 2" xfId="14181" xr:uid="{00000000-0005-0000-0000-00003A2E0000}"/>
    <cellStyle name="Normal 2 3 2 2 6 2 3 2 3" xfId="15407" xr:uid="{00000000-0005-0000-0000-00003B2E0000}"/>
    <cellStyle name="Normal 2 3 2 2 6 2 3 3" xfId="13128" xr:uid="{00000000-0005-0000-0000-00003C2E0000}"/>
    <cellStyle name="Normal 2 3 2 2 6 2 3 4" xfId="15406" xr:uid="{00000000-0005-0000-0000-00003D2E0000}"/>
    <cellStyle name="Normal 2 3 2 2 6 2 4" xfId="10049" xr:uid="{00000000-0005-0000-0000-00003E2E0000}"/>
    <cellStyle name="Normal 2 3 2 2 6 2 4 2" xfId="13643" xr:uid="{00000000-0005-0000-0000-00003F2E0000}"/>
    <cellStyle name="Normal 2 3 2 2 6 2 4 3" xfId="15408" xr:uid="{00000000-0005-0000-0000-0000402E0000}"/>
    <cellStyle name="Normal 2 3 2 2 6 2 5" xfId="10937" xr:uid="{00000000-0005-0000-0000-0000412E0000}"/>
    <cellStyle name="Normal 2 3 2 2 6 2 5 2" xfId="14530" xr:uid="{00000000-0005-0000-0000-0000422E0000}"/>
    <cellStyle name="Normal 2 3 2 2 6 2 5 3" xfId="15409" xr:uid="{00000000-0005-0000-0000-0000432E0000}"/>
    <cellStyle name="Normal 2 3 2 2 6 2 6" xfId="12590" xr:uid="{00000000-0005-0000-0000-0000442E0000}"/>
    <cellStyle name="Normal 2 3 2 2 6 2 7" xfId="15400" xr:uid="{00000000-0005-0000-0000-0000452E0000}"/>
    <cellStyle name="Normal 2 3 2 2 6 3" xfId="9093" xr:uid="{00000000-0005-0000-0000-0000462E0000}"/>
    <cellStyle name="Normal 2 3 2 2 6 3 2" xfId="9661" xr:uid="{00000000-0005-0000-0000-0000472E0000}"/>
    <cellStyle name="Normal 2 3 2 2 6 3 2 2" xfId="10715" xr:uid="{00000000-0005-0000-0000-0000482E0000}"/>
    <cellStyle name="Normal 2 3 2 2 6 3 2 2 2" xfId="14309" xr:uid="{00000000-0005-0000-0000-0000492E0000}"/>
    <cellStyle name="Normal 2 3 2 2 6 3 2 2 3" xfId="15412" xr:uid="{00000000-0005-0000-0000-00004A2E0000}"/>
    <cellStyle name="Normal 2 3 2 2 6 3 2 3" xfId="13256" xr:uid="{00000000-0005-0000-0000-00004B2E0000}"/>
    <cellStyle name="Normal 2 3 2 2 6 3 2 4" xfId="15411" xr:uid="{00000000-0005-0000-0000-00004C2E0000}"/>
    <cellStyle name="Normal 2 3 2 2 6 3 3" xfId="10177" xr:uid="{00000000-0005-0000-0000-00004D2E0000}"/>
    <cellStyle name="Normal 2 3 2 2 6 3 3 2" xfId="13771" xr:uid="{00000000-0005-0000-0000-00004E2E0000}"/>
    <cellStyle name="Normal 2 3 2 2 6 3 3 3" xfId="15413" xr:uid="{00000000-0005-0000-0000-00004F2E0000}"/>
    <cellStyle name="Normal 2 3 2 2 6 3 4" xfId="10939" xr:uid="{00000000-0005-0000-0000-0000502E0000}"/>
    <cellStyle name="Normal 2 3 2 2 6 3 4 2" xfId="14532" xr:uid="{00000000-0005-0000-0000-0000512E0000}"/>
    <cellStyle name="Normal 2 3 2 2 6 3 4 3" xfId="15414" xr:uid="{00000000-0005-0000-0000-0000522E0000}"/>
    <cellStyle name="Normal 2 3 2 2 6 3 5" xfId="12718" xr:uid="{00000000-0005-0000-0000-0000532E0000}"/>
    <cellStyle name="Normal 2 3 2 2 6 3 6" xfId="15410" xr:uid="{00000000-0005-0000-0000-0000542E0000}"/>
    <cellStyle name="Normal 2 3 2 2 6 4" xfId="9405" xr:uid="{00000000-0005-0000-0000-0000552E0000}"/>
    <cellStyle name="Normal 2 3 2 2 6 4 2" xfId="10459" xr:uid="{00000000-0005-0000-0000-0000562E0000}"/>
    <cellStyle name="Normal 2 3 2 2 6 4 2 2" xfId="14053" xr:uid="{00000000-0005-0000-0000-0000572E0000}"/>
    <cellStyle name="Normal 2 3 2 2 6 4 2 3" xfId="15416" xr:uid="{00000000-0005-0000-0000-0000582E0000}"/>
    <cellStyle name="Normal 2 3 2 2 6 4 3" xfId="13000" xr:uid="{00000000-0005-0000-0000-0000592E0000}"/>
    <cellStyle name="Normal 2 3 2 2 6 4 4" xfId="15415" xr:uid="{00000000-0005-0000-0000-00005A2E0000}"/>
    <cellStyle name="Normal 2 3 2 2 6 5" xfId="9921" xr:uid="{00000000-0005-0000-0000-00005B2E0000}"/>
    <cellStyle name="Normal 2 3 2 2 6 5 2" xfId="13515" xr:uid="{00000000-0005-0000-0000-00005C2E0000}"/>
    <cellStyle name="Normal 2 3 2 2 6 5 3" xfId="15417" xr:uid="{00000000-0005-0000-0000-00005D2E0000}"/>
    <cellStyle name="Normal 2 3 2 2 6 6" xfId="10936" xr:uid="{00000000-0005-0000-0000-00005E2E0000}"/>
    <cellStyle name="Normal 2 3 2 2 6 6 2" xfId="14529" xr:uid="{00000000-0005-0000-0000-00005F2E0000}"/>
    <cellStyle name="Normal 2 3 2 2 6 6 3" xfId="15418" xr:uid="{00000000-0005-0000-0000-0000602E0000}"/>
    <cellStyle name="Normal 2 3 2 2 6 7" xfId="12462" xr:uid="{00000000-0005-0000-0000-0000612E0000}"/>
    <cellStyle name="Normal 2 3 2 2 6 8" xfId="15399" xr:uid="{00000000-0005-0000-0000-0000622E0000}"/>
    <cellStyle name="Normal 2 3 2 2 7" xfId="8865" xr:uid="{00000000-0005-0000-0000-0000632E0000}"/>
    <cellStyle name="Normal 2 3 2 2 7 2" xfId="9121" xr:uid="{00000000-0005-0000-0000-0000642E0000}"/>
    <cellStyle name="Normal 2 3 2 2 7 2 2" xfId="9689" xr:uid="{00000000-0005-0000-0000-0000652E0000}"/>
    <cellStyle name="Normal 2 3 2 2 7 2 2 2" xfId="10743" xr:uid="{00000000-0005-0000-0000-0000662E0000}"/>
    <cellStyle name="Normal 2 3 2 2 7 2 2 2 2" xfId="14337" xr:uid="{00000000-0005-0000-0000-0000672E0000}"/>
    <cellStyle name="Normal 2 3 2 2 7 2 2 2 3" xfId="15422" xr:uid="{00000000-0005-0000-0000-0000682E0000}"/>
    <cellStyle name="Normal 2 3 2 2 7 2 2 3" xfId="13284" xr:uid="{00000000-0005-0000-0000-0000692E0000}"/>
    <cellStyle name="Normal 2 3 2 2 7 2 2 4" xfId="15421" xr:uid="{00000000-0005-0000-0000-00006A2E0000}"/>
    <cellStyle name="Normal 2 3 2 2 7 2 3" xfId="10205" xr:uid="{00000000-0005-0000-0000-00006B2E0000}"/>
    <cellStyle name="Normal 2 3 2 2 7 2 3 2" xfId="13799" xr:uid="{00000000-0005-0000-0000-00006C2E0000}"/>
    <cellStyle name="Normal 2 3 2 2 7 2 3 3" xfId="15423" xr:uid="{00000000-0005-0000-0000-00006D2E0000}"/>
    <cellStyle name="Normal 2 3 2 2 7 2 4" xfId="10941" xr:uid="{00000000-0005-0000-0000-00006E2E0000}"/>
    <cellStyle name="Normal 2 3 2 2 7 2 4 2" xfId="14534" xr:uid="{00000000-0005-0000-0000-00006F2E0000}"/>
    <cellStyle name="Normal 2 3 2 2 7 2 4 3" xfId="15424" xr:uid="{00000000-0005-0000-0000-0000702E0000}"/>
    <cellStyle name="Normal 2 3 2 2 7 2 5" xfId="12746" xr:uid="{00000000-0005-0000-0000-0000712E0000}"/>
    <cellStyle name="Normal 2 3 2 2 7 2 6" xfId="15420" xr:uid="{00000000-0005-0000-0000-0000722E0000}"/>
    <cellStyle name="Normal 2 3 2 2 7 3" xfId="9433" xr:uid="{00000000-0005-0000-0000-0000732E0000}"/>
    <cellStyle name="Normal 2 3 2 2 7 3 2" xfId="10487" xr:uid="{00000000-0005-0000-0000-0000742E0000}"/>
    <cellStyle name="Normal 2 3 2 2 7 3 2 2" xfId="14081" xr:uid="{00000000-0005-0000-0000-0000752E0000}"/>
    <cellStyle name="Normal 2 3 2 2 7 3 2 3" xfId="15426" xr:uid="{00000000-0005-0000-0000-0000762E0000}"/>
    <cellStyle name="Normal 2 3 2 2 7 3 3" xfId="13028" xr:uid="{00000000-0005-0000-0000-0000772E0000}"/>
    <cellStyle name="Normal 2 3 2 2 7 3 4" xfId="15425" xr:uid="{00000000-0005-0000-0000-0000782E0000}"/>
    <cellStyle name="Normal 2 3 2 2 7 4" xfId="9949" xr:uid="{00000000-0005-0000-0000-0000792E0000}"/>
    <cellStyle name="Normal 2 3 2 2 7 4 2" xfId="13543" xr:uid="{00000000-0005-0000-0000-00007A2E0000}"/>
    <cellStyle name="Normal 2 3 2 2 7 4 3" xfId="15427" xr:uid="{00000000-0005-0000-0000-00007B2E0000}"/>
    <cellStyle name="Normal 2 3 2 2 7 5" xfId="10940" xr:uid="{00000000-0005-0000-0000-00007C2E0000}"/>
    <cellStyle name="Normal 2 3 2 2 7 5 2" xfId="14533" xr:uid="{00000000-0005-0000-0000-00007D2E0000}"/>
    <cellStyle name="Normal 2 3 2 2 7 5 3" xfId="15428" xr:uid="{00000000-0005-0000-0000-00007E2E0000}"/>
    <cellStyle name="Normal 2 3 2 2 7 6" xfId="12490" xr:uid="{00000000-0005-0000-0000-00007F2E0000}"/>
    <cellStyle name="Normal 2 3 2 2 7 7" xfId="15419" xr:uid="{00000000-0005-0000-0000-0000802E0000}"/>
    <cellStyle name="Normal 2 3 2 2 8" xfId="8993" xr:uid="{00000000-0005-0000-0000-0000812E0000}"/>
    <cellStyle name="Normal 2 3 2 2 8 2" xfId="9561" xr:uid="{00000000-0005-0000-0000-0000822E0000}"/>
    <cellStyle name="Normal 2 3 2 2 8 2 2" xfId="10615" xr:uid="{00000000-0005-0000-0000-0000832E0000}"/>
    <cellStyle name="Normal 2 3 2 2 8 2 2 2" xfId="14209" xr:uid="{00000000-0005-0000-0000-0000842E0000}"/>
    <cellStyle name="Normal 2 3 2 2 8 2 2 3" xfId="15431" xr:uid="{00000000-0005-0000-0000-0000852E0000}"/>
    <cellStyle name="Normal 2 3 2 2 8 2 3" xfId="13156" xr:uid="{00000000-0005-0000-0000-0000862E0000}"/>
    <cellStyle name="Normal 2 3 2 2 8 2 4" xfId="15430" xr:uid="{00000000-0005-0000-0000-0000872E0000}"/>
    <cellStyle name="Normal 2 3 2 2 8 3" xfId="10077" xr:uid="{00000000-0005-0000-0000-0000882E0000}"/>
    <cellStyle name="Normal 2 3 2 2 8 3 2" xfId="13671" xr:uid="{00000000-0005-0000-0000-0000892E0000}"/>
    <cellStyle name="Normal 2 3 2 2 8 3 3" xfId="15432" xr:uid="{00000000-0005-0000-0000-00008A2E0000}"/>
    <cellStyle name="Normal 2 3 2 2 8 4" xfId="10942" xr:uid="{00000000-0005-0000-0000-00008B2E0000}"/>
    <cellStyle name="Normal 2 3 2 2 8 4 2" xfId="14535" xr:uid="{00000000-0005-0000-0000-00008C2E0000}"/>
    <cellStyle name="Normal 2 3 2 2 8 4 3" xfId="15433" xr:uid="{00000000-0005-0000-0000-00008D2E0000}"/>
    <cellStyle name="Normal 2 3 2 2 8 5" xfId="12618" xr:uid="{00000000-0005-0000-0000-00008E2E0000}"/>
    <cellStyle name="Normal 2 3 2 2 8 6" xfId="15429" xr:uid="{00000000-0005-0000-0000-00008F2E0000}"/>
    <cellStyle name="Normal 2 3 2 2 9" xfId="9305" xr:uid="{00000000-0005-0000-0000-0000902E0000}"/>
    <cellStyle name="Normal 2 3 2 2 9 2" xfId="10359" xr:uid="{00000000-0005-0000-0000-0000912E0000}"/>
    <cellStyle name="Normal 2 3 2 2 9 2 2" xfId="13953" xr:uid="{00000000-0005-0000-0000-0000922E0000}"/>
    <cellStyle name="Normal 2 3 2 2 9 2 3" xfId="15435" xr:uid="{00000000-0005-0000-0000-0000932E0000}"/>
    <cellStyle name="Normal 2 3 2 2 9 3" xfId="12900" xr:uid="{00000000-0005-0000-0000-0000942E0000}"/>
    <cellStyle name="Normal 2 3 2 2 9 4" xfId="15434" xr:uid="{00000000-0005-0000-0000-0000952E0000}"/>
    <cellStyle name="Normal 2 3 2 3" xfId="1501" xr:uid="{00000000-0005-0000-0000-0000962E0000}"/>
    <cellStyle name="Normal 2 3 2 3 10" xfId="10943" xr:uid="{00000000-0005-0000-0000-0000972E0000}"/>
    <cellStyle name="Normal 2 3 2 3 10 2" xfId="14536" xr:uid="{00000000-0005-0000-0000-0000982E0000}"/>
    <cellStyle name="Normal 2 3 2 3 10 2 2" xfId="26338" xr:uid="{00000000-0005-0000-0000-0000992E0000}"/>
    <cellStyle name="Normal 2 3 2 3 10 3" xfId="26337" xr:uid="{00000000-0005-0000-0000-00009A2E0000}"/>
    <cellStyle name="Normal 2 3 2 3 10 4" xfId="15437" xr:uid="{00000000-0005-0000-0000-00009B2E0000}"/>
    <cellStyle name="Normal 2 3 2 3 11" xfId="12341" xr:uid="{00000000-0005-0000-0000-00009C2E0000}"/>
    <cellStyle name="Normal 2 3 2 3 11 2" xfId="26340" xr:uid="{00000000-0005-0000-0000-00009D2E0000}"/>
    <cellStyle name="Normal 2 3 2 3 11 3" xfId="26339" xr:uid="{00000000-0005-0000-0000-00009E2E0000}"/>
    <cellStyle name="Normal 2 3 2 3 12" xfId="26341" xr:uid="{00000000-0005-0000-0000-00009F2E0000}"/>
    <cellStyle name="Normal 2 3 2 3 13" xfId="26342" xr:uid="{00000000-0005-0000-0000-0000A02E0000}"/>
    <cellStyle name="Normal 2 3 2 3 14" xfId="26336" xr:uid="{00000000-0005-0000-0000-0000A12E0000}"/>
    <cellStyle name="Normal 2 3 2 3 15" xfId="15436" xr:uid="{00000000-0005-0000-0000-0000A22E0000}"/>
    <cellStyle name="Normal 2 3 2 3 2" xfId="1502" xr:uid="{00000000-0005-0000-0000-0000A32E0000}"/>
    <cellStyle name="Normal 2 3 2 3 2 10" xfId="12342" xr:uid="{00000000-0005-0000-0000-0000A42E0000}"/>
    <cellStyle name="Normal 2 3 2 3 2 10 2" xfId="26344" xr:uid="{00000000-0005-0000-0000-0000A52E0000}"/>
    <cellStyle name="Normal 2 3 2 3 2 11" xfId="26345" xr:uid="{00000000-0005-0000-0000-0000A62E0000}"/>
    <cellStyle name="Normal 2 3 2 3 2 12" xfId="26343" xr:uid="{00000000-0005-0000-0000-0000A72E0000}"/>
    <cellStyle name="Normal 2 3 2 3 2 13" xfId="15438" xr:uid="{00000000-0005-0000-0000-0000A82E0000}"/>
    <cellStyle name="Normal 2 3 2 3 2 2" xfId="8793" xr:uid="{00000000-0005-0000-0000-0000A92E0000}"/>
    <cellStyle name="Normal 2 3 2 3 2 2 2" xfId="8921" xr:uid="{00000000-0005-0000-0000-0000AA2E0000}"/>
    <cellStyle name="Normal 2 3 2 3 2 2 2 2" xfId="9177" xr:uid="{00000000-0005-0000-0000-0000AB2E0000}"/>
    <cellStyle name="Normal 2 3 2 3 2 2 2 2 2" xfId="9745" xr:uid="{00000000-0005-0000-0000-0000AC2E0000}"/>
    <cellStyle name="Normal 2 3 2 3 2 2 2 2 2 2" xfId="10799" xr:uid="{00000000-0005-0000-0000-0000AD2E0000}"/>
    <cellStyle name="Normal 2 3 2 3 2 2 2 2 2 2 2" xfId="14393" xr:uid="{00000000-0005-0000-0000-0000AE2E0000}"/>
    <cellStyle name="Normal 2 3 2 3 2 2 2 2 2 2 3" xfId="15443" xr:uid="{00000000-0005-0000-0000-0000AF2E0000}"/>
    <cellStyle name="Normal 2 3 2 3 2 2 2 2 2 3" xfId="13340" xr:uid="{00000000-0005-0000-0000-0000B02E0000}"/>
    <cellStyle name="Normal 2 3 2 3 2 2 2 2 2 4" xfId="15442" xr:uid="{00000000-0005-0000-0000-0000B12E0000}"/>
    <cellStyle name="Normal 2 3 2 3 2 2 2 2 3" xfId="10261" xr:uid="{00000000-0005-0000-0000-0000B22E0000}"/>
    <cellStyle name="Normal 2 3 2 3 2 2 2 2 3 2" xfId="13855" xr:uid="{00000000-0005-0000-0000-0000B32E0000}"/>
    <cellStyle name="Normal 2 3 2 3 2 2 2 2 3 3" xfId="15444" xr:uid="{00000000-0005-0000-0000-0000B42E0000}"/>
    <cellStyle name="Normal 2 3 2 3 2 2 2 2 4" xfId="10947" xr:uid="{00000000-0005-0000-0000-0000B52E0000}"/>
    <cellStyle name="Normal 2 3 2 3 2 2 2 2 4 2" xfId="14540" xr:uid="{00000000-0005-0000-0000-0000B62E0000}"/>
    <cellStyle name="Normal 2 3 2 3 2 2 2 2 4 3" xfId="15445" xr:uid="{00000000-0005-0000-0000-0000B72E0000}"/>
    <cellStyle name="Normal 2 3 2 3 2 2 2 2 5" xfId="12802" xr:uid="{00000000-0005-0000-0000-0000B82E0000}"/>
    <cellStyle name="Normal 2 3 2 3 2 2 2 2 5 2" xfId="26348" xr:uid="{00000000-0005-0000-0000-0000B92E0000}"/>
    <cellStyle name="Normal 2 3 2 3 2 2 2 2 6" xfId="15441" xr:uid="{00000000-0005-0000-0000-0000BA2E0000}"/>
    <cellStyle name="Normal 2 3 2 3 2 2 2 3" xfId="9489" xr:uid="{00000000-0005-0000-0000-0000BB2E0000}"/>
    <cellStyle name="Normal 2 3 2 3 2 2 2 3 2" xfId="10543" xr:uid="{00000000-0005-0000-0000-0000BC2E0000}"/>
    <cellStyle name="Normal 2 3 2 3 2 2 2 3 2 2" xfId="14137" xr:uid="{00000000-0005-0000-0000-0000BD2E0000}"/>
    <cellStyle name="Normal 2 3 2 3 2 2 2 3 2 3" xfId="15447" xr:uid="{00000000-0005-0000-0000-0000BE2E0000}"/>
    <cellStyle name="Normal 2 3 2 3 2 2 2 3 3" xfId="13084" xr:uid="{00000000-0005-0000-0000-0000BF2E0000}"/>
    <cellStyle name="Normal 2 3 2 3 2 2 2 3 4" xfId="15446" xr:uid="{00000000-0005-0000-0000-0000C02E0000}"/>
    <cellStyle name="Normal 2 3 2 3 2 2 2 4" xfId="10005" xr:uid="{00000000-0005-0000-0000-0000C12E0000}"/>
    <cellStyle name="Normal 2 3 2 3 2 2 2 4 2" xfId="13599" xr:uid="{00000000-0005-0000-0000-0000C22E0000}"/>
    <cellStyle name="Normal 2 3 2 3 2 2 2 4 3" xfId="15448" xr:uid="{00000000-0005-0000-0000-0000C32E0000}"/>
    <cellStyle name="Normal 2 3 2 3 2 2 2 5" xfId="10946" xr:uid="{00000000-0005-0000-0000-0000C42E0000}"/>
    <cellStyle name="Normal 2 3 2 3 2 2 2 5 2" xfId="14539" xr:uid="{00000000-0005-0000-0000-0000C52E0000}"/>
    <cellStyle name="Normal 2 3 2 3 2 2 2 5 3" xfId="15449" xr:uid="{00000000-0005-0000-0000-0000C62E0000}"/>
    <cellStyle name="Normal 2 3 2 3 2 2 2 6" xfId="12546" xr:uid="{00000000-0005-0000-0000-0000C72E0000}"/>
    <cellStyle name="Normal 2 3 2 3 2 2 2 6 2" xfId="26347" xr:uid="{00000000-0005-0000-0000-0000C82E0000}"/>
    <cellStyle name="Normal 2 3 2 3 2 2 2 7" xfId="15440" xr:uid="{00000000-0005-0000-0000-0000C92E0000}"/>
    <cellStyle name="Normal 2 3 2 3 2 2 3" xfId="9049" xr:uid="{00000000-0005-0000-0000-0000CA2E0000}"/>
    <cellStyle name="Normal 2 3 2 3 2 2 3 2" xfId="9617" xr:uid="{00000000-0005-0000-0000-0000CB2E0000}"/>
    <cellStyle name="Normal 2 3 2 3 2 2 3 2 2" xfId="10671" xr:uid="{00000000-0005-0000-0000-0000CC2E0000}"/>
    <cellStyle name="Normal 2 3 2 3 2 2 3 2 2 2" xfId="14265" xr:uid="{00000000-0005-0000-0000-0000CD2E0000}"/>
    <cellStyle name="Normal 2 3 2 3 2 2 3 2 2 3" xfId="15452" xr:uid="{00000000-0005-0000-0000-0000CE2E0000}"/>
    <cellStyle name="Normal 2 3 2 3 2 2 3 2 3" xfId="13212" xr:uid="{00000000-0005-0000-0000-0000CF2E0000}"/>
    <cellStyle name="Normal 2 3 2 3 2 2 3 2 3 2" xfId="26350" xr:uid="{00000000-0005-0000-0000-0000D02E0000}"/>
    <cellStyle name="Normal 2 3 2 3 2 2 3 2 4" xfId="15451" xr:uid="{00000000-0005-0000-0000-0000D12E0000}"/>
    <cellStyle name="Normal 2 3 2 3 2 2 3 3" xfId="10133" xr:uid="{00000000-0005-0000-0000-0000D22E0000}"/>
    <cellStyle name="Normal 2 3 2 3 2 2 3 3 2" xfId="13727" xr:uid="{00000000-0005-0000-0000-0000D32E0000}"/>
    <cellStyle name="Normal 2 3 2 3 2 2 3 3 3" xfId="15453" xr:uid="{00000000-0005-0000-0000-0000D42E0000}"/>
    <cellStyle name="Normal 2 3 2 3 2 2 3 4" xfId="10948" xr:uid="{00000000-0005-0000-0000-0000D52E0000}"/>
    <cellStyle name="Normal 2 3 2 3 2 2 3 4 2" xfId="14541" xr:uid="{00000000-0005-0000-0000-0000D62E0000}"/>
    <cellStyle name="Normal 2 3 2 3 2 2 3 4 3" xfId="15454" xr:uid="{00000000-0005-0000-0000-0000D72E0000}"/>
    <cellStyle name="Normal 2 3 2 3 2 2 3 5" xfId="12674" xr:uid="{00000000-0005-0000-0000-0000D82E0000}"/>
    <cellStyle name="Normal 2 3 2 3 2 2 3 5 2" xfId="26349" xr:uid="{00000000-0005-0000-0000-0000D92E0000}"/>
    <cellStyle name="Normal 2 3 2 3 2 2 3 6" xfId="15450" xr:uid="{00000000-0005-0000-0000-0000DA2E0000}"/>
    <cellStyle name="Normal 2 3 2 3 2 2 4" xfId="9361" xr:uid="{00000000-0005-0000-0000-0000DB2E0000}"/>
    <cellStyle name="Normal 2 3 2 3 2 2 4 2" xfId="10415" xr:uid="{00000000-0005-0000-0000-0000DC2E0000}"/>
    <cellStyle name="Normal 2 3 2 3 2 2 4 2 2" xfId="14009" xr:uid="{00000000-0005-0000-0000-0000DD2E0000}"/>
    <cellStyle name="Normal 2 3 2 3 2 2 4 2 2 2" xfId="26352" xr:uid="{00000000-0005-0000-0000-0000DE2E0000}"/>
    <cellStyle name="Normal 2 3 2 3 2 2 4 2 3" xfId="15456" xr:uid="{00000000-0005-0000-0000-0000DF2E0000}"/>
    <cellStyle name="Normal 2 3 2 3 2 2 4 3" xfId="12956" xr:uid="{00000000-0005-0000-0000-0000E02E0000}"/>
    <cellStyle name="Normal 2 3 2 3 2 2 4 3 2" xfId="26351" xr:uid="{00000000-0005-0000-0000-0000E12E0000}"/>
    <cellStyle name="Normal 2 3 2 3 2 2 4 4" xfId="15455" xr:uid="{00000000-0005-0000-0000-0000E22E0000}"/>
    <cellStyle name="Normal 2 3 2 3 2 2 5" xfId="9877" xr:uid="{00000000-0005-0000-0000-0000E32E0000}"/>
    <cellStyle name="Normal 2 3 2 3 2 2 5 2" xfId="13471" xr:uid="{00000000-0005-0000-0000-0000E42E0000}"/>
    <cellStyle name="Normal 2 3 2 3 2 2 5 2 2" xfId="26353" xr:uid="{00000000-0005-0000-0000-0000E52E0000}"/>
    <cellStyle name="Normal 2 3 2 3 2 2 5 3" xfId="15457" xr:uid="{00000000-0005-0000-0000-0000E62E0000}"/>
    <cellStyle name="Normal 2 3 2 3 2 2 6" xfId="10945" xr:uid="{00000000-0005-0000-0000-0000E72E0000}"/>
    <cellStyle name="Normal 2 3 2 3 2 2 6 2" xfId="14538" xr:uid="{00000000-0005-0000-0000-0000E82E0000}"/>
    <cellStyle name="Normal 2 3 2 3 2 2 6 2 2" xfId="26354" xr:uid="{00000000-0005-0000-0000-0000E92E0000}"/>
    <cellStyle name="Normal 2 3 2 3 2 2 6 3" xfId="15458" xr:uid="{00000000-0005-0000-0000-0000EA2E0000}"/>
    <cellStyle name="Normal 2 3 2 3 2 2 7" xfId="12418" xr:uid="{00000000-0005-0000-0000-0000EB2E0000}"/>
    <cellStyle name="Normal 2 3 2 3 2 2 7 2" xfId="26346" xr:uid="{00000000-0005-0000-0000-0000EC2E0000}"/>
    <cellStyle name="Normal 2 3 2 3 2 2 8" xfId="15439" xr:uid="{00000000-0005-0000-0000-0000ED2E0000}"/>
    <cellStyle name="Normal 2 3 2 3 2 3" xfId="8825" xr:uid="{00000000-0005-0000-0000-0000EE2E0000}"/>
    <cellStyle name="Normal 2 3 2 3 2 3 2" xfId="8953" xr:uid="{00000000-0005-0000-0000-0000EF2E0000}"/>
    <cellStyle name="Normal 2 3 2 3 2 3 2 2" xfId="9209" xr:uid="{00000000-0005-0000-0000-0000F02E0000}"/>
    <cellStyle name="Normal 2 3 2 3 2 3 2 2 2" xfId="9777" xr:uid="{00000000-0005-0000-0000-0000F12E0000}"/>
    <cellStyle name="Normal 2 3 2 3 2 3 2 2 2 2" xfId="10831" xr:uid="{00000000-0005-0000-0000-0000F22E0000}"/>
    <cellStyle name="Normal 2 3 2 3 2 3 2 2 2 2 2" xfId="14425" xr:uid="{00000000-0005-0000-0000-0000F32E0000}"/>
    <cellStyle name="Normal 2 3 2 3 2 3 2 2 2 2 3" xfId="15463" xr:uid="{00000000-0005-0000-0000-0000F42E0000}"/>
    <cellStyle name="Normal 2 3 2 3 2 3 2 2 2 3" xfId="13372" xr:uid="{00000000-0005-0000-0000-0000F52E0000}"/>
    <cellStyle name="Normal 2 3 2 3 2 3 2 2 2 4" xfId="15462" xr:uid="{00000000-0005-0000-0000-0000F62E0000}"/>
    <cellStyle name="Normal 2 3 2 3 2 3 2 2 3" xfId="10293" xr:uid="{00000000-0005-0000-0000-0000F72E0000}"/>
    <cellStyle name="Normal 2 3 2 3 2 3 2 2 3 2" xfId="13887" xr:uid="{00000000-0005-0000-0000-0000F82E0000}"/>
    <cellStyle name="Normal 2 3 2 3 2 3 2 2 3 3" xfId="15464" xr:uid="{00000000-0005-0000-0000-0000F92E0000}"/>
    <cellStyle name="Normal 2 3 2 3 2 3 2 2 4" xfId="10951" xr:uid="{00000000-0005-0000-0000-0000FA2E0000}"/>
    <cellStyle name="Normal 2 3 2 3 2 3 2 2 4 2" xfId="14544" xr:uid="{00000000-0005-0000-0000-0000FB2E0000}"/>
    <cellStyle name="Normal 2 3 2 3 2 3 2 2 4 3" xfId="15465" xr:uid="{00000000-0005-0000-0000-0000FC2E0000}"/>
    <cellStyle name="Normal 2 3 2 3 2 3 2 2 5" xfId="12834" xr:uid="{00000000-0005-0000-0000-0000FD2E0000}"/>
    <cellStyle name="Normal 2 3 2 3 2 3 2 2 5 2" xfId="26357" xr:uid="{00000000-0005-0000-0000-0000FE2E0000}"/>
    <cellStyle name="Normal 2 3 2 3 2 3 2 2 6" xfId="15461" xr:uid="{00000000-0005-0000-0000-0000FF2E0000}"/>
    <cellStyle name="Normal 2 3 2 3 2 3 2 3" xfId="9521" xr:uid="{00000000-0005-0000-0000-0000002F0000}"/>
    <cellStyle name="Normal 2 3 2 3 2 3 2 3 2" xfId="10575" xr:uid="{00000000-0005-0000-0000-0000012F0000}"/>
    <cellStyle name="Normal 2 3 2 3 2 3 2 3 2 2" xfId="14169" xr:uid="{00000000-0005-0000-0000-0000022F0000}"/>
    <cellStyle name="Normal 2 3 2 3 2 3 2 3 2 3" xfId="15467" xr:uid="{00000000-0005-0000-0000-0000032F0000}"/>
    <cellStyle name="Normal 2 3 2 3 2 3 2 3 3" xfId="13116" xr:uid="{00000000-0005-0000-0000-0000042F0000}"/>
    <cellStyle name="Normal 2 3 2 3 2 3 2 3 4" xfId="15466" xr:uid="{00000000-0005-0000-0000-0000052F0000}"/>
    <cellStyle name="Normal 2 3 2 3 2 3 2 4" xfId="10037" xr:uid="{00000000-0005-0000-0000-0000062F0000}"/>
    <cellStyle name="Normal 2 3 2 3 2 3 2 4 2" xfId="13631" xr:uid="{00000000-0005-0000-0000-0000072F0000}"/>
    <cellStyle name="Normal 2 3 2 3 2 3 2 4 3" xfId="15468" xr:uid="{00000000-0005-0000-0000-0000082F0000}"/>
    <cellStyle name="Normal 2 3 2 3 2 3 2 5" xfId="10950" xr:uid="{00000000-0005-0000-0000-0000092F0000}"/>
    <cellStyle name="Normal 2 3 2 3 2 3 2 5 2" xfId="14543" xr:uid="{00000000-0005-0000-0000-00000A2F0000}"/>
    <cellStyle name="Normal 2 3 2 3 2 3 2 5 3" xfId="15469" xr:uid="{00000000-0005-0000-0000-00000B2F0000}"/>
    <cellStyle name="Normal 2 3 2 3 2 3 2 6" xfId="12578" xr:uid="{00000000-0005-0000-0000-00000C2F0000}"/>
    <cellStyle name="Normal 2 3 2 3 2 3 2 6 2" xfId="26356" xr:uid="{00000000-0005-0000-0000-00000D2F0000}"/>
    <cellStyle name="Normal 2 3 2 3 2 3 2 7" xfId="15460" xr:uid="{00000000-0005-0000-0000-00000E2F0000}"/>
    <cellStyle name="Normal 2 3 2 3 2 3 3" xfId="9081" xr:uid="{00000000-0005-0000-0000-00000F2F0000}"/>
    <cellStyle name="Normal 2 3 2 3 2 3 3 2" xfId="9649" xr:uid="{00000000-0005-0000-0000-0000102F0000}"/>
    <cellStyle name="Normal 2 3 2 3 2 3 3 2 2" xfId="10703" xr:uid="{00000000-0005-0000-0000-0000112F0000}"/>
    <cellStyle name="Normal 2 3 2 3 2 3 3 2 2 2" xfId="14297" xr:uid="{00000000-0005-0000-0000-0000122F0000}"/>
    <cellStyle name="Normal 2 3 2 3 2 3 3 2 2 3" xfId="15472" xr:uid="{00000000-0005-0000-0000-0000132F0000}"/>
    <cellStyle name="Normal 2 3 2 3 2 3 3 2 3" xfId="13244" xr:uid="{00000000-0005-0000-0000-0000142F0000}"/>
    <cellStyle name="Normal 2 3 2 3 2 3 3 2 3 2" xfId="26359" xr:uid="{00000000-0005-0000-0000-0000152F0000}"/>
    <cellStyle name="Normal 2 3 2 3 2 3 3 2 4" xfId="15471" xr:uid="{00000000-0005-0000-0000-0000162F0000}"/>
    <cellStyle name="Normal 2 3 2 3 2 3 3 3" xfId="10165" xr:uid="{00000000-0005-0000-0000-0000172F0000}"/>
    <cellStyle name="Normal 2 3 2 3 2 3 3 3 2" xfId="13759" xr:uid="{00000000-0005-0000-0000-0000182F0000}"/>
    <cellStyle name="Normal 2 3 2 3 2 3 3 3 3" xfId="15473" xr:uid="{00000000-0005-0000-0000-0000192F0000}"/>
    <cellStyle name="Normal 2 3 2 3 2 3 3 4" xfId="10952" xr:uid="{00000000-0005-0000-0000-00001A2F0000}"/>
    <cellStyle name="Normal 2 3 2 3 2 3 3 4 2" xfId="14545" xr:uid="{00000000-0005-0000-0000-00001B2F0000}"/>
    <cellStyle name="Normal 2 3 2 3 2 3 3 4 3" xfId="15474" xr:uid="{00000000-0005-0000-0000-00001C2F0000}"/>
    <cellStyle name="Normal 2 3 2 3 2 3 3 5" xfId="12706" xr:uid="{00000000-0005-0000-0000-00001D2F0000}"/>
    <cellStyle name="Normal 2 3 2 3 2 3 3 5 2" xfId="26358" xr:uid="{00000000-0005-0000-0000-00001E2F0000}"/>
    <cellStyle name="Normal 2 3 2 3 2 3 3 6" xfId="15470" xr:uid="{00000000-0005-0000-0000-00001F2F0000}"/>
    <cellStyle name="Normal 2 3 2 3 2 3 4" xfId="9393" xr:uid="{00000000-0005-0000-0000-0000202F0000}"/>
    <cellStyle name="Normal 2 3 2 3 2 3 4 2" xfId="10447" xr:uid="{00000000-0005-0000-0000-0000212F0000}"/>
    <cellStyle name="Normal 2 3 2 3 2 3 4 2 2" xfId="14041" xr:uid="{00000000-0005-0000-0000-0000222F0000}"/>
    <cellStyle name="Normal 2 3 2 3 2 3 4 2 2 2" xfId="26361" xr:uid="{00000000-0005-0000-0000-0000232F0000}"/>
    <cellStyle name="Normal 2 3 2 3 2 3 4 2 3" xfId="15476" xr:uid="{00000000-0005-0000-0000-0000242F0000}"/>
    <cellStyle name="Normal 2 3 2 3 2 3 4 3" xfId="12988" xr:uid="{00000000-0005-0000-0000-0000252F0000}"/>
    <cellStyle name="Normal 2 3 2 3 2 3 4 3 2" xfId="26360" xr:uid="{00000000-0005-0000-0000-0000262F0000}"/>
    <cellStyle name="Normal 2 3 2 3 2 3 4 4" xfId="15475" xr:uid="{00000000-0005-0000-0000-0000272F0000}"/>
    <cellStyle name="Normal 2 3 2 3 2 3 5" xfId="9909" xr:uid="{00000000-0005-0000-0000-0000282F0000}"/>
    <cellStyle name="Normal 2 3 2 3 2 3 5 2" xfId="13503" xr:uid="{00000000-0005-0000-0000-0000292F0000}"/>
    <cellStyle name="Normal 2 3 2 3 2 3 5 2 2" xfId="26362" xr:uid="{00000000-0005-0000-0000-00002A2F0000}"/>
    <cellStyle name="Normal 2 3 2 3 2 3 5 3" xfId="15477" xr:uid="{00000000-0005-0000-0000-00002B2F0000}"/>
    <cellStyle name="Normal 2 3 2 3 2 3 6" xfId="10949" xr:uid="{00000000-0005-0000-0000-00002C2F0000}"/>
    <cellStyle name="Normal 2 3 2 3 2 3 6 2" xfId="14542" xr:uid="{00000000-0005-0000-0000-00002D2F0000}"/>
    <cellStyle name="Normal 2 3 2 3 2 3 6 2 2" xfId="26363" xr:uid="{00000000-0005-0000-0000-00002E2F0000}"/>
    <cellStyle name="Normal 2 3 2 3 2 3 6 3" xfId="15478" xr:uid="{00000000-0005-0000-0000-00002F2F0000}"/>
    <cellStyle name="Normal 2 3 2 3 2 3 7" xfId="12450" xr:uid="{00000000-0005-0000-0000-0000302F0000}"/>
    <cellStyle name="Normal 2 3 2 3 2 3 7 2" xfId="26355" xr:uid="{00000000-0005-0000-0000-0000312F0000}"/>
    <cellStyle name="Normal 2 3 2 3 2 3 8" xfId="15459" xr:uid="{00000000-0005-0000-0000-0000322F0000}"/>
    <cellStyle name="Normal 2 3 2 3 2 4" xfId="8857" xr:uid="{00000000-0005-0000-0000-0000332F0000}"/>
    <cellStyle name="Normal 2 3 2 3 2 4 2" xfId="8985" xr:uid="{00000000-0005-0000-0000-0000342F0000}"/>
    <cellStyle name="Normal 2 3 2 3 2 4 2 2" xfId="9241" xr:uid="{00000000-0005-0000-0000-0000352F0000}"/>
    <cellStyle name="Normal 2 3 2 3 2 4 2 2 2" xfId="9809" xr:uid="{00000000-0005-0000-0000-0000362F0000}"/>
    <cellStyle name="Normal 2 3 2 3 2 4 2 2 2 2" xfId="10863" xr:uid="{00000000-0005-0000-0000-0000372F0000}"/>
    <cellStyle name="Normal 2 3 2 3 2 4 2 2 2 2 2" xfId="14457" xr:uid="{00000000-0005-0000-0000-0000382F0000}"/>
    <cellStyle name="Normal 2 3 2 3 2 4 2 2 2 2 3" xfId="15483" xr:uid="{00000000-0005-0000-0000-0000392F0000}"/>
    <cellStyle name="Normal 2 3 2 3 2 4 2 2 2 3" xfId="13404" xr:uid="{00000000-0005-0000-0000-00003A2F0000}"/>
    <cellStyle name="Normal 2 3 2 3 2 4 2 2 2 4" xfId="15482" xr:uid="{00000000-0005-0000-0000-00003B2F0000}"/>
    <cellStyle name="Normal 2 3 2 3 2 4 2 2 3" xfId="10325" xr:uid="{00000000-0005-0000-0000-00003C2F0000}"/>
    <cellStyle name="Normal 2 3 2 3 2 4 2 2 3 2" xfId="13919" xr:uid="{00000000-0005-0000-0000-00003D2F0000}"/>
    <cellStyle name="Normal 2 3 2 3 2 4 2 2 3 3" xfId="15484" xr:uid="{00000000-0005-0000-0000-00003E2F0000}"/>
    <cellStyle name="Normal 2 3 2 3 2 4 2 2 4" xfId="10955" xr:uid="{00000000-0005-0000-0000-00003F2F0000}"/>
    <cellStyle name="Normal 2 3 2 3 2 4 2 2 4 2" xfId="14548" xr:uid="{00000000-0005-0000-0000-0000402F0000}"/>
    <cellStyle name="Normal 2 3 2 3 2 4 2 2 4 3" xfId="15485" xr:uid="{00000000-0005-0000-0000-0000412F0000}"/>
    <cellStyle name="Normal 2 3 2 3 2 4 2 2 5" xfId="12866" xr:uid="{00000000-0005-0000-0000-0000422F0000}"/>
    <cellStyle name="Normal 2 3 2 3 2 4 2 2 5 2" xfId="26366" xr:uid="{00000000-0005-0000-0000-0000432F0000}"/>
    <cellStyle name="Normal 2 3 2 3 2 4 2 2 6" xfId="15481" xr:uid="{00000000-0005-0000-0000-0000442F0000}"/>
    <cellStyle name="Normal 2 3 2 3 2 4 2 3" xfId="9553" xr:uid="{00000000-0005-0000-0000-0000452F0000}"/>
    <cellStyle name="Normal 2 3 2 3 2 4 2 3 2" xfId="10607" xr:uid="{00000000-0005-0000-0000-0000462F0000}"/>
    <cellStyle name="Normal 2 3 2 3 2 4 2 3 2 2" xfId="14201" xr:uid="{00000000-0005-0000-0000-0000472F0000}"/>
    <cellStyle name="Normal 2 3 2 3 2 4 2 3 2 3" xfId="15487" xr:uid="{00000000-0005-0000-0000-0000482F0000}"/>
    <cellStyle name="Normal 2 3 2 3 2 4 2 3 3" xfId="13148" xr:uid="{00000000-0005-0000-0000-0000492F0000}"/>
    <cellStyle name="Normal 2 3 2 3 2 4 2 3 4" xfId="15486" xr:uid="{00000000-0005-0000-0000-00004A2F0000}"/>
    <cellStyle name="Normal 2 3 2 3 2 4 2 4" xfId="10069" xr:uid="{00000000-0005-0000-0000-00004B2F0000}"/>
    <cellStyle name="Normal 2 3 2 3 2 4 2 4 2" xfId="13663" xr:uid="{00000000-0005-0000-0000-00004C2F0000}"/>
    <cellStyle name="Normal 2 3 2 3 2 4 2 4 3" xfId="15488" xr:uid="{00000000-0005-0000-0000-00004D2F0000}"/>
    <cellStyle name="Normal 2 3 2 3 2 4 2 5" xfId="10954" xr:uid="{00000000-0005-0000-0000-00004E2F0000}"/>
    <cellStyle name="Normal 2 3 2 3 2 4 2 5 2" xfId="14547" xr:uid="{00000000-0005-0000-0000-00004F2F0000}"/>
    <cellStyle name="Normal 2 3 2 3 2 4 2 5 3" xfId="15489" xr:uid="{00000000-0005-0000-0000-0000502F0000}"/>
    <cellStyle name="Normal 2 3 2 3 2 4 2 6" xfId="12610" xr:uid="{00000000-0005-0000-0000-0000512F0000}"/>
    <cellStyle name="Normal 2 3 2 3 2 4 2 6 2" xfId="26365" xr:uid="{00000000-0005-0000-0000-0000522F0000}"/>
    <cellStyle name="Normal 2 3 2 3 2 4 2 7" xfId="15480" xr:uid="{00000000-0005-0000-0000-0000532F0000}"/>
    <cellStyle name="Normal 2 3 2 3 2 4 3" xfId="9113" xr:uid="{00000000-0005-0000-0000-0000542F0000}"/>
    <cellStyle name="Normal 2 3 2 3 2 4 3 2" xfId="9681" xr:uid="{00000000-0005-0000-0000-0000552F0000}"/>
    <cellStyle name="Normal 2 3 2 3 2 4 3 2 2" xfId="10735" xr:uid="{00000000-0005-0000-0000-0000562F0000}"/>
    <cellStyle name="Normal 2 3 2 3 2 4 3 2 2 2" xfId="14329" xr:uid="{00000000-0005-0000-0000-0000572F0000}"/>
    <cellStyle name="Normal 2 3 2 3 2 4 3 2 2 3" xfId="15492" xr:uid="{00000000-0005-0000-0000-0000582F0000}"/>
    <cellStyle name="Normal 2 3 2 3 2 4 3 2 3" xfId="13276" xr:uid="{00000000-0005-0000-0000-0000592F0000}"/>
    <cellStyle name="Normal 2 3 2 3 2 4 3 2 3 2" xfId="26368" xr:uid="{00000000-0005-0000-0000-00005A2F0000}"/>
    <cellStyle name="Normal 2 3 2 3 2 4 3 2 4" xfId="15491" xr:uid="{00000000-0005-0000-0000-00005B2F0000}"/>
    <cellStyle name="Normal 2 3 2 3 2 4 3 3" xfId="10197" xr:uid="{00000000-0005-0000-0000-00005C2F0000}"/>
    <cellStyle name="Normal 2 3 2 3 2 4 3 3 2" xfId="13791" xr:uid="{00000000-0005-0000-0000-00005D2F0000}"/>
    <cellStyle name="Normal 2 3 2 3 2 4 3 3 3" xfId="15493" xr:uid="{00000000-0005-0000-0000-00005E2F0000}"/>
    <cellStyle name="Normal 2 3 2 3 2 4 3 4" xfId="10956" xr:uid="{00000000-0005-0000-0000-00005F2F0000}"/>
    <cellStyle name="Normal 2 3 2 3 2 4 3 4 2" xfId="14549" xr:uid="{00000000-0005-0000-0000-0000602F0000}"/>
    <cellStyle name="Normal 2 3 2 3 2 4 3 4 3" xfId="15494" xr:uid="{00000000-0005-0000-0000-0000612F0000}"/>
    <cellStyle name="Normal 2 3 2 3 2 4 3 5" xfId="12738" xr:uid="{00000000-0005-0000-0000-0000622F0000}"/>
    <cellStyle name="Normal 2 3 2 3 2 4 3 5 2" xfId="26367" xr:uid="{00000000-0005-0000-0000-0000632F0000}"/>
    <cellStyle name="Normal 2 3 2 3 2 4 3 6" xfId="15490" xr:uid="{00000000-0005-0000-0000-0000642F0000}"/>
    <cellStyle name="Normal 2 3 2 3 2 4 4" xfId="9425" xr:uid="{00000000-0005-0000-0000-0000652F0000}"/>
    <cellStyle name="Normal 2 3 2 3 2 4 4 2" xfId="10479" xr:uid="{00000000-0005-0000-0000-0000662F0000}"/>
    <cellStyle name="Normal 2 3 2 3 2 4 4 2 2" xfId="14073" xr:uid="{00000000-0005-0000-0000-0000672F0000}"/>
    <cellStyle name="Normal 2 3 2 3 2 4 4 2 2 2" xfId="26370" xr:uid="{00000000-0005-0000-0000-0000682F0000}"/>
    <cellStyle name="Normal 2 3 2 3 2 4 4 2 3" xfId="15496" xr:uid="{00000000-0005-0000-0000-0000692F0000}"/>
    <cellStyle name="Normal 2 3 2 3 2 4 4 3" xfId="13020" xr:uid="{00000000-0005-0000-0000-00006A2F0000}"/>
    <cellStyle name="Normal 2 3 2 3 2 4 4 3 2" xfId="26369" xr:uid="{00000000-0005-0000-0000-00006B2F0000}"/>
    <cellStyle name="Normal 2 3 2 3 2 4 4 4" xfId="15495" xr:uid="{00000000-0005-0000-0000-00006C2F0000}"/>
    <cellStyle name="Normal 2 3 2 3 2 4 5" xfId="9941" xr:uid="{00000000-0005-0000-0000-00006D2F0000}"/>
    <cellStyle name="Normal 2 3 2 3 2 4 5 2" xfId="13535" xr:uid="{00000000-0005-0000-0000-00006E2F0000}"/>
    <cellStyle name="Normal 2 3 2 3 2 4 5 2 2" xfId="26371" xr:uid="{00000000-0005-0000-0000-00006F2F0000}"/>
    <cellStyle name="Normal 2 3 2 3 2 4 5 3" xfId="15497" xr:uid="{00000000-0005-0000-0000-0000702F0000}"/>
    <cellStyle name="Normal 2 3 2 3 2 4 6" xfId="10953" xr:uid="{00000000-0005-0000-0000-0000712F0000}"/>
    <cellStyle name="Normal 2 3 2 3 2 4 6 2" xfId="14546" xr:uid="{00000000-0005-0000-0000-0000722F0000}"/>
    <cellStyle name="Normal 2 3 2 3 2 4 6 2 2" xfId="26372" xr:uid="{00000000-0005-0000-0000-0000732F0000}"/>
    <cellStyle name="Normal 2 3 2 3 2 4 6 3" xfId="15498" xr:uid="{00000000-0005-0000-0000-0000742F0000}"/>
    <cellStyle name="Normal 2 3 2 3 2 4 7" xfId="12482" xr:uid="{00000000-0005-0000-0000-0000752F0000}"/>
    <cellStyle name="Normal 2 3 2 3 2 4 7 2" xfId="26364" xr:uid="{00000000-0005-0000-0000-0000762F0000}"/>
    <cellStyle name="Normal 2 3 2 3 2 4 8" xfId="15479" xr:uid="{00000000-0005-0000-0000-0000772F0000}"/>
    <cellStyle name="Normal 2 3 2 3 2 5" xfId="8870" xr:uid="{00000000-0005-0000-0000-0000782F0000}"/>
    <cellStyle name="Normal 2 3 2 3 2 5 2" xfId="9126" xr:uid="{00000000-0005-0000-0000-0000792F0000}"/>
    <cellStyle name="Normal 2 3 2 3 2 5 2 2" xfId="9694" xr:uid="{00000000-0005-0000-0000-00007A2F0000}"/>
    <cellStyle name="Normal 2 3 2 3 2 5 2 2 2" xfId="10748" xr:uid="{00000000-0005-0000-0000-00007B2F0000}"/>
    <cellStyle name="Normal 2 3 2 3 2 5 2 2 2 2" xfId="14342" xr:uid="{00000000-0005-0000-0000-00007C2F0000}"/>
    <cellStyle name="Normal 2 3 2 3 2 5 2 2 2 3" xfId="15502" xr:uid="{00000000-0005-0000-0000-00007D2F0000}"/>
    <cellStyle name="Normal 2 3 2 3 2 5 2 2 3" xfId="13289" xr:uid="{00000000-0005-0000-0000-00007E2F0000}"/>
    <cellStyle name="Normal 2 3 2 3 2 5 2 2 3 2" xfId="26375" xr:uid="{00000000-0005-0000-0000-00007F2F0000}"/>
    <cellStyle name="Normal 2 3 2 3 2 5 2 2 4" xfId="15501" xr:uid="{00000000-0005-0000-0000-0000802F0000}"/>
    <cellStyle name="Normal 2 3 2 3 2 5 2 3" xfId="10210" xr:uid="{00000000-0005-0000-0000-0000812F0000}"/>
    <cellStyle name="Normal 2 3 2 3 2 5 2 3 2" xfId="13804" xr:uid="{00000000-0005-0000-0000-0000822F0000}"/>
    <cellStyle name="Normal 2 3 2 3 2 5 2 3 3" xfId="15503" xr:uid="{00000000-0005-0000-0000-0000832F0000}"/>
    <cellStyle name="Normal 2 3 2 3 2 5 2 4" xfId="10958" xr:uid="{00000000-0005-0000-0000-0000842F0000}"/>
    <cellStyle name="Normal 2 3 2 3 2 5 2 4 2" xfId="14551" xr:uid="{00000000-0005-0000-0000-0000852F0000}"/>
    <cellStyle name="Normal 2 3 2 3 2 5 2 4 3" xfId="15504" xr:uid="{00000000-0005-0000-0000-0000862F0000}"/>
    <cellStyle name="Normal 2 3 2 3 2 5 2 5" xfId="12751" xr:uid="{00000000-0005-0000-0000-0000872F0000}"/>
    <cellStyle name="Normal 2 3 2 3 2 5 2 5 2" xfId="26374" xr:uid="{00000000-0005-0000-0000-0000882F0000}"/>
    <cellStyle name="Normal 2 3 2 3 2 5 2 6" xfId="15500" xr:uid="{00000000-0005-0000-0000-0000892F0000}"/>
    <cellStyle name="Normal 2 3 2 3 2 5 3" xfId="9438" xr:uid="{00000000-0005-0000-0000-00008A2F0000}"/>
    <cellStyle name="Normal 2 3 2 3 2 5 3 2" xfId="10492" xr:uid="{00000000-0005-0000-0000-00008B2F0000}"/>
    <cellStyle name="Normal 2 3 2 3 2 5 3 2 2" xfId="14086" xr:uid="{00000000-0005-0000-0000-00008C2F0000}"/>
    <cellStyle name="Normal 2 3 2 3 2 5 3 2 2 2" xfId="26377" xr:uid="{00000000-0005-0000-0000-00008D2F0000}"/>
    <cellStyle name="Normal 2 3 2 3 2 5 3 2 3" xfId="15506" xr:uid="{00000000-0005-0000-0000-00008E2F0000}"/>
    <cellStyle name="Normal 2 3 2 3 2 5 3 3" xfId="13033" xr:uid="{00000000-0005-0000-0000-00008F2F0000}"/>
    <cellStyle name="Normal 2 3 2 3 2 5 3 3 2" xfId="26376" xr:uid="{00000000-0005-0000-0000-0000902F0000}"/>
    <cellStyle name="Normal 2 3 2 3 2 5 3 4" xfId="15505" xr:uid="{00000000-0005-0000-0000-0000912F0000}"/>
    <cellStyle name="Normal 2 3 2 3 2 5 4" xfId="9954" xr:uid="{00000000-0005-0000-0000-0000922F0000}"/>
    <cellStyle name="Normal 2 3 2 3 2 5 4 2" xfId="13548" xr:uid="{00000000-0005-0000-0000-0000932F0000}"/>
    <cellStyle name="Normal 2 3 2 3 2 5 4 2 2" xfId="26379" xr:uid="{00000000-0005-0000-0000-0000942F0000}"/>
    <cellStyle name="Normal 2 3 2 3 2 5 4 3" xfId="26378" xr:uid="{00000000-0005-0000-0000-0000952F0000}"/>
    <cellStyle name="Normal 2 3 2 3 2 5 4 4" xfId="15507" xr:uid="{00000000-0005-0000-0000-0000962F0000}"/>
    <cellStyle name="Normal 2 3 2 3 2 5 5" xfId="10957" xr:uid="{00000000-0005-0000-0000-0000972F0000}"/>
    <cellStyle name="Normal 2 3 2 3 2 5 5 2" xfId="14550" xr:uid="{00000000-0005-0000-0000-0000982F0000}"/>
    <cellStyle name="Normal 2 3 2 3 2 5 5 2 2" xfId="26380" xr:uid="{00000000-0005-0000-0000-0000992F0000}"/>
    <cellStyle name="Normal 2 3 2 3 2 5 5 3" xfId="15508" xr:uid="{00000000-0005-0000-0000-00009A2F0000}"/>
    <cellStyle name="Normal 2 3 2 3 2 5 6" xfId="12495" xr:uid="{00000000-0005-0000-0000-00009B2F0000}"/>
    <cellStyle name="Normal 2 3 2 3 2 5 6 2" xfId="26381" xr:uid="{00000000-0005-0000-0000-00009C2F0000}"/>
    <cellStyle name="Normal 2 3 2 3 2 5 7" xfId="26373" xr:uid="{00000000-0005-0000-0000-00009D2F0000}"/>
    <cellStyle name="Normal 2 3 2 3 2 5 8" xfId="15499" xr:uid="{00000000-0005-0000-0000-00009E2F0000}"/>
    <cellStyle name="Normal 2 3 2 3 2 6" xfId="8998" xr:uid="{00000000-0005-0000-0000-00009F2F0000}"/>
    <cellStyle name="Normal 2 3 2 3 2 6 2" xfId="9566" xr:uid="{00000000-0005-0000-0000-0000A02F0000}"/>
    <cellStyle name="Normal 2 3 2 3 2 6 2 2" xfId="10620" xr:uid="{00000000-0005-0000-0000-0000A12F0000}"/>
    <cellStyle name="Normal 2 3 2 3 2 6 2 2 2" xfId="14214" xr:uid="{00000000-0005-0000-0000-0000A22F0000}"/>
    <cellStyle name="Normal 2 3 2 3 2 6 2 2 2 2" xfId="26384" xr:uid="{00000000-0005-0000-0000-0000A32F0000}"/>
    <cellStyle name="Normal 2 3 2 3 2 6 2 2 3" xfId="15511" xr:uid="{00000000-0005-0000-0000-0000A42F0000}"/>
    <cellStyle name="Normal 2 3 2 3 2 6 2 3" xfId="13161" xr:uid="{00000000-0005-0000-0000-0000A52F0000}"/>
    <cellStyle name="Normal 2 3 2 3 2 6 2 3 2" xfId="26383" xr:uid="{00000000-0005-0000-0000-0000A62F0000}"/>
    <cellStyle name="Normal 2 3 2 3 2 6 2 4" xfId="15510" xr:uid="{00000000-0005-0000-0000-0000A72F0000}"/>
    <cellStyle name="Normal 2 3 2 3 2 6 3" xfId="10082" xr:uid="{00000000-0005-0000-0000-0000A82F0000}"/>
    <cellStyle name="Normal 2 3 2 3 2 6 3 2" xfId="13676" xr:uid="{00000000-0005-0000-0000-0000A92F0000}"/>
    <cellStyle name="Normal 2 3 2 3 2 6 3 2 2" xfId="26386" xr:uid="{00000000-0005-0000-0000-0000AA2F0000}"/>
    <cellStyle name="Normal 2 3 2 3 2 6 3 3" xfId="26385" xr:uid="{00000000-0005-0000-0000-0000AB2F0000}"/>
    <cellStyle name="Normal 2 3 2 3 2 6 3 4" xfId="15512" xr:uid="{00000000-0005-0000-0000-0000AC2F0000}"/>
    <cellStyle name="Normal 2 3 2 3 2 6 4" xfId="10959" xr:uid="{00000000-0005-0000-0000-0000AD2F0000}"/>
    <cellStyle name="Normal 2 3 2 3 2 6 4 2" xfId="14552" xr:uid="{00000000-0005-0000-0000-0000AE2F0000}"/>
    <cellStyle name="Normal 2 3 2 3 2 6 4 2 2" xfId="26387" xr:uid="{00000000-0005-0000-0000-0000AF2F0000}"/>
    <cellStyle name="Normal 2 3 2 3 2 6 4 3" xfId="15513" xr:uid="{00000000-0005-0000-0000-0000B02F0000}"/>
    <cellStyle name="Normal 2 3 2 3 2 6 5" xfId="12623" xr:uid="{00000000-0005-0000-0000-0000B12F0000}"/>
    <cellStyle name="Normal 2 3 2 3 2 6 5 2" xfId="26388" xr:uid="{00000000-0005-0000-0000-0000B22F0000}"/>
    <cellStyle name="Normal 2 3 2 3 2 6 6" xfId="26382" xr:uid="{00000000-0005-0000-0000-0000B32F0000}"/>
    <cellStyle name="Normal 2 3 2 3 2 6 7" xfId="15509" xr:uid="{00000000-0005-0000-0000-0000B42F0000}"/>
    <cellStyle name="Normal 2 3 2 3 2 7" xfId="9310" xr:uid="{00000000-0005-0000-0000-0000B52F0000}"/>
    <cellStyle name="Normal 2 3 2 3 2 7 2" xfId="10364" xr:uid="{00000000-0005-0000-0000-0000B62F0000}"/>
    <cellStyle name="Normal 2 3 2 3 2 7 2 2" xfId="13958" xr:uid="{00000000-0005-0000-0000-0000B72F0000}"/>
    <cellStyle name="Normal 2 3 2 3 2 7 2 2 2" xfId="26390" xr:uid="{00000000-0005-0000-0000-0000B82F0000}"/>
    <cellStyle name="Normal 2 3 2 3 2 7 2 3" xfId="15515" xr:uid="{00000000-0005-0000-0000-0000B92F0000}"/>
    <cellStyle name="Normal 2 3 2 3 2 7 3" xfId="12905" xr:uid="{00000000-0005-0000-0000-0000BA2F0000}"/>
    <cellStyle name="Normal 2 3 2 3 2 7 3 2" xfId="26389" xr:uid="{00000000-0005-0000-0000-0000BB2F0000}"/>
    <cellStyle name="Normal 2 3 2 3 2 7 4" xfId="15514" xr:uid="{00000000-0005-0000-0000-0000BC2F0000}"/>
    <cellStyle name="Normal 2 3 2 3 2 8" xfId="9826" xr:uid="{00000000-0005-0000-0000-0000BD2F0000}"/>
    <cellStyle name="Normal 2 3 2 3 2 8 2" xfId="13420" xr:uid="{00000000-0005-0000-0000-0000BE2F0000}"/>
    <cellStyle name="Normal 2 3 2 3 2 8 2 2" xfId="26392" xr:uid="{00000000-0005-0000-0000-0000BF2F0000}"/>
    <cellStyle name="Normal 2 3 2 3 2 8 3" xfId="26391" xr:uid="{00000000-0005-0000-0000-0000C02F0000}"/>
    <cellStyle name="Normal 2 3 2 3 2 8 4" xfId="15516" xr:uid="{00000000-0005-0000-0000-0000C12F0000}"/>
    <cellStyle name="Normal 2 3 2 3 2 9" xfId="10944" xr:uid="{00000000-0005-0000-0000-0000C22F0000}"/>
    <cellStyle name="Normal 2 3 2 3 2 9 2" xfId="14537" xr:uid="{00000000-0005-0000-0000-0000C32F0000}"/>
    <cellStyle name="Normal 2 3 2 3 2 9 2 2" xfId="26394" xr:uid="{00000000-0005-0000-0000-0000C42F0000}"/>
    <cellStyle name="Normal 2 3 2 3 2 9 3" xfId="26393" xr:uid="{00000000-0005-0000-0000-0000C52F0000}"/>
    <cellStyle name="Normal 2 3 2 3 2 9 4" xfId="15517" xr:uid="{00000000-0005-0000-0000-0000C62F0000}"/>
    <cellStyle name="Normal 2 3 2 3 3" xfId="8777" xr:uid="{00000000-0005-0000-0000-0000C72F0000}"/>
    <cellStyle name="Normal 2 3 2 3 3 10" xfId="26396" xr:uid="{00000000-0005-0000-0000-0000C82F0000}"/>
    <cellStyle name="Normal 2 3 2 3 3 11" xfId="26395" xr:uid="{00000000-0005-0000-0000-0000C92F0000}"/>
    <cellStyle name="Normal 2 3 2 3 3 12" xfId="15518" xr:uid="{00000000-0005-0000-0000-0000CA2F0000}"/>
    <cellStyle name="Normal 2 3 2 3 3 2" xfId="8905" xr:uid="{00000000-0005-0000-0000-0000CB2F0000}"/>
    <cellStyle name="Normal 2 3 2 3 3 2 2" xfId="9161" xr:uid="{00000000-0005-0000-0000-0000CC2F0000}"/>
    <cellStyle name="Normal 2 3 2 3 3 2 2 2" xfId="9729" xr:uid="{00000000-0005-0000-0000-0000CD2F0000}"/>
    <cellStyle name="Normal 2 3 2 3 3 2 2 2 2" xfId="10783" xr:uid="{00000000-0005-0000-0000-0000CE2F0000}"/>
    <cellStyle name="Normal 2 3 2 3 3 2 2 2 2 2" xfId="14377" xr:uid="{00000000-0005-0000-0000-0000CF2F0000}"/>
    <cellStyle name="Normal 2 3 2 3 3 2 2 2 2 3" xfId="15522" xr:uid="{00000000-0005-0000-0000-0000D02F0000}"/>
    <cellStyle name="Normal 2 3 2 3 3 2 2 2 3" xfId="13324" xr:uid="{00000000-0005-0000-0000-0000D12F0000}"/>
    <cellStyle name="Normal 2 3 2 3 3 2 2 2 3 2" xfId="26399" xr:uid="{00000000-0005-0000-0000-0000D22F0000}"/>
    <cellStyle name="Normal 2 3 2 3 3 2 2 2 4" xfId="15521" xr:uid="{00000000-0005-0000-0000-0000D32F0000}"/>
    <cellStyle name="Normal 2 3 2 3 3 2 2 3" xfId="10245" xr:uid="{00000000-0005-0000-0000-0000D42F0000}"/>
    <cellStyle name="Normal 2 3 2 3 3 2 2 3 2" xfId="13839" xr:uid="{00000000-0005-0000-0000-0000D52F0000}"/>
    <cellStyle name="Normal 2 3 2 3 3 2 2 3 3" xfId="15523" xr:uid="{00000000-0005-0000-0000-0000D62F0000}"/>
    <cellStyle name="Normal 2 3 2 3 3 2 2 4" xfId="10962" xr:uid="{00000000-0005-0000-0000-0000D72F0000}"/>
    <cellStyle name="Normal 2 3 2 3 3 2 2 4 2" xfId="14555" xr:uid="{00000000-0005-0000-0000-0000D82F0000}"/>
    <cellStyle name="Normal 2 3 2 3 3 2 2 4 3" xfId="15524" xr:uid="{00000000-0005-0000-0000-0000D92F0000}"/>
    <cellStyle name="Normal 2 3 2 3 3 2 2 5" xfId="12786" xr:uid="{00000000-0005-0000-0000-0000DA2F0000}"/>
    <cellStyle name="Normal 2 3 2 3 3 2 2 5 2" xfId="26398" xr:uid="{00000000-0005-0000-0000-0000DB2F0000}"/>
    <cellStyle name="Normal 2 3 2 3 3 2 2 6" xfId="15520" xr:uid="{00000000-0005-0000-0000-0000DC2F0000}"/>
    <cellStyle name="Normal 2 3 2 3 3 2 3" xfId="9473" xr:uid="{00000000-0005-0000-0000-0000DD2F0000}"/>
    <cellStyle name="Normal 2 3 2 3 3 2 3 2" xfId="10527" xr:uid="{00000000-0005-0000-0000-0000DE2F0000}"/>
    <cellStyle name="Normal 2 3 2 3 3 2 3 2 2" xfId="14121" xr:uid="{00000000-0005-0000-0000-0000DF2F0000}"/>
    <cellStyle name="Normal 2 3 2 3 3 2 3 2 2 2" xfId="26401" xr:uid="{00000000-0005-0000-0000-0000E02F0000}"/>
    <cellStyle name="Normal 2 3 2 3 3 2 3 2 3" xfId="15526" xr:uid="{00000000-0005-0000-0000-0000E12F0000}"/>
    <cellStyle name="Normal 2 3 2 3 3 2 3 3" xfId="13068" xr:uid="{00000000-0005-0000-0000-0000E22F0000}"/>
    <cellStyle name="Normal 2 3 2 3 3 2 3 3 2" xfId="26400" xr:uid="{00000000-0005-0000-0000-0000E32F0000}"/>
    <cellStyle name="Normal 2 3 2 3 3 2 3 4" xfId="15525" xr:uid="{00000000-0005-0000-0000-0000E42F0000}"/>
    <cellStyle name="Normal 2 3 2 3 3 2 4" xfId="9989" xr:uid="{00000000-0005-0000-0000-0000E52F0000}"/>
    <cellStyle name="Normal 2 3 2 3 3 2 4 2" xfId="13583" xr:uid="{00000000-0005-0000-0000-0000E62F0000}"/>
    <cellStyle name="Normal 2 3 2 3 3 2 4 2 2" xfId="26403" xr:uid="{00000000-0005-0000-0000-0000E72F0000}"/>
    <cellStyle name="Normal 2 3 2 3 3 2 4 3" xfId="26402" xr:uid="{00000000-0005-0000-0000-0000E82F0000}"/>
    <cellStyle name="Normal 2 3 2 3 3 2 4 4" xfId="15527" xr:uid="{00000000-0005-0000-0000-0000E92F0000}"/>
    <cellStyle name="Normal 2 3 2 3 3 2 5" xfId="10961" xr:uid="{00000000-0005-0000-0000-0000EA2F0000}"/>
    <cellStyle name="Normal 2 3 2 3 3 2 5 2" xfId="14554" xr:uid="{00000000-0005-0000-0000-0000EB2F0000}"/>
    <cellStyle name="Normal 2 3 2 3 3 2 5 2 2" xfId="26404" xr:uid="{00000000-0005-0000-0000-0000EC2F0000}"/>
    <cellStyle name="Normal 2 3 2 3 3 2 5 3" xfId="15528" xr:uid="{00000000-0005-0000-0000-0000ED2F0000}"/>
    <cellStyle name="Normal 2 3 2 3 3 2 6" xfId="12530" xr:uid="{00000000-0005-0000-0000-0000EE2F0000}"/>
    <cellStyle name="Normal 2 3 2 3 3 2 6 2" xfId="26405" xr:uid="{00000000-0005-0000-0000-0000EF2F0000}"/>
    <cellStyle name="Normal 2 3 2 3 3 2 7" xfId="26397" xr:uid="{00000000-0005-0000-0000-0000F02F0000}"/>
    <cellStyle name="Normal 2 3 2 3 3 2 8" xfId="15519" xr:uid="{00000000-0005-0000-0000-0000F12F0000}"/>
    <cellStyle name="Normal 2 3 2 3 3 3" xfId="9033" xr:uid="{00000000-0005-0000-0000-0000F22F0000}"/>
    <cellStyle name="Normal 2 3 2 3 3 3 2" xfId="9601" xr:uid="{00000000-0005-0000-0000-0000F32F0000}"/>
    <cellStyle name="Normal 2 3 2 3 3 3 2 2" xfId="10655" xr:uid="{00000000-0005-0000-0000-0000F42F0000}"/>
    <cellStyle name="Normal 2 3 2 3 3 3 2 2 2" xfId="14249" xr:uid="{00000000-0005-0000-0000-0000F52F0000}"/>
    <cellStyle name="Normal 2 3 2 3 3 3 2 2 2 2" xfId="26408" xr:uid="{00000000-0005-0000-0000-0000F62F0000}"/>
    <cellStyle name="Normal 2 3 2 3 3 3 2 2 3" xfId="15531" xr:uid="{00000000-0005-0000-0000-0000F72F0000}"/>
    <cellStyle name="Normal 2 3 2 3 3 3 2 3" xfId="13196" xr:uid="{00000000-0005-0000-0000-0000F82F0000}"/>
    <cellStyle name="Normal 2 3 2 3 3 3 2 3 2" xfId="26407" xr:uid="{00000000-0005-0000-0000-0000F92F0000}"/>
    <cellStyle name="Normal 2 3 2 3 3 3 2 4" xfId="15530" xr:uid="{00000000-0005-0000-0000-0000FA2F0000}"/>
    <cellStyle name="Normal 2 3 2 3 3 3 3" xfId="10117" xr:uid="{00000000-0005-0000-0000-0000FB2F0000}"/>
    <cellStyle name="Normal 2 3 2 3 3 3 3 2" xfId="13711" xr:uid="{00000000-0005-0000-0000-0000FC2F0000}"/>
    <cellStyle name="Normal 2 3 2 3 3 3 3 2 2" xfId="26410" xr:uid="{00000000-0005-0000-0000-0000FD2F0000}"/>
    <cellStyle name="Normal 2 3 2 3 3 3 3 3" xfId="26409" xr:uid="{00000000-0005-0000-0000-0000FE2F0000}"/>
    <cellStyle name="Normal 2 3 2 3 3 3 3 4" xfId="15532" xr:uid="{00000000-0005-0000-0000-0000FF2F0000}"/>
    <cellStyle name="Normal 2 3 2 3 3 3 4" xfId="10963" xr:uid="{00000000-0005-0000-0000-000000300000}"/>
    <cellStyle name="Normal 2 3 2 3 3 3 4 2" xfId="14556" xr:uid="{00000000-0005-0000-0000-000001300000}"/>
    <cellStyle name="Normal 2 3 2 3 3 3 4 2 2" xfId="26412" xr:uid="{00000000-0005-0000-0000-000002300000}"/>
    <cellStyle name="Normal 2 3 2 3 3 3 4 3" xfId="26411" xr:uid="{00000000-0005-0000-0000-000003300000}"/>
    <cellStyle name="Normal 2 3 2 3 3 3 4 4" xfId="15533" xr:uid="{00000000-0005-0000-0000-000004300000}"/>
    <cellStyle name="Normal 2 3 2 3 3 3 5" xfId="12658" xr:uid="{00000000-0005-0000-0000-000005300000}"/>
    <cellStyle name="Normal 2 3 2 3 3 3 5 2" xfId="26413" xr:uid="{00000000-0005-0000-0000-000006300000}"/>
    <cellStyle name="Normal 2 3 2 3 3 3 6" xfId="26414" xr:uid="{00000000-0005-0000-0000-000007300000}"/>
    <cellStyle name="Normal 2 3 2 3 3 3 7" xfId="26406" xr:uid="{00000000-0005-0000-0000-000008300000}"/>
    <cellStyle name="Normal 2 3 2 3 3 3 8" xfId="15529" xr:uid="{00000000-0005-0000-0000-000009300000}"/>
    <cellStyle name="Normal 2 3 2 3 3 4" xfId="9345" xr:uid="{00000000-0005-0000-0000-00000A300000}"/>
    <cellStyle name="Normal 2 3 2 3 3 4 2" xfId="10399" xr:uid="{00000000-0005-0000-0000-00000B300000}"/>
    <cellStyle name="Normal 2 3 2 3 3 4 2 2" xfId="13993" xr:uid="{00000000-0005-0000-0000-00000C300000}"/>
    <cellStyle name="Normal 2 3 2 3 3 4 2 2 2" xfId="26417" xr:uid="{00000000-0005-0000-0000-00000D300000}"/>
    <cellStyle name="Normal 2 3 2 3 3 4 2 3" xfId="26416" xr:uid="{00000000-0005-0000-0000-00000E300000}"/>
    <cellStyle name="Normal 2 3 2 3 3 4 2 4" xfId="15535" xr:uid="{00000000-0005-0000-0000-00000F300000}"/>
    <cellStyle name="Normal 2 3 2 3 3 4 3" xfId="12940" xr:uid="{00000000-0005-0000-0000-000010300000}"/>
    <cellStyle name="Normal 2 3 2 3 3 4 3 2" xfId="26419" xr:uid="{00000000-0005-0000-0000-000011300000}"/>
    <cellStyle name="Normal 2 3 2 3 3 4 3 3" xfId="26418" xr:uid="{00000000-0005-0000-0000-000012300000}"/>
    <cellStyle name="Normal 2 3 2 3 3 4 4" xfId="26420" xr:uid="{00000000-0005-0000-0000-000013300000}"/>
    <cellStyle name="Normal 2 3 2 3 3 4 4 2" xfId="26421" xr:uid="{00000000-0005-0000-0000-000014300000}"/>
    <cellStyle name="Normal 2 3 2 3 3 4 5" xfId="26422" xr:uid="{00000000-0005-0000-0000-000015300000}"/>
    <cellStyle name="Normal 2 3 2 3 3 4 6" xfId="26423" xr:uid="{00000000-0005-0000-0000-000016300000}"/>
    <cellStyle name="Normal 2 3 2 3 3 4 7" xfId="26415" xr:uid="{00000000-0005-0000-0000-000017300000}"/>
    <cellStyle name="Normal 2 3 2 3 3 4 8" xfId="15534" xr:uid="{00000000-0005-0000-0000-000018300000}"/>
    <cellStyle name="Normal 2 3 2 3 3 5" xfId="9861" xr:uid="{00000000-0005-0000-0000-000019300000}"/>
    <cellStyle name="Normal 2 3 2 3 3 5 2" xfId="13455" xr:uid="{00000000-0005-0000-0000-00001A300000}"/>
    <cellStyle name="Normal 2 3 2 3 3 5 2 2" xfId="26426" xr:uid="{00000000-0005-0000-0000-00001B300000}"/>
    <cellStyle name="Normal 2 3 2 3 3 5 2 3" xfId="26425" xr:uid="{00000000-0005-0000-0000-00001C300000}"/>
    <cellStyle name="Normal 2 3 2 3 3 5 3" xfId="26427" xr:uid="{00000000-0005-0000-0000-00001D300000}"/>
    <cellStyle name="Normal 2 3 2 3 3 5 3 2" xfId="26428" xr:uid="{00000000-0005-0000-0000-00001E300000}"/>
    <cellStyle name="Normal 2 3 2 3 3 5 4" xfId="26429" xr:uid="{00000000-0005-0000-0000-00001F300000}"/>
    <cellStyle name="Normal 2 3 2 3 3 5 5" xfId="26430" xr:uid="{00000000-0005-0000-0000-000020300000}"/>
    <cellStyle name="Normal 2 3 2 3 3 5 6" xfId="26424" xr:uid="{00000000-0005-0000-0000-000021300000}"/>
    <cellStyle name="Normal 2 3 2 3 3 5 7" xfId="15536" xr:uid="{00000000-0005-0000-0000-000022300000}"/>
    <cellStyle name="Normal 2 3 2 3 3 6" xfId="10960" xr:uid="{00000000-0005-0000-0000-000023300000}"/>
    <cellStyle name="Normal 2 3 2 3 3 6 2" xfId="14553" xr:uid="{00000000-0005-0000-0000-000024300000}"/>
    <cellStyle name="Normal 2 3 2 3 3 6 2 2" xfId="26432" xr:uid="{00000000-0005-0000-0000-000025300000}"/>
    <cellStyle name="Normal 2 3 2 3 3 6 3" xfId="26431" xr:uid="{00000000-0005-0000-0000-000026300000}"/>
    <cellStyle name="Normal 2 3 2 3 3 6 4" xfId="15537" xr:uid="{00000000-0005-0000-0000-000027300000}"/>
    <cellStyle name="Normal 2 3 2 3 3 7" xfId="12402" xr:uid="{00000000-0005-0000-0000-000028300000}"/>
    <cellStyle name="Normal 2 3 2 3 3 7 2" xfId="26434" xr:uid="{00000000-0005-0000-0000-000029300000}"/>
    <cellStyle name="Normal 2 3 2 3 3 7 3" xfId="26433" xr:uid="{00000000-0005-0000-0000-00002A300000}"/>
    <cellStyle name="Normal 2 3 2 3 3 8" xfId="26435" xr:uid="{00000000-0005-0000-0000-00002B300000}"/>
    <cellStyle name="Normal 2 3 2 3 3 8 2" xfId="26436" xr:uid="{00000000-0005-0000-0000-00002C300000}"/>
    <cellStyle name="Normal 2 3 2 3 3 9" xfId="26437" xr:uid="{00000000-0005-0000-0000-00002D300000}"/>
    <cellStyle name="Normal 2 3 2 3 4" xfId="8809" xr:uid="{00000000-0005-0000-0000-00002E300000}"/>
    <cellStyle name="Normal 2 3 2 3 4 10" xfId="26439" xr:uid="{00000000-0005-0000-0000-00002F300000}"/>
    <cellStyle name="Normal 2 3 2 3 4 11" xfId="26438" xr:uid="{00000000-0005-0000-0000-000030300000}"/>
    <cellStyle name="Normal 2 3 2 3 4 12" xfId="15538" xr:uid="{00000000-0005-0000-0000-000031300000}"/>
    <cellStyle name="Normal 2 3 2 3 4 2" xfId="8937" xr:uid="{00000000-0005-0000-0000-000032300000}"/>
    <cellStyle name="Normal 2 3 2 3 4 2 2" xfId="9193" xr:uid="{00000000-0005-0000-0000-000033300000}"/>
    <cellStyle name="Normal 2 3 2 3 4 2 2 2" xfId="9761" xr:uid="{00000000-0005-0000-0000-000034300000}"/>
    <cellStyle name="Normal 2 3 2 3 4 2 2 2 2" xfId="10815" xr:uid="{00000000-0005-0000-0000-000035300000}"/>
    <cellStyle name="Normal 2 3 2 3 4 2 2 2 2 2" xfId="14409" xr:uid="{00000000-0005-0000-0000-000036300000}"/>
    <cellStyle name="Normal 2 3 2 3 4 2 2 2 2 3" xfId="15542" xr:uid="{00000000-0005-0000-0000-000037300000}"/>
    <cellStyle name="Normal 2 3 2 3 4 2 2 2 3" xfId="13356" xr:uid="{00000000-0005-0000-0000-000038300000}"/>
    <cellStyle name="Normal 2 3 2 3 4 2 2 2 3 2" xfId="26442" xr:uid="{00000000-0005-0000-0000-000039300000}"/>
    <cellStyle name="Normal 2 3 2 3 4 2 2 2 4" xfId="15541" xr:uid="{00000000-0005-0000-0000-00003A300000}"/>
    <cellStyle name="Normal 2 3 2 3 4 2 2 3" xfId="10277" xr:uid="{00000000-0005-0000-0000-00003B300000}"/>
    <cellStyle name="Normal 2 3 2 3 4 2 2 3 2" xfId="13871" xr:uid="{00000000-0005-0000-0000-00003C300000}"/>
    <cellStyle name="Normal 2 3 2 3 4 2 2 3 3" xfId="15543" xr:uid="{00000000-0005-0000-0000-00003D300000}"/>
    <cellStyle name="Normal 2 3 2 3 4 2 2 4" xfId="10966" xr:uid="{00000000-0005-0000-0000-00003E300000}"/>
    <cellStyle name="Normal 2 3 2 3 4 2 2 4 2" xfId="14559" xr:uid="{00000000-0005-0000-0000-00003F300000}"/>
    <cellStyle name="Normal 2 3 2 3 4 2 2 4 3" xfId="15544" xr:uid="{00000000-0005-0000-0000-000040300000}"/>
    <cellStyle name="Normal 2 3 2 3 4 2 2 5" xfId="12818" xr:uid="{00000000-0005-0000-0000-000041300000}"/>
    <cellStyle name="Normal 2 3 2 3 4 2 2 5 2" xfId="26441" xr:uid="{00000000-0005-0000-0000-000042300000}"/>
    <cellStyle name="Normal 2 3 2 3 4 2 2 6" xfId="15540" xr:uid="{00000000-0005-0000-0000-000043300000}"/>
    <cellStyle name="Normal 2 3 2 3 4 2 3" xfId="9505" xr:uid="{00000000-0005-0000-0000-000044300000}"/>
    <cellStyle name="Normal 2 3 2 3 4 2 3 2" xfId="10559" xr:uid="{00000000-0005-0000-0000-000045300000}"/>
    <cellStyle name="Normal 2 3 2 3 4 2 3 2 2" xfId="14153" xr:uid="{00000000-0005-0000-0000-000046300000}"/>
    <cellStyle name="Normal 2 3 2 3 4 2 3 2 2 2" xfId="26444" xr:uid="{00000000-0005-0000-0000-000047300000}"/>
    <cellStyle name="Normal 2 3 2 3 4 2 3 2 3" xfId="15546" xr:uid="{00000000-0005-0000-0000-000048300000}"/>
    <cellStyle name="Normal 2 3 2 3 4 2 3 3" xfId="13100" xr:uid="{00000000-0005-0000-0000-000049300000}"/>
    <cellStyle name="Normal 2 3 2 3 4 2 3 3 2" xfId="26443" xr:uid="{00000000-0005-0000-0000-00004A300000}"/>
    <cellStyle name="Normal 2 3 2 3 4 2 3 4" xfId="15545" xr:uid="{00000000-0005-0000-0000-00004B300000}"/>
    <cellStyle name="Normal 2 3 2 3 4 2 4" xfId="10021" xr:uid="{00000000-0005-0000-0000-00004C300000}"/>
    <cellStyle name="Normal 2 3 2 3 4 2 4 2" xfId="13615" xr:uid="{00000000-0005-0000-0000-00004D300000}"/>
    <cellStyle name="Normal 2 3 2 3 4 2 4 2 2" xfId="26446" xr:uid="{00000000-0005-0000-0000-00004E300000}"/>
    <cellStyle name="Normal 2 3 2 3 4 2 4 3" xfId="26445" xr:uid="{00000000-0005-0000-0000-00004F300000}"/>
    <cellStyle name="Normal 2 3 2 3 4 2 4 4" xfId="15547" xr:uid="{00000000-0005-0000-0000-000050300000}"/>
    <cellStyle name="Normal 2 3 2 3 4 2 5" xfId="10965" xr:uid="{00000000-0005-0000-0000-000051300000}"/>
    <cellStyle name="Normal 2 3 2 3 4 2 5 2" xfId="14558" xr:uid="{00000000-0005-0000-0000-000052300000}"/>
    <cellStyle name="Normal 2 3 2 3 4 2 5 2 2" xfId="26447" xr:uid="{00000000-0005-0000-0000-000053300000}"/>
    <cellStyle name="Normal 2 3 2 3 4 2 5 3" xfId="15548" xr:uid="{00000000-0005-0000-0000-000054300000}"/>
    <cellStyle name="Normal 2 3 2 3 4 2 6" xfId="12562" xr:uid="{00000000-0005-0000-0000-000055300000}"/>
    <cellStyle name="Normal 2 3 2 3 4 2 6 2" xfId="26448" xr:uid="{00000000-0005-0000-0000-000056300000}"/>
    <cellStyle name="Normal 2 3 2 3 4 2 7" xfId="26440" xr:uid="{00000000-0005-0000-0000-000057300000}"/>
    <cellStyle name="Normal 2 3 2 3 4 2 8" xfId="15539" xr:uid="{00000000-0005-0000-0000-000058300000}"/>
    <cellStyle name="Normal 2 3 2 3 4 3" xfId="9065" xr:uid="{00000000-0005-0000-0000-000059300000}"/>
    <cellStyle name="Normal 2 3 2 3 4 3 2" xfId="9633" xr:uid="{00000000-0005-0000-0000-00005A300000}"/>
    <cellStyle name="Normal 2 3 2 3 4 3 2 2" xfId="10687" xr:uid="{00000000-0005-0000-0000-00005B300000}"/>
    <cellStyle name="Normal 2 3 2 3 4 3 2 2 2" xfId="14281" xr:uid="{00000000-0005-0000-0000-00005C300000}"/>
    <cellStyle name="Normal 2 3 2 3 4 3 2 2 2 2" xfId="26451" xr:uid="{00000000-0005-0000-0000-00005D300000}"/>
    <cellStyle name="Normal 2 3 2 3 4 3 2 2 3" xfId="15551" xr:uid="{00000000-0005-0000-0000-00005E300000}"/>
    <cellStyle name="Normal 2 3 2 3 4 3 2 3" xfId="13228" xr:uid="{00000000-0005-0000-0000-00005F300000}"/>
    <cellStyle name="Normal 2 3 2 3 4 3 2 3 2" xfId="26450" xr:uid="{00000000-0005-0000-0000-000060300000}"/>
    <cellStyle name="Normal 2 3 2 3 4 3 2 4" xfId="15550" xr:uid="{00000000-0005-0000-0000-000061300000}"/>
    <cellStyle name="Normal 2 3 2 3 4 3 3" xfId="10149" xr:uid="{00000000-0005-0000-0000-000062300000}"/>
    <cellStyle name="Normal 2 3 2 3 4 3 3 2" xfId="13743" xr:uid="{00000000-0005-0000-0000-000063300000}"/>
    <cellStyle name="Normal 2 3 2 3 4 3 3 2 2" xfId="26453" xr:uid="{00000000-0005-0000-0000-000064300000}"/>
    <cellStyle name="Normal 2 3 2 3 4 3 3 3" xfId="26452" xr:uid="{00000000-0005-0000-0000-000065300000}"/>
    <cellStyle name="Normal 2 3 2 3 4 3 3 4" xfId="15552" xr:uid="{00000000-0005-0000-0000-000066300000}"/>
    <cellStyle name="Normal 2 3 2 3 4 3 4" xfId="10967" xr:uid="{00000000-0005-0000-0000-000067300000}"/>
    <cellStyle name="Normal 2 3 2 3 4 3 4 2" xfId="14560" xr:uid="{00000000-0005-0000-0000-000068300000}"/>
    <cellStyle name="Normal 2 3 2 3 4 3 4 2 2" xfId="26455" xr:uid="{00000000-0005-0000-0000-000069300000}"/>
    <cellStyle name="Normal 2 3 2 3 4 3 4 3" xfId="26454" xr:uid="{00000000-0005-0000-0000-00006A300000}"/>
    <cellStyle name="Normal 2 3 2 3 4 3 4 4" xfId="15553" xr:uid="{00000000-0005-0000-0000-00006B300000}"/>
    <cellStyle name="Normal 2 3 2 3 4 3 5" xfId="12690" xr:uid="{00000000-0005-0000-0000-00006C300000}"/>
    <cellStyle name="Normal 2 3 2 3 4 3 5 2" xfId="26456" xr:uid="{00000000-0005-0000-0000-00006D300000}"/>
    <cellStyle name="Normal 2 3 2 3 4 3 6" xfId="26457" xr:uid="{00000000-0005-0000-0000-00006E300000}"/>
    <cellStyle name="Normal 2 3 2 3 4 3 7" xfId="26449" xr:uid="{00000000-0005-0000-0000-00006F300000}"/>
    <cellStyle name="Normal 2 3 2 3 4 3 8" xfId="15549" xr:uid="{00000000-0005-0000-0000-000070300000}"/>
    <cellStyle name="Normal 2 3 2 3 4 4" xfId="9377" xr:uid="{00000000-0005-0000-0000-000071300000}"/>
    <cellStyle name="Normal 2 3 2 3 4 4 2" xfId="10431" xr:uid="{00000000-0005-0000-0000-000072300000}"/>
    <cellStyle name="Normal 2 3 2 3 4 4 2 2" xfId="14025" xr:uid="{00000000-0005-0000-0000-000073300000}"/>
    <cellStyle name="Normal 2 3 2 3 4 4 2 2 2" xfId="26460" xr:uid="{00000000-0005-0000-0000-000074300000}"/>
    <cellStyle name="Normal 2 3 2 3 4 4 2 3" xfId="26459" xr:uid="{00000000-0005-0000-0000-000075300000}"/>
    <cellStyle name="Normal 2 3 2 3 4 4 2 4" xfId="15555" xr:uid="{00000000-0005-0000-0000-000076300000}"/>
    <cellStyle name="Normal 2 3 2 3 4 4 3" xfId="12972" xr:uid="{00000000-0005-0000-0000-000077300000}"/>
    <cellStyle name="Normal 2 3 2 3 4 4 3 2" xfId="26462" xr:uid="{00000000-0005-0000-0000-000078300000}"/>
    <cellStyle name="Normal 2 3 2 3 4 4 3 3" xfId="26461" xr:uid="{00000000-0005-0000-0000-000079300000}"/>
    <cellStyle name="Normal 2 3 2 3 4 4 4" xfId="26463" xr:uid="{00000000-0005-0000-0000-00007A300000}"/>
    <cellStyle name="Normal 2 3 2 3 4 4 4 2" xfId="26464" xr:uid="{00000000-0005-0000-0000-00007B300000}"/>
    <cellStyle name="Normal 2 3 2 3 4 4 5" xfId="26465" xr:uid="{00000000-0005-0000-0000-00007C300000}"/>
    <cellStyle name="Normal 2 3 2 3 4 4 6" xfId="26466" xr:uid="{00000000-0005-0000-0000-00007D300000}"/>
    <cellStyle name="Normal 2 3 2 3 4 4 7" xfId="26458" xr:uid="{00000000-0005-0000-0000-00007E300000}"/>
    <cellStyle name="Normal 2 3 2 3 4 4 8" xfId="15554" xr:uid="{00000000-0005-0000-0000-00007F300000}"/>
    <cellStyle name="Normal 2 3 2 3 4 5" xfId="9893" xr:uid="{00000000-0005-0000-0000-000080300000}"/>
    <cellStyle name="Normal 2 3 2 3 4 5 2" xfId="13487" xr:uid="{00000000-0005-0000-0000-000081300000}"/>
    <cellStyle name="Normal 2 3 2 3 4 5 2 2" xfId="26469" xr:uid="{00000000-0005-0000-0000-000082300000}"/>
    <cellStyle name="Normal 2 3 2 3 4 5 2 3" xfId="26468" xr:uid="{00000000-0005-0000-0000-000083300000}"/>
    <cellStyle name="Normal 2 3 2 3 4 5 3" xfId="26470" xr:uid="{00000000-0005-0000-0000-000084300000}"/>
    <cellStyle name="Normal 2 3 2 3 4 5 3 2" xfId="26471" xr:uid="{00000000-0005-0000-0000-000085300000}"/>
    <cellStyle name="Normal 2 3 2 3 4 5 4" xfId="26472" xr:uid="{00000000-0005-0000-0000-000086300000}"/>
    <cellStyle name="Normal 2 3 2 3 4 5 5" xfId="26473" xr:uid="{00000000-0005-0000-0000-000087300000}"/>
    <cellStyle name="Normal 2 3 2 3 4 5 6" xfId="26467" xr:uid="{00000000-0005-0000-0000-000088300000}"/>
    <cellStyle name="Normal 2 3 2 3 4 5 7" xfId="15556" xr:uid="{00000000-0005-0000-0000-000089300000}"/>
    <cellStyle name="Normal 2 3 2 3 4 6" xfId="10964" xr:uid="{00000000-0005-0000-0000-00008A300000}"/>
    <cellStyle name="Normal 2 3 2 3 4 6 2" xfId="14557" xr:uid="{00000000-0005-0000-0000-00008B300000}"/>
    <cellStyle name="Normal 2 3 2 3 4 6 2 2" xfId="26475" xr:uid="{00000000-0005-0000-0000-00008C300000}"/>
    <cellStyle name="Normal 2 3 2 3 4 6 3" xfId="26474" xr:uid="{00000000-0005-0000-0000-00008D300000}"/>
    <cellStyle name="Normal 2 3 2 3 4 6 4" xfId="15557" xr:uid="{00000000-0005-0000-0000-00008E300000}"/>
    <cellStyle name="Normal 2 3 2 3 4 7" xfId="12434" xr:uid="{00000000-0005-0000-0000-00008F300000}"/>
    <cellStyle name="Normal 2 3 2 3 4 7 2" xfId="26477" xr:uid="{00000000-0005-0000-0000-000090300000}"/>
    <cellStyle name="Normal 2 3 2 3 4 7 3" xfId="26476" xr:uid="{00000000-0005-0000-0000-000091300000}"/>
    <cellStyle name="Normal 2 3 2 3 4 8" xfId="26478" xr:uid="{00000000-0005-0000-0000-000092300000}"/>
    <cellStyle name="Normal 2 3 2 3 4 8 2" xfId="26479" xr:uid="{00000000-0005-0000-0000-000093300000}"/>
    <cellStyle name="Normal 2 3 2 3 4 9" xfId="26480" xr:uid="{00000000-0005-0000-0000-000094300000}"/>
    <cellStyle name="Normal 2 3 2 3 5" xfId="8841" xr:uid="{00000000-0005-0000-0000-000095300000}"/>
    <cellStyle name="Normal 2 3 2 3 5 2" xfId="8969" xr:uid="{00000000-0005-0000-0000-000096300000}"/>
    <cellStyle name="Normal 2 3 2 3 5 2 2" xfId="9225" xr:uid="{00000000-0005-0000-0000-000097300000}"/>
    <cellStyle name="Normal 2 3 2 3 5 2 2 2" xfId="9793" xr:uid="{00000000-0005-0000-0000-000098300000}"/>
    <cellStyle name="Normal 2 3 2 3 5 2 2 2 2" xfId="10847" xr:uid="{00000000-0005-0000-0000-000099300000}"/>
    <cellStyle name="Normal 2 3 2 3 5 2 2 2 2 2" xfId="14441" xr:uid="{00000000-0005-0000-0000-00009A300000}"/>
    <cellStyle name="Normal 2 3 2 3 5 2 2 2 2 3" xfId="15562" xr:uid="{00000000-0005-0000-0000-00009B300000}"/>
    <cellStyle name="Normal 2 3 2 3 5 2 2 2 3" xfId="13388" xr:uid="{00000000-0005-0000-0000-00009C300000}"/>
    <cellStyle name="Normal 2 3 2 3 5 2 2 2 4" xfId="15561" xr:uid="{00000000-0005-0000-0000-00009D300000}"/>
    <cellStyle name="Normal 2 3 2 3 5 2 2 3" xfId="10309" xr:uid="{00000000-0005-0000-0000-00009E300000}"/>
    <cellStyle name="Normal 2 3 2 3 5 2 2 3 2" xfId="13903" xr:uid="{00000000-0005-0000-0000-00009F300000}"/>
    <cellStyle name="Normal 2 3 2 3 5 2 2 3 3" xfId="15563" xr:uid="{00000000-0005-0000-0000-0000A0300000}"/>
    <cellStyle name="Normal 2 3 2 3 5 2 2 4" xfId="10970" xr:uid="{00000000-0005-0000-0000-0000A1300000}"/>
    <cellStyle name="Normal 2 3 2 3 5 2 2 4 2" xfId="14563" xr:uid="{00000000-0005-0000-0000-0000A2300000}"/>
    <cellStyle name="Normal 2 3 2 3 5 2 2 4 3" xfId="15564" xr:uid="{00000000-0005-0000-0000-0000A3300000}"/>
    <cellStyle name="Normal 2 3 2 3 5 2 2 5" xfId="12850" xr:uid="{00000000-0005-0000-0000-0000A4300000}"/>
    <cellStyle name="Normal 2 3 2 3 5 2 2 5 2" xfId="26483" xr:uid="{00000000-0005-0000-0000-0000A5300000}"/>
    <cellStyle name="Normal 2 3 2 3 5 2 2 6" xfId="15560" xr:uid="{00000000-0005-0000-0000-0000A6300000}"/>
    <cellStyle name="Normal 2 3 2 3 5 2 3" xfId="9537" xr:uid="{00000000-0005-0000-0000-0000A7300000}"/>
    <cellStyle name="Normal 2 3 2 3 5 2 3 2" xfId="10591" xr:uid="{00000000-0005-0000-0000-0000A8300000}"/>
    <cellStyle name="Normal 2 3 2 3 5 2 3 2 2" xfId="14185" xr:uid="{00000000-0005-0000-0000-0000A9300000}"/>
    <cellStyle name="Normal 2 3 2 3 5 2 3 2 3" xfId="15566" xr:uid="{00000000-0005-0000-0000-0000AA300000}"/>
    <cellStyle name="Normal 2 3 2 3 5 2 3 3" xfId="13132" xr:uid="{00000000-0005-0000-0000-0000AB300000}"/>
    <cellStyle name="Normal 2 3 2 3 5 2 3 4" xfId="15565" xr:uid="{00000000-0005-0000-0000-0000AC300000}"/>
    <cellStyle name="Normal 2 3 2 3 5 2 4" xfId="10053" xr:uid="{00000000-0005-0000-0000-0000AD300000}"/>
    <cellStyle name="Normal 2 3 2 3 5 2 4 2" xfId="13647" xr:uid="{00000000-0005-0000-0000-0000AE300000}"/>
    <cellStyle name="Normal 2 3 2 3 5 2 4 3" xfId="15567" xr:uid="{00000000-0005-0000-0000-0000AF300000}"/>
    <cellStyle name="Normal 2 3 2 3 5 2 5" xfId="10969" xr:uid="{00000000-0005-0000-0000-0000B0300000}"/>
    <cellStyle name="Normal 2 3 2 3 5 2 5 2" xfId="14562" xr:uid="{00000000-0005-0000-0000-0000B1300000}"/>
    <cellStyle name="Normal 2 3 2 3 5 2 5 3" xfId="15568" xr:uid="{00000000-0005-0000-0000-0000B2300000}"/>
    <cellStyle name="Normal 2 3 2 3 5 2 6" xfId="12594" xr:uid="{00000000-0005-0000-0000-0000B3300000}"/>
    <cellStyle name="Normal 2 3 2 3 5 2 6 2" xfId="26482" xr:uid="{00000000-0005-0000-0000-0000B4300000}"/>
    <cellStyle name="Normal 2 3 2 3 5 2 7" xfId="15559" xr:uid="{00000000-0005-0000-0000-0000B5300000}"/>
    <cellStyle name="Normal 2 3 2 3 5 3" xfId="9097" xr:uid="{00000000-0005-0000-0000-0000B6300000}"/>
    <cellStyle name="Normal 2 3 2 3 5 3 2" xfId="9665" xr:uid="{00000000-0005-0000-0000-0000B7300000}"/>
    <cellStyle name="Normal 2 3 2 3 5 3 2 2" xfId="10719" xr:uid="{00000000-0005-0000-0000-0000B8300000}"/>
    <cellStyle name="Normal 2 3 2 3 5 3 2 2 2" xfId="14313" xr:uid="{00000000-0005-0000-0000-0000B9300000}"/>
    <cellStyle name="Normal 2 3 2 3 5 3 2 2 3" xfId="15571" xr:uid="{00000000-0005-0000-0000-0000BA300000}"/>
    <cellStyle name="Normal 2 3 2 3 5 3 2 3" xfId="13260" xr:uid="{00000000-0005-0000-0000-0000BB300000}"/>
    <cellStyle name="Normal 2 3 2 3 5 3 2 3 2" xfId="26485" xr:uid="{00000000-0005-0000-0000-0000BC300000}"/>
    <cellStyle name="Normal 2 3 2 3 5 3 2 4" xfId="15570" xr:uid="{00000000-0005-0000-0000-0000BD300000}"/>
    <cellStyle name="Normal 2 3 2 3 5 3 3" xfId="10181" xr:uid="{00000000-0005-0000-0000-0000BE300000}"/>
    <cellStyle name="Normal 2 3 2 3 5 3 3 2" xfId="13775" xr:uid="{00000000-0005-0000-0000-0000BF300000}"/>
    <cellStyle name="Normal 2 3 2 3 5 3 3 3" xfId="15572" xr:uid="{00000000-0005-0000-0000-0000C0300000}"/>
    <cellStyle name="Normal 2 3 2 3 5 3 4" xfId="10971" xr:uid="{00000000-0005-0000-0000-0000C1300000}"/>
    <cellStyle name="Normal 2 3 2 3 5 3 4 2" xfId="14564" xr:uid="{00000000-0005-0000-0000-0000C2300000}"/>
    <cellStyle name="Normal 2 3 2 3 5 3 4 3" xfId="15573" xr:uid="{00000000-0005-0000-0000-0000C3300000}"/>
    <cellStyle name="Normal 2 3 2 3 5 3 5" xfId="12722" xr:uid="{00000000-0005-0000-0000-0000C4300000}"/>
    <cellStyle name="Normal 2 3 2 3 5 3 5 2" xfId="26484" xr:uid="{00000000-0005-0000-0000-0000C5300000}"/>
    <cellStyle name="Normal 2 3 2 3 5 3 6" xfId="15569" xr:uid="{00000000-0005-0000-0000-0000C6300000}"/>
    <cellStyle name="Normal 2 3 2 3 5 4" xfId="9409" xr:uid="{00000000-0005-0000-0000-0000C7300000}"/>
    <cellStyle name="Normal 2 3 2 3 5 4 2" xfId="10463" xr:uid="{00000000-0005-0000-0000-0000C8300000}"/>
    <cellStyle name="Normal 2 3 2 3 5 4 2 2" xfId="14057" xr:uid="{00000000-0005-0000-0000-0000C9300000}"/>
    <cellStyle name="Normal 2 3 2 3 5 4 2 2 2" xfId="26487" xr:uid="{00000000-0005-0000-0000-0000CA300000}"/>
    <cellStyle name="Normal 2 3 2 3 5 4 2 3" xfId="15575" xr:uid="{00000000-0005-0000-0000-0000CB300000}"/>
    <cellStyle name="Normal 2 3 2 3 5 4 3" xfId="13004" xr:uid="{00000000-0005-0000-0000-0000CC300000}"/>
    <cellStyle name="Normal 2 3 2 3 5 4 3 2" xfId="26486" xr:uid="{00000000-0005-0000-0000-0000CD300000}"/>
    <cellStyle name="Normal 2 3 2 3 5 4 4" xfId="15574" xr:uid="{00000000-0005-0000-0000-0000CE300000}"/>
    <cellStyle name="Normal 2 3 2 3 5 5" xfId="9925" xr:uid="{00000000-0005-0000-0000-0000CF300000}"/>
    <cellStyle name="Normal 2 3 2 3 5 5 2" xfId="13519" xr:uid="{00000000-0005-0000-0000-0000D0300000}"/>
    <cellStyle name="Normal 2 3 2 3 5 5 2 2" xfId="26488" xr:uid="{00000000-0005-0000-0000-0000D1300000}"/>
    <cellStyle name="Normal 2 3 2 3 5 5 3" xfId="15576" xr:uid="{00000000-0005-0000-0000-0000D2300000}"/>
    <cellStyle name="Normal 2 3 2 3 5 6" xfId="10968" xr:uid="{00000000-0005-0000-0000-0000D3300000}"/>
    <cellStyle name="Normal 2 3 2 3 5 6 2" xfId="14561" xr:uid="{00000000-0005-0000-0000-0000D4300000}"/>
    <cellStyle name="Normal 2 3 2 3 5 6 2 2" xfId="26489" xr:uid="{00000000-0005-0000-0000-0000D5300000}"/>
    <cellStyle name="Normal 2 3 2 3 5 6 3" xfId="15577" xr:uid="{00000000-0005-0000-0000-0000D6300000}"/>
    <cellStyle name="Normal 2 3 2 3 5 7" xfId="12466" xr:uid="{00000000-0005-0000-0000-0000D7300000}"/>
    <cellStyle name="Normal 2 3 2 3 5 7 2" xfId="26481" xr:uid="{00000000-0005-0000-0000-0000D8300000}"/>
    <cellStyle name="Normal 2 3 2 3 5 8" xfId="15558" xr:uid="{00000000-0005-0000-0000-0000D9300000}"/>
    <cellStyle name="Normal 2 3 2 3 6" xfId="8869" xr:uid="{00000000-0005-0000-0000-0000DA300000}"/>
    <cellStyle name="Normal 2 3 2 3 6 2" xfId="9125" xr:uid="{00000000-0005-0000-0000-0000DB300000}"/>
    <cellStyle name="Normal 2 3 2 3 6 2 2" xfId="9693" xr:uid="{00000000-0005-0000-0000-0000DC300000}"/>
    <cellStyle name="Normal 2 3 2 3 6 2 2 2" xfId="10747" xr:uid="{00000000-0005-0000-0000-0000DD300000}"/>
    <cellStyle name="Normal 2 3 2 3 6 2 2 2 2" xfId="14341" xr:uid="{00000000-0005-0000-0000-0000DE300000}"/>
    <cellStyle name="Normal 2 3 2 3 6 2 2 2 3" xfId="15581" xr:uid="{00000000-0005-0000-0000-0000DF300000}"/>
    <cellStyle name="Normal 2 3 2 3 6 2 2 3" xfId="13288" xr:uid="{00000000-0005-0000-0000-0000E0300000}"/>
    <cellStyle name="Normal 2 3 2 3 6 2 2 3 2" xfId="26492" xr:uid="{00000000-0005-0000-0000-0000E1300000}"/>
    <cellStyle name="Normal 2 3 2 3 6 2 2 4" xfId="15580" xr:uid="{00000000-0005-0000-0000-0000E2300000}"/>
    <cellStyle name="Normal 2 3 2 3 6 2 3" xfId="10209" xr:uid="{00000000-0005-0000-0000-0000E3300000}"/>
    <cellStyle name="Normal 2 3 2 3 6 2 3 2" xfId="13803" xr:uid="{00000000-0005-0000-0000-0000E4300000}"/>
    <cellStyle name="Normal 2 3 2 3 6 2 3 3" xfId="15582" xr:uid="{00000000-0005-0000-0000-0000E5300000}"/>
    <cellStyle name="Normal 2 3 2 3 6 2 4" xfId="10973" xr:uid="{00000000-0005-0000-0000-0000E6300000}"/>
    <cellStyle name="Normal 2 3 2 3 6 2 4 2" xfId="14566" xr:uid="{00000000-0005-0000-0000-0000E7300000}"/>
    <cellStyle name="Normal 2 3 2 3 6 2 4 3" xfId="15583" xr:uid="{00000000-0005-0000-0000-0000E8300000}"/>
    <cellStyle name="Normal 2 3 2 3 6 2 5" xfId="12750" xr:uid="{00000000-0005-0000-0000-0000E9300000}"/>
    <cellStyle name="Normal 2 3 2 3 6 2 5 2" xfId="26491" xr:uid="{00000000-0005-0000-0000-0000EA300000}"/>
    <cellStyle name="Normal 2 3 2 3 6 2 6" xfId="15579" xr:uid="{00000000-0005-0000-0000-0000EB300000}"/>
    <cellStyle name="Normal 2 3 2 3 6 3" xfId="9437" xr:uid="{00000000-0005-0000-0000-0000EC300000}"/>
    <cellStyle name="Normal 2 3 2 3 6 3 2" xfId="10491" xr:uid="{00000000-0005-0000-0000-0000ED300000}"/>
    <cellStyle name="Normal 2 3 2 3 6 3 2 2" xfId="14085" xr:uid="{00000000-0005-0000-0000-0000EE300000}"/>
    <cellStyle name="Normal 2 3 2 3 6 3 2 2 2" xfId="26494" xr:uid="{00000000-0005-0000-0000-0000EF300000}"/>
    <cellStyle name="Normal 2 3 2 3 6 3 2 3" xfId="15585" xr:uid="{00000000-0005-0000-0000-0000F0300000}"/>
    <cellStyle name="Normal 2 3 2 3 6 3 3" xfId="13032" xr:uid="{00000000-0005-0000-0000-0000F1300000}"/>
    <cellStyle name="Normal 2 3 2 3 6 3 3 2" xfId="26493" xr:uid="{00000000-0005-0000-0000-0000F2300000}"/>
    <cellStyle name="Normal 2 3 2 3 6 3 4" xfId="15584" xr:uid="{00000000-0005-0000-0000-0000F3300000}"/>
    <cellStyle name="Normal 2 3 2 3 6 4" xfId="9953" xr:uid="{00000000-0005-0000-0000-0000F4300000}"/>
    <cellStyle name="Normal 2 3 2 3 6 4 2" xfId="13547" xr:uid="{00000000-0005-0000-0000-0000F5300000}"/>
    <cellStyle name="Normal 2 3 2 3 6 4 2 2" xfId="26496" xr:uid="{00000000-0005-0000-0000-0000F6300000}"/>
    <cellStyle name="Normal 2 3 2 3 6 4 3" xfId="26495" xr:uid="{00000000-0005-0000-0000-0000F7300000}"/>
    <cellStyle name="Normal 2 3 2 3 6 4 4" xfId="15586" xr:uid="{00000000-0005-0000-0000-0000F8300000}"/>
    <cellStyle name="Normal 2 3 2 3 6 5" xfId="10972" xr:uid="{00000000-0005-0000-0000-0000F9300000}"/>
    <cellStyle name="Normal 2 3 2 3 6 5 2" xfId="14565" xr:uid="{00000000-0005-0000-0000-0000FA300000}"/>
    <cellStyle name="Normal 2 3 2 3 6 5 2 2" xfId="26497" xr:uid="{00000000-0005-0000-0000-0000FB300000}"/>
    <cellStyle name="Normal 2 3 2 3 6 5 3" xfId="15587" xr:uid="{00000000-0005-0000-0000-0000FC300000}"/>
    <cellStyle name="Normal 2 3 2 3 6 6" xfId="12494" xr:uid="{00000000-0005-0000-0000-0000FD300000}"/>
    <cellStyle name="Normal 2 3 2 3 6 6 2" xfId="26498" xr:uid="{00000000-0005-0000-0000-0000FE300000}"/>
    <cellStyle name="Normal 2 3 2 3 6 7" xfId="26490" xr:uid="{00000000-0005-0000-0000-0000FF300000}"/>
    <cellStyle name="Normal 2 3 2 3 6 8" xfId="15578" xr:uid="{00000000-0005-0000-0000-000000310000}"/>
    <cellStyle name="Normal 2 3 2 3 7" xfId="8997" xr:uid="{00000000-0005-0000-0000-000001310000}"/>
    <cellStyle name="Normal 2 3 2 3 7 2" xfId="9565" xr:uid="{00000000-0005-0000-0000-000002310000}"/>
    <cellStyle name="Normal 2 3 2 3 7 2 2" xfId="10619" xr:uid="{00000000-0005-0000-0000-000003310000}"/>
    <cellStyle name="Normal 2 3 2 3 7 2 2 2" xfId="14213" xr:uid="{00000000-0005-0000-0000-000004310000}"/>
    <cellStyle name="Normal 2 3 2 3 7 2 2 2 2" xfId="26501" xr:uid="{00000000-0005-0000-0000-000005310000}"/>
    <cellStyle name="Normal 2 3 2 3 7 2 2 3" xfId="15590" xr:uid="{00000000-0005-0000-0000-000006310000}"/>
    <cellStyle name="Normal 2 3 2 3 7 2 3" xfId="13160" xr:uid="{00000000-0005-0000-0000-000007310000}"/>
    <cellStyle name="Normal 2 3 2 3 7 2 3 2" xfId="26500" xr:uid="{00000000-0005-0000-0000-000008310000}"/>
    <cellStyle name="Normal 2 3 2 3 7 2 4" xfId="15589" xr:uid="{00000000-0005-0000-0000-000009310000}"/>
    <cellStyle name="Normal 2 3 2 3 7 3" xfId="10081" xr:uid="{00000000-0005-0000-0000-00000A310000}"/>
    <cellStyle name="Normal 2 3 2 3 7 3 2" xfId="13675" xr:uid="{00000000-0005-0000-0000-00000B310000}"/>
    <cellStyle name="Normal 2 3 2 3 7 3 2 2" xfId="26503" xr:uid="{00000000-0005-0000-0000-00000C310000}"/>
    <cellStyle name="Normal 2 3 2 3 7 3 3" xfId="26502" xr:uid="{00000000-0005-0000-0000-00000D310000}"/>
    <cellStyle name="Normal 2 3 2 3 7 3 4" xfId="15591" xr:uid="{00000000-0005-0000-0000-00000E310000}"/>
    <cellStyle name="Normal 2 3 2 3 7 4" xfId="10974" xr:uid="{00000000-0005-0000-0000-00000F310000}"/>
    <cellStyle name="Normal 2 3 2 3 7 4 2" xfId="14567" xr:uid="{00000000-0005-0000-0000-000010310000}"/>
    <cellStyle name="Normal 2 3 2 3 7 4 2 2" xfId="26505" xr:uid="{00000000-0005-0000-0000-000011310000}"/>
    <cellStyle name="Normal 2 3 2 3 7 4 3" xfId="26504" xr:uid="{00000000-0005-0000-0000-000012310000}"/>
    <cellStyle name="Normal 2 3 2 3 7 4 4" xfId="15592" xr:uid="{00000000-0005-0000-0000-000013310000}"/>
    <cellStyle name="Normal 2 3 2 3 7 5" xfId="12622" xr:uid="{00000000-0005-0000-0000-000014310000}"/>
    <cellStyle name="Normal 2 3 2 3 7 5 2" xfId="26506" xr:uid="{00000000-0005-0000-0000-000015310000}"/>
    <cellStyle name="Normal 2 3 2 3 7 6" xfId="26507" xr:uid="{00000000-0005-0000-0000-000016310000}"/>
    <cellStyle name="Normal 2 3 2 3 7 7" xfId="26499" xr:uid="{00000000-0005-0000-0000-000017310000}"/>
    <cellStyle name="Normal 2 3 2 3 7 8" xfId="15588" xr:uid="{00000000-0005-0000-0000-000018310000}"/>
    <cellStyle name="Normal 2 3 2 3 8" xfId="9309" xr:uid="{00000000-0005-0000-0000-000019310000}"/>
    <cellStyle name="Normal 2 3 2 3 8 2" xfId="10363" xr:uid="{00000000-0005-0000-0000-00001A310000}"/>
    <cellStyle name="Normal 2 3 2 3 8 2 2" xfId="13957" xr:uid="{00000000-0005-0000-0000-00001B310000}"/>
    <cellStyle name="Normal 2 3 2 3 8 2 2 2" xfId="26510" xr:uid="{00000000-0005-0000-0000-00001C310000}"/>
    <cellStyle name="Normal 2 3 2 3 8 2 3" xfId="26509" xr:uid="{00000000-0005-0000-0000-00001D310000}"/>
    <cellStyle name="Normal 2 3 2 3 8 2 4" xfId="15594" xr:uid="{00000000-0005-0000-0000-00001E310000}"/>
    <cellStyle name="Normal 2 3 2 3 8 3" xfId="12904" xr:uid="{00000000-0005-0000-0000-00001F310000}"/>
    <cellStyle name="Normal 2 3 2 3 8 3 2" xfId="26512" xr:uid="{00000000-0005-0000-0000-000020310000}"/>
    <cellStyle name="Normal 2 3 2 3 8 3 3" xfId="26511" xr:uid="{00000000-0005-0000-0000-000021310000}"/>
    <cellStyle name="Normal 2 3 2 3 8 4" xfId="26513" xr:uid="{00000000-0005-0000-0000-000022310000}"/>
    <cellStyle name="Normal 2 3 2 3 8 5" xfId="26514" xr:uid="{00000000-0005-0000-0000-000023310000}"/>
    <cellStyle name="Normal 2 3 2 3 8 6" xfId="26508" xr:uid="{00000000-0005-0000-0000-000024310000}"/>
    <cellStyle name="Normal 2 3 2 3 8 7" xfId="15593" xr:uid="{00000000-0005-0000-0000-000025310000}"/>
    <cellStyle name="Normal 2 3 2 3 9" xfId="9825" xr:uid="{00000000-0005-0000-0000-000026310000}"/>
    <cellStyle name="Normal 2 3 2 3 9 2" xfId="13419" xr:uid="{00000000-0005-0000-0000-000027310000}"/>
    <cellStyle name="Normal 2 3 2 3 9 2 2" xfId="26516" xr:uid="{00000000-0005-0000-0000-000028310000}"/>
    <cellStyle name="Normal 2 3 2 3 9 3" xfId="26515" xr:uid="{00000000-0005-0000-0000-000029310000}"/>
    <cellStyle name="Normal 2 3 2 3 9 4" xfId="15595" xr:uid="{00000000-0005-0000-0000-00002A310000}"/>
    <cellStyle name="Normal 2 3 2 4" xfId="1503" xr:uid="{00000000-0005-0000-0000-00002B310000}"/>
    <cellStyle name="Normal 2 3 2 4 10" xfId="12343" xr:uid="{00000000-0005-0000-0000-00002C310000}"/>
    <cellStyle name="Normal 2 3 2 4 10 2" xfId="26519" xr:uid="{00000000-0005-0000-0000-00002D310000}"/>
    <cellStyle name="Normal 2 3 2 4 10 3" xfId="26518" xr:uid="{00000000-0005-0000-0000-00002E310000}"/>
    <cellStyle name="Normal 2 3 2 4 11" xfId="26520" xr:uid="{00000000-0005-0000-0000-00002F310000}"/>
    <cellStyle name="Normal 2 3 2 4 11 2" xfId="26521" xr:uid="{00000000-0005-0000-0000-000030310000}"/>
    <cellStyle name="Normal 2 3 2 4 12" xfId="26522" xr:uid="{00000000-0005-0000-0000-000031310000}"/>
    <cellStyle name="Normal 2 3 2 4 13" xfId="26523" xr:uid="{00000000-0005-0000-0000-000032310000}"/>
    <cellStyle name="Normal 2 3 2 4 14" xfId="26517" xr:uid="{00000000-0005-0000-0000-000033310000}"/>
    <cellStyle name="Normal 2 3 2 4 15" xfId="15596" xr:uid="{00000000-0005-0000-0000-000034310000}"/>
    <cellStyle name="Normal 2 3 2 4 2" xfId="8785" xr:uid="{00000000-0005-0000-0000-000035310000}"/>
    <cellStyle name="Normal 2 3 2 4 2 10" xfId="26525" xr:uid="{00000000-0005-0000-0000-000036310000}"/>
    <cellStyle name="Normal 2 3 2 4 2 11" xfId="26526" xr:uid="{00000000-0005-0000-0000-000037310000}"/>
    <cellStyle name="Normal 2 3 2 4 2 12" xfId="26524" xr:uid="{00000000-0005-0000-0000-000038310000}"/>
    <cellStyle name="Normal 2 3 2 4 2 13" xfId="15597" xr:uid="{00000000-0005-0000-0000-000039310000}"/>
    <cellStyle name="Normal 2 3 2 4 2 2" xfId="8913" xr:uid="{00000000-0005-0000-0000-00003A310000}"/>
    <cellStyle name="Normal 2 3 2 4 2 2 2" xfId="9169" xr:uid="{00000000-0005-0000-0000-00003B310000}"/>
    <cellStyle name="Normal 2 3 2 4 2 2 2 2" xfId="9737" xr:uid="{00000000-0005-0000-0000-00003C310000}"/>
    <cellStyle name="Normal 2 3 2 4 2 2 2 2 2" xfId="10791" xr:uid="{00000000-0005-0000-0000-00003D310000}"/>
    <cellStyle name="Normal 2 3 2 4 2 2 2 2 2 2" xfId="14385" xr:uid="{00000000-0005-0000-0000-00003E310000}"/>
    <cellStyle name="Normal 2 3 2 4 2 2 2 2 2 3" xfId="15601" xr:uid="{00000000-0005-0000-0000-00003F310000}"/>
    <cellStyle name="Normal 2 3 2 4 2 2 2 2 3" xfId="13332" xr:uid="{00000000-0005-0000-0000-000040310000}"/>
    <cellStyle name="Normal 2 3 2 4 2 2 2 2 3 2" xfId="26529" xr:uid="{00000000-0005-0000-0000-000041310000}"/>
    <cellStyle name="Normal 2 3 2 4 2 2 2 2 4" xfId="15600" xr:uid="{00000000-0005-0000-0000-000042310000}"/>
    <cellStyle name="Normal 2 3 2 4 2 2 2 3" xfId="10253" xr:uid="{00000000-0005-0000-0000-000043310000}"/>
    <cellStyle name="Normal 2 3 2 4 2 2 2 3 2" xfId="13847" xr:uid="{00000000-0005-0000-0000-000044310000}"/>
    <cellStyle name="Normal 2 3 2 4 2 2 2 3 3" xfId="15602" xr:uid="{00000000-0005-0000-0000-000045310000}"/>
    <cellStyle name="Normal 2 3 2 4 2 2 2 4" xfId="10978" xr:uid="{00000000-0005-0000-0000-000046310000}"/>
    <cellStyle name="Normal 2 3 2 4 2 2 2 4 2" xfId="14571" xr:uid="{00000000-0005-0000-0000-000047310000}"/>
    <cellStyle name="Normal 2 3 2 4 2 2 2 4 3" xfId="15603" xr:uid="{00000000-0005-0000-0000-000048310000}"/>
    <cellStyle name="Normal 2 3 2 4 2 2 2 5" xfId="12794" xr:uid="{00000000-0005-0000-0000-000049310000}"/>
    <cellStyle name="Normal 2 3 2 4 2 2 2 5 2" xfId="26528" xr:uid="{00000000-0005-0000-0000-00004A310000}"/>
    <cellStyle name="Normal 2 3 2 4 2 2 2 6" xfId="15599" xr:uid="{00000000-0005-0000-0000-00004B310000}"/>
    <cellStyle name="Normal 2 3 2 4 2 2 3" xfId="9481" xr:uid="{00000000-0005-0000-0000-00004C310000}"/>
    <cellStyle name="Normal 2 3 2 4 2 2 3 2" xfId="10535" xr:uid="{00000000-0005-0000-0000-00004D310000}"/>
    <cellStyle name="Normal 2 3 2 4 2 2 3 2 2" xfId="14129" xr:uid="{00000000-0005-0000-0000-00004E310000}"/>
    <cellStyle name="Normal 2 3 2 4 2 2 3 2 2 2" xfId="26531" xr:uid="{00000000-0005-0000-0000-00004F310000}"/>
    <cellStyle name="Normal 2 3 2 4 2 2 3 2 3" xfId="15605" xr:uid="{00000000-0005-0000-0000-000050310000}"/>
    <cellStyle name="Normal 2 3 2 4 2 2 3 3" xfId="13076" xr:uid="{00000000-0005-0000-0000-000051310000}"/>
    <cellStyle name="Normal 2 3 2 4 2 2 3 3 2" xfId="26530" xr:uid="{00000000-0005-0000-0000-000052310000}"/>
    <cellStyle name="Normal 2 3 2 4 2 2 3 4" xfId="15604" xr:uid="{00000000-0005-0000-0000-000053310000}"/>
    <cellStyle name="Normal 2 3 2 4 2 2 4" xfId="9997" xr:uid="{00000000-0005-0000-0000-000054310000}"/>
    <cellStyle name="Normal 2 3 2 4 2 2 4 2" xfId="13591" xr:uid="{00000000-0005-0000-0000-000055310000}"/>
    <cellStyle name="Normal 2 3 2 4 2 2 4 2 2" xfId="26533" xr:uid="{00000000-0005-0000-0000-000056310000}"/>
    <cellStyle name="Normal 2 3 2 4 2 2 4 3" xfId="26532" xr:uid="{00000000-0005-0000-0000-000057310000}"/>
    <cellStyle name="Normal 2 3 2 4 2 2 4 4" xfId="15606" xr:uid="{00000000-0005-0000-0000-000058310000}"/>
    <cellStyle name="Normal 2 3 2 4 2 2 5" xfId="10977" xr:uid="{00000000-0005-0000-0000-000059310000}"/>
    <cellStyle name="Normal 2 3 2 4 2 2 5 2" xfId="14570" xr:uid="{00000000-0005-0000-0000-00005A310000}"/>
    <cellStyle name="Normal 2 3 2 4 2 2 5 2 2" xfId="26534" xr:uid="{00000000-0005-0000-0000-00005B310000}"/>
    <cellStyle name="Normal 2 3 2 4 2 2 5 3" xfId="15607" xr:uid="{00000000-0005-0000-0000-00005C310000}"/>
    <cellStyle name="Normal 2 3 2 4 2 2 6" xfId="12538" xr:uid="{00000000-0005-0000-0000-00005D310000}"/>
    <cellStyle name="Normal 2 3 2 4 2 2 6 2" xfId="26535" xr:uid="{00000000-0005-0000-0000-00005E310000}"/>
    <cellStyle name="Normal 2 3 2 4 2 2 7" xfId="26527" xr:uid="{00000000-0005-0000-0000-00005F310000}"/>
    <cellStyle name="Normal 2 3 2 4 2 2 8" xfId="15598" xr:uid="{00000000-0005-0000-0000-000060310000}"/>
    <cellStyle name="Normal 2 3 2 4 2 3" xfId="9041" xr:uid="{00000000-0005-0000-0000-000061310000}"/>
    <cellStyle name="Normal 2 3 2 4 2 3 2" xfId="9609" xr:uid="{00000000-0005-0000-0000-000062310000}"/>
    <cellStyle name="Normal 2 3 2 4 2 3 2 2" xfId="10663" xr:uid="{00000000-0005-0000-0000-000063310000}"/>
    <cellStyle name="Normal 2 3 2 4 2 3 2 2 2" xfId="14257" xr:uid="{00000000-0005-0000-0000-000064310000}"/>
    <cellStyle name="Normal 2 3 2 4 2 3 2 2 2 2" xfId="26538" xr:uid="{00000000-0005-0000-0000-000065310000}"/>
    <cellStyle name="Normal 2 3 2 4 2 3 2 2 3" xfId="15610" xr:uid="{00000000-0005-0000-0000-000066310000}"/>
    <cellStyle name="Normal 2 3 2 4 2 3 2 3" xfId="13204" xr:uid="{00000000-0005-0000-0000-000067310000}"/>
    <cellStyle name="Normal 2 3 2 4 2 3 2 3 2" xfId="26537" xr:uid="{00000000-0005-0000-0000-000068310000}"/>
    <cellStyle name="Normal 2 3 2 4 2 3 2 4" xfId="15609" xr:uid="{00000000-0005-0000-0000-000069310000}"/>
    <cellStyle name="Normal 2 3 2 4 2 3 3" xfId="10125" xr:uid="{00000000-0005-0000-0000-00006A310000}"/>
    <cellStyle name="Normal 2 3 2 4 2 3 3 2" xfId="13719" xr:uid="{00000000-0005-0000-0000-00006B310000}"/>
    <cellStyle name="Normal 2 3 2 4 2 3 3 2 2" xfId="26540" xr:uid="{00000000-0005-0000-0000-00006C310000}"/>
    <cellStyle name="Normal 2 3 2 4 2 3 3 3" xfId="26539" xr:uid="{00000000-0005-0000-0000-00006D310000}"/>
    <cellStyle name="Normal 2 3 2 4 2 3 3 4" xfId="15611" xr:uid="{00000000-0005-0000-0000-00006E310000}"/>
    <cellStyle name="Normal 2 3 2 4 2 3 4" xfId="10979" xr:uid="{00000000-0005-0000-0000-00006F310000}"/>
    <cellStyle name="Normal 2 3 2 4 2 3 4 2" xfId="14572" xr:uid="{00000000-0005-0000-0000-000070310000}"/>
    <cellStyle name="Normal 2 3 2 4 2 3 4 2 2" xfId="26542" xr:uid="{00000000-0005-0000-0000-000071310000}"/>
    <cellStyle name="Normal 2 3 2 4 2 3 4 3" xfId="26541" xr:uid="{00000000-0005-0000-0000-000072310000}"/>
    <cellStyle name="Normal 2 3 2 4 2 3 4 4" xfId="15612" xr:uid="{00000000-0005-0000-0000-000073310000}"/>
    <cellStyle name="Normal 2 3 2 4 2 3 5" xfId="12666" xr:uid="{00000000-0005-0000-0000-000074310000}"/>
    <cellStyle name="Normal 2 3 2 4 2 3 5 2" xfId="26543" xr:uid="{00000000-0005-0000-0000-000075310000}"/>
    <cellStyle name="Normal 2 3 2 4 2 3 6" xfId="26544" xr:uid="{00000000-0005-0000-0000-000076310000}"/>
    <cellStyle name="Normal 2 3 2 4 2 3 7" xfId="26536" xr:uid="{00000000-0005-0000-0000-000077310000}"/>
    <cellStyle name="Normal 2 3 2 4 2 3 8" xfId="15608" xr:uid="{00000000-0005-0000-0000-000078310000}"/>
    <cellStyle name="Normal 2 3 2 4 2 4" xfId="9353" xr:uid="{00000000-0005-0000-0000-000079310000}"/>
    <cellStyle name="Normal 2 3 2 4 2 4 2" xfId="10407" xr:uid="{00000000-0005-0000-0000-00007A310000}"/>
    <cellStyle name="Normal 2 3 2 4 2 4 2 2" xfId="14001" xr:uid="{00000000-0005-0000-0000-00007B310000}"/>
    <cellStyle name="Normal 2 3 2 4 2 4 2 2 2" xfId="26547" xr:uid="{00000000-0005-0000-0000-00007C310000}"/>
    <cellStyle name="Normal 2 3 2 4 2 4 2 3" xfId="26546" xr:uid="{00000000-0005-0000-0000-00007D310000}"/>
    <cellStyle name="Normal 2 3 2 4 2 4 2 4" xfId="15614" xr:uid="{00000000-0005-0000-0000-00007E310000}"/>
    <cellStyle name="Normal 2 3 2 4 2 4 3" xfId="12948" xr:uid="{00000000-0005-0000-0000-00007F310000}"/>
    <cellStyle name="Normal 2 3 2 4 2 4 3 2" xfId="26549" xr:uid="{00000000-0005-0000-0000-000080310000}"/>
    <cellStyle name="Normal 2 3 2 4 2 4 3 3" xfId="26548" xr:uid="{00000000-0005-0000-0000-000081310000}"/>
    <cellStyle name="Normal 2 3 2 4 2 4 4" xfId="26550" xr:uid="{00000000-0005-0000-0000-000082310000}"/>
    <cellStyle name="Normal 2 3 2 4 2 4 4 2" xfId="26551" xr:uid="{00000000-0005-0000-0000-000083310000}"/>
    <cellStyle name="Normal 2 3 2 4 2 4 5" xfId="26552" xr:uid="{00000000-0005-0000-0000-000084310000}"/>
    <cellStyle name="Normal 2 3 2 4 2 4 6" xfId="26553" xr:uid="{00000000-0005-0000-0000-000085310000}"/>
    <cellStyle name="Normal 2 3 2 4 2 4 7" xfId="26545" xr:uid="{00000000-0005-0000-0000-000086310000}"/>
    <cellStyle name="Normal 2 3 2 4 2 4 8" xfId="15613" xr:uid="{00000000-0005-0000-0000-000087310000}"/>
    <cellStyle name="Normal 2 3 2 4 2 5" xfId="9869" xr:uid="{00000000-0005-0000-0000-000088310000}"/>
    <cellStyle name="Normal 2 3 2 4 2 5 2" xfId="13463" xr:uid="{00000000-0005-0000-0000-000089310000}"/>
    <cellStyle name="Normal 2 3 2 4 2 5 2 2" xfId="26556" xr:uid="{00000000-0005-0000-0000-00008A310000}"/>
    <cellStyle name="Normal 2 3 2 4 2 5 2 3" xfId="26555" xr:uid="{00000000-0005-0000-0000-00008B310000}"/>
    <cellStyle name="Normal 2 3 2 4 2 5 3" xfId="26557" xr:uid="{00000000-0005-0000-0000-00008C310000}"/>
    <cellStyle name="Normal 2 3 2 4 2 5 3 2" xfId="26558" xr:uid="{00000000-0005-0000-0000-00008D310000}"/>
    <cellStyle name="Normal 2 3 2 4 2 5 4" xfId="26559" xr:uid="{00000000-0005-0000-0000-00008E310000}"/>
    <cellStyle name="Normal 2 3 2 4 2 5 4 2" xfId="26560" xr:uid="{00000000-0005-0000-0000-00008F310000}"/>
    <cellStyle name="Normal 2 3 2 4 2 5 5" xfId="26561" xr:uid="{00000000-0005-0000-0000-000090310000}"/>
    <cellStyle name="Normal 2 3 2 4 2 5 6" xfId="26562" xr:uid="{00000000-0005-0000-0000-000091310000}"/>
    <cellStyle name="Normal 2 3 2 4 2 5 7" xfId="26554" xr:uid="{00000000-0005-0000-0000-000092310000}"/>
    <cellStyle name="Normal 2 3 2 4 2 5 8" xfId="15615" xr:uid="{00000000-0005-0000-0000-000093310000}"/>
    <cellStyle name="Normal 2 3 2 4 2 6" xfId="10976" xr:uid="{00000000-0005-0000-0000-000094310000}"/>
    <cellStyle name="Normal 2 3 2 4 2 6 2" xfId="14569" xr:uid="{00000000-0005-0000-0000-000095310000}"/>
    <cellStyle name="Normal 2 3 2 4 2 6 2 2" xfId="26565" xr:uid="{00000000-0005-0000-0000-000096310000}"/>
    <cellStyle name="Normal 2 3 2 4 2 6 2 3" xfId="26564" xr:uid="{00000000-0005-0000-0000-000097310000}"/>
    <cellStyle name="Normal 2 3 2 4 2 6 3" xfId="26566" xr:uid="{00000000-0005-0000-0000-000098310000}"/>
    <cellStyle name="Normal 2 3 2 4 2 6 3 2" xfId="26567" xr:uid="{00000000-0005-0000-0000-000099310000}"/>
    <cellStyle name="Normal 2 3 2 4 2 6 4" xfId="26568" xr:uid="{00000000-0005-0000-0000-00009A310000}"/>
    <cellStyle name="Normal 2 3 2 4 2 6 5" xfId="26569" xr:uid="{00000000-0005-0000-0000-00009B310000}"/>
    <cellStyle name="Normal 2 3 2 4 2 6 6" xfId="26563" xr:uid="{00000000-0005-0000-0000-00009C310000}"/>
    <cellStyle name="Normal 2 3 2 4 2 6 7" xfId="15616" xr:uid="{00000000-0005-0000-0000-00009D310000}"/>
    <cellStyle name="Normal 2 3 2 4 2 7" xfId="12410" xr:uid="{00000000-0005-0000-0000-00009E310000}"/>
    <cellStyle name="Normal 2 3 2 4 2 7 2" xfId="26571" xr:uid="{00000000-0005-0000-0000-00009F310000}"/>
    <cellStyle name="Normal 2 3 2 4 2 7 3" xfId="26570" xr:uid="{00000000-0005-0000-0000-0000A0310000}"/>
    <cellStyle name="Normal 2 3 2 4 2 8" xfId="26572" xr:uid="{00000000-0005-0000-0000-0000A1310000}"/>
    <cellStyle name="Normal 2 3 2 4 2 8 2" xfId="26573" xr:uid="{00000000-0005-0000-0000-0000A2310000}"/>
    <cellStyle name="Normal 2 3 2 4 2 9" xfId="26574" xr:uid="{00000000-0005-0000-0000-0000A3310000}"/>
    <cellStyle name="Normal 2 3 2 4 2 9 2" xfId="26575" xr:uid="{00000000-0005-0000-0000-0000A4310000}"/>
    <cellStyle name="Normal 2 3 2 4 3" xfId="8817" xr:uid="{00000000-0005-0000-0000-0000A5310000}"/>
    <cellStyle name="Normal 2 3 2 4 3 10" xfId="26577" xr:uid="{00000000-0005-0000-0000-0000A6310000}"/>
    <cellStyle name="Normal 2 3 2 4 3 11" xfId="26576" xr:uid="{00000000-0005-0000-0000-0000A7310000}"/>
    <cellStyle name="Normal 2 3 2 4 3 12" xfId="15617" xr:uid="{00000000-0005-0000-0000-0000A8310000}"/>
    <cellStyle name="Normal 2 3 2 4 3 2" xfId="8945" xr:uid="{00000000-0005-0000-0000-0000A9310000}"/>
    <cellStyle name="Normal 2 3 2 4 3 2 2" xfId="9201" xr:uid="{00000000-0005-0000-0000-0000AA310000}"/>
    <cellStyle name="Normal 2 3 2 4 3 2 2 2" xfId="9769" xr:uid="{00000000-0005-0000-0000-0000AB310000}"/>
    <cellStyle name="Normal 2 3 2 4 3 2 2 2 2" xfId="10823" xr:uid="{00000000-0005-0000-0000-0000AC310000}"/>
    <cellStyle name="Normal 2 3 2 4 3 2 2 2 2 2" xfId="14417" xr:uid="{00000000-0005-0000-0000-0000AD310000}"/>
    <cellStyle name="Normal 2 3 2 4 3 2 2 2 2 3" xfId="15621" xr:uid="{00000000-0005-0000-0000-0000AE310000}"/>
    <cellStyle name="Normal 2 3 2 4 3 2 2 2 3" xfId="13364" xr:uid="{00000000-0005-0000-0000-0000AF310000}"/>
    <cellStyle name="Normal 2 3 2 4 3 2 2 2 3 2" xfId="26580" xr:uid="{00000000-0005-0000-0000-0000B0310000}"/>
    <cellStyle name="Normal 2 3 2 4 3 2 2 2 4" xfId="15620" xr:uid="{00000000-0005-0000-0000-0000B1310000}"/>
    <cellStyle name="Normal 2 3 2 4 3 2 2 3" xfId="10285" xr:uid="{00000000-0005-0000-0000-0000B2310000}"/>
    <cellStyle name="Normal 2 3 2 4 3 2 2 3 2" xfId="13879" xr:uid="{00000000-0005-0000-0000-0000B3310000}"/>
    <cellStyle name="Normal 2 3 2 4 3 2 2 3 3" xfId="15622" xr:uid="{00000000-0005-0000-0000-0000B4310000}"/>
    <cellStyle name="Normal 2 3 2 4 3 2 2 4" xfId="10982" xr:uid="{00000000-0005-0000-0000-0000B5310000}"/>
    <cellStyle name="Normal 2 3 2 4 3 2 2 4 2" xfId="14575" xr:uid="{00000000-0005-0000-0000-0000B6310000}"/>
    <cellStyle name="Normal 2 3 2 4 3 2 2 4 3" xfId="15623" xr:uid="{00000000-0005-0000-0000-0000B7310000}"/>
    <cellStyle name="Normal 2 3 2 4 3 2 2 5" xfId="12826" xr:uid="{00000000-0005-0000-0000-0000B8310000}"/>
    <cellStyle name="Normal 2 3 2 4 3 2 2 5 2" xfId="26579" xr:uid="{00000000-0005-0000-0000-0000B9310000}"/>
    <cellStyle name="Normal 2 3 2 4 3 2 2 6" xfId="15619" xr:uid="{00000000-0005-0000-0000-0000BA310000}"/>
    <cellStyle name="Normal 2 3 2 4 3 2 3" xfId="9513" xr:uid="{00000000-0005-0000-0000-0000BB310000}"/>
    <cellStyle name="Normal 2 3 2 4 3 2 3 2" xfId="10567" xr:uid="{00000000-0005-0000-0000-0000BC310000}"/>
    <cellStyle name="Normal 2 3 2 4 3 2 3 2 2" xfId="14161" xr:uid="{00000000-0005-0000-0000-0000BD310000}"/>
    <cellStyle name="Normal 2 3 2 4 3 2 3 2 2 2" xfId="26582" xr:uid="{00000000-0005-0000-0000-0000BE310000}"/>
    <cellStyle name="Normal 2 3 2 4 3 2 3 2 3" xfId="15625" xr:uid="{00000000-0005-0000-0000-0000BF310000}"/>
    <cellStyle name="Normal 2 3 2 4 3 2 3 3" xfId="13108" xr:uid="{00000000-0005-0000-0000-0000C0310000}"/>
    <cellStyle name="Normal 2 3 2 4 3 2 3 3 2" xfId="26581" xr:uid="{00000000-0005-0000-0000-0000C1310000}"/>
    <cellStyle name="Normal 2 3 2 4 3 2 3 4" xfId="15624" xr:uid="{00000000-0005-0000-0000-0000C2310000}"/>
    <cellStyle name="Normal 2 3 2 4 3 2 4" xfId="10029" xr:uid="{00000000-0005-0000-0000-0000C3310000}"/>
    <cellStyle name="Normal 2 3 2 4 3 2 4 2" xfId="13623" xr:uid="{00000000-0005-0000-0000-0000C4310000}"/>
    <cellStyle name="Normal 2 3 2 4 3 2 4 2 2" xfId="26584" xr:uid="{00000000-0005-0000-0000-0000C5310000}"/>
    <cellStyle name="Normal 2 3 2 4 3 2 4 3" xfId="26583" xr:uid="{00000000-0005-0000-0000-0000C6310000}"/>
    <cellStyle name="Normal 2 3 2 4 3 2 4 4" xfId="15626" xr:uid="{00000000-0005-0000-0000-0000C7310000}"/>
    <cellStyle name="Normal 2 3 2 4 3 2 5" xfId="10981" xr:uid="{00000000-0005-0000-0000-0000C8310000}"/>
    <cellStyle name="Normal 2 3 2 4 3 2 5 2" xfId="14574" xr:uid="{00000000-0005-0000-0000-0000C9310000}"/>
    <cellStyle name="Normal 2 3 2 4 3 2 5 2 2" xfId="26585" xr:uid="{00000000-0005-0000-0000-0000CA310000}"/>
    <cellStyle name="Normal 2 3 2 4 3 2 5 3" xfId="15627" xr:uid="{00000000-0005-0000-0000-0000CB310000}"/>
    <cellStyle name="Normal 2 3 2 4 3 2 6" xfId="12570" xr:uid="{00000000-0005-0000-0000-0000CC310000}"/>
    <cellStyle name="Normal 2 3 2 4 3 2 6 2" xfId="26586" xr:uid="{00000000-0005-0000-0000-0000CD310000}"/>
    <cellStyle name="Normal 2 3 2 4 3 2 7" xfId="26578" xr:uid="{00000000-0005-0000-0000-0000CE310000}"/>
    <cellStyle name="Normal 2 3 2 4 3 2 8" xfId="15618" xr:uid="{00000000-0005-0000-0000-0000CF310000}"/>
    <cellStyle name="Normal 2 3 2 4 3 3" xfId="9073" xr:uid="{00000000-0005-0000-0000-0000D0310000}"/>
    <cellStyle name="Normal 2 3 2 4 3 3 2" xfId="9641" xr:uid="{00000000-0005-0000-0000-0000D1310000}"/>
    <cellStyle name="Normal 2 3 2 4 3 3 2 2" xfId="10695" xr:uid="{00000000-0005-0000-0000-0000D2310000}"/>
    <cellStyle name="Normal 2 3 2 4 3 3 2 2 2" xfId="14289" xr:uid="{00000000-0005-0000-0000-0000D3310000}"/>
    <cellStyle name="Normal 2 3 2 4 3 3 2 2 2 2" xfId="26589" xr:uid="{00000000-0005-0000-0000-0000D4310000}"/>
    <cellStyle name="Normal 2 3 2 4 3 3 2 2 3" xfId="15630" xr:uid="{00000000-0005-0000-0000-0000D5310000}"/>
    <cellStyle name="Normal 2 3 2 4 3 3 2 3" xfId="13236" xr:uid="{00000000-0005-0000-0000-0000D6310000}"/>
    <cellStyle name="Normal 2 3 2 4 3 3 2 3 2" xfId="26588" xr:uid="{00000000-0005-0000-0000-0000D7310000}"/>
    <cellStyle name="Normal 2 3 2 4 3 3 2 4" xfId="15629" xr:uid="{00000000-0005-0000-0000-0000D8310000}"/>
    <cellStyle name="Normal 2 3 2 4 3 3 3" xfId="10157" xr:uid="{00000000-0005-0000-0000-0000D9310000}"/>
    <cellStyle name="Normal 2 3 2 4 3 3 3 2" xfId="13751" xr:uid="{00000000-0005-0000-0000-0000DA310000}"/>
    <cellStyle name="Normal 2 3 2 4 3 3 3 2 2" xfId="26591" xr:uid="{00000000-0005-0000-0000-0000DB310000}"/>
    <cellStyle name="Normal 2 3 2 4 3 3 3 3" xfId="26590" xr:uid="{00000000-0005-0000-0000-0000DC310000}"/>
    <cellStyle name="Normal 2 3 2 4 3 3 3 4" xfId="15631" xr:uid="{00000000-0005-0000-0000-0000DD310000}"/>
    <cellStyle name="Normal 2 3 2 4 3 3 4" xfId="10983" xr:uid="{00000000-0005-0000-0000-0000DE310000}"/>
    <cellStyle name="Normal 2 3 2 4 3 3 4 2" xfId="14576" xr:uid="{00000000-0005-0000-0000-0000DF310000}"/>
    <cellStyle name="Normal 2 3 2 4 3 3 4 2 2" xfId="26593" xr:uid="{00000000-0005-0000-0000-0000E0310000}"/>
    <cellStyle name="Normal 2 3 2 4 3 3 4 3" xfId="26592" xr:uid="{00000000-0005-0000-0000-0000E1310000}"/>
    <cellStyle name="Normal 2 3 2 4 3 3 4 4" xfId="15632" xr:uid="{00000000-0005-0000-0000-0000E2310000}"/>
    <cellStyle name="Normal 2 3 2 4 3 3 5" xfId="12698" xr:uid="{00000000-0005-0000-0000-0000E3310000}"/>
    <cellStyle name="Normal 2 3 2 4 3 3 5 2" xfId="26594" xr:uid="{00000000-0005-0000-0000-0000E4310000}"/>
    <cellStyle name="Normal 2 3 2 4 3 3 6" xfId="26595" xr:uid="{00000000-0005-0000-0000-0000E5310000}"/>
    <cellStyle name="Normal 2 3 2 4 3 3 7" xfId="26587" xr:uid="{00000000-0005-0000-0000-0000E6310000}"/>
    <cellStyle name="Normal 2 3 2 4 3 3 8" xfId="15628" xr:uid="{00000000-0005-0000-0000-0000E7310000}"/>
    <cellStyle name="Normal 2 3 2 4 3 4" xfId="9385" xr:uid="{00000000-0005-0000-0000-0000E8310000}"/>
    <cellStyle name="Normal 2 3 2 4 3 4 2" xfId="10439" xr:uid="{00000000-0005-0000-0000-0000E9310000}"/>
    <cellStyle name="Normal 2 3 2 4 3 4 2 2" xfId="14033" xr:uid="{00000000-0005-0000-0000-0000EA310000}"/>
    <cellStyle name="Normal 2 3 2 4 3 4 2 2 2" xfId="26598" xr:uid="{00000000-0005-0000-0000-0000EB310000}"/>
    <cellStyle name="Normal 2 3 2 4 3 4 2 3" xfId="26597" xr:uid="{00000000-0005-0000-0000-0000EC310000}"/>
    <cellStyle name="Normal 2 3 2 4 3 4 2 4" xfId="15634" xr:uid="{00000000-0005-0000-0000-0000ED310000}"/>
    <cellStyle name="Normal 2 3 2 4 3 4 3" xfId="12980" xr:uid="{00000000-0005-0000-0000-0000EE310000}"/>
    <cellStyle name="Normal 2 3 2 4 3 4 3 2" xfId="26600" xr:uid="{00000000-0005-0000-0000-0000EF310000}"/>
    <cellStyle name="Normal 2 3 2 4 3 4 3 3" xfId="26599" xr:uid="{00000000-0005-0000-0000-0000F0310000}"/>
    <cellStyle name="Normal 2 3 2 4 3 4 4" xfId="26601" xr:uid="{00000000-0005-0000-0000-0000F1310000}"/>
    <cellStyle name="Normal 2 3 2 4 3 4 4 2" xfId="26602" xr:uid="{00000000-0005-0000-0000-0000F2310000}"/>
    <cellStyle name="Normal 2 3 2 4 3 4 5" xfId="26603" xr:uid="{00000000-0005-0000-0000-0000F3310000}"/>
    <cellStyle name="Normal 2 3 2 4 3 4 6" xfId="26604" xr:uid="{00000000-0005-0000-0000-0000F4310000}"/>
    <cellStyle name="Normal 2 3 2 4 3 4 7" xfId="26596" xr:uid="{00000000-0005-0000-0000-0000F5310000}"/>
    <cellStyle name="Normal 2 3 2 4 3 4 8" xfId="15633" xr:uid="{00000000-0005-0000-0000-0000F6310000}"/>
    <cellStyle name="Normal 2 3 2 4 3 5" xfId="9901" xr:uid="{00000000-0005-0000-0000-0000F7310000}"/>
    <cellStyle name="Normal 2 3 2 4 3 5 2" xfId="13495" xr:uid="{00000000-0005-0000-0000-0000F8310000}"/>
    <cellStyle name="Normal 2 3 2 4 3 5 2 2" xfId="26607" xr:uid="{00000000-0005-0000-0000-0000F9310000}"/>
    <cellStyle name="Normal 2 3 2 4 3 5 2 3" xfId="26606" xr:uid="{00000000-0005-0000-0000-0000FA310000}"/>
    <cellStyle name="Normal 2 3 2 4 3 5 3" xfId="26608" xr:uid="{00000000-0005-0000-0000-0000FB310000}"/>
    <cellStyle name="Normal 2 3 2 4 3 5 3 2" xfId="26609" xr:uid="{00000000-0005-0000-0000-0000FC310000}"/>
    <cellStyle name="Normal 2 3 2 4 3 5 4" xfId="26610" xr:uid="{00000000-0005-0000-0000-0000FD310000}"/>
    <cellStyle name="Normal 2 3 2 4 3 5 5" xfId="26611" xr:uid="{00000000-0005-0000-0000-0000FE310000}"/>
    <cellStyle name="Normal 2 3 2 4 3 5 6" xfId="26605" xr:uid="{00000000-0005-0000-0000-0000FF310000}"/>
    <cellStyle name="Normal 2 3 2 4 3 5 7" xfId="15635" xr:uid="{00000000-0005-0000-0000-000000320000}"/>
    <cellStyle name="Normal 2 3 2 4 3 6" xfId="10980" xr:uid="{00000000-0005-0000-0000-000001320000}"/>
    <cellStyle name="Normal 2 3 2 4 3 6 2" xfId="14573" xr:uid="{00000000-0005-0000-0000-000002320000}"/>
    <cellStyle name="Normal 2 3 2 4 3 6 2 2" xfId="26613" xr:uid="{00000000-0005-0000-0000-000003320000}"/>
    <cellStyle name="Normal 2 3 2 4 3 6 3" xfId="26612" xr:uid="{00000000-0005-0000-0000-000004320000}"/>
    <cellStyle name="Normal 2 3 2 4 3 6 4" xfId="15636" xr:uid="{00000000-0005-0000-0000-000005320000}"/>
    <cellStyle name="Normal 2 3 2 4 3 7" xfId="12442" xr:uid="{00000000-0005-0000-0000-000006320000}"/>
    <cellStyle name="Normal 2 3 2 4 3 7 2" xfId="26615" xr:uid="{00000000-0005-0000-0000-000007320000}"/>
    <cellStyle name="Normal 2 3 2 4 3 7 3" xfId="26614" xr:uid="{00000000-0005-0000-0000-000008320000}"/>
    <cellStyle name="Normal 2 3 2 4 3 8" xfId="26616" xr:uid="{00000000-0005-0000-0000-000009320000}"/>
    <cellStyle name="Normal 2 3 2 4 3 8 2" xfId="26617" xr:uid="{00000000-0005-0000-0000-00000A320000}"/>
    <cellStyle name="Normal 2 3 2 4 3 9" xfId="26618" xr:uid="{00000000-0005-0000-0000-00000B320000}"/>
    <cellStyle name="Normal 2 3 2 4 4" xfId="8849" xr:uid="{00000000-0005-0000-0000-00000C320000}"/>
    <cellStyle name="Normal 2 3 2 4 4 10" xfId="26620" xr:uid="{00000000-0005-0000-0000-00000D320000}"/>
    <cellStyle name="Normal 2 3 2 4 4 11" xfId="26619" xr:uid="{00000000-0005-0000-0000-00000E320000}"/>
    <cellStyle name="Normal 2 3 2 4 4 12" xfId="15637" xr:uid="{00000000-0005-0000-0000-00000F320000}"/>
    <cellStyle name="Normal 2 3 2 4 4 2" xfId="8977" xr:uid="{00000000-0005-0000-0000-000010320000}"/>
    <cellStyle name="Normal 2 3 2 4 4 2 2" xfId="9233" xr:uid="{00000000-0005-0000-0000-000011320000}"/>
    <cellStyle name="Normal 2 3 2 4 4 2 2 2" xfId="9801" xr:uid="{00000000-0005-0000-0000-000012320000}"/>
    <cellStyle name="Normal 2 3 2 4 4 2 2 2 2" xfId="10855" xr:uid="{00000000-0005-0000-0000-000013320000}"/>
    <cellStyle name="Normal 2 3 2 4 4 2 2 2 2 2" xfId="14449" xr:uid="{00000000-0005-0000-0000-000014320000}"/>
    <cellStyle name="Normal 2 3 2 4 4 2 2 2 2 3" xfId="15641" xr:uid="{00000000-0005-0000-0000-000015320000}"/>
    <cellStyle name="Normal 2 3 2 4 4 2 2 2 3" xfId="13396" xr:uid="{00000000-0005-0000-0000-000016320000}"/>
    <cellStyle name="Normal 2 3 2 4 4 2 2 2 3 2" xfId="26623" xr:uid="{00000000-0005-0000-0000-000017320000}"/>
    <cellStyle name="Normal 2 3 2 4 4 2 2 2 4" xfId="15640" xr:uid="{00000000-0005-0000-0000-000018320000}"/>
    <cellStyle name="Normal 2 3 2 4 4 2 2 3" xfId="10317" xr:uid="{00000000-0005-0000-0000-000019320000}"/>
    <cellStyle name="Normal 2 3 2 4 4 2 2 3 2" xfId="13911" xr:uid="{00000000-0005-0000-0000-00001A320000}"/>
    <cellStyle name="Normal 2 3 2 4 4 2 2 3 3" xfId="15642" xr:uid="{00000000-0005-0000-0000-00001B320000}"/>
    <cellStyle name="Normal 2 3 2 4 4 2 2 4" xfId="10986" xr:uid="{00000000-0005-0000-0000-00001C320000}"/>
    <cellStyle name="Normal 2 3 2 4 4 2 2 4 2" xfId="14579" xr:uid="{00000000-0005-0000-0000-00001D320000}"/>
    <cellStyle name="Normal 2 3 2 4 4 2 2 4 3" xfId="15643" xr:uid="{00000000-0005-0000-0000-00001E320000}"/>
    <cellStyle name="Normal 2 3 2 4 4 2 2 5" xfId="12858" xr:uid="{00000000-0005-0000-0000-00001F320000}"/>
    <cellStyle name="Normal 2 3 2 4 4 2 2 5 2" xfId="26622" xr:uid="{00000000-0005-0000-0000-000020320000}"/>
    <cellStyle name="Normal 2 3 2 4 4 2 2 6" xfId="15639" xr:uid="{00000000-0005-0000-0000-000021320000}"/>
    <cellStyle name="Normal 2 3 2 4 4 2 3" xfId="9545" xr:uid="{00000000-0005-0000-0000-000022320000}"/>
    <cellStyle name="Normal 2 3 2 4 4 2 3 2" xfId="10599" xr:uid="{00000000-0005-0000-0000-000023320000}"/>
    <cellStyle name="Normal 2 3 2 4 4 2 3 2 2" xfId="14193" xr:uid="{00000000-0005-0000-0000-000024320000}"/>
    <cellStyle name="Normal 2 3 2 4 4 2 3 2 2 2" xfId="26625" xr:uid="{00000000-0005-0000-0000-000025320000}"/>
    <cellStyle name="Normal 2 3 2 4 4 2 3 2 3" xfId="15645" xr:uid="{00000000-0005-0000-0000-000026320000}"/>
    <cellStyle name="Normal 2 3 2 4 4 2 3 3" xfId="13140" xr:uid="{00000000-0005-0000-0000-000027320000}"/>
    <cellStyle name="Normal 2 3 2 4 4 2 3 3 2" xfId="26624" xr:uid="{00000000-0005-0000-0000-000028320000}"/>
    <cellStyle name="Normal 2 3 2 4 4 2 3 4" xfId="15644" xr:uid="{00000000-0005-0000-0000-000029320000}"/>
    <cellStyle name="Normal 2 3 2 4 4 2 4" xfId="10061" xr:uid="{00000000-0005-0000-0000-00002A320000}"/>
    <cellStyle name="Normal 2 3 2 4 4 2 4 2" xfId="13655" xr:uid="{00000000-0005-0000-0000-00002B320000}"/>
    <cellStyle name="Normal 2 3 2 4 4 2 4 2 2" xfId="26627" xr:uid="{00000000-0005-0000-0000-00002C320000}"/>
    <cellStyle name="Normal 2 3 2 4 4 2 4 3" xfId="26626" xr:uid="{00000000-0005-0000-0000-00002D320000}"/>
    <cellStyle name="Normal 2 3 2 4 4 2 4 4" xfId="15646" xr:uid="{00000000-0005-0000-0000-00002E320000}"/>
    <cellStyle name="Normal 2 3 2 4 4 2 5" xfId="10985" xr:uid="{00000000-0005-0000-0000-00002F320000}"/>
    <cellStyle name="Normal 2 3 2 4 4 2 5 2" xfId="14578" xr:uid="{00000000-0005-0000-0000-000030320000}"/>
    <cellStyle name="Normal 2 3 2 4 4 2 5 2 2" xfId="26628" xr:uid="{00000000-0005-0000-0000-000031320000}"/>
    <cellStyle name="Normal 2 3 2 4 4 2 5 3" xfId="15647" xr:uid="{00000000-0005-0000-0000-000032320000}"/>
    <cellStyle name="Normal 2 3 2 4 4 2 6" xfId="12602" xr:uid="{00000000-0005-0000-0000-000033320000}"/>
    <cellStyle name="Normal 2 3 2 4 4 2 6 2" xfId="26629" xr:uid="{00000000-0005-0000-0000-000034320000}"/>
    <cellStyle name="Normal 2 3 2 4 4 2 7" xfId="26621" xr:uid="{00000000-0005-0000-0000-000035320000}"/>
    <cellStyle name="Normal 2 3 2 4 4 2 8" xfId="15638" xr:uid="{00000000-0005-0000-0000-000036320000}"/>
    <cellStyle name="Normal 2 3 2 4 4 3" xfId="9105" xr:uid="{00000000-0005-0000-0000-000037320000}"/>
    <cellStyle name="Normal 2 3 2 4 4 3 2" xfId="9673" xr:uid="{00000000-0005-0000-0000-000038320000}"/>
    <cellStyle name="Normal 2 3 2 4 4 3 2 2" xfId="10727" xr:uid="{00000000-0005-0000-0000-000039320000}"/>
    <cellStyle name="Normal 2 3 2 4 4 3 2 2 2" xfId="14321" xr:uid="{00000000-0005-0000-0000-00003A320000}"/>
    <cellStyle name="Normal 2 3 2 4 4 3 2 2 2 2" xfId="26632" xr:uid="{00000000-0005-0000-0000-00003B320000}"/>
    <cellStyle name="Normal 2 3 2 4 4 3 2 2 3" xfId="15650" xr:uid="{00000000-0005-0000-0000-00003C320000}"/>
    <cellStyle name="Normal 2 3 2 4 4 3 2 3" xfId="13268" xr:uid="{00000000-0005-0000-0000-00003D320000}"/>
    <cellStyle name="Normal 2 3 2 4 4 3 2 3 2" xfId="26631" xr:uid="{00000000-0005-0000-0000-00003E320000}"/>
    <cellStyle name="Normal 2 3 2 4 4 3 2 4" xfId="15649" xr:uid="{00000000-0005-0000-0000-00003F320000}"/>
    <cellStyle name="Normal 2 3 2 4 4 3 3" xfId="10189" xr:uid="{00000000-0005-0000-0000-000040320000}"/>
    <cellStyle name="Normal 2 3 2 4 4 3 3 2" xfId="13783" xr:uid="{00000000-0005-0000-0000-000041320000}"/>
    <cellStyle name="Normal 2 3 2 4 4 3 3 2 2" xfId="26634" xr:uid="{00000000-0005-0000-0000-000042320000}"/>
    <cellStyle name="Normal 2 3 2 4 4 3 3 3" xfId="26633" xr:uid="{00000000-0005-0000-0000-000043320000}"/>
    <cellStyle name="Normal 2 3 2 4 4 3 3 4" xfId="15651" xr:uid="{00000000-0005-0000-0000-000044320000}"/>
    <cellStyle name="Normal 2 3 2 4 4 3 4" xfId="10987" xr:uid="{00000000-0005-0000-0000-000045320000}"/>
    <cellStyle name="Normal 2 3 2 4 4 3 4 2" xfId="14580" xr:uid="{00000000-0005-0000-0000-000046320000}"/>
    <cellStyle name="Normal 2 3 2 4 4 3 4 2 2" xfId="26636" xr:uid="{00000000-0005-0000-0000-000047320000}"/>
    <cellStyle name="Normal 2 3 2 4 4 3 4 3" xfId="26635" xr:uid="{00000000-0005-0000-0000-000048320000}"/>
    <cellStyle name="Normal 2 3 2 4 4 3 4 4" xfId="15652" xr:uid="{00000000-0005-0000-0000-000049320000}"/>
    <cellStyle name="Normal 2 3 2 4 4 3 5" xfId="12730" xr:uid="{00000000-0005-0000-0000-00004A320000}"/>
    <cellStyle name="Normal 2 3 2 4 4 3 5 2" xfId="26637" xr:uid="{00000000-0005-0000-0000-00004B320000}"/>
    <cellStyle name="Normal 2 3 2 4 4 3 6" xfId="26638" xr:uid="{00000000-0005-0000-0000-00004C320000}"/>
    <cellStyle name="Normal 2 3 2 4 4 3 7" xfId="26630" xr:uid="{00000000-0005-0000-0000-00004D320000}"/>
    <cellStyle name="Normal 2 3 2 4 4 3 8" xfId="15648" xr:uid="{00000000-0005-0000-0000-00004E320000}"/>
    <cellStyle name="Normal 2 3 2 4 4 4" xfId="9417" xr:uid="{00000000-0005-0000-0000-00004F320000}"/>
    <cellStyle name="Normal 2 3 2 4 4 4 2" xfId="10471" xr:uid="{00000000-0005-0000-0000-000050320000}"/>
    <cellStyle name="Normal 2 3 2 4 4 4 2 2" xfId="14065" xr:uid="{00000000-0005-0000-0000-000051320000}"/>
    <cellStyle name="Normal 2 3 2 4 4 4 2 2 2" xfId="26641" xr:uid="{00000000-0005-0000-0000-000052320000}"/>
    <cellStyle name="Normal 2 3 2 4 4 4 2 3" xfId="26640" xr:uid="{00000000-0005-0000-0000-000053320000}"/>
    <cellStyle name="Normal 2 3 2 4 4 4 2 4" xfId="15654" xr:uid="{00000000-0005-0000-0000-000054320000}"/>
    <cellStyle name="Normal 2 3 2 4 4 4 3" xfId="13012" xr:uid="{00000000-0005-0000-0000-000055320000}"/>
    <cellStyle name="Normal 2 3 2 4 4 4 3 2" xfId="26643" xr:uid="{00000000-0005-0000-0000-000056320000}"/>
    <cellStyle name="Normal 2 3 2 4 4 4 3 3" xfId="26642" xr:uid="{00000000-0005-0000-0000-000057320000}"/>
    <cellStyle name="Normal 2 3 2 4 4 4 4" xfId="26644" xr:uid="{00000000-0005-0000-0000-000058320000}"/>
    <cellStyle name="Normal 2 3 2 4 4 4 4 2" xfId="26645" xr:uid="{00000000-0005-0000-0000-000059320000}"/>
    <cellStyle name="Normal 2 3 2 4 4 4 5" xfId="26646" xr:uid="{00000000-0005-0000-0000-00005A320000}"/>
    <cellStyle name="Normal 2 3 2 4 4 4 6" xfId="26647" xr:uid="{00000000-0005-0000-0000-00005B320000}"/>
    <cellStyle name="Normal 2 3 2 4 4 4 7" xfId="26639" xr:uid="{00000000-0005-0000-0000-00005C320000}"/>
    <cellStyle name="Normal 2 3 2 4 4 4 8" xfId="15653" xr:uid="{00000000-0005-0000-0000-00005D320000}"/>
    <cellStyle name="Normal 2 3 2 4 4 5" xfId="9933" xr:uid="{00000000-0005-0000-0000-00005E320000}"/>
    <cellStyle name="Normal 2 3 2 4 4 5 2" xfId="13527" xr:uid="{00000000-0005-0000-0000-00005F320000}"/>
    <cellStyle name="Normal 2 3 2 4 4 5 2 2" xfId="26650" xr:uid="{00000000-0005-0000-0000-000060320000}"/>
    <cellStyle name="Normal 2 3 2 4 4 5 2 3" xfId="26649" xr:uid="{00000000-0005-0000-0000-000061320000}"/>
    <cellStyle name="Normal 2 3 2 4 4 5 3" xfId="26651" xr:uid="{00000000-0005-0000-0000-000062320000}"/>
    <cellStyle name="Normal 2 3 2 4 4 5 3 2" xfId="26652" xr:uid="{00000000-0005-0000-0000-000063320000}"/>
    <cellStyle name="Normal 2 3 2 4 4 5 4" xfId="26653" xr:uid="{00000000-0005-0000-0000-000064320000}"/>
    <cellStyle name="Normal 2 3 2 4 4 5 5" xfId="26654" xr:uid="{00000000-0005-0000-0000-000065320000}"/>
    <cellStyle name="Normal 2 3 2 4 4 5 6" xfId="26648" xr:uid="{00000000-0005-0000-0000-000066320000}"/>
    <cellStyle name="Normal 2 3 2 4 4 5 7" xfId="15655" xr:uid="{00000000-0005-0000-0000-000067320000}"/>
    <cellStyle name="Normal 2 3 2 4 4 6" xfId="10984" xr:uid="{00000000-0005-0000-0000-000068320000}"/>
    <cellStyle name="Normal 2 3 2 4 4 6 2" xfId="14577" xr:uid="{00000000-0005-0000-0000-000069320000}"/>
    <cellStyle name="Normal 2 3 2 4 4 6 2 2" xfId="26656" xr:uid="{00000000-0005-0000-0000-00006A320000}"/>
    <cellStyle name="Normal 2 3 2 4 4 6 3" xfId="26655" xr:uid="{00000000-0005-0000-0000-00006B320000}"/>
    <cellStyle name="Normal 2 3 2 4 4 6 4" xfId="15656" xr:uid="{00000000-0005-0000-0000-00006C320000}"/>
    <cellStyle name="Normal 2 3 2 4 4 7" xfId="12474" xr:uid="{00000000-0005-0000-0000-00006D320000}"/>
    <cellStyle name="Normal 2 3 2 4 4 7 2" xfId="26658" xr:uid="{00000000-0005-0000-0000-00006E320000}"/>
    <cellStyle name="Normal 2 3 2 4 4 7 3" xfId="26657" xr:uid="{00000000-0005-0000-0000-00006F320000}"/>
    <cellStyle name="Normal 2 3 2 4 4 8" xfId="26659" xr:uid="{00000000-0005-0000-0000-000070320000}"/>
    <cellStyle name="Normal 2 3 2 4 4 8 2" xfId="26660" xr:uid="{00000000-0005-0000-0000-000071320000}"/>
    <cellStyle name="Normal 2 3 2 4 4 9" xfId="26661" xr:uid="{00000000-0005-0000-0000-000072320000}"/>
    <cellStyle name="Normal 2 3 2 4 5" xfId="8871" xr:uid="{00000000-0005-0000-0000-000073320000}"/>
    <cellStyle name="Normal 2 3 2 4 5 2" xfId="9127" xr:uid="{00000000-0005-0000-0000-000074320000}"/>
    <cellStyle name="Normal 2 3 2 4 5 2 2" xfId="9695" xr:uid="{00000000-0005-0000-0000-000075320000}"/>
    <cellStyle name="Normal 2 3 2 4 5 2 2 2" xfId="10749" xr:uid="{00000000-0005-0000-0000-000076320000}"/>
    <cellStyle name="Normal 2 3 2 4 5 2 2 2 2" xfId="14343" xr:uid="{00000000-0005-0000-0000-000077320000}"/>
    <cellStyle name="Normal 2 3 2 4 5 2 2 2 3" xfId="15660" xr:uid="{00000000-0005-0000-0000-000078320000}"/>
    <cellStyle name="Normal 2 3 2 4 5 2 2 3" xfId="13290" xr:uid="{00000000-0005-0000-0000-000079320000}"/>
    <cellStyle name="Normal 2 3 2 4 5 2 2 3 2" xfId="26664" xr:uid="{00000000-0005-0000-0000-00007A320000}"/>
    <cellStyle name="Normal 2 3 2 4 5 2 2 4" xfId="15659" xr:uid="{00000000-0005-0000-0000-00007B320000}"/>
    <cellStyle name="Normal 2 3 2 4 5 2 3" xfId="10211" xr:uid="{00000000-0005-0000-0000-00007C320000}"/>
    <cellStyle name="Normal 2 3 2 4 5 2 3 2" xfId="13805" xr:uid="{00000000-0005-0000-0000-00007D320000}"/>
    <cellStyle name="Normal 2 3 2 4 5 2 3 3" xfId="15661" xr:uid="{00000000-0005-0000-0000-00007E320000}"/>
    <cellStyle name="Normal 2 3 2 4 5 2 4" xfId="10989" xr:uid="{00000000-0005-0000-0000-00007F320000}"/>
    <cellStyle name="Normal 2 3 2 4 5 2 4 2" xfId="14582" xr:uid="{00000000-0005-0000-0000-000080320000}"/>
    <cellStyle name="Normal 2 3 2 4 5 2 4 3" xfId="15662" xr:uid="{00000000-0005-0000-0000-000081320000}"/>
    <cellStyle name="Normal 2 3 2 4 5 2 5" xfId="12752" xr:uid="{00000000-0005-0000-0000-000082320000}"/>
    <cellStyle name="Normal 2 3 2 4 5 2 5 2" xfId="26663" xr:uid="{00000000-0005-0000-0000-000083320000}"/>
    <cellStyle name="Normal 2 3 2 4 5 2 6" xfId="15658" xr:uid="{00000000-0005-0000-0000-000084320000}"/>
    <cellStyle name="Normal 2 3 2 4 5 3" xfId="9439" xr:uid="{00000000-0005-0000-0000-000085320000}"/>
    <cellStyle name="Normal 2 3 2 4 5 3 2" xfId="10493" xr:uid="{00000000-0005-0000-0000-000086320000}"/>
    <cellStyle name="Normal 2 3 2 4 5 3 2 2" xfId="14087" xr:uid="{00000000-0005-0000-0000-000087320000}"/>
    <cellStyle name="Normal 2 3 2 4 5 3 2 2 2" xfId="26666" xr:uid="{00000000-0005-0000-0000-000088320000}"/>
    <cellStyle name="Normal 2 3 2 4 5 3 2 3" xfId="15664" xr:uid="{00000000-0005-0000-0000-000089320000}"/>
    <cellStyle name="Normal 2 3 2 4 5 3 3" xfId="13034" xr:uid="{00000000-0005-0000-0000-00008A320000}"/>
    <cellStyle name="Normal 2 3 2 4 5 3 3 2" xfId="26665" xr:uid="{00000000-0005-0000-0000-00008B320000}"/>
    <cellStyle name="Normal 2 3 2 4 5 3 4" xfId="15663" xr:uid="{00000000-0005-0000-0000-00008C320000}"/>
    <cellStyle name="Normal 2 3 2 4 5 4" xfId="9955" xr:uid="{00000000-0005-0000-0000-00008D320000}"/>
    <cellStyle name="Normal 2 3 2 4 5 4 2" xfId="13549" xr:uid="{00000000-0005-0000-0000-00008E320000}"/>
    <cellStyle name="Normal 2 3 2 4 5 4 2 2" xfId="26668" xr:uid="{00000000-0005-0000-0000-00008F320000}"/>
    <cellStyle name="Normal 2 3 2 4 5 4 3" xfId="26667" xr:uid="{00000000-0005-0000-0000-000090320000}"/>
    <cellStyle name="Normal 2 3 2 4 5 4 4" xfId="15665" xr:uid="{00000000-0005-0000-0000-000091320000}"/>
    <cellStyle name="Normal 2 3 2 4 5 5" xfId="10988" xr:uid="{00000000-0005-0000-0000-000092320000}"/>
    <cellStyle name="Normal 2 3 2 4 5 5 2" xfId="14581" xr:uid="{00000000-0005-0000-0000-000093320000}"/>
    <cellStyle name="Normal 2 3 2 4 5 5 2 2" xfId="26669" xr:uid="{00000000-0005-0000-0000-000094320000}"/>
    <cellStyle name="Normal 2 3 2 4 5 5 3" xfId="15666" xr:uid="{00000000-0005-0000-0000-000095320000}"/>
    <cellStyle name="Normal 2 3 2 4 5 6" xfId="12496" xr:uid="{00000000-0005-0000-0000-000096320000}"/>
    <cellStyle name="Normal 2 3 2 4 5 6 2" xfId="26670" xr:uid="{00000000-0005-0000-0000-000097320000}"/>
    <cellStyle name="Normal 2 3 2 4 5 7" xfId="26662" xr:uid="{00000000-0005-0000-0000-000098320000}"/>
    <cellStyle name="Normal 2 3 2 4 5 8" xfId="15657" xr:uid="{00000000-0005-0000-0000-000099320000}"/>
    <cellStyle name="Normal 2 3 2 4 6" xfId="8999" xr:uid="{00000000-0005-0000-0000-00009A320000}"/>
    <cellStyle name="Normal 2 3 2 4 6 2" xfId="9567" xr:uid="{00000000-0005-0000-0000-00009B320000}"/>
    <cellStyle name="Normal 2 3 2 4 6 2 2" xfId="10621" xr:uid="{00000000-0005-0000-0000-00009C320000}"/>
    <cellStyle name="Normal 2 3 2 4 6 2 2 2" xfId="14215" xr:uid="{00000000-0005-0000-0000-00009D320000}"/>
    <cellStyle name="Normal 2 3 2 4 6 2 2 2 2" xfId="26673" xr:uid="{00000000-0005-0000-0000-00009E320000}"/>
    <cellStyle name="Normal 2 3 2 4 6 2 2 3" xfId="15669" xr:uid="{00000000-0005-0000-0000-00009F320000}"/>
    <cellStyle name="Normal 2 3 2 4 6 2 3" xfId="13162" xr:uid="{00000000-0005-0000-0000-0000A0320000}"/>
    <cellStyle name="Normal 2 3 2 4 6 2 3 2" xfId="26672" xr:uid="{00000000-0005-0000-0000-0000A1320000}"/>
    <cellStyle name="Normal 2 3 2 4 6 2 4" xfId="15668" xr:uid="{00000000-0005-0000-0000-0000A2320000}"/>
    <cellStyle name="Normal 2 3 2 4 6 3" xfId="10083" xr:uid="{00000000-0005-0000-0000-0000A3320000}"/>
    <cellStyle name="Normal 2 3 2 4 6 3 2" xfId="13677" xr:uid="{00000000-0005-0000-0000-0000A4320000}"/>
    <cellStyle name="Normal 2 3 2 4 6 3 2 2" xfId="26675" xr:uid="{00000000-0005-0000-0000-0000A5320000}"/>
    <cellStyle name="Normal 2 3 2 4 6 3 3" xfId="26674" xr:uid="{00000000-0005-0000-0000-0000A6320000}"/>
    <cellStyle name="Normal 2 3 2 4 6 3 4" xfId="15670" xr:uid="{00000000-0005-0000-0000-0000A7320000}"/>
    <cellStyle name="Normal 2 3 2 4 6 4" xfId="10990" xr:uid="{00000000-0005-0000-0000-0000A8320000}"/>
    <cellStyle name="Normal 2 3 2 4 6 4 2" xfId="14583" xr:uid="{00000000-0005-0000-0000-0000A9320000}"/>
    <cellStyle name="Normal 2 3 2 4 6 4 2 2" xfId="26677" xr:uid="{00000000-0005-0000-0000-0000AA320000}"/>
    <cellStyle name="Normal 2 3 2 4 6 4 3" xfId="26676" xr:uid="{00000000-0005-0000-0000-0000AB320000}"/>
    <cellStyle name="Normal 2 3 2 4 6 4 4" xfId="15671" xr:uid="{00000000-0005-0000-0000-0000AC320000}"/>
    <cellStyle name="Normal 2 3 2 4 6 5" xfId="12624" xr:uid="{00000000-0005-0000-0000-0000AD320000}"/>
    <cellStyle name="Normal 2 3 2 4 6 5 2" xfId="26678" xr:uid="{00000000-0005-0000-0000-0000AE320000}"/>
    <cellStyle name="Normal 2 3 2 4 6 6" xfId="26679" xr:uid="{00000000-0005-0000-0000-0000AF320000}"/>
    <cellStyle name="Normal 2 3 2 4 6 7" xfId="26671" xr:uid="{00000000-0005-0000-0000-0000B0320000}"/>
    <cellStyle name="Normal 2 3 2 4 6 8" xfId="15667" xr:uid="{00000000-0005-0000-0000-0000B1320000}"/>
    <cellStyle name="Normal 2 3 2 4 7" xfId="9311" xr:uid="{00000000-0005-0000-0000-0000B2320000}"/>
    <cellStyle name="Normal 2 3 2 4 7 2" xfId="10365" xr:uid="{00000000-0005-0000-0000-0000B3320000}"/>
    <cellStyle name="Normal 2 3 2 4 7 2 2" xfId="13959" xr:uid="{00000000-0005-0000-0000-0000B4320000}"/>
    <cellStyle name="Normal 2 3 2 4 7 2 2 2" xfId="26682" xr:uid="{00000000-0005-0000-0000-0000B5320000}"/>
    <cellStyle name="Normal 2 3 2 4 7 2 3" xfId="26681" xr:uid="{00000000-0005-0000-0000-0000B6320000}"/>
    <cellStyle name="Normal 2 3 2 4 7 2 4" xfId="15673" xr:uid="{00000000-0005-0000-0000-0000B7320000}"/>
    <cellStyle name="Normal 2 3 2 4 7 3" xfId="12906" xr:uid="{00000000-0005-0000-0000-0000B8320000}"/>
    <cellStyle name="Normal 2 3 2 4 7 3 2" xfId="26684" xr:uid="{00000000-0005-0000-0000-0000B9320000}"/>
    <cellStyle name="Normal 2 3 2 4 7 3 3" xfId="26683" xr:uid="{00000000-0005-0000-0000-0000BA320000}"/>
    <cellStyle name="Normal 2 3 2 4 7 4" xfId="26685" xr:uid="{00000000-0005-0000-0000-0000BB320000}"/>
    <cellStyle name="Normal 2 3 2 4 7 4 2" xfId="26686" xr:uid="{00000000-0005-0000-0000-0000BC320000}"/>
    <cellStyle name="Normal 2 3 2 4 7 5" xfId="26687" xr:uid="{00000000-0005-0000-0000-0000BD320000}"/>
    <cellStyle name="Normal 2 3 2 4 7 6" xfId="26688" xr:uid="{00000000-0005-0000-0000-0000BE320000}"/>
    <cellStyle name="Normal 2 3 2 4 7 7" xfId="26680" xr:uid="{00000000-0005-0000-0000-0000BF320000}"/>
    <cellStyle name="Normal 2 3 2 4 7 8" xfId="15672" xr:uid="{00000000-0005-0000-0000-0000C0320000}"/>
    <cellStyle name="Normal 2 3 2 4 8" xfId="9827" xr:uid="{00000000-0005-0000-0000-0000C1320000}"/>
    <cellStyle name="Normal 2 3 2 4 8 2" xfId="13421" xr:uid="{00000000-0005-0000-0000-0000C2320000}"/>
    <cellStyle name="Normal 2 3 2 4 8 2 2" xfId="26691" xr:uid="{00000000-0005-0000-0000-0000C3320000}"/>
    <cellStyle name="Normal 2 3 2 4 8 2 3" xfId="26690" xr:uid="{00000000-0005-0000-0000-0000C4320000}"/>
    <cellStyle name="Normal 2 3 2 4 8 3" xfId="26692" xr:uid="{00000000-0005-0000-0000-0000C5320000}"/>
    <cellStyle name="Normal 2 3 2 4 8 3 2" xfId="26693" xr:uid="{00000000-0005-0000-0000-0000C6320000}"/>
    <cellStyle name="Normal 2 3 2 4 8 4" xfId="26694" xr:uid="{00000000-0005-0000-0000-0000C7320000}"/>
    <cellStyle name="Normal 2 3 2 4 8 5" xfId="26695" xr:uid="{00000000-0005-0000-0000-0000C8320000}"/>
    <cellStyle name="Normal 2 3 2 4 8 6" xfId="26689" xr:uid="{00000000-0005-0000-0000-0000C9320000}"/>
    <cellStyle name="Normal 2 3 2 4 8 7" xfId="15674" xr:uid="{00000000-0005-0000-0000-0000CA320000}"/>
    <cellStyle name="Normal 2 3 2 4 9" xfId="10975" xr:uid="{00000000-0005-0000-0000-0000CB320000}"/>
    <cellStyle name="Normal 2 3 2 4 9 2" xfId="14568" xr:uid="{00000000-0005-0000-0000-0000CC320000}"/>
    <cellStyle name="Normal 2 3 2 4 9 2 2" xfId="26697" xr:uid="{00000000-0005-0000-0000-0000CD320000}"/>
    <cellStyle name="Normal 2 3 2 4 9 3" xfId="26696" xr:uid="{00000000-0005-0000-0000-0000CE320000}"/>
    <cellStyle name="Normal 2 3 2 4 9 4" xfId="15675" xr:uid="{00000000-0005-0000-0000-0000CF320000}"/>
    <cellStyle name="Normal 2 3 2 5" xfId="8769" xr:uid="{00000000-0005-0000-0000-0000D0320000}"/>
    <cellStyle name="Normal 2 3 2 5 10" xfId="26699" xr:uid="{00000000-0005-0000-0000-0000D1320000}"/>
    <cellStyle name="Normal 2 3 2 5 10 2" xfId="26700" xr:uid="{00000000-0005-0000-0000-0000D2320000}"/>
    <cellStyle name="Normal 2 3 2 5 11" xfId="26701" xr:uid="{00000000-0005-0000-0000-0000D3320000}"/>
    <cellStyle name="Normal 2 3 2 5 12" xfId="26702" xr:uid="{00000000-0005-0000-0000-0000D4320000}"/>
    <cellStyle name="Normal 2 3 2 5 13" xfId="26698" xr:uid="{00000000-0005-0000-0000-0000D5320000}"/>
    <cellStyle name="Normal 2 3 2 5 14" xfId="15676" xr:uid="{00000000-0005-0000-0000-0000D6320000}"/>
    <cellStyle name="Normal 2 3 2 5 2" xfId="8897" xr:uid="{00000000-0005-0000-0000-0000D7320000}"/>
    <cellStyle name="Normal 2 3 2 5 2 10" xfId="26704" xr:uid="{00000000-0005-0000-0000-0000D8320000}"/>
    <cellStyle name="Normal 2 3 2 5 2 11" xfId="26703" xr:uid="{00000000-0005-0000-0000-0000D9320000}"/>
    <cellStyle name="Normal 2 3 2 5 2 12" xfId="15677" xr:uid="{00000000-0005-0000-0000-0000DA320000}"/>
    <cellStyle name="Normal 2 3 2 5 2 2" xfId="9153" xr:uid="{00000000-0005-0000-0000-0000DB320000}"/>
    <cellStyle name="Normal 2 3 2 5 2 2 2" xfId="9721" xr:uid="{00000000-0005-0000-0000-0000DC320000}"/>
    <cellStyle name="Normal 2 3 2 5 2 2 2 2" xfId="10775" xr:uid="{00000000-0005-0000-0000-0000DD320000}"/>
    <cellStyle name="Normal 2 3 2 5 2 2 2 2 2" xfId="14369" xr:uid="{00000000-0005-0000-0000-0000DE320000}"/>
    <cellStyle name="Normal 2 3 2 5 2 2 2 2 2 2" xfId="26707" xr:uid="{00000000-0005-0000-0000-0000DF320000}"/>
    <cellStyle name="Normal 2 3 2 5 2 2 2 2 3" xfId="15680" xr:uid="{00000000-0005-0000-0000-0000E0320000}"/>
    <cellStyle name="Normal 2 3 2 5 2 2 2 3" xfId="13316" xr:uid="{00000000-0005-0000-0000-0000E1320000}"/>
    <cellStyle name="Normal 2 3 2 5 2 2 2 3 2" xfId="26706" xr:uid="{00000000-0005-0000-0000-0000E2320000}"/>
    <cellStyle name="Normal 2 3 2 5 2 2 2 4" xfId="15679" xr:uid="{00000000-0005-0000-0000-0000E3320000}"/>
    <cellStyle name="Normal 2 3 2 5 2 2 3" xfId="10237" xr:uid="{00000000-0005-0000-0000-0000E4320000}"/>
    <cellStyle name="Normal 2 3 2 5 2 2 3 2" xfId="13831" xr:uid="{00000000-0005-0000-0000-0000E5320000}"/>
    <cellStyle name="Normal 2 3 2 5 2 2 3 2 2" xfId="26709" xr:uid="{00000000-0005-0000-0000-0000E6320000}"/>
    <cellStyle name="Normal 2 3 2 5 2 2 3 3" xfId="26708" xr:uid="{00000000-0005-0000-0000-0000E7320000}"/>
    <cellStyle name="Normal 2 3 2 5 2 2 3 4" xfId="15681" xr:uid="{00000000-0005-0000-0000-0000E8320000}"/>
    <cellStyle name="Normal 2 3 2 5 2 2 4" xfId="10993" xr:uid="{00000000-0005-0000-0000-0000E9320000}"/>
    <cellStyle name="Normal 2 3 2 5 2 2 4 2" xfId="14586" xr:uid="{00000000-0005-0000-0000-0000EA320000}"/>
    <cellStyle name="Normal 2 3 2 5 2 2 4 2 2" xfId="26711" xr:uid="{00000000-0005-0000-0000-0000EB320000}"/>
    <cellStyle name="Normal 2 3 2 5 2 2 4 3" xfId="26710" xr:uid="{00000000-0005-0000-0000-0000EC320000}"/>
    <cellStyle name="Normal 2 3 2 5 2 2 4 4" xfId="15682" xr:uid="{00000000-0005-0000-0000-0000ED320000}"/>
    <cellStyle name="Normal 2 3 2 5 2 2 5" xfId="12778" xr:uid="{00000000-0005-0000-0000-0000EE320000}"/>
    <cellStyle name="Normal 2 3 2 5 2 2 5 2" xfId="26712" xr:uid="{00000000-0005-0000-0000-0000EF320000}"/>
    <cellStyle name="Normal 2 3 2 5 2 2 6" xfId="26713" xr:uid="{00000000-0005-0000-0000-0000F0320000}"/>
    <cellStyle name="Normal 2 3 2 5 2 2 7" xfId="26705" xr:uid="{00000000-0005-0000-0000-0000F1320000}"/>
    <cellStyle name="Normal 2 3 2 5 2 2 8" xfId="15678" xr:uid="{00000000-0005-0000-0000-0000F2320000}"/>
    <cellStyle name="Normal 2 3 2 5 2 3" xfId="9465" xr:uid="{00000000-0005-0000-0000-0000F3320000}"/>
    <cellStyle name="Normal 2 3 2 5 2 3 2" xfId="10519" xr:uid="{00000000-0005-0000-0000-0000F4320000}"/>
    <cellStyle name="Normal 2 3 2 5 2 3 2 2" xfId="14113" xr:uid="{00000000-0005-0000-0000-0000F5320000}"/>
    <cellStyle name="Normal 2 3 2 5 2 3 2 2 2" xfId="26716" xr:uid="{00000000-0005-0000-0000-0000F6320000}"/>
    <cellStyle name="Normal 2 3 2 5 2 3 2 3" xfId="26715" xr:uid="{00000000-0005-0000-0000-0000F7320000}"/>
    <cellStyle name="Normal 2 3 2 5 2 3 2 4" xfId="15684" xr:uid="{00000000-0005-0000-0000-0000F8320000}"/>
    <cellStyle name="Normal 2 3 2 5 2 3 3" xfId="13060" xr:uid="{00000000-0005-0000-0000-0000F9320000}"/>
    <cellStyle name="Normal 2 3 2 5 2 3 3 2" xfId="26718" xr:uid="{00000000-0005-0000-0000-0000FA320000}"/>
    <cellStyle name="Normal 2 3 2 5 2 3 3 3" xfId="26717" xr:uid="{00000000-0005-0000-0000-0000FB320000}"/>
    <cellStyle name="Normal 2 3 2 5 2 3 4" xfId="26719" xr:uid="{00000000-0005-0000-0000-0000FC320000}"/>
    <cellStyle name="Normal 2 3 2 5 2 3 4 2" xfId="26720" xr:uid="{00000000-0005-0000-0000-0000FD320000}"/>
    <cellStyle name="Normal 2 3 2 5 2 3 5" xfId="26721" xr:uid="{00000000-0005-0000-0000-0000FE320000}"/>
    <cellStyle name="Normal 2 3 2 5 2 3 6" xfId="26722" xr:uid="{00000000-0005-0000-0000-0000FF320000}"/>
    <cellStyle name="Normal 2 3 2 5 2 3 7" xfId="26714" xr:uid="{00000000-0005-0000-0000-000000330000}"/>
    <cellStyle name="Normal 2 3 2 5 2 3 8" xfId="15683" xr:uid="{00000000-0005-0000-0000-000001330000}"/>
    <cellStyle name="Normal 2 3 2 5 2 4" xfId="9981" xr:uid="{00000000-0005-0000-0000-000002330000}"/>
    <cellStyle name="Normal 2 3 2 5 2 4 2" xfId="13575" xr:uid="{00000000-0005-0000-0000-000003330000}"/>
    <cellStyle name="Normal 2 3 2 5 2 4 2 2" xfId="26725" xr:uid="{00000000-0005-0000-0000-000004330000}"/>
    <cellStyle name="Normal 2 3 2 5 2 4 2 3" xfId="26724" xr:uid="{00000000-0005-0000-0000-000005330000}"/>
    <cellStyle name="Normal 2 3 2 5 2 4 3" xfId="26726" xr:uid="{00000000-0005-0000-0000-000006330000}"/>
    <cellStyle name="Normal 2 3 2 5 2 4 3 2" xfId="26727" xr:uid="{00000000-0005-0000-0000-000007330000}"/>
    <cellStyle name="Normal 2 3 2 5 2 4 4" xfId="26728" xr:uid="{00000000-0005-0000-0000-000008330000}"/>
    <cellStyle name="Normal 2 3 2 5 2 4 4 2" xfId="26729" xr:uid="{00000000-0005-0000-0000-000009330000}"/>
    <cellStyle name="Normal 2 3 2 5 2 4 5" xfId="26730" xr:uid="{00000000-0005-0000-0000-00000A330000}"/>
    <cellStyle name="Normal 2 3 2 5 2 4 6" xfId="26731" xr:uid="{00000000-0005-0000-0000-00000B330000}"/>
    <cellStyle name="Normal 2 3 2 5 2 4 7" xfId="26723" xr:uid="{00000000-0005-0000-0000-00000C330000}"/>
    <cellStyle name="Normal 2 3 2 5 2 4 8" xfId="15685" xr:uid="{00000000-0005-0000-0000-00000D330000}"/>
    <cellStyle name="Normal 2 3 2 5 2 5" xfId="10992" xr:uid="{00000000-0005-0000-0000-00000E330000}"/>
    <cellStyle name="Normal 2 3 2 5 2 5 2" xfId="14585" xr:uid="{00000000-0005-0000-0000-00000F330000}"/>
    <cellStyle name="Normal 2 3 2 5 2 5 2 2" xfId="26734" xr:uid="{00000000-0005-0000-0000-000010330000}"/>
    <cellStyle name="Normal 2 3 2 5 2 5 2 3" xfId="26733" xr:uid="{00000000-0005-0000-0000-000011330000}"/>
    <cellStyle name="Normal 2 3 2 5 2 5 3" xfId="26735" xr:uid="{00000000-0005-0000-0000-000012330000}"/>
    <cellStyle name="Normal 2 3 2 5 2 5 3 2" xfId="26736" xr:uid="{00000000-0005-0000-0000-000013330000}"/>
    <cellStyle name="Normal 2 3 2 5 2 5 4" xfId="26737" xr:uid="{00000000-0005-0000-0000-000014330000}"/>
    <cellStyle name="Normal 2 3 2 5 2 5 5" xfId="26738" xr:uid="{00000000-0005-0000-0000-000015330000}"/>
    <cellStyle name="Normal 2 3 2 5 2 5 6" xfId="26732" xr:uid="{00000000-0005-0000-0000-000016330000}"/>
    <cellStyle name="Normal 2 3 2 5 2 5 7" xfId="15686" xr:uid="{00000000-0005-0000-0000-000017330000}"/>
    <cellStyle name="Normal 2 3 2 5 2 6" xfId="12522" xr:uid="{00000000-0005-0000-0000-000018330000}"/>
    <cellStyle name="Normal 2 3 2 5 2 6 2" xfId="26740" xr:uid="{00000000-0005-0000-0000-000019330000}"/>
    <cellStyle name="Normal 2 3 2 5 2 6 3" xfId="26739" xr:uid="{00000000-0005-0000-0000-00001A330000}"/>
    <cellStyle name="Normal 2 3 2 5 2 7" xfId="26741" xr:uid="{00000000-0005-0000-0000-00001B330000}"/>
    <cellStyle name="Normal 2 3 2 5 2 7 2" xfId="26742" xr:uid="{00000000-0005-0000-0000-00001C330000}"/>
    <cellStyle name="Normal 2 3 2 5 2 8" xfId="26743" xr:uid="{00000000-0005-0000-0000-00001D330000}"/>
    <cellStyle name="Normal 2 3 2 5 2 8 2" xfId="26744" xr:uid="{00000000-0005-0000-0000-00001E330000}"/>
    <cellStyle name="Normal 2 3 2 5 2 9" xfId="26745" xr:uid="{00000000-0005-0000-0000-00001F330000}"/>
    <cellStyle name="Normal 2 3 2 5 3" xfId="9025" xr:uid="{00000000-0005-0000-0000-000020330000}"/>
    <cellStyle name="Normal 2 3 2 5 3 10" xfId="26747" xr:uid="{00000000-0005-0000-0000-000021330000}"/>
    <cellStyle name="Normal 2 3 2 5 3 11" xfId="26746" xr:uid="{00000000-0005-0000-0000-000022330000}"/>
    <cellStyle name="Normal 2 3 2 5 3 12" xfId="15687" xr:uid="{00000000-0005-0000-0000-000023330000}"/>
    <cellStyle name="Normal 2 3 2 5 3 2" xfId="9593" xr:uid="{00000000-0005-0000-0000-000024330000}"/>
    <cellStyle name="Normal 2 3 2 5 3 2 2" xfId="10647" xr:uid="{00000000-0005-0000-0000-000025330000}"/>
    <cellStyle name="Normal 2 3 2 5 3 2 2 2" xfId="14241" xr:uid="{00000000-0005-0000-0000-000026330000}"/>
    <cellStyle name="Normal 2 3 2 5 3 2 2 2 2" xfId="26750" xr:uid="{00000000-0005-0000-0000-000027330000}"/>
    <cellStyle name="Normal 2 3 2 5 3 2 2 3" xfId="26749" xr:uid="{00000000-0005-0000-0000-000028330000}"/>
    <cellStyle name="Normal 2 3 2 5 3 2 2 4" xfId="15689" xr:uid="{00000000-0005-0000-0000-000029330000}"/>
    <cellStyle name="Normal 2 3 2 5 3 2 3" xfId="13188" xr:uid="{00000000-0005-0000-0000-00002A330000}"/>
    <cellStyle name="Normal 2 3 2 5 3 2 3 2" xfId="26752" xr:uid="{00000000-0005-0000-0000-00002B330000}"/>
    <cellStyle name="Normal 2 3 2 5 3 2 3 3" xfId="26751" xr:uid="{00000000-0005-0000-0000-00002C330000}"/>
    <cellStyle name="Normal 2 3 2 5 3 2 4" xfId="26753" xr:uid="{00000000-0005-0000-0000-00002D330000}"/>
    <cellStyle name="Normal 2 3 2 5 3 2 4 2" xfId="26754" xr:uid="{00000000-0005-0000-0000-00002E330000}"/>
    <cellStyle name="Normal 2 3 2 5 3 2 5" xfId="26755" xr:uid="{00000000-0005-0000-0000-00002F330000}"/>
    <cellStyle name="Normal 2 3 2 5 3 2 6" xfId="26756" xr:uid="{00000000-0005-0000-0000-000030330000}"/>
    <cellStyle name="Normal 2 3 2 5 3 2 7" xfId="26748" xr:uid="{00000000-0005-0000-0000-000031330000}"/>
    <cellStyle name="Normal 2 3 2 5 3 2 8" xfId="15688" xr:uid="{00000000-0005-0000-0000-000032330000}"/>
    <cellStyle name="Normal 2 3 2 5 3 3" xfId="10109" xr:uid="{00000000-0005-0000-0000-000033330000}"/>
    <cellStyle name="Normal 2 3 2 5 3 3 2" xfId="13703" xr:uid="{00000000-0005-0000-0000-000034330000}"/>
    <cellStyle name="Normal 2 3 2 5 3 3 2 2" xfId="26759" xr:uid="{00000000-0005-0000-0000-000035330000}"/>
    <cellStyle name="Normal 2 3 2 5 3 3 2 3" xfId="26758" xr:uid="{00000000-0005-0000-0000-000036330000}"/>
    <cellStyle name="Normal 2 3 2 5 3 3 3" xfId="26760" xr:uid="{00000000-0005-0000-0000-000037330000}"/>
    <cellStyle name="Normal 2 3 2 5 3 3 3 2" xfId="26761" xr:uid="{00000000-0005-0000-0000-000038330000}"/>
    <cellStyle name="Normal 2 3 2 5 3 3 4" xfId="26762" xr:uid="{00000000-0005-0000-0000-000039330000}"/>
    <cellStyle name="Normal 2 3 2 5 3 3 4 2" xfId="26763" xr:uid="{00000000-0005-0000-0000-00003A330000}"/>
    <cellStyle name="Normal 2 3 2 5 3 3 5" xfId="26764" xr:uid="{00000000-0005-0000-0000-00003B330000}"/>
    <cellStyle name="Normal 2 3 2 5 3 3 6" xfId="26765" xr:uid="{00000000-0005-0000-0000-00003C330000}"/>
    <cellStyle name="Normal 2 3 2 5 3 3 7" xfId="26757" xr:uid="{00000000-0005-0000-0000-00003D330000}"/>
    <cellStyle name="Normal 2 3 2 5 3 3 8" xfId="15690" xr:uid="{00000000-0005-0000-0000-00003E330000}"/>
    <cellStyle name="Normal 2 3 2 5 3 4" xfId="10994" xr:uid="{00000000-0005-0000-0000-00003F330000}"/>
    <cellStyle name="Normal 2 3 2 5 3 4 2" xfId="14587" xr:uid="{00000000-0005-0000-0000-000040330000}"/>
    <cellStyle name="Normal 2 3 2 5 3 4 2 2" xfId="26768" xr:uid="{00000000-0005-0000-0000-000041330000}"/>
    <cellStyle name="Normal 2 3 2 5 3 4 2 3" xfId="26767" xr:uid="{00000000-0005-0000-0000-000042330000}"/>
    <cellStyle name="Normal 2 3 2 5 3 4 3" xfId="26769" xr:uid="{00000000-0005-0000-0000-000043330000}"/>
    <cellStyle name="Normal 2 3 2 5 3 4 3 2" xfId="26770" xr:uid="{00000000-0005-0000-0000-000044330000}"/>
    <cellStyle name="Normal 2 3 2 5 3 4 4" xfId="26771" xr:uid="{00000000-0005-0000-0000-000045330000}"/>
    <cellStyle name="Normal 2 3 2 5 3 4 4 2" xfId="26772" xr:uid="{00000000-0005-0000-0000-000046330000}"/>
    <cellStyle name="Normal 2 3 2 5 3 4 5" xfId="26773" xr:uid="{00000000-0005-0000-0000-000047330000}"/>
    <cellStyle name="Normal 2 3 2 5 3 4 6" xfId="26774" xr:uid="{00000000-0005-0000-0000-000048330000}"/>
    <cellStyle name="Normal 2 3 2 5 3 4 7" xfId="26766" xr:uid="{00000000-0005-0000-0000-000049330000}"/>
    <cellStyle name="Normal 2 3 2 5 3 4 8" xfId="15691" xr:uid="{00000000-0005-0000-0000-00004A330000}"/>
    <cellStyle name="Normal 2 3 2 5 3 5" xfId="12650" xr:uid="{00000000-0005-0000-0000-00004B330000}"/>
    <cellStyle name="Normal 2 3 2 5 3 5 2" xfId="26776" xr:uid="{00000000-0005-0000-0000-00004C330000}"/>
    <cellStyle name="Normal 2 3 2 5 3 5 2 2" xfId="26777" xr:uid="{00000000-0005-0000-0000-00004D330000}"/>
    <cellStyle name="Normal 2 3 2 5 3 5 3" xfId="26778" xr:uid="{00000000-0005-0000-0000-00004E330000}"/>
    <cellStyle name="Normal 2 3 2 5 3 5 3 2" xfId="26779" xr:uid="{00000000-0005-0000-0000-00004F330000}"/>
    <cellStyle name="Normal 2 3 2 5 3 5 4" xfId="26780" xr:uid="{00000000-0005-0000-0000-000050330000}"/>
    <cellStyle name="Normal 2 3 2 5 3 5 5" xfId="26781" xr:uid="{00000000-0005-0000-0000-000051330000}"/>
    <cellStyle name="Normal 2 3 2 5 3 5 6" xfId="26775" xr:uid="{00000000-0005-0000-0000-000052330000}"/>
    <cellStyle name="Normal 2 3 2 5 3 6" xfId="26782" xr:uid="{00000000-0005-0000-0000-000053330000}"/>
    <cellStyle name="Normal 2 3 2 5 3 6 2" xfId="26783" xr:uid="{00000000-0005-0000-0000-000054330000}"/>
    <cellStyle name="Normal 2 3 2 5 3 7" xfId="26784" xr:uid="{00000000-0005-0000-0000-000055330000}"/>
    <cellStyle name="Normal 2 3 2 5 3 7 2" xfId="26785" xr:uid="{00000000-0005-0000-0000-000056330000}"/>
    <cellStyle name="Normal 2 3 2 5 3 8" xfId="26786" xr:uid="{00000000-0005-0000-0000-000057330000}"/>
    <cellStyle name="Normal 2 3 2 5 3 8 2" xfId="26787" xr:uid="{00000000-0005-0000-0000-000058330000}"/>
    <cellStyle name="Normal 2 3 2 5 3 9" xfId="26788" xr:uid="{00000000-0005-0000-0000-000059330000}"/>
    <cellStyle name="Normal 2 3 2 5 4" xfId="9337" xr:uid="{00000000-0005-0000-0000-00005A330000}"/>
    <cellStyle name="Normal 2 3 2 5 4 2" xfId="10391" xr:uid="{00000000-0005-0000-0000-00005B330000}"/>
    <cellStyle name="Normal 2 3 2 5 4 2 2" xfId="13985" xr:uid="{00000000-0005-0000-0000-00005C330000}"/>
    <cellStyle name="Normal 2 3 2 5 4 2 2 2" xfId="26791" xr:uid="{00000000-0005-0000-0000-00005D330000}"/>
    <cellStyle name="Normal 2 3 2 5 4 2 3" xfId="26790" xr:uid="{00000000-0005-0000-0000-00005E330000}"/>
    <cellStyle name="Normal 2 3 2 5 4 2 4" xfId="15693" xr:uid="{00000000-0005-0000-0000-00005F330000}"/>
    <cellStyle name="Normal 2 3 2 5 4 3" xfId="12932" xr:uid="{00000000-0005-0000-0000-000060330000}"/>
    <cellStyle name="Normal 2 3 2 5 4 3 2" xfId="26793" xr:uid="{00000000-0005-0000-0000-000061330000}"/>
    <cellStyle name="Normal 2 3 2 5 4 3 3" xfId="26792" xr:uid="{00000000-0005-0000-0000-000062330000}"/>
    <cellStyle name="Normal 2 3 2 5 4 4" xfId="26794" xr:uid="{00000000-0005-0000-0000-000063330000}"/>
    <cellStyle name="Normal 2 3 2 5 4 4 2" xfId="26795" xr:uid="{00000000-0005-0000-0000-000064330000}"/>
    <cellStyle name="Normal 2 3 2 5 4 5" xfId="26796" xr:uid="{00000000-0005-0000-0000-000065330000}"/>
    <cellStyle name="Normal 2 3 2 5 4 6" xfId="26797" xr:uid="{00000000-0005-0000-0000-000066330000}"/>
    <cellStyle name="Normal 2 3 2 5 4 7" xfId="26789" xr:uid="{00000000-0005-0000-0000-000067330000}"/>
    <cellStyle name="Normal 2 3 2 5 4 8" xfId="15692" xr:uid="{00000000-0005-0000-0000-000068330000}"/>
    <cellStyle name="Normal 2 3 2 5 5" xfId="9853" xr:uid="{00000000-0005-0000-0000-000069330000}"/>
    <cellStyle name="Normal 2 3 2 5 5 2" xfId="13447" xr:uid="{00000000-0005-0000-0000-00006A330000}"/>
    <cellStyle name="Normal 2 3 2 5 5 2 2" xfId="26800" xr:uid="{00000000-0005-0000-0000-00006B330000}"/>
    <cellStyle name="Normal 2 3 2 5 5 2 3" xfId="26799" xr:uid="{00000000-0005-0000-0000-00006C330000}"/>
    <cellStyle name="Normal 2 3 2 5 5 3" xfId="26801" xr:uid="{00000000-0005-0000-0000-00006D330000}"/>
    <cellStyle name="Normal 2 3 2 5 5 3 2" xfId="26802" xr:uid="{00000000-0005-0000-0000-00006E330000}"/>
    <cellStyle name="Normal 2 3 2 5 5 4" xfId="26803" xr:uid="{00000000-0005-0000-0000-00006F330000}"/>
    <cellStyle name="Normal 2 3 2 5 5 4 2" xfId="26804" xr:uid="{00000000-0005-0000-0000-000070330000}"/>
    <cellStyle name="Normal 2 3 2 5 5 5" xfId="26805" xr:uid="{00000000-0005-0000-0000-000071330000}"/>
    <cellStyle name="Normal 2 3 2 5 5 6" xfId="26806" xr:uid="{00000000-0005-0000-0000-000072330000}"/>
    <cellStyle name="Normal 2 3 2 5 5 7" xfId="26798" xr:uid="{00000000-0005-0000-0000-000073330000}"/>
    <cellStyle name="Normal 2 3 2 5 5 8" xfId="15694" xr:uid="{00000000-0005-0000-0000-000074330000}"/>
    <cellStyle name="Normal 2 3 2 5 6" xfId="10991" xr:uid="{00000000-0005-0000-0000-000075330000}"/>
    <cellStyle name="Normal 2 3 2 5 6 2" xfId="14584" xr:uid="{00000000-0005-0000-0000-000076330000}"/>
    <cellStyle name="Normal 2 3 2 5 6 2 2" xfId="26809" xr:uid="{00000000-0005-0000-0000-000077330000}"/>
    <cellStyle name="Normal 2 3 2 5 6 2 3" xfId="26808" xr:uid="{00000000-0005-0000-0000-000078330000}"/>
    <cellStyle name="Normal 2 3 2 5 6 3" xfId="26810" xr:uid="{00000000-0005-0000-0000-000079330000}"/>
    <cellStyle name="Normal 2 3 2 5 6 3 2" xfId="26811" xr:uid="{00000000-0005-0000-0000-00007A330000}"/>
    <cellStyle name="Normal 2 3 2 5 6 4" xfId="26812" xr:uid="{00000000-0005-0000-0000-00007B330000}"/>
    <cellStyle name="Normal 2 3 2 5 6 4 2" xfId="26813" xr:uid="{00000000-0005-0000-0000-00007C330000}"/>
    <cellStyle name="Normal 2 3 2 5 6 5" xfId="26814" xr:uid="{00000000-0005-0000-0000-00007D330000}"/>
    <cellStyle name="Normal 2 3 2 5 6 6" xfId="26815" xr:uid="{00000000-0005-0000-0000-00007E330000}"/>
    <cellStyle name="Normal 2 3 2 5 6 7" xfId="26807" xr:uid="{00000000-0005-0000-0000-00007F330000}"/>
    <cellStyle name="Normal 2 3 2 5 6 8" xfId="15695" xr:uid="{00000000-0005-0000-0000-000080330000}"/>
    <cellStyle name="Normal 2 3 2 5 7" xfId="12394" xr:uid="{00000000-0005-0000-0000-000081330000}"/>
    <cellStyle name="Normal 2 3 2 5 7 2" xfId="26817" xr:uid="{00000000-0005-0000-0000-000082330000}"/>
    <cellStyle name="Normal 2 3 2 5 7 2 2" xfId="26818" xr:uid="{00000000-0005-0000-0000-000083330000}"/>
    <cellStyle name="Normal 2 3 2 5 7 3" xfId="26819" xr:uid="{00000000-0005-0000-0000-000084330000}"/>
    <cellStyle name="Normal 2 3 2 5 7 3 2" xfId="26820" xr:uid="{00000000-0005-0000-0000-000085330000}"/>
    <cellStyle name="Normal 2 3 2 5 7 4" xfId="26821" xr:uid="{00000000-0005-0000-0000-000086330000}"/>
    <cellStyle name="Normal 2 3 2 5 7 5" xfId="26822" xr:uid="{00000000-0005-0000-0000-000087330000}"/>
    <cellStyle name="Normal 2 3 2 5 7 6" xfId="26816" xr:uid="{00000000-0005-0000-0000-000088330000}"/>
    <cellStyle name="Normal 2 3 2 5 8" xfId="26823" xr:uid="{00000000-0005-0000-0000-000089330000}"/>
    <cellStyle name="Normal 2 3 2 5 8 2" xfId="26824" xr:uid="{00000000-0005-0000-0000-00008A330000}"/>
    <cellStyle name="Normal 2 3 2 5 9" xfId="26825" xr:uid="{00000000-0005-0000-0000-00008B330000}"/>
    <cellStyle name="Normal 2 3 2 5 9 2" xfId="26826" xr:uid="{00000000-0005-0000-0000-00008C330000}"/>
    <cellStyle name="Normal 2 3 2 6" xfId="8801" xr:uid="{00000000-0005-0000-0000-00008D330000}"/>
    <cellStyle name="Normal 2 3 2 6 10" xfId="26828" xr:uid="{00000000-0005-0000-0000-00008E330000}"/>
    <cellStyle name="Normal 2 3 2 6 11" xfId="26829" xr:uid="{00000000-0005-0000-0000-00008F330000}"/>
    <cellStyle name="Normal 2 3 2 6 12" xfId="26827" xr:uid="{00000000-0005-0000-0000-000090330000}"/>
    <cellStyle name="Normal 2 3 2 6 13" xfId="15696" xr:uid="{00000000-0005-0000-0000-000091330000}"/>
    <cellStyle name="Normal 2 3 2 6 2" xfId="8929" xr:uid="{00000000-0005-0000-0000-000092330000}"/>
    <cellStyle name="Normal 2 3 2 6 2 2" xfId="9185" xr:uid="{00000000-0005-0000-0000-000093330000}"/>
    <cellStyle name="Normal 2 3 2 6 2 2 2" xfId="9753" xr:uid="{00000000-0005-0000-0000-000094330000}"/>
    <cellStyle name="Normal 2 3 2 6 2 2 2 2" xfId="10807" xr:uid="{00000000-0005-0000-0000-000095330000}"/>
    <cellStyle name="Normal 2 3 2 6 2 2 2 2 2" xfId="14401" xr:uid="{00000000-0005-0000-0000-000096330000}"/>
    <cellStyle name="Normal 2 3 2 6 2 2 2 2 3" xfId="15700" xr:uid="{00000000-0005-0000-0000-000097330000}"/>
    <cellStyle name="Normal 2 3 2 6 2 2 2 3" xfId="13348" xr:uid="{00000000-0005-0000-0000-000098330000}"/>
    <cellStyle name="Normal 2 3 2 6 2 2 2 3 2" xfId="26832" xr:uid="{00000000-0005-0000-0000-000099330000}"/>
    <cellStyle name="Normal 2 3 2 6 2 2 2 4" xfId="15699" xr:uid="{00000000-0005-0000-0000-00009A330000}"/>
    <cellStyle name="Normal 2 3 2 6 2 2 3" xfId="10269" xr:uid="{00000000-0005-0000-0000-00009B330000}"/>
    <cellStyle name="Normal 2 3 2 6 2 2 3 2" xfId="13863" xr:uid="{00000000-0005-0000-0000-00009C330000}"/>
    <cellStyle name="Normal 2 3 2 6 2 2 3 3" xfId="15701" xr:uid="{00000000-0005-0000-0000-00009D330000}"/>
    <cellStyle name="Normal 2 3 2 6 2 2 4" xfId="10997" xr:uid="{00000000-0005-0000-0000-00009E330000}"/>
    <cellStyle name="Normal 2 3 2 6 2 2 4 2" xfId="14590" xr:uid="{00000000-0005-0000-0000-00009F330000}"/>
    <cellStyle name="Normal 2 3 2 6 2 2 4 3" xfId="15702" xr:uid="{00000000-0005-0000-0000-0000A0330000}"/>
    <cellStyle name="Normal 2 3 2 6 2 2 5" xfId="12810" xr:uid="{00000000-0005-0000-0000-0000A1330000}"/>
    <cellStyle name="Normal 2 3 2 6 2 2 5 2" xfId="26831" xr:uid="{00000000-0005-0000-0000-0000A2330000}"/>
    <cellStyle name="Normal 2 3 2 6 2 2 6" xfId="15698" xr:uid="{00000000-0005-0000-0000-0000A3330000}"/>
    <cellStyle name="Normal 2 3 2 6 2 3" xfId="9497" xr:uid="{00000000-0005-0000-0000-0000A4330000}"/>
    <cellStyle name="Normal 2 3 2 6 2 3 2" xfId="10551" xr:uid="{00000000-0005-0000-0000-0000A5330000}"/>
    <cellStyle name="Normal 2 3 2 6 2 3 2 2" xfId="14145" xr:uid="{00000000-0005-0000-0000-0000A6330000}"/>
    <cellStyle name="Normal 2 3 2 6 2 3 2 2 2" xfId="26834" xr:uid="{00000000-0005-0000-0000-0000A7330000}"/>
    <cellStyle name="Normal 2 3 2 6 2 3 2 3" xfId="15704" xr:uid="{00000000-0005-0000-0000-0000A8330000}"/>
    <cellStyle name="Normal 2 3 2 6 2 3 3" xfId="13092" xr:uid="{00000000-0005-0000-0000-0000A9330000}"/>
    <cellStyle name="Normal 2 3 2 6 2 3 3 2" xfId="26833" xr:uid="{00000000-0005-0000-0000-0000AA330000}"/>
    <cellStyle name="Normal 2 3 2 6 2 3 4" xfId="15703" xr:uid="{00000000-0005-0000-0000-0000AB330000}"/>
    <cellStyle name="Normal 2 3 2 6 2 4" xfId="10013" xr:uid="{00000000-0005-0000-0000-0000AC330000}"/>
    <cellStyle name="Normal 2 3 2 6 2 4 2" xfId="13607" xr:uid="{00000000-0005-0000-0000-0000AD330000}"/>
    <cellStyle name="Normal 2 3 2 6 2 4 2 2" xfId="26836" xr:uid="{00000000-0005-0000-0000-0000AE330000}"/>
    <cellStyle name="Normal 2 3 2 6 2 4 3" xfId="26835" xr:uid="{00000000-0005-0000-0000-0000AF330000}"/>
    <cellStyle name="Normal 2 3 2 6 2 4 4" xfId="15705" xr:uid="{00000000-0005-0000-0000-0000B0330000}"/>
    <cellStyle name="Normal 2 3 2 6 2 5" xfId="10996" xr:uid="{00000000-0005-0000-0000-0000B1330000}"/>
    <cellStyle name="Normal 2 3 2 6 2 5 2" xfId="14589" xr:uid="{00000000-0005-0000-0000-0000B2330000}"/>
    <cellStyle name="Normal 2 3 2 6 2 5 2 2" xfId="26837" xr:uid="{00000000-0005-0000-0000-0000B3330000}"/>
    <cellStyle name="Normal 2 3 2 6 2 5 3" xfId="15706" xr:uid="{00000000-0005-0000-0000-0000B4330000}"/>
    <cellStyle name="Normal 2 3 2 6 2 6" xfId="12554" xr:uid="{00000000-0005-0000-0000-0000B5330000}"/>
    <cellStyle name="Normal 2 3 2 6 2 6 2" xfId="26838" xr:uid="{00000000-0005-0000-0000-0000B6330000}"/>
    <cellStyle name="Normal 2 3 2 6 2 7" xfId="26830" xr:uid="{00000000-0005-0000-0000-0000B7330000}"/>
    <cellStyle name="Normal 2 3 2 6 2 8" xfId="15697" xr:uid="{00000000-0005-0000-0000-0000B8330000}"/>
    <cellStyle name="Normal 2 3 2 6 3" xfId="9057" xr:uid="{00000000-0005-0000-0000-0000B9330000}"/>
    <cellStyle name="Normal 2 3 2 6 3 2" xfId="9625" xr:uid="{00000000-0005-0000-0000-0000BA330000}"/>
    <cellStyle name="Normal 2 3 2 6 3 2 2" xfId="10679" xr:uid="{00000000-0005-0000-0000-0000BB330000}"/>
    <cellStyle name="Normal 2 3 2 6 3 2 2 2" xfId="14273" xr:uid="{00000000-0005-0000-0000-0000BC330000}"/>
    <cellStyle name="Normal 2 3 2 6 3 2 2 2 2" xfId="26841" xr:uid="{00000000-0005-0000-0000-0000BD330000}"/>
    <cellStyle name="Normal 2 3 2 6 3 2 2 3" xfId="15709" xr:uid="{00000000-0005-0000-0000-0000BE330000}"/>
    <cellStyle name="Normal 2 3 2 6 3 2 3" xfId="13220" xr:uid="{00000000-0005-0000-0000-0000BF330000}"/>
    <cellStyle name="Normal 2 3 2 6 3 2 3 2" xfId="26840" xr:uid="{00000000-0005-0000-0000-0000C0330000}"/>
    <cellStyle name="Normal 2 3 2 6 3 2 4" xfId="15708" xr:uid="{00000000-0005-0000-0000-0000C1330000}"/>
    <cellStyle name="Normal 2 3 2 6 3 3" xfId="10141" xr:uid="{00000000-0005-0000-0000-0000C2330000}"/>
    <cellStyle name="Normal 2 3 2 6 3 3 2" xfId="13735" xr:uid="{00000000-0005-0000-0000-0000C3330000}"/>
    <cellStyle name="Normal 2 3 2 6 3 3 2 2" xfId="26843" xr:uid="{00000000-0005-0000-0000-0000C4330000}"/>
    <cellStyle name="Normal 2 3 2 6 3 3 3" xfId="26842" xr:uid="{00000000-0005-0000-0000-0000C5330000}"/>
    <cellStyle name="Normal 2 3 2 6 3 3 4" xfId="15710" xr:uid="{00000000-0005-0000-0000-0000C6330000}"/>
    <cellStyle name="Normal 2 3 2 6 3 4" xfId="10998" xr:uid="{00000000-0005-0000-0000-0000C7330000}"/>
    <cellStyle name="Normal 2 3 2 6 3 4 2" xfId="14591" xr:uid="{00000000-0005-0000-0000-0000C8330000}"/>
    <cellStyle name="Normal 2 3 2 6 3 4 2 2" xfId="26845" xr:uid="{00000000-0005-0000-0000-0000C9330000}"/>
    <cellStyle name="Normal 2 3 2 6 3 4 3" xfId="26844" xr:uid="{00000000-0005-0000-0000-0000CA330000}"/>
    <cellStyle name="Normal 2 3 2 6 3 4 4" xfId="15711" xr:uid="{00000000-0005-0000-0000-0000CB330000}"/>
    <cellStyle name="Normal 2 3 2 6 3 5" xfId="12682" xr:uid="{00000000-0005-0000-0000-0000CC330000}"/>
    <cellStyle name="Normal 2 3 2 6 3 5 2" xfId="26846" xr:uid="{00000000-0005-0000-0000-0000CD330000}"/>
    <cellStyle name="Normal 2 3 2 6 3 6" xfId="26847" xr:uid="{00000000-0005-0000-0000-0000CE330000}"/>
    <cellStyle name="Normal 2 3 2 6 3 7" xfId="26839" xr:uid="{00000000-0005-0000-0000-0000CF330000}"/>
    <cellStyle name="Normal 2 3 2 6 3 8" xfId="15707" xr:uid="{00000000-0005-0000-0000-0000D0330000}"/>
    <cellStyle name="Normal 2 3 2 6 4" xfId="9369" xr:uid="{00000000-0005-0000-0000-0000D1330000}"/>
    <cellStyle name="Normal 2 3 2 6 4 2" xfId="10423" xr:uid="{00000000-0005-0000-0000-0000D2330000}"/>
    <cellStyle name="Normal 2 3 2 6 4 2 2" xfId="14017" xr:uid="{00000000-0005-0000-0000-0000D3330000}"/>
    <cellStyle name="Normal 2 3 2 6 4 2 2 2" xfId="26850" xr:uid="{00000000-0005-0000-0000-0000D4330000}"/>
    <cellStyle name="Normal 2 3 2 6 4 2 3" xfId="26849" xr:uid="{00000000-0005-0000-0000-0000D5330000}"/>
    <cellStyle name="Normal 2 3 2 6 4 2 4" xfId="15713" xr:uid="{00000000-0005-0000-0000-0000D6330000}"/>
    <cellStyle name="Normal 2 3 2 6 4 3" xfId="12964" xr:uid="{00000000-0005-0000-0000-0000D7330000}"/>
    <cellStyle name="Normal 2 3 2 6 4 3 2" xfId="26852" xr:uid="{00000000-0005-0000-0000-0000D8330000}"/>
    <cellStyle name="Normal 2 3 2 6 4 3 3" xfId="26851" xr:uid="{00000000-0005-0000-0000-0000D9330000}"/>
    <cellStyle name="Normal 2 3 2 6 4 4" xfId="26853" xr:uid="{00000000-0005-0000-0000-0000DA330000}"/>
    <cellStyle name="Normal 2 3 2 6 4 4 2" xfId="26854" xr:uid="{00000000-0005-0000-0000-0000DB330000}"/>
    <cellStyle name="Normal 2 3 2 6 4 5" xfId="26855" xr:uid="{00000000-0005-0000-0000-0000DC330000}"/>
    <cellStyle name="Normal 2 3 2 6 4 6" xfId="26856" xr:uid="{00000000-0005-0000-0000-0000DD330000}"/>
    <cellStyle name="Normal 2 3 2 6 4 7" xfId="26848" xr:uid="{00000000-0005-0000-0000-0000DE330000}"/>
    <cellStyle name="Normal 2 3 2 6 4 8" xfId="15712" xr:uid="{00000000-0005-0000-0000-0000DF330000}"/>
    <cellStyle name="Normal 2 3 2 6 5" xfId="9885" xr:uid="{00000000-0005-0000-0000-0000E0330000}"/>
    <cellStyle name="Normal 2 3 2 6 5 2" xfId="13479" xr:uid="{00000000-0005-0000-0000-0000E1330000}"/>
    <cellStyle name="Normal 2 3 2 6 5 2 2" xfId="26859" xr:uid="{00000000-0005-0000-0000-0000E2330000}"/>
    <cellStyle name="Normal 2 3 2 6 5 2 3" xfId="26858" xr:uid="{00000000-0005-0000-0000-0000E3330000}"/>
    <cellStyle name="Normal 2 3 2 6 5 3" xfId="26860" xr:uid="{00000000-0005-0000-0000-0000E4330000}"/>
    <cellStyle name="Normal 2 3 2 6 5 3 2" xfId="26861" xr:uid="{00000000-0005-0000-0000-0000E5330000}"/>
    <cellStyle name="Normal 2 3 2 6 5 4" xfId="26862" xr:uid="{00000000-0005-0000-0000-0000E6330000}"/>
    <cellStyle name="Normal 2 3 2 6 5 4 2" xfId="26863" xr:uid="{00000000-0005-0000-0000-0000E7330000}"/>
    <cellStyle name="Normal 2 3 2 6 5 5" xfId="26864" xr:uid="{00000000-0005-0000-0000-0000E8330000}"/>
    <cellStyle name="Normal 2 3 2 6 5 6" xfId="26865" xr:uid="{00000000-0005-0000-0000-0000E9330000}"/>
    <cellStyle name="Normal 2 3 2 6 5 7" xfId="26857" xr:uid="{00000000-0005-0000-0000-0000EA330000}"/>
    <cellStyle name="Normal 2 3 2 6 5 8" xfId="15714" xr:uid="{00000000-0005-0000-0000-0000EB330000}"/>
    <cellStyle name="Normal 2 3 2 6 6" xfId="10995" xr:uid="{00000000-0005-0000-0000-0000EC330000}"/>
    <cellStyle name="Normal 2 3 2 6 6 2" xfId="14588" xr:uid="{00000000-0005-0000-0000-0000ED330000}"/>
    <cellStyle name="Normal 2 3 2 6 6 2 2" xfId="26868" xr:uid="{00000000-0005-0000-0000-0000EE330000}"/>
    <cellStyle name="Normal 2 3 2 6 6 2 3" xfId="26867" xr:uid="{00000000-0005-0000-0000-0000EF330000}"/>
    <cellStyle name="Normal 2 3 2 6 6 3" xfId="26869" xr:uid="{00000000-0005-0000-0000-0000F0330000}"/>
    <cellStyle name="Normal 2 3 2 6 6 3 2" xfId="26870" xr:uid="{00000000-0005-0000-0000-0000F1330000}"/>
    <cellStyle name="Normal 2 3 2 6 6 4" xfId="26871" xr:uid="{00000000-0005-0000-0000-0000F2330000}"/>
    <cellStyle name="Normal 2 3 2 6 6 5" xfId="26872" xr:uid="{00000000-0005-0000-0000-0000F3330000}"/>
    <cellStyle name="Normal 2 3 2 6 6 6" xfId="26866" xr:uid="{00000000-0005-0000-0000-0000F4330000}"/>
    <cellStyle name="Normal 2 3 2 6 6 7" xfId="15715" xr:uid="{00000000-0005-0000-0000-0000F5330000}"/>
    <cellStyle name="Normal 2 3 2 6 7" xfId="12426" xr:uid="{00000000-0005-0000-0000-0000F6330000}"/>
    <cellStyle name="Normal 2 3 2 6 7 2" xfId="26874" xr:uid="{00000000-0005-0000-0000-0000F7330000}"/>
    <cellStyle name="Normal 2 3 2 6 7 3" xfId="26873" xr:uid="{00000000-0005-0000-0000-0000F8330000}"/>
    <cellStyle name="Normal 2 3 2 6 8" xfId="26875" xr:uid="{00000000-0005-0000-0000-0000F9330000}"/>
    <cellStyle name="Normal 2 3 2 6 8 2" xfId="26876" xr:uid="{00000000-0005-0000-0000-0000FA330000}"/>
    <cellStyle name="Normal 2 3 2 6 9" xfId="26877" xr:uid="{00000000-0005-0000-0000-0000FB330000}"/>
    <cellStyle name="Normal 2 3 2 6 9 2" xfId="26878" xr:uid="{00000000-0005-0000-0000-0000FC330000}"/>
    <cellStyle name="Normal 2 3 2 7" xfId="8833" xr:uid="{00000000-0005-0000-0000-0000FD330000}"/>
    <cellStyle name="Normal 2 3 2 7 10" xfId="26880" xr:uid="{00000000-0005-0000-0000-0000FE330000}"/>
    <cellStyle name="Normal 2 3 2 7 11" xfId="26879" xr:uid="{00000000-0005-0000-0000-0000FF330000}"/>
    <cellStyle name="Normal 2 3 2 7 12" xfId="15716" xr:uid="{00000000-0005-0000-0000-000000340000}"/>
    <cellStyle name="Normal 2 3 2 7 2" xfId="8961" xr:uid="{00000000-0005-0000-0000-000001340000}"/>
    <cellStyle name="Normal 2 3 2 7 2 2" xfId="9217" xr:uid="{00000000-0005-0000-0000-000002340000}"/>
    <cellStyle name="Normal 2 3 2 7 2 2 2" xfId="9785" xr:uid="{00000000-0005-0000-0000-000003340000}"/>
    <cellStyle name="Normal 2 3 2 7 2 2 2 2" xfId="10839" xr:uid="{00000000-0005-0000-0000-000004340000}"/>
    <cellStyle name="Normal 2 3 2 7 2 2 2 2 2" xfId="14433" xr:uid="{00000000-0005-0000-0000-000005340000}"/>
    <cellStyle name="Normal 2 3 2 7 2 2 2 2 3" xfId="15720" xr:uid="{00000000-0005-0000-0000-000006340000}"/>
    <cellStyle name="Normal 2 3 2 7 2 2 2 3" xfId="13380" xr:uid="{00000000-0005-0000-0000-000007340000}"/>
    <cellStyle name="Normal 2 3 2 7 2 2 2 3 2" xfId="26883" xr:uid="{00000000-0005-0000-0000-000008340000}"/>
    <cellStyle name="Normal 2 3 2 7 2 2 2 4" xfId="15719" xr:uid="{00000000-0005-0000-0000-000009340000}"/>
    <cellStyle name="Normal 2 3 2 7 2 2 3" xfId="10301" xr:uid="{00000000-0005-0000-0000-00000A340000}"/>
    <cellStyle name="Normal 2 3 2 7 2 2 3 2" xfId="13895" xr:uid="{00000000-0005-0000-0000-00000B340000}"/>
    <cellStyle name="Normal 2 3 2 7 2 2 3 3" xfId="15721" xr:uid="{00000000-0005-0000-0000-00000C340000}"/>
    <cellStyle name="Normal 2 3 2 7 2 2 4" xfId="11001" xr:uid="{00000000-0005-0000-0000-00000D340000}"/>
    <cellStyle name="Normal 2 3 2 7 2 2 4 2" xfId="14594" xr:uid="{00000000-0005-0000-0000-00000E340000}"/>
    <cellStyle name="Normal 2 3 2 7 2 2 4 3" xfId="15722" xr:uid="{00000000-0005-0000-0000-00000F340000}"/>
    <cellStyle name="Normal 2 3 2 7 2 2 5" xfId="12842" xr:uid="{00000000-0005-0000-0000-000010340000}"/>
    <cellStyle name="Normal 2 3 2 7 2 2 5 2" xfId="26882" xr:uid="{00000000-0005-0000-0000-000011340000}"/>
    <cellStyle name="Normal 2 3 2 7 2 2 6" xfId="15718" xr:uid="{00000000-0005-0000-0000-000012340000}"/>
    <cellStyle name="Normal 2 3 2 7 2 3" xfId="9529" xr:uid="{00000000-0005-0000-0000-000013340000}"/>
    <cellStyle name="Normal 2 3 2 7 2 3 2" xfId="10583" xr:uid="{00000000-0005-0000-0000-000014340000}"/>
    <cellStyle name="Normal 2 3 2 7 2 3 2 2" xfId="14177" xr:uid="{00000000-0005-0000-0000-000015340000}"/>
    <cellStyle name="Normal 2 3 2 7 2 3 2 2 2" xfId="26885" xr:uid="{00000000-0005-0000-0000-000016340000}"/>
    <cellStyle name="Normal 2 3 2 7 2 3 2 3" xfId="15724" xr:uid="{00000000-0005-0000-0000-000017340000}"/>
    <cellStyle name="Normal 2 3 2 7 2 3 3" xfId="13124" xr:uid="{00000000-0005-0000-0000-000018340000}"/>
    <cellStyle name="Normal 2 3 2 7 2 3 3 2" xfId="26884" xr:uid="{00000000-0005-0000-0000-000019340000}"/>
    <cellStyle name="Normal 2 3 2 7 2 3 4" xfId="15723" xr:uid="{00000000-0005-0000-0000-00001A340000}"/>
    <cellStyle name="Normal 2 3 2 7 2 4" xfId="10045" xr:uid="{00000000-0005-0000-0000-00001B340000}"/>
    <cellStyle name="Normal 2 3 2 7 2 4 2" xfId="13639" xr:uid="{00000000-0005-0000-0000-00001C340000}"/>
    <cellStyle name="Normal 2 3 2 7 2 4 2 2" xfId="26887" xr:uid="{00000000-0005-0000-0000-00001D340000}"/>
    <cellStyle name="Normal 2 3 2 7 2 4 3" xfId="26886" xr:uid="{00000000-0005-0000-0000-00001E340000}"/>
    <cellStyle name="Normal 2 3 2 7 2 4 4" xfId="15725" xr:uid="{00000000-0005-0000-0000-00001F340000}"/>
    <cellStyle name="Normal 2 3 2 7 2 5" xfId="11000" xr:uid="{00000000-0005-0000-0000-000020340000}"/>
    <cellStyle name="Normal 2 3 2 7 2 5 2" xfId="14593" xr:uid="{00000000-0005-0000-0000-000021340000}"/>
    <cellStyle name="Normal 2 3 2 7 2 5 2 2" xfId="26888" xr:uid="{00000000-0005-0000-0000-000022340000}"/>
    <cellStyle name="Normal 2 3 2 7 2 5 3" xfId="15726" xr:uid="{00000000-0005-0000-0000-000023340000}"/>
    <cellStyle name="Normal 2 3 2 7 2 6" xfId="12586" xr:uid="{00000000-0005-0000-0000-000024340000}"/>
    <cellStyle name="Normal 2 3 2 7 2 6 2" xfId="26889" xr:uid="{00000000-0005-0000-0000-000025340000}"/>
    <cellStyle name="Normal 2 3 2 7 2 7" xfId="26881" xr:uid="{00000000-0005-0000-0000-000026340000}"/>
    <cellStyle name="Normal 2 3 2 7 2 8" xfId="15717" xr:uid="{00000000-0005-0000-0000-000027340000}"/>
    <cellStyle name="Normal 2 3 2 7 3" xfId="9089" xr:uid="{00000000-0005-0000-0000-000028340000}"/>
    <cellStyle name="Normal 2 3 2 7 3 2" xfId="9657" xr:uid="{00000000-0005-0000-0000-000029340000}"/>
    <cellStyle name="Normal 2 3 2 7 3 2 2" xfId="10711" xr:uid="{00000000-0005-0000-0000-00002A340000}"/>
    <cellStyle name="Normal 2 3 2 7 3 2 2 2" xfId="14305" xr:uid="{00000000-0005-0000-0000-00002B340000}"/>
    <cellStyle name="Normal 2 3 2 7 3 2 2 2 2" xfId="26892" xr:uid="{00000000-0005-0000-0000-00002C340000}"/>
    <cellStyle name="Normal 2 3 2 7 3 2 2 3" xfId="15729" xr:uid="{00000000-0005-0000-0000-00002D340000}"/>
    <cellStyle name="Normal 2 3 2 7 3 2 3" xfId="13252" xr:uid="{00000000-0005-0000-0000-00002E340000}"/>
    <cellStyle name="Normal 2 3 2 7 3 2 3 2" xfId="26891" xr:uid="{00000000-0005-0000-0000-00002F340000}"/>
    <cellStyle name="Normal 2 3 2 7 3 2 4" xfId="15728" xr:uid="{00000000-0005-0000-0000-000030340000}"/>
    <cellStyle name="Normal 2 3 2 7 3 3" xfId="10173" xr:uid="{00000000-0005-0000-0000-000031340000}"/>
    <cellStyle name="Normal 2 3 2 7 3 3 2" xfId="13767" xr:uid="{00000000-0005-0000-0000-000032340000}"/>
    <cellStyle name="Normal 2 3 2 7 3 3 2 2" xfId="26894" xr:uid="{00000000-0005-0000-0000-000033340000}"/>
    <cellStyle name="Normal 2 3 2 7 3 3 3" xfId="26893" xr:uid="{00000000-0005-0000-0000-000034340000}"/>
    <cellStyle name="Normal 2 3 2 7 3 3 4" xfId="15730" xr:uid="{00000000-0005-0000-0000-000035340000}"/>
    <cellStyle name="Normal 2 3 2 7 3 4" xfId="11002" xr:uid="{00000000-0005-0000-0000-000036340000}"/>
    <cellStyle name="Normal 2 3 2 7 3 4 2" xfId="14595" xr:uid="{00000000-0005-0000-0000-000037340000}"/>
    <cellStyle name="Normal 2 3 2 7 3 4 2 2" xfId="26896" xr:uid="{00000000-0005-0000-0000-000038340000}"/>
    <cellStyle name="Normal 2 3 2 7 3 4 3" xfId="26895" xr:uid="{00000000-0005-0000-0000-000039340000}"/>
    <cellStyle name="Normal 2 3 2 7 3 4 4" xfId="15731" xr:uid="{00000000-0005-0000-0000-00003A340000}"/>
    <cellStyle name="Normal 2 3 2 7 3 5" xfId="12714" xr:uid="{00000000-0005-0000-0000-00003B340000}"/>
    <cellStyle name="Normal 2 3 2 7 3 5 2" xfId="26897" xr:uid="{00000000-0005-0000-0000-00003C340000}"/>
    <cellStyle name="Normal 2 3 2 7 3 6" xfId="26898" xr:uid="{00000000-0005-0000-0000-00003D340000}"/>
    <cellStyle name="Normal 2 3 2 7 3 7" xfId="26890" xr:uid="{00000000-0005-0000-0000-00003E340000}"/>
    <cellStyle name="Normal 2 3 2 7 3 8" xfId="15727" xr:uid="{00000000-0005-0000-0000-00003F340000}"/>
    <cellStyle name="Normal 2 3 2 7 4" xfId="9401" xr:uid="{00000000-0005-0000-0000-000040340000}"/>
    <cellStyle name="Normal 2 3 2 7 4 2" xfId="10455" xr:uid="{00000000-0005-0000-0000-000041340000}"/>
    <cellStyle name="Normal 2 3 2 7 4 2 2" xfId="14049" xr:uid="{00000000-0005-0000-0000-000042340000}"/>
    <cellStyle name="Normal 2 3 2 7 4 2 2 2" xfId="26901" xr:uid="{00000000-0005-0000-0000-000043340000}"/>
    <cellStyle name="Normal 2 3 2 7 4 2 3" xfId="26900" xr:uid="{00000000-0005-0000-0000-000044340000}"/>
    <cellStyle name="Normal 2 3 2 7 4 2 4" xfId="15733" xr:uid="{00000000-0005-0000-0000-000045340000}"/>
    <cellStyle name="Normal 2 3 2 7 4 3" xfId="12996" xr:uid="{00000000-0005-0000-0000-000046340000}"/>
    <cellStyle name="Normal 2 3 2 7 4 3 2" xfId="26903" xr:uid="{00000000-0005-0000-0000-000047340000}"/>
    <cellStyle name="Normal 2 3 2 7 4 3 3" xfId="26902" xr:uid="{00000000-0005-0000-0000-000048340000}"/>
    <cellStyle name="Normal 2 3 2 7 4 4" xfId="26904" xr:uid="{00000000-0005-0000-0000-000049340000}"/>
    <cellStyle name="Normal 2 3 2 7 4 4 2" xfId="26905" xr:uid="{00000000-0005-0000-0000-00004A340000}"/>
    <cellStyle name="Normal 2 3 2 7 4 5" xfId="26906" xr:uid="{00000000-0005-0000-0000-00004B340000}"/>
    <cellStyle name="Normal 2 3 2 7 4 6" xfId="26907" xr:uid="{00000000-0005-0000-0000-00004C340000}"/>
    <cellStyle name="Normal 2 3 2 7 4 7" xfId="26899" xr:uid="{00000000-0005-0000-0000-00004D340000}"/>
    <cellStyle name="Normal 2 3 2 7 4 8" xfId="15732" xr:uid="{00000000-0005-0000-0000-00004E340000}"/>
    <cellStyle name="Normal 2 3 2 7 5" xfId="9917" xr:uid="{00000000-0005-0000-0000-00004F340000}"/>
    <cellStyle name="Normal 2 3 2 7 5 2" xfId="13511" xr:uid="{00000000-0005-0000-0000-000050340000}"/>
    <cellStyle name="Normal 2 3 2 7 5 2 2" xfId="26910" xr:uid="{00000000-0005-0000-0000-000051340000}"/>
    <cellStyle name="Normal 2 3 2 7 5 2 3" xfId="26909" xr:uid="{00000000-0005-0000-0000-000052340000}"/>
    <cellStyle name="Normal 2 3 2 7 5 3" xfId="26911" xr:uid="{00000000-0005-0000-0000-000053340000}"/>
    <cellStyle name="Normal 2 3 2 7 5 3 2" xfId="26912" xr:uid="{00000000-0005-0000-0000-000054340000}"/>
    <cellStyle name="Normal 2 3 2 7 5 4" xfId="26913" xr:uid="{00000000-0005-0000-0000-000055340000}"/>
    <cellStyle name="Normal 2 3 2 7 5 5" xfId="26914" xr:uid="{00000000-0005-0000-0000-000056340000}"/>
    <cellStyle name="Normal 2 3 2 7 5 6" xfId="26908" xr:uid="{00000000-0005-0000-0000-000057340000}"/>
    <cellStyle name="Normal 2 3 2 7 5 7" xfId="15734" xr:uid="{00000000-0005-0000-0000-000058340000}"/>
    <cellStyle name="Normal 2 3 2 7 6" xfId="10999" xr:uid="{00000000-0005-0000-0000-000059340000}"/>
    <cellStyle name="Normal 2 3 2 7 6 2" xfId="14592" xr:uid="{00000000-0005-0000-0000-00005A340000}"/>
    <cellStyle name="Normal 2 3 2 7 6 2 2" xfId="26916" xr:uid="{00000000-0005-0000-0000-00005B340000}"/>
    <cellStyle name="Normal 2 3 2 7 6 3" xfId="26915" xr:uid="{00000000-0005-0000-0000-00005C340000}"/>
    <cellStyle name="Normal 2 3 2 7 6 4" xfId="15735" xr:uid="{00000000-0005-0000-0000-00005D340000}"/>
    <cellStyle name="Normal 2 3 2 7 7" xfId="12458" xr:uid="{00000000-0005-0000-0000-00005E340000}"/>
    <cellStyle name="Normal 2 3 2 7 7 2" xfId="26918" xr:uid="{00000000-0005-0000-0000-00005F340000}"/>
    <cellStyle name="Normal 2 3 2 7 7 3" xfId="26917" xr:uid="{00000000-0005-0000-0000-000060340000}"/>
    <cellStyle name="Normal 2 3 2 7 8" xfId="26919" xr:uid="{00000000-0005-0000-0000-000061340000}"/>
    <cellStyle name="Normal 2 3 2 7 8 2" xfId="26920" xr:uid="{00000000-0005-0000-0000-000062340000}"/>
    <cellStyle name="Normal 2 3 2 7 9" xfId="26921" xr:uid="{00000000-0005-0000-0000-000063340000}"/>
    <cellStyle name="Normal 2 3 2 8" xfId="8864" xr:uid="{00000000-0005-0000-0000-000064340000}"/>
    <cellStyle name="Normal 2 3 2 8 10" xfId="26923" xr:uid="{00000000-0005-0000-0000-000065340000}"/>
    <cellStyle name="Normal 2 3 2 8 11" xfId="26922" xr:uid="{00000000-0005-0000-0000-000066340000}"/>
    <cellStyle name="Normal 2 3 2 8 12" xfId="15736" xr:uid="{00000000-0005-0000-0000-000067340000}"/>
    <cellStyle name="Normal 2 3 2 8 2" xfId="9120" xr:uid="{00000000-0005-0000-0000-000068340000}"/>
    <cellStyle name="Normal 2 3 2 8 2 2" xfId="9688" xr:uid="{00000000-0005-0000-0000-000069340000}"/>
    <cellStyle name="Normal 2 3 2 8 2 2 2" xfId="10742" xr:uid="{00000000-0005-0000-0000-00006A340000}"/>
    <cellStyle name="Normal 2 3 2 8 2 2 2 2" xfId="14336" xr:uid="{00000000-0005-0000-0000-00006B340000}"/>
    <cellStyle name="Normal 2 3 2 8 2 2 2 2 2" xfId="26926" xr:uid="{00000000-0005-0000-0000-00006C340000}"/>
    <cellStyle name="Normal 2 3 2 8 2 2 2 3" xfId="15739" xr:uid="{00000000-0005-0000-0000-00006D340000}"/>
    <cellStyle name="Normal 2 3 2 8 2 2 3" xfId="13283" xr:uid="{00000000-0005-0000-0000-00006E340000}"/>
    <cellStyle name="Normal 2 3 2 8 2 2 3 2" xfId="26925" xr:uid="{00000000-0005-0000-0000-00006F340000}"/>
    <cellStyle name="Normal 2 3 2 8 2 2 4" xfId="15738" xr:uid="{00000000-0005-0000-0000-000070340000}"/>
    <cellStyle name="Normal 2 3 2 8 2 3" xfId="10204" xr:uid="{00000000-0005-0000-0000-000071340000}"/>
    <cellStyle name="Normal 2 3 2 8 2 3 2" xfId="13798" xr:uid="{00000000-0005-0000-0000-000072340000}"/>
    <cellStyle name="Normal 2 3 2 8 2 3 2 2" xfId="26928" xr:uid="{00000000-0005-0000-0000-000073340000}"/>
    <cellStyle name="Normal 2 3 2 8 2 3 3" xfId="26927" xr:uid="{00000000-0005-0000-0000-000074340000}"/>
    <cellStyle name="Normal 2 3 2 8 2 3 4" xfId="15740" xr:uid="{00000000-0005-0000-0000-000075340000}"/>
    <cellStyle name="Normal 2 3 2 8 2 4" xfId="11004" xr:uid="{00000000-0005-0000-0000-000076340000}"/>
    <cellStyle name="Normal 2 3 2 8 2 4 2" xfId="14597" xr:uid="{00000000-0005-0000-0000-000077340000}"/>
    <cellStyle name="Normal 2 3 2 8 2 4 2 2" xfId="26930" xr:uid="{00000000-0005-0000-0000-000078340000}"/>
    <cellStyle name="Normal 2 3 2 8 2 4 3" xfId="26929" xr:uid="{00000000-0005-0000-0000-000079340000}"/>
    <cellStyle name="Normal 2 3 2 8 2 4 4" xfId="15741" xr:uid="{00000000-0005-0000-0000-00007A340000}"/>
    <cellStyle name="Normal 2 3 2 8 2 5" xfId="12745" xr:uid="{00000000-0005-0000-0000-00007B340000}"/>
    <cellStyle name="Normal 2 3 2 8 2 5 2" xfId="26931" xr:uid="{00000000-0005-0000-0000-00007C340000}"/>
    <cellStyle name="Normal 2 3 2 8 2 6" xfId="26932" xr:uid="{00000000-0005-0000-0000-00007D340000}"/>
    <cellStyle name="Normal 2 3 2 8 2 7" xfId="26924" xr:uid="{00000000-0005-0000-0000-00007E340000}"/>
    <cellStyle name="Normal 2 3 2 8 2 8" xfId="15737" xr:uid="{00000000-0005-0000-0000-00007F340000}"/>
    <cellStyle name="Normal 2 3 2 8 3" xfId="9432" xr:uid="{00000000-0005-0000-0000-000080340000}"/>
    <cellStyle name="Normal 2 3 2 8 3 2" xfId="10486" xr:uid="{00000000-0005-0000-0000-000081340000}"/>
    <cellStyle name="Normal 2 3 2 8 3 2 2" xfId="14080" xr:uid="{00000000-0005-0000-0000-000082340000}"/>
    <cellStyle name="Normal 2 3 2 8 3 2 2 2" xfId="26935" xr:uid="{00000000-0005-0000-0000-000083340000}"/>
    <cellStyle name="Normal 2 3 2 8 3 2 3" xfId="26934" xr:uid="{00000000-0005-0000-0000-000084340000}"/>
    <cellStyle name="Normal 2 3 2 8 3 2 4" xfId="15743" xr:uid="{00000000-0005-0000-0000-000085340000}"/>
    <cellStyle name="Normal 2 3 2 8 3 3" xfId="13027" xr:uid="{00000000-0005-0000-0000-000086340000}"/>
    <cellStyle name="Normal 2 3 2 8 3 3 2" xfId="26937" xr:uid="{00000000-0005-0000-0000-000087340000}"/>
    <cellStyle name="Normal 2 3 2 8 3 3 3" xfId="26936" xr:uid="{00000000-0005-0000-0000-000088340000}"/>
    <cellStyle name="Normal 2 3 2 8 3 4" xfId="26938" xr:uid="{00000000-0005-0000-0000-000089340000}"/>
    <cellStyle name="Normal 2 3 2 8 3 4 2" xfId="26939" xr:uid="{00000000-0005-0000-0000-00008A340000}"/>
    <cellStyle name="Normal 2 3 2 8 3 5" xfId="26940" xr:uid="{00000000-0005-0000-0000-00008B340000}"/>
    <cellStyle name="Normal 2 3 2 8 3 6" xfId="26941" xr:uid="{00000000-0005-0000-0000-00008C340000}"/>
    <cellStyle name="Normal 2 3 2 8 3 7" xfId="26933" xr:uid="{00000000-0005-0000-0000-00008D340000}"/>
    <cellStyle name="Normal 2 3 2 8 3 8" xfId="15742" xr:uid="{00000000-0005-0000-0000-00008E340000}"/>
    <cellStyle name="Normal 2 3 2 8 4" xfId="9948" xr:uid="{00000000-0005-0000-0000-00008F340000}"/>
    <cellStyle name="Normal 2 3 2 8 4 2" xfId="13542" xr:uid="{00000000-0005-0000-0000-000090340000}"/>
    <cellStyle name="Normal 2 3 2 8 4 2 2" xfId="26944" xr:uid="{00000000-0005-0000-0000-000091340000}"/>
    <cellStyle name="Normal 2 3 2 8 4 2 3" xfId="26943" xr:uid="{00000000-0005-0000-0000-000092340000}"/>
    <cellStyle name="Normal 2 3 2 8 4 3" xfId="26945" xr:uid="{00000000-0005-0000-0000-000093340000}"/>
    <cellStyle name="Normal 2 3 2 8 4 3 2" xfId="26946" xr:uid="{00000000-0005-0000-0000-000094340000}"/>
    <cellStyle name="Normal 2 3 2 8 4 4" xfId="26947" xr:uid="{00000000-0005-0000-0000-000095340000}"/>
    <cellStyle name="Normal 2 3 2 8 4 4 2" xfId="26948" xr:uid="{00000000-0005-0000-0000-000096340000}"/>
    <cellStyle name="Normal 2 3 2 8 4 5" xfId="26949" xr:uid="{00000000-0005-0000-0000-000097340000}"/>
    <cellStyle name="Normal 2 3 2 8 4 6" xfId="26950" xr:uid="{00000000-0005-0000-0000-000098340000}"/>
    <cellStyle name="Normal 2 3 2 8 4 7" xfId="26942" xr:uid="{00000000-0005-0000-0000-000099340000}"/>
    <cellStyle name="Normal 2 3 2 8 4 8" xfId="15744" xr:uid="{00000000-0005-0000-0000-00009A340000}"/>
    <cellStyle name="Normal 2 3 2 8 5" xfId="11003" xr:uid="{00000000-0005-0000-0000-00009B340000}"/>
    <cellStyle name="Normal 2 3 2 8 5 2" xfId="14596" xr:uid="{00000000-0005-0000-0000-00009C340000}"/>
    <cellStyle name="Normal 2 3 2 8 5 2 2" xfId="26953" xr:uid="{00000000-0005-0000-0000-00009D340000}"/>
    <cellStyle name="Normal 2 3 2 8 5 2 3" xfId="26952" xr:uid="{00000000-0005-0000-0000-00009E340000}"/>
    <cellStyle name="Normal 2 3 2 8 5 3" xfId="26954" xr:uid="{00000000-0005-0000-0000-00009F340000}"/>
    <cellStyle name="Normal 2 3 2 8 5 3 2" xfId="26955" xr:uid="{00000000-0005-0000-0000-0000A0340000}"/>
    <cellStyle name="Normal 2 3 2 8 5 4" xfId="26956" xr:uid="{00000000-0005-0000-0000-0000A1340000}"/>
    <cellStyle name="Normal 2 3 2 8 5 5" xfId="26957" xr:uid="{00000000-0005-0000-0000-0000A2340000}"/>
    <cellStyle name="Normal 2 3 2 8 5 6" xfId="26951" xr:uid="{00000000-0005-0000-0000-0000A3340000}"/>
    <cellStyle name="Normal 2 3 2 8 5 7" xfId="15745" xr:uid="{00000000-0005-0000-0000-0000A4340000}"/>
    <cellStyle name="Normal 2 3 2 8 6" xfId="12489" xr:uid="{00000000-0005-0000-0000-0000A5340000}"/>
    <cellStyle name="Normal 2 3 2 8 6 2" xfId="26959" xr:uid="{00000000-0005-0000-0000-0000A6340000}"/>
    <cellStyle name="Normal 2 3 2 8 6 3" xfId="26958" xr:uid="{00000000-0005-0000-0000-0000A7340000}"/>
    <cellStyle name="Normal 2 3 2 8 7" xfId="26960" xr:uid="{00000000-0005-0000-0000-0000A8340000}"/>
    <cellStyle name="Normal 2 3 2 8 7 2" xfId="26961" xr:uid="{00000000-0005-0000-0000-0000A9340000}"/>
    <cellStyle name="Normal 2 3 2 8 8" xfId="26962" xr:uid="{00000000-0005-0000-0000-0000AA340000}"/>
    <cellStyle name="Normal 2 3 2 8 8 2" xfId="26963" xr:uid="{00000000-0005-0000-0000-0000AB340000}"/>
    <cellStyle name="Normal 2 3 2 8 9" xfId="26964" xr:uid="{00000000-0005-0000-0000-0000AC340000}"/>
    <cellStyle name="Normal 2 3 2 9" xfId="8992" xr:uid="{00000000-0005-0000-0000-0000AD340000}"/>
    <cellStyle name="Normal 2 3 2 9 2" xfId="9560" xr:uid="{00000000-0005-0000-0000-0000AE340000}"/>
    <cellStyle name="Normal 2 3 2 9 2 2" xfId="10614" xr:uid="{00000000-0005-0000-0000-0000AF340000}"/>
    <cellStyle name="Normal 2 3 2 9 2 2 2" xfId="14208" xr:uid="{00000000-0005-0000-0000-0000B0340000}"/>
    <cellStyle name="Normal 2 3 2 9 2 2 2 2" xfId="26967" xr:uid="{00000000-0005-0000-0000-0000B1340000}"/>
    <cellStyle name="Normal 2 3 2 9 2 2 3" xfId="15748" xr:uid="{00000000-0005-0000-0000-0000B2340000}"/>
    <cellStyle name="Normal 2 3 2 9 2 3" xfId="13155" xr:uid="{00000000-0005-0000-0000-0000B3340000}"/>
    <cellStyle name="Normal 2 3 2 9 2 3 2" xfId="26966" xr:uid="{00000000-0005-0000-0000-0000B4340000}"/>
    <cellStyle name="Normal 2 3 2 9 2 4" xfId="15747" xr:uid="{00000000-0005-0000-0000-0000B5340000}"/>
    <cellStyle name="Normal 2 3 2 9 3" xfId="10076" xr:uid="{00000000-0005-0000-0000-0000B6340000}"/>
    <cellStyle name="Normal 2 3 2 9 3 2" xfId="13670" xr:uid="{00000000-0005-0000-0000-0000B7340000}"/>
    <cellStyle name="Normal 2 3 2 9 3 2 2" xfId="26969" xr:uid="{00000000-0005-0000-0000-0000B8340000}"/>
    <cellStyle name="Normal 2 3 2 9 3 3" xfId="26968" xr:uid="{00000000-0005-0000-0000-0000B9340000}"/>
    <cellStyle name="Normal 2 3 2 9 3 4" xfId="15749" xr:uid="{00000000-0005-0000-0000-0000BA340000}"/>
    <cellStyle name="Normal 2 3 2 9 4" xfId="11005" xr:uid="{00000000-0005-0000-0000-0000BB340000}"/>
    <cellStyle name="Normal 2 3 2 9 4 2" xfId="14598" xr:uid="{00000000-0005-0000-0000-0000BC340000}"/>
    <cellStyle name="Normal 2 3 2 9 4 2 2" xfId="26971" xr:uid="{00000000-0005-0000-0000-0000BD340000}"/>
    <cellStyle name="Normal 2 3 2 9 4 3" xfId="26970" xr:uid="{00000000-0005-0000-0000-0000BE340000}"/>
    <cellStyle name="Normal 2 3 2 9 4 4" xfId="15750" xr:uid="{00000000-0005-0000-0000-0000BF340000}"/>
    <cellStyle name="Normal 2 3 2 9 5" xfId="12617" xr:uid="{00000000-0005-0000-0000-0000C0340000}"/>
    <cellStyle name="Normal 2 3 2 9 5 2" xfId="26972" xr:uid="{00000000-0005-0000-0000-0000C1340000}"/>
    <cellStyle name="Normal 2 3 2 9 6" xfId="26973" xr:uid="{00000000-0005-0000-0000-0000C2340000}"/>
    <cellStyle name="Normal 2 3 2 9 7" xfId="26965" xr:uid="{00000000-0005-0000-0000-0000C3340000}"/>
    <cellStyle name="Normal 2 3 2 9 8" xfId="15746" xr:uid="{00000000-0005-0000-0000-0000C4340000}"/>
    <cellStyle name="Normal 2 3 3" xfId="1504" xr:uid="{00000000-0005-0000-0000-0000C5340000}"/>
    <cellStyle name="Normal 2 3 3 10" xfId="9828" xr:uid="{00000000-0005-0000-0000-0000C6340000}"/>
    <cellStyle name="Normal 2 3 3 10 2" xfId="13422" xr:uid="{00000000-0005-0000-0000-0000C7340000}"/>
    <cellStyle name="Normal 2 3 3 10 3" xfId="15752" xr:uid="{00000000-0005-0000-0000-0000C8340000}"/>
    <cellStyle name="Normal 2 3 3 11" xfId="11006" xr:uid="{00000000-0005-0000-0000-0000C9340000}"/>
    <cellStyle name="Normal 2 3 3 11 2" xfId="14599" xr:uid="{00000000-0005-0000-0000-0000CA340000}"/>
    <cellStyle name="Normal 2 3 3 11 3" xfId="15753" xr:uid="{00000000-0005-0000-0000-0000CB340000}"/>
    <cellStyle name="Normal 2 3 3 12" xfId="12344" xr:uid="{00000000-0005-0000-0000-0000CC340000}"/>
    <cellStyle name="Normal 2 3 3 12 2" xfId="26974" xr:uid="{00000000-0005-0000-0000-0000CD340000}"/>
    <cellStyle name="Normal 2 3 3 13" xfId="15751" xr:uid="{00000000-0005-0000-0000-0000CE340000}"/>
    <cellStyle name="Normal 2 3 3 2" xfId="1505" xr:uid="{00000000-0005-0000-0000-0000CF340000}"/>
    <cellStyle name="Normal 2 3 3 2 10" xfId="11007" xr:uid="{00000000-0005-0000-0000-0000D0340000}"/>
    <cellStyle name="Normal 2 3 3 2 10 2" xfId="14600" xr:uid="{00000000-0005-0000-0000-0000D1340000}"/>
    <cellStyle name="Normal 2 3 3 2 10 3" xfId="15755" xr:uid="{00000000-0005-0000-0000-0000D2340000}"/>
    <cellStyle name="Normal 2 3 3 2 11" xfId="12345" xr:uid="{00000000-0005-0000-0000-0000D3340000}"/>
    <cellStyle name="Normal 2 3 3 2 12" xfId="15754" xr:uid="{00000000-0005-0000-0000-0000D4340000}"/>
    <cellStyle name="Normal 2 3 3 2 2" xfId="1506" xr:uid="{00000000-0005-0000-0000-0000D5340000}"/>
    <cellStyle name="Normal 2 3 3 2 2 10" xfId="12346" xr:uid="{00000000-0005-0000-0000-0000D6340000}"/>
    <cellStyle name="Normal 2 3 3 2 2 11" xfId="15756" xr:uid="{00000000-0005-0000-0000-0000D7340000}"/>
    <cellStyle name="Normal 2 3 3 2 2 2" xfId="8795" xr:uid="{00000000-0005-0000-0000-0000D8340000}"/>
    <cellStyle name="Normal 2 3 3 2 2 2 2" xfId="8923" xr:uid="{00000000-0005-0000-0000-0000D9340000}"/>
    <cellStyle name="Normal 2 3 3 2 2 2 2 2" xfId="9179" xr:uid="{00000000-0005-0000-0000-0000DA340000}"/>
    <cellStyle name="Normal 2 3 3 2 2 2 2 2 2" xfId="9747" xr:uid="{00000000-0005-0000-0000-0000DB340000}"/>
    <cellStyle name="Normal 2 3 3 2 2 2 2 2 2 2" xfId="10801" xr:uid="{00000000-0005-0000-0000-0000DC340000}"/>
    <cellStyle name="Normal 2 3 3 2 2 2 2 2 2 2 2" xfId="14395" xr:uid="{00000000-0005-0000-0000-0000DD340000}"/>
    <cellStyle name="Normal 2 3 3 2 2 2 2 2 2 2 3" xfId="15761" xr:uid="{00000000-0005-0000-0000-0000DE340000}"/>
    <cellStyle name="Normal 2 3 3 2 2 2 2 2 2 3" xfId="13342" xr:uid="{00000000-0005-0000-0000-0000DF340000}"/>
    <cellStyle name="Normal 2 3 3 2 2 2 2 2 2 4" xfId="15760" xr:uid="{00000000-0005-0000-0000-0000E0340000}"/>
    <cellStyle name="Normal 2 3 3 2 2 2 2 2 3" xfId="10263" xr:uid="{00000000-0005-0000-0000-0000E1340000}"/>
    <cellStyle name="Normal 2 3 3 2 2 2 2 2 3 2" xfId="13857" xr:uid="{00000000-0005-0000-0000-0000E2340000}"/>
    <cellStyle name="Normal 2 3 3 2 2 2 2 2 3 3" xfId="15762" xr:uid="{00000000-0005-0000-0000-0000E3340000}"/>
    <cellStyle name="Normal 2 3 3 2 2 2 2 2 4" xfId="11011" xr:uid="{00000000-0005-0000-0000-0000E4340000}"/>
    <cellStyle name="Normal 2 3 3 2 2 2 2 2 4 2" xfId="14604" xr:uid="{00000000-0005-0000-0000-0000E5340000}"/>
    <cellStyle name="Normal 2 3 3 2 2 2 2 2 4 3" xfId="15763" xr:uid="{00000000-0005-0000-0000-0000E6340000}"/>
    <cellStyle name="Normal 2 3 3 2 2 2 2 2 5" xfId="12804" xr:uid="{00000000-0005-0000-0000-0000E7340000}"/>
    <cellStyle name="Normal 2 3 3 2 2 2 2 2 6" xfId="15759" xr:uid="{00000000-0005-0000-0000-0000E8340000}"/>
    <cellStyle name="Normal 2 3 3 2 2 2 2 3" xfId="9491" xr:uid="{00000000-0005-0000-0000-0000E9340000}"/>
    <cellStyle name="Normal 2 3 3 2 2 2 2 3 2" xfId="10545" xr:uid="{00000000-0005-0000-0000-0000EA340000}"/>
    <cellStyle name="Normal 2 3 3 2 2 2 2 3 2 2" xfId="14139" xr:uid="{00000000-0005-0000-0000-0000EB340000}"/>
    <cellStyle name="Normal 2 3 3 2 2 2 2 3 2 3" xfId="15765" xr:uid="{00000000-0005-0000-0000-0000EC340000}"/>
    <cellStyle name="Normal 2 3 3 2 2 2 2 3 3" xfId="13086" xr:uid="{00000000-0005-0000-0000-0000ED340000}"/>
    <cellStyle name="Normal 2 3 3 2 2 2 2 3 4" xfId="15764" xr:uid="{00000000-0005-0000-0000-0000EE340000}"/>
    <cellStyle name="Normal 2 3 3 2 2 2 2 4" xfId="10007" xr:uid="{00000000-0005-0000-0000-0000EF340000}"/>
    <cellStyle name="Normal 2 3 3 2 2 2 2 4 2" xfId="13601" xr:uid="{00000000-0005-0000-0000-0000F0340000}"/>
    <cellStyle name="Normal 2 3 3 2 2 2 2 4 3" xfId="15766" xr:uid="{00000000-0005-0000-0000-0000F1340000}"/>
    <cellStyle name="Normal 2 3 3 2 2 2 2 5" xfId="11010" xr:uid="{00000000-0005-0000-0000-0000F2340000}"/>
    <cellStyle name="Normal 2 3 3 2 2 2 2 5 2" xfId="14603" xr:uid="{00000000-0005-0000-0000-0000F3340000}"/>
    <cellStyle name="Normal 2 3 3 2 2 2 2 5 3" xfId="15767" xr:uid="{00000000-0005-0000-0000-0000F4340000}"/>
    <cellStyle name="Normal 2 3 3 2 2 2 2 6" xfId="12548" xr:uid="{00000000-0005-0000-0000-0000F5340000}"/>
    <cellStyle name="Normal 2 3 3 2 2 2 2 7" xfId="15758" xr:uid="{00000000-0005-0000-0000-0000F6340000}"/>
    <cellStyle name="Normal 2 3 3 2 2 2 3" xfId="9051" xr:uid="{00000000-0005-0000-0000-0000F7340000}"/>
    <cellStyle name="Normal 2 3 3 2 2 2 3 2" xfId="9619" xr:uid="{00000000-0005-0000-0000-0000F8340000}"/>
    <cellStyle name="Normal 2 3 3 2 2 2 3 2 2" xfId="10673" xr:uid="{00000000-0005-0000-0000-0000F9340000}"/>
    <cellStyle name="Normal 2 3 3 2 2 2 3 2 2 2" xfId="14267" xr:uid="{00000000-0005-0000-0000-0000FA340000}"/>
    <cellStyle name="Normal 2 3 3 2 2 2 3 2 2 3" xfId="15770" xr:uid="{00000000-0005-0000-0000-0000FB340000}"/>
    <cellStyle name="Normal 2 3 3 2 2 2 3 2 3" xfId="13214" xr:uid="{00000000-0005-0000-0000-0000FC340000}"/>
    <cellStyle name="Normal 2 3 3 2 2 2 3 2 4" xfId="15769" xr:uid="{00000000-0005-0000-0000-0000FD340000}"/>
    <cellStyle name="Normal 2 3 3 2 2 2 3 3" xfId="10135" xr:uid="{00000000-0005-0000-0000-0000FE340000}"/>
    <cellStyle name="Normal 2 3 3 2 2 2 3 3 2" xfId="13729" xr:uid="{00000000-0005-0000-0000-0000FF340000}"/>
    <cellStyle name="Normal 2 3 3 2 2 2 3 3 3" xfId="15771" xr:uid="{00000000-0005-0000-0000-000000350000}"/>
    <cellStyle name="Normal 2 3 3 2 2 2 3 4" xfId="11012" xr:uid="{00000000-0005-0000-0000-000001350000}"/>
    <cellStyle name="Normal 2 3 3 2 2 2 3 4 2" xfId="14605" xr:uid="{00000000-0005-0000-0000-000002350000}"/>
    <cellStyle name="Normal 2 3 3 2 2 2 3 4 3" xfId="15772" xr:uid="{00000000-0005-0000-0000-000003350000}"/>
    <cellStyle name="Normal 2 3 3 2 2 2 3 5" xfId="12676" xr:uid="{00000000-0005-0000-0000-000004350000}"/>
    <cellStyle name="Normal 2 3 3 2 2 2 3 6" xfId="15768" xr:uid="{00000000-0005-0000-0000-000005350000}"/>
    <cellStyle name="Normal 2 3 3 2 2 2 4" xfId="9363" xr:uid="{00000000-0005-0000-0000-000006350000}"/>
    <cellStyle name="Normal 2 3 3 2 2 2 4 2" xfId="10417" xr:uid="{00000000-0005-0000-0000-000007350000}"/>
    <cellStyle name="Normal 2 3 3 2 2 2 4 2 2" xfId="14011" xr:uid="{00000000-0005-0000-0000-000008350000}"/>
    <cellStyle name="Normal 2 3 3 2 2 2 4 2 3" xfId="15774" xr:uid="{00000000-0005-0000-0000-000009350000}"/>
    <cellStyle name="Normal 2 3 3 2 2 2 4 3" xfId="12958" xr:uid="{00000000-0005-0000-0000-00000A350000}"/>
    <cellStyle name="Normal 2 3 3 2 2 2 4 4" xfId="15773" xr:uid="{00000000-0005-0000-0000-00000B350000}"/>
    <cellStyle name="Normal 2 3 3 2 2 2 5" xfId="9879" xr:uid="{00000000-0005-0000-0000-00000C350000}"/>
    <cellStyle name="Normal 2 3 3 2 2 2 5 2" xfId="13473" xr:uid="{00000000-0005-0000-0000-00000D350000}"/>
    <cellStyle name="Normal 2 3 3 2 2 2 5 3" xfId="15775" xr:uid="{00000000-0005-0000-0000-00000E350000}"/>
    <cellStyle name="Normal 2 3 3 2 2 2 6" xfId="11009" xr:uid="{00000000-0005-0000-0000-00000F350000}"/>
    <cellStyle name="Normal 2 3 3 2 2 2 6 2" xfId="14602" xr:uid="{00000000-0005-0000-0000-000010350000}"/>
    <cellStyle name="Normal 2 3 3 2 2 2 6 3" xfId="15776" xr:uid="{00000000-0005-0000-0000-000011350000}"/>
    <cellStyle name="Normal 2 3 3 2 2 2 7" xfId="12420" xr:uid="{00000000-0005-0000-0000-000012350000}"/>
    <cellStyle name="Normal 2 3 3 2 2 2 8" xfId="15757" xr:uid="{00000000-0005-0000-0000-000013350000}"/>
    <cellStyle name="Normal 2 3 3 2 2 3" xfId="8827" xr:uid="{00000000-0005-0000-0000-000014350000}"/>
    <cellStyle name="Normal 2 3 3 2 2 3 2" xfId="8955" xr:uid="{00000000-0005-0000-0000-000015350000}"/>
    <cellStyle name="Normal 2 3 3 2 2 3 2 2" xfId="9211" xr:uid="{00000000-0005-0000-0000-000016350000}"/>
    <cellStyle name="Normal 2 3 3 2 2 3 2 2 2" xfId="9779" xr:uid="{00000000-0005-0000-0000-000017350000}"/>
    <cellStyle name="Normal 2 3 3 2 2 3 2 2 2 2" xfId="10833" xr:uid="{00000000-0005-0000-0000-000018350000}"/>
    <cellStyle name="Normal 2 3 3 2 2 3 2 2 2 2 2" xfId="14427" xr:uid="{00000000-0005-0000-0000-000019350000}"/>
    <cellStyle name="Normal 2 3 3 2 2 3 2 2 2 2 3" xfId="15781" xr:uid="{00000000-0005-0000-0000-00001A350000}"/>
    <cellStyle name="Normal 2 3 3 2 2 3 2 2 2 3" xfId="13374" xr:uid="{00000000-0005-0000-0000-00001B350000}"/>
    <cellStyle name="Normal 2 3 3 2 2 3 2 2 2 4" xfId="15780" xr:uid="{00000000-0005-0000-0000-00001C350000}"/>
    <cellStyle name="Normal 2 3 3 2 2 3 2 2 3" xfId="10295" xr:uid="{00000000-0005-0000-0000-00001D350000}"/>
    <cellStyle name="Normal 2 3 3 2 2 3 2 2 3 2" xfId="13889" xr:uid="{00000000-0005-0000-0000-00001E350000}"/>
    <cellStyle name="Normal 2 3 3 2 2 3 2 2 3 3" xfId="15782" xr:uid="{00000000-0005-0000-0000-00001F350000}"/>
    <cellStyle name="Normal 2 3 3 2 2 3 2 2 4" xfId="11015" xr:uid="{00000000-0005-0000-0000-000020350000}"/>
    <cellStyle name="Normal 2 3 3 2 2 3 2 2 4 2" xfId="14608" xr:uid="{00000000-0005-0000-0000-000021350000}"/>
    <cellStyle name="Normal 2 3 3 2 2 3 2 2 4 3" xfId="15783" xr:uid="{00000000-0005-0000-0000-000022350000}"/>
    <cellStyle name="Normal 2 3 3 2 2 3 2 2 5" xfId="12836" xr:uid="{00000000-0005-0000-0000-000023350000}"/>
    <cellStyle name="Normal 2 3 3 2 2 3 2 2 6" xfId="15779" xr:uid="{00000000-0005-0000-0000-000024350000}"/>
    <cellStyle name="Normal 2 3 3 2 2 3 2 3" xfId="9523" xr:uid="{00000000-0005-0000-0000-000025350000}"/>
    <cellStyle name="Normal 2 3 3 2 2 3 2 3 2" xfId="10577" xr:uid="{00000000-0005-0000-0000-000026350000}"/>
    <cellStyle name="Normal 2 3 3 2 2 3 2 3 2 2" xfId="14171" xr:uid="{00000000-0005-0000-0000-000027350000}"/>
    <cellStyle name="Normal 2 3 3 2 2 3 2 3 2 3" xfId="15785" xr:uid="{00000000-0005-0000-0000-000028350000}"/>
    <cellStyle name="Normal 2 3 3 2 2 3 2 3 3" xfId="13118" xr:uid="{00000000-0005-0000-0000-000029350000}"/>
    <cellStyle name="Normal 2 3 3 2 2 3 2 3 4" xfId="15784" xr:uid="{00000000-0005-0000-0000-00002A350000}"/>
    <cellStyle name="Normal 2 3 3 2 2 3 2 4" xfId="10039" xr:uid="{00000000-0005-0000-0000-00002B350000}"/>
    <cellStyle name="Normal 2 3 3 2 2 3 2 4 2" xfId="13633" xr:uid="{00000000-0005-0000-0000-00002C350000}"/>
    <cellStyle name="Normal 2 3 3 2 2 3 2 4 3" xfId="15786" xr:uid="{00000000-0005-0000-0000-00002D350000}"/>
    <cellStyle name="Normal 2 3 3 2 2 3 2 5" xfId="11014" xr:uid="{00000000-0005-0000-0000-00002E350000}"/>
    <cellStyle name="Normal 2 3 3 2 2 3 2 5 2" xfId="14607" xr:uid="{00000000-0005-0000-0000-00002F350000}"/>
    <cellStyle name="Normal 2 3 3 2 2 3 2 5 3" xfId="15787" xr:uid="{00000000-0005-0000-0000-000030350000}"/>
    <cellStyle name="Normal 2 3 3 2 2 3 2 6" xfId="12580" xr:uid="{00000000-0005-0000-0000-000031350000}"/>
    <cellStyle name="Normal 2 3 3 2 2 3 2 7" xfId="15778" xr:uid="{00000000-0005-0000-0000-000032350000}"/>
    <cellStyle name="Normal 2 3 3 2 2 3 3" xfId="9083" xr:uid="{00000000-0005-0000-0000-000033350000}"/>
    <cellStyle name="Normal 2 3 3 2 2 3 3 2" xfId="9651" xr:uid="{00000000-0005-0000-0000-000034350000}"/>
    <cellStyle name="Normal 2 3 3 2 2 3 3 2 2" xfId="10705" xr:uid="{00000000-0005-0000-0000-000035350000}"/>
    <cellStyle name="Normal 2 3 3 2 2 3 3 2 2 2" xfId="14299" xr:uid="{00000000-0005-0000-0000-000036350000}"/>
    <cellStyle name="Normal 2 3 3 2 2 3 3 2 2 3" xfId="15790" xr:uid="{00000000-0005-0000-0000-000037350000}"/>
    <cellStyle name="Normal 2 3 3 2 2 3 3 2 3" xfId="13246" xr:uid="{00000000-0005-0000-0000-000038350000}"/>
    <cellStyle name="Normal 2 3 3 2 2 3 3 2 4" xfId="15789" xr:uid="{00000000-0005-0000-0000-000039350000}"/>
    <cellStyle name="Normal 2 3 3 2 2 3 3 3" xfId="10167" xr:uid="{00000000-0005-0000-0000-00003A350000}"/>
    <cellStyle name="Normal 2 3 3 2 2 3 3 3 2" xfId="13761" xr:uid="{00000000-0005-0000-0000-00003B350000}"/>
    <cellStyle name="Normal 2 3 3 2 2 3 3 3 3" xfId="15791" xr:uid="{00000000-0005-0000-0000-00003C350000}"/>
    <cellStyle name="Normal 2 3 3 2 2 3 3 4" xfId="11016" xr:uid="{00000000-0005-0000-0000-00003D350000}"/>
    <cellStyle name="Normal 2 3 3 2 2 3 3 4 2" xfId="14609" xr:uid="{00000000-0005-0000-0000-00003E350000}"/>
    <cellStyle name="Normal 2 3 3 2 2 3 3 4 3" xfId="15792" xr:uid="{00000000-0005-0000-0000-00003F350000}"/>
    <cellStyle name="Normal 2 3 3 2 2 3 3 5" xfId="12708" xr:uid="{00000000-0005-0000-0000-000040350000}"/>
    <cellStyle name="Normal 2 3 3 2 2 3 3 6" xfId="15788" xr:uid="{00000000-0005-0000-0000-000041350000}"/>
    <cellStyle name="Normal 2 3 3 2 2 3 4" xfId="9395" xr:uid="{00000000-0005-0000-0000-000042350000}"/>
    <cellStyle name="Normal 2 3 3 2 2 3 4 2" xfId="10449" xr:uid="{00000000-0005-0000-0000-000043350000}"/>
    <cellStyle name="Normal 2 3 3 2 2 3 4 2 2" xfId="14043" xr:uid="{00000000-0005-0000-0000-000044350000}"/>
    <cellStyle name="Normal 2 3 3 2 2 3 4 2 3" xfId="15794" xr:uid="{00000000-0005-0000-0000-000045350000}"/>
    <cellStyle name="Normal 2 3 3 2 2 3 4 3" xfId="12990" xr:uid="{00000000-0005-0000-0000-000046350000}"/>
    <cellStyle name="Normal 2 3 3 2 2 3 4 4" xfId="15793" xr:uid="{00000000-0005-0000-0000-000047350000}"/>
    <cellStyle name="Normal 2 3 3 2 2 3 5" xfId="9911" xr:uid="{00000000-0005-0000-0000-000048350000}"/>
    <cellStyle name="Normal 2 3 3 2 2 3 5 2" xfId="13505" xr:uid="{00000000-0005-0000-0000-000049350000}"/>
    <cellStyle name="Normal 2 3 3 2 2 3 5 3" xfId="15795" xr:uid="{00000000-0005-0000-0000-00004A350000}"/>
    <cellStyle name="Normal 2 3 3 2 2 3 6" xfId="11013" xr:uid="{00000000-0005-0000-0000-00004B350000}"/>
    <cellStyle name="Normal 2 3 3 2 2 3 6 2" xfId="14606" xr:uid="{00000000-0005-0000-0000-00004C350000}"/>
    <cellStyle name="Normal 2 3 3 2 2 3 6 3" xfId="15796" xr:uid="{00000000-0005-0000-0000-00004D350000}"/>
    <cellStyle name="Normal 2 3 3 2 2 3 7" xfId="12452" xr:uid="{00000000-0005-0000-0000-00004E350000}"/>
    <cellStyle name="Normal 2 3 3 2 2 3 8" xfId="15777" xr:uid="{00000000-0005-0000-0000-00004F350000}"/>
    <cellStyle name="Normal 2 3 3 2 2 4" xfId="8859" xr:uid="{00000000-0005-0000-0000-000050350000}"/>
    <cellStyle name="Normal 2 3 3 2 2 4 2" xfId="8987" xr:uid="{00000000-0005-0000-0000-000051350000}"/>
    <cellStyle name="Normal 2 3 3 2 2 4 2 2" xfId="9243" xr:uid="{00000000-0005-0000-0000-000052350000}"/>
    <cellStyle name="Normal 2 3 3 2 2 4 2 2 2" xfId="9811" xr:uid="{00000000-0005-0000-0000-000053350000}"/>
    <cellStyle name="Normal 2 3 3 2 2 4 2 2 2 2" xfId="10865" xr:uid="{00000000-0005-0000-0000-000054350000}"/>
    <cellStyle name="Normal 2 3 3 2 2 4 2 2 2 2 2" xfId="14459" xr:uid="{00000000-0005-0000-0000-000055350000}"/>
    <cellStyle name="Normal 2 3 3 2 2 4 2 2 2 2 3" xfId="15801" xr:uid="{00000000-0005-0000-0000-000056350000}"/>
    <cellStyle name="Normal 2 3 3 2 2 4 2 2 2 3" xfId="13406" xr:uid="{00000000-0005-0000-0000-000057350000}"/>
    <cellStyle name="Normal 2 3 3 2 2 4 2 2 2 4" xfId="15800" xr:uid="{00000000-0005-0000-0000-000058350000}"/>
    <cellStyle name="Normal 2 3 3 2 2 4 2 2 3" xfId="10327" xr:uid="{00000000-0005-0000-0000-000059350000}"/>
    <cellStyle name="Normal 2 3 3 2 2 4 2 2 3 2" xfId="13921" xr:uid="{00000000-0005-0000-0000-00005A350000}"/>
    <cellStyle name="Normal 2 3 3 2 2 4 2 2 3 3" xfId="15802" xr:uid="{00000000-0005-0000-0000-00005B350000}"/>
    <cellStyle name="Normal 2 3 3 2 2 4 2 2 4" xfId="11019" xr:uid="{00000000-0005-0000-0000-00005C350000}"/>
    <cellStyle name="Normal 2 3 3 2 2 4 2 2 4 2" xfId="14612" xr:uid="{00000000-0005-0000-0000-00005D350000}"/>
    <cellStyle name="Normal 2 3 3 2 2 4 2 2 4 3" xfId="15803" xr:uid="{00000000-0005-0000-0000-00005E350000}"/>
    <cellStyle name="Normal 2 3 3 2 2 4 2 2 5" xfId="12868" xr:uid="{00000000-0005-0000-0000-00005F350000}"/>
    <cellStyle name="Normal 2 3 3 2 2 4 2 2 6" xfId="15799" xr:uid="{00000000-0005-0000-0000-000060350000}"/>
    <cellStyle name="Normal 2 3 3 2 2 4 2 3" xfId="9555" xr:uid="{00000000-0005-0000-0000-000061350000}"/>
    <cellStyle name="Normal 2 3 3 2 2 4 2 3 2" xfId="10609" xr:uid="{00000000-0005-0000-0000-000062350000}"/>
    <cellStyle name="Normal 2 3 3 2 2 4 2 3 2 2" xfId="14203" xr:uid="{00000000-0005-0000-0000-000063350000}"/>
    <cellStyle name="Normal 2 3 3 2 2 4 2 3 2 3" xfId="15805" xr:uid="{00000000-0005-0000-0000-000064350000}"/>
    <cellStyle name="Normal 2 3 3 2 2 4 2 3 3" xfId="13150" xr:uid="{00000000-0005-0000-0000-000065350000}"/>
    <cellStyle name="Normal 2 3 3 2 2 4 2 3 4" xfId="15804" xr:uid="{00000000-0005-0000-0000-000066350000}"/>
    <cellStyle name="Normal 2 3 3 2 2 4 2 4" xfId="10071" xr:uid="{00000000-0005-0000-0000-000067350000}"/>
    <cellStyle name="Normal 2 3 3 2 2 4 2 4 2" xfId="13665" xr:uid="{00000000-0005-0000-0000-000068350000}"/>
    <cellStyle name="Normal 2 3 3 2 2 4 2 4 3" xfId="15806" xr:uid="{00000000-0005-0000-0000-000069350000}"/>
    <cellStyle name="Normal 2 3 3 2 2 4 2 5" xfId="11018" xr:uid="{00000000-0005-0000-0000-00006A350000}"/>
    <cellStyle name="Normal 2 3 3 2 2 4 2 5 2" xfId="14611" xr:uid="{00000000-0005-0000-0000-00006B350000}"/>
    <cellStyle name="Normal 2 3 3 2 2 4 2 5 3" xfId="15807" xr:uid="{00000000-0005-0000-0000-00006C350000}"/>
    <cellStyle name="Normal 2 3 3 2 2 4 2 6" xfId="12612" xr:uid="{00000000-0005-0000-0000-00006D350000}"/>
    <cellStyle name="Normal 2 3 3 2 2 4 2 7" xfId="15798" xr:uid="{00000000-0005-0000-0000-00006E350000}"/>
    <cellStyle name="Normal 2 3 3 2 2 4 3" xfId="9115" xr:uid="{00000000-0005-0000-0000-00006F350000}"/>
    <cellStyle name="Normal 2 3 3 2 2 4 3 2" xfId="9683" xr:uid="{00000000-0005-0000-0000-000070350000}"/>
    <cellStyle name="Normal 2 3 3 2 2 4 3 2 2" xfId="10737" xr:uid="{00000000-0005-0000-0000-000071350000}"/>
    <cellStyle name="Normal 2 3 3 2 2 4 3 2 2 2" xfId="14331" xr:uid="{00000000-0005-0000-0000-000072350000}"/>
    <cellStyle name="Normal 2 3 3 2 2 4 3 2 2 3" xfId="15810" xr:uid="{00000000-0005-0000-0000-000073350000}"/>
    <cellStyle name="Normal 2 3 3 2 2 4 3 2 3" xfId="13278" xr:uid="{00000000-0005-0000-0000-000074350000}"/>
    <cellStyle name="Normal 2 3 3 2 2 4 3 2 4" xfId="15809" xr:uid="{00000000-0005-0000-0000-000075350000}"/>
    <cellStyle name="Normal 2 3 3 2 2 4 3 3" xfId="10199" xr:uid="{00000000-0005-0000-0000-000076350000}"/>
    <cellStyle name="Normal 2 3 3 2 2 4 3 3 2" xfId="13793" xr:uid="{00000000-0005-0000-0000-000077350000}"/>
    <cellStyle name="Normal 2 3 3 2 2 4 3 3 3" xfId="15811" xr:uid="{00000000-0005-0000-0000-000078350000}"/>
    <cellStyle name="Normal 2 3 3 2 2 4 3 4" xfId="11020" xr:uid="{00000000-0005-0000-0000-000079350000}"/>
    <cellStyle name="Normal 2 3 3 2 2 4 3 4 2" xfId="14613" xr:uid="{00000000-0005-0000-0000-00007A350000}"/>
    <cellStyle name="Normal 2 3 3 2 2 4 3 4 3" xfId="15812" xr:uid="{00000000-0005-0000-0000-00007B350000}"/>
    <cellStyle name="Normal 2 3 3 2 2 4 3 5" xfId="12740" xr:uid="{00000000-0005-0000-0000-00007C350000}"/>
    <cellStyle name="Normal 2 3 3 2 2 4 3 6" xfId="15808" xr:uid="{00000000-0005-0000-0000-00007D350000}"/>
    <cellStyle name="Normal 2 3 3 2 2 4 4" xfId="9427" xr:uid="{00000000-0005-0000-0000-00007E350000}"/>
    <cellStyle name="Normal 2 3 3 2 2 4 4 2" xfId="10481" xr:uid="{00000000-0005-0000-0000-00007F350000}"/>
    <cellStyle name="Normal 2 3 3 2 2 4 4 2 2" xfId="14075" xr:uid="{00000000-0005-0000-0000-000080350000}"/>
    <cellStyle name="Normal 2 3 3 2 2 4 4 2 3" xfId="15814" xr:uid="{00000000-0005-0000-0000-000081350000}"/>
    <cellStyle name="Normal 2 3 3 2 2 4 4 3" xfId="13022" xr:uid="{00000000-0005-0000-0000-000082350000}"/>
    <cellStyle name="Normal 2 3 3 2 2 4 4 4" xfId="15813" xr:uid="{00000000-0005-0000-0000-000083350000}"/>
    <cellStyle name="Normal 2 3 3 2 2 4 5" xfId="9943" xr:uid="{00000000-0005-0000-0000-000084350000}"/>
    <cellStyle name="Normal 2 3 3 2 2 4 5 2" xfId="13537" xr:uid="{00000000-0005-0000-0000-000085350000}"/>
    <cellStyle name="Normal 2 3 3 2 2 4 5 3" xfId="15815" xr:uid="{00000000-0005-0000-0000-000086350000}"/>
    <cellStyle name="Normal 2 3 3 2 2 4 6" xfId="11017" xr:uid="{00000000-0005-0000-0000-000087350000}"/>
    <cellStyle name="Normal 2 3 3 2 2 4 6 2" xfId="14610" xr:uid="{00000000-0005-0000-0000-000088350000}"/>
    <cellStyle name="Normal 2 3 3 2 2 4 6 3" xfId="15816" xr:uid="{00000000-0005-0000-0000-000089350000}"/>
    <cellStyle name="Normal 2 3 3 2 2 4 7" xfId="12484" xr:uid="{00000000-0005-0000-0000-00008A350000}"/>
    <cellStyle name="Normal 2 3 3 2 2 4 8" xfId="15797" xr:uid="{00000000-0005-0000-0000-00008B350000}"/>
    <cellStyle name="Normal 2 3 3 2 2 5" xfId="8874" xr:uid="{00000000-0005-0000-0000-00008C350000}"/>
    <cellStyle name="Normal 2 3 3 2 2 5 2" xfId="9130" xr:uid="{00000000-0005-0000-0000-00008D350000}"/>
    <cellStyle name="Normal 2 3 3 2 2 5 2 2" xfId="9698" xr:uid="{00000000-0005-0000-0000-00008E350000}"/>
    <cellStyle name="Normal 2 3 3 2 2 5 2 2 2" xfId="10752" xr:uid="{00000000-0005-0000-0000-00008F350000}"/>
    <cellStyle name="Normal 2 3 3 2 2 5 2 2 2 2" xfId="14346" xr:uid="{00000000-0005-0000-0000-000090350000}"/>
    <cellStyle name="Normal 2 3 3 2 2 5 2 2 2 3" xfId="15820" xr:uid="{00000000-0005-0000-0000-000091350000}"/>
    <cellStyle name="Normal 2 3 3 2 2 5 2 2 3" xfId="13293" xr:uid="{00000000-0005-0000-0000-000092350000}"/>
    <cellStyle name="Normal 2 3 3 2 2 5 2 2 4" xfId="15819" xr:uid="{00000000-0005-0000-0000-000093350000}"/>
    <cellStyle name="Normal 2 3 3 2 2 5 2 3" xfId="10214" xr:uid="{00000000-0005-0000-0000-000094350000}"/>
    <cellStyle name="Normal 2 3 3 2 2 5 2 3 2" xfId="13808" xr:uid="{00000000-0005-0000-0000-000095350000}"/>
    <cellStyle name="Normal 2 3 3 2 2 5 2 3 3" xfId="15821" xr:uid="{00000000-0005-0000-0000-000096350000}"/>
    <cellStyle name="Normal 2 3 3 2 2 5 2 4" xfId="11022" xr:uid="{00000000-0005-0000-0000-000097350000}"/>
    <cellStyle name="Normal 2 3 3 2 2 5 2 4 2" xfId="14615" xr:uid="{00000000-0005-0000-0000-000098350000}"/>
    <cellStyle name="Normal 2 3 3 2 2 5 2 4 3" xfId="15822" xr:uid="{00000000-0005-0000-0000-000099350000}"/>
    <cellStyle name="Normal 2 3 3 2 2 5 2 5" xfId="12755" xr:uid="{00000000-0005-0000-0000-00009A350000}"/>
    <cellStyle name="Normal 2 3 3 2 2 5 2 6" xfId="15818" xr:uid="{00000000-0005-0000-0000-00009B350000}"/>
    <cellStyle name="Normal 2 3 3 2 2 5 3" xfId="9442" xr:uid="{00000000-0005-0000-0000-00009C350000}"/>
    <cellStyle name="Normal 2 3 3 2 2 5 3 2" xfId="10496" xr:uid="{00000000-0005-0000-0000-00009D350000}"/>
    <cellStyle name="Normal 2 3 3 2 2 5 3 2 2" xfId="14090" xr:uid="{00000000-0005-0000-0000-00009E350000}"/>
    <cellStyle name="Normal 2 3 3 2 2 5 3 2 3" xfId="15824" xr:uid="{00000000-0005-0000-0000-00009F350000}"/>
    <cellStyle name="Normal 2 3 3 2 2 5 3 3" xfId="13037" xr:uid="{00000000-0005-0000-0000-0000A0350000}"/>
    <cellStyle name="Normal 2 3 3 2 2 5 3 4" xfId="15823" xr:uid="{00000000-0005-0000-0000-0000A1350000}"/>
    <cellStyle name="Normal 2 3 3 2 2 5 4" xfId="9958" xr:uid="{00000000-0005-0000-0000-0000A2350000}"/>
    <cellStyle name="Normal 2 3 3 2 2 5 4 2" xfId="13552" xr:uid="{00000000-0005-0000-0000-0000A3350000}"/>
    <cellStyle name="Normal 2 3 3 2 2 5 4 3" xfId="15825" xr:uid="{00000000-0005-0000-0000-0000A4350000}"/>
    <cellStyle name="Normal 2 3 3 2 2 5 5" xfId="11021" xr:uid="{00000000-0005-0000-0000-0000A5350000}"/>
    <cellStyle name="Normal 2 3 3 2 2 5 5 2" xfId="14614" xr:uid="{00000000-0005-0000-0000-0000A6350000}"/>
    <cellStyle name="Normal 2 3 3 2 2 5 5 3" xfId="15826" xr:uid="{00000000-0005-0000-0000-0000A7350000}"/>
    <cellStyle name="Normal 2 3 3 2 2 5 6" xfId="12499" xr:uid="{00000000-0005-0000-0000-0000A8350000}"/>
    <cellStyle name="Normal 2 3 3 2 2 5 7" xfId="15817" xr:uid="{00000000-0005-0000-0000-0000A9350000}"/>
    <cellStyle name="Normal 2 3 3 2 2 6" xfId="9002" xr:uid="{00000000-0005-0000-0000-0000AA350000}"/>
    <cellStyle name="Normal 2 3 3 2 2 6 2" xfId="9570" xr:uid="{00000000-0005-0000-0000-0000AB350000}"/>
    <cellStyle name="Normal 2 3 3 2 2 6 2 2" xfId="10624" xr:uid="{00000000-0005-0000-0000-0000AC350000}"/>
    <cellStyle name="Normal 2 3 3 2 2 6 2 2 2" xfId="14218" xr:uid="{00000000-0005-0000-0000-0000AD350000}"/>
    <cellStyle name="Normal 2 3 3 2 2 6 2 2 3" xfId="15829" xr:uid="{00000000-0005-0000-0000-0000AE350000}"/>
    <cellStyle name="Normal 2 3 3 2 2 6 2 3" xfId="13165" xr:uid="{00000000-0005-0000-0000-0000AF350000}"/>
    <cellStyle name="Normal 2 3 3 2 2 6 2 4" xfId="15828" xr:uid="{00000000-0005-0000-0000-0000B0350000}"/>
    <cellStyle name="Normal 2 3 3 2 2 6 3" xfId="10086" xr:uid="{00000000-0005-0000-0000-0000B1350000}"/>
    <cellStyle name="Normal 2 3 3 2 2 6 3 2" xfId="13680" xr:uid="{00000000-0005-0000-0000-0000B2350000}"/>
    <cellStyle name="Normal 2 3 3 2 2 6 3 3" xfId="15830" xr:uid="{00000000-0005-0000-0000-0000B3350000}"/>
    <cellStyle name="Normal 2 3 3 2 2 6 4" xfId="11023" xr:uid="{00000000-0005-0000-0000-0000B4350000}"/>
    <cellStyle name="Normal 2 3 3 2 2 6 4 2" xfId="14616" xr:uid="{00000000-0005-0000-0000-0000B5350000}"/>
    <cellStyle name="Normal 2 3 3 2 2 6 4 3" xfId="15831" xr:uid="{00000000-0005-0000-0000-0000B6350000}"/>
    <cellStyle name="Normal 2 3 3 2 2 6 5" xfId="12627" xr:uid="{00000000-0005-0000-0000-0000B7350000}"/>
    <cellStyle name="Normal 2 3 3 2 2 6 6" xfId="15827" xr:uid="{00000000-0005-0000-0000-0000B8350000}"/>
    <cellStyle name="Normal 2 3 3 2 2 7" xfId="9314" xr:uid="{00000000-0005-0000-0000-0000B9350000}"/>
    <cellStyle name="Normal 2 3 3 2 2 7 2" xfId="10368" xr:uid="{00000000-0005-0000-0000-0000BA350000}"/>
    <cellStyle name="Normal 2 3 3 2 2 7 2 2" xfId="13962" xr:uid="{00000000-0005-0000-0000-0000BB350000}"/>
    <cellStyle name="Normal 2 3 3 2 2 7 2 3" xfId="15833" xr:uid="{00000000-0005-0000-0000-0000BC350000}"/>
    <cellStyle name="Normal 2 3 3 2 2 7 3" xfId="12909" xr:uid="{00000000-0005-0000-0000-0000BD350000}"/>
    <cellStyle name="Normal 2 3 3 2 2 7 4" xfId="15832" xr:uid="{00000000-0005-0000-0000-0000BE350000}"/>
    <cellStyle name="Normal 2 3 3 2 2 8" xfId="9830" xr:uid="{00000000-0005-0000-0000-0000BF350000}"/>
    <cellStyle name="Normal 2 3 3 2 2 8 2" xfId="13424" xr:uid="{00000000-0005-0000-0000-0000C0350000}"/>
    <cellStyle name="Normal 2 3 3 2 2 8 3" xfId="15834" xr:uid="{00000000-0005-0000-0000-0000C1350000}"/>
    <cellStyle name="Normal 2 3 3 2 2 9" xfId="11008" xr:uid="{00000000-0005-0000-0000-0000C2350000}"/>
    <cellStyle name="Normal 2 3 3 2 2 9 2" xfId="14601" xr:uid="{00000000-0005-0000-0000-0000C3350000}"/>
    <cellStyle name="Normal 2 3 3 2 2 9 3" xfId="15835" xr:uid="{00000000-0005-0000-0000-0000C4350000}"/>
    <cellStyle name="Normal 2 3 3 2 3" xfId="8779" xr:uid="{00000000-0005-0000-0000-0000C5350000}"/>
    <cellStyle name="Normal 2 3 3 2 3 2" xfId="8907" xr:uid="{00000000-0005-0000-0000-0000C6350000}"/>
    <cellStyle name="Normal 2 3 3 2 3 2 2" xfId="9163" xr:uid="{00000000-0005-0000-0000-0000C7350000}"/>
    <cellStyle name="Normal 2 3 3 2 3 2 2 2" xfId="9731" xr:uid="{00000000-0005-0000-0000-0000C8350000}"/>
    <cellStyle name="Normal 2 3 3 2 3 2 2 2 2" xfId="10785" xr:uid="{00000000-0005-0000-0000-0000C9350000}"/>
    <cellStyle name="Normal 2 3 3 2 3 2 2 2 2 2" xfId="14379" xr:uid="{00000000-0005-0000-0000-0000CA350000}"/>
    <cellStyle name="Normal 2 3 3 2 3 2 2 2 2 3" xfId="15840" xr:uid="{00000000-0005-0000-0000-0000CB350000}"/>
    <cellStyle name="Normal 2 3 3 2 3 2 2 2 3" xfId="13326" xr:uid="{00000000-0005-0000-0000-0000CC350000}"/>
    <cellStyle name="Normal 2 3 3 2 3 2 2 2 4" xfId="15839" xr:uid="{00000000-0005-0000-0000-0000CD350000}"/>
    <cellStyle name="Normal 2 3 3 2 3 2 2 3" xfId="10247" xr:uid="{00000000-0005-0000-0000-0000CE350000}"/>
    <cellStyle name="Normal 2 3 3 2 3 2 2 3 2" xfId="13841" xr:uid="{00000000-0005-0000-0000-0000CF350000}"/>
    <cellStyle name="Normal 2 3 3 2 3 2 2 3 3" xfId="15841" xr:uid="{00000000-0005-0000-0000-0000D0350000}"/>
    <cellStyle name="Normal 2 3 3 2 3 2 2 4" xfId="11026" xr:uid="{00000000-0005-0000-0000-0000D1350000}"/>
    <cellStyle name="Normal 2 3 3 2 3 2 2 4 2" xfId="14619" xr:uid="{00000000-0005-0000-0000-0000D2350000}"/>
    <cellStyle name="Normal 2 3 3 2 3 2 2 4 3" xfId="15842" xr:uid="{00000000-0005-0000-0000-0000D3350000}"/>
    <cellStyle name="Normal 2 3 3 2 3 2 2 5" xfId="12788" xr:uid="{00000000-0005-0000-0000-0000D4350000}"/>
    <cellStyle name="Normal 2 3 3 2 3 2 2 6" xfId="15838" xr:uid="{00000000-0005-0000-0000-0000D5350000}"/>
    <cellStyle name="Normal 2 3 3 2 3 2 3" xfId="9475" xr:uid="{00000000-0005-0000-0000-0000D6350000}"/>
    <cellStyle name="Normal 2 3 3 2 3 2 3 2" xfId="10529" xr:uid="{00000000-0005-0000-0000-0000D7350000}"/>
    <cellStyle name="Normal 2 3 3 2 3 2 3 2 2" xfId="14123" xr:uid="{00000000-0005-0000-0000-0000D8350000}"/>
    <cellStyle name="Normal 2 3 3 2 3 2 3 2 3" xfId="15844" xr:uid="{00000000-0005-0000-0000-0000D9350000}"/>
    <cellStyle name="Normal 2 3 3 2 3 2 3 3" xfId="13070" xr:uid="{00000000-0005-0000-0000-0000DA350000}"/>
    <cellStyle name="Normal 2 3 3 2 3 2 3 4" xfId="15843" xr:uid="{00000000-0005-0000-0000-0000DB350000}"/>
    <cellStyle name="Normal 2 3 3 2 3 2 4" xfId="9991" xr:uid="{00000000-0005-0000-0000-0000DC350000}"/>
    <cellStyle name="Normal 2 3 3 2 3 2 4 2" xfId="13585" xr:uid="{00000000-0005-0000-0000-0000DD350000}"/>
    <cellStyle name="Normal 2 3 3 2 3 2 4 3" xfId="15845" xr:uid="{00000000-0005-0000-0000-0000DE350000}"/>
    <cellStyle name="Normal 2 3 3 2 3 2 5" xfId="11025" xr:uid="{00000000-0005-0000-0000-0000DF350000}"/>
    <cellStyle name="Normal 2 3 3 2 3 2 5 2" xfId="14618" xr:uid="{00000000-0005-0000-0000-0000E0350000}"/>
    <cellStyle name="Normal 2 3 3 2 3 2 5 3" xfId="15846" xr:uid="{00000000-0005-0000-0000-0000E1350000}"/>
    <cellStyle name="Normal 2 3 3 2 3 2 6" xfId="12532" xr:uid="{00000000-0005-0000-0000-0000E2350000}"/>
    <cellStyle name="Normal 2 3 3 2 3 2 7" xfId="15837" xr:uid="{00000000-0005-0000-0000-0000E3350000}"/>
    <cellStyle name="Normal 2 3 3 2 3 3" xfId="9035" xr:uid="{00000000-0005-0000-0000-0000E4350000}"/>
    <cellStyle name="Normal 2 3 3 2 3 3 2" xfId="9603" xr:uid="{00000000-0005-0000-0000-0000E5350000}"/>
    <cellStyle name="Normal 2 3 3 2 3 3 2 2" xfId="10657" xr:uid="{00000000-0005-0000-0000-0000E6350000}"/>
    <cellStyle name="Normal 2 3 3 2 3 3 2 2 2" xfId="14251" xr:uid="{00000000-0005-0000-0000-0000E7350000}"/>
    <cellStyle name="Normal 2 3 3 2 3 3 2 2 3" xfId="15849" xr:uid="{00000000-0005-0000-0000-0000E8350000}"/>
    <cellStyle name="Normal 2 3 3 2 3 3 2 3" xfId="13198" xr:uid="{00000000-0005-0000-0000-0000E9350000}"/>
    <cellStyle name="Normal 2 3 3 2 3 3 2 4" xfId="15848" xr:uid="{00000000-0005-0000-0000-0000EA350000}"/>
    <cellStyle name="Normal 2 3 3 2 3 3 3" xfId="10119" xr:uid="{00000000-0005-0000-0000-0000EB350000}"/>
    <cellStyle name="Normal 2 3 3 2 3 3 3 2" xfId="13713" xr:uid="{00000000-0005-0000-0000-0000EC350000}"/>
    <cellStyle name="Normal 2 3 3 2 3 3 3 3" xfId="15850" xr:uid="{00000000-0005-0000-0000-0000ED350000}"/>
    <cellStyle name="Normal 2 3 3 2 3 3 4" xfId="11027" xr:uid="{00000000-0005-0000-0000-0000EE350000}"/>
    <cellStyle name="Normal 2 3 3 2 3 3 4 2" xfId="14620" xr:uid="{00000000-0005-0000-0000-0000EF350000}"/>
    <cellStyle name="Normal 2 3 3 2 3 3 4 3" xfId="15851" xr:uid="{00000000-0005-0000-0000-0000F0350000}"/>
    <cellStyle name="Normal 2 3 3 2 3 3 5" xfId="12660" xr:uid="{00000000-0005-0000-0000-0000F1350000}"/>
    <cellStyle name="Normal 2 3 3 2 3 3 6" xfId="15847" xr:uid="{00000000-0005-0000-0000-0000F2350000}"/>
    <cellStyle name="Normal 2 3 3 2 3 4" xfId="9347" xr:uid="{00000000-0005-0000-0000-0000F3350000}"/>
    <cellStyle name="Normal 2 3 3 2 3 4 2" xfId="10401" xr:uid="{00000000-0005-0000-0000-0000F4350000}"/>
    <cellStyle name="Normal 2 3 3 2 3 4 2 2" xfId="13995" xr:uid="{00000000-0005-0000-0000-0000F5350000}"/>
    <cellStyle name="Normal 2 3 3 2 3 4 2 3" xfId="15853" xr:uid="{00000000-0005-0000-0000-0000F6350000}"/>
    <cellStyle name="Normal 2 3 3 2 3 4 3" xfId="12942" xr:uid="{00000000-0005-0000-0000-0000F7350000}"/>
    <cellStyle name="Normal 2 3 3 2 3 4 4" xfId="15852" xr:uid="{00000000-0005-0000-0000-0000F8350000}"/>
    <cellStyle name="Normal 2 3 3 2 3 5" xfId="9863" xr:uid="{00000000-0005-0000-0000-0000F9350000}"/>
    <cellStyle name="Normal 2 3 3 2 3 5 2" xfId="13457" xr:uid="{00000000-0005-0000-0000-0000FA350000}"/>
    <cellStyle name="Normal 2 3 3 2 3 5 3" xfId="15854" xr:uid="{00000000-0005-0000-0000-0000FB350000}"/>
    <cellStyle name="Normal 2 3 3 2 3 6" xfId="11024" xr:uid="{00000000-0005-0000-0000-0000FC350000}"/>
    <cellStyle name="Normal 2 3 3 2 3 6 2" xfId="14617" xr:uid="{00000000-0005-0000-0000-0000FD350000}"/>
    <cellStyle name="Normal 2 3 3 2 3 6 3" xfId="15855" xr:uid="{00000000-0005-0000-0000-0000FE350000}"/>
    <cellStyle name="Normal 2 3 3 2 3 7" xfId="12404" xr:uid="{00000000-0005-0000-0000-0000FF350000}"/>
    <cellStyle name="Normal 2 3 3 2 3 8" xfId="15836" xr:uid="{00000000-0005-0000-0000-000000360000}"/>
    <cellStyle name="Normal 2 3 3 2 4" xfId="8811" xr:uid="{00000000-0005-0000-0000-000001360000}"/>
    <cellStyle name="Normal 2 3 3 2 4 2" xfId="8939" xr:uid="{00000000-0005-0000-0000-000002360000}"/>
    <cellStyle name="Normal 2 3 3 2 4 2 2" xfId="9195" xr:uid="{00000000-0005-0000-0000-000003360000}"/>
    <cellStyle name="Normal 2 3 3 2 4 2 2 2" xfId="9763" xr:uid="{00000000-0005-0000-0000-000004360000}"/>
    <cellStyle name="Normal 2 3 3 2 4 2 2 2 2" xfId="10817" xr:uid="{00000000-0005-0000-0000-000005360000}"/>
    <cellStyle name="Normal 2 3 3 2 4 2 2 2 2 2" xfId="14411" xr:uid="{00000000-0005-0000-0000-000006360000}"/>
    <cellStyle name="Normal 2 3 3 2 4 2 2 2 2 3" xfId="15860" xr:uid="{00000000-0005-0000-0000-000007360000}"/>
    <cellStyle name="Normal 2 3 3 2 4 2 2 2 3" xfId="13358" xr:uid="{00000000-0005-0000-0000-000008360000}"/>
    <cellStyle name="Normal 2 3 3 2 4 2 2 2 4" xfId="15859" xr:uid="{00000000-0005-0000-0000-000009360000}"/>
    <cellStyle name="Normal 2 3 3 2 4 2 2 3" xfId="10279" xr:uid="{00000000-0005-0000-0000-00000A360000}"/>
    <cellStyle name="Normal 2 3 3 2 4 2 2 3 2" xfId="13873" xr:uid="{00000000-0005-0000-0000-00000B360000}"/>
    <cellStyle name="Normal 2 3 3 2 4 2 2 3 3" xfId="15861" xr:uid="{00000000-0005-0000-0000-00000C360000}"/>
    <cellStyle name="Normal 2 3 3 2 4 2 2 4" xfId="11030" xr:uid="{00000000-0005-0000-0000-00000D360000}"/>
    <cellStyle name="Normal 2 3 3 2 4 2 2 4 2" xfId="14623" xr:uid="{00000000-0005-0000-0000-00000E360000}"/>
    <cellStyle name="Normal 2 3 3 2 4 2 2 4 3" xfId="15862" xr:uid="{00000000-0005-0000-0000-00000F360000}"/>
    <cellStyle name="Normal 2 3 3 2 4 2 2 5" xfId="12820" xr:uid="{00000000-0005-0000-0000-000010360000}"/>
    <cellStyle name="Normal 2 3 3 2 4 2 2 6" xfId="15858" xr:uid="{00000000-0005-0000-0000-000011360000}"/>
    <cellStyle name="Normal 2 3 3 2 4 2 3" xfId="9507" xr:uid="{00000000-0005-0000-0000-000012360000}"/>
    <cellStyle name="Normal 2 3 3 2 4 2 3 2" xfId="10561" xr:uid="{00000000-0005-0000-0000-000013360000}"/>
    <cellStyle name="Normal 2 3 3 2 4 2 3 2 2" xfId="14155" xr:uid="{00000000-0005-0000-0000-000014360000}"/>
    <cellStyle name="Normal 2 3 3 2 4 2 3 2 3" xfId="15864" xr:uid="{00000000-0005-0000-0000-000015360000}"/>
    <cellStyle name="Normal 2 3 3 2 4 2 3 3" xfId="13102" xr:uid="{00000000-0005-0000-0000-000016360000}"/>
    <cellStyle name="Normal 2 3 3 2 4 2 3 4" xfId="15863" xr:uid="{00000000-0005-0000-0000-000017360000}"/>
    <cellStyle name="Normal 2 3 3 2 4 2 4" xfId="10023" xr:uid="{00000000-0005-0000-0000-000018360000}"/>
    <cellStyle name="Normal 2 3 3 2 4 2 4 2" xfId="13617" xr:uid="{00000000-0005-0000-0000-000019360000}"/>
    <cellStyle name="Normal 2 3 3 2 4 2 4 3" xfId="15865" xr:uid="{00000000-0005-0000-0000-00001A360000}"/>
    <cellStyle name="Normal 2 3 3 2 4 2 5" xfId="11029" xr:uid="{00000000-0005-0000-0000-00001B360000}"/>
    <cellStyle name="Normal 2 3 3 2 4 2 5 2" xfId="14622" xr:uid="{00000000-0005-0000-0000-00001C360000}"/>
    <cellStyle name="Normal 2 3 3 2 4 2 5 3" xfId="15866" xr:uid="{00000000-0005-0000-0000-00001D360000}"/>
    <cellStyle name="Normal 2 3 3 2 4 2 6" xfId="12564" xr:uid="{00000000-0005-0000-0000-00001E360000}"/>
    <cellStyle name="Normal 2 3 3 2 4 2 7" xfId="15857" xr:uid="{00000000-0005-0000-0000-00001F360000}"/>
    <cellStyle name="Normal 2 3 3 2 4 3" xfId="9067" xr:uid="{00000000-0005-0000-0000-000020360000}"/>
    <cellStyle name="Normal 2 3 3 2 4 3 2" xfId="9635" xr:uid="{00000000-0005-0000-0000-000021360000}"/>
    <cellStyle name="Normal 2 3 3 2 4 3 2 2" xfId="10689" xr:uid="{00000000-0005-0000-0000-000022360000}"/>
    <cellStyle name="Normal 2 3 3 2 4 3 2 2 2" xfId="14283" xr:uid="{00000000-0005-0000-0000-000023360000}"/>
    <cellStyle name="Normal 2 3 3 2 4 3 2 2 3" xfId="15869" xr:uid="{00000000-0005-0000-0000-000024360000}"/>
    <cellStyle name="Normal 2 3 3 2 4 3 2 3" xfId="13230" xr:uid="{00000000-0005-0000-0000-000025360000}"/>
    <cellStyle name="Normal 2 3 3 2 4 3 2 4" xfId="15868" xr:uid="{00000000-0005-0000-0000-000026360000}"/>
    <cellStyle name="Normal 2 3 3 2 4 3 3" xfId="10151" xr:uid="{00000000-0005-0000-0000-000027360000}"/>
    <cellStyle name="Normal 2 3 3 2 4 3 3 2" xfId="13745" xr:uid="{00000000-0005-0000-0000-000028360000}"/>
    <cellStyle name="Normal 2 3 3 2 4 3 3 3" xfId="15870" xr:uid="{00000000-0005-0000-0000-000029360000}"/>
    <cellStyle name="Normal 2 3 3 2 4 3 4" xfId="11031" xr:uid="{00000000-0005-0000-0000-00002A360000}"/>
    <cellStyle name="Normal 2 3 3 2 4 3 4 2" xfId="14624" xr:uid="{00000000-0005-0000-0000-00002B360000}"/>
    <cellStyle name="Normal 2 3 3 2 4 3 4 3" xfId="15871" xr:uid="{00000000-0005-0000-0000-00002C360000}"/>
    <cellStyle name="Normal 2 3 3 2 4 3 5" xfId="12692" xr:uid="{00000000-0005-0000-0000-00002D360000}"/>
    <cellStyle name="Normal 2 3 3 2 4 3 6" xfId="15867" xr:uid="{00000000-0005-0000-0000-00002E360000}"/>
    <cellStyle name="Normal 2 3 3 2 4 4" xfId="9379" xr:uid="{00000000-0005-0000-0000-00002F360000}"/>
    <cellStyle name="Normal 2 3 3 2 4 4 2" xfId="10433" xr:uid="{00000000-0005-0000-0000-000030360000}"/>
    <cellStyle name="Normal 2 3 3 2 4 4 2 2" xfId="14027" xr:uid="{00000000-0005-0000-0000-000031360000}"/>
    <cellStyle name="Normal 2 3 3 2 4 4 2 3" xfId="15873" xr:uid="{00000000-0005-0000-0000-000032360000}"/>
    <cellStyle name="Normal 2 3 3 2 4 4 3" xfId="12974" xr:uid="{00000000-0005-0000-0000-000033360000}"/>
    <cellStyle name="Normal 2 3 3 2 4 4 4" xfId="15872" xr:uid="{00000000-0005-0000-0000-000034360000}"/>
    <cellStyle name="Normal 2 3 3 2 4 5" xfId="9895" xr:uid="{00000000-0005-0000-0000-000035360000}"/>
    <cellStyle name="Normal 2 3 3 2 4 5 2" xfId="13489" xr:uid="{00000000-0005-0000-0000-000036360000}"/>
    <cellStyle name="Normal 2 3 3 2 4 5 3" xfId="15874" xr:uid="{00000000-0005-0000-0000-000037360000}"/>
    <cellStyle name="Normal 2 3 3 2 4 6" xfId="11028" xr:uid="{00000000-0005-0000-0000-000038360000}"/>
    <cellStyle name="Normal 2 3 3 2 4 6 2" xfId="14621" xr:uid="{00000000-0005-0000-0000-000039360000}"/>
    <cellStyle name="Normal 2 3 3 2 4 6 3" xfId="15875" xr:uid="{00000000-0005-0000-0000-00003A360000}"/>
    <cellStyle name="Normal 2 3 3 2 4 7" xfId="12436" xr:uid="{00000000-0005-0000-0000-00003B360000}"/>
    <cellStyle name="Normal 2 3 3 2 4 8" xfId="15856" xr:uid="{00000000-0005-0000-0000-00003C360000}"/>
    <cellStyle name="Normal 2 3 3 2 5" xfId="8843" xr:uid="{00000000-0005-0000-0000-00003D360000}"/>
    <cellStyle name="Normal 2 3 3 2 5 2" xfId="8971" xr:uid="{00000000-0005-0000-0000-00003E360000}"/>
    <cellStyle name="Normal 2 3 3 2 5 2 2" xfId="9227" xr:uid="{00000000-0005-0000-0000-00003F360000}"/>
    <cellStyle name="Normal 2 3 3 2 5 2 2 2" xfId="9795" xr:uid="{00000000-0005-0000-0000-000040360000}"/>
    <cellStyle name="Normal 2 3 3 2 5 2 2 2 2" xfId="10849" xr:uid="{00000000-0005-0000-0000-000041360000}"/>
    <cellStyle name="Normal 2 3 3 2 5 2 2 2 2 2" xfId="14443" xr:uid="{00000000-0005-0000-0000-000042360000}"/>
    <cellStyle name="Normal 2 3 3 2 5 2 2 2 2 3" xfId="15880" xr:uid="{00000000-0005-0000-0000-000043360000}"/>
    <cellStyle name="Normal 2 3 3 2 5 2 2 2 3" xfId="13390" xr:uid="{00000000-0005-0000-0000-000044360000}"/>
    <cellStyle name="Normal 2 3 3 2 5 2 2 2 4" xfId="15879" xr:uid="{00000000-0005-0000-0000-000045360000}"/>
    <cellStyle name="Normal 2 3 3 2 5 2 2 3" xfId="10311" xr:uid="{00000000-0005-0000-0000-000046360000}"/>
    <cellStyle name="Normal 2 3 3 2 5 2 2 3 2" xfId="13905" xr:uid="{00000000-0005-0000-0000-000047360000}"/>
    <cellStyle name="Normal 2 3 3 2 5 2 2 3 3" xfId="15881" xr:uid="{00000000-0005-0000-0000-000048360000}"/>
    <cellStyle name="Normal 2 3 3 2 5 2 2 4" xfId="11034" xr:uid="{00000000-0005-0000-0000-000049360000}"/>
    <cellStyle name="Normal 2 3 3 2 5 2 2 4 2" xfId="14627" xr:uid="{00000000-0005-0000-0000-00004A360000}"/>
    <cellStyle name="Normal 2 3 3 2 5 2 2 4 3" xfId="15882" xr:uid="{00000000-0005-0000-0000-00004B360000}"/>
    <cellStyle name="Normal 2 3 3 2 5 2 2 5" xfId="12852" xr:uid="{00000000-0005-0000-0000-00004C360000}"/>
    <cellStyle name="Normal 2 3 3 2 5 2 2 6" xfId="15878" xr:uid="{00000000-0005-0000-0000-00004D360000}"/>
    <cellStyle name="Normal 2 3 3 2 5 2 3" xfId="9539" xr:uid="{00000000-0005-0000-0000-00004E360000}"/>
    <cellStyle name="Normal 2 3 3 2 5 2 3 2" xfId="10593" xr:uid="{00000000-0005-0000-0000-00004F360000}"/>
    <cellStyle name="Normal 2 3 3 2 5 2 3 2 2" xfId="14187" xr:uid="{00000000-0005-0000-0000-000050360000}"/>
    <cellStyle name="Normal 2 3 3 2 5 2 3 2 3" xfId="15884" xr:uid="{00000000-0005-0000-0000-000051360000}"/>
    <cellStyle name="Normal 2 3 3 2 5 2 3 3" xfId="13134" xr:uid="{00000000-0005-0000-0000-000052360000}"/>
    <cellStyle name="Normal 2 3 3 2 5 2 3 4" xfId="15883" xr:uid="{00000000-0005-0000-0000-000053360000}"/>
    <cellStyle name="Normal 2 3 3 2 5 2 4" xfId="10055" xr:uid="{00000000-0005-0000-0000-000054360000}"/>
    <cellStyle name="Normal 2 3 3 2 5 2 4 2" xfId="13649" xr:uid="{00000000-0005-0000-0000-000055360000}"/>
    <cellStyle name="Normal 2 3 3 2 5 2 4 3" xfId="15885" xr:uid="{00000000-0005-0000-0000-000056360000}"/>
    <cellStyle name="Normal 2 3 3 2 5 2 5" xfId="11033" xr:uid="{00000000-0005-0000-0000-000057360000}"/>
    <cellStyle name="Normal 2 3 3 2 5 2 5 2" xfId="14626" xr:uid="{00000000-0005-0000-0000-000058360000}"/>
    <cellStyle name="Normal 2 3 3 2 5 2 5 3" xfId="15886" xr:uid="{00000000-0005-0000-0000-000059360000}"/>
    <cellStyle name="Normal 2 3 3 2 5 2 6" xfId="12596" xr:uid="{00000000-0005-0000-0000-00005A360000}"/>
    <cellStyle name="Normal 2 3 3 2 5 2 7" xfId="15877" xr:uid="{00000000-0005-0000-0000-00005B360000}"/>
    <cellStyle name="Normal 2 3 3 2 5 3" xfId="9099" xr:uid="{00000000-0005-0000-0000-00005C360000}"/>
    <cellStyle name="Normal 2 3 3 2 5 3 2" xfId="9667" xr:uid="{00000000-0005-0000-0000-00005D360000}"/>
    <cellStyle name="Normal 2 3 3 2 5 3 2 2" xfId="10721" xr:uid="{00000000-0005-0000-0000-00005E360000}"/>
    <cellStyle name="Normal 2 3 3 2 5 3 2 2 2" xfId="14315" xr:uid="{00000000-0005-0000-0000-00005F360000}"/>
    <cellStyle name="Normal 2 3 3 2 5 3 2 2 3" xfId="15889" xr:uid="{00000000-0005-0000-0000-000060360000}"/>
    <cellStyle name="Normal 2 3 3 2 5 3 2 3" xfId="13262" xr:uid="{00000000-0005-0000-0000-000061360000}"/>
    <cellStyle name="Normal 2 3 3 2 5 3 2 4" xfId="15888" xr:uid="{00000000-0005-0000-0000-000062360000}"/>
    <cellStyle name="Normal 2 3 3 2 5 3 3" xfId="10183" xr:uid="{00000000-0005-0000-0000-000063360000}"/>
    <cellStyle name="Normal 2 3 3 2 5 3 3 2" xfId="13777" xr:uid="{00000000-0005-0000-0000-000064360000}"/>
    <cellStyle name="Normal 2 3 3 2 5 3 3 3" xfId="15890" xr:uid="{00000000-0005-0000-0000-000065360000}"/>
    <cellStyle name="Normal 2 3 3 2 5 3 4" xfId="11035" xr:uid="{00000000-0005-0000-0000-000066360000}"/>
    <cellStyle name="Normal 2 3 3 2 5 3 4 2" xfId="14628" xr:uid="{00000000-0005-0000-0000-000067360000}"/>
    <cellStyle name="Normal 2 3 3 2 5 3 4 3" xfId="15891" xr:uid="{00000000-0005-0000-0000-000068360000}"/>
    <cellStyle name="Normal 2 3 3 2 5 3 5" xfId="12724" xr:uid="{00000000-0005-0000-0000-000069360000}"/>
    <cellStyle name="Normal 2 3 3 2 5 3 6" xfId="15887" xr:uid="{00000000-0005-0000-0000-00006A360000}"/>
    <cellStyle name="Normal 2 3 3 2 5 4" xfId="9411" xr:uid="{00000000-0005-0000-0000-00006B360000}"/>
    <cellStyle name="Normal 2 3 3 2 5 4 2" xfId="10465" xr:uid="{00000000-0005-0000-0000-00006C360000}"/>
    <cellStyle name="Normal 2 3 3 2 5 4 2 2" xfId="14059" xr:uid="{00000000-0005-0000-0000-00006D360000}"/>
    <cellStyle name="Normal 2 3 3 2 5 4 2 3" xfId="15893" xr:uid="{00000000-0005-0000-0000-00006E360000}"/>
    <cellStyle name="Normal 2 3 3 2 5 4 3" xfId="13006" xr:uid="{00000000-0005-0000-0000-00006F360000}"/>
    <cellStyle name="Normal 2 3 3 2 5 4 4" xfId="15892" xr:uid="{00000000-0005-0000-0000-000070360000}"/>
    <cellStyle name="Normal 2 3 3 2 5 5" xfId="9927" xr:uid="{00000000-0005-0000-0000-000071360000}"/>
    <cellStyle name="Normal 2 3 3 2 5 5 2" xfId="13521" xr:uid="{00000000-0005-0000-0000-000072360000}"/>
    <cellStyle name="Normal 2 3 3 2 5 5 3" xfId="15894" xr:uid="{00000000-0005-0000-0000-000073360000}"/>
    <cellStyle name="Normal 2 3 3 2 5 6" xfId="11032" xr:uid="{00000000-0005-0000-0000-000074360000}"/>
    <cellStyle name="Normal 2 3 3 2 5 6 2" xfId="14625" xr:uid="{00000000-0005-0000-0000-000075360000}"/>
    <cellStyle name="Normal 2 3 3 2 5 6 3" xfId="15895" xr:uid="{00000000-0005-0000-0000-000076360000}"/>
    <cellStyle name="Normal 2 3 3 2 5 7" xfId="12468" xr:uid="{00000000-0005-0000-0000-000077360000}"/>
    <cellStyle name="Normal 2 3 3 2 5 8" xfId="15876" xr:uid="{00000000-0005-0000-0000-000078360000}"/>
    <cellStyle name="Normal 2 3 3 2 6" xfId="8873" xr:uid="{00000000-0005-0000-0000-000079360000}"/>
    <cellStyle name="Normal 2 3 3 2 6 2" xfId="9129" xr:uid="{00000000-0005-0000-0000-00007A360000}"/>
    <cellStyle name="Normal 2 3 3 2 6 2 2" xfId="9697" xr:uid="{00000000-0005-0000-0000-00007B360000}"/>
    <cellStyle name="Normal 2 3 3 2 6 2 2 2" xfId="10751" xr:uid="{00000000-0005-0000-0000-00007C360000}"/>
    <cellStyle name="Normal 2 3 3 2 6 2 2 2 2" xfId="14345" xr:uid="{00000000-0005-0000-0000-00007D360000}"/>
    <cellStyle name="Normal 2 3 3 2 6 2 2 2 3" xfId="15899" xr:uid="{00000000-0005-0000-0000-00007E360000}"/>
    <cellStyle name="Normal 2 3 3 2 6 2 2 3" xfId="13292" xr:uid="{00000000-0005-0000-0000-00007F360000}"/>
    <cellStyle name="Normal 2 3 3 2 6 2 2 4" xfId="15898" xr:uid="{00000000-0005-0000-0000-000080360000}"/>
    <cellStyle name="Normal 2 3 3 2 6 2 3" xfId="10213" xr:uid="{00000000-0005-0000-0000-000081360000}"/>
    <cellStyle name="Normal 2 3 3 2 6 2 3 2" xfId="13807" xr:uid="{00000000-0005-0000-0000-000082360000}"/>
    <cellStyle name="Normal 2 3 3 2 6 2 3 3" xfId="15900" xr:uid="{00000000-0005-0000-0000-000083360000}"/>
    <cellStyle name="Normal 2 3 3 2 6 2 4" xfId="11037" xr:uid="{00000000-0005-0000-0000-000084360000}"/>
    <cellStyle name="Normal 2 3 3 2 6 2 4 2" xfId="14630" xr:uid="{00000000-0005-0000-0000-000085360000}"/>
    <cellStyle name="Normal 2 3 3 2 6 2 4 3" xfId="15901" xr:uid="{00000000-0005-0000-0000-000086360000}"/>
    <cellStyle name="Normal 2 3 3 2 6 2 5" xfId="12754" xr:uid="{00000000-0005-0000-0000-000087360000}"/>
    <cellStyle name="Normal 2 3 3 2 6 2 6" xfId="15897" xr:uid="{00000000-0005-0000-0000-000088360000}"/>
    <cellStyle name="Normal 2 3 3 2 6 3" xfId="9441" xr:uid="{00000000-0005-0000-0000-000089360000}"/>
    <cellStyle name="Normal 2 3 3 2 6 3 2" xfId="10495" xr:uid="{00000000-0005-0000-0000-00008A360000}"/>
    <cellStyle name="Normal 2 3 3 2 6 3 2 2" xfId="14089" xr:uid="{00000000-0005-0000-0000-00008B360000}"/>
    <cellStyle name="Normal 2 3 3 2 6 3 2 3" xfId="15903" xr:uid="{00000000-0005-0000-0000-00008C360000}"/>
    <cellStyle name="Normal 2 3 3 2 6 3 3" xfId="13036" xr:uid="{00000000-0005-0000-0000-00008D360000}"/>
    <cellStyle name="Normal 2 3 3 2 6 3 4" xfId="15902" xr:uid="{00000000-0005-0000-0000-00008E360000}"/>
    <cellStyle name="Normal 2 3 3 2 6 4" xfId="9957" xr:uid="{00000000-0005-0000-0000-00008F360000}"/>
    <cellStyle name="Normal 2 3 3 2 6 4 2" xfId="13551" xr:uid="{00000000-0005-0000-0000-000090360000}"/>
    <cellStyle name="Normal 2 3 3 2 6 4 3" xfId="15904" xr:uid="{00000000-0005-0000-0000-000091360000}"/>
    <cellStyle name="Normal 2 3 3 2 6 5" xfId="11036" xr:uid="{00000000-0005-0000-0000-000092360000}"/>
    <cellStyle name="Normal 2 3 3 2 6 5 2" xfId="14629" xr:uid="{00000000-0005-0000-0000-000093360000}"/>
    <cellStyle name="Normal 2 3 3 2 6 5 3" xfId="15905" xr:uid="{00000000-0005-0000-0000-000094360000}"/>
    <cellStyle name="Normal 2 3 3 2 6 6" xfId="12498" xr:uid="{00000000-0005-0000-0000-000095360000}"/>
    <cellStyle name="Normal 2 3 3 2 6 7" xfId="15896" xr:uid="{00000000-0005-0000-0000-000096360000}"/>
    <cellStyle name="Normal 2 3 3 2 7" xfId="9001" xr:uid="{00000000-0005-0000-0000-000097360000}"/>
    <cellStyle name="Normal 2 3 3 2 7 2" xfId="9569" xr:uid="{00000000-0005-0000-0000-000098360000}"/>
    <cellStyle name="Normal 2 3 3 2 7 2 2" xfId="10623" xr:uid="{00000000-0005-0000-0000-000099360000}"/>
    <cellStyle name="Normal 2 3 3 2 7 2 2 2" xfId="14217" xr:uid="{00000000-0005-0000-0000-00009A360000}"/>
    <cellStyle name="Normal 2 3 3 2 7 2 2 3" xfId="15908" xr:uid="{00000000-0005-0000-0000-00009B360000}"/>
    <cellStyle name="Normal 2 3 3 2 7 2 3" xfId="13164" xr:uid="{00000000-0005-0000-0000-00009C360000}"/>
    <cellStyle name="Normal 2 3 3 2 7 2 4" xfId="15907" xr:uid="{00000000-0005-0000-0000-00009D360000}"/>
    <cellStyle name="Normal 2 3 3 2 7 3" xfId="10085" xr:uid="{00000000-0005-0000-0000-00009E360000}"/>
    <cellStyle name="Normal 2 3 3 2 7 3 2" xfId="13679" xr:uid="{00000000-0005-0000-0000-00009F360000}"/>
    <cellStyle name="Normal 2 3 3 2 7 3 3" xfId="15909" xr:uid="{00000000-0005-0000-0000-0000A0360000}"/>
    <cellStyle name="Normal 2 3 3 2 7 4" xfId="11038" xr:uid="{00000000-0005-0000-0000-0000A1360000}"/>
    <cellStyle name="Normal 2 3 3 2 7 4 2" xfId="14631" xr:uid="{00000000-0005-0000-0000-0000A2360000}"/>
    <cellStyle name="Normal 2 3 3 2 7 4 3" xfId="15910" xr:uid="{00000000-0005-0000-0000-0000A3360000}"/>
    <cellStyle name="Normal 2 3 3 2 7 5" xfId="12626" xr:uid="{00000000-0005-0000-0000-0000A4360000}"/>
    <cellStyle name="Normal 2 3 3 2 7 6" xfId="15906" xr:uid="{00000000-0005-0000-0000-0000A5360000}"/>
    <cellStyle name="Normal 2 3 3 2 8" xfId="9313" xr:uid="{00000000-0005-0000-0000-0000A6360000}"/>
    <cellStyle name="Normal 2 3 3 2 8 2" xfId="10367" xr:uid="{00000000-0005-0000-0000-0000A7360000}"/>
    <cellStyle name="Normal 2 3 3 2 8 2 2" xfId="13961" xr:uid="{00000000-0005-0000-0000-0000A8360000}"/>
    <cellStyle name="Normal 2 3 3 2 8 2 3" xfId="15912" xr:uid="{00000000-0005-0000-0000-0000A9360000}"/>
    <cellStyle name="Normal 2 3 3 2 8 3" xfId="12908" xr:uid="{00000000-0005-0000-0000-0000AA360000}"/>
    <cellStyle name="Normal 2 3 3 2 8 4" xfId="15911" xr:uid="{00000000-0005-0000-0000-0000AB360000}"/>
    <cellStyle name="Normal 2 3 3 2 9" xfId="9829" xr:uid="{00000000-0005-0000-0000-0000AC360000}"/>
    <cellStyle name="Normal 2 3 3 2 9 2" xfId="13423" xr:uid="{00000000-0005-0000-0000-0000AD360000}"/>
    <cellStyle name="Normal 2 3 3 2 9 3" xfId="15913" xr:uid="{00000000-0005-0000-0000-0000AE360000}"/>
    <cellStyle name="Normal 2 3 3 3" xfId="1507" xr:uid="{00000000-0005-0000-0000-0000AF360000}"/>
    <cellStyle name="Normal 2 3 3 3 10" xfId="12347" xr:uid="{00000000-0005-0000-0000-0000B0360000}"/>
    <cellStyle name="Normal 2 3 3 3 11" xfId="15914" xr:uid="{00000000-0005-0000-0000-0000B1360000}"/>
    <cellStyle name="Normal 2 3 3 3 2" xfId="8787" xr:uid="{00000000-0005-0000-0000-0000B2360000}"/>
    <cellStyle name="Normal 2 3 3 3 2 2" xfId="8915" xr:uid="{00000000-0005-0000-0000-0000B3360000}"/>
    <cellStyle name="Normal 2 3 3 3 2 2 2" xfId="9171" xr:uid="{00000000-0005-0000-0000-0000B4360000}"/>
    <cellStyle name="Normal 2 3 3 3 2 2 2 2" xfId="9739" xr:uid="{00000000-0005-0000-0000-0000B5360000}"/>
    <cellStyle name="Normal 2 3 3 3 2 2 2 2 2" xfId="10793" xr:uid="{00000000-0005-0000-0000-0000B6360000}"/>
    <cellStyle name="Normal 2 3 3 3 2 2 2 2 2 2" xfId="14387" xr:uid="{00000000-0005-0000-0000-0000B7360000}"/>
    <cellStyle name="Normal 2 3 3 3 2 2 2 2 2 3" xfId="15919" xr:uid="{00000000-0005-0000-0000-0000B8360000}"/>
    <cellStyle name="Normal 2 3 3 3 2 2 2 2 3" xfId="13334" xr:uid="{00000000-0005-0000-0000-0000B9360000}"/>
    <cellStyle name="Normal 2 3 3 3 2 2 2 2 4" xfId="15918" xr:uid="{00000000-0005-0000-0000-0000BA360000}"/>
    <cellStyle name="Normal 2 3 3 3 2 2 2 3" xfId="10255" xr:uid="{00000000-0005-0000-0000-0000BB360000}"/>
    <cellStyle name="Normal 2 3 3 3 2 2 2 3 2" xfId="13849" xr:uid="{00000000-0005-0000-0000-0000BC360000}"/>
    <cellStyle name="Normal 2 3 3 3 2 2 2 3 3" xfId="15920" xr:uid="{00000000-0005-0000-0000-0000BD360000}"/>
    <cellStyle name="Normal 2 3 3 3 2 2 2 4" xfId="11042" xr:uid="{00000000-0005-0000-0000-0000BE360000}"/>
    <cellStyle name="Normal 2 3 3 3 2 2 2 4 2" xfId="14635" xr:uid="{00000000-0005-0000-0000-0000BF360000}"/>
    <cellStyle name="Normal 2 3 3 3 2 2 2 4 3" xfId="15921" xr:uid="{00000000-0005-0000-0000-0000C0360000}"/>
    <cellStyle name="Normal 2 3 3 3 2 2 2 5" xfId="12796" xr:uid="{00000000-0005-0000-0000-0000C1360000}"/>
    <cellStyle name="Normal 2 3 3 3 2 2 2 6" xfId="15917" xr:uid="{00000000-0005-0000-0000-0000C2360000}"/>
    <cellStyle name="Normal 2 3 3 3 2 2 3" xfId="9483" xr:uid="{00000000-0005-0000-0000-0000C3360000}"/>
    <cellStyle name="Normal 2 3 3 3 2 2 3 2" xfId="10537" xr:uid="{00000000-0005-0000-0000-0000C4360000}"/>
    <cellStyle name="Normal 2 3 3 3 2 2 3 2 2" xfId="14131" xr:uid="{00000000-0005-0000-0000-0000C5360000}"/>
    <cellStyle name="Normal 2 3 3 3 2 2 3 2 3" xfId="15923" xr:uid="{00000000-0005-0000-0000-0000C6360000}"/>
    <cellStyle name="Normal 2 3 3 3 2 2 3 3" xfId="13078" xr:uid="{00000000-0005-0000-0000-0000C7360000}"/>
    <cellStyle name="Normal 2 3 3 3 2 2 3 4" xfId="15922" xr:uid="{00000000-0005-0000-0000-0000C8360000}"/>
    <cellStyle name="Normal 2 3 3 3 2 2 4" xfId="9999" xr:uid="{00000000-0005-0000-0000-0000C9360000}"/>
    <cellStyle name="Normal 2 3 3 3 2 2 4 2" xfId="13593" xr:uid="{00000000-0005-0000-0000-0000CA360000}"/>
    <cellStyle name="Normal 2 3 3 3 2 2 4 3" xfId="15924" xr:uid="{00000000-0005-0000-0000-0000CB360000}"/>
    <cellStyle name="Normal 2 3 3 3 2 2 5" xfId="11041" xr:uid="{00000000-0005-0000-0000-0000CC360000}"/>
    <cellStyle name="Normal 2 3 3 3 2 2 5 2" xfId="14634" xr:uid="{00000000-0005-0000-0000-0000CD360000}"/>
    <cellStyle name="Normal 2 3 3 3 2 2 5 3" xfId="15925" xr:uid="{00000000-0005-0000-0000-0000CE360000}"/>
    <cellStyle name="Normal 2 3 3 3 2 2 6" xfId="12540" xr:uid="{00000000-0005-0000-0000-0000CF360000}"/>
    <cellStyle name="Normal 2 3 3 3 2 2 7" xfId="15916" xr:uid="{00000000-0005-0000-0000-0000D0360000}"/>
    <cellStyle name="Normal 2 3 3 3 2 3" xfId="9043" xr:uid="{00000000-0005-0000-0000-0000D1360000}"/>
    <cellStyle name="Normal 2 3 3 3 2 3 2" xfId="9611" xr:uid="{00000000-0005-0000-0000-0000D2360000}"/>
    <cellStyle name="Normal 2 3 3 3 2 3 2 2" xfId="10665" xr:uid="{00000000-0005-0000-0000-0000D3360000}"/>
    <cellStyle name="Normal 2 3 3 3 2 3 2 2 2" xfId="14259" xr:uid="{00000000-0005-0000-0000-0000D4360000}"/>
    <cellStyle name="Normal 2 3 3 3 2 3 2 2 3" xfId="15928" xr:uid="{00000000-0005-0000-0000-0000D5360000}"/>
    <cellStyle name="Normal 2 3 3 3 2 3 2 3" xfId="13206" xr:uid="{00000000-0005-0000-0000-0000D6360000}"/>
    <cellStyle name="Normal 2 3 3 3 2 3 2 4" xfId="15927" xr:uid="{00000000-0005-0000-0000-0000D7360000}"/>
    <cellStyle name="Normal 2 3 3 3 2 3 3" xfId="10127" xr:uid="{00000000-0005-0000-0000-0000D8360000}"/>
    <cellStyle name="Normal 2 3 3 3 2 3 3 2" xfId="13721" xr:uid="{00000000-0005-0000-0000-0000D9360000}"/>
    <cellStyle name="Normal 2 3 3 3 2 3 3 3" xfId="15929" xr:uid="{00000000-0005-0000-0000-0000DA360000}"/>
    <cellStyle name="Normal 2 3 3 3 2 3 4" xfId="11043" xr:uid="{00000000-0005-0000-0000-0000DB360000}"/>
    <cellStyle name="Normal 2 3 3 3 2 3 4 2" xfId="14636" xr:uid="{00000000-0005-0000-0000-0000DC360000}"/>
    <cellStyle name="Normal 2 3 3 3 2 3 4 3" xfId="15930" xr:uid="{00000000-0005-0000-0000-0000DD360000}"/>
    <cellStyle name="Normal 2 3 3 3 2 3 5" xfId="12668" xr:uid="{00000000-0005-0000-0000-0000DE360000}"/>
    <cellStyle name="Normal 2 3 3 3 2 3 6" xfId="15926" xr:uid="{00000000-0005-0000-0000-0000DF360000}"/>
    <cellStyle name="Normal 2 3 3 3 2 4" xfId="9355" xr:uid="{00000000-0005-0000-0000-0000E0360000}"/>
    <cellStyle name="Normal 2 3 3 3 2 4 2" xfId="10409" xr:uid="{00000000-0005-0000-0000-0000E1360000}"/>
    <cellStyle name="Normal 2 3 3 3 2 4 2 2" xfId="14003" xr:uid="{00000000-0005-0000-0000-0000E2360000}"/>
    <cellStyle name="Normal 2 3 3 3 2 4 2 3" xfId="15932" xr:uid="{00000000-0005-0000-0000-0000E3360000}"/>
    <cellStyle name="Normal 2 3 3 3 2 4 3" xfId="12950" xr:uid="{00000000-0005-0000-0000-0000E4360000}"/>
    <cellStyle name="Normal 2 3 3 3 2 4 4" xfId="15931" xr:uid="{00000000-0005-0000-0000-0000E5360000}"/>
    <cellStyle name="Normal 2 3 3 3 2 5" xfId="9871" xr:uid="{00000000-0005-0000-0000-0000E6360000}"/>
    <cellStyle name="Normal 2 3 3 3 2 5 2" xfId="13465" xr:uid="{00000000-0005-0000-0000-0000E7360000}"/>
    <cellStyle name="Normal 2 3 3 3 2 5 3" xfId="15933" xr:uid="{00000000-0005-0000-0000-0000E8360000}"/>
    <cellStyle name="Normal 2 3 3 3 2 6" xfId="11040" xr:uid="{00000000-0005-0000-0000-0000E9360000}"/>
    <cellStyle name="Normal 2 3 3 3 2 6 2" xfId="14633" xr:uid="{00000000-0005-0000-0000-0000EA360000}"/>
    <cellStyle name="Normal 2 3 3 3 2 6 3" xfId="15934" xr:uid="{00000000-0005-0000-0000-0000EB360000}"/>
    <cellStyle name="Normal 2 3 3 3 2 7" xfId="12412" xr:uid="{00000000-0005-0000-0000-0000EC360000}"/>
    <cellStyle name="Normal 2 3 3 3 2 8" xfId="15915" xr:uid="{00000000-0005-0000-0000-0000ED360000}"/>
    <cellStyle name="Normal 2 3 3 3 3" xfId="8819" xr:uid="{00000000-0005-0000-0000-0000EE360000}"/>
    <cellStyle name="Normal 2 3 3 3 3 2" xfId="8947" xr:uid="{00000000-0005-0000-0000-0000EF360000}"/>
    <cellStyle name="Normal 2 3 3 3 3 2 2" xfId="9203" xr:uid="{00000000-0005-0000-0000-0000F0360000}"/>
    <cellStyle name="Normal 2 3 3 3 3 2 2 2" xfId="9771" xr:uid="{00000000-0005-0000-0000-0000F1360000}"/>
    <cellStyle name="Normal 2 3 3 3 3 2 2 2 2" xfId="10825" xr:uid="{00000000-0005-0000-0000-0000F2360000}"/>
    <cellStyle name="Normal 2 3 3 3 3 2 2 2 2 2" xfId="14419" xr:uid="{00000000-0005-0000-0000-0000F3360000}"/>
    <cellStyle name="Normal 2 3 3 3 3 2 2 2 2 3" xfId="15939" xr:uid="{00000000-0005-0000-0000-0000F4360000}"/>
    <cellStyle name="Normal 2 3 3 3 3 2 2 2 3" xfId="13366" xr:uid="{00000000-0005-0000-0000-0000F5360000}"/>
    <cellStyle name="Normal 2 3 3 3 3 2 2 2 4" xfId="15938" xr:uid="{00000000-0005-0000-0000-0000F6360000}"/>
    <cellStyle name="Normal 2 3 3 3 3 2 2 3" xfId="10287" xr:uid="{00000000-0005-0000-0000-0000F7360000}"/>
    <cellStyle name="Normal 2 3 3 3 3 2 2 3 2" xfId="13881" xr:uid="{00000000-0005-0000-0000-0000F8360000}"/>
    <cellStyle name="Normal 2 3 3 3 3 2 2 3 3" xfId="15940" xr:uid="{00000000-0005-0000-0000-0000F9360000}"/>
    <cellStyle name="Normal 2 3 3 3 3 2 2 4" xfId="11046" xr:uid="{00000000-0005-0000-0000-0000FA360000}"/>
    <cellStyle name="Normal 2 3 3 3 3 2 2 4 2" xfId="14639" xr:uid="{00000000-0005-0000-0000-0000FB360000}"/>
    <cellStyle name="Normal 2 3 3 3 3 2 2 4 3" xfId="15941" xr:uid="{00000000-0005-0000-0000-0000FC360000}"/>
    <cellStyle name="Normal 2 3 3 3 3 2 2 5" xfId="12828" xr:uid="{00000000-0005-0000-0000-0000FD360000}"/>
    <cellStyle name="Normal 2 3 3 3 3 2 2 6" xfId="15937" xr:uid="{00000000-0005-0000-0000-0000FE360000}"/>
    <cellStyle name="Normal 2 3 3 3 3 2 3" xfId="9515" xr:uid="{00000000-0005-0000-0000-0000FF360000}"/>
    <cellStyle name="Normal 2 3 3 3 3 2 3 2" xfId="10569" xr:uid="{00000000-0005-0000-0000-000000370000}"/>
    <cellStyle name="Normal 2 3 3 3 3 2 3 2 2" xfId="14163" xr:uid="{00000000-0005-0000-0000-000001370000}"/>
    <cellStyle name="Normal 2 3 3 3 3 2 3 2 3" xfId="15943" xr:uid="{00000000-0005-0000-0000-000002370000}"/>
    <cellStyle name="Normal 2 3 3 3 3 2 3 3" xfId="13110" xr:uid="{00000000-0005-0000-0000-000003370000}"/>
    <cellStyle name="Normal 2 3 3 3 3 2 3 4" xfId="15942" xr:uid="{00000000-0005-0000-0000-000004370000}"/>
    <cellStyle name="Normal 2 3 3 3 3 2 4" xfId="10031" xr:uid="{00000000-0005-0000-0000-000005370000}"/>
    <cellStyle name="Normal 2 3 3 3 3 2 4 2" xfId="13625" xr:uid="{00000000-0005-0000-0000-000006370000}"/>
    <cellStyle name="Normal 2 3 3 3 3 2 4 3" xfId="15944" xr:uid="{00000000-0005-0000-0000-000007370000}"/>
    <cellStyle name="Normal 2 3 3 3 3 2 5" xfId="11045" xr:uid="{00000000-0005-0000-0000-000008370000}"/>
    <cellStyle name="Normal 2 3 3 3 3 2 5 2" xfId="14638" xr:uid="{00000000-0005-0000-0000-000009370000}"/>
    <cellStyle name="Normal 2 3 3 3 3 2 5 3" xfId="15945" xr:uid="{00000000-0005-0000-0000-00000A370000}"/>
    <cellStyle name="Normal 2 3 3 3 3 2 6" xfId="12572" xr:uid="{00000000-0005-0000-0000-00000B370000}"/>
    <cellStyle name="Normal 2 3 3 3 3 2 7" xfId="15936" xr:uid="{00000000-0005-0000-0000-00000C370000}"/>
    <cellStyle name="Normal 2 3 3 3 3 3" xfId="9075" xr:uid="{00000000-0005-0000-0000-00000D370000}"/>
    <cellStyle name="Normal 2 3 3 3 3 3 2" xfId="9643" xr:uid="{00000000-0005-0000-0000-00000E370000}"/>
    <cellStyle name="Normal 2 3 3 3 3 3 2 2" xfId="10697" xr:uid="{00000000-0005-0000-0000-00000F370000}"/>
    <cellStyle name="Normal 2 3 3 3 3 3 2 2 2" xfId="14291" xr:uid="{00000000-0005-0000-0000-000010370000}"/>
    <cellStyle name="Normal 2 3 3 3 3 3 2 2 3" xfId="15948" xr:uid="{00000000-0005-0000-0000-000011370000}"/>
    <cellStyle name="Normal 2 3 3 3 3 3 2 3" xfId="13238" xr:uid="{00000000-0005-0000-0000-000012370000}"/>
    <cellStyle name="Normal 2 3 3 3 3 3 2 4" xfId="15947" xr:uid="{00000000-0005-0000-0000-000013370000}"/>
    <cellStyle name="Normal 2 3 3 3 3 3 3" xfId="10159" xr:uid="{00000000-0005-0000-0000-000014370000}"/>
    <cellStyle name="Normal 2 3 3 3 3 3 3 2" xfId="13753" xr:uid="{00000000-0005-0000-0000-000015370000}"/>
    <cellStyle name="Normal 2 3 3 3 3 3 3 3" xfId="15949" xr:uid="{00000000-0005-0000-0000-000016370000}"/>
    <cellStyle name="Normal 2 3 3 3 3 3 4" xfId="11047" xr:uid="{00000000-0005-0000-0000-000017370000}"/>
    <cellStyle name="Normal 2 3 3 3 3 3 4 2" xfId="14640" xr:uid="{00000000-0005-0000-0000-000018370000}"/>
    <cellStyle name="Normal 2 3 3 3 3 3 4 3" xfId="15950" xr:uid="{00000000-0005-0000-0000-000019370000}"/>
    <cellStyle name="Normal 2 3 3 3 3 3 5" xfId="12700" xr:uid="{00000000-0005-0000-0000-00001A370000}"/>
    <cellStyle name="Normal 2 3 3 3 3 3 6" xfId="15946" xr:uid="{00000000-0005-0000-0000-00001B370000}"/>
    <cellStyle name="Normal 2 3 3 3 3 4" xfId="9387" xr:uid="{00000000-0005-0000-0000-00001C370000}"/>
    <cellStyle name="Normal 2 3 3 3 3 4 2" xfId="10441" xr:uid="{00000000-0005-0000-0000-00001D370000}"/>
    <cellStyle name="Normal 2 3 3 3 3 4 2 2" xfId="14035" xr:uid="{00000000-0005-0000-0000-00001E370000}"/>
    <cellStyle name="Normal 2 3 3 3 3 4 2 3" xfId="15952" xr:uid="{00000000-0005-0000-0000-00001F370000}"/>
    <cellStyle name="Normal 2 3 3 3 3 4 3" xfId="12982" xr:uid="{00000000-0005-0000-0000-000020370000}"/>
    <cellStyle name="Normal 2 3 3 3 3 4 4" xfId="15951" xr:uid="{00000000-0005-0000-0000-000021370000}"/>
    <cellStyle name="Normal 2 3 3 3 3 5" xfId="9903" xr:uid="{00000000-0005-0000-0000-000022370000}"/>
    <cellStyle name="Normal 2 3 3 3 3 5 2" xfId="13497" xr:uid="{00000000-0005-0000-0000-000023370000}"/>
    <cellStyle name="Normal 2 3 3 3 3 5 3" xfId="15953" xr:uid="{00000000-0005-0000-0000-000024370000}"/>
    <cellStyle name="Normal 2 3 3 3 3 6" xfId="11044" xr:uid="{00000000-0005-0000-0000-000025370000}"/>
    <cellStyle name="Normal 2 3 3 3 3 6 2" xfId="14637" xr:uid="{00000000-0005-0000-0000-000026370000}"/>
    <cellStyle name="Normal 2 3 3 3 3 6 3" xfId="15954" xr:uid="{00000000-0005-0000-0000-000027370000}"/>
    <cellStyle name="Normal 2 3 3 3 3 7" xfId="12444" xr:uid="{00000000-0005-0000-0000-000028370000}"/>
    <cellStyle name="Normal 2 3 3 3 3 8" xfId="15935" xr:uid="{00000000-0005-0000-0000-000029370000}"/>
    <cellStyle name="Normal 2 3 3 3 4" xfId="8851" xr:uid="{00000000-0005-0000-0000-00002A370000}"/>
    <cellStyle name="Normal 2 3 3 3 4 2" xfId="8979" xr:uid="{00000000-0005-0000-0000-00002B370000}"/>
    <cellStyle name="Normal 2 3 3 3 4 2 2" xfId="9235" xr:uid="{00000000-0005-0000-0000-00002C370000}"/>
    <cellStyle name="Normal 2 3 3 3 4 2 2 2" xfId="9803" xr:uid="{00000000-0005-0000-0000-00002D370000}"/>
    <cellStyle name="Normal 2 3 3 3 4 2 2 2 2" xfId="10857" xr:uid="{00000000-0005-0000-0000-00002E370000}"/>
    <cellStyle name="Normal 2 3 3 3 4 2 2 2 2 2" xfId="14451" xr:uid="{00000000-0005-0000-0000-00002F370000}"/>
    <cellStyle name="Normal 2 3 3 3 4 2 2 2 2 3" xfId="15959" xr:uid="{00000000-0005-0000-0000-000030370000}"/>
    <cellStyle name="Normal 2 3 3 3 4 2 2 2 3" xfId="13398" xr:uid="{00000000-0005-0000-0000-000031370000}"/>
    <cellStyle name="Normal 2 3 3 3 4 2 2 2 4" xfId="15958" xr:uid="{00000000-0005-0000-0000-000032370000}"/>
    <cellStyle name="Normal 2 3 3 3 4 2 2 3" xfId="10319" xr:uid="{00000000-0005-0000-0000-000033370000}"/>
    <cellStyle name="Normal 2 3 3 3 4 2 2 3 2" xfId="13913" xr:uid="{00000000-0005-0000-0000-000034370000}"/>
    <cellStyle name="Normal 2 3 3 3 4 2 2 3 3" xfId="15960" xr:uid="{00000000-0005-0000-0000-000035370000}"/>
    <cellStyle name="Normal 2 3 3 3 4 2 2 4" xfId="11050" xr:uid="{00000000-0005-0000-0000-000036370000}"/>
    <cellStyle name="Normal 2 3 3 3 4 2 2 4 2" xfId="14643" xr:uid="{00000000-0005-0000-0000-000037370000}"/>
    <cellStyle name="Normal 2 3 3 3 4 2 2 4 3" xfId="15961" xr:uid="{00000000-0005-0000-0000-000038370000}"/>
    <cellStyle name="Normal 2 3 3 3 4 2 2 5" xfId="12860" xr:uid="{00000000-0005-0000-0000-000039370000}"/>
    <cellStyle name="Normal 2 3 3 3 4 2 2 6" xfId="15957" xr:uid="{00000000-0005-0000-0000-00003A370000}"/>
    <cellStyle name="Normal 2 3 3 3 4 2 3" xfId="9547" xr:uid="{00000000-0005-0000-0000-00003B370000}"/>
    <cellStyle name="Normal 2 3 3 3 4 2 3 2" xfId="10601" xr:uid="{00000000-0005-0000-0000-00003C370000}"/>
    <cellStyle name="Normal 2 3 3 3 4 2 3 2 2" xfId="14195" xr:uid="{00000000-0005-0000-0000-00003D370000}"/>
    <cellStyle name="Normal 2 3 3 3 4 2 3 2 3" xfId="15963" xr:uid="{00000000-0005-0000-0000-00003E370000}"/>
    <cellStyle name="Normal 2 3 3 3 4 2 3 3" xfId="13142" xr:uid="{00000000-0005-0000-0000-00003F370000}"/>
    <cellStyle name="Normal 2 3 3 3 4 2 3 4" xfId="15962" xr:uid="{00000000-0005-0000-0000-000040370000}"/>
    <cellStyle name="Normal 2 3 3 3 4 2 4" xfId="10063" xr:uid="{00000000-0005-0000-0000-000041370000}"/>
    <cellStyle name="Normal 2 3 3 3 4 2 4 2" xfId="13657" xr:uid="{00000000-0005-0000-0000-000042370000}"/>
    <cellStyle name="Normal 2 3 3 3 4 2 4 3" xfId="15964" xr:uid="{00000000-0005-0000-0000-000043370000}"/>
    <cellStyle name="Normal 2 3 3 3 4 2 5" xfId="11049" xr:uid="{00000000-0005-0000-0000-000044370000}"/>
    <cellStyle name="Normal 2 3 3 3 4 2 5 2" xfId="14642" xr:uid="{00000000-0005-0000-0000-000045370000}"/>
    <cellStyle name="Normal 2 3 3 3 4 2 5 3" xfId="15965" xr:uid="{00000000-0005-0000-0000-000046370000}"/>
    <cellStyle name="Normal 2 3 3 3 4 2 6" xfId="12604" xr:uid="{00000000-0005-0000-0000-000047370000}"/>
    <cellStyle name="Normal 2 3 3 3 4 2 7" xfId="15956" xr:uid="{00000000-0005-0000-0000-000048370000}"/>
    <cellStyle name="Normal 2 3 3 3 4 3" xfId="9107" xr:uid="{00000000-0005-0000-0000-000049370000}"/>
    <cellStyle name="Normal 2 3 3 3 4 3 2" xfId="9675" xr:uid="{00000000-0005-0000-0000-00004A370000}"/>
    <cellStyle name="Normal 2 3 3 3 4 3 2 2" xfId="10729" xr:uid="{00000000-0005-0000-0000-00004B370000}"/>
    <cellStyle name="Normal 2 3 3 3 4 3 2 2 2" xfId="14323" xr:uid="{00000000-0005-0000-0000-00004C370000}"/>
    <cellStyle name="Normal 2 3 3 3 4 3 2 2 3" xfId="15968" xr:uid="{00000000-0005-0000-0000-00004D370000}"/>
    <cellStyle name="Normal 2 3 3 3 4 3 2 3" xfId="13270" xr:uid="{00000000-0005-0000-0000-00004E370000}"/>
    <cellStyle name="Normal 2 3 3 3 4 3 2 4" xfId="15967" xr:uid="{00000000-0005-0000-0000-00004F370000}"/>
    <cellStyle name="Normal 2 3 3 3 4 3 3" xfId="10191" xr:uid="{00000000-0005-0000-0000-000050370000}"/>
    <cellStyle name="Normal 2 3 3 3 4 3 3 2" xfId="13785" xr:uid="{00000000-0005-0000-0000-000051370000}"/>
    <cellStyle name="Normal 2 3 3 3 4 3 3 3" xfId="15969" xr:uid="{00000000-0005-0000-0000-000052370000}"/>
    <cellStyle name="Normal 2 3 3 3 4 3 4" xfId="11051" xr:uid="{00000000-0005-0000-0000-000053370000}"/>
    <cellStyle name="Normal 2 3 3 3 4 3 4 2" xfId="14644" xr:uid="{00000000-0005-0000-0000-000054370000}"/>
    <cellStyle name="Normal 2 3 3 3 4 3 4 3" xfId="15970" xr:uid="{00000000-0005-0000-0000-000055370000}"/>
    <cellStyle name="Normal 2 3 3 3 4 3 5" xfId="12732" xr:uid="{00000000-0005-0000-0000-000056370000}"/>
    <cellStyle name="Normal 2 3 3 3 4 3 6" xfId="15966" xr:uid="{00000000-0005-0000-0000-000057370000}"/>
    <cellStyle name="Normal 2 3 3 3 4 4" xfId="9419" xr:uid="{00000000-0005-0000-0000-000058370000}"/>
    <cellStyle name="Normal 2 3 3 3 4 4 2" xfId="10473" xr:uid="{00000000-0005-0000-0000-000059370000}"/>
    <cellStyle name="Normal 2 3 3 3 4 4 2 2" xfId="14067" xr:uid="{00000000-0005-0000-0000-00005A370000}"/>
    <cellStyle name="Normal 2 3 3 3 4 4 2 3" xfId="15972" xr:uid="{00000000-0005-0000-0000-00005B370000}"/>
    <cellStyle name="Normal 2 3 3 3 4 4 3" xfId="13014" xr:uid="{00000000-0005-0000-0000-00005C370000}"/>
    <cellStyle name="Normal 2 3 3 3 4 4 4" xfId="15971" xr:uid="{00000000-0005-0000-0000-00005D370000}"/>
    <cellStyle name="Normal 2 3 3 3 4 5" xfId="9935" xr:uid="{00000000-0005-0000-0000-00005E370000}"/>
    <cellStyle name="Normal 2 3 3 3 4 5 2" xfId="13529" xr:uid="{00000000-0005-0000-0000-00005F370000}"/>
    <cellStyle name="Normal 2 3 3 3 4 5 3" xfId="15973" xr:uid="{00000000-0005-0000-0000-000060370000}"/>
    <cellStyle name="Normal 2 3 3 3 4 6" xfId="11048" xr:uid="{00000000-0005-0000-0000-000061370000}"/>
    <cellStyle name="Normal 2 3 3 3 4 6 2" xfId="14641" xr:uid="{00000000-0005-0000-0000-000062370000}"/>
    <cellStyle name="Normal 2 3 3 3 4 6 3" xfId="15974" xr:uid="{00000000-0005-0000-0000-000063370000}"/>
    <cellStyle name="Normal 2 3 3 3 4 7" xfId="12476" xr:uid="{00000000-0005-0000-0000-000064370000}"/>
    <cellStyle name="Normal 2 3 3 3 4 8" xfId="15955" xr:uid="{00000000-0005-0000-0000-000065370000}"/>
    <cellStyle name="Normal 2 3 3 3 5" xfId="8875" xr:uid="{00000000-0005-0000-0000-000066370000}"/>
    <cellStyle name="Normal 2 3 3 3 5 2" xfId="9131" xr:uid="{00000000-0005-0000-0000-000067370000}"/>
    <cellStyle name="Normal 2 3 3 3 5 2 2" xfId="9699" xr:uid="{00000000-0005-0000-0000-000068370000}"/>
    <cellStyle name="Normal 2 3 3 3 5 2 2 2" xfId="10753" xr:uid="{00000000-0005-0000-0000-000069370000}"/>
    <cellStyle name="Normal 2 3 3 3 5 2 2 2 2" xfId="14347" xr:uid="{00000000-0005-0000-0000-00006A370000}"/>
    <cellStyle name="Normal 2 3 3 3 5 2 2 2 3" xfId="15978" xr:uid="{00000000-0005-0000-0000-00006B370000}"/>
    <cellStyle name="Normal 2 3 3 3 5 2 2 3" xfId="13294" xr:uid="{00000000-0005-0000-0000-00006C370000}"/>
    <cellStyle name="Normal 2 3 3 3 5 2 2 4" xfId="15977" xr:uid="{00000000-0005-0000-0000-00006D370000}"/>
    <cellStyle name="Normal 2 3 3 3 5 2 3" xfId="10215" xr:uid="{00000000-0005-0000-0000-00006E370000}"/>
    <cellStyle name="Normal 2 3 3 3 5 2 3 2" xfId="13809" xr:uid="{00000000-0005-0000-0000-00006F370000}"/>
    <cellStyle name="Normal 2 3 3 3 5 2 3 3" xfId="15979" xr:uid="{00000000-0005-0000-0000-000070370000}"/>
    <cellStyle name="Normal 2 3 3 3 5 2 4" xfId="11053" xr:uid="{00000000-0005-0000-0000-000071370000}"/>
    <cellStyle name="Normal 2 3 3 3 5 2 4 2" xfId="14646" xr:uid="{00000000-0005-0000-0000-000072370000}"/>
    <cellStyle name="Normal 2 3 3 3 5 2 4 3" xfId="15980" xr:uid="{00000000-0005-0000-0000-000073370000}"/>
    <cellStyle name="Normal 2 3 3 3 5 2 5" xfId="12756" xr:uid="{00000000-0005-0000-0000-000074370000}"/>
    <cellStyle name="Normal 2 3 3 3 5 2 6" xfId="15976" xr:uid="{00000000-0005-0000-0000-000075370000}"/>
    <cellStyle name="Normal 2 3 3 3 5 3" xfId="9443" xr:uid="{00000000-0005-0000-0000-000076370000}"/>
    <cellStyle name="Normal 2 3 3 3 5 3 2" xfId="10497" xr:uid="{00000000-0005-0000-0000-000077370000}"/>
    <cellStyle name="Normal 2 3 3 3 5 3 2 2" xfId="14091" xr:uid="{00000000-0005-0000-0000-000078370000}"/>
    <cellStyle name="Normal 2 3 3 3 5 3 2 3" xfId="15982" xr:uid="{00000000-0005-0000-0000-000079370000}"/>
    <cellStyle name="Normal 2 3 3 3 5 3 3" xfId="13038" xr:uid="{00000000-0005-0000-0000-00007A370000}"/>
    <cellStyle name="Normal 2 3 3 3 5 3 4" xfId="15981" xr:uid="{00000000-0005-0000-0000-00007B370000}"/>
    <cellStyle name="Normal 2 3 3 3 5 4" xfId="9959" xr:uid="{00000000-0005-0000-0000-00007C370000}"/>
    <cellStyle name="Normal 2 3 3 3 5 4 2" xfId="13553" xr:uid="{00000000-0005-0000-0000-00007D370000}"/>
    <cellStyle name="Normal 2 3 3 3 5 4 3" xfId="15983" xr:uid="{00000000-0005-0000-0000-00007E370000}"/>
    <cellStyle name="Normal 2 3 3 3 5 5" xfId="11052" xr:uid="{00000000-0005-0000-0000-00007F370000}"/>
    <cellStyle name="Normal 2 3 3 3 5 5 2" xfId="14645" xr:uid="{00000000-0005-0000-0000-000080370000}"/>
    <cellStyle name="Normal 2 3 3 3 5 5 3" xfId="15984" xr:uid="{00000000-0005-0000-0000-000081370000}"/>
    <cellStyle name="Normal 2 3 3 3 5 6" xfId="12500" xr:uid="{00000000-0005-0000-0000-000082370000}"/>
    <cellStyle name="Normal 2 3 3 3 5 7" xfId="15975" xr:uid="{00000000-0005-0000-0000-000083370000}"/>
    <cellStyle name="Normal 2 3 3 3 6" xfId="9003" xr:uid="{00000000-0005-0000-0000-000084370000}"/>
    <cellStyle name="Normal 2 3 3 3 6 2" xfId="9571" xr:uid="{00000000-0005-0000-0000-000085370000}"/>
    <cellStyle name="Normal 2 3 3 3 6 2 2" xfId="10625" xr:uid="{00000000-0005-0000-0000-000086370000}"/>
    <cellStyle name="Normal 2 3 3 3 6 2 2 2" xfId="14219" xr:uid="{00000000-0005-0000-0000-000087370000}"/>
    <cellStyle name="Normal 2 3 3 3 6 2 2 3" xfId="15987" xr:uid="{00000000-0005-0000-0000-000088370000}"/>
    <cellStyle name="Normal 2 3 3 3 6 2 3" xfId="13166" xr:uid="{00000000-0005-0000-0000-000089370000}"/>
    <cellStyle name="Normal 2 3 3 3 6 2 4" xfId="15986" xr:uid="{00000000-0005-0000-0000-00008A370000}"/>
    <cellStyle name="Normal 2 3 3 3 6 3" xfId="10087" xr:uid="{00000000-0005-0000-0000-00008B370000}"/>
    <cellStyle name="Normal 2 3 3 3 6 3 2" xfId="13681" xr:uid="{00000000-0005-0000-0000-00008C370000}"/>
    <cellStyle name="Normal 2 3 3 3 6 3 3" xfId="15988" xr:uid="{00000000-0005-0000-0000-00008D370000}"/>
    <cellStyle name="Normal 2 3 3 3 6 4" xfId="11054" xr:uid="{00000000-0005-0000-0000-00008E370000}"/>
    <cellStyle name="Normal 2 3 3 3 6 4 2" xfId="14647" xr:uid="{00000000-0005-0000-0000-00008F370000}"/>
    <cellStyle name="Normal 2 3 3 3 6 4 3" xfId="15989" xr:uid="{00000000-0005-0000-0000-000090370000}"/>
    <cellStyle name="Normal 2 3 3 3 6 5" xfId="12628" xr:uid="{00000000-0005-0000-0000-000091370000}"/>
    <cellStyle name="Normal 2 3 3 3 6 6" xfId="15985" xr:uid="{00000000-0005-0000-0000-000092370000}"/>
    <cellStyle name="Normal 2 3 3 3 7" xfId="9315" xr:uid="{00000000-0005-0000-0000-000093370000}"/>
    <cellStyle name="Normal 2 3 3 3 7 2" xfId="10369" xr:uid="{00000000-0005-0000-0000-000094370000}"/>
    <cellStyle name="Normal 2 3 3 3 7 2 2" xfId="13963" xr:uid="{00000000-0005-0000-0000-000095370000}"/>
    <cellStyle name="Normal 2 3 3 3 7 2 3" xfId="15991" xr:uid="{00000000-0005-0000-0000-000096370000}"/>
    <cellStyle name="Normal 2 3 3 3 7 3" xfId="12910" xr:uid="{00000000-0005-0000-0000-000097370000}"/>
    <cellStyle name="Normal 2 3 3 3 7 4" xfId="15990" xr:uid="{00000000-0005-0000-0000-000098370000}"/>
    <cellStyle name="Normal 2 3 3 3 8" xfId="9831" xr:uid="{00000000-0005-0000-0000-000099370000}"/>
    <cellStyle name="Normal 2 3 3 3 8 2" xfId="13425" xr:uid="{00000000-0005-0000-0000-00009A370000}"/>
    <cellStyle name="Normal 2 3 3 3 8 3" xfId="15992" xr:uid="{00000000-0005-0000-0000-00009B370000}"/>
    <cellStyle name="Normal 2 3 3 3 9" xfId="11039" xr:uid="{00000000-0005-0000-0000-00009C370000}"/>
    <cellStyle name="Normal 2 3 3 3 9 2" xfId="14632" xr:uid="{00000000-0005-0000-0000-00009D370000}"/>
    <cellStyle name="Normal 2 3 3 3 9 3" xfId="15993" xr:uid="{00000000-0005-0000-0000-00009E370000}"/>
    <cellStyle name="Normal 2 3 3 4" xfId="8771" xr:uid="{00000000-0005-0000-0000-00009F370000}"/>
    <cellStyle name="Normal 2 3 3 4 2" xfId="8899" xr:uid="{00000000-0005-0000-0000-0000A0370000}"/>
    <cellStyle name="Normal 2 3 3 4 2 2" xfId="9155" xr:uid="{00000000-0005-0000-0000-0000A1370000}"/>
    <cellStyle name="Normal 2 3 3 4 2 2 2" xfId="9723" xr:uid="{00000000-0005-0000-0000-0000A2370000}"/>
    <cellStyle name="Normal 2 3 3 4 2 2 2 2" xfId="10777" xr:uid="{00000000-0005-0000-0000-0000A3370000}"/>
    <cellStyle name="Normal 2 3 3 4 2 2 2 2 2" xfId="14371" xr:uid="{00000000-0005-0000-0000-0000A4370000}"/>
    <cellStyle name="Normal 2 3 3 4 2 2 2 2 3" xfId="15998" xr:uid="{00000000-0005-0000-0000-0000A5370000}"/>
    <cellStyle name="Normal 2 3 3 4 2 2 2 3" xfId="13318" xr:uid="{00000000-0005-0000-0000-0000A6370000}"/>
    <cellStyle name="Normal 2 3 3 4 2 2 2 4" xfId="15997" xr:uid="{00000000-0005-0000-0000-0000A7370000}"/>
    <cellStyle name="Normal 2 3 3 4 2 2 3" xfId="10239" xr:uid="{00000000-0005-0000-0000-0000A8370000}"/>
    <cellStyle name="Normal 2 3 3 4 2 2 3 2" xfId="13833" xr:uid="{00000000-0005-0000-0000-0000A9370000}"/>
    <cellStyle name="Normal 2 3 3 4 2 2 3 3" xfId="15999" xr:uid="{00000000-0005-0000-0000-0000AA370000}"/>
    <cellStyle name="Normal 2 3 3 4 2 2 4" xfId="11057" xr:uid="{00000000-0005-0000-0000-0000AB370000}"/>
    <cellStyle name="Normal 2 3 3 4 2 2 4 2" xfId="14650" xr:uid="{00000000-0005-0000-0000-0000AC370000}"/>
    <cellStyle name="Normal 2 3 3 4 2 2 4 3" xfId="16000" xr:uid="{00000000-0005-0000-0000-0000AD370000}"/>
    <cellStyle name="Normal 2 3 3 4 2 2 5" xfId="12780" xr:uid="{00000000-0005-0000-0000-0000AE370000}"/>
    <cellStyle name="Normal 2 3 3 4 2 2 6" xfId="15996" xr:uid="{00000000-0005-0000-0000-0000AF370000}"/>
    <cellStyle name="Normal 2 3 3 4 2 3" xfId="9467" xr:uid="{00000000-0005-0000-0000-0000B0370000}"/>
    <cellStyle name="Normal 2 3 3 4 2 3 2" xfId="10521" xr:uid="{00000000-0005-0000-0000-0000B1370000}"/>
    <cellStyle name="Normal 2 3 3 4 2 3 2 2" xfId="14115" xr:uid="{00000000-0005-0000-0000-0000B2370000}"/>
    <cellStyle name="Normal 2 3 3 4 2 3 2 3" xfId="16002" xr:uid="{00000000-0005-0000-0000-0000B3370000}"/>
    <cellStyle name="Normal 2 3 3 4 2 3 3" xfId="13062" xr:uid="{00000000-0005-0000-0000-0000B4370000}"/>
    <cellStyle name="Normal 2 3 3 4 2 3 4" xfId="16001" xr:uid="{00000000-0005-0000-0000-0000B5370000}"/>
    <cellStyle name="Normal 2 3 3 4 2 4" xfId="9983" xr:uid="{00000000-0005-0000-0000-0000B6370000}"/>
    <cellStyle name="Normal 2 3 3 4 2 4 2" xfId="13577" xr:uid="{00000000-0005-0000-0000-0000B7370000}"/>
    <cellStyle name="Normal 2 3 3 4 2 4 3" xfId="16003" xr:uid="{00000000-0005-0000-0000-0000B8370000}"/>
    <cellStyle name="Normal 2 3 3 4 2 5" xfId="11056" xr:uid="{00000000-0005-0000-0000-0000B9370000}"/>
    <cellStyle name="Normal 2 3 3 4 2 5 2" xfId="14649" xr:uid="{00000000-0005-0000-0000-0000BA370000}"/>
    <cellStyle name="Normal 2 3 3 4 2 5 3" xfId="16004" xr:uid="{00000000-0005-0000-0000-0000BB370000}"/>
    <cellStyle name="Normal 2 3 3 4 2 6" xfId="12524" xr:uid="{00000000-0005-0000-0000-0000BC370000}"/>
    <cellStyle name="Normal 2 3 3 4 2 7" xfId="15995" xr:uid="{00000000-0005-0000-0000-0000BD370000}"/>
    <cellStyle name="Normal 2 3 3 4 3" xfId="9027" xr:uid="{00000000-0005-0000-0000-0000BE370000}"/>
    <cellStyle name="Normal 2 3 3 4 3 2" xfId="9595" xr:uid="{00000000-0005-0000-0000-0000BF370000}"/>
    <cellStyle name="Normal 2 3 3 4 3 2 2" xfId="10649" xr:uid="{00000000-0005-0000-0000-0000C0370000}"/>
    <cellStyle name="Normal 2 3 3 4 3 2 2 2" xfId="14243" xr:uid="{00000000-0005-0000-0000-0000C1370000}"/>
    <cellStyle name="Normal 2 3 3 4 3 2 2 3" xfId="16007" xr:uid="{00000000-0005-0000-0000-0000C2370000}"/>
    <cellStyle name="Normal 2 3 3 4 3 2 3" xfId="13190" xr:uid="{00000000-0005-0000-0000-0000C3370000}"/>
    <cellStyle name="Normal 2 3 3 4 3 2 4" xfId="16006" xr:uid="{00000000-0005-0000-0000-0000C4370000}"/>
    <cellStyle name="Normal 2 3 3 4 3 3" xfId="10111" xr:uid="{00000000-0005-0000-0000-0000C5370000}"/>
    <cellStyle name="Normal 2 3 3 4 3 3 2" xfId="13705" xr:uid="{00000000-0005-0000-0000-0000C6370000}"/>
    <cellStyle name="Normal 2 3 3 4 3 3 3" xfId="16008" xr:uid="{00000000-0005-0000-0000-0000C7370000}"/>
    <cellStyle name="Normal 2 3 3 4 3 4" xfId="11058" xr:uid="{00000000-0005-0000-0000-0000C8370000}"/>
    <cellStyle name="Normal 2 3 3 4 3 4 2" xfId="14651" xr:uid="{00000000-0005-0000-0000-0000C9370000}"/>
    <cellStyle name="Normal 2 3 3 4 3 4 3" xfId="16009" xr:uid="{00000000-0005-0000-0000-0000CA370000}"/>
    <cellStyle name="Normal 2 3 3 4 3 5" xfId="12652" xr:uid="{00000000-0005-0000-0000-0000CB370000}"/>
    <cellStyle name="Normal 2 3 3 4 3 6" xfId="16005" xr:uid="{00000000-0005-0000-0000-0000CC370000}"/>
    <cellStyle name="Normal 2 3 3 4 4" xfId="9339" xr:uid="{00000000-0005-0000-0000-0000CD370000}"/>
    <cellStyle name="Normal 2 3 3 4 4 2" xfId="10393" xr:uid="{00000000-0005-0000-0000-0000CE370000}"/>
    <cellStyle name="Normal 2 3 3 4 4 2 2" xfId="13987" xr:uid="{00000000-0005-0000-0000-0000CF370000}"/>
    <cellStyle name="Normal 2 3 3 4 4 2 3" xfId="16011" xr:uid="{00000000-0005-0000-0000-0000D0370000}"/>
    <cellStyle name="Normal 2 3 3 4 4 3" xfId="12934" xr:uid="{00000000-0005-0000-0000-0000D1370000}"/>
    <cellStyle name="Normal 2 3 3 4 4 4" xfId="16010" xr:uid="{00000000-0005-0000-0000-0000D2370000}"/>
    <cellStyle name="Normal 2 3 3 4 5" xfId="9855" xr:uid="{00000000-0005-0000-0000-0000D3370000}"/>
    <cellStyle name="Normal 2 3 3 4 5 2" xfId="13449" xr:uid="{00000000-0005-0000-0000-0000D4370000}"/>
    <cellStyle name="Normal 2 3 3 4 5 3" xfId="16012" xr:uid="{00000000-0005-0000-0000-0000D5370000}"/>
    <cellStyle name="Normal 2 3 3 4 6" xfId="11055" xr:uid="{00000000-0005-0000-0000-0000D6370000}"/>
    <cellStyle name="Normal 2 3 3 4 6 2" xfId="14648" xr:uid="{00000000-0005-0000-0000-0000D7370000}"/>
    <cellStyle name="Normal 2 3 3 4 6 3" xfId="16013" xr:uid="{00000000-0005-0000-0000-0000D8370000}"/>
    <cellStyle name="Normal 2 3 3 4 7" xfId="12396" xr:uid="{00000000-0005-0000-0000-0000D9370000}"/>
    <cellStyle name="Normal 2 3 3 4 8" xfId="15994" xr:uid="{00000000-0005-0000-0000-0000DA370000}"/>
    <cellStyle name="Normal 2 3 3 5" xfId="8803" xr:uid="{00000000-0005-0000-0000-0000DB370000}"/>
    <cellStyle name="Normal 2 3 3 5 2" xfId="8931" xr:uid="{00000000-0005-0000-0000-0000DC370000}"/>
    <cellStyle name="Normal 2 3 3 5 2 2" xfId="9187" xr:uid="{00000000-0005-0000-0000-0000DD370000}"/>
    <cellStyle name="Normal 2 3 3 5 2 2 2" xfId="9755" xr:uid="{00000000-0005-0000-0000-0000DE370000}"/>
    <cellStyle name="Normal 2 3 3 5 2 2 2 2" xfId="10809" xr:uid="{00000000-0005-0000-0000-0000DF370000}"/>
    <cellStyle name="Normal 2 3 3 5 2 2 2 2 2" xfId="14403" xr:uid="{00000000-0005-0000-0000-0000E0370000}"/>
    <cellStyle name="Normal 2 3 3 5 2 2 2 2 3" xfId="16018" xr:uid="{00000000-0005-0000-0000-0000E1370000}"/>
    <cellStyle name="Normal 2 3 3 5 2 2 2 3" xfId="13350" xr:uid="{00000000-0005-0000-0000-0000E2370000}"/>
    <cellStyle name="Normal 2 3 3 5 2 2 2 4" xfId="16017" xr:uid="{00000000-0005-0000-0000-0000E3370000}"/>
    <cellStyle name="Normal 2 3 3 5 2 2 3" xfId="10271" xr:uid="{00000000-0005-0000-0000-0000E4370000}"/>
    <cellStyle name="Normal 2 3 3 5 2 2 3 2" xfId="13865" xr:uid="{00000000-0005-0000-0000-0000E5370000}"/>
    <cellStyle name="Normal 2 3 3 5 2 2 3 3" xfId="16019" xr:uid="{00000000-0005-0000-0000-0000E6370000}"/>
    <cellStyle name="Normal 2 3 3 5 2 2 4" xfId="11061" xr:uid="{00000000-0005-0000-0000-0000E7370000}"/>
    <cellStyle name="Normal 2 3 3 5 2 2 4 2" xfId="14654" xr:uid="{00000000-0005-0000-0000-0000E8370000}"/>
    <cellStyle name="Normal 2 3 3 5 2 2 4 3" xfId="16020" xr:uid="{00000000-0005-0000-0000-0000E9370000}"/>
    <cellStyle name="Normal 2 3 3 5 2 2 5" xfId="12812" xr:uid="{00000000-0005-0000-0000-0000EA370000}"/>
    <cellStyle name="Normal 2 3 3 5 2 2 6" xfId="16016" xr:uid="{00000000-0005-0000-0000-0000EB370000}"/>
    <cellStyle name="Normal 2 3 3 5 2 3" xfId="9499" xr:uid="{00000000-0005-0000-0000-0000EC370000}"/>
    <cellStyle name="Normal 2 3 3 5 2 3 2" xfId="10553" xr:uid="{00000000-0005-0000-0000-0000ED370000}"/>
    <cellStyle name="Normal 2 3 3 5 2 3 2 2" xfId="14147" xr:uid="{00000000-0005-0000-0000-0000EE370000}"/>
    <cellStyle name="Normal 2 3 3 5 2 3 2 3" xfId="16022" xr:uid="{00000000-0005-0000-0000-0000EF370000}"/>
    <cellStyle name="Normal 2 3 3 5 2 3 3" xfId="13094" xr:uid="{00000000-0005-0000-0000-0000F0370000}"/>
    <cellStyle name="Normal 2 3 3 5 2 3 4" xfId="16021" xr:uid="{00000000-0005-0000-0000-0000F1370000}"/>
    <cellStyle name="Normal 2 3 3 5 2 4" xfId="10015" xr:uid="{00000000-0005-0000-0000-0000F2370000}"/>
    <cellStyle name="Normal 2 3 3 5 2 4 2" xfId="13609" xr:uid="{00000000-0005-0000-0000-0000F3370000}"/>
    <cellStyle name="Normal 2 3 3 5 2 4 3" xfId="16023" xr:uid="{00000000-0005-0000-0000-0000F4370000}"/>
    <cellStyle name="Normal 2 3 3 5 2 5" xfId="11060" xr:uid="{00000000-0005-0000-0000-0000F5370000}"/>
    <cellStyle name="Normal 2 3 3 5 2 5 2" xfId="14653" xr:uid="{00000000-0005-0000-0000-0000F6370000}"/>
    <cellStyle name="Normal 2 3 3 5 2 5 3" xfId="16024" xr:uid="{00000000-0005-0000-0000-0000F7370000}"/>
    <cellStyle name="Normal 2 3 3 5 2 6" xfId="12556" xr:uid="{00000000-0005-0000-0000-0000F8370000}"/>
    <cellStyle name="Normal 2 3 3 5 2 7" xfId="16015" xr:uid="{00000000-0005-0000-0000-0000F9370000}"/>
    <cellStyle name="Normal 2 3 3 5 3" xfId="9059" xr:uid="{00000000-0005-0000-0000-0000FA370000}"/>
    <cellStyle name="Normal 2 3 3 5 3 2" xfId="9627" xr:uid="{00000000-0005-0000-0000-0000FB370000}"/>
    <cellStyle name="Normal 2 3 3 5 3 2 2" xfId="10681" xr:uid="{00000000-0005-0000-0000-0000FC370000}"/>
    <cellStyle name="Normal 2 3 3 5 3 2 2 2" xfId="14275" xr:uid="{00000000-0005-0000-0000-0000FD370000}"/>
    <cellStyle name="Normal 2 3 3 5 3 2 2 3" xfId="16027" xr:uid="{00000000-0005-0000-0000-0000FE370000}"/>
    <cellStyle name="Normal 2 3 3 5 3 2 3" xfId="13222" xr:uid="{00000000-0005-0000-0000-0000FF370000}"/>
    <cellStyle name="Normal 2 3 3 5 3 2 4" xfId="16026" xr:uid="{00000000-0005-0000-0000-000000380000}"/>
    <cellStyle name="Normal 2 3 3 5 3 3" xfId="10143" xr:uid="{00000000-0005-0000-0000-000001380000}"/>
    <cellStyle name="Normal 2 3 3 5 3 3 2" xfId="13737" xr:uid="{00000000-0005-0000-0000-000002380000}"/>
    <cellStyle name="Normal 2 3 3 5 3 3 3" xfId="16028" xr:uid="{00000000-0005-0000-0000-000003380000}"/>
    <cellStyle name="Normal 2 3 3 5 3 4" xfId="11062" xr:uid="{00000000-0005-0000-0000-000004380000}"/>
    <cellStyle name="Normal 2 3 3 5 3 4 2" xfId="14655" xr:uid="{00000000-0005-0000-0000-000005380000}"/>
    <cellStyle name="Normal 2 3 3 5 3 4 3" xfId="16029" xr:uid="{00000000-0005-0000-0000-000006380000}"/>
    <cellStyle name="Normal 2 3 3 5 3 5" xfId="12684" xr:uid="{00000000-0005-0000-0000-000007380000}"/>
    <cellStyle name="Normal 2 3 3 5 3 6" xfId="16025" xr:uid="{00000000-0005-0000-0000-000008380000}"/>
    <cellStyle name="Normal 2 3 3 5 4" xfId="9371" xr:uid="{00000000-0005-0000-0000-000009380000}"/>
    <cellStyle name="Normal 2 3 3 5 4 2" xfId="10425" xr:uid="{00000000-0005-0000-0000-00000A380000}"/>
    <cellStyle name="Normal 2 3 3 5 4 2 2" xfId="14019" xr:uid="{00000000-0005-0000-0000-00000B380000}"/>
    <cellStyle name="Normal 2 3 3 5 4 2 3" xfId="16031" xr:uid="{00000000-0005-0000-0000-00000C380000}"/>
    <cellStyle name="Normal 2 3 3 5 4 3" xfId="12966" xr:uid="{00000000-0005-0000-0000-00000D380000}"/>
    <cellStyle name="Normal 2 3 3 5 4 4" xfId="16030" xr:uid="{00000000-0005-0000-0000-00000E380000}"/>
    <cellStyle name="Normal 2 3 3 5 5" xfId="9887" xr:uid="{00000000-0005-0000-0000-00000F380000}"/>
    <cellStyle name="Normal 2 3 3 5 5 2" xfId="13481" xr:uid="{00000000-0005-0000-0000-000010380000}"/>
    <cellStyle name="Normal 2 3 3 5 5 3" xfId="16032" xr:uid="{00000000-0005-0000-0000-000011380000}"/>
    <cellStyle name="Normal 2 3 3 5 6" xfId="11059" xr:uid="{00000000-0005-0000-0000-000012380000}"/>
    <cellStyle name="Normal 2 3 3 5 6 2" xfId="14652" xr:uid="{00000000-0005-0000-0000-000013380000}"/>
    <cellStyle name="Normal 2 3 3 5 6 3" xfId="16033" xr:uid="{00000000-0005-0000-0000-000014380000}"/>
    <cellStyle name="Normal 2 3 3 5 7" xfId="12428" xr:uid="{00000000-0005-0000-0000-000015380000}"/>
    <cellStyle name="Normal 2 3 3 5 8" xfId="16014" xr:uid="{00000000-0005-0000-0000-000016380000}"/>
    <cellStyle name="Normal 2 3 3 6" xfId="8835" xr:uid="{00000000-0005-0000-0000-000017380000}"/>
    <cellStyle name="Normal 2 3 3 6 2" xfId="8963" xr:uid="{00000000-0005-0000-0000-000018380000}"/>
    <cellStyle name="Normal 2 3 3 6 2 2" xfId="9219" xr:uid="{00000000-0005-0000-0000-000019380000}"/>
    <cellStyle name="Normal 2 3 3 6 2 2 2" xfId="9787" xr:uid="{00000000-0005-0000-0000-00001A380000}"/>
    <cellStyle name="Normal 2 3 3 6 2 2 2 2" xfId="10841" xr:uid="{00000000-0005-0000-0000-00001B380000}"/>
    <cellStyle name="Normal 2 3 3 6 2 2 2 2 2" xfId="14435" xr:uid="{00000000-0005-0000-0000-00001C380000}"/>
    <cellStyle name="Normal 2 3 3 6 2 2 2 2 3" xfId="16038" xr:uid="{00000000-0005-0000-0000-00001D380000}"/>
    <cellStyle name="Normal 2 3 3 6 2 2 2 3" xfId="13382" xr:uid="{00000000-0005-0000-0000-00001E380000}"/>
    <cellStyle name="Normal 2 3 3 6 2 2 2 4" xfId="16037" xr:uid="{00000000-0005-0000-0000-00001F380000}"/>
    <cellStyle name="Normal 2 3 3 6 2 2 3" xfId="10303" xr:uid="{00000000-0005-0000-0000-000020380000}"/>
    <cellStyle name="Normal 2 3 3 6 2 2 3 2" xfId="13897" xr:uid="{00000000-0005-0000-0000-000021380000}"/>
    <cellStyle name="Normal 2 3 3 6 2 2 3 3" xfId="16039" xr:uid="{00000000-0005-0000-0000-000022380000}"/>
    <cellStyle name="Normal 2 3 3 6 2 2 4" xfId="11065" xr:uid="{00000000-0005-0000-0000-000023380000}"/>
    <cellStyle name="Normal 2 3 3 6 2 2 4 2" xfId="14658" xr:uid="{00000000-0005-0000-0000-000024380000}"/>
    <cellStyle name="Normal 2 3 3 6 2 2 4 3" xfId="16040" xr:uid="{00000000-0005-0000-0000-000025380000}"/>
    <cellStyle name="Normal 2 3 3 6 2 2 5" xfId="12844" xr:uid="{00000000-0005-0000-0000-000026380000}"/>
    <cellStyle name="Normal 2 3 3 6 2 2 6" xfId="16036" xr:uid="{00000000-0005-0000-0000-000027380000}"/>
    <cellStyle name="Normal 2 3 3 6 2 3" xfId="9531" xr:uid="{00000000-0005-0000-0000-000028380000}"/>
    <cellStyle name="Normal 2 3 3 6 2 3 2" xfId="10585" xr:uid="{00000000-0005-0000-0000-000029380000}"/>
    <cellStyle name="Normal 2 3 3 6 2 3 2 2" xfId="14179" xr:uid="{00000000-0005-0000-0000-00002A380000}"/>
    <cellStyle name="Normal 2 3 3 6 2 3 2 3" xfId="16042" xr:uid="{00000000-0005-0000-0000-00002B380000}"/>
    <cellStyle name="Normal 2 3 3 6 2 3 3" xfId="13126" xr:uid="{00000000-0005-0000-0000-00002C380000}"/>
    <cellStyle name="Normal 2 3 3 6 2 3 4" xfId="16041" xr:uid="{00000000-0005-0000-0000-00002D380000}"/>
    <cellStyle name="Normal 2 3 3 6 2 4" xfId="10047" xr:uid="{00000000-0005-0000-0000-00002E380000}"/>
    <cellStyle name="Normal 2 3 3 6 2 4 2" xfId="13641" xr:uid="{00000000-0005-0000-0000-00002F380000}"/>
    <cellStyle name="Normal 2 3 3 6 2 4 3" xfId="16043" xr:uid="{00000000-0005-0000-0000-000030380000}"/>
    <cellStyle name="Normal 2 3 3 6 2 5" xfId="11064" xr:uid="{00000000-0005-0000-0000-000031380000}"/>
    <cellStyle name="Normal 2 3 3 6 2 5 2" xfId="14657" xr:uid="{00000000-0005-0000-0000-000032380000}"/>
    <cellStyle name="Normal 2 3 3 6 2 5 3" xfId="16044" xr:uid="{00000000-0005-0000-0000-000033380000}"/>
    <cellStyle name="Normal 2 3 3 6 2 6" xfId="12588" xr:uid="{00000000-0005-0000-0000-000034380000}"/>
    <cellStyle name="Normal 2 3 3 6 2 7" xfId="16035" xr:uid="{00000000-0005-0000-0000-000035380000}"/>
    <cellStyle name="Normal 2 3 3 6 3" xfId="9091" xr:uid="{00000000-0005-0000-0000-000036380000}"/>
    <cellStyle name="Normal 2 3 3 6 3 2" xfId="9659" xr:uid="{00000000-0005-0000-0000-000037380000}"/>
    <cellStyle name="Normal 2 3 3 6 3 2 2" xfId="10713" xr:uid="{00000000-0005-0000-0000-000038380000}"/>
    <cellStyle name="Normal 2 3 3 6 3 2 2 2" xfId="14307" xr:uid="{00000000-0005-0000-0000-000039380000}"/>
    <cellStyle name="Normal 2 3 3 6 3 2 2 3" xfId="16047" xr:uid="{00000000-0005-0000-0000-00003A380000}"/>
    <cellStyle name="Normal 2 3 3 6 3 2 3" xfId="13254" xr:uid="{00000000-0005-0000-0000-00003B380000}"/>
    <cellStyle name="Normal 2 3 3 6 3 2 4" xfId="16046" xr:uid="{00000000-0005-0000-0000-00003C380000}"/>
    <cellStyle name="Normal 2 3 3 6 3 3" xfId="10175" xr:uid="{00000000-0005-0000-0000-00003D380000}"/>
    <cellStyle name="Normal 2 3 3 6 3 3 2" xfId="13769" xr:uid="{00000000-0005-0000-0000-00003E380000}"/>
    <cellStyle name="Normal 2 3 3 6 3 3 3" xfId="16048" xr:uid="{00000000-0005-0000-0000-00003F380000}"/>
    <cellStyle name="Normal 2 3 3 6 3 4" xfId="11066" xr:uid="{00000000-0005-0000-0000-000040380000}"/>
    <cellStyle name="Normal 2 3 3 6 3 4 2" xfId="14659" xr:uid="{00000000-0005-0000-0000-000041380000}"/>
    <cellStyle name="Normal 2 3 3 6 3 4 3" xfId="16049" xr:uid="{00000000-0005-0000-0000-000042380000}"/>
    <cellStyle name="Normal 2 3 3 6 3 5" xfId="12716" xr:uid="{00000000-0005-0000-0000-000043380000}"/>
    <cellStyle name="Normal 2 3 3 6 3 6" xfId="16045" xr:uid="{00000000-0005-0000-0000-000044380000}"/>
    <cellStyle name="Normal 2 3 3 6 4" xfId="9403" xr:uid="{00000000-0005-0000-0000-000045380000}"/>
    <cellStyle name="Normal 2 3 3 6 4 2" xfId="10457" xr:uid="{00000000-0005-0000-0000-000046380000}"/>
    <cellStyle name="Normal 2 3 3 6 4 2 2" xfId="14051" xr:uid="{00000000-0005-0000-0000-000047380000}"/>
    <cellStyle name="Normal 2 3 3 6 4 2 3" xfId="16051" xr:uid="{00000000-0005-0000-0000-000048380000}"/>
    <cellStyle name="Normal 2 3 3 6 4 3" xfId="12998" xr:uid="{00000000-0005-0000-0000-000049380000}"/>
    <cellStyle name="Normal 2 3 3 6 4 4" xfId="16050" xr:uid="{00000000-0005-0000-0000-00004A380000}"/>
    <cellStyle name="Normal 2 3 3 6 5" xfId="9919" xr:uid="{00000000-0005-0000-0000-00004B380000}"/>
    <cellStyle name="Normal 2 3 3 6 5 2" xfId="13513" xr:uid="{00000000-0005-0000-0000-00004C380000}"/>
    <cellStyle name="Normal 2 3 3 6 5 3" xfId="16052" xr:uid="{00000000-0005-0000-0000-00004D380000}"/>
    <cellStyle name="Normal 2 3 3 6 6" xfId="11063" xr:uid="{00000000-0005-0000-0000-00004E380000}"/>
    <cellStyle name="Normal 2 3 3 6 6 2" xfId="14656" xr:uid="{00000000-0005-0000-0000-00004F380000}"/>
    <cellStyle name="Normal 2 3 3 6 6 3" xfId="16053" xr:uid="{00000000-0005-0000-0000-000050380000}"/>
    <cellStyle name="Normal 2 3 3 6 7" xfId="12460" xr:uid="{00000000-0005-0000-0000-000051380000}"/>
    <cellStyle name="Normal 2 3 3 6 8" xfId="16034" xr:uid="{00000000-0005-0000-0000-000052380000}"/>
    <cellStyle name="Normal 2 3 3 7" xfId="8872" xr:uid="{00000000-0005-0000-0000-000053380000}"/>
    <cellStyle name="Normal 2 3 3 7 2" xfId="9128" xr:uid="{00000000-0005-0000-0000-000054380000}"/>
    <cellStyle name="Normal 2 3 3 7 2 2" xfId="9696" xr:uid="{00000000-0005-0000-0000-000055380000}"/>
    <cellStyle name="Normal 2 3 3 7 2 2 2" xfId="10750" xr:uid="{00000000-0005-0000-0000-000056380000}"/>
    <cellStyle name="Normal 2 3 3 7 2 2 2 2" xfId="14344" xr:uid="{00000000-0005-0000-0000-000057380000}"/>
    <cellStyle name="Normal 2 3 3 7 2 2 2 3" xfId="16057" xr:uid="{00000000-0005-0000-0000-000058380000}"/>
    <cellStyle name="Normal 2 3 3 7 2 2 3" xfId="13291" xr:uid="{00000000-0005-0000-0000-000059380000}"/>
    <cellStyle name="Normal 2 3 3 7 2 2 4" xfId="16056" xr:uid="{00000000-0005-0000-0000-00005A380000}"/>
    <cellStyle name="Normal 2 3 3 7 2 3" xfId="10212" xr:uid="{00000000-0005-0000-0000-00005B380000}"/>
    <cellStyle name="Normal 2 3 3 7 2 3 2" xfId="13806" xr:uid="{00000000-0005-0000-0000-00005C380000}"/>
    <cellStyle name="Normal 2 3 3 7 2 3 3" xfId="16058" xr:uid="{00000000-0005-0000-0000-00005D380000}"/>
    <cellStyle name="Normal 2 3 3 7 2 4" xfId="11068" xr:uid="{00000000-0005-0000-0000-00005E380000}"/>
    <cellStyle name="Normal 2 3 3 7 2 4 2" xfId="14661" xr:uid="{00000000-0005-0000-0000-00005F380000}"/>
    <cellStyle name="Normal 2 3 3 7 2 4 3" xfId="16059" xr:uid="{00000000-0005-0000-0000-000060380000}"/>
    <cellStyle name="Normal 2 3 3 7 2 5" xfId="12753" xr:uid="{00000000-0005-0000-0000-000061380000}"/>
    <cellStyle name="Normal 2 3 3 7 2 6" xfId="16055" xr:uid="{00000000-0005-0000-0000-000062380000}"/>
    <cellStyle name="Normal 2 3 3 7 3" xfId="9440" xr:uid="{00000000-0005-0000-0000-000063380000}"/>
    <cellStyle name="Normal 2 3 3 7 3 2" xfId="10494" xr:uid="{00000000-0005-0000-0000-000064380000}"/>
    <cellStyle name="Normal 2 3 3 7 3 2 2" xfId="14088" xr:uid="{00000000-0005-0000-0000-000065380000}"/>
    <cellStyle name="Normal 2 3 3 7 3 2 3" xfId="16061" xr:uid="{00000000-0005-0000-0000-000066380000}"/>
    <cellStyle name="Normal 2 3 3 7 3 3" xfId="13035" xr:uid="{00000000-0005-0000-0000-000067380000}"/>
    <cellStyle name="Normal 2 3 3 7 3 4" xfId="16060" xr:uid="{00000000-0005-0000-0000-000068380000}"/>
    <cellStyle name="Normal 2 3 3 7 4" xfId="9956" xr:uid="{00000000-0005-0000-0000-000069380000}"/>
    <cellStyle name="Normal 2 3 3 7 4 2" xfId="13550" xr:uid="{00000000-0005-0000-0000-00006A380000}"/>
    <cellStyle name="Normal 2 3 3 7 4 3" xfId="16062" xr:uid="{00000000-0005-0000-0000-00006B380000}"/>
    <cellStyle name="Normal 2 3 3 7 5" xfId="11067" xr:uid="{00000000-0005-0000-0000-00006C380000}"/>
    <cellStyle name="Normal 2 3 3 7 5 2" xfId="14660" xr:uid="{00000000-0005-0000-0000-00006D380000}"/>
    <cellStyle name="Normal 2 3 3 7 5 3" xfId="16063" xr:uid="{00000000-0005-0000-0000-00006E380000}"/>
    <cellStyle name="Normal 2 3 3 7 6" xfId="12497" xr:uid="{00000000-0005-0000-0000-00006F380000}"/>
    <cellStyle name="Normal 2 3 3 7 7" xfId="16054" xr:uid="{00000000-0005-0000-0000-000070380000}"/>
    <cellStyle name="Normal 2 3 3 8" xfId="9000" xr:uid="{00000000-0005-0000-0000-000071380000}"/>
    <cellStyle name="Normal 2 3 3 8 2" xfId="9568" xr:uid="{00000000-0005-0000-0000-000072380000}"/>
    <cellStyle name="Normal 2 3 3 8 2 2" xfId="10622" xr:uid="{00000000-0005-0000-0000-000073380000}"/>
    <cellStyle name="Normal 2 3 3 8 2 2 2" xfId="14216" xr:uid="{00000000-0005-0000-0000-000074380000}"/>
    <cellStyle name="Normal 2 3 3 8 2 2 3" xfId="16066" xr:uid="{00000000-0005-0000-0000-000075380000}"/>
    <cellStyle name="Normal 2 3 3 8 2 3" xfId="13163" xr:uid="{00000000-0005-0000-0000-000076380000}"/>
    <cellStyle name="Normal 2 3 3 8 2 4" xfId="16065" xr:uid="{00000000-0005-0000-0000-000077380000}"/>
    <cellStyle name="Normal 2 3 3 8 3" xfId="10084" xr:uid="{00000000-0005-0000-0000-000078380000}"/>
    <cellStyle name="Normal 2 3 3 8 3 2" xfId="13678" xr:uid="{00000000-0005-0000-0000-000079380000}"/>
    <cellStyle name="Normal 2 3 3 8 3 3" xfId="16067" xr:uid="{00000000-0005-0000-0000-00007A380000}"/>
    <cellStyle name="Normal 2 3 3 8 4" xfId="11069" xr:uid="{00000000-0005-0000-0000-00007B380000}"/>
    <cellStyle name="Normal 2 3 3 8 4 2" xfId="14662" xr:uid="{00000000-0005-0000-0000-00007C380000}"/>
    <cellStyle name="Normal 2 3 3 8 4 3" xfId="16068" xr:uid="{00000000-0005-0000-0000-00007D380000}"/>
    <cellStyle name="Normal 2 3 3 8 5" xfId="12625" xr:uid="{00000000-0005-0000-0000-00007E380000}"/>
    <cellStyle name="Normal 2 3 3 8 6" xfId="16064" xr:uid="{00000000-0005-0000-0000-00007F380000}"/>
    <cellStyle name="Normal 2 3 3 9" xfId="9312" xr:uid="{00000000-0005-0000-0000-000080380000}"/>
    <cellStyle name="Normal 2 3 3 9 2" xfId="10366" xr:uid="{00000000-0005-0000-0000-000081380000}"/>
    <cellStyle name="Normal 2 3 3 9 2 2" xfId="13960" xr:uid="{00000000-0005-0000-0000-000082380000}"/>
    <cellStyle name="Normal 2 3 3 9 2 3" xfId="16070" xr:uid="{00000000-0005-0000-0000-000083380000}"/>
    <cellStyle name="Normal 2 3 3 9 3" xfId="12907" xr:uid="{00000000-0005-0000-0000-000084380000}"/>
    <cellStyle name="Normal 2 3 3 9 4" xfId="16069" xr:uid="{00000000-0005-0000-0000-000085380000}"/>
    <cellStyle name="Normal 2 3 4" xfId="1508" xr:uid="{00000000-0005-0000-0000-000086380000}"/>
    <cellStyle name="Normal 2 3 4 10" xfId="11070" xr:uid="{00000000-0005-0000-0000-000087380000}"/>
    <cellStyle name="Normal 2 3 4 10 2" xfId="14663" xr:uid="{00000000-0005-0000-0000-000088380000}"/>
    <cellStyle name="Normal 2 3 4 10 3" xfId="16072" xr:uid="{00000000-0005-0000-0000-000089380000}"/>
    <cellStyle name="Normal 2 3 4 11" xfId="12348" xr:uid="{00000000-0005-0000-0000-00008A380000}"/>
    <cellStyle name="Normal 2 3 4 11 2" xfId="26975" xr:uid="{00000000-0005-0000-0000-00008B380000}"/>
    <cellStyle name="Normal 2 3 4 12" xfId="16071" xr:uid="{00000000-0005-0000-0000-00008C380000}"/>
    <cellStyle name="Normal 2 3 4 2" xfId="1509" xr:uid="{00000000-0005-0000-0000-00008D380000}"/>
    <cellStyle name="Normal 2 3 4 2 10" xfId="12349" xr:uid="{00000000-0005-0000-0000-00008E380000}"/>
    <cellStyle name="Normal 2 3 4 2 11" xfId="16073" xr:uid="{00000000-0005-0000-0000-00008F380000}"/>
    <cellStyle name="Normal 2 3 4 2 2" xfId="8791" xr:uid="{00000000-0005-0000-0000-000090380000}"/>
    <cellStyle name="Normal 2 3 4 2 2 2" xfId="8919" xr:uid="{00000000-0005-0000-0000-000091380000}"/>
    <cellStyle name="Normal 2 3 4 2 2 2 2" xfId="9175" xr:uid="{00000000-0005-0000-0000-000092380000}"/>
    <cellStyle name="Normal 2 3 4 2 2 2 2 2" xfId="9743" xr:uid="{00000000-0005-0000-0000-000093380000}"/>
    <cellStyle name="Normal 2 3 4 2 2 2 2 2 2" xfId="10797" xr:uid="{00000000-0005-0000-0000-000094380000}"/>
    <cellStyle name="Normal 2 3 4 2 2 2 2 2 2 2" xfId="14391" xr:uid="{00000000-0005-0000-0000-000095380000}"/>
    <cellStyle name="Normal 2 3 4 2 2 2 2 2 2 3" xfId="16078" xr:uid="{00000000-0005-0000-0000-000096380000}"/>
    <cellStyle name="Normal 2 3 4 2 2 2 2 2 3" xfId="13338" xr:uid="{00000000-0005-0000-0000-000097380000}"/>
    <cellStyle name="Normal 2 3 4 2 2 2 2 2 4" xfId="16077" xr:uid="{00000000-0005-0000-0000-000098380000}"/>
    <cellStyle name="Normal 2 3 4 2 2 2 2 3" xfId="10259" xr:uid="{00000000-0005-0000-0000-000099380000}"/>
    <cellStyle name="Normal 2 3 4 2 2 2 2 3 2" xfId="13853" xr:uid="{00000000-0005-0000-0000-00009A380000}"/>
    <cellStyle name="Normal 2 3 4 2 2 2 2 3 3" xfId="16079" xr:uid="{00000000-0005-0000-0000-00009B380000}"/>
    <cellStyle name="Normal 2 3 4 2 2 2 2 4" xfId="11074" xr:uid="{00000000-0005-0000-0000-00009C380000}"/>
    <cellStyle name="Normal 2 3 4 2 2 2 2 4 2" xfId="14667" xr:uid="{00000000-0005-0000-0000-00009D380000}"/>
    <cellStyle name="Normal 2 3 4 2 2 2 2 4 3" xfId="16080" xr:uid="{00000000-0005-0000-0000-00009E380000}"/>
    <cellStyle name="Normal 2 3 4 2 2 2 2 5" xfId="12800" xr:uid="{00000000-0005-0000-0000-00009F380000}"/>
    <cellStyle name="Normal 2 3 4 2 2 2 2 6" xfId="16076" xr:uid="{00000000-0005-0000-0000-0000A0380000}"/>
    <cellStyle name="Normal 2 3 4 2 2 2 3" xfId="9487" xr:uid="{00000000-0005-0000-0000-0000A1380000}"/>
    <cellStyle name="Normal 2 3 4 2 2 2 3 2" xfId="10541" xr:uid="{00000000-0005-0000-0000-0000A2380000}"/>
    <cellStyle name="Normal 2 3 4 2 2 2 3 2 2" xfId="14135" xr:uid="{00000000-0005-0000-0000-0000A3380000}"/>
    <cellStyle name="Normal 2 3 4 2 2 2 3 2 3" xfId="16082" xr:uid="{00000000-0005-0000-0000-0000A4380000}"/>
    <cellStyle name="Normal 2 3 4 2 2 2 3 3" xfId="13082" xr:uid="{00000000-0005-0000-0000-0000A5380000}"/>
    <cellStyle name="Normal 2 3 4 2 2 2 3 4" xfId="16081" xr:uid="{00000000-0005-0000-0000-0000A6380000}"/>
    <cellStyle name="Normal 2 3 4 2 2 2 4" xfId="10003" xr:uid="{00000000-0005-0000-0000-0000A7380000}"/>
    <cellStyle name="Normal 2 3 4 2 2 2 4 2" xfId="13597" xr:uid="{00000000-0005-0000-0000-0000A8380000}"/>
    <cellStyle name="Normal 2 3 4 2 2 2 4 3" xfId="16083" xr:uid="{00000000-0005-0000-0000-0000A9380000}"/>
    <cellStyle name="Normal 2 3 4 2 2 2 5" xfId="11073" xr:uid="{00000000-0005-0000-0000-0000AA380000}"/>
    <cellStyle name="Normal 2 3 4 2 2 2 5 2" xfId="14666" xr:uid="{00000000-0005-0000-0000-0000AB380000}"/>
    <cellStyle name="Normal 2 3 4 2 2 2 5 3" xfId="16084" xr:uid="{00000000-0005-0000-0000-0000AC380000}"/>
    <cellStyle name="Normal 2 3 4 2 2 2 6" xfId="12544" xr:uid="{00000000-0005-0000-0000-0000AD380000}"/>
    <cellStyle name="Normal 2 3 4 2 2 2 7" xfId="16075" xr:uid="{00000000-0005-0000-0000-0000AE380000}"/>
    <cellStyle name="Normal 2 3 4 2 2 3" xfId="9047" xr:uid="{00000000-0005-0000-0000-0000AF380000}"/>
    <cellStyle name="Normal 2 3 4 2 2 3 2" xfId="9615" xr:uid="{00000000-0005-0000-0000-0000B0380000}"/>
    <cellStyle name="Normal 2 3 4 2 2 3 2 2" xfId="10669" xr:uid="{00000000-0005-0000-0000-0000B1380000}"/>
    <cellStyle name="Normal 2 3 4 2 2 3 2 2 2" xfId="14263" xr:uid="{00000000-0005-0000-0000-0000B2380000}"/>
    <cellStyle name="Normal 2 3 4 2 2 3 2 2 3" xfId="16087" xr:uid="{00000000-0005-0000-0000-0000B3380000}"/>
    <cellStyle name="Normal 2 3 4 2 2 3 2 3" xfId="13210" xr:uid="{00000000-0005-0000-0000-0000B4380000}"/>
    <cellStyle name="Normal 2 3 4 2 2 3 2 4" xfId="16086" xr:uid="{00000000-0005-0000-0000-0000B5380000}"/>
    <cellStyle name="Normal 2 3 4 2 2 3 3" xfId="10131" xr:uid="{00000000-0005-0000-0000-0000B6380000}"/>
    <cellStyle name="Normal 2 3 4 2 2 3 3 2" xfId="13725" xr:uid="{00000000-0005-0000-0000-0000B7380000}"/>
    <cellStyle name="Normal 2 3 4 2 2 3 3 3" xfId="16088" xr:uid="{00000000-0005-0000-0000-0000B8380000}"/>
    <cellStyle name="Normal 2 3 4 2 2 3 4" xfId="11075" xr:uid="{00000000-0005-0000-0000-0000B9380000}"/>
    <cellStyle name="Normal 2 3 4 2 2 3 4 2" xfId="14668" xr:uid="{00000000-0005-0000-0000-0000BA380000}"/>
    <cellStyle name="Normal 2 3 4 2 2 3 4 3" xfId="16089" xr:uid="{00000000-0005-0000-0000-0000BB380000}"/>
    <cellStyle name="Normal 2 3 4 2 2 3 5" xfId="12672" xr:uid="{00000000-0005-0000-0000-0000BC380000}"/>
    <cellStyle name="Normal 2 3 4 2 2 3 6" xfId="16085" xr:uid="{00000000-0005-0000-0000-0000BD380000}"/>
    <cellStyle name="Normal 2 3 4 2 2 4" xfId="9359" xr:uid="{00000000-0005-0000-0000-0000BE380000}"/>
    <cellStyle name="Normal 2 3 4 2 2 4 2" xfId="10413" xr:uid="{00000000-0005-0000-0000-0000BF380000}"/>
    <cellStyle name="Normal 2 3 4 2 2 4 2 2" xfId="14007" xr:uid="{00000000-0005-0000-0000-0000C0380000}"/>
    <cellStyle name="Normal 2 3 4 2 2 4 2 3" xfId="16091" xr:uid="{00000000-0005-0000-0000-0000C1380000}"/>
    <cellStyle name="Normal 2 3 4 2 2 4 3" xfId="12954" xr:uid="{00000000-0005-0000-0000-0000C2380000}"/>
    <cellStyle name="Normal 2 3 4 2 2 4 4" xfId="16090" xr:uid="{00000000-0005-0000-0000-0000C3380000}"/>
    <cellStyle name="Normal 2 3 4 2 2 5" xfId="9875" xr:uid="{00000000-0005-0000-0000-0000C4380000}"/>
    <cellStyle name="Normal 2 3 4 2 2 5 2" xfId="13469" xr:uid="{00000000-0005-0000-0000-0000C5380000}"/>
    <cellStyle name="Normal 2 3 4 2 2 5 3" xfId="16092" xr:uid="{00000000-0005-0000-0000-0000C6380000}"/>
    <cellStyle name="Normal 2 3 4 2 2 6" xfId="11072" xr:uid="{00000000-0005-0000-0000-0000C7380000}"/>
    <cellStyle name="Normal 2 3 4 2 2 6 2" xfId="14665" xr:uid="{00000000-0005-0000-0000-0000C8380000}"/>
    <cellStyle name="Normal 2 3 4 2 2 6 3" xfId="16093" xr:uid="{00000000-0005-0000-0000-0000C9380000}"/>
    <cellStyle name="Normal 2 3 4 2 2 7" xfId="12416" xr:uid="{00000000-0005-0000-0000-0000CA380000}"/>
    <cellStyle name="Normal 2 3 4 2 2 8" xfId="16074" xr:uid="{00000000-0005-0000-0000-0000CB380000}"/>
    <cellStyle name="Normal 2 3 4 2 3" xfId="8823" xr:uid="{00000000-0005-0000-0000-0000CC380000}"/>
    <cellStyle name="Normal 2 3 4 2 3 2" xfId="8951" xr:uid="{00000000-0005-0000-0000-0000CD380000}"/>
    <cellStyle name="Normal 2 3 4 2 3 2 2" xfId="9207" xr:uid="{00000000-0005-0000-0000-0000CE380000}"/>
    <cellStyle name="Normal 2 3 4 2 3 2 2 2" xfId="9775" xr:uid="{00000000-0005-0000-0000-0000CF380000}"/>
    <cellStyle name="Normal 2 3 4 2 3 2 2 2 2" xfId="10829" xr:uid="{00000000-0005-0000-0000-0000D0380000}"/>
    <cellStyle name="Normal 2 3 4 2 3 2 2 2 2 2" xfId="14423" xr:uid="{00000000-0005-0000-0000-0000D1380000}"/>
    <cellStyle name="Normal 2 3 4 2 3 2 2 2 2 3" xfId="16098" xr:uid="{00000000-0005-0000-0000-0000D2380000}"/>
    <cellStyle name="Normal 2 3 4 2 3 2 2 2 3" xfId="13370" xr:uid="{00000000-0005-0000-0000-0000D3380000}"/>
    <cellStyle name="Normal 2 3 4 2 3 2 2 2 4" xfId="16097" xr:uid="{00000000-0005-0000-0000-0000D4380000}"/>
    <cellStyle name="Normal 2 3 4 2 3 2 2 3" xfId="10291" xr:uid="{00000000-0005-0000-0000-0000D5380000}"/>
    <cellStyle name="Normal 2 3 4 2 3 2 2 3 2" xfId="13885" xr:uid="{00000000-0005-0000-0000-0000D6380000}"/>
    <cellStyle name="Normal 2 3 4 2 3 2 2 3 3" xfId="16099" xr:uid="{00000000-0005-0000-0000-0000D7380000}"/>
    <cellStyle name="Normal 2 3 4 2 3 2 2 4" xfId="11078" xr:uid="{00000000-0005-0000-0000-0000D8380000}"/>
    <cellStyle name="Normal 2 3 4 2 3 2 2 4 2" xfId="14671" xr:uid="{00000000-0005-0000-0000-0000D9380000}"/>
    <cellStyle name="Normal 2 3 4 2 3 2 2 4 3" xfId="16100" xr:uid="{00000000-0005-0000-0000-0000DA380000}"/>
    <cellStyle name="Normal 2 3 4 2 3 2 2 5" xfId="12832" xr:uid="{00000000-0005-0000-0000-0000DB380000}"/>
    <cellStyle name="Normal 2 3 4 2 3 2 2 6" xfId="16096" xr:uid="{00000000-0005-0000-0000-0000DC380000}"/>
    <cellStyle name="Normal 2 3 4 2 3 2 3" xfId="9519" xr:uid="{00000000-0005-0000-0000-0000DD380000}"/>
    <cellStyle name="Normal 2 3 4 2 3 2 3 2" xfId="10573" xr:uid="{00000000-0005-0000-0000-0000DE380000}"/>
    <cellStyle name="Normal 2 3 4 2 3 2 3 2 2" xfId="14167" xr:uid="{00000000-0005-0000-0000-0000DF380000}"/>
    <cellStyle name="Normal 2 3 4 2 3 2 3 2 3" xfId="16102" xr:uid="{00000000-0005-0000-0000-0000E0380000}"/>
    <cellStyle name="Normal 2 3 4 2 3 2 3 3" xfId="13114" xr:uid="{00000000-0005-0000-0000-0000E1380000}"/>
    <cellStyle name="Normal 2 3 4 2 3 2 3 4" xfId="16101" xr:uid="{00000000-0005-0000-0000-0000E2380000}"/>
    <cellStyle name="Normal 2 3 4 2 3 2 4" xfId="10035" xr:uid="{00000000-0005-0000-0000-0000E3380000}"/>
    <cellStyle name="Normal 2 3 4 2 3 2 4 2" xfId="13629" xr:uid="{00000000-0005-0000-0000-0000E4380000}"/>
    <cellStyle name="Normal 2 3 4 2 3 2 4 3" xfId="16103" xr:uid="{00000000-0005-0000-0000-0000E5380000}"/>
    <cellStyle name="Normal 2 3 4 2 3 2 5" xfId="11077" xr:uid="{00000000-0005-0000-0000-0000E6380000}"/>
    <cellStyle name="Normal 2 3 4 2 3 2 5 2" xfId="14670" xr:uid="{00000000-0005-0000-0000-0000E7380000}"/>
    <cellStyle name="Normal 2 3 4 2 3 2 5 3" xfId="16104" xr:uid="{00000000-0005-0000-0000-0000E8380000}"/>
    <cellStyle name="Normal 2 3 4 2 3 2 6" xfId="12576" xr:uid="{00000000-0005-0000-0000-0000E9380000}"/>
    <cellStyle name="Normal 2 3 4 2 3 2 7" xfId="16095" xr:uid="{00000000-0005-0000-0000-0000EA380000}"/>
    <cellStyle name="Normal 2 3 4 2 3 3" xfId="9079" xr:uid="{00000000-0005-0000-0000-0000EB380000}"/>
    <cellStyle name="Normal 2 3 4 2 3 3 2" xfId="9647" xr:uid="{00000000-0005-0000-0000-0000EC380000}"/>
    <cellStyle name="Normal 2 3 4 2 3 3 2 2" xfId="10701" xr:uid="{00000000-0005-0000-0000-0000ED380000}"/>
    <cellStyle name="Normal 2 3 4 2 3 3 2 2 2" xfId="14295" xr:uid="{00000000-0005-0000-0000-0000EE380000}"/>
    <cellStyle name="Normal 2 3 4 2 3 3 2 2 3" xfId="16107" xr:uid="{00000000-0005-0000-0000-0000EF380000}"/>
    <cellStyle name="Normal 2 3 4 2 3 3 2 3" xfId="13242" xr:uid="{00000000-0005-0000-0000-0000F0380000}"/>
    <cellStyle name="Normal 2 3 4 2 3 3 2 4" xfId="16106" xr:uid="{00000000-0005-0000-0000-0000F1380000}"/>
    <cellStyle name="Normal 2 3 4 2 3 3 3" xfId="10163" xr:uid="{00000000-0005-0000-0000-0000F2380000}"/>
    <cellStyle name="Normal 2 3 4 2 3 3 3 2" xfId="13757" xr:uid="{00000000-0005-0000-0000-0000F3380000}"/>
    <cellStyle name="Normal 2 3 4 2 3 3 3 3" xfId="16108" xr:uid="{00000000-0005-0000-0000-0000F4380000}"/>
    <cellStyle name="Normal 2 3 4 2 3 3 4" xfId="11079" xr:uid="{00000000-0005-0000-0000-0000F5380000}"/>
    <cellStyle name="Normal 2 3 4 2 3 3 4 2" xfId="14672" xr:uid="{00000000-0005-0000-0000-0000F6380000}"/>
    <cellStyle name="Normal 2 3 4 2 3 3 4 3" xfId="16109" xr:uid="{00000000-0005-0000-0000-0000F7380000}"/>
    <cellStyle name="Normal 2 3 4 2 3 3 5" xfId="12704" xr:uid="{00000000-0005-0000-0000-0000F8380000}"/>
    <cellStyle name="Normal 2 3 4 2 3 3 6" xfId="16105" xr:uid="{00000000-0005-0000-0000-0000F9380000}"/>
    <cellStyle name="Normal 2 3 4 2 3 4" xfId="9391" xr:uid="{00000000-0005-0000-0000-0000FA380000}"/>
    <cellStyle name="Normal 2 3 4 2 3 4 2" xfId="10445" xr:uid="{00000000-0005-0000-0000-0000FB380000}"/>
    <cellStyle name="Normal 2 3 4 2 3 4 2 2" xfId="14039" xr:uid="{00000000-0005-0000-0000-0000FC380000}"/>
    <cellStyle name="Normal 2 3 4 2 3 4 2 3" xfId="16111" xr:uid="{00000000-0005-0000-0000-0000FD380000}"/>
    <cellStyle name="Normal 2 3 4 2 3 4 3" xfId="12986" xr:uid="{00000000-0005-0000-0000-0000FE380000}"/>
    <cellStyle name="Normal 2 3 4 2 3 4 4" xfId="16110" xr:uid="{00000000-0005-0000-0000-0000FF380000}"/>
    <cellStyle name="Normal 2 3 4 2 3 5" xfId="9907" xr:uid="{00000000-0005-0000-0000-000000390000}"/>
    <cellStyle name="Normal 2 3 4 2 3 5 2" xfId="13501" xr:uid="{00000000-0005-0000-0000-000001390000}"/>
    <cellStyle name="Normal 2 3 4 2 3 5 3" xfId="16112" xr:uid="{00000000-0005-0000-0000-000002390000}"/>
    <cellStyle name="Normal 2 3 4 2 3 6" xfId="11076" xr:uid="{00000000-0005-0000-0000-000003390000}"/>
    <cellStyle name="Normal 2 3 4 2 3 6 2" xfId="14669" xr:uid="{00000000-0005-0000-0000-000004390000}"/>
    <cellStyle name="Normal 2 3 4 2 3 6 3" xfId="16113" xr:uid="{00000000-0005-0000-0000-000005390000}"/>
    <cellStyle name="Normal 2 3 4 2 3 7" xfId="12448" xr:uid="{00000000-0005-0000-0000-000006390000}"/>
    <cellStyle name="Normal 2 3 4 2 3 8" xfId="16094" xr:uid="{00000000-0005-0000-0000-000007390000}"/>
    <cellStyle name="Normal 2 3 4 2 4" xfId="8855" xr:uid="{00000000-0005-0000-0000-000008390000}"/>
    <cellStyle name="Normal 2 3 4 2 4 2" xfId="8983" xr:uid="{00000000-0005-0000-0000-000009390000}"/>
    <cellStyle name="Normal 2 3 4 2 4 2 2" xfId="9239" xr:uid="{00000000-0005-0000-0000-00000A390000}"/>
    <cellStyle name="Normal 2 3 4 2 4 2 2 2" xfId="9807" xr:uid="{00000000-0005-0000-0000-00000B390000}"/>
    <cellStyle name="Normal 2 3 4 2 4 2 2 2 2" xfId="10861" xr:uid="{00000000-0005-0000-0000-00000C390000}"/>
    <cellStyle name="Normal 2 3 4 2 4 2 2 2 2 2" xfId="14455" xr:uid="{00000000-0005-0000-0000-00000D390000}"/>
    <cellStyle name="Normal 2 3 4 2 4 2 2 2 2 3" xfId="16118" xr:uid="{00000000-0005-0000-0000-00000E390000}"/>
    <cellStyle name="Normal 2 3 4 2 4 2 2 2 3" xfId="13402" xr:uid="{00000000-0005-0000-0000-00000F390000}"/>
    <cellStyle name="Normal 2 3 4 2 4 2 2 2 4" xfId="16117" xr:uid="{00000000-0005-0000-0000-000010390000}"/>
    <cellStyle name="Normal 2 3 4 2 4 2 2 3" xfId="10323" xr:uid="{00000000-0005-0000-0000-000011390000}"/>
    <cellStyle name="Normal 2 3 4 2 4 2 2 3 2" xfId="13917" xr:uid="{00000000-0005-0000-0000-000012390000}"/>
    <cellStyle name="Normal 2 3 4 2 4 2 2 3 3" xfId="16119" xr:uid="{00000000-0005-0000-0000-000013390000}"/>
    <cellStyle name="Normal 2 3 4 2 4 2 2 4" xfId="11082" xr:uid="{00000000-0005-0000-0000-000014390000}"/>
    <cellStyle name="Normal 2 3 4 2 4 2 2 4 2" xfId="14675" xr:uid="{00000000-0005-0000-0000-000015390000}"/>
    <cellStyle name="Normal 2 3 4 2 4 2 2 4 3" xfId="16120" xr:uid="{00000000-0005-0000-0000-000016390000}"/>
    <cellStyle name="Normal 2 3 4 2 4 2 2 5" xfId="12864" xr:uid="{00000000-0005-0000-0000-000017390000}"/>
    <cellStyle name="Normal 2 3 4 2 4 2 2 6" xfId="16116" xr:uid="{00000000-0005-0000-0000-000018390000}"/>
    <cellStyle name="Normal 2 3 4 2 4 2 3" xfId="9551" xr:uid="{00000000-0005-0000-0000-000019390000}"/>
    <cellStyle name="Normal 2 3 4 2 4 2 3 2" xfId="10605" xr:uid="{00000000-0005-0000-0000-00001A390000}"/>
    <cellStyle name="Normal 2 3 4 2 4 2 3 2 2" xfId="14199" xr:uid="{00000000-0005-0000-0000-00001B390000}"/>
    <cellStyle name="Normal 2 3 4 2 4 2 3 2 3" xfId="16122" xr:uid="{00000000-0005-0000-0000-00001C390000}"/>
    <cellStyle name="Normal 2 3 4 2 4 2 3 3" xfId="13146" xr:uid="{00000000-0005-0000-0000-00001D390000}"/>
    <cellStyle name="Normal 2 3 4 2 4 2 3 4" xfId="16121" xr:uid="{00000000-0005-0000-0000-00001E390000}"/>
    <cellStyle name="Normal 2 3 4 2 4 2 4" xfId="10067" xr:uid="{00000000-0005-0000-0000-00001F390000}"/>
    <cellStyle name="Normal 2 3 4 2 4 2 4 2" xfId="13661" xr:uid="{00000000-0005-0000-0000-000020390000}"/>
    <cellStyle name="Normal 2 3 4 2 4 2 4 3" xfId="16123" xr:uid="{00000000-0005-0000-0000-000021390000}"/>
    <cellStyle name="Normal 2 3 4 2 4 2 5" xfId="11081" xr:uid="{00000000-0005-0000-0000-000022390000}"/>
    <cellStyle name="Normal 2 3 4 2 4 2 5 2" xfId="14674" xr:uid="{00000000-0005-0000-0000-000023390000}"/>
    <cellStyle name="Normal 2 3 4 2 4 2 5 3" xfId="16124" xr:uid="{00000000-0005-0000-0000-000024390000}"/>
    <cellStyle name="Normal 2 3 4 2 4 2 6" xfId="12608" xr:uid="{00000000-0005-0000-0000-000025390000}"/>
    <cellStyle name="Normal 2 3 4 2 4 2 7" xfId="16115" xr:uid="{00000000-0005-0000-0000-000026390000}"/>
    <cellStyle name="Normal 2 3 4 2 4 3" xfId="9111" xr:uid="{00000000-0005-0000-0000-000027390000}"/>
    <cellStyle name="Normal 2 3 4 2 4 3 2" xfId="9679" xr:uid="{00000000-0005-0000-0000-000028390000}"/>
    <cellStyle name="Normal 2 3 4 2 4 3 2 2" xfId="10733" xr:uid="{00000000-0005-0000-0000-000029390000}"/>
    <cellStyle name="Normal 2 3 4 2 4 3 2 2 2" xfId="14327" xr:uid="{00000000-0005-0000-0000-00002A390000}"/>
    <cellStyle name="Normal 2 3 4 2 4 3 2 2 3" xfId="16127" xr:uid="{00000000-0005-0000-0000-00002B390000}"/>
    <cellStyle name="Normal 2 3 4 2 4 3 2 3" xfId="13274" xr:uid="{00000000-0005-0000-0000-00002C390000}"/>
    <cellStyle name="Normal 2 3 4 2 4 3 2 4" xfId="16126" xr:uid="{00000000-0005-0000-0000-00002D390000}"/>
    <cellStyle name="Normal 2 3 4 2 4 3 3" xfId="10195" xr:uid="{00000000-0005-0000-0000-00002E390000}"/>
    <cellStyle name="Normal 2 3 4 2 4 3 3 2" xfId="13789" xr:uid="{00000000-0005-0000-0000-00002F390000}"/>
    <cellStyle name="Normal 2 3 4 2 4 3 3 3" xfId="16128" xr:uid="{00000000-0005-0000-0000-000030390000}"/>
    <cellStyle name="Normal 2 3 4 2 4 3 4" xfId="11083" xr:uid="{00000000-0005-0000-0000-000031390000}"/>
    <cellStyle name="Normal 2 3 4 2 4 3 4 2" xfId="14676" xr:uid="{00000000-0005-0000-0000-000032390000}"/>
    <cellStyle name="Normal 2 3 4 2 4 3 4 3" xfId="16129" xr:uid="{00000000-0005-0000-0000-000033390000}"/>
    <cellStyle name="Normal 2 3 4 2 4 3 5" xfId="12736" xr:uid="{00000000-0005-0000-0000-000034390000}"/>
    <cellStyle name="Normal 2 3 4 2 4 3 6" xfId="16125" xr:uid="{00000000-0005-0000-0000-000035390000}"/>
    <cellStyle name="Normal 2 3 4 2 4 4" xfId="9423" xr:uid="{00000000-0005-0000-0000-000036390000}"/>
    <cellStyle name="Normal 2 3 4 2 4 4 2" xfId="10477" xr:uid="{00000000-0005-0000-0000-000037390000}"/>
    <cellStyle name="Normal 2 3 4 2 4 4 2 2" xfId="14071" xr:uid="{00000000-0005-0000-0000-000038390000}"/>
    <cellStyle name="Normal 2 3 4 2 4 4 2 3" xfId="16131" xr:uid="{00000000-0005-0000-0000-000039390000}"/>
    <cellStyle name="Normal 2 3 4 2 4 4 3" xfId="13018" xr:uid="{00000000-0005-0000-0000-00003A390000}"/>
    <cellStyle name="Normal 2 3 4 2 4 4 4" xfId="16130" xr:uid="{00000000-0005-0000-0000-00003B390000}"/>
    <cellStyle name="Normal 2 3 4 2 4 5" xfId="9939" xr:uid="{00000000-0005-0000-0000-00003C390000}"/>
    <cellStyle name="Normal 2 3 4 2 4 5 2" xfId="13533" xr:uid="{00000000-0005-0000-0000-00003D390000}"/>
    <cellStyle name="Normal 2 3 4 2 4 5 3" xfId="16132" xr:uid="{00000000-0005-0000-0000-00003E390000}"/>
    <cellStyle name="Normal 2 3 4 2 4 6" xfId="11080" xr:uid="{00000000-0005-0000-0000-00003F390000}"/>
    <cellStyle name="Normal 2 3 4 2 4 6 2" xfId="14673" xr:uid="{00000000-0005-0000-0000-000040390000}"/>
    <cellStyle name="Normal 2 3 4 2 4 6 3" xfId="16133" xr:uid="{00000000-0005-0000-0000-000041390000}"/>
    <cellStyle name="Normal 2 3 4 2 4 7" xfId="12480" xr:uid="{00000000-0005-0000-0000-000042390000}"/>
    <cellStyle name="Normal 2 3 4 2 4 8" xfId="16114" xr:uid="{00000000-0005-0000-0000-000043390000}"/>
    <cellStyle name="Normal 2 3 4 2 5" xfId="8877" xr:uid="{00000000-0005-0000-0000-000044390000}"/>
    <cellStyle name="Normal 2 3 4 2 5 2" xfId="9133" xr:uid="{00000000-0005-0000-0000-000045390000}"/>
    <cellStyle name="Normal 2 3 4 2 5 2 2" xfId="9701" xr:uid="{00000000-0005-0000-0000-000046390000}"/>
    <cellStyle name="Normal 2 3 4 2 5 2 2 2" xfId="10755" xr:uid="{00000000-0005-0000-0000-000047390000}"/>
    <cellStyle name="Normal 2 3 4 2 5 2 2 2 2" xfId="14349" xr:uid="{00000000-0005-0000-0000-000048390000}"/>
    <cellStyle name="Normal 2 3 4 2 5 2 2 2 3" xfId="16137" xr:uid="{00000000-0005-0000-0000-000049390000}"/>
    <cellStyle name="Normal 2 3 4 2 5 2 2 3" xfId="13296" xr:uid="{00000000-0005-0000-0000-00004A390000}"/>
    <cellStyle name="Normal 2 3 4 2 5 2 2 4" xfId="16136" xr:uid="{00000000-0005-0000-0000-00004B390000}"/>
    <cellStyle name="Normal 2 3 4 2 5 2 3" xfId="10217" xr:uid="{00000000-0005-0000-0000-00004C390000}"/>
    <cellStyle name="Normal 2 3 4 2 5 2 3 2" xfId="13811" xr:uid="{00000000-0005-0000-0000-00004D390000}"/>
    <cellStyle name="Normal 2 3 4 2 5 2 3 3" xfId="16138" xr:uid="{00000000-0005-0000-0000-00004E390000}"/>
    <cellStyle name="Normal 2 3 4 2 5 2 4" xfId="11085" xr:uid="{00000000-0005-0000-0000-00004F390000}"/>
    <cellStyle name="Normal 2 3 4 2 5 2 4 2" xfId="14678" xr:uid="{00000000-0005-0000-0000-000050390000}"/>
    <cellStyle name="Normal 2 3 4 2 5 2 4 3" xfId="16139" xr:uid="{00000000-0005-0000-0000-000051390000}"/>
    <cellStyle name="Normal 2 3 4 2 5 2 5" xfId="12758" xr:uid="{00000000-0005-0000-0000-000052390000}"/>
    <cellStyle name="Normal 2 3 4 2 5 2 6" xfId="16135" xr:uid="{00000000-0005-0000-0000-000053390000}"/>
    <cellStyle name="Normal 2 3 4 2 5 3" xfId="9445" xr:uid="{00000000-0005-0000-0000-000054390000}"/>
    <cellStyle name="Normal 2 3 4 2 5 3 2" xfId="10499" xr:uid="{00000000-0005-0000-0000-000055390000}"/>
    <cellStyle name="Normal 2 3 4 2 5 3 2 2" xfId="14093" xr:uid="{00000000-0005-0000-0000-000056390000}"/>
    <cellStyle name="Normal 2 3 4 2 5 3 2 3" xfId="16141" xr:uid="{00000000-0005-0000-0000-000057390000}"/>
    <cellStyle name="Normal 2 3 4 2 5 3 3" xfId="13040" xr:uid="{00000000-0005-0000-0000-000058390000}"/>
    <cellStyle name="Normal 2 3 4 2 5 3 4" xfId="16140" xr:uid="{00000000-0005-0000-0000-000059390000}"/>
    <cellStyle name="Normal 2 3 4 2 5 4" xfId="9961" xr:uid="{00000000-0005-0000-0000-00005A390000}"/>
    <cellStyle name="Normal 2 3 4 2 5 4 2" xfId="13555" xr:uid="{00000000-0005-0000-0000-00005B390000}"/>
    <cellStyle name="Normal 2 3 4 2 5 4 3" xfId="16142" xr:uid="{00000000-0005-0000-0000-00005C390000}"/>
    <cellStyle name="Normal 2 3 4 2 5 5" xfId="11084" xr:uid="{00000000-0005-0000-0000-00005D390000}"/>
    <cellStyle name="Normal 2 3 4 2 5 5 2" xfId="14677" xr:uid="{00000000-0005-0000-0000-00005E390000}"/>
    <cellStyle name="Normal 2 3 4 2 5 5 3" xfId="16143" xr:uid="{00000000-0005-0000-0000-00005F390000}"/>
    <cellStyle name="Normal 2 3 4 2 5 6" xfId="12502" xr:uid="{00000000-0005-0000-0000-000060390000}"/>
    <cellStyle name="Normal 2 3 4 2 5 7" xfId="16134" xr:uid="{00000000-0005-0000-0000-000061390000}"/>
    <cellStyle name="Normal 2 3 4 2 6" xfId="9005" xr:uid="{00000000-0005-0000-0000-000062390000}"/>
    <cellStyle name="Normal 2 3 4 2 6 2" xfId="9573" xr:uid="{00000000-0005-0000-0000-000063390000}"/>
    <cellStyle name="Normal 2 3 4 2 6 2 2" xfId="10627" xr:uid="{00000000-0005-0000-0000-000064390000}"/>
    <cellStyle name="Normal 2 3 4 2 6 2 2 2" xfId="14221" xr:uid="{00000000-0005-0000-0000-000065390000}"/>
    <cellStyle name="Normal 2 3 4 2 6 2 2 3" xfId="16146" xr:uid="{00000000-0005-0000-0000-000066390000}"/>
    <cellStyle name="Normal 2 3 4 2 6 2 3" xfId="13168" xr:uid="{00000000-0005-0000-0000-000067390000}"/>
    <cellStyle name="Normal 2 3 4 2 6 2 4" xfId="16145" xr:uid="{00000000-0005-0000-0000-000068390000}"/>
    <cellStyle name="Normal 2 3 4 2 6 3" xfId="10089" xr:uid="{00000000-0005-0000-0000-000069390000}"/>
    <cellStyle name="Normal 2 3 4 2 6 3 2" xfId="13683" xr:uid="{00000000-0005-0000-0000-00006A390000}"/>
    <cellStyle name="Normal 2 3 4 2 6 3 3" xfId="16147" xr:uid="{00000000-0005-0000-0000-00006B390000}"/>
    <cellStyle name="Normal 2 3 4 2 6 4" xfId="11086" xr:uid="{00000000-0005-0000-0000-00006C390000}"/>
    <cellStyle name="Normal 2 3 4 2 6 4 2" xfId="14679" xr:uid="{00000000-0005-0000-0000-00006D390000}"/>
    <cellStyle name="Normal 2 3 4 2 6 4 3" xfId="16148" xr:uid="{00000000-0005-0000-0000-00006E390000}"/>
    <cellStyle name="Normal 2 3 4 2 6 5" xfId="12630" xr:uid="{00000000-0005-0000-0000-00006F390000}"/>
    <cellStyle name="Normal 2 3 4 2 6 6" xfId="16144" xr:uid="{00000000-0005-0000-0000-000070390000}"/>
    <cellStyle name="Normal 2 3 4 2 7" xfId="9317" xr:uid="{00000000-0005-0000-0000-000071390000}"/>
    <cellStyle name="Normal 2 3 4 2 7 2" xfId="10371" xr:uid="{00000000-0005-0000-0000-000072390000}"/>
    <cellStyle name="Normal 2 3 4 2 7 2 2" xfId="13965" xr:uid="{00000000-0005-0000-0000-000073390000}"/>
    <cellStyle name="Normal 2 3 4 2 7 2 3" xfId="16150" xr:uid="{00000000-0005-0000-0000-000074390000}"/>
    <cellStyle name="Normal 2 3 4 2 7 3" xfId="12912" xr:uid="{00000000-0005-0000-0000-000075390000}"/>
    <cellStyle name="Normal 2 3 4 2 7 4" xfId="16149" xr:uid="{00000000-0005-0000-0000-000076390000}"/>
    <cellStyle name="Normal 2 3 4 2 8" xfId="9833" xr:uid="{00000000-0005-0000-0000-000077390000}"/>
    <cellStyle name="Normal 2 3 4 2 8 2" xfId="13427" xr:uid="{00000000-0005-0000-0000-000078390000}"/>
    <cellStyle name="Normal 2 3 4 2 8 3" xfId="16151" xr:uid="{00000000-0005-0000-0000-000079390000}"/>
    <cellStyle name="Normal 2 3 4 2 9" xfId="11071" xr:uid="{00000000-0005-0000-0000-00007A390000}"/>
    <cellStyle name="Normal 2 3 4 2 9 2" xfId="14664" xr:uid="{00000000-0005-0000-0000-00007B390000}"/>
    <cellStyle name="Normal 2 3 4 2 9 3" xfId="16152" xr:uid="{00000000-0005-0000-0000-00007C390000}"/>
    <cellStyle name="Normal 2 3 4 3" xfId="8775" xr:uid="{00000000-0005-0000-0000-00007D390000}"/>
    <cellStyle name="Normal 2 3 4 3 2" xfId="8903" xr:uid="{00000000-0005-0000-0000-00007E390000}"/>
    <cellStyle name="Normal 2 3 4 3 2 2" xfId="9159" xr:uid="{00000000-0005-0000-0000-00007F390000}"/>
    <cellStyle name="Normal 2 3 4 3 2 2 2" xfId="9727" xr:uid="{00000000-0005-0000-0000-000080390000}"/>
    <cellStyle name="Normal 2 3 4 3 2 2 2 2" xfId="10781" xr:uid="{00000000-0005-0000-0000-000081390000}"/>
    <cellStyle name="Normal 2 3 4 3 2 2 2 2 2" xfId="14375" xr:uid="{00000000-0005-0000-0000-000082390000}"/>
    <cellStyle name="Normal 2 3 4 3 2 2 2 2 3" xfId="16157" xr:uid="{00000000-0005-0000-0000-000083390000}"/>
    <cellStyle name="Normal 2 3 4 3 2 2 2 3" xfId="13322" xr:uid="{00000000-0005-0000-0000-000084390000}"/>
    <cellStyle name="Normal 2 3 4 3 2 2 2 4" xfId="16156" xr:uid="{00000000-0005-0000-0000-000085390000}"/>
    <cellStyle name="Normal 2 3 4 3 2 2 3" xfId="10243" xr:uid="{00000000-0005-0000-0000-000086390000}"/>
    <cellStyle name="Normal 2 3 4 3 2 2 3 2" xfId="13837" xr:uid="{00000000-0005-0000-0000-000087390000}"/>
    <cellStyle name="Normal 2 3 4 3 2 2 3 3" xfId="16158" xr:uid="{00000000-0005-0000-0000-000088390000}"/>
    <cellStyle name="Normal 2 3 4 3 2 2 4" xfId="11089" xr:uid="{00000000-0005-0000-0000-000089390000}"/>
    <cellStyle name="Normal 2 3 4 3 2 2 4 2" xfId="14682" xr:uid="{00000000-0005-0000-0000-00008A390000}"/>
    <cellStyle name="Normal 2 3 4 3 2 2 4 3" xfId="16159" xr:uid="{00000000-0005-0000-0000-00008B390000}"/>
    <cellStyle name="Normal 2 3 4 3 2 2 5" xfId="12784" xr:uid="{00000000-0005-0000-0000-00008C390000}"/>
    <cellStyle name="Normal 2 3 4 3 2 2 6" xfId="16155" xr:uid="{00000000-0005-0000-0000-00008D390000}"/>
    <cellStyle name="Normal 2 3 4 3 2 3" xfId="9471" xr:uid="{00000000-0005-0000-0000-00008E390000}"/>
    <cellStyle name="Normal 2 3 4 3 2 3 2" xfId="10525" xr:uid="{00000000-0005-0000-0000-00008F390000}"/>
    <cellStyle name="Normal 2 3 4 3 2 3 2 2" xfId="14119" xr:uid="{00000000-0005-0000-0000-000090390000}"/>
    <cellStyle name="Normal 2 3 4 3 2 3 2 3" xfId="16161" xr:uid="{00000000-0005-0000-0000-000091390000}"/>
    <cellStyle name="Normal 2 3 4 3 2 3 3" xfId="13066" xr:uid="{00000000-0005-0000-0000-000092390000}"/>
    <cellStyle name="Normal 2 3 4 3 2 3 4" xfId="16160" xr:uid="{00000000-0005-0000-0000-000093390000}"/>
    <cellStyle name="Normal 2 3 4 3 2 4" xfId="9987" xr:uid="{00000000-0005-0000-0000-000094390000}"/>
    <cellStyle name="Normal 2 3 4 3 2 4 2" xfId="13581" xr:uid="{00000000-0005-0000-0000-000095390000}"/>
    <cellStyle name="Normal 2 3 4 3 2 4 3" xfId="16162" xr:uid="{00000000-0005-0000-0000-000096390000}"/>
    <cellStyle name="Normal 2 3 4 3 2 5" xfId="11088" xr:uid="{00000000-0005-0000-0000-000097390000}"/>
    <cellStyle name="Normal 2 3 4 3 2 5 2" xfId="14681" xr:uid="{00000000-0005-0000-0000-000098390000}"/>
    <cellStyle name="Normal 2 3 4 3 2 5 3" xfId="16163" xr:uid="{00000000-0005-0000-0000-000099390000}"/>
    <cellStyle name="Normal 2 3 4 3 2 6" xfId="12528" xr:uid="{00000000-0005-0000-0000-00009A390000}"/>
    <cellStyle name="Normal 2 3 4 3 2 7" xfId="16154" xr:uid="{00000000-0005-0000-0000-00009B390000}"/>
    <cellStyle name="Normal 2 3 4 3 3" xfId="9031" xr:uid="{00000000-0005-0000-0000-00009C390000}"/>
    <cellStyle name="Normal 2 3 4 3 3 2" xfId="9599" xr:uid="{00000000-0005-0000-0000-00009D390000}"/>
    <cellStyle name="Normal 2 3 4 3 3 2 2" xfId="10653" xr:uid="{00000000-0005-0000-0000-00009E390000}"/>
    <cellStyle name="Normal 2 3 4 3 3 2 2 2" xfId="14247" xr:uid="{00000000-0005-0000-0000-00009F390000}"/>
    <cellStyle name="Normal 2 3 4 3 3 2 2 3" xfId="16166" xr:uid="{00000000-0005-0000-0000-0000A0390000}"/>
    <cellStyle name="Normal 2 3 4 3 3 2 3" xfId="13194" xr:uid="{00000000-0005-0000-0000-0000A1390000}"/>
    <cellStyle name="Normal 2 3 4 3 3 2 4" xfId="16165" xr:uid="{00000000-0005-0000-0000-0000A2390000}"/>
    <cellStyle name="Normal 2 3 4 3 3 3" xfId="10115" xr:uid="{00000000-0005-0000-0000-0000A3390000}"/>
    <cellStyle name="Normal 2 3 4 3 3 3 2" xfId="13709" xr:uid="{00000000-0005-0000-0000-0000A4390000}"/>
    <cellStyle name="Normal 2 3 4 3 3 3 3" xfId="16167" xr:uid="{00000000-0005-0000-0000-0000A5390000}"/>
    <cellStyle name="Normal 2 3 4 3 3 4" xfId="11090" xr:uid="{00000000-0005-0000-0000-0000A6390000}"/>
    <cellStyle name="Normal 2 3 4 3 3 4 2" xfId="14683" xr:uid="{00000000-0005-0000-0000-0000A7390000}"/>
    <cellStyle name="Normal 2 3 4 3 3 4 3" xfId="16168" xr:uid="{00000000-0005-0000-0000-0000A8390000}"/>
    <cellStyle name="Normal 2 3 4 3 3 5" xfId="12656" xr:uid="{00000000-0005-0000-0000-0000A9390000}"/>
    <cellStyle name="Normal 2 3 4 3 3 6" xfId="16164" xr:uid="{00000000-0005-0000-0000-0000AA390000}"/>
    <cellStyle name="Normal 2 3 4 3 4" xfId="9343" xr:uid="{00000000-0005-0000-0000-0000AB390000}"/>
    <cellStyle name="Normal 2 3 4 3 4 2" xfId="10397" xr:uid="{00000000-0005-0000-0000-0000AC390000}"/>
    <cellStyle name="Normal 2 3 4 3 4 2 2" xfId="13991" xr:uid="{00000000-0005-0000-0000-0000AD390000}"/>
    <cellStyle name="Normal 2 3 4 3 4 2 3" xfId="16170" xr:uid="{00000000-0005-0000-0000-0000AE390000}"/>
    <cellStyle name="Normal 2 3 4 3 4 3" xfId="12938" xr:uid="{00000000-0005-0000-0000-0000AF390000}"/>
    <cellStyle name="Normal 2 3 4 3 4 4" xfId="16169" xr:uid="{00000000-0005-0000-0000-0000B0390000}"/>
    <cellStyle name="Normal 2 3 4 3 5" xfId="9859" xr:uid="{00000000-0005-0000-0000-0000B1390000}"/>
    <cellStyle name="Normal 2 3 4 3 5 2" xfId="13453" xr:uid="{00000000-0005-0000-0000-0000B2390000}"/>
    <cellStyle name="Normal 2 3 4 3 5 3" xfId="16171" xr:uid="{00000000-0005-0000-0000-0000B3390000}"/>
    <cellStyle name="Normal 2 3 4 3 6" xfId="11087" xr:uid="{00000000-0005-0000-0000-0000B4390000}"/>
    <cellStyle name="Normal 2 3 4 3 6 2" xfId="14680" xr:uid="{00000000-0005-0000-0000-0000B5390000}"/>
    <cellStyle name="Normal 2 3 4 3 6 3" xfId="16172" xr:uid="{00000000-0005-0000-0000-0000B6390000}"/>
    <cellStyle name="Normal 2 3 4 3 7" xfId="12400" xr:uid="{00000000-0005-0000-0000-0000B7390000}"/>
    <cellStyle name="Normal 2 3 4 3 8" xfId="16153" xr:uid="{00000000-0005-0000-0000-0000B8390000}"/>
    <cellStyle name="Normal 2 3 4 4" xfId="8807" xr:uid="{00000000-0005-0000-0000-0000B9390000}"/>
    <cellStyle name="Normal 2 3 4 4 2" xfId="8935" xr:uid="{00000000-0005-0000-0000-0000BA390000}"/>
    <cellStyle name="Normal 2 3 4 4 2 2" xfId="9191" xr:uid="{00000000-0005-0000-0000-0000BB390000}"/>
    <cellStyle name="Normal 2 3 4 4 2 2 2" xfId="9759" xr:uid="{00000000-0005-0000-0000-0000BC390000}"/>
    <cellStyle name="Normal 2 3 4 4 2 2 2 2" xfId="10813" xr:uid="{00000000-0005-0000-0000-0000BD390000}"/>
    <cellStyle name="Normal 2 3 4 4 2 2 2 2 2" xfId="14407" xr:uid="{00000000-0005-0000-0000-0000BE390000}"/>
    <cellStyle name="Normal 2 3 4 4 2 2 2 2 3" xfId="16177" xr:uid="{00000000-0005-0000-0000-0000BF390000}"/>
    <cellStyle name="Normal 2 3 4 4 2 2 2 3" xfId="13354" xr:uid="{00000000-0005-0000-0000-0000C0390000}"/>
    <cellStyle name="Normal 2 3 4 4 2 2 2 4" xfId="16176" xr:uid="{00000000-0005-0000-0000-0000C1390000}"/>
    <cellStyle name="Normal 2 3 4 4 2 2 3" xfId="10275" xr:uid="{00000000-0005-0000-0000-0000C2390000}"/>
    <cellStyle name="Normal 2 3 4 4 2 2 3 2" xfId="13869" xr:uid="{00000000-0005-0000-0000-0000C3390000}"/>
    <cellStyle name="Normal 2 3 4 4 2 2 3 3" xfId="16178" xr:uid="{00000000-0005-0000-0000-0000C4390000}"/>
    <cellStyle name="Normal 2 3 4 4 2 2 4" xfId="11093" xr:uid="{00000000-0005-0000-0000-0000C5390000}"/>
    <cellStyle name="Normal 2 3 4 4 2 2 4 2" xfId="14686" xr:uid="{00000000-0005-0000-0000-0000C6390000}"/>
    <cellStyle name="Normal 2 3 4 4 2 2 4 3" xfId="16179" xr:uid="{00000000-0005-0000-0000-0000C7390000}"/>
    <cellStyle name="Normal 2 3 4 4 2 2 5" xfId="12816" xr:uid="{00000000-0005-0000-0000-0000C8390000}"/>
    <cellStyle name="Normal 2 3 4 4 2 2 6" xfId="16175" xr:uid="{00000000-0005-0000-0000-0000C9390000}"/>
    <cellStyle name="Normal 2 3 4 4 2 3" xfId="9503" xr:uid="{00000000-0005-0000-0000-0000CA390000}"/>
    <cellStyle name="Normal 2 3 4 4 2 3 2" xfId="10557" xr:uid="{00000000-0005-0000-0000-0000CB390000}"/>
    <cellStyle name="Normal 2 3 4 4 2 3 2 2" xfId="14151" xr:uid="{00000000-0005-0000-0000-0000CC390000}"/>
    <cellStyle name="Normal 2 3 4 4 2 3 2 3" xfId="16181" xr:uid="{00000000-0005-0000-0000-0000CD390000}"/>
    <cellStyle name="Normal 2 3 4 4 2 3 3" xfId="13098" xr:uid="{00000000-0005-0000-0000-0000CE390000}"/>
    <cellStyle name="Normal 2 3 4 4 2 3 4" xfId="16180" xr:uid="{00000000-0005-0000-0000-0000CF390000}"/>
    <cellStyle name="Normal 2 3 4 4 2 4" xfId="10019" xr:uid="{00000000-0005-0000-0000-0000D0390000}"/>
    <cellStyle name="Normal 2 3 4 4 2 4 2" xfId="13613" xr:uid="{00000000-0005-0000-0000-0000D1390000}"/>
    <cellStyle name="Normal 2 3 4 4 2 4 3" xfId="16182" xr:uid="{00000000-0005-0000-0000-0000D2390000}"/>
    <cellStyle name="Normal 2 3 4 4 2 5" xfId="11092" xr:uid="{00000000-0005-0000-0000-0000D3390000}"/>
    <cellStyle name="Normal 2 3 4 4 2 5 2" xfId="14685" xr:uid="{00000000-0005-0000-0000-0000D4390000}"/>
    <cellStyle name="Normal 2 3 4 4 2 5 3" xfId="16183" xr:uid="{00000000-0005-0000-0000-0000D5390000}"/>
    <cellStyle name="Normal 2 3 4 4 2 6" xfId="12560" xr:uid="{00000000-0005-0000-0000-0000D6390000}"/>
    <cellStyle name="Normal 2 3 4 4 2 7" xfId="16174" xr:uid="{00000000-0005-0000-0000-0000D7390000}"/>
    <cellStyle name="Normal 2 3 4 4 3" xfId="9063" xr:uid="{00000000-0005-0000-0000-0000D8390000}"/>
    <cellStyle name="Normal 2 3 4 4 3 2" xfId="9631" xr:uid="{00000000-0005-0000-0000-0000D9390000}"/>
    <cellStyle name="Normal 2 3 4 4 3 2 2" xfId="10685" xr:uid="{00000000-0005-0000-0000-0000DA390000}"/>
    <cellStyle name="Normal 2 3 4 4 3 2 2 2" xfId="14279" xr:uid="{00000000-0005-0000-0000-0000DB390000}"/>
    <cellStyle name="Normal 2 3 4 4 3 2 2 3" xfId="16186" xr:uid="{00000000-0005-0000-0000-0000DC390000}"/>
    <cellStyle name="Normal 2 3 4 4 3 2 3" xfId="13226" xr:uid="{00000000-0005-0000-0000-0000DD390000}"/>
    <cellStyle name="Normal 2 3 4 4 3 2 4" xfId="16185" xr:uid="{00000000-0005-0000-0000-0000DE390000}"/>
    <cellStyle name="Normal 2 3 4 4 3 3" xfId="10147" xr:uid="{00000000-0005-0000-0000-0000DF390000}"/>
    <cellStyle name="Normal 2 3 4 4 3 3 2" xfId="13741" xr:uid="{00000000-0005-0000-0000-0000E0390000}"/>
    <cellStyle name="Normal 2 3 4 4 3 3 3" xfId="16187" xr:uid="{00000000-0005-0000-0000-0000E1390000}"/>
    <cellStyle name="Normal 2 3 4 4 3 4" xfId="11094" xr:uid="{00000000-0005-0000-0000-0000E2390000}"/>
    <cellStyle name="Normal 2 3 4 4 3 4 2" xfId="14687" xr:uid="{00000000-0005-0000-0000-0000E3390000}"/>
    <cellStyle name="Normal 2 3 4 4 3 4 3" xfId="16188" xr:uid="{00000000-0005-0000-0000-0000E4390000}"/>
    <cellStyle name="Normal 2 3 4 4 3 5" xfId="12688" xr:uid="{00000000-0005-0000-0000-0000E5390000}"/>
    <cellStyle name="Normal 2 3 4 4 3 6" xfId="16184" xr:uid="{00000000-0005-0000-0000-0000E6390000}"/>
    <cellStyle name="Normal 2 3 4 4 4" xfId="9375" xr:uid="{00000000-0005-0000-0000-0000E7390000}"/>
    <cellStyle name="Normal 2 3 4 4 4 2" xfId="10429" xr:uid="{00000000-0005-0000-0000-0000E8390000}"/>
    <cellStyle name="Normal 2 3 4 4 4 2 2" xfId="14023" xr:uid="{00000000-0005-0000-0000-0000E9390000}"/>
    <cellStyle name="Normal 2 3 4 4 4 2 3" xfId="16190" xr:uid="{00000000-0005-0000-0000-0000EA390000}"/>
    <cellStyle name="Normal 2 3 4 4 4 3" xfId="12970" xr:uid="{00000000-0005-0000-0000-0000EB390000}"/>
    <cellStyle name="Normal 2 3 4 4 4 4" xfId="16189" xr:uid="{00000000-0005-0000-0000-0000EC390000}"/>
    <cellStyle name="Normal 2 3 4 4 5" xfId="9891" xr:uid="{00000000-0005-0000-0000-0000ED390000}"/>
    <cellStyle name="Normal 2 3 4 4 5 2" xfId="13485" xr:uid="{00000000-0005-0000-0000-0000EE390000}"/>
    <cellStyle name="Normal 2 3 4 4 5 3" xfId="16191" xr:uid="{00000000-0005-0000-0000-0000EF390000}"/>
    <cellStyle name="Normal 2 3 4 4 6" xfId="11091" xr:uid="{00000000-0005-0000-0000-0000F0390000}"/>
    <cellStyle name="Normal 2 3 4 4 6 2" xfId="14684" xr:uid="{00000000-0005-0000-0000-0000F1390000}"/>
    <cellStyle name="Normal 2 3 4 4 6 3" xfId="16192" xr:uid="{00000000-0005-0000-0000-0000F2390000}"/>
    <cellStyle name="Normal 2 3 4 4 7" xfId="12432" xr:uid="{00000000-0005-0000-0000-0000F3390000}"/>
    <cellStyle name="Normal 2 3 4 4 8" xfId="16173" xr:uid="{00000000-0005-0000-0000-0000F4390000}"/>
    <cellStyle name="Normal 2 3 4 5" xfId="8839" xr:uid="{00000000-0005-0000-0000-0000F5390000}"/>
    <cellStyle name="Normal 2 3 4 5 2" xfId="8967" xr:uid="{00000000-0005-0000-0000-0000F6390000}"/>
    <cellStyle name="Normal 2 3 4 5 2 2" xfId="9223" xr:uid="{00000000-0005-0000-0000-0000F7390000}"/>
    <cellStyle name="Normal 2 3 4 5 2 2 2" xfId="9791" xr:uid="{00000000-0005-0000-0000-0000F8390000}"/>
    <cellStyle name="Normal 2 3 4 5 2 2 2 2" xfId="10845" xr:uid="{00000000-0005-0000-0000-0000F9390000}"/>
    <cellStyle name="Normal 2 3 4 5 2 2 2 2 2" xfId="14439" xr:uid="{00000000-0005-0000-0000-0000FA390000}"/>
    <cellStyle name="Normal 2 3 4 5 2 2 2 2 3" xfId="16197" xr:uid="{00000000-0005-0000-0000-0000FB390000}"/>
    <cellStyle name="Normal 2 3 4 5 2 2 2 3" xfId="13386" xr:uid="{00000000-0005-0000-0000-0000FC390000}"/>
    <cellStyle name="Normal 2 3 4 5 2 2 2 4" xfId="16196" xr:uid="{00000000-0005-0000-0000-0000FD390000}"/>
    <cellStyle name="Normal 2 3 4 5 2 2 3" xfId="10307" xr:uid="{00000000-0005-0000-0000-0000FE390000}"/>
    <cellStyle name="Normal 2 3 4 5 2 2 3 2" xfId="13901" xr:uid="{00000000-0005-0000-0000-0000FF390000}"/>
    <cellStyle name="Normal 2 3 4 5 2 2 3 3" xfId="16198" xr:uid="{00000000-0005-0000-0000-0000003A0000}"/>
    <cellStyle name="Normal 2 3 4 5 2 2 4" xfId="11097" xr:uid="{00000000-0005-0000-0000-0000013A0000}"/>
    <cellStyle name="Normal 2 3 4 5 2 2 4 2" xfId="14690" xr:uid="{00000000-0005-0000-0000-0000023A0000}"/>
    <cellStyle name="Normal 2 3 4 5 2 2 4 3" xfId="16199" xr:uid="{00000000-0005-0000-0000-0000033A0000}"/>
    <cellStyle name="Normal 2 3 4 5 2 2 5" xfId="12848" xr:uid="{00000000-0005-0000-0000-0000043A0000}"/>
    <cellStyle name="Normal 2 3 4 5 2 2 6" xfId="16195" xr:uid="{00000000-0005-0000-0000-0000053A0000}"/>
    <cellStyle name="Normal 2 3 4 5 2 3" xfId="9535" xr:uid="{00000000-0005-0000-0000-0000063A0000}"/>
    <cellStyle name="Normal 2 3 4 5 2 3 2" xfId="10589" xr:uid="{00000000-0005-0000-0000-0000073A0000}"/>
    <cellStyle name="Normal 2 3 4 5 2 3 2 2" xfId="14183" xr:uid="{00000000-0005-0000-0000-0000083A0000}"/>
    <cellStyle name="Normal 2 3 4 5 2 3 2 3" xfId="16201" xr:uid="{00000000-0005-0000-0000-0000093A0000}"/>
    <cellStyle name="Normal 2 3 4 5 2 3 3" xfId="13130" xr:uid="{00000000-0005-0000-0000-00000A3A0000}"/>
    <cellStyle name="Normal 2 3 4 5 2 3 4" xfId="16200" xr:uid="{00000000-0005-0000-0000-00000B3A0000}"/>
    <cellStyle name="Normal 2 3 4 5 2 4" xfId="10051" xr:uid="{00000000-0005-0000-0000-00000C3A0000}"/>
    <cellStyle name="Normal 2 3 4 5 2 4 2" xfId="13645" xr:uid="{00000000-0005-0000-0000-00000D3A0000}"/>
    <cellStyle name="Normal 2 3 4 5 2 4 3" xfId="16202" xr:uid="{00000000-0005-0000-0000-00000E3A0000}"/>
    <cellStyle name="Normal 2 3 4 5 2 5" xfId="11096" xr:uid="{00000000-0005-0000-0000-00000F3A0000}"/>
    <cellStyle name="Normal 2 3 4 5 2 5 2" xfId="14689" xr:uid="{00000000-0005-0000-0000-0000103A0000}"/>
    <cellStyle name="Normal 2 3 4 5 2 5 3" xfId="16203" xr:uid="{00000000-0005-0000-0000-0000113A0000}"/>
    <cellStyle name="Normal 2 3 4 5 2 6" xfId="12592" xr:uid="{00000000-0005-0000-0000-0000123A0000}"/>
    <cellStyle name="Normal 2 3 4 5 2 7" xfId="16194" xr:uid="{00000000-0005-0000-0000-0000133A0000}"/>
    <cellStyle name="Normal 2 3 4 5 3" xfId="9095" xr:uid="{00000000-0005-0000-0000-0000143A0000}"/>
    <cellStyle name="Normal 2 3 4 5 3 2" xfId="9663" xr:uid="{00000000-0005-0000-0000-0000153A0000}"/>
    <cellStyle name="Normal 2 3 4 5 3 2 2" xfId="10717" xr:uid="{00000000-0005-0000-0000-0000163A0000}"/>
    <cellStyle name="Normal 2 3 4 5 3 2 2 2" xfId="14311" xr:uid="{00000000-0005-0000-0000-0000173A0000}"/>
    <cellStyle name="Normal 2 3 4 5 3 2 2 3" xfId="16206" xr:uid="{00000000-0005-0000-0000-0000183A0000}"/>
    <cellStyle name="Normal 2 3 4 5 3 2 3" xfId="13258" xr:uid="{00000000-0005-0000-0000-0000193A0000}"/>
    <cellStyle name="Normal 2 3 4 5 3 2 4" xfId="16205" xr:uid="{00000000-0005-0000-0000-00001A3A0000}"/>
    <cellStyle name="Normal 2 3 4 5 3 3" xfId="10179" xr:uid="{00000000-0005-0000-0000-00001B3A0000}"/>
    <cellStyle name="Normal 2 3 4 5 3 3 2" xfId="13773" xr:uid="{00000000-0005-0000-0000-00001C3A0000}"/>
    <cellStyle name="Normal 2 3 4 5 3 3 3" xfId="16207" xr:uid="{00000000-0005-0000-0000-00001D3A0000}"/>
    <cellStyle name="Normal 2 3 4 5 3 4" xfId="11098" xr:uid="{00000000-0005-0000-0000-00001E3A0000}"/>
    <cellStyle name="Normal 2 3 4 5 3 4 2" xfId="14691" xr:uid="{00000000-0005-0000-0000-00001F3A0000}"/>
    <cellStyle name="Normal 2 3 4 5 3 4 3" xfId="16208" xr:uid="{00000000-0005-0000-0000-0000203A0000}"/>
    <cellStyle name="Normal 2 3 4 5 3 5" xfId="12720" xr:uid="{00000000-0005-0000-0000-0000213A0000}"/>
    <cellStyle name="Normal 2 3 4 5 3 6" xfId="16204" xr:uid="{00000000-0005-0000-0000-0000223A0000}"/>
    <cellStyle name="Normal 2 3 4 5 4" xfId="9407" xr:uid="{00000000-0005-0000-0000-0000233A0000}"/>
    <cellStyle name="Normal 2 3 4 5 4 2" xfId="10461" xr:uid="{00000000-0005-0000-0000-0000243A0000}"/>
    <cellStyle name="Normal 2 3 4 5 4 2 2" xfId="14055" xr:uid="{00000000-0005-0000-0000-0000253A0000}"/>
    <cellStyle name="Normal 2 3 4 5 4 2 3" xfId="16210" xr:uid="{00000000-0005-0000-0000-0000263A0000}"/>
    <cellStyle name="Normal 2 3 4 5 4 3" xfId="13002" xr:uid="{00000000-0005-0000-0000-0000273A0000}"/>
    <cellStyle name="Normal 2 3 4 5 4 4" xfId="16209" xr:uid="{00000000-0005-0000-0000-0000283A0000}"/>
    <cellStyle name="Normal 2 3 4 5 5" xfId="9923" xr:uid="{00000000-0005-0000-0000-0000293A0000}"/>
    <cellStyle name="Normal 2 3 4 5 5 2" xfId="13517" xr:uid="{00000000-0005-0000-0000-00002A3A0000}"/>
    <cellStyle name="Normal 2 3 4 5 5 3" xfId="16211" xr:uid="{00000000-0005-0000-0000-00002B3A0000}"/>
    <cellStyle name="Normal 2 3 4 5 6" xfId="11095" xr:uid="{00000000-0005-0000-0000-00002C3A0000}"/>
    <cellStyle name="Normal 2 3 4 5 6 2" xfId="14688" xr:uid="{00000000-0005-0000-0000-00002D3A0000}"/>
    <cellStyle name="Normal 2 3 4 5 6 3" xfId="16212" xr:uid="{00000000-0005-0000-0000-00002E3A0000}"/>
    <cellStyle name="Normal 2 3 4 5 7" xfId="12464" xr:uid="{00000000-0005-0000-0000-00002F3A0000}"/>
    <cellStyle name="Normal 2 3 4 5 8" xfId="16193" xr:uid="{00000000-0005-0000-0000-0000303A0000}"/>
    <cellStyle name="Normal 2 3 4 6" xfId="8876" xr:uid="{00000000-0005-0000-0000-0000313A0000}"/>
    <cellStyle name="Normal 2 3 4 6 2" xfId="9132" xr:uid="{00000000-0005-0000-0000-0000323A0000}"/>
    <cellStyle name="Normal 2 3 4 6 2 2" xfId="9700" xr:uid="{00000000-0005-0000-0000-0000333A0000}"/>
    <cellStyle name="Normal 2 3 4 6 2 2 2" xfId="10754" xr:uid="{00000000-0005-0000-0000-0000343A0000}"/>
    <cellStyle name="Normal 2 3 4 6 2 2 2 2" xfId="14348" xr:uid="{00000000-0005-0000-0000-0000353A0000}"/>
    <cellStyle name="Normal 2 3 4 6 2 2 2 3" xfId="16216" xr:uid="{00000000-0005-0000-0000-0000363A0000}"/>
    <cellStyle name="Normal 2 3 4 6 2 2 3" xfId="13295" xr:uid="{00000000-0005-0000-0000-0000373A0000}"/>
    <cellStyle name="Normal 2 3 4 6 2 2 4" xfId="16215" xr:uid="{00000000-0005-0000-0000-0000383A0000}"/>
    <cellStyle name="Normal 2 3 4 6 2 3" xfId="10216" xr:uid="{00000000-0005-0000-0000-0000393A0000}"/>
    <cellStyle name="Normal 2 3 4 6 2 3 2" xfId="13810" xr:uid="{00000000-0005-0000-0000-00003A3A0000}"/>
    <cellStyle name="Normal 2 3 4 6 2 3 3" xfId="16217" xr:uid="{00000000-0005-0000-0000-00003B3A0000}"/>
    <cellStyle name="Normal 2 3 4 6 2 4" xfId="11100" xr:uid="{00000000-0005-0000-0000-00003C3A0000}"/>
    <cellStyle name="Normal 2 3 4 6 2 4 2" xfId="14693" xr:uid="{00000000-0005-0000-0000-00003D3A0000}"/>
    <cellStyle name="Normal 2 3 4 6 2 4 3" xfId="16218" xr:uid="{00000000-0005-0000-0000-00003E3A0000}"/>
    <cellStyle name="Normal 2 3 4 6 2 5" xfId="12757" xr:uid="{00000000-0005-0000-0000-00003F3A0000}"/>
    <cellStyle name="Normal 2 3 4 6 2 6" xfId="16214" xr:uid="{00000000-0005-0000-0000-0000403A0000}"/>
    <cellStyle name="Normal 2 3 4 6 3" xfId="9444" xr:uid="{00000000-0005-0000-0000-0000413A0000}"/>
    <cellStyle name="Normal 2 3 4 6 3 2" xfId="10498" xr:uid="{00000000-0005-0000-0000-0000423A0000}"/>
    <cellStyle name="Normal 2 3 4 6 3 2 2" xfId="14092" xr:uid="{00000000-0005-0000-0000-0000433A0000}"/>
    <cellStyle name="Normal 2 3 4 6 3 2 3" xfId="16220" xr:uid="{00000000-0005-0000-0000-0000443A0000}"/>
    <cellStyle name="Normal 2 3 4 6 3 3" xfId="13039" xr:uid="{00000000-0005-0000-0000-0000453A0000}"/>
    <cellStyle name="Normal 2 3 4 6 3 4" xfId="16219" xr:uid="{00000000-0005-0000-0000-0000463A0000}"/>
    <cellStyle name="Normal 2 3 4 6 4" xfId="9960" xr:uid="{00000000-0005-0000-0000-0000473A0000}"/>
    <cellStyle name="Normal 2 3 4 6 4 2" xfId="13554" xr:uid="{00000000-0005-0000-0000-0000483A0000}"/>
    <cellStyle name="Normal 2 3 4 6 4 3" xfId="16221" xr:uid="{00000000-0005-0000-0000-0000493A0000}"/>
    <cellStyle name="Normal 2 3 4 6 5" xfId="11099" xr:uid="{00000000-0005-0000-0000-00004A3A0000}"/>
    <cellStyle name="Normal 2 3 4 6 5 2" xfId="14692" xr:uid="{00000000-0005-0000-0000-00004B3A0000}"/>
    <cellStyle name="Normal 2 3 4 6 5 3" xfId="16222" xr:uid="{00000000-0005-0000-0000-00004C3A0000}"/>
    <cellStyle name="Normal 2 3 4 6 6" xfId="12501" xr:uid="{00000000-0005-0000-0000-00004D3A0000}"/>
    <cellStyle name="Normal 2 3 4 6 7" xfId="16213" xr:uid="{00000000-0005-0000-0000-00004E3A0000}"/>
    <cellStyle name="Normal 2 3 4 7" xfId="9004" xr:uid="{00000000-0005-0000-0000-00004F3A0000}"/>
    <cellStyle name="Normal 2 3 4 7 2" xfId="9572" xr:uid="{00000000-0005-0000-0000-0000503A0000}"/>
    <cellStyle name="Normal 2 3 4 7 2 2" xfId="10626" xr:uid="{00000000-0005-0000-0000-0000513A0000}"/>
    <cellStyle name="Normal 2 3 4 7 2 2 2" xfId="14220" xr:uid="{00000000-0005-0000-0000-0000523A0000}"/>
    <cellStyle name="Normal 2 3 4 7 2 2 3" xfId="16225" xr:uid="{00000000-0005-0000-0000-0000533A0000}"/>
    <cellStyle name="Normal 2 3 4 7 2 3" xfId="13167" xr:uid="{00000000-0005-0000-0000-0000543A0000}"/>
    <cellStyle name="Normal 2 3 4 7 2 4" xfId="16224" xr:uid="{00000000-0005-0000-0000-0000553A0000}"/>
    <cellStyle name="Normal 2 3 4 7 3" xfId="10088" xr:uid="{00000000-0005-0000-0000-0000563A0000}"/>
    <cellStyle name="Normal 2 3 4 7 3 2" xfId="13682" xr:uid="{00000000-0005-0000-0000-0000573A0000}"/>
    <cellStyle name="Normal 2 3 4 7 3 3" xfId="16226" xr:uid="{00000000-0005-0000-0000-0000583A0000}"/>
    <cellStyle name="Normal 2 3 4 7 4" xfId="11101" xr:uid="{00000000-0005-0000-0000-0000593A0000}"/>
    <cellStyle name="Normal 2 3 4 7 4 2" xfId="14694" xr:uid="{00000000-0005-0000-0000-00005A3A0000}"/>
    <cellStyle name="Normal 2 3 4 7 4 3" xfId="16227" xr:uid="{00000000-0005-0000-0000-00005B3A0000}"/>
    <cellStyle name="Normal 2 3 4 7 5" xfId="12629" xr:uid="{00000000-0005-0000-0000-00005C3A0000}"/>
    <cellStyle name="Normal 2 3 4 7 6" xfId="16223" xr:uid="{00000000-0005-0000-0000-00005D3A0000}"/>
    <cellStyle name="Normal 2 3 4 8" xfId="9316" xr:uid="{00000000-0005-0000-0000-00005E3A0000}"/>
    <cellStyle name="Normal 2 3 4 8 2" xfId="10370" xr:uid="{00000000-0005-0000-0000-00005F3A0000}"/>
    <cellStyle name="Normal 2 3 4 8 2 2" xfId="13964" xr:uid="{00000000-0005-0000-0000-0000603A0000}"/>
    <cellStyle name="Normal 2 3 4 8 2 3" xfId="16229" xr:uid="{00000000-0005-0000-0000-0000613A0000}"/>
    <cellStyle name="Normal 2 3 4 8 3" xfId="12911" xr:uid="{00000000-0005-0000-0000-0000623A0000}"/>
    <cellStyle name="Normal 2 3 4 8 4" xfId="16228" xr:uid="{00000000-0005-0000-0000-0000633A0000}"/>
    <cellStyle name="Normal 2 3 4 9" xfId="9832" xr:uid="{00000000-0005-0000-0000-0000643A0000}"/>
    <cellStyle name="Normal 2 3 4 9 2" xfId="13426" xr:uid="{00000000-0005-0000-0000-0000653A0000}"/>
    <cellStyle name="Normal 2 3 4 9 3" xfId="16230" xr:uid="{00000000-0005-0000-0000-0000663A0000}"/>
    <cellStyle name="Normal 2 3 5" xfId="1510" xr:uid="{00000000-0005-0000-0000-0000673A0000}"/>
    <cellStyle name="Normal 2 3 5 10" xfId="12350" xr:uid="{00000000-0005-0000-0000-0000683A0000}"/>
    <cellStyle name="Normal 2 3 5 11" xfId="16231" xr:uid="{00000000-0005-0000-0000-0000693A0000}"/>
    <cellStyle name="Normal 2 3 5 2" xfId="8783" xr:uid="{00000000-0005-0000-0000-00006A3A0000}"/>
    <cellStyle name="Normal 2 3 5 2 2" xfId="8911" xr:uid="{00000000-0005-0000-0000-00006B3A0000}"/>
    <cellStyle name="Normal 2 3 5 2 2 2" xfId="9167" xr:uid="{00000000-0005-0000-0000-00006C3A0000}"/>
    <cellStyle name="Normal 2 3 5 2 2 2 2" xfId="9735" xr:uid="{00000000-0005-0000-0000-00006D3A0000}"/>
    <cellStyle name="Normal 2 3 5 2 2 2 2 2" xfId="10789" xr:uid="{00000000-0005-0000-0000-00006E3A0000}"/>
    <cellStyle name="Normal 2 3 5 2 2 2 2 2 2" xfId="14383" xr:uid="{00000000-0005-0000-0000-00006F3A0000}"/>
    <cellStyle name="Normal 2 3 5 2 2 2 2 2 3" xfId="16236" xr:uid="{00000000-0005-0000-0000-0000703A0000}"/>
    <cellStyle name="Normal 2 3 5 2 2 2 2 3" xfId="13330" xr:uid="{00000000-0005-0000-0000-0000713A0000}"/>
    <cellStyle name="Normal 2 3 5 2 2 2 2 4" xfId="16235" xr:uid="{00000000-0005-0000-0000-0000723A0000}"/>
    <cellStyle name="Normal 2 3 5 2 2 2 3" xfId="10251" xr:uid="{00000000-0005-0000-0000-0000733A0000}"/>
    <cellStyle name="Normal 2 3 5 2 2 2 3 2" xfId="13845" xr:uid="{00000000-0005-0000-0000-0000743A0000}"/>
    <cellStyle name="Normal 2 3 5 2 2 2 3 3" xfId="16237" xr:uid="{00000000-0005-0000-0000-0000753A0000}"/>
    <cellStyle name="Normal 2 3 5 2 2 2 4" xfId="11105" xr:uid="{00000000-0005-0000-0000-0000763A0000}"/>
    <cellStyle name="Normal 2 3 5 2 2 2 4 2" xfId="14698" xr:uid="{00000000-0005-0000-0000-0000773A0000}"/>
    <cellStyle name="Normal 2 3 5 2 2 2 4 3" xfId="16238" xr:uid="{00000000-0005-0000-0000-0000783A0000}"/>
    <cellStyle name="Normal 2 3 5 2 2 2 5" xfId="12792" xr:uid="{00000000-0005-0000-0000-0000793A0000}"/>
    <cellStyle name="Normal 2 3 5 2 2 2 6" xfId="16234" xr:uid="{00000000-0005-0000-0000-00007A3A0000}"/>
    <cellStyle name="Normal 2 3 5 2 2 3" xfId="9479" xr:uid="{00000000-0005-0000-0000-00007B3A0000}"/>
    <cellStyle name="Normal 2 3 5 2 2 3 2" xfId="10533" xr:uid="{00000000-0005-0000-0000-00007C3A0000}"/>
    <cellStyle name="Normal 2 3 5 2 2 3 2 2" xfId="14127" xr:uid="{00000000-0005-0000-0000-00007D3A0000}"/>
    <cellStyle name="Normal 2 3 5 2 2 3 2 3" xfId="16240" xr:uid="{00000000-0005-0000-0000-00007E3A0000}"/>
    <cellStyle name="Normal 2 3 5 2 2 3 3" xfId="13074" xr:uid="{00000000-0005-0000-0000-00007F3A0000}"/>
    <cellStyle name="Normal 2 3 5 2 2 3 4" xfId="16239" xr:uid="{00000000-0005-0000-0000-0000803A0000}"/>
    <cellStyle name="Normal 2 3 5 2 2 4" xfId="9995" xr:uid="{00000000-0005-0000-0000-0000813A0000}"/>
    <cellStyle name="Normal 2 3 5 2 2 4 2" xfId="13589" xr:uid="{00000000-0005-0000-0000-0000823A0000}"/>
    <cellStyle name="Normal 2 3 5 2 2 4 3" xfId="16241" xr:uid="{00000000-0005-0000-0000-0000833A0000}"/>
    <cellStyle name="Normal 2 3 5 2 2 5" xfId="11104" xr:uid="{00000000-0005-0000-0000-0000843A0000}"/>
    <cellStyle name="Normal 2 3 5 2 2 5 2" xfId="14697" xr:uid="{00000000-0005-0000-0000-0000853A0000}"/>
    <cellStyle name="Normal 2 3 5 2 2 5 3" xfId="16242" xr:uid="{00000000-0005-0000-0000-0000863A0000}"/>
    <cellStyle name="Normal 2 3 5 2 2 6" xfId="12536" xr:uid="{00000000-0005-0000-0000-0000873A0000}"/>
    <cellStyle name="Normal 2 3 5 2 2 7" xfId="16233" xr:uid="{00000000-0005-0000-0000-0000883A0000}"/>
    <cellStyle name="Normal 2 3 5 2 3" xfId="9039" xr:uid="{00000000-0005-0000-0000-0000893A0000}"/>
    <cellStyle name="Normal 2 3 5 2 3 2" xfId="9607" xr:uid="{00000000-0005-0000-0000-00008A3A0000}"/>
    <cellStyle name="Normal 2 3 5 2 3 2 2" xfId="10661" xr:uid="{00000000-0005-0000-0000-00008B3A0000}"/>
    <cellStyle name="Normal 2 3 5 2 3 2 2 2" xfId="14255" xr:uid="{00000000-0005-0000-0000-00008C3A0000}"/>
    <cellStyle name="Normal 2 3 5 2 3 2 2 3" xfId="16245" xr:uid="{00000000-0005-0000-0000-00008D3A0000}"/>
    <cellStyle name="Normal 2 3 5 2 3 2 3" xfId="13202" xr:uid="{00000000-0005-0000-0000-00008E3A0000}"/>
    <cellStyle name="Normal 2 3 5 2 3 2 4" xfId="16244" xr:uid="{00000000-0005-0000-0000-00008F3A0000}"/>
    <cellStyle name="Normal 2 3 5 2 3 3" xfId="10123" xr:uid="{00000000-0005-0000-0000-0000903A0000}"/>
    <cellStyle name="Normal 2 3 5 2 3 3 2" xfId="13717" xr:uid="{00000000-0005-0000-0000-0000913A0000}"/>
    <cellStyle name="Normal 2 3 5 2 3 3 3" xfId="16246" xr:uid="{00000000-0005-0000-0000-0000923A0000}"/>
    <cellStyle name="Normal 2 3 5 2 3 4" xfId="11106" xr:uid="{00000000-0005-0000-0000-0000933A0000}"/>
    <cellStyle name="Normal 2 3 5 2 3 4 2" xfId="14699" xr:uid="{00000000-0005-0000-0000-0000943A0000}"/>
    <cellStyle name="Normal 2 3 5 2 3 4 3" xfId="16247" xr:uid="{00000000-0005-0000-0000-0000953A0000}"/>
    <cellStyle name="Normal 2 3 5 2 3 5" xfId="12664" xr:uid="{00000000-0005-0000-0000-0000963A0000}"/>
    <cellStyle name="Normal 2 3 5 2 3 6" xfId="16243" xr:uid="{00000000-0005-0000-0000-0000973A0000}"/>
    <cellStyle name="Normal 2 3 5 2 4" xfId="9351" xr:uid="{00000000-0005-0000-0000-0000983A0000}"/>
    <cellStyle name="Normal 2 3 5 2 4 2" xfId="10405" xr:uid="{00000000-0005-0000-0000-0000993A0000}"/>
    <cellStyle name="Normal 2 3 5 2 4 2 2" xfId="13999" xr:uid="{00000000-0005-0000-0000-00009A3A0000}"/>
    <cellStyle name="Normal 2 3 5 2 4 2 3" xfId="16249" xr:uid="{00000000-0005-0000-0000-00009B3A0000}"/>
    <cellStyle name="Normal 2 3 5 2 4 3" xfId="12946" xr:uid="{00000000-0005-0000-0000-00009C3A0000}"/>
    <cellStyle name="Normal 2 3 5 2 4 4" xfId="16248" xr:uid="{00000000-0005-0000-0000-00009D3A0000}"/>
    <cellStyle name="Normal 2 3 5 2 5" xfId="9867" xr:uid="{00000000-0005-0000-0000-00009E3A0000}"/>
    <cellStyle name="Normal 2 3 5 2 5 2" xfId="13461" xr:uid="{00000000-0005-0000-0000-00009F3A0000}"/>
    <cellStyle name="Normal 2 3 5 2 5 3" xfId="16250" xr:uid="{00000000-0005-0000-0000-0000A03A0000}"/>
    <cellStyle name="Normal 2 3 5 2 6" xfId="11103" xr:uid="{00000000-0005-0000-0000-0000A13A0000}"/>
    <cellStyle name="Normal 2 3 5 2 6 2" xfId="14696" xr:uid="{00000000-0005-0000-0000-0000A23A0000}"/>
    <cellStyle name="Normal 2 3 5 2 6 3" xfId="16251" xr:uid="{00000000-0005-0000-0000-0000A33A0000}"/>
    <cellStyle name="Normal 2 3 5 2 7" xfId="12408" xr:uid="{00000000-0005-0000-0000-0000A43A0000}"/>
    <cellStyle name="Normal 2 3 5 2 8" xfId="16232" xr:uid="{00000000-0005-0000-0000-0000A53A0000}"/>
    <cellStyle name="Normal 2 3 5 3" xfId="8815" xr:uid="{00000000-0005-0000-0000-0000A63A0000}"/>
    <cellStyle name="Normal 2 3 5 3 2" xfId="8943" xr:uid="{00000000-0005-0000-0000-0000A73A0000}"/>
    <cellStyle name="Normal 2 3 5 3 2 2" xfId="9199" xr:uid="{00000000-0005-0000-0000-0000A83A0000}"/>
    <cellStyle name="Normal 2 3 5 3 2 2 2" xfId="9767" xr:uid="{00000000-0005-0000-0000-0000A93A0000}"/>
    <cellStyle name="Normal 2 3 5 3 2 2 2 2" xfId="10821" xr:uid="{00000000-0005-0000-0000-0000AA3A0000}"/>
    <cellStyle name="Normal 2 3 5 3 2 2 2 2 2" xfId="14415" xr:uid="{00000000-0005-0000-0000-0000AB3A0000}"/>
    <cellStyle name="Normal 2 3 5 3 2 2 2 2 3" xfId="16256" xr:uid="{00000000-0005-0000-0000-0000AC3A0000}"/>
    <cellStyle name="Normal 2 3 5 3 2 2 2 3" xfId="13362" xr:uid="{00000000-0005-0000-0000-0000AD3A0000}"/>
    <cellStyle name="Normal 2 3 5 3 2 2 2 4" xfId="16255" xr:uid="{00000000-0005-0000-0000-0000AE3A0000}"/>
    <cellStyle name="Normal 2 3 5 3 2 2 3" xfId="10283" xr:uid="{00000000-0005-0000-0000-0000AF3A0000}"/>
    <cellStyle name="Normal 2 3 5 3 2 2 3 2" xfId="13877" xr:uid="{00000000-0005-0000-0000-0000B03A0000}"/>
    <cellStyle name="Normal 2 3 5 3 2 2 3 3" xfId="16257" xr:uid="{00000000-0005-0000-0000-0000B13A0000}"/>
    <cellStyle name="Normal 2 3 5 3 2 2 4" xfId="11109" xr:uid="{00000000-0005-0000-0000-0000B23A0000}"/>
    <cellStyle name="Normal 2 3 5 3 2 2 4 2" xfId="14702" xr:uid="{00000000-0005-0000-0000-0000B33A0000}"/>
    <cellStyle name="Normal 2 3 5 3 2 2 4 3" xfId="16258" xr:uid="{00000000-0005-0000-0000-0000B43A0000}"/>
    <cellStyle name="Normal 2 3 5 3 2 2 5" xfId="12824" xr:uid="{00000000-0005-0000-0000-0000B53A0000}"/>
    <cellStyle name="Normal 2 3 5 3 2 2 6" xfId="16254" xr:uid="{00000000-0005-0000-0000-0000B63A0000}"/>
    <cellStyle name="Normal 2 3 5 3 2 3" xfId="9511" xr:uid="{00000000-0005-0000-0000-0000B73A0000}"/>
    <cellStyle name="Normal 2 3 5 3 2 3 2" xfId="10565" xr:uid="{00000000-0005-0000-0000-0000B83A0000}"/>
    <cellStyle name="Normal 2 3 5 3 2 3 2 2" xfId="14159" xr:uid="{00000000-0005-0000-0000-0000B93A0000}"/>
    <cellStyle name="Normal 2 3 5 3 2 3 2 3" xfId="16260" xr:uid="{00000000-0005-0000-0000-0000BA3A0000}"/>
    <cellStyle name="Normal 2 3 5 3 2 3 3" xfId="13106" xr:uid="{00000000-0005-0000-0000-0000BB3A0000}"/>
    <cellStyle name="Normal 2 3 5 3 2 3 4" xfId="16259" xr:uid="{00000000-0005-0000-0000-0000BC3A0000}"/>
    <cellStyle name="Normal 2 3 5 3 2 4" xfId="10027" xr:uid="{00000000-0005-0000-0000-0000BD3A0000}"/>
    <cellStyle name="Normal 2 3 5 3 2 4 2" xfId="13621" xr:uid="{00000000-0005-0000-0000-0000BE3A0000}"/>
    <cellStyle name="Normal 2 3 5 3 2 4 3" xfId="16261" xr:uid="{00000000-0005-0000-0000-0000BF3A0000}"/>
    <cellStyle name="Normal 2 3 5 3 2 5" xfId="11108" xr:uid="{00000000-0005-0000-0000-0000C03A0000}"/>
    <cellStyle name="Normal 2 3 5 3 2 5 2" xfId="14701" xr:uid="{00000000-0005-0000-0000-0000C13A0000}"/>
    <cellStyle name="Normal 2 3 5 3 2 5 3" xfId="16262" xr:uid="{00000000-0005-0000-0000-0000C23A0000}"/>
    <cellStyle name="Normal 2 3 5 3 2 6" xfId="12568" xr:uid="{00000000-0005-0000-0000-0000C33A0000}"/>
    <cellStyle name="Normal 2 3 5 3 2 7" xfId="16253" xr:uid="{00000000-0005-0000-0000-0000C43A0000}"/>
    <cellStyle name="Normal 2 3 5 3 3" xfId="9071" xr:uid="{00000000-0005-0000-0000-0000C53A0000}"/>
    <cellStyle name="Normal 2 3 5 3 3 2" xfId="9639" xr:uid="{00000000-0005-0000-0000-0000C63A0000}"/>
    <cellStyle name="Normal 2 3 5 3 3 2 2" xfId="10693" xr:uid="{00000000-0005-0000-0000-0000C73A0000}"/>
    <cellStyle name="Normal 2 3 5 3 3 2 2 2" xfId="14287" xr:uid="{00000000-0005-0000-0000-0000C83A0000}"/>
    <cellStyle name="Normal 2 3 5 3 3 2 2 3" xfId="16265" xr:uid="{00000000-0005-0000-0000-0000C93A0000}"/>
    <cellStyle name="Normal 2 3 5 3 3 2 3" xfId="13234" xr:uid="{00000000-0005-0000-0000-0000CA3A0000}"/>
    <cellStyle name="Normal 2 3 5 3 3 2 4" xfId="16264" xr:uid="{00000000-0005-0000-0000-0000CB3A0000}"/>
    <cellStyle name="Normal 2 3 5 3 3 3" xfId="10155" xr:uid="{00000000-0005-0000-0000-0000CC3A0000}"/>
    <cellStyle name="Normal 2 3 5 3 3 3 2" xfId="13749" xr:uid="{00000000-0005-0000-0000-0000CD3A0000}"/>
    <cellStyle name="Normal 2 3 5 3 3 3 3" xfId="16266" xr:uid="{00000000-0005-0000-0000-0000CE3A0000}"/>
    <cellStyle name="Normal 2 3 5 3 3 4" xfId="11110" xr:uid="{00000000-0005-0000-0000-0000CF3A0000}"/>
    <cellStyle name="Normal 2 3 5 3 3 4 2" xfId="14703" xr:uid="{00000000-0005-0000-0000-0000D03A0000}"/>
    <cellStyle name="Normal 2 3 5 3 3 4 3" xfId="16267" xr:uid="{00000000-0005-0000-0000-0000D13A0000}"/>
    <cellStyle name="Normal 2 3 5 3 3 5" xfId="12696" xr:uid="{00000000-0005-0000-0000-0000D23A0000}"/>
    <cellStyle name="Normal 2 3 5 3 3 6" xfId="16263" xr:uid="{00000000-0005-0000-0000-0000D33A0000}"/>
    <cellStyle name="Normal 2 3 5 3 4" xfId="9383" xr:uid="{00000000-0005-0000-0000-0000D43A0000}"/>
    <cellStyle name="Normal 2 3 5 3 4 2" xfId="10437" xr:uid="{00000000-0005-0000-0000-0000D53A0000}"/>
    <cellStyle name="Normal 2 3 5 3 4 2 2" xfId="14031" xr:uid="{00000000-0005-0000-0000-0000D63A0000}"/>
    <cellStyle name="Normal 2 3 5 3 4 2 3" xfId="16269" xr:uid="{00000000-0005-0000-0000-0000D73A0000}"/>
    <cellStyle name="Normal 2 3 5 3 4 3" xfId="12978" xr:uid="{00000000-0005-0000-0000-0000D83A0000}"/>
    <cellStyle name="Normal 2 3 5 3 4 4" xfId="16268" xr:uid="{00000000-0005-0000-0000-0000D93A0000}"/>
    <cellStyle name="Normal 2 3 5 3 5" xfId="9899" xr:uid="{00000000-0005-0000-0000-0000DA3A0000}"/>
    <cellStyle name="Normal 2 3 5 3 5 2" xfId="13493" xr:uid="{00000000-0005-0000-0000-0000DB3A0000}"/>
    <cellStyle name="Normal 2 3 5 3 5 3" xfId="16270" xr:uid="{00000000-0005-0000-0000-0000DC3A0000}"/>
    <cellStyle name="Normal 2 3 5 3 6" xfId="11107" xr:uid="{00000000-0005-0000-0000-0000DD3A0000}"/>
    <cellStyle name="Normal 2 3 5 3 6 2" xfId="14700" xr:uid="{00000000-0005-0000-0000-0000DE3A0000}"/>
    <cellStyle name="Normal 2 3 5 3 6 3" xfId="16271" xr:uid="{00000000-0005-0000-0000-0000DF3A0000}"/>
    <cellStyle name="Normal 2 3 5 3 7" xfId="12440" xr:uid="{00000000-0005-0000-0000-0000E03A0000}"/>
    <cellStyle name="Normal 2 3 5 3 8" xfId="16252" xr:uid="{00000000-0005-0000-0000-0000E13A0000}"/>
    <cellStyle name="Normal 2 3 5 4" xfId="8847" xr:uid="{00000000-0005-0000-0000-0000E23A0000}"/>
    <cellStyle name="Normal 2 3 5 4 2" xfId="8975" xr:uid="{00000000-0005-0000-0000-0000E33A0000}"/>
    <cellStyle name="Normal 2 3 5 4 2 2" xfId="9231" xr:uid="{00000000-0005-0000-0000-0000E43A0000}"/>
    <cellStyle name="Normal 2 3 5 4 2 2 2" xfId="9799" xr:uid="{00000000-0005-0000-0000-0000E53A0000}"/>
    <cellStyle name="Normal 2 3 5 4 2 2 2 2" xfId="10853" xr:uid="{00000000-0005-0000-0000-0000E63A0000}"/>
    <cellStyle name="Normal 2 3 5 4 2 2 2 2 2" xfId="14447" xr:uid="{00000000-0005-0000-0000-0000E73A0000}"/>
    <cellStyle name="Normal 2 3 5 4 2 2 2 2 3" xfId="16276" xr:uid="{00000000-0005-0000-0000-0000E83A0000}"/>
    <cellStyle name="Normal 2 3 5 4 2 2 2 3" xfId="13394" xr:uid="{00000000-0005-0000-0000-0000E93A0000}"/>
    <cellStyle name="Normal 2 3 5 4 2 2 2 4" xfId="16275" xr:uid="{00000000-0005-0000-0000-0000EA3A0000}"/>
    <cellStyle name="Normal 2 3 5 4 2 2 3" xfId="10315" xr:uid="{00000000-0005-0000-0000-0000EB3A0000}"/>
    <cellStyle name="Normal 2 3 5 4 2 2 3 2" xfId="13909" xr:uid="{00000000-0005-0000-0000-0000EC3A0000}"/>
    <cellStyle name="Normal 2 3 5 4 2 2 3 3" xfId="16277" xr:uid="{00000000-0005-0000-0000-0000ED3A0000}"/>
    <cellStyle name="Normal 2 3 5 4 2 2 4" xfId="11113" xr:uid="{00000000-0005-0000-0000-0000EE3A0000}"/>
    <cellStyle name="Normal 2 3 5 4 2 2 4 2" xfId="14706" xr:uid="{00000000-0005-0000-0000-0000EF3A0000}"/>
    <cellStyle name="Normal 2 3 5 4 2 2 4 3" xfId="16278" xr:uid="{00000000-0005-0000-0000-0000F03A0000}"/>
    <cellStyle name="Normal 2 3 5 4 2 2 5" xfId="12856" xr:uid="{00000000-0005-0000-0000-0000F13A0000}"/>
    <cellStyle name="Normal 2 3 5 4 2 2 6" xfId="16274" xr:uid="{00000000-0005-0000-0000-0000F23A0000}"/>
    <cellStyle name="Normal 2 3 5 4 2 3" xfId="9543" xr:uid="{00000000-0005-0000-0000-0000F33A0000}"/>
    <cellStyle name="Normal 2 3 5 4 2 3 2" xfId="10597" xr:uid="{00000000-0005-0000-0000-0000F43A0000}"/>
    <cellStyle name="Normal 2 3 5 4 2 3 2 2" xfId="14191" xr:uid="{00000000-0005-0000-0000-0000F53A0000}"/>
    <cellStyle name="Normal 2 3 5 4 2 3 2 3" xfId="16280" xr:uid="{00000000-0005-0000-0000-0000F63A0000}"/>
    <cellStyle name="Normal 2 3 5 4 2 3 3" xfId="13138" xr:uid="{00000000-0005-0000-0000-0000F73A0000}"/>
    <cellStyle name="Normal 2 3 5 4 2 3 4" xfId="16279" xr:uid="{00000000-0005-0000-0000-0000F83A0000}"/>
    <cellStyle name="Normal 2 3 5 4 2 4" xfId="10059" xr:uid="{00000000-0005-0000-0000-0000F93A0000}"/>
    <cellStyle name="Normal 2 3 5 4 2 4 2" xfId="13653" xr:uid="{00000000-0005-0000-0000-0000FA3A0000}"/>
    <cellStyle name="Normal 2 3 5 4 2 4 3" xfId="16281" xr:uid="{00000000-0005-0000-0000-0000FB3A0000}"/>
    <cellStyle name="Normal 2 3 5 4 2 5" xfId="11112" xr:uid="{00000000-0005-0000-0000-0000FC3A0000}"/>
    <cellStyle name="Normal 2 3 5 4 2 5 2" xfId="14705" xr:uid="{00000000-0005-0000-0000-0000FD3A0000}"/>
    <cellStyle name="Normal 2 3 5 4 2 5 3" xfId="16282" xr:uid="{00000000-0005-0000-0000-0000FE3A0000}"/>
    <cellStyle name="Normal 2 3 5 4 2 6" xfId="12600" xr:uid="{00000000-0005-0000-0000-0000FF3A0000}"/>
    <cellStyle name="Normal 2 3 5 4 2 7" xfId="16273" xr:uid="{00000000-0005-0000-0000-0000003B0000}"/>
    <cellStyle name="Normal 2 3 5 4 3" xfId="9103" xr:uid="{00000000-0005-0000-0000-0000013B0000}"/>
    <cellStyle name="Normal 2 3 5 4 3 2" xfId="9671" xr:uid="{00000000-0005-0000-0000-0000023B0000}"/>
    <cellStyle name="Normal 2 3 5 4 3 2 2" xfId="10725" xr:uid="{00000000-0005-0000-0000-0000033B0000}"/>
    <cellStyle name="Normal 2 3 5 4 3 2 2 2" xfId="14319" xr:uid="{00000000-0005-0000-0000-0000043B0000}"/>
    <cellStyle name="Normal 2 3 5 4 3 2 2 3" xfId="16285" xr:uid="{00000000-0005-0000-0000-0000053B0000}"/>
    <cellStyle name="Normal 2 3 5 4 3 2 3" xfId="13266" xr:uid="{00000000-0005-0000-0000-0000063B0000}"/>
    <cellStyle name="Normal 2 3 5 4 3 2 4" xfId="16284" xr:uid="{00000000-0005-0000-0000-0000073B0000}"/>
    <cellStyle name="Normal 2 3 5 4 3 3" xfId="10187" xr:uid="{00000000-0005-0000-0000-0000083B0000}"/>
    <cellStyle name="Normal 2 3 5 4 3 3 2" xfId="13781" xr:uid="{00000000-0005-0000-0000-0000093B0000}"/>
    <cellStyle name="Normal 2 3 5 4 3 3 3" xfId="16286" xr:uid="{00000000-0005-0000-0000-00000A3B0000}"/>
    <cellStyle name="Normal 2 3 5 4 3 4" xfId="11114" xr:uid="{00000000-0005-0000-0000-00000B3B0000}"/>
    <cellStyle name="Normal 2 3 5 4 3 4 2" xfId="14707" xr:uid="{00000000-0005-0000-0000-00000C3B0000}"/>
    <cellStyle name="Normal 2 3 5 4 3 4 3" xfId="16287" xr:uid="{00000000-0005-0000-0000-00000D3B0000}"/>
    <cellStyle name="Normal 2 3 5 4 3 5" xfId="12728" xr:uid="{00000000-0005-0000-0000-00000E3B0000}"/>
    <cellStyle name="Normal 2 3 5 4 3 6" xfId="16283" xr:uid="{00000000-0005-0000-0000-00000F3B0000}"/>
    <cellStyle name="Normal 2 3 5 4 4" xfId="9415" xr:uid="{00000000-0005-0000-0000-0000103B0000}"/>
    <cellStyle name="Normal 2 3 5 4 4 2" xfId="10469" xr:uid="{00000000-0005-0000-0000-0000113B0000}"/>
    <cellStyle name="Normal 2 3 5 4 4 2 2" xfId="14063" xr:uid="{00000000-0005-0000-0000-0000123B0000}"/>
    <cellStyle name="Normal 2 3 5 4 4 2 3" xfId="16289" xr:uid="{00000000-0005-0000-0000-0000133B0000}"/>
    <cellStyle name="Normal 2 3 5 4 4 3" xfId="13010" xr:uid="{00000000-0005-0000-0000-0000143B0000}"/>
    <cellStyle name="Normal 2 3 5 4 4 4" xfId="16288" xr:uid="{00000000-0005-0000-0000-0000153B0000}"/>
    <cellStyle name="Normal 2 3 5 4 5" xfId="9931" xr:uid="{00000000-0005-0000-0000-0000163B0000}"/>
    <cellStyle name="Normal 2 3 5 4 5 2" xfId="13525" xr:uid="{00000000-0005-0000-0000-0000173B0000}"/>
    <cellStyle name="Normal 2 3 5 4 5 3" xfId="16290" xr:uid="{00000000-0005-0000-0000-0000183B0000}"/>
    <cellStyle name="Normal 2 3 5 4 6" xfId="11111" xr:uid="{00000000-0005-0000-0000-0000193B0000}"/>
    <cellStyle name="Normal 2 3 5 4 6 2" xfId="14704" xr:uid="{00000000-0005-0000-0000-00001A3B0000}"/>
    <cellStyle name="Normal 2 3 5 4 6 3" xfId="16291" xr:uid="{00000000-0005-0000-0000-00001B3B0000}"/>
    <cellStyle name="Normal 2 3 5 4 7" xfId="12472" xr:uid="{00000000-0005-0000-0000-00001C3B0000}"/>
    <cellStyle name="Normal 2 3 5 4 8" xfId="16272" xr:uid="{00000000-0005-0000-0000-00001D3B0000}"/>
    <cellStyle name="Normal 2 3 5 5" xfId="8878" xr:uid="{00000000-0005-0000-0000-00001E3B0000}"/>
    <cellStyle name="Normal 2 3 5 5 2" xfId="9134" xr:uid="{00000000-0005-0000-0000-00001F3B0000}"/>
    <cellStyle name="Normal 2 3 5 5 2 2" xfId="9702" xr:uid="{00000000-0005-0000-0000-0000203B0000}"/>
    <cellStyle name="Normal 2 3 5 5 2 2 2" xfId="10756" xr:uid="{00000000-0005-0000-0000-0000213B0000}"/>
    <cellStyle name="Normal 2 3 5 5 2 2 2 2" xfId="14350" xr:uid="{00000000-0005-0000-0000-0000223B0000}"/>
    <cellStyle name="Normal 2 3 5 5 2 2 2 3" xfId="16295" xr:uid="{00000000-0005-0000-0000-0000233B0000}"/>
    <cellStyle name="Normal 2 3 5 5 2 2 3" xfId="13297" xr:uid="{00000000-0005-0000-0000-0000243B0000}"/>
    <cellStyle name="Normal 2 3 5 5 2 2 4" xfId="16294" xr:uid="{00000000-0005-0000-0000-0000253B0000}"/>
    <cellStyle name="Normal 2 3 5 5 2 3" xfId="10218" xr:uid="{00000000-0005-0000-0000-0000263B0000}"/>
    <cellStyle name="Normal 2 3 5 5 2 3 2" xfId="13812" xr:uid="{00000000-0005-0000-0000-0000273B0000}"/>
    <cellStyle name="Normal 2 3 5 5 2 3 3" xfId="16296" xr:uid="{00000000-0005-0000-0000-0000283B0000}"/>
    <cellStyle name="Normal 2 3 5 5 2 4" xfId="11116" xr:uid="{00000000-0005-0000-0000-0000293B0000}"/>
    <cellStyle name="Normal 2 3 5 5 2 4 2" xfId="14709" xr:uid="{00000000-0005-0000-0000-00002A3B0000}"/>
    <cellStyle name="Normal 2 3 5 5 2 4 3" xfId="16297" xr:uid="{00000000-0005-0000-0000-00002B3B0000}"/>
    <cellStyle name="Normal 2 3 5 5 2 5" xfId="12759" xr:uid="{00000000-0005-0000-0000-00002C3B0000}"/>
    <cellStyle name="Normal 2 3 5 5 2 6" xfId="16293" xr:uid="{00000000-0005-0000-0000-00002D3B0000}"/>
    <cellStyle name="Normal 2 3 5 5 3" xfId="9446" xr:uid="{00000000-0005-0000-0000-00002E3B0000}"/>
    <cellStyle name="Normal 2 3 5 5 3 2" xfId="10500" xr:uid="{00000000-0005-0000-0000-00002F3B0000}"/>
    <cellStyle name="Normal 2 3 5 5 3 2 2" xfId="14094" xr:uid="{00000000-0005-0000-0000-0000303B0000}"/>
    <cellStyle name="Normal 2 3 5 5 3 2 3" xfId="16299" xr:uid="{00000000-0005-0000-0000-0000313B0000}"/>
    <cellStyle name="Normal 2 3 5 5 3 3" xfId="13041" xr:uid="{00000000-0005-0000-0000-0000323B0000}"/>
    <cellStyle name="Normal 2 3 5 5 3 4" xfId="16298" xr:uid="{00000000-0005-0000-0000-0000333B0000}"/>
    <cellStyle name="Normal 2 3 5 5 4" xfId="9962" xr:uid="{00000000-0005-0000-0000-0000343B0000}"/>
    <cellStyle name="Normal 2 3 5 5 4 2" xfId="13556" xr:uid="{00000000-0005-0000-0000-0000353B0000}"/>
    <cellStyle name="Normal 2 3 5 5 4 3" xfId="16300" xr:uid="{00000000-0005-0000-0000-0000363B0000}"/>
    <cellStyle name="Normal 2 3 5 5 5" xfId="11115" xr:uid="{00000000-0005-0000-0000-0000373B0000}"/>
    <cellStyle name="Normal 2 3 5 5 5 2" xfId="14708" xr:uid="{00000000-0005-0000-0000-0000383B0000}"/>
    <cellStyle name="Normal 2 3 5 5 5 3" xfId="16301" xr:uid="{00000000-0005-0000-0000-0000393B0000}"/>
    <cellStyle name="Normal 2 3 5 5 6" xfId="12503" xr:uid="{00000000-0005-0000-0000-00003A3B0000}"/>
    <cellStyle name="Normal 2 3 5 5 7" xfId="16292" xr:uid="{00000000-0005-0000-0000-00003B3B0000}"/>
    <cellStyle name="Normal 2 3 5 6" xfId="9006" xr:uid="{00000000-0005-0000-0000-00003C3B0000}"/>
    <cellStyle name="Normal 2 3 5 6 2" xfId="9574" xr:uid="{00000000-0005-0000-0000-00003D3B0000}"/>
    <cellStyle name="Normal 2 3 5 6 2 2" xfId="10628" xr:uid="{00000000-0005-0000-0000-00003E3B0000}"/>
    <cellStyle name="Normal 2 3 5 6 2 2 2" xfId="14222" xr:uid="{00000000-0005-0000-0000-00003F3B0000}"/>
    <cellStyle name="Normal 2 3 5 6 2 2 3" xfId="16304" xr:uid="{00000000-0005-0000-0000-0000403B0000}"/>
    <cellStyle name="Normal 2 3 5 6 2 3" xfId="13169" xr:uid="{00000000-0005-0000-0000-0000413B0000}"/>
    <cellStyle name="Normal 2 3 5 6 2 4" xfId="16303" xr:uid="{00000000-0005-0000-0000-0000423B0000}"/>
    <cellStyle name="Normal 2 3 5 6 3" xfId="10090" xr:uid="{00000000-0005-0000-0000-0000433B0000}"/>
    <cellStyle name="Normal 2 3 5 6 3 2" xfId="13684" xr:uid="{00000000-0005-0000-0000-0000443B0000}"/>
    <cellStyle name="Normal 2 3 5 6 3 3" xfId="16305" xr:uid="{00000000-0005-0000-0000-0000453B0000}"/>
    <cellStyle name="Normal 2 3 5 6 4" xfId="11117" xr:uid="{00000000-0005-0000-0000-0000463B0000}"/>
    <cellStyle name="Normal 2 3 5 6 4 2" xfId="14710" xr:uid="{00000000-0005-0000-0000-0000473B0000}"/>
    <cellStyle name="Normal 2 3 5 6 4 3" xfId="16306" xr:uid="{00000000-0005-0000-0000-0000483B0000}"/>
    <cellStyle name="Normal 2 3 5 6 5" xfId="12631" xr:uid="{00000000-0005-0000-0000-0000493B0000}"/>
    <cellStyle name="Normal 2 3 5 6 6" xfId="16302" xr:uid="{00000000-0005-0000-0000-00004A3B0000}"/>
    <cellStyle name="Normal 2 3 5 7" xfId="9318" xr:uid="{00000000-0005-0000-0000-00004B3B0000}"/>
    <cellStyle name="Normal 2 3 5 7 2" xfId="10372" xr:uid="{00000000-0005-0000-0000-00004C3B0000}"/>
    <cellStyle name="Normal 2 3 5 7 2 2" xfId="13966" xr:uid="{00000000-0005-0000-0000-00004D3B0000}"/>
    <cellStyle name="Normal 2 3 5 7 2 3" xfId="16308" xr:uid="{00000000-0005-0000-0000-00004E3B0000}"/>
    <cellStyle name="Normal 2 3 5 7 3" xfId="12913" xr:uid="{00000000-0005-0000-0000-00004F3B0000}"/>
    <cellStyle name="Normal 2 3 5 7 4" xfId="16307" xr:uid="{00000000-0005-0000-0000-0000503B0000}"/>
    <cellStyle name="Normal 2 3 5 8" xfId="9834" xr:uid="{00000000-0005-0000-0000-0000513B0000}"/>
    <cellStyle name="Normal 2 3 5 8 2" xfId="13428" xr:uid="{00000000-0005-0000-0000-0000523B0000}"/>
    <cellStyle name="Normal 2 3 5 8 3" xfId="16309" xr:uid="{00000000-0005-0000-0000-0000533B0000}"/>
    <cellStyle name="Normal 2 3 5 9" xfId="11102" xr:uid="{00000000-0005-0000-0000-0000543B0000}"/>
    <cellStyle name="Normal 2 3 5 9 2" xfId="14695" xr:uid="{00000000-0005-0000-0000-0000553B0000}"/>
    <cellStyle name="Normal 2 3 5 9 3" xfId="16310" xr:uid="{00000000-0005-0000-0000-0000563B0000}"/>
    <cellStyle name="Normal 2 3 6" xfId="8767" xr:uid="{00000000-0005-0000-0000-0000573B0000}"/>
    <cellStyle name="Normal 2 3 6 2" xfId="8895" xr:uid="{00000000-0005-0000-0000-0000583B0000}"/>
    <cellStyle name="Normal 2 3 6 2 2" xfId="9151" xr:uid="{00000000-0005-0000-0000-0000593B0000}"/>
    <cellStyle name="Normal 2 3 6 2 2 2" xfId="9719" xr:uid="{00000000-0005-0000-0000-00005A3B0000}"/>
    <cellStyle name="Normal 2 3 6 2 2 2 2" xfId="10773" xr:uid="{00000000-0005-0000-0000-00005B3B0000}"/>
    <cellStyle name="Normal 2 3 6 2 2 2 2 2" xfId="14367" xr:uid="{00000000-0005-0000-0000-00005C3B0000}"/>
    <cellStyle name="Normal 2 3 6 2 2 2 2 3" xfId="16315" xr:uid="{00000000-0005-0000-0000-00005D3B0000}"/>
    <cellStyle name="Normal 2 3 6 2 2 2 3" xfId="13314" xr:uid="{00000000-0005-0000-0000-00005E3B0000}"/>
    <cellStyle name="Normal 2 3 6 2 2 2 4" xfId="16314" xr:uid="{00000000-0005-0000-0000-00005F3B0000}"/>
    <cellStyle name="Normal 2 3 6 2 2 3" xfId="10235" xr:uid="{00000000-0005-0000-0000-0000603B0000}"/>
    <cellStyle name="Normal 2 3 6 2 2 3 2" xfId="13829" xr:uid="{00000000-0005-0000-0000-0000613B0000}"/>
    <cellStyle name="Normal 2 3 6 2 2 3 3" xfId="16316" xr:uid="{00000000-0005-0000-0000-0000623B0000}"/>
    <cellStyle name="Normal 2 3 6 2 2 4" xfId="11120" xr:uid="{00000000-0005-0000-0000-0000633B0000}"/>
    <cellStyle name="Normal 2 3 6 2 2 4 2" xfId="14713" xr:uid="{00000000-0005-0000-0000-0000643B0000}"/>
    <cellStyle name="Normal 2 3 6 2 2 4 3" xfId="16317" xr:uid="{00000000-0005-0000-0000-0000653B0000}"/>
    <cellStyle name="Normal 2 3 6 2 2 5" xfId="12776" xr:uid="{00000000-0005-0000-0000-0000663B0000}"/>
    <cellStyle name="Normal 2 3 6 2 2 6" xfId="16313" xr:uid="{00000000-0005-0000-0000-0000673B0000}"/>
    <cellStyle name="Normal 2 3 6 2 3" xfId="9463" xr:uid="{00000000-0005-0000-0000-0000683B0000}"/>
    <cellStyle name="Normal 2 3 6 2 3 2" xfId="10517" xr:uid="{00000000-0005-0000-0000-0000693B0000}"/>
    <cellStyle name="Normal 2 3 6 2 3 2 2" xfId="14111" xr:uid="{00000000-0005-0000-0000-00006A3B0000}"/>
    <cellStyle name="Normal 2 3 6 2 3 2 3" xfId="16319" xr:uid="{00000000-0005-0000-0000-00006B3B0000}"/>
    <cellStyle name="Normal 2 3 6 2 3 3" xfId="13058" xr:uid="{00000000-0005-0000-0000-00006C3B0000}"/>
    <cellStyle name="Normal 2 3 6 2 3 4" xfId="16318" xr:uid="{00000000-0005-0000-0000-00006D3B0000}"/>
    <cellStyle name="Normal 2 3 6 2 4" xfId="9979" xr:uid="{00000000-0005-0000-0000-00006E3B0000}"/>
    <cellStyle name="Normal 2 3 6 2 4 2" xfId="13573" xr:uid="{00000000-0005-0000-0000-00006F3B0000}"/>
    <cellStyle name="Normal 2 3 6 2 4 3" xfId="16320" xr:uid="{00000000-0005-0000-0000-0000703B0000}"/>
    <cellStyle name="Normal 2 3 6 2 5" xfId="11119" xr:uid="{00000000-0005-0000-0000-0000713B0000}"/>
    <cellStyle name="Normal 2 3 6 2 5 2" xfId="14712" xr:uid="{00000000-0005-0000-0000-0000723B0000}"/>
    <cellStyle name="Normal 2 3 6 2 5 3" xfId="16321" xr:uid="{00000000-0005-0000-0000-0000733B0000}"/>
    <cellStyle name="Normal 2 3 6 2 6" xfId="12520" xr:uid="{00000000-0005-0000-0000-0000743B0000}"/>
    <cellStyle name="Normal 2 3 6 2 7" xfId="16312" xr:uid="{00000000-0005-0000-0000-0000753B0000}"/>
    <cellStyle name="Normal 2 3 6 3" xfId="9023" xr:uid="{00000000-0005-0000-0000-0000763B0000}"/>
    <cellStyle name="Normal 2 3 6 3 2" xfId="9591" xr:uid="{00000000-0005-0000-0000-0000773B0000}"/>
    <cellStyle name="Normal 2 3 6 3 2 2" xfId="10645" xr:uid="{00000000-0005-0000-0000-0000783B0000}"/>
    <cellStyle name="Normal 2 3 6 3 2 2 2" xfId="14239" xr:uid="{00000000-0005-0000-0000-0000793B0000}"/>
    <cellStyle name="Normal 2 3 6 3 2 2 3" xfId="16324" xr:uid="{00000000-0005-0000-0000-00007A3B0000}"/>
    <cellStyle name="Normal 2 3 6 3 2 3" xfId="13186" xr:uid="{00000000-0005-0000-0000-00007B3B0000}"/>
    <cellStyle name="Normal 2 3 6 3 2 4" xfId="16323" xr:uid="{00000000-0005-0000-0000-00007C3B0000}"/>
    <cellStyle name="Normal 2 3 6 3 3" xfId="10107" xr:uid="{00000000-0005-0000-0000-00007D3B0000}"/>
    <cellStyle name="Normal 2 3 6 3 3 2" xfId="13701" xr:uid="{00000000-0005-0000-0000-00007E3B0000}"/>
    <cellStyle name="Normal 2 3 6 3 3 3" xfId="16325" xr:uid="{00000000-0005-0000-0000-00007F3B0000}"/>
    <cellStyle name="Normal 2 3 6 3 4" xfId="11121" xr:uid="{00000000-0005-0000-0000-0000803B0000}"/>
    <cellStyle name="Normal 2 3 6 3 4 2" xfId="14714" xr:uid="{00000000-0005-0000-0000-0000813B0000}"/>
    <cellStyle name="Normal 2 3 6 3 4 3" xfId="16326" xr:uid="{00000000-0005-0000-0000-0000823B0000}"/>
    <cellStyle name="Normal 2 3 6 3 5" xfId="12648" xr:uid="{00000000-0005-0000-0000-0000833B0000}"/>
    <cellStyle name="Normal 2 3 6 3 6" xfId="16322" xr:uid="{00000000-0005-0000-0000-0000843B0000}"/>
    <cellStyle name="Normal 2 3 6 4" xfId="9335" xr:uid="{00000000-0005-0000-0000-0000853B0000}"/>
    <cellStyle name="Normal 2 3 6 4 2" xfId="10389" xr:uid="{00000000-0005-0000-0000-0000863B0000}"/>
    <cellStyle name="Normal 2 3 6 4 2 2" xfId="13983" xr:uid="{00000000-0005-0000-0000-0000873B0000}"/>
    <cellStyle name="Normal 2 3 6 4 2 3" xfId="16328" xr:uid="{00000000-0005-0000-0000-0000883B0000}"/>
    <cellStyle name="Normal 2 3 6 4 3" xfId="12930" xr:uid="{00000000-0005-0000-0000-0000893B0000}"/>
    <cellStyle name="Normal 2 3 6 4 4" xfId="16327" xr:uid="{00000000-0005-0000-0000-00008A3B0000}"/>
    <cellStyle name="Normal 2 3 6 5" xfId="9851" xr:uid="{00000000-0005-0000-0000-00008B3B0000}"/>
    <cellStyle name="Normal 2 3 6 5 2" xfId="13445" xr:uid="{00000000-0005-0000-0000-00008C3B0000}"/>
    <cellStyle name="Normal 2 3 6 5 3" xfId="16329" xr:uid="{00000000-0005-0000-0000-00008D3B0000}"/>
    <cellStyle name="Normal 2 3 6 6" xfId="11118" xr:uid="{00000000-0005-0000-0000-00008E3B0000}"/>
    <cellStyle name="Normal 2 3 6 6 2" xfId="14711" xr:uid="{00000000-0005-0000-0000-00008F3B0000}"/>
    <cellStyle name="Normal 2 3 6 6 3" xfId="16330" xr:uid="{00000000-0005-0000-0000-0000903B0000}"/>
    <cellStyle name="Normal 2 3 6 7" xfId="12392" xr:uid="{00000000-0005-0000-0000-0000913B0000}"/>
    <cellStyle name="Normal 2 3 6 8" xfId="16311" xr:uid="{00000000-0005-0000-0000-0000923B0000}"/>
    <cellStyle name="Normal 2 3 7" xfId="8799" xr:uid="{00000000-0005-0000-0000-0000933B0000}"/>
    <cellStyle name="Normal 2 3 7 2" xfId="8927" xr:uid="{00000000-0005-0000-0000-0000943B0000}"/>
    <cellStyle name="Normal 2 3 7 2 2" xfId="9183" xr:uid="{00000000-0005-0000-0000-0000953B0000}"/>
    <cellStyle name="Normal 2 3 7 2 2 2" xfId="9751" xr:uid="{00000000-0005-0000-0000-0000963B0000}"/>
    <cellStyle name="Normal 2 3 7 2 2 2 2" xfId="10805" xr:uid="{00000000-0005-0000-0000-0000973B0000}"/>
    <cellStyle name="Normal 2 3 7 2 2 2 2 2" xfId="14399" xr:uid="{00000000-0005-0000-0000-0000983B0000}"/>
    <cellStyle name="Normal 2 3 7 2 2 2 2 3" xfId="16335" xr:uid="{00000000-0005-0000-0000-0000993B0000}"/>
    <cellStyle name="Normal 2 3 7 2 2 2 3" xfId="13346" xr:uid="{00000000-0005-0000-0000-00009A3B0000}"/>
    <cellStyle name="Normal 2 3 7 2 2 2 4" xfId="16334" xr:uid="{00000000-0005-0000-0000-00009B3B0000}"/>
    <cellStyle name="Normal 2 3 7 2 2 3" xfId="10267" xr:uid="{00000000-0005-0000-0000-00009C3B0000}"/>
    <cellStyle name="Normal 2 3 7 2 2 3 2" xfId="13861" xr:uid="{00000000-0005-0000-0000-00009D3B0000}"/>
    <cellStyle name="Normal 2 3 7 2 2 3 3" xfId="16336" xr:uid="{00000000-0005-0000-0000-00009E3B0000}"/>
    <cellStyle name="Normal 2 3 7 2 2 4" xfId="11124" xr:uid="{00000000-0005-0000-0000-00009F3B0000}"/>
    <cellStyle name="Normal 2 3 7 2 2 4 2" xfId="14717" xr:uid="{00000000-0005-0000-0000-0000A03B0000}"/>
    <cellStyle name="Normal 2 3 7 2 2 4 3" xfId="16337" xr:uid="{00000000-0005-0000-0000-0000A13B0000}"/>
    <cellStyle name="Normal 2 3 7 2 2 5" xfId="12808" xr:uid="{00000000-0005-0000-0000-0000A23B0000}"/>
    <cellStyle name="Normal 2 3 7 2 2 6" xfId="16333" xr:uid="{00000000-0005-0000-0000-0000A33B0000}"/>
    <cellStyle name="Normal 2 3 7 2 3" xfId="9495" xr:uid="{00000000-0005-0000-0000-0000A43B0000}"/>
    <cellStyle name="Normal 2 3 7 2 3 2" xfId="10549" xr:uid="{00000000-0005-0000-0000-0000A53B0000}"/>
    <cellStyle name="Normal 2 3 7 2 3 2 2" xfId="14143" xr:uid="{00000000-0005-0000-0000-0000A63B0000}"/>
    <cellStyle name="Normal 2 3 7 2 3 2 3" xfId="16339" xr:uid="{00000000-0005-0000-0000-0000A73B0000}"/>
    <cellStyle name="Normal 2 3 7 2 3 3" xfId="13090" xr:uid="{00000000-0005-0000-0000-0000A83B0000}"/>
    <cellStyle name="Normal 2 3 7 2 3 4" xfId="16338" xr:uid="{00000000-0005-0000-0000-0000A93B0000}"/>
    <cellStyle name="Normal 2 3 7 2 4" xfId="10011" xr:uid="{00000000-0005-0000-0000-0000AA3B0000}"/>
    <cellStyle name="Normal 2 3 7 2 4 2" xfId="13605" xr:uid="{00000000-0005-0000-0000-0000AB3B0000}"/>
    <cellStyle name="Normal 2 3 7 2 4 3" xfId="16340" xr:uid="{00000000-0005-0000-0000-0000AC3B0000}"/>
    <cellStyle name="Normal 2 3 7 2 5" xfId="11123" xr:uid="{00000000-0005-0000-0000-0000AD3B0000}"/>
    <cellStyle name="Normal 2 3 7 2 5 2" xfId="14716" xr:uid="{00000000-0005-0000-0000-0000AE3B0000}"/>
    <cellStyle name="Normal 2 3 7 2 5 3" xfId="16341" xr:uid="{00000000-0005-0000-0000-0000AF3B0000}"/>
    <cellStyle name="Normal 2 3 7 2 6" xfId="12552" xr:uid="{00000000-0005-0000-0000-0000B03B0000}"/>
    <cellStyle name="Normal 2 3 7 2 7" xfId="16332" xr:uid="{00000000-0005-0000-0000-0000B13B0000}"/>
    <cellStyle name="Normal 2 3 7 3" xfId="9055" xr:uid="{00000000-0005-0000-0000-0000B23B0000}"/>
    <cellStyle name="Normal 2 3 7 3 2" xfId="9623" xr:uid="{00000000-0005-0000-0000-0000B33B0000}"/>
    <cellStyle name="Normal 2 3 7 3 2 2" xfId="10677" xr:uid="{00000000-0005-0000-0000-0000B43B0000}"/>
    <cellStyle name="Normal 2 3 7 3 2 2 2" xfId="14271" xr:uid="{00000000-0005-0000-0000-0000B53B0000}"/>
    <cellStyle name="Normal 2 3 7 3 2 2 3" xfId="16344" xr:uid="{00000000-0005-0000-0000-0000B63B0000}"/>
    <cellStyle name="Normal 2 3 7 3 2 3" xfId="13218" xr:uid="{00000000-0005-0000-0000-0000B73B0000}"/>
    <cellStyle name="Normal 2 3 7 3 2 4" xfId="16343" xr:uid="{00000000-0005-0000-0000-0000B83B0000}"/>
    <cellStyle name="Normal 2 3 7 3 3" xfId="10139" xr:uid="{00000000-0005-0000-0000-0000B93B0000}"/>
    <cellStyle name="Normal 2 3 7 3 3 2" xfId="13733" xr:uid="{00000000-0005-0000-0000-0000BA3B0000}"/>
    <cellStyle name="Normal 2 3 7 3 3 3" xfId="16345" xr:uid="{00000000-0005-0000-0000-0000BB3B0000}"/>
    <cellStyle name="Normal 2 3 7 3 4" xfId="11125" xr:uid="{00000000-0005-0000-0000-0000BC3B0000}"/>
    <cellStyle name="Normal 2 3 7 3 4 2" xfId="14718" xr:uid="{00000000-0005-0000-0000-0000BD3B0000}"/>
    <cellStyle name="Normal 2 3 7 3 4 3" xfId="16346" xr:uid="{00000000-0005-0000-0000-0000BE3B0000}"/>
    <cellStyle name="Normal 2 3 7 3 5" xfId="12680" xr:uid="{00000000-0005-0000-0000-0000BF3B0000}"/>
    <cellStyle name="Normal 2 3 7 3 6" xfId="16342" xr:uid="{00000000-0005-0000-0000-0000C03B0000}"/>
    <cellStyle name="Normal 2 3 7 4" xfId="9367" xr:uid="{00000000-0005-0000-0000-0000C13B0000}"/>
    <cellStyle name="Normal 2 3 7 4 2" xfId="10421" xr:uid="{00000000-0005-0000-0000-0000C23B0000}"/>
    <cellStyle name="Normal 2 3 7 4 2 2" xfId="14015" xr:uid="{00000000-0005-0000-0000-0000C33B0000}"/>
    <cellStyle name="Normal 2 3 7 4 2 3" xfId="16348" xr:uid="{00000000-0005-0000-0000-0000C43B0000}"/>
    <cellStyle name="Normal 2 3 7 4 3" xfId="12962" xr:uid="{00000000-0005-0000-0000-0000C53B0000}"/>
    <cellStyle name="Normal 2 3 7 4 4" xfId="16347" xr:uid="{00000000-0005-0000-0000-0000C63B0000}"/>
    <cellStyle name="Normal 2 3 7 5" xfId="9883" xr:uid="{00000000-0005-0000-0000-0000C73B0000}"/>
    <cellStyle name="Normal 2 3 7 5 2" xfId="13477" xr:uid="{00000000-0005-0000-0000-0000C83B0000}"/>
    <cellStyle name="Normal 2 3 7 5 3" xfId="16349" xr:uid="{00000000-0005-0000-0000-0000C93B0000}"/>
    <cellStyle name="Normal 2 3 7 6" xfId="11122" xr:uid="{00000000-0005-0000-0000-0000CA3B0000}"/>
    <cellStyle name="Normal 2 3 7 6 2" xfId="14715" xr:uid="{00000000-0005-0000-0000-0000CB3B0000}"/>
    <cellStyle name="Normal 2 3 7 6 3" xfId="16350" xr:uid="{00000000-0005-0000-0000-0000CC3B0000}"/>
    <cellStyle name="Normal 2 3 7 7" xfId="12424" xr:uid="{00000000-0005-0000-0000-0000CD3B0000}"/>
    <cellStyle name="Normal 2 3 7 8" xfId="16331" xr:uid="{00000000-0005-0000-0000-0000CE3B0000}"/>
    <cellStyle name="Normal 2 3 8" xfId="8831" xr:uid="{00000000-0005-0000-0000-0000CF3B0000}"/>
    <cellStyle name="Normal 2 3 8 2" xfId="8959" xr:uid="{00000000-0005-0000-0000-0000D03B0000}"/>
    <cellStyle name="Normal 2 3 8 2 2" xfId="9215" xr:uid="{00000000-0005-0000-0000-0000D13B0000}"/>
    <cellStyle name="Normal 2 3 8 2 2 2" xfId="9783" xr:uid="{00000000-0005-0000-0000-0000D23B0000}"/>
    <cellStyle name="Normal 2 3 8 2 2 2 2" xfId="10837" xr:uid="{00000000-0005-0000-0000-0000D33B0000}"/>
    <cellStyle name="Normal 2 3 8 2 2 2 2 2" xfId="14431" xr:uid="{00000000-0005-0000-0000-0000D43B0000}"/>
    <cellStyle name="Normal 2 3 8 2 2 2 2 3" xfId="16355" xr:uid="{00000000-0005-0000-0000-0000D53B0000}"/>
    <cellStyle name="Normal 2 3 8 2 2 2 3" xfId="13378" xr:uid="{00000000-0005-0000-0000-0000D63B0000}"/>
    <cellStyle name="Normal 2 3 8 2 2 2 4" xfId="16354" xr:uid="{00000000-0005-0000-0000-0000D73B0000}"/>
    <cellStyle name="Normal 2 3 8 2 2 3" xfId="10299" xr:uid="{00000000-0005-0000-0000-0000D83B0000}"/>
    <cellStyle name="Normal 2 3 8 2 2 3 2" xfId="13893" xr:uid="{00000000-0005-0000-0000-0000D93B0000}"/>
    <cellStyle name="Normal 2 3 8 2 2 3 3" xfId="16356" xr:uid="{00000000-0005-0000-0000-0000DA3B0000}"/>
    <cellStyle name="Normal 2 3 8 2 2 4" xfId="11128" xr:uid="{00000000-0005-0000-0000-0000DB3B0000}"/>
    <cellStyle name="Normal 2 3 8 2 2 4 2" xfId="14721" xr:uid="{00000000-0005-0000-0000-0000DC3B0000}"/>
    <cellStyle name="Normal 2 3 8 2 2 4 3" xfId="16357" xr:uid="{00000000-0005-0000-0000-0000DD3B0000}"/>
    <cellStyle name="Normal 2 3 8 2 2 5" xfId="12840" xr:uid="{00000000-0005-0000-0000-0000DE3B0000}"/>
    <cellStyle name="Normal 2 3 8 2 2 6" xfId="16353" xr:uid="{00000000-0005-0000-0000-0000DF3B0000}"/>
    <cellStyle name="Normal 2 3 8 2 3" xfId="9527" xr:uid="{00000000-0005-0000-0000-0000E03B0000}"/>
    <cellStyle name="Normal 2 3 8 2 3 2" xfId="10581" xr:uid="{00000000-0005-0000-0000-0000E13B0000}"/>
    <cellStyle name="Normal 2 3 8 2 3 2 2" xfId="14175" xr:uid="{00000000-0005-0000-0000-0000E23B0000}"/>
    <cellStyle name="Normal 2 3 8 2 3 2 3" xfId="16359" xr:uid="{00000000-0005-0000-0000-0000E33B0000}"/>
    <cellStyle name="Normal 2 3 8 2 3 3" xfId="13122" xr:uid="{00000000-0005-0000-0000-0000E43B0000}"/>
    <cellStyle name="Normal 2 3 8 2 3 4" xfId="16358" xr:uid="{00000000-0005-0000-0000-0000E53B0000}"/>
    <cellStyle name="Normal 2 3 8 2 4" xfId="10043" xr:uid="{00000000-0005-0000-0000-0000E63B0000}"/>
    <cellStyle name="Normal 2 3 8 2 4 2" xfId="13637" xr:uid="{00000000-0005-0000-0000-0000E73B0000}"/>
    <cellStyle name="Normal 2 3 8 2 4 3" xfId="16360" xr:uid="{00000000-0005-0000-0000-0000E83B0000}"/>
    <cellStyle name="Normal 2 3 8 2 5" xfId="11127" xr:uid="{00000000-0005-0000-0000-0000E93B0000}"/>
    <cellStyle name="Normal 2 3 8 2 5 2" xfId="14720" xr:uid="{00000000-0005-0000-0000-0000EA3B0000}"/>
    <cellStyle name="Normal 2 3 8 2 5 3" xfId="16361" xr:uid="{00000000-0005-0000-0000-0000EB3B0000}"/>
    <cellStyle name="Normal 2 3 8 2 6" xfId="12584" xr:uid="{00000000-0005-0000-0000-0000EC3B0000}"/>
    <cellStyle name="Normal 2 3 8 2 7" xfId="16352" xr:uid="{00000000-0005-0000-0000-0000ED3B0000}"/>
    <cellStyle name="Normal 2 3 8 3" xfId="9087" xr:uid="{00000000-0005-0000-0000-0000EE3B0000}"/>
    <cellStyle name="Normal 2 3 8 3 2" xfId="9655" xr:uid="{00000000-0005-0000-0000-0000EF3B0000}"/>
    <cellStyle name="Normal 2 3 8 3 2 2" xfId="10709" xr:uid="{00000000-0005-0000-0000-0000F03B0000}"/>
    <cellStyle name="Normal 2 3 8 3 2 2 2" xfId="14303" xr:uid="{00000000-0005-0000-0000-0000F13B0000}"/>
    <cellStyle name="Normal 2 3 8 3 2 2 3" xfId="16364" xr:uid="{00000000-0005-0000-0000-0000F23B0000}"/>
    <cellStyle name="Normal 2 3 8 3 2 3" xfId="13250" xr:uid="{00000000-0005-0000-0000-0000F33B0000}"/>
    <cellStyle name="Normal 2 3 8 3 2 4" xfId="16363" xr:uid="{00000000-0005-0000-0000-0000F43B0000}"/>
    <cellStyle name="Normal 2 3 8 3 3" xfId="10171" xr:uid="{00000000-0005-0000-0000-0000F53B0000}"/>
    <cellStyle name="Normal 2 3 8 3 3 2" xfId="13765" xr:uid="{00000000-0005-0000-0000-0000F63B0000}"/>
    <cellStyle name="Normal 2 3 8 3 3 3" xfId="16365" xr:uid="{00000000-0005-0000-0000-0000F73B0000}"/>
    <cellStyle name="Normal 2 3 8 3 4" xfId="11129" xr:uid="{00000000-0005-0000-0000-0000F83B0000}"/>
    <cellStyle name="Normal 2 3 8 3 4 2" xfId="14722" xr:uid="{00000000-0005-0000-0000-0000F93B0000}"/>
    <cellStyle name="Normal 2 3 8 3 4 3" xfId="16366" xr:uid="{00000000-0005-0000-0000-0000FA3B0000}"/>
    <cellStyle name="Normal 2 3 8 3 5" xfId="12712" xr:uid="{00000000-0005-0000-0000-0000FB3B0000}"/>
    <cellStyle name="Normal 2 3 8 3 6" xfId="16362" xr:uid="{00000000-0005-0000-0000-0000FC3B0000}"/>
    <cellStyle name="Normal 2 3 8 4" xfId="9399" xr:uid="{00000000-0005-0000-0000-0000FD3B0000}"/>
    <cellStyle name="Normal 2 3 8 4 2" xfId="10453" xr:uid="{00000000-0005-0000-0000-0000FE3B0000}"/>
    <cellStyle name="Normal 2 3 8 4 2 2" xfId="14047" xr:uid="{00000000-0005-0000-0000-0000FF3B0000}"/>
    <cellStyle name="Normal 2 3 8 4 2 3" xfId="16368" xr:uid="{00000000-0005-0000-0000-0000003C0000}"/>
    <cellStyle name="Normal 2 3 8 4 3" xfId="12994" xr:uid="{00000000-0005-0000-0000-0000013C0000}"/>
    <cellStyle name="Normal 2 3 8 4 4" xfId="16367" xr:uid="{00000000-0005-0000-0000-0000023C0000}"/>
    <cellStyle name="Normal 2 3 8 5" xfId="9915" xr:uid="{00000000-0005-0000-0000-0000033C0000}"/>
    <cellStyle name="Normal 2 3 8 5 2" xfId="13509" xr:uid="{00000000-0005-0000-0000-0000043C0000}"/>
    <cellStyle name="Normal 2 3 8 5 3" xfId="16369" xr:uid="{00000000-0005-0000-0000-0000053C0000}"/>
    <cellStyle name="Normal 2 3 8 6" xfId="11126" xr:uid="{00000000-0005-0000-0000-0000063C0000}"/>
    <cellStyle name="Normal 2 3 8 6 2" xfId="14719" xr:uid="{00000000-0005-0000-0000-0000073C0000}"/>
    <cellStyle name="Normal 2 3 8 6 3" xfId="16370" xr:uid="{00000000-0005-0000-0000-0000083C0000}"/>
    <cellStyle name="Normal 2 3 8 7" xfId="12456" xr:uid="{00000000-0005-0000-0000-0000093C0000}"/>
    <cellStyle name="Normal 2 3 8 8" xfId="16351" xr:uid="{00000000-0005-0000-0000-00000A3C0000}"/>
    <cellStyle name="Normal 2 3 9" xfId="8863" xr:uid="{00000000-0005-0000-0000-00000B3C0000}"/>
    <cellStyle name="Normal 2 3 9 2" xfId="9119" xr:uid="{00000000-0005-0000-0000-00000C3C0000}"/>
    <cellStyle name="Normal 2 3 9 2 2" xfId="9687" xr:uid="{00000000-0005-0000-0000-00000D3C0000}"/>
    <cellStyle name="Normal 2 3 9 2 2 2" xfId="10741" xr:uid="{00000000-0005-0000-0000-00000E3C0000}"/>
    <cellStyle name="Normal 2 3 9 2 2 2 2" xfId="14335" xr:uid="{00000000-0005-0000-0000-00000F3C0000}"/>
    <cellStyle name="Normal 2 3 9 2 2 2 3" xfId="16374" xr:uid="{00000000-0005-0000-0000-0000103C0000}"/>
    <cellStyle name="Normal 2 3 9 2 2 3" xfId="13282" xr:uid="{00000000-0005-0000-0000-0000113C0000}"/>
    <cellStyle name="Normal 2 3 9 2 2 4" xfId="16373" xr:uid="{00000000-0005-0000-0000-0000123C0000}"/>
    <cellStyle name="Normal 2 3 9 2 3" xfId="10203" xr:uid="{00000000-0005-0000-0000-0000133C0000}"/>
    <cellStyle name="Normal 2 3 9 2 3 2" xfId="13797" xr:uid="{00000000-0005-0000-0000-0000143C0000}"/>
    <cellStyle name="Normal 2 3 9 2 3 3" xfId="16375" xr:uid="{00000000-0005-0000-0000-0000153C0000}"/>
    <cellStyle name="Normal 2 3 9 2 4" xfId="11131" xr:uid="{00000000-0005-0000-0000-0000163C0000}"/>
    <cellStyle name="Normal 2 3 9 2 4 2" xfId="14724" xr:uid="{00000000-0005-0000-0000-0000173C0000}"/>
    <cellStyle name="Normal 2 3 9 2 4 3" xfId="16376" xr:uid="{00000000-0005-0000-0000-0000183C0000}"/>
    <cellStyle name="Normal 2 3 9 2 5" xfId="12744" xr:uid="{00000000-0005-0000-0000-0000193C0000}"/>
    <cellStyle name="Normal 2 3 9 2 6" xfId="16372" xr:uid="{00000000-0005-0000-0000-00001A3C0000}"/>
    <cellStyle name="Normal 2 3 9 3" xfId="9431" xr:uid="{00000000-0005-0000-0000-00001B3C0000}"/>
    <cellStyle name="Normal 2 3 9 3 2" xfId="10485" xr:uid="{00000000-0005-0000-0000-00001C3C0000}"/>
    <cellStyle name="Normal 2 3 9 3 2 2" xfId="14079" xr:uid="{00000000-0005-0000-0000-00001D3C0000}"/>
    <cellStyle name="Normal 2 3 9 3 2 3" xfId="16378" xr:uid="{00000000-0005-0000-0000-00001E3C0000}"/>
    <cellStyle name="Normal 2 3 9 3 3" xfId="13026" xr:uid="{00000000-0005-0000-0000-00001F3C0000}"/>
    <cellStyle name="Normal 2 3 9 3 4" xfId="16377" xr:uid="{00000000-0005-0000-0000-0000203C0000}"/>
    <cellStyle name="Normal 2 3 9 4" xfId="9947" xr:uid="{00000000-0005-0000-0000-0000213C0000}"/>
    <cellStyle name="Normal 2 3 9 4 2" xfId="13541" xr:uid="{00000000-0005-0000-0000-0000223C0000}"/>
    <cellStyle name="Normal 2 3 9 4 3" xfId="16379" xr:uid="{00000000-0005-0000-0000-0000233C0000}"/>
    <cellStyle name="Normal 2 3 9 5" xfId="11130" xr:uid="{00000000-0005-0000-0000-0000243C0000}"/>
    <cellStyle name="Normal 2 3 9 5 2" xfId="14723" xr:uid="{00000000-0005-0000-0000-0000253C0000}"/>
    <cellStyle name="Normal 2 3 9 5 3" xfId="16380" xr:uid="{00000000-0005-0000-0000-0000263C0000}"/>
    <cellStyle name="Normal 2 3 9 6" xfId="12488" xr:uid="{00000000-0005-0000-0000-0000273C0000}"/>
    <cellStyle name="Normal 2 3 9 7" xfId="16371" xr:uid="{00000000-0005-0000-0000-0000283C0000}"/>
    <cellStyle name="Normal 2 4" xfId="1511" xr:uid="{00000000-0005-0000-0000-0000293C0000}"/>
    <cellStyle name="Normal 2 4 2" xfId="11933" xr:uid="{00000000-0005-0000-0000-00002A3C0000}"/>
    <cellStyle name="Normal 2 4 2 2" xfId="11934" xr:uid="{00000000-0005-0000-0000-00002B3C0000}"/>
    <cellStyle name="Normal 2 4 2 2 2" xfId="11935" xr:uid="{00000000-0005-0000-0000-00002C3C0000}"/>
    <cellStyle name="Normal 2 4 2 2 2 2" xfId="11936" xr:uid="{00000000-0005-0000-0000-00002D3C0000}"/>
    <cellStyle name="Normal 2 4 2 2 3" xfId="11937" xr:uid="{00000000-0005-0000-0000-00002E3C0000}"/>
    <cellStyle name="Normal 2 4 2 2 4" xfId="11938" xr:uid="{00000000-0005-0000-0000-00002F3C0000}"/>
    <cellStyle name="Normal 2 4 2 3" xfId="11939" xr:uid="{00000000-0005-0000-0000-0000303C0000}"/>
    <cellStyle name="Normal 2 4 2 3 2" xfId="11940" xr:uid="{00000000-0005-0000-0000-0000313C0000}"/>
    <cellStyle name="Normal 2 4 2 4" xfId="11941" xr:uid="{00000000-0005-0000-0000-0000323C0000}"/>
    <cellStyle name="Normal 2 4 2 5" xfId="11942" xr:uid="{00000000-0005-0000-0000-0000333C0000}"/>
    <cellStyle name="Normal 2 4 3" xfId="11943" xr:uid="{00000000-0005-0000-0000-0000343C0000}"/>
    <cellStyle name="Normal 2 4 3 2" xfId="11944" xr:uid="{00000000-0005-0000-0000-0000353C0000}"/>
    <cellStyle name="Normal 2 4 3 2 2" xfId="11945" xr:uid="{00000000-0005-0000-0000-0000363C0000}"/>
    <cellStyle name="Normal 2 4 3 3" xfId="11946" xr:uid="{00000000-0005-0000-0000-0000373C0000}"/>
    <cellStyle name="Normal 2 4 3 4" xfId="11947" xr:uid="{00000000-0005-0000-0000-0000383C0000}"/>
    <cellStyle name="Normal 2 4 4" xfId="11948" xr:uid="{00000000-0005-0000-0000-0000393C0000}"/>
    <cellStyle name="Normal 2 4 4 2" xfId="11949" xr:uid="{00000000-0005-0000-0000-00003A3C0000}"/>
    <cellStyle name="Normal 2 4 4 2 2" xfId="11950" xr:uid="{00000000-0005-0000-0000-00003B3C0000}"/>
    <cellStyle name="Normal 2 4 4 3" xfId="11951" xr:uid="{00000000-0005-0000-0000-00003C3C0000}"/>
    <cellStyle name="Normal 2 4 4 4" xfId="11952" xr:uid="{00000000-0005-0000-0000-00003D3C0000}"/>
    <cellStyle name="Normal 2 4 5" xfId="11953" xr:uid="{00000000-0005-0000-0000-00003E3C0000}"/>
    <cellStyle name="Normal 2 4 5 2" xfId="11954" xr:uid="{00000000-0005-0000-0000-00003F3C0000}"/>
    <cellStyle name="Normal 2 4 5 2 2" xfId="11955" xr:uid="{00000000-0005-0000-0000-0000403C0000}"/>
    <cellStyle name="Normal 2 4 5 3" xfId="11956" xr:uid="{00000000-0005-0000-0000-0000413C0000}"/>
    <cellStyle name="Normal 2 4 5 4" xfId="11957" xr:uid="{00000000-0005-0000-0000-0000423C0000}"/>
    <cellStyle name="Normal 2 4 6" xfId="11958" xr:uid="{00000000-0005-0000-0000-0000433C0000}"/>
    <cellStyle name="Normal 2 4 6 2" xfId="11959" xr:uid="{00000000-0005-0000-0000-0000443C0000}"/>
    <cellStyle name="Normal 2 4 7" xfId="11960" xr:uid="{00000000-0005-0000-0000-0000453C0000}"/>
    <cellStyle name="Normal 2 4 8" xfId="11961" xr:uid="{00000000-0005-0000-0000-0000463C0000}"/>
    <cellStyle name="Normal 2 4 9" xfId="17684" xr:uid="{00000000-0005-0000-0000-0000473C0000}"/>
    <cellStyle name="Normal 2 5" xfId="1512" xr:uid="{00000000-0005-0000-0000-0000483C0000}"/>
    <cellStyle name="Normal 2 5 10" xfId="1513" xr:uid="{00000000-0005-0000-0000-0000493C0000}"/>
    <cellStyle name="Normal 2 5 10 2" xfId="1514" xr:uid="{00000000-0005-0000-0000-00004A3C0000}"/>
    <cellStyle name="Normal 2 5 10 2 2" xfId="1515" xr:uid="{00000000-0005-0000-0000-00004B3C0000}"/>
    <cellStyle name="Normal 2 5 10 3" xfId="1516" xr:uid="{00000000-0005-0000-0000-00004C3C0000}"/>
    <cellStyle name="Normal 2 5 10 3 2" xfId="1517" xr:uid="{00000000-0005-0000-0000-00004D3C0000}"/>
    <cellStyle name="Normal 2 5 10 4" xfId="1518" xr:uid="{00000000-0005-0000-0000-00004E3C0000}"/>
    <cellStyle name="Normal 2 5 11" xfId="1519" xr:uid="{00000000-0005-0000-0000-00004F3C0000}"/>
    <cellStyle name="Normal 2 5 11 2" xfId="1520" xr:uid="{00000000-0005-0000-0000-0000503C0000}"/>
    <cellStyle name="Normal 2 5 11 3" xfId="1521" xr:uid="{00000000-0005-0000-0000-0000513C0000}"/>
    <cellStyle name="Normal 2 5 12" xfId="1522" xr:uid="{00000000-0005-0000-0000-0000523C0000}"/>
    <cellStyle name="Normal 2 5 12 2" xfId="1523" xr:uid="{00000000-0005-0000-0000-0000533C0000}"/>
    <cellStyle name="Normal 2 5 13" xfId="1524" xr:uid="{00000000-0005-0000-0000-0000543C0000}"/>
    <cellStyle name="Normal 2 5 13 2" xfId="1525" xr:uid="{00000000-0005-0000-0000-0000553C0000}"/>
    <cellStyle name="Normal 2 5 14" xfId="1526" xr:uid="{00000000-0005-0000-0000-0000563C0000}"/>
    <cellStyle name="Normal 2 5 15" xfId="26976" xr:uid="{00000000-0005-0000-0000-0000573C0000}"/>
    <cellStyle name="Normal 2 5 2" xfId="1527" xr:uid="{00000000-0005-0000-0000-0000583C0000}"/>
    <cellStyle name="Normal 2 5 2 10" xfId="1528" xr:uid="{00000000-0005-0000-0000-0000593C0000}"/>
    <cellStyle name="Normal 2 5 2 10 2" xfId="1529" xr:uid="{00000000-0005-0000-0000-00005A3C0000}"/>
    <cellStyle name="Normal 2 5 2 11" xfId="1530" xr:uid="{00000000-0005-0000-0000-00005B3C0000}"/>
    <cellStyle name="Normal 2 5 2 11 2" xfId="1531" xr:uid="{00000000-0005-0000-0000-00005C3C0000}"/>
    <cellStyle name="Normal 2 5 2 12" xfId="1532" xr:uid="{00000000-0005-0000-0000-00005D3C0000}"/>
    <cellStyle name="Normal 2 5 2 2" xfId="1533" xr:uid="{00000000-0005-0000-0000-00005E3C0000}"/>
    <cellStyle name="Normal 2 5 2 2 10" xfId="1534" xr:uid="{00000000-0005-0000-0000-00005F3C0000}"/>
    <cellStyle name="Normal 2 5 2 2 2" xfId="1535" xr:uid="{00000000-0005-0000-0000-0000603C0000}"/>
    <cellStyle name="Normal 2 5 2 2 2 2" xfId="1536" xr:uid="{00000000-0005-0000-0000-0000613C0000}"/>
    <cellStyle name="Normal 2 5 2 2 2 2 2" xfId="1537" xr:uid="{00000000-0005-0000-0000-0000623C0000}"/>
    <cellStyle name="Normal 2 5 2 2 2 2 2 2" xfId="1538" xr:uid="{00000000-0005-0000-0000-0000633C0000}"/>
    <cellStyle name="Normal 2 5 2 2 2 2 2 3" xfId="1539" xr:uid="{00000000-0005-0000-0000-0000643C0000}"/>
    <cellStyle name="Normal 2 5 2 2 2 2 3" xfId="1540" xr:uid="{00000000-0005-0000-0000-0000653C0000}"/>
    <cellStyle name="Normal 2 5 2 2 2 2 3 2" xfId="1541" xr:uid="{00000000-0005-0000-0000-0000663C0000}"/>
    <cellStyle name="Normal 2 5 2 2 2 2 4" xfId="1542" xr:uid="{00000000-0005-0000-0000-0000673C0000}"/>
    <cellStyle name="Normal 2 5 2 2 2 2 4 2" xfId="1543" xr:uid="{00000000-0005-0000-0000-0000683C0000}"/>
    <cellStyle name="Normal 2 5 2 2 2 2 5" xfId="1544" xr:uid="{00000000-0005-0000-0000-0000693C0000}"/>
    <cellStyle name="Normal 2 5 2 2 2 3" xfId="1545" xr:uid="{00000000-0005-0000-0000-00006A3C0000}"/>
    <cellStyle name="Normal 2 5 2 2 2 3 2" xfId="1546" xr:uid="{00000000-0005-0000-0000-00006B3C0000}"/>
    <cellStyle name="Normal 2 5 2 2 2 3 2 2" xfId="1547" xr:uid="{00000000-0005-0000-0000-00006C3C0000}"/>
    <cellStyle name="Normal 2 5 2 2 2 3 3" xfId="1548" xr:uid="{00000000-0005-0000-0000-00006D3C0000}"/>
    <cellStyle name="Normal 2 5 2 2 2 3 3 2" xfId="1549" xr:uid="{00000000-0005-0000-0000-00006E3C0000}"/>
    <cellStyle name="Normal 2 5 2 2 2 3 4" xfId="1550" xr:uid="{00000000-0005-0000-0000-00006F3C0000}"/>
    <cellStyle name="Normal 2 5 2 2 2 4" xfId="1551" xr:uid="{00000000-0005-0000-0000-0000703C0000}"/>
    <cellStyle name="Normal 2 5 2 2 2 4 2" xfId="1552" xr:uid="{00000000-0005-0000-0000-0000713C0000}"/>
    <cellStyle name="Normal 2 5 2 2 2 4 3" xfId="1553" xr:uid="{00000000-0005-0000-0000-0000723C0000}"/>
    <cellStyle name="Normal 2 5 2 2 2 5" xfId="1554" xr:uid="{00000000-0005-0000-0000-0000733C0000}"/>
    <cellStyle name="Normal 2 5 2 2 2 5 2" xfId="1555" xr:uid="{00000000-0005-0000-0000-0000743C0000}"/>
    <cellStyle name="Normal 2 5 2 2 2 6" xfId="1556" xr:uid="{00000000-0005-0000-0000-0000753C0000}"/>
    <cellStyle name="Normal 2 5 2 2 2 6 2" xfId="1557" xr:uid="{00000000-0005-0000-0000-0000763C0000}"/>
    <cellStyle name="Normal 2 5 2 2 2 7" xfId="1558" xr:uid="{00000000-0005-0000-0000-0000773C0000}"/>
    <cellStyle name="Normal 2 5 2 2 3" xfId="1559" xr:uid="{00000000-0005-0000-0000-0000783C0000}"/>
    <cellStyle name="Normal 2 5 2 2 3 2" xfId="1560" xr:uid="{00000000-0005-0000-0000-0000793C0000}"/>
    <cellStyle name="Normal 2 5 2 2 3 2 2" xfId="1561" xr:uid="{00000000-0005-0000-0000-00007A3C0000}"/>
    <cellStyle name="Normal 2 5 2 2 3 2 2 2" xfId="1562" xr:uid="{00000000-0005-0000-0000-00007B3C0000}"/>
    <cellStyle name="Normal 2 5 2 2 3 2 2 3" xfId="1563" xr:uid="{00000000-0005-0000-0000-00007C3C0000}"/>
    <cellStyle name="Normal 2 5 2 2 3 2 3" xfId="1564" xr:uid="{00000000-0005-0000-0000-00007D3C0000}"/>
    <cellStyle name="Normal 2 5 2 2 3 2 3 2" xfId="1565" xr:uid="{00000000-0005-0000-0000-00007E3C0000}"/>
    <cellStyle name="Normal 2 5 2 2 3 2 4" xfId="1566" xr:uid="{00000000-0005-0000-0000-00007F3C0000}"/>
    <cellStyle name="Normal 2 5 2 2 3 2 4 2" xfId="1567" xr:uid="{00000000-0005-0000-0000-0000803C0000}"/>
    <cellStyle name="Normal 2 5 2 2 3 2 5" xfId="1568" xr:uid="{00000000-0005-0000-0000-0000813C0000}"/>
    <cellStyle name="Normal 2 5 2 2 3 3" xfId="1569" xr:uid="{00000000-0005-0000-0000-0000823C0000}"/>
    <cellStyle name="Normal 2 5 2 2 3 3 2" xfId="1570" xr:uid="{00000000-0005-0000-0000-0000833C0000}"/>
    <cellStyle name="Normal 2 5 2 2 3 3 2 2" xfId="1571" xr:uid="{00000000-0005-0000-0000-0000843C0000}"/>
    <cellStyle name="Normal 2 5 2 2 3 3 3" xfId="1572" xr:uid="{00000000-0005-0000-0000-0000853C0000}"/>
    <cellStyle name="Normal 2 5 2 2 3 3 3 2" xfId="1573" xr:uid="{00000000-0005-0000-0000-0000863C0000}"/>
    <cellStyle name="Normal 2 5 2 2 3 3 4" xfId="1574" xr:uid="{00000000-0005-0000-0000-0000873C0000}"/>
    <cellStyle name="Normal 2 5 2 2 3 4" xfId="1575" xr:uid="{00000000-0005-0000-0000-0000883C0000}"/>
    <cellStyle name="Normal 2 5 2 2 3 4 2" xfId="1576" xr:uid="{00000000-0005-0000-0000-0000893C0000}"/>
    <cellStyle name="Normal 2 5 2 2 3 4 3" xfId="1577" xr:uid="{00000000-0005-0000-0000-00008A3C0000}"/>
    <cellStyle name="Normal 2 5 2 2 3 5" xfId="1578" xr:uid="{00000000-0005-0000-0000-00008B3C0000}"/>
    <cellStyle name="Normal 2 5 2 2 3 5 2" xfId="1579" xr:uid="{00000000-0005-0000-0000-00008C3C0000}"/>
    <cellStyle name="Normal 2 5 2 2 3 6" xfId="1580" xr:uid="{00000000-0005-0000-0000-00008D3C0000}"/>
    <cellStyle name="Normal 2 5 2 2 3 6 2" xfId="1581" xr:uid="{00000000-0005-0000-0000-00008E3C0000}"/>
    <cellStyle name="Normal 2 5 2 2 3 7" xfId="1582" xr:uid="{00000000-0005-0000-0000-00008F3C0000}"/>
    <cellStyle name="Normal 2 5 2 2 4" xfId="1583" xr:uid="{00000000-0005-0000-0000-0000903C0000}"/>
    <cellStyle name="Normal 2 5 2 2 4 2" xfId="1584" xr:uid="{00000000-0005-0000-0000-0000913C0000}"/>
    <cellStyle name="Normal 2 5 2 2 4 2 2" xfId="1585" xr:uid="{00000000-0005-0000-0000-0000923C0000}"/>
    <cellStyle name="Normal 2 5 2 2 4 2 2 2" xfId="1586" xr:uid="{00000000-0005-0000-0000-0000933C0000}"/>
    <cellStyle name="Normal 2 5 2 2 4 2 3" xfId="1587" xr:uid="{00000000-0005-0000-0000-0000943C0000}"/>
    <cellStyle name="Normal 2 5 2 2 4 2 3 2" xfId="1588" xr:uid="{00000000-0005-0000-0000-0000953C0000}"/>
    <cellStyle name="Normal 2 5 2 2 4 2 4" xfId="1589" xr:uid="{00000000-0005-0000-0000-0000963C0000}"/>
    <cellStyle name="Normal 2 5 2 2 4 3" xfId="1590" xr:uid="{00000000-0005-0000-0000-0000973C0000}"/>
    <cellStyle name="Normal 2 5 2 2 4 3 2" xfId="1591" xr:uid="{00000000-0005-0000-0000-0000983C0000}"/>
    <cellStyle name="Normal 2 5 2 2 4 3 3" xfId="1592" xr:uid="{00000000-0005-0000-0000-0000993C0000}"/>
    <cellStyle name="Normal 2 5 2 2 4 4" xfId="1593" xr:uid="{00000000-0005-0000-0000-00009A3C0000}"/>
    <cellStyle name="Normal 2 5 2 2 4 4 2" xfId="1594" xr:uid="{00000000-0005-0000-0000-00009B3C0000}"/>
    <cellStyle name="Normal 2 5 2 2 4 5" xfId="1595" xr:uid="{00000000-0005-0000-0000-00009C3C0000}"/>
    <cellStyle name="Normal 2 5 2 2 4 5 2" xfId="1596" xr:uid="{00000000-0005-0000-0000-00009D3C0000}"/>
    <cellStyle name="Normal 2 5 2 2 4 6" xfId="1597" xr:uid="{00000000-0005-0000-0000-00009E3C0000}"/>
    <cellStyle name="Normal 2 5 2 2 5" xfId="1598" xr:uid="{00000000-0005-0000-0000-00009F3C0000}"/>
    <cellStyle name="Normal 2 5 2 2 5 2" xfId="1599" xr:uid="{00000000-0005-0000-0000-0000A03C0000}"/>
    <cellStyle name="Normal 2 5 2 2 5 2 2" xfId="1600" xr:uid="{00000000-0005-0000-0000-0000A13C0000}"/>
    <cellStyle name="Normal 2 5 2 2 5 3" xfId="1601" xr:uid="{00000000-0005-0000-0000-0000A23C0000}"/>
    <cellStyle name="Normal 2 5 2 2 5 3 2" xfId="1602" xr:uid="{00000000-0005-0000-0000-0000A33C0000}"/>
    <cellStyle name="Normal 2 5 2 2 5 4" xfId="1603" xr:uid="{00000000-0005-0000-0000-0000A43C0000}"/>
    <cellStyle name="Normal 2 5 2 2 6" xfId="1604" xr:uid="{00000000-0005-0000-0000-0000A53C0000}"/>
    <cellStyle name="Normal 2 5 2 2 6 2" xfId="1605" xr:uid="{00000000-0005-0000-0000-0000A63C0000}"/>
    <cellStyle name="Normal 2 5 2 2 6 2 2" xfId="1606" xr:uid="{00000000-0005-0000-0000-0000A73C0000}"/>
    <cellStyle name="Normal 2 5 2 2 6 3" xfId="1607" xr:uid="{00000000-0005-0000-0000-0000A83C0000}"/>
    <cellStyle name="Normal 2 5 2 2 6 3 2" xfId="1608" xr:uid="{00000000-0005-0000-0000-0000A93C0000}"/>
    <cellStyle name="Normal 2 5 2 2 6 4" xfId="1609" xr:uid="{00000000-0005-0000-0000-0000AA3C0000}"/>
    <cellStyle name="Normal 2 5 2 2 7" xfId="1610" xr:uid="{00000000-0005-0000-0000-0000AB3C0000}"/>
    <cellStyle name="Normal 2 5 2 2 7 2" xfId="1611" xr:uid="{00000000-0005-0000-0000-0000AC3C0000}"/>
    <cellStyle name="Normal 2 5 2 2 7 3" xfId="1612" xr:uid="{00000000-0005-0000-0000-0000AD3C0000}"/>
    <cellStyle name="Normal 2 5 2 2 8" xfId="1613" xr:uid="{00000000-0005-0000-0000-0000AE3C0000}"/>
    <cellStyle name="Normal 2 5 2 2 8 2" xfId="1614" xr:uid="{00000000-0005-0000-0000-0000AF3C0000}"/>
    <cellStyle name="Normal 2 5 2 2 9" xfId="1615" xr:uid="{00000000-0005-0000-0000-0000B03C0000}"/>
    <cellStyle name="Normal 2 5 2 2 9 2" xfId="1616" xr:uid="{00000000-0005-0000-0000-0000B13C0000}"/>
    <cellStyle name="Normal 2 5 2 3" xfId="1617" xr:uid="{00000000-0005-0000-0000-0000B23C0000}"/>
    <cellStyle name="Normal 2 5 2 3 2" xfId="1618" xr:uid="{00000000-0005-0000-0000-0000B33C0000}"/>
    <cellStyle name="Normal 2 5 2 3 2 2" xfId="1619" xr:uid="{00000000-0005-0000-0000-0000B43C0000}"/>
    <cellStyle name="Normal 2 5 2 3 2 2 2" xfId="1620" xr:uid="{00000000-0005-0000-0000-0000B53C0000}"/>
    <cellStyle name="Normal 2 5 2 3 2 2 2 2" xfId="1621" xr:uid="{00000000-0005-0000-0000-0000B63C0000}"/>
    <cellStyle name="Normal 2 5 2 3 2 2 2 3" xfId="1622" xr:uid="{00000000-0005-0000-0000-0000B73C0000}"/>
    <cellStyle name="Normal 2 5 2 3 2 2 3" xfId="1623" xr:uid="{00000000-0005-0000-0000-0000B83C0000}"/>
    <cellStyle name="Normal 2 5 2 3 2 2 3 2" xfId="1624" xr:uid="{00000000-0005-0000-0000-0000B93C0000}"/>
    <cellStyle name="Normal 2 5 2 3 2 2 4" xfId="1625" xr:uid="{00000000-0005-0000-0000-0000BA3C0000}"/>
    <cellStyle name="Normal 2 5 2 3 2 2 4 2" xfId="1626" xr:uid="{00000000-0005-0000-0000-0000BB3C0000}"/>
    <cellStyle name="Normal 2 5 2 3 2 2 5" xfId="1627" xr:uid="{00000000-0005-0000-0000-0000BC3C0000}"/>
    <cellStyle name="Normal 2 5 2 3 2 3" xfId="1628" xr:uid="{00000000-0005-0000-0000-0000BD3C0000}"/>
    <cellStyle name="Normal 2 5 2 3 2 3 2" xfId="1629" xr:uid="{00000000-0005-0000-0000-0000BE3C0000}"/>
    <cellStyle name="Normal 2 5 2 3 2 3 2 2" xfId="1630" xr:uid="{00000000-0005-0000-0000-0000BF3C0000}"/>
    <cellStyle name="Normal 2 5 2 3 2 3 3" xfId="1631" xr:uid="{00000000-0005-0000-0000-0000C03C0000}"/>
    <cellStyle name="Normal 2 5 2 3 2 3 3 2" xfId="1632" xr:uid="{00000000-0005-0000-0000-0000C13C0000}"/>
    <cellStyle name="Normal 2 5 2 3 2 3 4" xfId="1633" xr:uid="{00000000-0005-0000-0000-0000C23C0000}"/>
    <cellStyle name="Normal 2 5 2 3 2 4" xfId="1634" xr:uid="{00000000-0005-0000-0000-0000C33C0000}"/>
    <cellStyle name="Normal 2 5 2 3 2 4 2" xfId="1635" xr:uid="{00000000-0005-0000-0000-0000C43C0000}"/>
    <cellStyle name="Normal 2 5 2 3 2 4 3" xfId="1636" xr:uid="{00000000-0005-0000-0000-0000C53C0000}"/>
    <cellStyle name="Normal 2 5 2 3 2 5" xfId="1637" xr:uid="{00000000-0005-0000-0000-0000C63C0000}"/>
    <cellStyle name="Normal 2 5 2 3 2 5 2" xfId="1638" xr:uid="{00000000-0005-0000-0000-0000C73C0000}"/>
    <cellStyle name="Normal 2 5 2 3 2 6" xfId="1639" xr:uid="{00000000-0005-0000-0000-0000C83C0000}"/>
    <cellStyle name="Normal 2 5 2 3 2 6 2" xfId="1640" xr:uid="{00000000-0005-0000-0000-0000C93C0000}"/>
    <cellStyle name="Normal 2 5 2 3 2 7" xfId="1641" xr:uid="{00000000-0005-0000-0000-0000CA3C0000}"/>
    <cellStyle name="Normal 2 5 2 3 3" xfId="1642" xr:uid="{00000000-0005-0000-0000-0000CB3C0000}"/>
    <cellStyle name="Normal 2 5 2 3 3 2" xfId="1643" xr:uid="{00000000-0005-0000-0000-0000CC3C0000}"/>
    <cellStyle name="Normal 2 5 2 3 3 2 2" xfId="1644" xr:uid="{00000000-0005-0000-0000-0000CD3C0000}"/>
    <cellStyle name="Normal 2 5 2 3 3 2 3" xfId="1645" xr:uid="{00000000-0005-0000-0000-0000CE3C0000}"/>
    <cellStyle name="Normal 2 5 2 3 3 3" xfId="1646" xr:uid="{00000000-0005-0000-0000-0000CF3C0000}"/>
    <cellStyle name="Normal 2 5 2 3 3 3 2" xfId="1647" xr:uid="{00000000-0005-0000-0000-0000D03C0000}"/>
    <cellStyle name="Normal 2 5 2 3 3 4" xfId="1648" xr:uid="{00000000-0005-0000-0000-0000D13C0000}"/>
    <cellStyle name="Normal 2 5 2 3 3 4 2" xfId="1649" xr:uid="{00000000-0005-0000-0000-0000D23C0000}"/>
    <cellStyle name="Normal 2 5 2 3 3 5" xfId="1650" xr:uid="{00000000-0005-0000-0000-0000D33C0000}"/>
    <cellStyle name="Normal 2 5 2 3 4" xfId="1651" xr:uid="{00000000-0005-0000-0000-0000D43C0000}"/>
    <cellStyle name="Normal 2 5 2 3 4 2" xfId="1652" xr:uid="{00000000-0005-0000-0000-0000D53C0000}"/>
    <cellStyle name="Normal 2 5 2 3 4 2 2" xfId="1653" xr:uid="{00000000-0005-0000-0000-0000D63C0000}"/>
    <cellStyle name="Normal 2 5 2 3 4 3" xfId="1654" xr:uid="{00000000-0005-0000-0000-0000D73C0000}"/>
    <cellStyle name="Normal 2 5 2 3 4 3 2" xfId="1655" xr:uid="{00000000-0005-0000-0000-0000D83C0000}"/>
    <cellStyle name="Normal 2 5 2 3 4 4" xfId="1656" xr:uid="{00000000-0005-0000-0000-0000D93C0000}"/>
    <cellStyle name="Normal 2 5 2 3 5" xfId="1657" xr:uid="{00000000-0005-0000-0000-0000DA3C0000}"/>
    <cellStyle name="Normal 2 5 2 3 5 2" xfId="1658" xr:uid="{00000000-0005-0000-0000-0000DB3C0000}"/>
    <cellStyle name="Normal 2 5 2 3 5 3" xfId="1659" xr:uid="{00000000-0005-0000-0000-0000DC3C0000}"/>
    <cellStyle name="Normal 2 5 2 3 6" xfId="1660" xr:uid="{00000000-0005-0000-0000-0000DD3C0000}"/>
    <cellStyle name="Normal 2 5 2 3 6 2" xfId="1661" xr:uid="{00000000-0005-0000-0000-0000DE3C0000}"/>
    <cellStyle name="Normal 2 5 2 3 7" xfId="1662" xr:uid="{00000000-0005-0000-0000-0000DF3C0000}"/>
    <cellStyle name="Normal 2 5 2 3 7 2" xfId="1663" xr:uid="{00000000-0005-0000-0000-0000E03C0000}"/>
    <cellStyle name="Normal 2 5 2 3 8" xfId="1664" xr:uid="{00000000-0005-0000-0000-0000E13C0000}"/>
    <cellStyle name="Normal 2 5 2 4" xfId="1665" xr:uid="{00000000-0005-0000-0000-0000E23C0000}"/>
    <cellStyle name="Normal 2 5 2 4 2" xfId="1666" xr:uid="{00000000-0005-0000-0000-0000E33C0000}"/>
    <cellStyle name="Normal 2 5 2 4 2 2" xfId="1667" xr:uid="{00000000-0005-0000-0000-0000E43C0000}"/>
    <cellStyle name="Normal 2 5 2 4 2 2 2" xfId="1668" xr:uid="{00000000-0005-0000-0000-0000E53C0000}"/>
    <cellStyle name="Normal 2 5 2 4 2 2 3" xfId="1669" xr:uid="{00000000-0005-0000-0000-0000E63C0000}"/>
    <cellStyle name="Normal 2 5 2 4 2 3" xfId="1670" xr:uid="{00000000-0005-0000-0000-0000E73C0000}"/>
    <cellStyle name="Normal 2 5 2 4 2 3 2" xfId="1671" xr:uid="{00000000-0005-0000-0000-0000E83C0000}"/>
    <cellStyle name="Normal 2 5 2 4 2 4" xfId="1672" xr:uid="{00000000-0005-0000-0000-0000E93C0000}"/>
    <cellStyle name="Normal 2 5 2 4 2 4 2" xfId="1673" xr:uid="{00000000-0005-0000-0000-0000EA3C0000}"/>
    <cellStyle name="Normal 2 5 2 4 2 5" xfId="1674" xr:uid="{00000000-0005-0000-0000-0000EB3C0000}"/>
    <cellStyle name="Normal 2 5 2 4 3" xfId="1675" xr:uid="{00000000-0005-0000-0000-0000EC3C0000}"/>
    <cellStyle name="Normal 2 5 2 4 3 2" xfId="1676" xr:uid="{00000000-0005-0000-0000-0000ED3C0000}"/>
    <cellStyle name="Normal 2 5 2 4 3 2 2" xfId="1677" xr:uid="{00000000-0005-0000-0000-0000EE3C0000}"/>
    <cellStyle name="Normal 2 5 2 4 3 3" xfId="1678" xr:uid="{00000000-0005-0000-0000-0000EF3C0000}"/>
    <cellStyle name="Normal 2 5 2 4 3 3 2" xfId="1679" xr:uid="{00000000-0005-0000-0000-0000F03C0000}"/>
    <cellStyle name="Normal 2 5 2 4 3 4" xfId="1680" xr:uid="{00000000-0005-0000-0000-0000F13C0000}"/>
    <cellStyle name="Normal 2 5 2 4 4" xfId="1681" xr:uid="{00000000-0005-0000-0000-0000F23C0000}"/>
    <cellStyle name="Normal 2 5 2 4 4 2" xfId="1682" xr:uid="{00000000-0005-0000-0000-0000F33C0000}"/>
    <cellStyle name="Normal 2 5 2 4 4 3" xfId="1683" xr:uid="{00000000-0005-0000-0000-0000F43C0000}"/>
    <cellStyle name="Normal 2 5 2 4 5" xfId="1684" xr:uid="{00000000-0005-0000-0000-0000F53C0000}"/>
    <cellStyle name="Normal 2 5 2 4 5 2" xfId="1685" xr:uid="{00000000-0005-0000-0000-0000F63C0000}"/>
    <cellStyle name="Normal 2 5 2 4 6" xfId="1686" xr:uid="{00000000-0005-0000-0000-0000F73C0000}"/>
    <cellStyle name="Normal 2 5 2 4 6 2" xfId="1687" xr:uid="{00000000-0005-0000-0000-0000F83C0000}"/>
    <cellStyle name="Normal 2 5 2 4 7" xfId="1688" xr:uid="{00000000-0005-0000-0000-0000F93C0000}"/>
    <cellStyle name="Normal 2 5 2 5" xfId="1689" xr:uid="{00000000-0005-0000-0000-0000FA3C0000}"/>
    <cellStyle name="Normal 2 5 2 5 2" xfId="1690" xr:uid="{00000000-0005-0000-0000-0000FB3C0000}"/>
    <cellStyle name="Normal 2 5 2 5 2 2" xfId="1691" xr:uid="{00000000-0005-0000-0000-0000FC3C0000}"/>
    <cellStyle name="Normal 2 5 2 5 2 2 2" xfId="1692" xr:uid="{00000000-0005-0000-0000-0000FD3C0000}"/>
    <cellStyle name="Normal 2 5 2 5 2 2 3" xfId="1693" xr:uid="{00000000-0005-0000-0000-0000FE3C0000}"/>
    <cellStyle name="Normal 2 5 2 5 2 3" xfId="1694" xr:uid="{00000000-0005-0000-0000-0000FF3C0000}"/>
    <cellStyle name="Normal 2 5 2 5 2 3 2" xfId="1695" xr:uid="{00000000-0005-0000-0000-0000003D0000}"/>
    <cellStyle name="Normal 2 5 2 5 2 4" xfId="1696" xr:uid="{00000000-0005-0000-0000-0000013D0000}"/>
    <cellStyle name="Normal 2 5 2 5 2 4 2" xfId="1697" xr:uid="{00000000-0005-0000-0000-0000023D0000}"/>
    <cellStyle name="Normal 2 5 2 5 2 5" xfId="1698" xr:uid="{00000000-0005-0000-0000-0000033D0000}"/>
    <cellStyle name="Normal 2 5 2 5 3" xfId="1699" xr:uid="{00000000-0005-0000-0000-0000043D0000}"/>
    <cellStyle name="Normal 2 5 2 5 3 2" xfId="1700" xr:uid="{00000000-0005-0000-0000-0000053D0000}"/>
    <cellStyle name="Normal 2 5 2 5 3 2 2" xfId="1701" xr:uid="{00000000-0005-0000-0000-0000063D0000}"/>
    <cellStyle name="Normal 2 5 2 5 3 3" xfId="1702" xr:uid="{00000000-0005-0000-0000-0000073D0000}"/>
    <cellStyle name="Normal 2 5 2 5 3 3 2" xfId="1703" xr:uid="{00000000-0005-0000-0000-0000083D0000}"/>
    <cellStyle name="Normal 2 5 2 5 3 4" xfId="1704" xr:uid="{00000000-0005-0000-0000-0000093D0000}"/>
    <cellStyle name="Normal 2 5 2 5 4" xfId="1705" xr:uid="{00000000-0005-0000-0000-00000A3D0000}"/>
    <cellStyle name="Normal 2 5 2 5 4 2" xfId="1706" xr:uid="{00000000-0005-0000-0000-00000B3D0000}"/>
    <cellStyle name="Normal 2 5 2 5 4 3" xfId="1707" xr:uid="{00000000-0005-0000-0000-00000C3D0000}"/>
    <cellStyle name="Normal 2 5 2 5 5" xfId="1708" xr:uid="{00000000-0005-0000-0000-00000D3D0000}"/>
    <cellStyle name="Normal 2 5 2 5 5 2" xfId="1709" xr:uid="{00000000-0005-0000-0000-00000E3D0000}"/>
    <cellStyle name="Normal 2 5 2 5 6" xfId="1710" xr:uid="{00000000-0005-0000-0000-00000F3D0000}"/>
    <cellStyle name="Normal 2 5 2 5 6 2" xfId="1711" xr:uid="{00000000-0005-0000-0000-0000103D0000}"/>
    <cellStyle name="Normal 2 5 2 5 7" xfId="1712" xr:uid="{00000000-0005-0000-0000-0000113D0000}"/>
    <cellStyle name="Normal 2 5 2 6" xfId="1713" xr:uid="{00000000-0005-0000-0000-0000123D0000}"/>
    <cellStyle name="Normal 2 5 2 6 2" xfId="1714" xr:uid="{00000000-0005-0000-0000-0000133D0000}"/>
    <cellStyle name="Normal 2 5 2 6 2 2" xfId="1715" xr:uid="{00000000-0005-0000-0000-0000143D0000}"/>
    <cellStyle name="Normal 2 5 2 6 2 2 2" xfId="1716" xr:uid="{00000000-0005-0000-0000-0000153D0000}"/>
    <cellStyle name="Normal 2 5 2 6 2 3" xfId="1717" xr:uid="{00000000-0005-0000-0000-0000163D0000}"/>
    <cellStyle name="Normal 2 5 2 6 2 3 2" xfId="1718" xr:uid="{00000000-0005-0000-0000-0000173D0000}"/>
    <cellStyle name="Normal 2 5 2 6 2 4" xfId="1719" xr:uid="{00000000-0005-0000-0000-0000183D0000}"/>
    <cellStyle name="Normal 2 5 2 6 3" xfId="1720" xr:uid="{00000000-0005-0000-0000-0000193D0000}"/>
    <cellStyle name="Normal 2 5 2 6 3 2" xfId="1721" xr:uid="{00000000-0005-0000-0000-00001A3D0000}"/>
    <cellStyle name="Normal 2 5 2 6 3 3" xfId="1722" xr:uid="{00000000-0005-0000-0000-00001B3D0000}"/>
    <cellStyle name="Normal 2 5 2 6 4" xfId="1723" xr:uid="{00000000-0005-0000-0000-00001C3D0000}"/>
    <cellStyle name="Normal 2 5 2 6 4 2" xfId="1724" xr:uid="{00000000-0005-0000-0000-00001D3D0000}"/>
    <cellStyle name="Normal 2 5 2 6 5" xfId="1725" xr:uid="{00000000-0005-0000-0000-00001E3D0000}"/>
    <cellStyle name="Normal 2 5 2 6 5 2" xfId="1726" xr:uid="{00000000-0005-0000-0000-00001F3D0000}"/>
    <cellStyle name="Normal 2 5 2 6 6" xfId="1727" xr:uid="{00000000-0005-0000-0000-0000203D0000}"/>
    <cellStyle name="Normal 2 5 2 7" xfId="1728" xr:uid="{00000000-0005-0000-0000-0000213D0000}"/>
    <cellStyle name="Normal 2 5 2 7 2" xfId="1729" xr:uid="{00000000-0005-0000-0000-0000223D0000}"/>
    <cellStyle name="Normal 2 5 2 7 2 2" xfId="1730" xr:uid="{00000000-0005-0000-0000-0000233D0000}"/>
    <cellStyle name="Normal 2 5 2 7 3" xfId="1731" xr:uid="{00000000-0005-0000-0000-0000243D0000}"/>
    <cellStyle name="Normal 2 5 2 7 3 2" xfId="1732" xr:uid="{00000000-0005-0000-0000-0000253D0000}"/>
    <cellStyle name="Normal 2 5 2 7 4" xfId="1733" xr:uid="{00000000-0005-0000-0000-0000263D0000}"/>
    <cellStyle name="Normal 2 5 2 8" xfId="1734" xr:uid="{00000000-0005-0000-0000-0000273D0000}"/>
    <cellStyle name="Normal 2 5 2 8 2" xfId="1735" xr:uid="{00000000-0005-0000-0000-0000283D0000}"/>
    <cellStyle name="Normal 2 5 2 8 2 2" xfId="1736" xr:uid="{00000000-0005-0000-0000-0000293D0000}"/>
    <cellStyle name="Normal 2 5 2 8 3" xfId="1737" xr:uid="{00000000-0005-0000-0000-00002A3D0000}"/>
    <cellStyle name="Normal 2 5 2 8 3 2" xfId="1738" xr:uid="{00000000-0005-0000-0000-00002B3D0000}"/>
    <cellStyle name="Normal 2 5 2 8 4" xfId="1739" xr:uid="{00000000-0005-0000-0000-00002C3D0000}"/>
    <cellStyle name="Normal 2 5 2 9" xfId="1740" xr:uid="{00000000-0005-0000-0000-00002D3D0000}"/>
    <cellStyle name="Normal 2 5 2 9 2" xfId="1741" xr:uid="{00000000-0005-0000-0000-00002E3D0000}"/>
    <cellStyle name="Normal 2 5 2 9 3" xfId="1742" xr:uid="{00000000-0005-0000-0000-00002F3D0000}"/>
    <cellStyle name="Normal 2 5 3" xfId="1743" xr:uid="{00000000-0005-0000-0000-0000303D0000}"/>
    <cellStyle name="Normal 2 5 3 10" xfId="1744" xr:uid="{00000000-0005-0000-0000-0000313D0000}"/>
    <cellStyle name="Normal 2 5 3 10 2" xfId="1745" xr:uid="{00000000-0005-0000-0000-0000323D0000}"/>
    <cellStyle name="Normal 2 5 3 11" xfId="1746" xr:uid="{00000000-0005-0000-0000-0000333D0000}"/>
    <cellStyle name="Normal 2 5 3 2" xfId="1747" xr:uid="{00000000-0005-0000-0000-0000343D0000}"/>
    <cellStyle name="Normal 2 5 3 2 2" xfId="1748" xr:uid="{00000000-0005-0000-0000-0000353D0000}"/>
    <cellStyle name="Normal 2 5 3 2 2 2" xfId="1749" xr:uid="{00000000-0005-0000-0000-0000363D0000}"/>
    <cellStyle name="Normal 2 5 3 2 2 2 2" xfId="1750" xr:uid="{00000000-0005-0000-0000-0000373D0000}"/>
    <cellStyle name="Normal 2 5 3 2 2 2 2 2" xfId="1751" xr:uid="{00000000-0005-0000-0000-0000383D0000}"/>
    <cellStyle name="Normal 2 5 3 2 2 2 2 3" xfId="1752" xr:uid="{00000000-0005-0000-0000-0000393D0000}"/>
    <cellStyle name="Normal 2 5 3 2 2 2 3" xfId="1753" xr:uid="{00000000-0005-0000-0000-00003A3D0000}"/>
    <cellStyle name="Normal 2 5 3 2 2 2 3 2" xfId="1754" xr:uid="{00000000-0005-0000-0000-00003B3D0000}"/>
    <cellStyle name="Normal 2 5 3 2 2 2 4" xfId="1755" xr:uid="{00000000-0005-0000-0000-00003C3D0000}"/>
    <cellStyle name="Normal 2 5 3 2 2 2 4 2" xfId="1756" xr:uid="{00000000-0005-0000-0000-00003D3D0000}"/>
    <cellStyle name="Normal 2 5 3 2 2 2 5" xfId="1757" xr:uid="{00000000-0005-0000-0000-00003E3D0000}"/>
    <cellStyle name="Normal 2 5 3 2 2 3" xfId="1758" xr:uid="{00000000-0005-0000-0000-00003F3D0000}"/>
    <cellStyle name="Normal 2 5 3 2 2 3 2" xfId="1759" xr:uid="{00000000-0005-0000-0000-0000403D0000}"/>
    <cellStyle name="Normal 2 5 3 2 2 3 2 2" xfId="1760" xr:uid="{00000000-0005-0000-0000-0000413D0000}"/>
    <cellStyle name="Normal 2 5 3 2 2 3 3" xfId="1761" xr:uid="{00000000-0005-0000-0000-0000423D0000}"/>
    <cellStyle name="Normal 2 5 3 2 2 3 3 2" xfId="1762" xr:uid="{00000000-0005-0000-0000-0000433D0000}"/>
    <cellStyle name="Normal 2 5 3 2 2 3 4" xfId="1763" xr:uid="{00000000-0005-0000-0000-0000443D0000}"/>
    <cellStyle name="Normal 2 5 3 2 2 4" xfId="1764" xr:uid="{00000000-0005-0000-0000-0000453D0000}"/>
    <cellStyle name="Normal 2 5 3 2 2 4 2" xfId="1765" xr:uid="{00000000-0005-0000-0000-0000463D0000}"/>
    <cellStyle name="Normal 2 5 3 2 2 4 3" xfId="1766" xr:uid="{00000000-0005-0000-0000-0000473D0000}"/>
    <cellStyle name="Normal 2 5 3 2 2 5" xfId="1767" xr:uid="{00000000-0005-0000-0000-0000483D0000}"/>
    <cellStyle name="Normal 2 5 3 2 2 5 2" xfId="1768" xr:uid="{00000000-0005-0000-0000-0000493D0000}"/>
    <cellStyle name="Normal 2 5 3 2 2 6" xfId="1769" xr:uid="{00000000-0005-0000-0000-00004A3D0000}"/>
    <cellStyle name="Normal 2 5 3 2 2 6 2" xfId="1770" xr:uid="{00000000-0005-0000-0000-00004B3D0000}"/>
    <cellStyle name="Normal 2 5 3 2 2 7" xfId="1771" xr:uid="{00000000-0005-0000-0000-00004C3D0000}"/>
    <cellStyle name="Normal 2 5 3 2 3" xfId="1772" xr:uid="{00000000-0005-0000-0000-00004D3D0000}"/>
    <cellStyle name="Normal 2 5 3 2 3 2" xfId="1773" xr:uid="{00000000-0005-0000-0000-00004E3D0000}"/>
    <cellStyle name="Normal 2 5 3 2 3 2 2" xfId="1774" xr:uid="{00000000-0005-0000-0000-00004F3D0000}"/>
    <cellStyle name="Normal 2 5 3 2 3 2 3" xfId="1775" xr:uid="{00000000-0005-0000-0000-0000503D0000}"/>
    <cellStyle name="Normal 2 5 3 2 3 3" xfId="1776" xr:uid="{00000000-0005-0000-0000-0000513D0000}"/>
    <cellStyle name="Normal 2 5 3 2 3 3 2" xfId="1777" xr:uid="{00000000-0005-0000-0000-0000523D0000}"/>
    <cellStyle name="Normal 2 5 3 2 3 4" xfId="1778" xr:uid="{00000000-0005-0000-0000-0000533D0000}"/>
    <cellStyle name="Normal 2 5 3 2 3 4 2" xfId="1779" xr:uid="{00000000-0005-0000-0000-0000543D0000}"/>
    <cellStyle name="Normal 2 5 3 2 3 5" xfId="1780" xr:uid="{00000000-0005-0000-0000-0000553D0000}"/>
    <cellStyle name="Normal 2 5 3 2 4" xfId="1781" xr:uid="{00000000-0005-0000-0000-0000563D0000}"/>
    <cellStyle name="Normal 2 5 3 2 4 2" xfId="1782" xr:uid="{00000000-0005-0000-0000-0000573D0000}"/>
    <cellStyle name="Normal 2 5 3 2 4 2 2" xfId="1783" xr:uid="{00000000-0005-0000-0000-0000583D0000}"/>
    <cellStyle name="Normal 2 5 3 2 4 3" xfId="1784" xr:uid="{00000000-0005-0000-0000-0000593D0000}"/>
    <cellStyle name="Normal 2 5 3 2 4 3 2" xfId="1785" xr:uid="{00000000-0005-0000-0000-00005A3D0000}"/>
    <cellStyle name="Normal 2 5 3 2 4 4" xfId="1786" xr:uid="{00000000-0005-0000-0000-00005B3D0000}"/>
    <cellStyle name="Normal 2 5 3 2 5" xfId="1787" xr:uid="{00000000-0005-0000-0000-00005C3D0000}"/>
    <cellStyle name="Normal 2 5 3 2 5 2" xfId="1788" xr:uid="{00000000-0005-0000-0000-00005D3D0000}"/>
    <cellStyle name="Normal 2 5 3 2 5 3" xfId="1789" xr:uid="{00000000-0005-0000-0000-00005E3D0000}"/>
    <cellStyle name="Normal 2 5 3 2 6" xfId="1790" xr:uid="{00000000-0005-0000-0000-00005F3D0000}"/>
    <cellStyle name="Normal 2 5 3 2 6 2" xfId="1791" xr:uid="{00000000-0005-0000-0000-0000603D0000}"/>
    <cellStyle name="Normal 2 5 3 2 7" xfId="1792" xr:uid="{00000000-0005-0000-0000-0000613D0000}"/>
    <cellStyle name="Normal 2 5 3 2 7 2" xfId="1793" xr:uid="{00000000-0005-0000-0000-0000623D0000}"/>
    <cellStyle name="Normal 2 5 3 2 8" xfId="1794" xr:uid="{00000000-0005-0000-0000-0000633D0000}"/>
    <cellStyle name="Normal 2 5 3 3" xfId="1795" xr:uid="{00000000-0005-0000-0000-0000643D0000}"/>
    <cellStyle name="Normal 2 5 3 3 2" xfId="1796" xr:uid="{00000000-0005-0000-0000-0000653D0000}"/>
    <cellStyle name="Normal 2 5 3 3 2 2" xfId="1797" xr:uid="{00000000-0005-0000-0000-0000663D0000}"/>
    <cellStyle name="Normal 2 5 3 3 2 2 2" xfId="1798" xr:uid="{00000000-0005-0000-0000-0000673D0000}"/>
    <cellStyle name="Normal 2 5 3 3 2 2 3" xfId="1799" xr:uid="{00000000-0005-0000-0000-0000683D0000}"/>
    <cellStyle name="Normal 2 5 3 3 2 3" xfId="1800" xr:uid="{00000000-0005-0000-0000-0000693D0000}"/>
    <cellStyle name="Normal 2 5 3 3 2 3 2" xfId="1801" xr:uid="{00000000-0005-0000-0000-00006A3D0000}"/>
    <cellStyle name="Normal 2 5 3 3 2 4" xfId="1802" xr:uid="{00000000-0005-0000-0000-00006B3D0000}"/>
    <cellStyle name="Normal 2 5 3 3 2 4 2" xfId="1803" xr:uid="{00000000-0005-0000-0000-00006C3D0000}"/>
    <cellStyle name="Normal 2 5 3 3 2 5" xfId="1804" xr:uid="{00000000-0005-0000-0000-00006D3D0000}"/>
    <cellStyle name="Normal 2 5 3 3 3" xfId="1805" xr:uid="{00000000-0005-0000-0000-00006E3D0000}"/>
    <cellStyle name="Normal 2 5 3 3 3 2" xfId="1806" xr:uid="{00000000-0005-0000-0000-00006F3D0000}"/>
    <cellStyle name="Normal 2 5 3 3 3 2 2" xfId="1807" xr:uid="{00000000-0005-0000-0000-0000703D0000}"/>
    <cellStyle name="Normal 2 5 3 3 3 3" xfId="1808" xr:uid="{00000000-0005-0000-0000-0000713D0000}"/>
    <cellStyle name="Normal 2 5 3 3 3 3 2" xfId="1809" xr:uid="{00000000-0005-0000-0000-0000723D0000}"/>
    <cellStyle name="Normal 2 5 3 3 3 4" xfId="1810" xr:uid="{00000000-0005-0000-0000-0000733D0000}"/>
    <cellStyle name="Normal 2 5 3 3 4" xfId="1811" xr:uid="{00000000-0005-0000-0000-0000743D0000}"/>
    <cellStyle name="Normal 2 5 3 3 4 2" xfId="1812" xr:uid="{00000000-0005-0000-0000-0000753D0000}"/>
    <cellStyle name="Normal 2 5 3 3 4 3" xfId="1813" xr:uid="{00000000-0005-0000-0000-0000763D0000}"/>
    <cellStyle name="Normal 2 5 3 3 5" xfId="1814" xr:uid="{00000000-0005-0000-0000-0000773D0000}"/>
    <cellStyle name="Normal 2 5 3 3 5 2" xfId="1815" xr:uid="{00000000-0005-0000-0000-0000783D0000}"/>
    <cellStyle name="Normal 2 5 3 3 6" xfId="1816" xr:uid="{00000000-0005-0000-0000-0000793D0000}"/>
    <cellStyle name="Normal 2 5 3 3 6 2" xfId="1817" xr:uid="{00000000-0005-0000-0000-00007A3D0000}"/>
    <cellStyle name="Normal 2 5 3 3 7" xfId="1818" xr:uid="{00000000-0005-0000-0000-00007B3D0000}"/>
    <cellStyle name="Normal 2 5 3 4" xfId="1819" xr:uid="{00000000-0005-0000-0000-00007C3D0000}"/>
    <cellStyle name="Normal 2 5 3 4 2" xfId="1820" xr:uid="{00000000-0005-0000-0000-00007D3D0000}"/>
    <cellStyle name="Normal 2 5 3 4 2 2" xfId="1821" xr:uid="{00000000-0005-0000-0000-00007E3D0000}"/>
    <cellStyle name="Normal 2 5 3 4 2 2 2" xfId="1822" xr:uid="{00000000-0005-0000-0000-00007F3D0000}"/>
    <cellStyle name="Normal 2 5 3 4 2 2 3" xfId="1823" xr:uid="{00000000-0005-0000-0000-0000803D0000}"/>
    <cellStyle name="Normal 2 5 3 4 2 3" xfId="1824" xr:uid="{00000000-0005-0000-0000-0000813D0000}"/>
    <cellStyle name="Normal 2 5 3 4 2 3 2" xfId="1825" xr:uid="{00000000-0005-0000-0000-0000823D0000}"/>
    <cellStyle name="Normal 2 5 3 4 2 4" xfId="1826" xr:uid="{00000000-0005-0000-0000-0000833D0000}"/>
    <cellStyle name="Normal 2 5 3 4 2 4 2" xfId="1827" xr:uid="{00000000-0005-0000-0000-0000843D0000}"/>
    <cellStyle name="Normal 2 5 3 4 2 5" xfId="1828" xr:uid="{00000000-0005-0000-0000-0000853D0000}"/>
    <cellStyle name="Normal 2 5 3 4 3" xfId="1829" xr:uid="{00000000-0005-0000-0000-0000863D0000}"/>
    <cellStyle name="Normal 2 5 3 4 3 2" xfId="1830" xr:uid="{00000000-0005-0000-0000-0000873D0000}"/>
    <cellStyle name="Normal 2 5 3 4 3 2 2" xfId="1831" xr:uid="{00000000-0005-0000-0000-0000883D0000}"/>
    <cellStyle name="Normal 2 5 3 4 3 3" xfId="1832" xr:uid="{00000000-0005-0000-0000-0000893D0000}"/>
    <cellStyle name="Normal 2 5 3 4 3 3 2" xfId="1833" xr:uid="{00000000-0005-0000-0000-00008A3D0000}"/>
    <cellStyle name="Normal 2 5 3 4 3 4" xfId="1834" xr:uid="{00000000-0005-0000-0000-00008B3D0000}"/>
    <cellStyle name="Normal 2 5 3 4 4" xfId="1835" xr:uid="{00000000-0005-0000-0000-00008C3D0000}"/>
    <cellStyle name="Normal 2 5 3 4 4 2" xfId="1836" xr:uid="{00000000-0005-0000-0000-00008D3D0000}"/>
    <cellStyle name="Normal 2 5 3 4 4 3" xfId="1837" xr:uid="{00000000-0005-0000-0000-00008E3D0000}"/>
    <cellStyle name="Normal 2 5 3 4 5" xfId="1838" xr:uid="{00000000-0005-0000-0000-00008F3D0000}"/>
    <cellStyle name="Normal 2 5 3 4 5 2" xfId="1839" xr:uid="{00000000-0005-0000-0000-0000903D0000}"/>
    <cellStyle name="Normal 2 5 3 4 6" xfId="1840" xr:uid="{00000000-0005-0000-0000-0000913D0000}"/>
    <cellStyle name="Normal 2 5 3 4 6 2" xfId="1841" xr:uid="{00000000-0005-0000-0000-0000923D0000}"/>
    <cellStyle name="Normal 2 5 3 4 7" xfId="1842" xr:uid="{00000000-0005-0000-0000-0000933D0000}"/>
    <cellStyle name="Normal 2 5 3 5" xfId="1843" xr:uid="{00000000-0005-0000-0000-0000943D0000}"/>
    <cellStyle name="Normal 2 5 3 5 2" xfId="1844" xr:uid="{00000000-0005-0000-0000-0000953D0000}"/>
    <cellStyle name="Normal 2 5 3 5 2 2" xfId="1845" xr:uid="{00000000-0005-0000-0000-0000963D0000}"/>
    <cellStyle name="Normal 2 5 3 5 2 2 2" xfId="1846" xr:uid="{00000000-0005-0000-0000-0000973D0000}"/>
    <cellStyle name="Normal 2 5 3 5 2 3" xfId="1847" xr:uid="{00000000-0005-0000-0000-0000983D0000}"/>
    <cellStyle name="Normal 2 5 3 5 2 3 2" xfId="1848" xr:uid="{00000000-0005-0000-0000-0000993D0000}"/>
    <cellStyle name="Normal 2 5 3 5 2 4" xfId="1849" xr:uid="{00000000-0005-0000-0000-00009A3D0000}"/>
    <cellStyle name="Normal 2 5 3 5 3" xfId="1850" xr:uid="{00000000-0005-0000-0000-00009B3D0000}"/>
    <cellStyle name="Normal 2 5 3 5 3 2" xfId="1851" xr:uid="{00000000-0005-0000-0000-00009C3D0000}"/>
    <cellStyle name="Normal 2 5 3 5 3 3" xfId="1852" xr:uid="{00000000-0005-0000-0000-00009D3D0000}"/>
    <cellStyle name="Normal 2 5 3 5 4" xfId="1853" xr:uid="{00000000-0005-0000-0000-00009E3D0000}"/>
    <cellStyle name="Normal 2 5 3 5 4 2" xfId="1854" xr:uid="{00000000-0005-0000-0000-00009F3D0000}"/>
    <cellStyle name="Normal 2 5 3 5 5" xfId="1855" xr:uid="{00000000-0005-0000-0000-0000A03D0000}"/>
    <cellStyle name="Normal 2 5 3 5 5 2" xfId="1856" xr:uid="{00000000-0005-0000-0000-0000A13D0000}"/>
    <cellStyle name="Normal 2 5 3 5 6" xfId="1857" xr:uid="{00000000-0005-0000-0000-0000A23D0000}"/>
    <cellStyle name="Normal 2 5 3 6" xfId="1858" xr:uid="{00000000-0005-0000-0000-0000A33D0000}"/>
    <cellStyle name="Normal 2 5 3 6 2" xfId="1859" xr:uid="{00000000-0005-0000-0000-0000A43D0000}"/>
    <cellStyle name="Normal 2 5 3 6 2 2" xfId="1860" xr:uid="{00000000-0005-0000-0000-0000A53D0000}"/>
    <cellStyle name="Normal 2 5 3 6 3" xfId="1861" xr:uid="{00000000-0005-0000-0000-0000A63D0000}"/>
    <cellStyle name="Normal 2 5 3 6 3 2" xfId="1862" xr:uid="{00000000-0005-0000-0000-0000A73D0000}"/>
    <cellStyle name="Normal 2 5 3 6 4" xfId="1863" xr:uid="{00000000-0005-0000-0000-0000A83D0000}"/>
    <cellStyle name="Normal 2 5 3 7" xfId="1864" xr:uid="{00000000-0005-0000-0000-0000A93D0000}"/>
    <cellStyle name="Normal 2 5 3 7 2" xfId="1865" xr:uid="{00000000-0005-0000-0000-0000AA3D0000}"/>
    <cellStyle name="Normal 2 5 3 7 2 2" xfId="1866" xr:uid="{00000000-0005-0000-0000-0000AB3D0000}"/>
    <cellStyle name="Normal 2 5 3 7 3" xfId="1867" xr:uid="{00000000-0005-0000-0000-0000AC3D0000}"/>
    <cellStyle name="Normal 2 5 3 7 3 2" xfId="1868" xr:uid="{00000000-0005-0000-0000-0000AD3D0000}"/>
    <cellStyle name="Normal 2 5 3 7 4" xfId="1869" xr:uid="{00000000-0005-0000-0000-0000AE3D0000}"/>
    <cellStyle name="Normal 2 5 3 8" xfId="1870" xr:uid="{00000000-0005-0000-0000-0000AF3D0000}"/>
    <cellStyle name="Normal 2 5 3 8 2" xfId="1871" xr:uid="{00000000-0005-0000-0000-0000B03D0000}"/>
    <cellStyle name="Normal 2 5 3 8 3" xfId="1872" xr:uid="{00000000-0005-0000-0000-0000B13D0000}"/>
    <cellStyle name="Normal 2 5 3 9" xfId="1873" xr:uid="{00000000-0005-0000-0000-0000B23D0000}"/>
    <cellStyle name="Normal 2 5 3 9 2" xfId="1874" xr:uid="{00000000-0005-0000-0000-0000B33D0000}"/>
    <cellStyle name="Normal 2 5 4" xfId="1875" xr:uid="{00000000-0005-0000-0000-0000B43D0000}"/>
    <cellStyle name="Normal 2 5 4 10" xfId="1876" xr:uid="{00000000-0005-0000-0000-0000B53D0000}"/>
    <cellStyle name="Normal 2 5 4 2" xfId="1877" xr:uid="{00000000-0005-0000-0000-0000B63D0000}"/>
    <cellStyle name="Normal 2 5 4 2 2" xfId="1878" xr:uid="{00000000-0005-0000-0000-0000B73D0000}"/>
    <cellStyle name="Normal 2 5 4 2 2 2" xfId="1879" xr:uid="{00000000-0005-0000-0000-0000B83D0000}"/>
    <cellStyle name="Normal 2 5 4 2 2 2 2" xfId="1880" xr:uid="{00000000-0005-0000-0000-0000B93D0000}"/>
    <cellStyle name="Normal 2 5 4 2 2 2 3" xfId="1881" xr:uid="{00000000-0005-0000-0000-0000BA3D0000}"/>
    <cellStyle name="Normal 2 5 4 2 2 3" xfId="1882" xr:uid="{00000000-0005-0000-0000-0000BB3D0000}"/>
    <cellStyle name="Normal 2 5 4 2 2 3 2" xfId="1883" xr:uid="{00000000-0005-0000-0000-0000BC3D0000}"/>
    <cellStyle name="Normal 2 5 4 2 2 4" xfId="1884" xr:uid="{00000000-0005-0000-0000-0000BD3D0000}"/>
    <cellStyle name="Normal 2 5 4 2 2 4 2" xfId="1885" xr:uid="{00000000-0005-0000-0000-0000BE3D0000}"/>
    <cellStyle name="Normal 2 5 4 2 2 5" xfId="1886" xr:uid="{00000000-0005-0000-0000-0000BF3D0000}"/>
    <cellStyle name="Normal 2 5 4 2 3" xfId="1887" xr:uid="{00000000-0005-0000-0000-0000C03D0000}"/>
    <cellStyle name="Normal 2 5 4 2 3 2" xfId="1888" xr:uid="{00000000-0005-0000-0000-0000C13D0000}"/>
    <cellStyle name="Normal 2 5 4 2 3 2 2" xfId="1889" xr:uid="{00000000-0005-0000-0000-0000C23D0000}"/>
    <cellStyle name="Normal 2 5 4 2 3 3" xfId="1890" xr:uid="{00000000-0005-0000-0000-0000C33D0000}"/>
    <cellStyle name="Normal 2 5 4 2 3 3 2" xfId="1891" xr:uid="{00000000-0005-0000-0000-0000C43D0000}"/>
    <cellStyle name="Normal 2 5 4 2 3 4" xfId="1892" xr:uid="{00000000-0005-0000-0000-0000C53D0000}"/>
    <cellStyle name="Normal 2 5 4 2 4" xfId="1893" xr:uid="{00000000-0005-0000-0000-0000C63D0000}"/>
    <cellStyle name="Normal 2 5 4 2 4 2" xfId="1894" xr:uid="{00000000-0005-0000-0000-0000C73D0000}"/>
    <cellStyle name="Normal 2 5 4 2 4 3" xfId="1895" xr:uid="{00000000-0005-0000-0000-0000C83D0000}"/>
    <cellStyle name="Normal 2 5 4 2 5" xfId="1896" xr:uid="{00000000-0005-0000-0000-0000C93D0000}"/>
    <cellStyle name="Normal 2 5 4 2 5 2" xfId="1897" xr:uid="{00000000-0005-0000-0000-0000CA3D0000}"/>
    <cellStyle name="Normal 2 5 4 2 6" xfId="1898" xr:uid="{00000000-0005-0000-0000-0000CB3D0000}"/>
    <cellStyle name="Normal 2 5 4 2 6 2" xfId="1899" xr:uid="{00000000-0005-0000-0000-0000CC3D0000}"/>
    <cellStyle name="Normal 2 5 4 2 7" xfId="1900" xr:uid="{00000000-0005-0000-0000-0000CD3D0000}"/>
    <cellStyle name="Normal 2 5 4 3" xfId="1901" xr:uid="{00000000-0005-0000-0000-0000CE3D0000}"/>
    <cellStyle name="Normal 2 5 4 3 2" xfId="1902" xr:uid="{00000000-0005-0000-0000-0000CF3D0000}"/>
    <cellStyle name="Normal 2 5 4 3 2 2" xfId="1903" xr:uid="{00000000-0005-0000-0000-0000D03D0000}"/>
    <cellStyle name="Normal 2 5 4 3 2 2 2" xfId="1904" xr:uid="{00000000-0005-0000-0000-0000D13D0000}"/>
    <cellStyle name="Normal 2 5 4 3 2 2 3" xfId="1905" xr:uid="{00000000-0005-0000-0000-0000D23D0000}"/>
    <cellStyle name="Normal 2 5 4 3 2 3" xfId="1906" xr:uid="{00000000-0005-0000-0000-0000D33D0000}"/>
    <cellStyle name="Normal 2 5 4 3 2 3 2" xfId="1907" xr:uid="{00000000-0005-0000-0000-0000D43D0000}"/>
    <cellStyle name="Normal 2 5 4 3 2 4" xfId="1908" xr:uid="{00000000-0005-0000-0000-0000D53D0000}"/>
    <cellStyle name="Normal 2 5 4 3 2 4 2" xfId="1909" xr:uid="{00000000-0005-0000-0000-0000D63D0000}"/>
    <cellStyle name="Normal 2 5 4 3 2 5" xfId="1910" xr:uid="{00000000-0005-0000-0000-0000D73D0000}"/>
    <cellStyle name="Normal 2 5 4 3 3" xfId="1911" xr:uid="{00000000-0005-0000-0000-0000D83D0000}"/>
    <cellStyle name="Normal 2 5 4 3 3 2" xfId="1912" xr:uid="{00000000-0005-0000-0000-0000D93D0000}"/>
    <cellStyle name="Normal 2 5 4 3 3 2 2" xfId="1913" xr:uid="{00000000-0005-0000-0000-0000DA3D0000}"/>
    <cellStyle name="Normal 2 5 4 3 3 3" xfId="1914" xr:uid="{00000000-0005-0000-0000-0000DB3D0000}"/>
    <cellStyle name="Normal 2 5 4 3 3 3 2" xfId="1915" xr:uid="{00000000-0005-0000-0000-0000DC3D0000}"/>
    <cellStyle name="Normal 2 5 4 3 3 4" xfId="1916" xr:uid="{00000000-0005-0000-0000-0000DD3D0000}"/>
    <cellStyle name="Normal 2 5 4 3 4" xfId="1917" xr:uid="{00000000-0005-0000-0000-0000DE3D0000}"/>
    <cellStyle name="Normal 2 5 4 3 4 2" xfId="1918" xr:uid="{00000000-0005-0000-0000-0000DF3D0000}"/>
    <cellStyle name="Normal 2 5 4 3 4 3" xfId="1919" xr:uid="{00000000-0005-0000-0000-0000E03D0000}"/>
    <cellStyle name="Normal 2 5 4 3 5" xfId="1920" xr:uid="{00000000-0005-0000-0000-0000E13D0000}"/>
    <cellStyle name="Normal 2 5 4 3 5 2" xfId="1921" xr:uid="{00000000-0005-0000-0000-0000E23D0000}"/>
    <cellStyle name="Normal 2 5 4 3 6" xfId="1922" xr:uid="{00000000-0005-0000-0000-0000E33D0000}"/>
    <cellStyle name="Normal 2 5 4 3 6 2" xfId="1923" xr:uid="{00000000-0005-0000-0000-0000E43D0000}"/>
    <cellStyle name="Normal 2 5 4 3 7" xfId="1924" xr:uid="{00000000-0005-0000-0000-0000E53D0000}"/>
    <cellStyle name="Normal 2 5 4 4" xfId="1925" xr:uid="{00000000-0005-0000-0000-0000E63D0000}"/>
    <cellStyle name="Normal 2 5 4 4 2" xfId="1926" xr:uid="{00000000-0005-0000-0000-0000E73D0000}"/>
    <cellStyle name="Normal 2 5 4 4 2 2" xfId="1927" xr:uid="{00000000-0005-0000-0000-0000E83D0000}"/>
    <cellStyle name="Normal 2 5 4 4 2 2 2" xfId="1928" xr:uid="{00000000-0005-0000-0000-0000E93D0000}"/>
    <cellStyle name="Normal 2 5 4 4 2 3" xfId="1929" xr:uid="{00000000-0005-0000-0000-0000EA3D0000}"/>
    <cellStyle name="Normal 2 5 4 4 2 3 2" xfId="1930" xr:uid="{00000000-0005-0000-0000-0000EB3D0000}"/>
    <cellStyle name="Normal 2 5 4 4 2 4" xfId="1931" xr:uid="{00000000-0005-0000-0000-0000EC3D0000}"/>
    <cellStyle name="Normal 2 5 4 4 3" xfId="1932" xr:uid="{00000000-0005-0000-0000-0000ED3D0000}"/>
    <cellStyle name="Normal 2 5 4 4 3 2" xfId="1933" xr:uid="{00000000-0005-0000-0000-0000EE3D0000}"/>
    <cellStyle name="Normal 2 5 4 4 3 3" xfId="1934" xr:uid="{00000000-0005-0000-0000-0000EF3D0000}"/>
    <cellStyle name="Normal 2 5 4 4 4" xfId="1935" xr:uid="{00000000-0005-0000-0000-0000F03D0000}"/>
    <cellStyle name="Normal 2 5 4 4 4 2" xfId="1936" xr:uid="{00000000-0005-0000-0000-0000F13D0000}"/>
    <cellStyle name="Normal 2 5 4 4 5" xfId="1937" xr:uid="{00000000-0005-0000-0000-0000F23D0000}"/>
    <cellStyle name="Normal 2 5 4 4 5 2" xfId="1938" xr:uid="{00000000-0005-0000-0000-0000F33D0000}"/>
    <cellStyle name="Normal 2 5 4 4 6" xfId="1939" xr:uid="{00000000-0005-0000-0000-0000F43D0000}"/>
    <cellStyle name="Normal 2 5 4 5" xfId="1940" xr:uid="{00000000-0005-0000-0000-0000F53D0000}"/>
    <cellStyle name="Normal 2 5 4 5 2" xfId="1941" xr:uid="{00000000-0005-0000-0000-0000F63D0000}"/>
    <cellStyle name="Normal 2 5 4 5 2 2" xfId="1942" xr:uid="{00000000-0005-0000-0000-0000F73D0000}"/>
    <cellStyle name="Normal 2 5 4 5 3" xfId="1943" xr:uid="{00000000-0005-0000-0000-0000F83D0000}"/>
    <cellStyle name="Normal 2 5 4 5 3 2" xfId="1944" xr:uid="{00000000-0005-0000-0000-0000F93D0000}"/>
    <cellStyle name="Normal 2 5 4 5 4" xfId="1945" xr:uid="{00000000-0005-0000-0000-0000FA3D0000}"/>
    <cellStyle name="Normal 2 5 4 6" xfId="1946" xr:uid="{00000000-0005-0000-0000-0000FB3D0000}"/>
    <cellStyle name="Normal 2 5 4 6 2" xfId="1947" xr:uid="{00000000-0005-0000-0000-0000FC3D0000}"/>
    <cellStyle name="Normal 2 5 4 6 2 2" xfId="1948" xr:uid="{00000000-0005-0000-0000-0000FD3D0000}"/>
    <cellStyle name="Normal 2 5 4 6 3" xfId="1949" xr:uid="{00000000-0005-0000-0000-0000FE3D0000}"/>
    <cellStyle name="Normal 2 5 4 6 3 2" xfId="1950" xr:uid="{00000000-0005-0000-0000-0000FF3D0000}"/>
    <cellStyle name="Normal 2 5 4 6 4" xfId="1951" xr:uid="{00000000-0005-0000-0000-0000003E0000}"/>
    <cellStyle name="Normal 2 5 4 7" xfId="1952" xr:uid="{00000000-0005-0000-0000-0000013E0000}"/>
    <cellStyle name="Normal 2 5 4 7 2" xfId="1953" xr:uid="{00000000-0005-0000-0000-0000023E0000}"/>
    <cellStyle name="Normal 2 5 4 7 3" xfId="1954" xr:uid="{00000000-0005-0000-0000-0000033E0000}"/>
    <cellStyle name="Normal 2 5 4 8" xfId="1955" xr:uid="{00000000-0005-0000-0000-0000043E0000}"/>
    <cellStyle name="Normal 2 5 4 8 2" xfId="1956" xr:uid="{00000000-0005-0000-0000-0000053E0000}"/>
    <cellStyle name="Normal 2 5 4 9" xfId="1957" xr:uid="{00000000-0005-0000-0000-0000063E0000}"/>
    <cellStyle name="Normal 2 5 4 9 2" xfId="1958" xr:uid="{00000000-0005-0000-0000-0000073E0000}"/>
    <cellStyle name="Normal 2 5 5" xfId="1959" xr:uid="{00000000-0005-0000-0000-0000083E0000}"/>
    <cellStyle name="Normal 2 5 5 2" xfId="1960" xr:uid="{00000000-0005-0000-0000-0000093E0000}"/>
    <cellStyle name="Normal 2 5 5 2 2" xfId="1961" xr:uid="{00000000-0005-0000-0000-00000A3E0000}"/>
    <cellStyle name="Normal 2 5 5 2 2 2" xfId="1962" xr:uid="{00000000-0005-0000-0000-00000B3E0000}"/>
    <cellStyle name="Normal 2 5 5 2 2 2 2" xfId="1963" xr:uid="{00000000-0005-0000-0000-00000C3E0000}"/>
    <cellStyle name="Normal 2 5 5 2 2 2 3" xfId="1964" xr:uid="{00000000-0005-0000-0000-00000D3E0000}"/>
    <cellStyle name="Normal 2 5 5 2 2 3" xfId="1965" xr:uid="{00000000-0005-0000-0000-00000E3E0000}"/>
    <cellStyle name="Normal 2 5 5 2 2 3 2" xfId="1966" xr:uid="{00000000-0005-0000-0000-00000F3E0000}"/>
    <cellStyle name="Normal 2 5 5 2 2 4" xfId="1967" xr:uid="{00000000-0005-0000-0000-0000103E0000}"/>
    <cellStyle name="Normal 2 5 5 2 2 4 2" xfId="1968" xr:uid="{00000000-0005-0000-0000-0000113E0000}"/>
    <cellStyle name="Normal 2 5 5 2 2 5" xfId="1969" xr:uid="{00000000-0005-0000-0000-0000123E0000}"/>
    <cellStyle name="Normal 2 5 5 2 3" xfId="1970" xr:uid="{00000000-0005-0000-0000-0000133E0000}"/>
    <cellStyle name="Normal 2 5 5 2 3 2" xfId="1971" xr:uid="{00000000-0005-0000-0000-0000143E0000}"/>
    <cellStyle name="Normal 2 5 5 2 3 2 2" xfId="1972" xr:uid="{00000000-0005-0000-0000-0000153E0000}"/>
    <cellStyle name="Normal 2 5 5 2 3 3" xfId="1973" xr:uid="{00000000-0005-0000-0000-0000163E0000}"/>
    <cellStyle name="Normal 2 5 5 2 3 3 2" xfId="1974" xr:uid="{00000000-0005-0000-0000-0000173E0000}"/>
    <cellStyle name="Normal 2 5 5 2 3 4" xfId="1975" xr:uid="{00000000-0005-0000-0000-0000183E0000}"/>
    <cellStyle name="Normal 2 5 5 2 4" xfId="1976" xr:uid="{00000000-0005-0000-0000-0000193E0000}"/>
    <cellStyle name="Normal 2 5 5 2 4 2" xfId="1977" xr:uid="{00000000-0005-0000-0000-00001A3E0000}"/>
    <cellStyle name="Normal 2 5 5 2 4 3" xfId="1978" xr:uid="{00000000-0005-0000-0000-00001B3E0000}"/>
    <cellStyle name="Normal 2 5 5 2 5" xfId="1979" xr:uid="{00000000-0005-0000-0000-00001C3E0000}"/>
    <cellStyle name="Normal 2 5 5 2 5 2" xfId="1980" xr:uid="{00000000-0005-0000-0000-00001D3E0000}"/>
    <cellStyle name="Normal 2 5 5 2 6" xfId="1981" xr:uid="{00000000-0005-0000-0000-00001E3E0000}"/>
    <cellStyle name="Normal 2 5 5 2 6 2" xfId="1982" xr:uid="{00000000-0005-0000-0000-00001F3E0000}"/>
    <cellStyle name="Normal 2 5 5 2 7" xfId="1983" xr:uid="{00000000-0005-0000-0000-0000203E0000}"/>
    <cellStyle name="Normal 2 5 5 3" xfId="1984" xr:uid="{00000000-0005-0000-0000-0000213E0000}"/>
    <cellStyle name="Normal 2 5 5 3 2" xfId="1985" xr:uid="{00000000-0005-0000-0000-0000223E0000}"/>
    <cellStyle name="Normal 2 5 5 3 2 2" xfId="1986" xr:uid="{00000000-0005-0000-0000-0000233E0000}"/>
    <cellStyle name="Normal 2 5 5 3 2 3" xfId="1987" xr:uid="{00000000-0005-0000-0000-0000243E0000}"/>
    <cellStyle name="Normal 2 5 5 3 3" xfId="1988" xr:uid="{00000000-0005-0000-0000-0000253E0000}"/>
    <cellStyle name="Normal 2 5 5 3 3 2" xfId="1989" xr:uid="{00000000-0005-0000-0000-0000263E0000}"/>
    <cellStyle name="Normal 2 5 5 3 4" xfId="1990" xr:uid="{00000000-0005-0000-0000-0000273E0000}"/>
    <cellStyle name="Normal 2 5 5 3 4 2" xfId="1991" xr:uid="{00000000-0005-0000-0000-0000283E0000}"/>
    <cellStyle name="Normal 2 5 5 3 5" xfId="1992" xr:uid="{00000000-0005-0000-0000-0000293E0000}"/>
    <cellStyle name="Normal 2 5 5 4" xfId="1993" xr:uid="{00000000-0005-0000-0000-00002A3E0000}"/>
    <cellStyle name="Normal 2 5 5 4 2" xfId="1994" xr:uid="{00000000-0005-0000-0000-00002B3E0000}"/>
    <cellStyle name="Normal 2 5 5 4 2 2" xfId="1995" xr:uid="{00000000-0005-0000-0000-00002C3E0000}"/>
    <cellStyle name="Normal 2 5 5 4 3" xfId="1996" xr:uid="{00000000-0005-0000-0000-00002D3E0000}"/>
    <cellStyle name="Normal 2 5 5 4 3 2" xfId="1997" xr:uid="{00000000-0005-0000-0000-00002E3E0000}"/>
    <cellStyle name="Normal 2 5 5 4 4" xfId="1998" xr:uid="{00000000-0005-0000-0000-00002F3E0000}"/>
    <cellStyle name="Normal 2 5 5 5" xfId="1999" xr:uid="{00000000-0005-0000-0000-0000303E0000}"/>
    <cellStyle name="Normal 2 5 5 5 2" xfId="2000" xr:uid="{00000000-0005-0000-0000-0000313E0000}"/>
    <cellStyle name="Normal 2 5 5 5 3" xfId="2001" xr:uid="{00000000-0005-0000-0000-0000323E0000}"/>
    <cellStyle name="Normal 2 5 5 6" xfId="2002" xr:uid="{00000000-0005-0000-0000-0000333E0000}"/>
    <cellStyle name="Normal 2 5 5 6 2" xfId="2003" xr:uid="{00000000-0005-0000-0000-0000343E0000}"/>
    <cellStyle name="Normal 2 5 5 7" xfId="2004" xr:uid="{00000000-0005-0000-0000-0000353E0000}"/>
    <cellStyle name="Normal 2 5 5 7 2" xfId="2005" xr:uid="{00000000-0005-0000-0000-0000363E0000}"/>
    <cellStyle name="Normal 2 5 5 8" xfId="2006" xr:uid="{00000000-0005-0000-0000-0000373E0000}"/>
    <cellStyle name="Normal 2 5 6" xfId="2007" xr:uid="{00000000-0005-0000-0000-0000383E0000}"/>
    <cellStyle name="Normal 2 5 6 2" xfId="2008" xr:uid="{00000000-0005-0000-0000-0000393E0000}"/>
    <cellStyle name="Normal 2 5 6 2 2" xfId="2009" xr:uid="{00000000-0005-0000-0000-00003A3E0000}"/>
    <cellStyle name="Normal 2 5 6 2 2 2" xfId="2010" xr:uid="{00000000-0005-0000-0000-00003B3E0000}"/>
    <cellStyle name="Normal 2 5 6 2 2 3" xfId="2011" xr:uid="{00000000-0005-0000-0000-00003C3E0000}"/>
    <cellStyle name="Normal 2 5 6 2 3" xfId="2012" xr:uid="{00000000-0005-0000-0000-00003D3E0000}"/>
    <cellStyle name="Normal 2 5 6 2 3 2" xfId="2013" xr:uid="{00000000-0005-0000-0000-00003E3E0000}"/>
    <cellStyle name="Normal 2 5 6 2 4" xfId="2014" xr:uid="{00000000-0005-0000-0000-00003F3E0000}"/>
    <cellStyle name="Normal 2 5 6 2 4 2" xfId="2015" xr:uid="{00000000-0005-0000-0000-0000403E0000}"/>
    <cellStyle name="Normal 2 5 6 2 5" xfId="2016" xr:uid="{00000000-0005-0000-0000-0000413E0000}"/>
    <cellStyle name="Normal 2 5 6 3" xfId="2017" xr:uid="{00000000-0005-0000-0000-0000423E0000}"/>
    <cellStyle name="Normal 2 5 6 3 2" xfId="2018" xr:uid="{00000000-0005-0000-0000-0000433E0000}"/>
    <cellStyle name="Normal 2 5 6 3 2 2" xfId="2019" xr:uid="{00000000-0005-0000-0000-0000443E0000}"/>
    <cellStyle name="Normal 2 5 6 3 3" xfId="2020" xr:uid="{00000000-0005-0000-0000-0000453E0000}"/>
    <cellStyle name="Normal 2 5 6 3 3 2" xfId="2021" xr:uid="{00000000-0005-0000-0000-0000463E0000}"/>
    <cellStyle name="Normal 2 5 6 3 4" xfId="2022" xr:uid="{00000000-0005-0000-0000-0000473E0000}"/>
    <cellStyle name="Normal 2 5 6 4" xfId="2023" xr:uid="{00000000-0005-0000-0000-0000483E0000}"/>
    <cellStyle name="Normal 2 5 6 4 2" xfId="2024" xr:uid="{00000000-0005-0000-0000-0000493E0000}"/>
    <cellStyle name="Normal 2 5 6 4 3" xfId="2025" xr:uid="{00000000-0005-0000-0000-00004A3E0000}"/>
    <cellStyle name="Normal 2 5 6 5" xfId="2026" xr:uid="{00000000-0005-0000-0000-00004B3E0000}"/>
    <cellStyle name="Normal 2 5 6 5 2" xfId="2027" xr:uid="{00000000-0005-0000-0000-00004C3E0000}"/>
    <cellStyle name="Normal 2 5 6 6" xfId="2028" xr:uid="{00000000-0005-0000-0000-00004D3E0000}"/>
    <cellStyle name="Normal 2 5 6 6 2" xfId="2029" xr:uid="{00000000-0005-0000-0000-00004E3E0000}"/>
    <cellStyle name="Normal 2 5 6 7" xfId="2030" xr:uid="{00000000-0005-0000-0000-00004F3E0000}"/>
    <cellStyle name="Normal 2 5 7" xfId="2031" xr:uid="{00000000-0005-0000-0000-0000503E0000}"/>
    <cellStyle name="Normal 2 5 7 2" xfId="2032" xr:uid="{00000000-0005-0000-0000-0000513E0000}"/>
    <cellStyle name="Normal 2 5 7 2 2" xfId="2033" xr:uid="{00000000-0005-0000-0000-0000523E0000}"/>
    <cellStyle name="Normal 2 5 7 2 2 2" xfId="2034" xr:uid="{00000000-0005-0000-0000-0000533E0000}"/>
    <cellStyle name="Normal 2 5 7 2 2 3" xfId="2035" xr:uid="{00000000-0005-0000-0000-0000543E0000}"/>
    <cellStyle name="Normal 2 5 7 2 3" xfId="2036" xr:uid="{00000000-0005-0000-0000-0000553E0000}"/>
    <cellStyle name="Normal 2 5 7 2 3 2" xfId="2037" xr:uid="{00000000-0005-0000-0000-0000563E0000}"/>
    <cellStyle name="Normal 2 5 7 2 4" xfId="2038" xr:uid="{00000000-0005-0000-0000-0000573E0000}"/>
    <cellStyle name="Normal 2 5 7 2 4 2" xfId="2039" xr:uid="{00000000-0005-0000-0000-0000583E0000}"/>
    <cellStyle name="Normal 2 5 7 2 5" xfId="2040" xr:uid="{00000000-0005-0000-0000-0000593E0000}"/>
    <cellStyle name="Normal 2 5 7 3" xfId="2041" xr:uid="{00000000-0005-0000-0000-00005A3E0000}"/>
    <cellStyle name="Normal 2 5 7 3 2" xfId="2042" xr:uid="{00000000-0005-0000-0000-00005B3E0000}"/>
    <cellStyle name="Normal 2 5 7 3 2 2" xfId="2043" xr:uid="{00000000-0005-0000-0000-00005C3E0000}"/>
    <cellStyle name="Normal 2 5 7 3 3" xfId="2044" xr:uid="{00000000-0005-0000-0000-00005D3E0000}"/>
    <cellStyle name="Normal 2 5 7 3 3 2" xfId="2045" xr:uid="{00000000-0005-0000-0000-00005E3E0000}"/>
    <cellStyle name="Normal 2 5 7 3 4" xfId="2046" xr:uid="{00000000-0005-0000-0000-00005F3E0000}"/>
    <cellStyle name="Normal 2 5 7 4" xfId="2047" xr:uid="{00000000-0005-0000-0000-0000603E0000}"/>
    <cellStyle name="Normal 2 5 7 4 2" xfId="2048" xr:uid="{00000000-0005-0000-0000-0000613E0000}"/>
    <cellStyle name="Normal 2 5 7 4 3" xfId="2049" xr:uid="{00000000-0005-0000-0000-0000623E0000}"/>
    <cellStyle name="Normal 2 5 7 5" xfId="2050" xr:uid="{00000000-0005-0000-0000-0000633E0000}"/>
    <cellStyle name="Normal 2 5 7 5 2" xfId="2051" xr:uid="{00000000-0005-0000-0000-0000643E0000}"/>
    <cellStyle name="Normal 2 5 7 6" xfId="2052" xr:uid="{00000000-0005-0000-0000-0000653E0000}"/>
    <cellStyle name="Normal 2 5 7 6 2" xfId="2053" xr:uid="{00000000-0005-0000-0000-0000663E0000}"/>
    <cellStyle name="Normal 2 5 7 7" xfId="2054" xr:uid="{00000000-0005-0000-0000-0000673E0000}"/>
    <cellStyle name="Normal 2 5 8" xfId="2055" xr:uid="{00000000-0005-0000-0000-0000683E0000}"/>
    <cellStyle name="Normal 2 5 8 2" xfId="2056" xr:uid="{00000000-0005-0000-0000-0000693E0000}"/>
    <cellStyle name="Normal 2 5 8 2 2" xfId="2057" xr:uid="{00000000-0005-0000-0000-00006A3E0000}"/>
    <cellStyle name="Normal 2 5 8 2 2 2" xfId="2058" xr:uid="{00000000-0005-0000-0000-00006B3E0000}"/>
    <cellStyle name="Normal 2 5 8 2 3" xfId="2059" xr:uid="{00000000-0005-0000-0000-00006C3E0000}"/>
    <cellStyle name="Normal 2 5 8 2 3 2" xfId="2060" xr:uid="{00000000-0005-0000-0000-00006D3E0000}"/>
    <cellStyle name="Normal 2 5 8 2 4" xfId="2061" xr:uid="{00000000-0005-0000-0000-00006E3E0000}"/>
    <cellStyle name="Normal 2 5 8 3" xfId="2062" xr:uid="{00000000-0005-0000-0000-00006F3E0000}"/>
    <cellStyle name="Normal 2 5 8 3 2" xfId="2063" xr:uid="{00000000-0005-0000-0000-0000703E0000}"/>
    <cellStyle name="Normal 2 5 8 3 3" xfId="2064" xr:uid="{00000000-0005-0000-0000-0000713E0000}"/>
    <cellStyle name="Normal 2 5 8 4" xfId="2065" xr:uid="{00000000-0005-0000-0000-0000723E0000}"/>
    <cellStyle name="Normal 2 5 8 4 2" xfId="2066" xr:uid="{00000000-0005-0000-0000-0000733E0000}"/>
    <cellStyle name="Normal 2 5 8 5" xfId="2067" xr:uid="{00000000-0005-0000-0000-0000743E0000}"/>
    <cellStyle name="Normal 2 5 8 5 2" xfId="2068" xr:uid="{00000000-0005-0000-0000-0000753E0000}"/>
    <cellStyle name="Normal 2 5 8 6" xfId="2069" xr:uid="{00000000-0005-0000-0000-0000763E0000}"/>
    <cellStyle name="Normal 2 5 9" xfId="2070" xr:uid="{00000000-0005-0000-0000-0000773E0000}"/>
    <cellStyle name="Normal 2 5 9 2" xfId="2071" xr:uid="{00000000-0005-0000-0000-0000783E0000}"/>
    <cellStyle name="Normal 2 5 9 2 2" xfId="2072" xr:uid="{00000000-0005-0000-0000-0000793E0000}"/>
    <cellStyle name="Normal 2 5 9 3" xfId="2073" xr:uid="{00000000-0005-0000-0000-00007A3E0000}"/>
    <cellStyle name="Normal 2 5 9 3 2" xfId="2074" xr:uid="{00000000-0005-0000-0000-00007B3E0000}"/>
    <cellStyle name="Normal 2 5 9 4" xfId="2075" xr:uid="{00000000-0005-0000-0000-00007C3E0000}"/>
    <cellStyle name="Normal 2 6" xfId="2076" xr:uid="{00000000-0005-0000-0000-00007D3E0000}"/>
    <cellStyle name="Normal 2 6 10" xfId="2077" xr:uid="{00000000-0005-0000-0000-00007E3E0000}"/>
    <cellStyle name="Normal 2 6 10 2" xfId="2078" xr:uid="{00000000-0005-0000-0000-00007F3E0000}"/>
    <cellStyle name="Normal 2 6 11" xfId="2079" xr:uid="{00000000-0005-0000-0000-0000803E0000}"/>
    <cellStyle name="Normal 2 6 12" xfId="26977" xr:uid="{00000000-0005-0000-0000-0000813E0000}"/>
    <cellStyle name="Normal 2 6 2" xfId="2080" xr:uid="{00000000-0005-0000-0000-0000823E0000}"/>
    <cellStyle name="Normal 2 6 2 2" xfId="2081" xr:uid="{00000000-0005-0000-0000-0000833E0000}"/>
    <cellStyle name="Normal 2 6 2 2 2" xfId="2082" xr:uid="{00000000-0005-0000-0000-0000843E0000}"/>
    <cellStyle name="Normal 2 6 2 2 2 2" xfId="2083" xr:uid="{00000000-0005-0000-0000-0000853E0000}"/>
    <cellStyle name="Normal 2 6 2 2 2 2 2" xfId="2084" xr:uid="{00000000-0005-0000-0000-0000863E0000}"/>
    <cellStyle name="Normal 2 6 2 2 2 2 3" xfId="2085" xr:uid="{00000000-0005-0000-0000-0000873E0000}"/>
    <cellStyle name="Normal 2 6 2 2 2 3" xfId="2086" xr:uid="{00000000-0005-0000-0000-0000883E0000}"/>
    <cellStyle name="Normal 2 6 2 2 2 3 2" xfId="2087" xr:uid="{00000000-0005-0000-0000-0000893E0000}"/>
    <cellStyle name="Normal 2 6 2 2 2 4" xfId="2088" xr:uid="{00000000-0005-0000-0000-00008A3E0000}"/>
    <cellStyle name="Normal 2 6 2 2 2 4 2" xfId="2089" xr:uid="{00000000-0005-0000-0000-00008B3E0000}"/>
    <cellStyle name="Normal 2 6 2 2 2 5" xfId="2090" xr:uid="{00000000-0005-0000-0000-00008C3E0000}"/>
    <cellStyle name="Normal 2 6 2 2 3" xfId="2091" xr:uid="{00000000-0005-0000-0000-00008D3E0000}"/>
    <cellStyle name="Normal 2 6 2 2 3 2" xfId="2092" xr:uid="{00000000-0005-0000-0000-00008E3E0000}"/>
    <cellStyle name="Normal 2 6 2 2 3 2 2" xfId="2093" xr:uid="{00000000-0005-0000-0000-00008F3E0000}"/>
    <cellStyle name="Normal 2 6 2 2 3 3" xfId="2094" xr:uid="{00000000-0005-0000-0000-0000903E0000}"/>
    <cellStyle name="Normal 2 6 2 2 3 3 2" xfId="2095" xr:uid="{00000000-0005-0000-0000-0000913E0000}"/>
    <cellStyle name="Normal 2 6 2 2 3 4" xfId="2096" xr:uid="{00000000-0005-0000-0000-0000923E0000}"/>
    <cellStyle name="Normal 2 6 2 2 4" xfId="2097" xr:uid="{00000000-0005-0000-0000-0000933E0000}"/>
    <cellStyle name="Normal 2 6 2 2 4 2" xfId="2098" xr:uid="{00000000-0005-0000-0000-0000943E0000}"/>
    <cellStyle name="Normal 2 6 2 2 4 3" xfId="2099" xr:uid="{00000000-0005-0000-0000-0000953E0000}"/>
    <cellStyle name="Normal 2 6 2 2 5" xfId="2100" xr:uid="{00000000-0005-0000-0000-0000963E0000}"/>
    <cellStyle name="Normal 2 6 2 2 5 2" xfId="2101" xr:uid="{00000000-0005-0000-0000-0000973E0000}"/>
    <cellStyle name="Normal 2 6 2 2 6" xfId="2102" xr:uid="{00000000-0005-0000-0000-0000983E0000}"/>
    <cellStyle name="Normal 2 6 2 2 6 2" xfId="2103" xr:uid="{00000000-0005-0000-0000-0000993E0000}"/>
    <cellStyle name="Normal 2 6 2 2 7" xfId="2104" xr:uid="{00000000-0005-0000-0000-00009A3E0000}"/>
    <cellStyle name="Normal 2 6 2 3" xfId="2105" xr:uid="{00000000-0005-0000-0000-00009B3E0000}"/>
    <cellStyle name="Normal 2 6 2 3 2" xfId="2106" xr:uid="{00000000-0005-0000-0000-00009C3E0000}"/>
    <cellStyle name="Normal 2 6 2 3 2 2" xfId="2107" xr:uid="{00000000-0005-0000-0000-00009D3E0000}"/>
    <cellStyle name="Normal 2 6 2 3 2 3" xfId="2108" xr:uid="{00000000-0005-0000-0000-00009E3E0000}"/>
    <cellStyle name="Normal 2 6 2 3 3" xfId="2109" xr:uid="{00000000-0005-0000-0000-00009F3E0000}"/>
    <cellStyle name="Normal 2 6 2 3 3 2" xfId="2110" xr:uid="{00000000-0005-0000-0000-0000A03E0000}"/>
    <cellStyle name="Normal 2 6 2 3 4" xfId="2111" xr:uid="{00000000-0005-0000-0000-0000A13E0000}"/>
    <cellStyle name="Normal 2 6 2 3 4 2" xfId="2112" xr:uid="{00000000-0005-0000-0000-0000A23E0000}"/>
    <cellStyle name="Normal 2 6 2 3 5" xfId="2113" xr:uid="{00000000-0005-0000-0000-0000A33E0000}"/>
    <cellStyle name="Normal 2 6 2 4" xfId="2114" xr:uid="{00000000-0005-0000-0000-0000A43E0000}"/>
    <cellStyle name="Normal 2 6 2 4 2" xfId="2115" xr:uid="{00000000-0005-0000-0000-0000A53E0000}"/>
    <cellStyle name="Normal 2 6 2 4 2 2" xfId="2116" xr:uid="{00000000-0005-0000-0000-0000A63E0000}"/>
    <cellStyle name="Normal 2 6 2 4 3" xfId="2117" xr:uid="{00000000-0005-0000-0000-0000A73E0000}"/>
    <cellStyle name="Normal 2 6 2 4 3 2" xfId="2118" xr:uid="{00000000-0005-0000-0000-0000A83E0000}"/>
    <cellStyle name="Normal 2 6 2 4 4" xfId="2119" xr:uid="{00000000-0005-0000-0000-0000A93E0000}"/>
    <cellStyle name="Normal 2 6 2 5" xfId="2120" xr:uid="{00000000-0005-0000-0000-0000AA3E0000}"/>
    <cellStyle name="Normal 2 6 2 5 2" xfId="2121" xr:uid="{00000000-0005-0000-0000-0000AB3E0000}"/>
    <cellStyle name="Normal 2 6 2 5 3" xfId="2122" xr:uid="{00000000-0005-0000-0000-0000AC3E0000}"/>
    <cellStyle name="Normal 2 6 2 6" xfId="2123" xr:uid="{00000000-0005-0000-0000-0000AD3E0000}"/>
    <cellStyle name="Normal 2 6 2 6 2" xfId="2124" xr:uid="{00000000-0005-0000-0000-0000AE3E0000}"/>
    <cellStyle name="Normal 2 6 2 7" xfId="2125" xr:uid="{00000000-0005-0000-0000-0000AF3E0000}"/>
    <cellStyle name="Normal 2 6 2 7 2" xfId="2126" xr:uid="{00000000-0005-0000-0000-0000B03E0000}"/>
    <cellStyle name="Normal 2 6 2 8" xfId="2127" xr:uid="{00000000-0005-0000-0000-0000B13E0000}"/>
    <cellStyle name="Normal 2 6 3" xfId="2128" xr:uid="{00000000-0005-0000-0000-0000B23E0000}"/>
    <cellStyle name="Normal 2 6 3 2" xfId="2129" xr:uid="{00000000-0005-0000-0000-0000B33E0000}"/>
    <cellStyle name="Normal 2 6 3 2 2" xfId="2130" xr:uid="{00000000-0005-0000-0000-0000B43E0000}"/>
    <cellStyle name="Normal 2 6 3 2 2 2" xfId="2131" xr:uid="{00000000-0005-0000-0000-0000B53E0000}"/>
    <cellStyle name="Normal 2 6 3 2 2 3" xfId="2132" xr:uid="{00000000-0005-0000-0000-0000B63E0000}"/>
    <cellStyle name="Normal 2 6 3 2 3" xfId="2133" xr:uid="{00000000-0005-0000-0000-0000B73E0000}"/>
    <cellStyle name="Normal 2 6 3 2 3 2" xfId="2134" xr:uid="{00000000-0005-0000-0000-0000B83E0000}"/>
    <cellStyle name="Normal 2 6 3 2 4" xfId="2135" xr:uid="{00000000-0005-0000-0000-0000B93E0000}"/>
    <cellStyle name="Normal 2 6 3 2 4 2" xfId="2136" xr:uid="{00000000-0005-0000-0000-0000BA3E0000}"/>
    <cellStyle name="Normal 2 6 3 2 5" xfId="2137" xr:uid="{00000000-0005-0000-0000-0000BB3E0000}"/>
    <cellStyle name="Normal 2 6 3 3" xfId="2138" xr:uid="{00000000-0005-0000-0000-0000BC3E0000}"/>
    <cellStyle name="Normal 2 6 3 3 2" xfId="2139" xr:uid="{00000000-0005-0000-0000-0000BD3E0000}"/>
    <cellStyle name="Normal 2 6 3 3 2 2" xfId="2140" xr:uid="{00000000-0005-0000-0000-0000BE3E0000}"/>
    <cellStyle name="Normal 2 6 3 3 3" xfId="2141" xr:uid="{00000000-0005-0000-0000-0000BF3E0000}"/>
    <cellStyle name="Normal 2 6 3 3 3 2" xfId="2142" xr:uid="{00000000-0005-0000-0000-0000C03E0000}"/>
    <cellStyle name="Normal 2 6 3 3 4" xfId="2143" xr:uid="{00000000-0005-0000-0000-0000C13E0000}"/>
    <cellStyle name="Normal 2 6 3 4" xfId="2144" xr:uid="{00000000-0005-0000-0000-0000C23E0000}"/>
    <cellStyle name="Normal 2 6 3 4 2" xfId="2145" xr:uid="{00000000-0005-0000-0000-0000C33E0000}"/>
    <cellStyle name="Normal 2 6 3 4 3" xfId="2146" xr:uid="{00000000-0005-0000-0000-0000C43E0000}"/>
    <cellStyle name="Normal 2 6 3 5" xfId="2147" xr:uid="{00000000-0005-0000-0000-0000C53E0000}"/>
    <cellStyle name="Normal 2 6 3 5 2" xfId="2148" xr:uid="{00000000-0005-0000-0000-0000C63E0000}"/>
    <cellStyle name="Normal 2 6 3 6" xfId="2149" xr:uid="{00000000-0005-0000-0000-0000C73E0000}"/>
    <cellStyle name="Normal 2 6 3 6 2" xfId="2150" xr:uid="{00000000-0005-0000-0000-0000C83E0000}"/>
    <cellStyle name="Normal 2 6 3 7" xfId="2151" xr:uid="{00000000-0005-0000-0000-0000C93E0000}"/>
    <cellStyle name="Normal 2 6 4" xfId="2152" xr:uid="{00000000-0005-0000-0000-0000CA3E0000}"/>
    <cellStyle name="Normal 2 6 4 2" xfId="2153" xr:uid="{00000000-0005-0000-0000-0000CB3E0000}"/>
    <cellStyle name="Normal 2 6 4 2 2" xfId="2154" xr:uid="{00000000-0005-0000-0000-0000CC3E0000}"/>
    <cellStyle name="Normal 2 6 4 2 2 2" xfId="2155" xr:uid="{00000000-0005-0000-0000-0000CD3E0000}"/>
    <cellStyle name="Normal 2 6 4 2 2 3" xfId="2156" xr:uid="{00000000-0005-0000-0000-0000CE3E0000}"/>
    <cellStyle name="Normal 2 6 4 2 3" xfId="2157" xr:uid="{00000000-0005-0000-0000-0000CF3E0000}"/>
    <cellStyle name="Normal 2 6 4 2 3 2" xfId="2158" xr:uid="{00000000-0005-0000-0000-0000D03E0000}"/>
    <cellStyle name="Normal 2 6 4 2 4" xfId="2159" xr:uid="{00000000-0005-0000-0000-0000D13E0000}"/>
    <cellStyle name="Normal 2 6 4 2 4 2" xfId="2160" xr:uid="{00000000-0005-0000-0000-0000D23E0000}"/>
    <cellStyle name="Normal 2 6 4 2 5" xfId="2161" xr:uid="{00000000-0005-0000-0000-0000D33E0000}"/>
    <cellStyle name="Normal 2 6 4 3" xfId="2162" xr:uid="{00000000-0005-0000-0000-0000D43E0000}"/>
    <cellStyle name="Normal 2 6 4 3 2" xfId="2163" xr:uid="{00000000-0005-0000-0000-0000D53E0000}"/>
    <cellStyle name="Normal 2 6 4 3 2 2" xfId="2164" xr:uid="{00000000-0005-0000-0000-0000D63E0000}"/>
    <cellStyle name="Normal 2 6 4 3 3" xfId="2165" xr:uid="{00000000-0005-0000-0000-0000D73E0000}"/>
    <cellStyle name="Normal 2 6 4 3 3 2" xfId="2166" xr:uid="{00000000-0005-0000-0000-0000D83E0000}"/>
    <cellStyle name="Normal 2 6 4 3 4" xfId="2167" xr:uid="{00000000-0005-0000-0000-0000D93E0000}"/>
    <cellStyle name="Normal 2 6 4 4" xfId="2168" xr:uid="{00000000-0005-0000-0000-0000DA3E0000}"/>
    <cellStyle name="Normal 2 6 4 4 2" xfId="2169" xr:uid="{00000000-0005-0000-0000-0000DB3E0000}"/>
    <cellStyle name="Normal 2 6 4 4 3" xfId="2170" xr:uid="{00000000-0005-0000-0000-0000DC3E0000}"/>
    <cellStyle name="Normal 2 6 4 5" xfId="2171" xr:uid="{00000000-0005-0000-0000-0000DD3E0000}"/>
    <cellStyle name="Normal 2 6 4 5 2" xfId="2172" xr:uid="{00000000-0005-0000-0000-0000DE3E0000}"/>
    <cellStyle name="Normal 2 6 4 6" xfId="2173" xr:uid="{00000000-0005-0000-0000-0000DF3E0000}"/>
    <cellStyle name="Normal 2 6 4 6 2" xfId="2174" xr:uid="{00000000-0005-0000-0000-0000E03E0000}"/>
    <cellStyle name="Normal 2 6 4 7" xfId="2175" xr:uid="{00000000-0005-0000-0000-0000E13E0000}"/>
    <cellStyle name="Normal 2 6 5" xfId="2176" xr:uid="{00000000-0005-0000-0000-0000E23E0000}"/>
    <cellStyle name="Normal 2 6 5 2" xfId="2177" xr:uid="{00000000-0005-0000-0000-0000E33E0000}"/>
    <cellStyle name="Normal 2 6 5 2 2" xfId="2178" xr:uid="{00000000-0005-0000-0000-0000E43E0000}"/>
    <cellStyle name="Normal 2 6 5 2 2 2" xfId="2179" xr:uid="{00000000-0005-0000-0000-0000E53E0000}"/>
    <cellStyle name="Normal 2 6 5 2 3" xfId="2180" xr:uid="{00000000-0005-0000-0000-0000E63E0000}"/>
    <cellStyle name="Normal 2 6 5 2 3 2" xfId="2181" xr:uid="{00000000-0005-0000-0000-0000E73E0000}"/>
    <cellStyle name="Normal 2 6 5 2 4" xfId="2182" xr:uid="{00000000-0005-0000-0000-0000E83E0000}"/>
    <cellStyle name="Normal 2 6 5 3" xfId="2183" xr:uid="{00000000-0005-0000-0000-0000E93E0000}"/>
    <cellStyle name="Normal 2 6 5 3 2" xfId="2184" xr:uid="{00000000-0005-0000-0000-0000EA3E0000}"/>
    <cellStyle name="Normal 2 6 5 3 3" xfId="2185" xr:uid="{00000000-0005-0000-0000-0000EB3E0000}"/>
    <cellStyle name="Normal 2 6 5 4" xfId="2186" xr:uid="{00000000-0005-0000-0000-0000EC3E0000}"/>
    <cellStyle name="Normal 2 6 5 4 2" xfId="2187" xr:uid="{00000000-0005-0000-0000-0000ED3E0000}"/>
    <cellStyle name="Normal 2 6 5 5" xfId="2188" xr:uid="{00000000-0005-0000-0000-0000EE3E0000}"/>
    <cellStyle name="Normal 2 6 5 5 2" xfId="2189" xr:uid="{00000000-0005-0000-0000-0000EF3E0000}"/>
    <cellStyle name="Normal 2 6 5 6" xfId="2190" xr:uid="{00000000-0005-0000-0000-0000F03E0000}"/>
    <cellStyle name="Normal 2 6 6" xfId="2191" xr:uid="{00000000-0005-0000-0000-0000F13E0000}"/>
    <cellStyle name="Normal 2 6 6 2" xfId="2192" xr:uid="{00000000-0005-0000-0000-0000F23E0000}"/>
    <cellStyle name="Normal 2 6 6 2 2" xfId="2193" xr:uid="{00000000-0005-0000-0000-0000F33E0000}"/>
    <cellStyle name="Normal 2 6 6 3" xfId="2194" xr:uid="{00000000-0005-0000-0000-0000F43E0000}"/>
    <cellStyle name="Normal 2 6 6 3 2" xfId="2195" xr:uid="{00000000-0005-0000-0000-0000F53E0000}"/>
    <cellStyle name="Normal 2 6 6 4" xfId="2196" xr:uid="{00000000-0005-0000-0000-0000F63E0000}"/>
    <cellStyle name="Normal 2 6 7" xfId="2197" xr:uid="{00000000-0005-0000-0000-0000F73E0000}"/>
    <cellStyle name="Normal 2 6 7 2" xfId="2198" xr:uid="{00000000-0005-0000-0000-0000F83E0000}"/>
    <cellStyle name="Normal 2 6 7 2 2" xfId="2199" xr:uid="{00000000-0005-0000-0000-0000F93E0000}"/>
    <cellStyle name="Normal 2 6 7 3" xfId="2200" xr:uid="{00000000-0005-0000-0000-0000FA3E0000}"/>
    <cellStyle name="Normal 2 6 7 3 2" xfId="2201" xr:uid="{00000000-0005-0000-0000-0000FB3E0000}"/>
    <cellStyle name="Normal 2 6 7 4" xfId="2202" xr:uid="{00000000-0005-0000-0000-0000FC3E0000}"/>
    <cellStyle name="Normal 2 6 8" xfId="2203" xr:uid="{00000000-0005-0000-0000-0000FD3E0000}"/>
    <cellStyle name="Normal 2 6 8 2" xfId="2204" xr:uid="{00000000-0005-0000-0000-0000FE3E0000}"/>
    <cellStyle name="Normal 2 6 8 3" xfId="2205" xr:uid="{00000000-0005-0000-0000-0000FF3E0000}"/>
    <cellStyle name="Normal 2 6 9" xfId="2206" xr:uid="{00000000-0005-0000-0000-0000003F0000}"/>
    <cellStyle name="Normal 2 6 9 2" xfId="2207" xr:uid="{00000000-0005-0000-0000-0000013F0000}"/>
    <cellStyle name="Normal 2 7" xfId="2208" xr:uid="{00000000-0005-0000-0000-0000023F0000}"/>
    <cellStyle name="Normal 2 7 10" xfId="2209" xr:uid="{00000000-0005-0000-0000-0000033F0000}"/>
    <cellStyle name="Normal 2 7 2" xfId="2210" xr:uid="{00000000-0005-0000-0000-0000043F0000}"/>
    <cellStyle name="Normal 2 7 2 2" xfId="2211" xr:uid="{00000000-0005-0000-0000-0000053F0000}"/>
    <cellStyle name="Normal 2 7 2 2 2" xfId="2212" xr:uid="{00000000-0005-0000-0000-0000063F0000}"/>
    <cellStyle name="Normal 2 7 2 2 2 2" xfId="2213" xr:uid="{00000000-0005-0000-0000-0000073F0000}"/>
    <cellStyle name="Normal 2 7 2 2 2 3" xfId="2214" xr:uid="{00000000-0005-0000-0000-0000083F0000}"/>
    <cellStyle name="Normal 2 7 2 2 3" xfId="2215" xr:uid="{00000000-0005-0000-0000-0000093F0000}"/>
    <cellStyle name="Normal 2 7 2 2 3 2" xfId="2216" xr:uid="{00000000-0005-0000-0000-00000A3F0000}"/>
    <cellStyle name="Normal 2 7 2 2 4" xfId="2217" xr:uid="{00000000-0005-0000-0000-00000B3F0000}"/>
    <cellStyle name="Normal 2 7 2 2 4 2" xfId="2218" xr:uid="{00000000-0005-0000-0000-00000C3F0000}"/>
    <cellStyle name="Normal 2 7 2 2 5" xfId="2219" xr:uid="{00000000-0005-0000-0000-00000D3F0000}"/>
    <cellStyle name="Normal 2 7 2 3" xfId="2220" xr:uid="{00000000-0005-0000-0000-00000E3F0000}"/>
    <cellStyle name="Normal 2 7 2 3 2" xfId="2221" xr:uid="{00000000-0005-0000-0000-00000F3F0000}"/>
    <cellStyle name="Normal 2 7 2 3 2 2" xfId="2222" xr:uid="{00000000-0005-0000-0000-0000103F0000}"/>
    <cellStyle name="Normal 2 7 2 3 3" xfId="2223" xr:uid="{00000000-0005-0000-0000-0000113F0000}"/>
    <cellStyle name="Normal 2 7 2 3 3 2" xfId="2224" xr:uid="{00000000-0005-0000-0000-0000123F0000}"/>
    <cellStyle name="Normal 2 7 2 3 4" xfId="2225" xr:uid="{00000000-0005-0000-0000-0000133F0000}"/>
    <cellStyle name="Normal 2 7 2 4" xfId="2226" xr:uid="{00000000-0005-0000-0000-0000143F0000}"/>
    <cellStyle name="Normal 2 7 2 4 2" xfId="2227" xr:uid="{00000000-0005-0000-0000-0000153F0000}"/>
    <cellStyle name="Normal 2 7 2 4 3" xfId="2228" xr:uid="{00000000-0005-0000-0000-0000163F0000}"/>
    <cellStyle name="Normal 2 7 2 5" xfId="2229" xr:uid="{00000000-0005-0000-0000-0000173F0000}"/>
    <cellStyle name="Normal 2 7 2 5 2" xfId="2230" xr:uid="{00000000-0005-0000-0000-0000183F0000}"/>
    <cellStyle name="Normal 2 7 2 6" xfId="2231" xr:uid="{00000000-0005-0000-0000-0000193F0000}"/>
    <cellStyle name="Normal 2 7 2 6 2" xfId="2232" xr:uid="{00000000-0005-0000-0000-00001A3F0000}"/>
    <cellStyle name="Normal 2 7 2 7" xfId="2233" xr:uid="{00000000-0005-0000-0000-00001B3F0000}"/>
    <cellStyle name="Normal 2 7 3" xfId="2234" xr:uid="{00000000-0005-0000-0000-00001C3F0000}"/>
    <cellStyle name="Normal 2 7 3 2" xfId="2235" xr:uid="{00000000-0005-0000-0000-00001D3F0000}"/>
    <cellStyle name="Normal 2 7 3 2 2" xfId="2236" xr:uid="{00000000-0005-0000-0000-00001E3F0000}"/>
    <cellStyle name="Normal 2 7 3 2 2 2" xfId="2237" xr:uid="{00000000-0005-0000-0000-00001F3F0000}"/>
    <cellStyle name="Normal 2 7 3 2 2 3" xfId="2238" xr:uid="{00000000-0005-0000-0000-0000203F0000}"/>
    <cellStyle name="Normal 2 7 3 2 3" xfId="2239" xr:uid="{00000000-0005-0000-0000-0000213F0000}"/>
    <cellStyle name="Normal 2 7 3 2 3 2" xfId="2240" xr:uid="{00000000-0005-0000-0000-0000223F0000}"/>
    <cellStyle name="Normal 2 7 3 2 4" xfId="2241" xr:uid="{00000000-0005-0000-0000-0000233F0000}"/>
    <cellStyle name="Normal 2 7 3 2 4 2" xfId="2242" xr:uid="{00000000-0005-0000-0000-0000243F0000}"/>
    <cellStyle name="Normal 2 7 3 2 5" xfId="2243" xr:uid="{00000000-0005-0000-0000-0000253F0000}"/>
    <cellStyle name="Normal 2 7 3 3" xfId="2244" xr:uid="{00000000-0005-0000-0000-0000263F0000}"/>
    <cellStyle name="Normal 2 7 3 3 2" xfId="2245" xr:uid="{00000000-0005-0000-0000-0000273F0000}"/>
    <cellStyle name="Normal 2 7 3 3 2 2" xfId="2246" xr:uid="{00000000-0005-0000-0000-0000283F0000}"/>
    <cellStyle name="Normal 2 7 3 3 3" xfId="2247" xr:uid="{00000000-0005-0000-0000-0000293F0000}"/>
    <cellStyle name="Normal 2 7 3 3 3 2" xfId="2248" xr:uid="{00000000-0005-0000-0000-00002A3F0000}"/>
    <cellStyle name="Normal 2 7 3 3 4" xfId="2249" xr:uid="{00000000-0005-0000-0000-00002B3F0000}"/>
    <cellStyle name="Normal 2 7 3 4" xfId="2250" xr:uid="{00000000-0005-0000-0000-00002C3F0000}"/>
    <cellStyle name="Normal 2 7 3 4 2" xfId="2251" xr:uid="{00000000-0005-0000-0000-00002D3F0000}"/>
    <cellStyle name="Normal 2 7 3 4 3" xfId="2252" xr:uid="{00000000-0005-0000-0000-00002E3F0000}"/>
    <cellStyle name="Normal 2 7 3 5" xfId="2253" xr:uid="{00000000-0005-0000-0000-00002F3F0000}"/>
    <cellStyle name="Normal 2 7 3 5 2" xfId="2254" xr:uid="{00000000-0005-0000-0000-0000303F0000}"/>
    <cellStyle name="Normal 2 7 3 6" xfId="2255" xr:uid="{00000000-0005-0000-0000-0000313F0000}"/>
    <cellStyle name="Normal 2 7 3 6 2" xfId="2256" xr:uid="{00000000-0005-0000-0000-0000323F0000}"/>
    <cellStyle name="Normal 2 7 3 7" xfId="2257" xr:uid="{00000000-0005-0000-0000-0000333F0000}"/>
    <cellStyle name="Normal 2 7 4" xfId="2258" xr:uid="{00000000-0005-0000-0000-0000343F0000}"/>
    <cellStyle name="Normal 2 7 4 2" xfId="2259" xr:uid="{00000000-0005-0000-0000-0000353F0000}"/>
    <cellStyle name="Normal 2 7 4 2 2" xfId="2260" xr:uid="{00000000-0005-0000-0000-0000363F0000}"/>
    <cellStyle name="Normal 2 7 4 2 2 2" xfId="2261" xr:uid="{00000000-0005-0000-0000-0000373F0000}"/>
    <cellStyle name="Normal 2 7 4 2 3" xfId="2262" xr:uid="{00000000-0005-0000-0000-0000383F0000}"/>
    <cellStyle name="Normal 2 7 4 2 3 2" xfId="2263" xr:uid="{00000000-0005-0000-0000-0000393F0000}"/>
    <cellStyle name="Normal 2 7 4 2 4" xfId="2264" xr:uid="{00000000-0005-0000-0000-00003A3F0000}"/>
    <cellStyle name="Normal 2 7 4 3" xfId="2265" xr:uid="{00000000-0005-0000-0000-00003B3F0000}"/>
    <cellStyle name="Normal 2 7 4 3 2" xfId="2266" xr:uid="{00000000-0005-0000-0000-00003C3F0000}"/>
    <cellStyle name="Normal 2 7 4 3 3" xfId="2267" xr:uid="{00000000-0005-0000-0000-00003D3F0000}"/>
    <cellStyle name="Normal 2 7 4 4" xfId="2268" xr:uid="{00000000-0005-0000-0000-00003E3F0000}"/>
    <cellStyle name="Normal 2 7 4 4 2" xfId="2269" xr:uid="{00000000-0005-0000-0000-00003F3F0000}"/>
    <cellStyle name="Normal 2 7 4 5" xfId="2270" xr:uid="{00000000-0005-0000-0000-0000403F0000}"/>
    <cellStyle name="Normal 2 7 4 5 2" xfId="2271" xr:uid="{00000000-0005-0000-0000-0000413F0000}"/>
    <cellStyle name="Normal 2 7 4 6" xfId="2272" xr:uid="{00000000-0005-0000-0000-0000423F0000}"/>
    <cellStyle name="Normal 2 7 5" xfId="2273" xr:uid="{00000000-0005-0000-0000-0000433F0000}"/>
    <cellStyle name="Normal 2 7 5 2" xfId="2274" xr:uid="{00000000-0005-0000-0000-0000443F0000}"/>
    <cellStyle name="Normal 2 7 5 2 2" xfId="2275" xr:uid="{00000000-0005-0000-0000-0000453F0000}"/>
    <cellStyle name="Normal 2 7 5 3" xfId="2276" xr:uid="{00000000-0005-0000-0000-0000463F0000}"/>
    <cellStyle name="Normal 2 7 5 3 2" xfId="2277" xr:uid="{00000000-0005-0000-0000-0000473F0000}"/>
    <cellStyle name="Normal 2 7 5 4" xfId="2278" xr:uid="{00000000-0005-0000-0000-0000483F0000}"/>
    <cellStyle name="Normal 2 7 6" xfId="2279" xr:uid="{00000000-0005-0000-0000-0000493F0000}"/>
    <cellStyle name="Normal 2 7 6 2" xfId="2280" xr:uid="{00000000-0005-0000-0000-00004A3F0000}"/>
    <cellStyle name="Normal 2 7 6 2 2" xfId="2281" xr:uid="{00000000-0005-0000-0000-00004B3F0000}"/>
    <cellStyle name="Normal 2 7 6 3" xfId="2282" xr:uid="{00000000-0005-0000-0000-00004C3F0000}"/>
    <cellStyle name="Normal 2 7 6 3 2" xfId="2283" xr:uid="{00000000-0005-0000-0000-00004D3F0000}"/>
    <cellStyle name="Normal 2 7 6 4" xfId="2284" xr:uid="{00000000-0005-0000-0000-00004E3F0000}"/>
    <cellStyle name="Normal 2 7 7" xfId="2285" xr:uid="{00000000-0005-0000-0000-00004F3F0000}"/>
    <cellStyle name="Normal 2 7 7 2" xfId="2286" xr:uid="{00000000-0005-0000-0000-0000503F0000}"/>
    <cellStyle name="Normal 2 7 7 3" xfId="2287" xr:uid="{00000000-0005-0000-0000-0000513F0000}"/>
    <cellStyle name="Normal 2 7 8" xfId="2288" xr:uid="{00000000-0005-0000-0000-0000523F0000}"/>
    <cellStyle name="Normal 2 7 8 2" xfId="2289" xr:uid="{00000000-0005-0000-0000-0000533F0000}"/>
    <cellStyle name="Normal 2 7 9" xfId="2290" xr:uid="{00000000-0005-0000-0000-0000543F0000}"/>
    <cellStyle name="Normal 2 7 9 2" xfId="2291" xr:uid="{00000000-0005-0000-0000-0000553F0000}"/>
    <cellStyle name="Normal 2 8" xfId="2292" xr:uid="{00000000-0005-0000-0000-0000563F0000}"/>
    <cellStyle name="Normal 2 8 2" xfId="2293" xr:uid="{00000000-0005-0000-0000-0000573F0000}"/>
    <cellStyle name="Normal 2 8 2 2" xfId="2294" xr:uid="{00000000-0005-0000-0000-0000583F0000}"/>
    <cellStyle name="Normal 2 8 2 2 2" xfId="2295" xr:uid="{00000000-0005-0000-0000-0000593F0000}"/>
    <cellStyle name="Normal 2 8 2 3" xfId="2296" xr:uid="{00000000-0005-0000-0000-00005A3F0000}"/>
    <cellStyle name="Normal 2 8 2 3 2" xfId="2297" xr:uid="{00000000-0005-0000-0000-00005B3F0000}"/>
    <cellStyle name="Normal 2 8 2 4" xfId="2298" xr:uid="{00000000-0005-0000-0000-00005C3F0000}"/>
    <cellStyle name="Normal 2 8 3" xfId="2299" xr:uid="{00000000-0005-0000-0000-00005D3F0000}"/>
    <cellStyle name="Normal 2 8 3 2" xfId="2300" xr:uid="{00000000-0005-0000-0000-00005E3F0000}"/>
    <cellStyle name="Normal 2 8 3 3" xfId="2301" xr:uid="{00000000-0005-0000-0000-00005F3F0000}"/>
    <cellStyle name="Normal 2 8 4" xfId="2302" xr:uid="{00000000-0005-0000-0000-0000603F0000}"/>
    <cellStyle name="Normal 2 8 4 2" xfId="2303" xr:uid="{00000000-0005-0000-0000-0000613F0000}"/>
    <cellStyle name="Normal 2 8 5" xfId="2304" xr:uid="{00000000-0005-0000-0000-0000623F0000}"/>
    <cellStyle name="Normal 2 8 5 2" xfId="2305" xr:uid="{00000000-0005-0000-0000-0000633F0000}"/>
    <cellStyle name="Normal 2 8 6" xfId="2306" xr:uid="{00000000-0005-0000-0000-0000643F0000}"/>
    <cellStyle name="Normal 2 9" xfId="2307" xr:uid="{00000000-0005-0000-0000-0000653F0000}"/>
    <cellStyle name="Normal 2 9 2" xfId="2308" xr:uid="{00000000-0005-0000-0000-0000663F0000}"/>
    <cellStyle name="Normal 2 9 2 2" xfId="2309" xr:uid="{00000000-0005-0000-0000-0000673F0000}"/>
    <cellStyle name="Normal 2 9 3" xfId="2310" xr:uid="{00000000-0005-0000-0000-0000683F0000}"/>
    <cellStyle name="Normal 2 9 3 2" xfId="2311" xr:uid="{00000000-0005-0000-0000-0000693F0000}"/>
    <cellStyle name="Normal 2 9 4" xfId="2312" xr:uid="{00000000-0005-0000-0000-00006A3F0000}"/>
    <cellStyle name="Normal 20" xfId="11962" xr:uid="{00000000-0005-0000-0000-00006B3F0000}"/>
    <cellStyle name="Normal 20 2" xfId="11963" xr:uid="{00000000-0005-0000-0000-00006C3F0000}"/>
    <cellStyle name="Normal 20 3" xfId="26978" xr:uid="{00000000-0005-0000-0000-00006D3F0000}"/>
    <cellStyle name="Normal 21" xfId="11964" xr:uid="{00000000-0005-0000-0000-00006E3F0000}"/>
    <cellStyle name="Normal 21 2" xfId="11965" xr:uid="{00000000-0005-0000-0000-00006F3F0000}"/>
    <cellStyle name="Normal 21 3" xfId="26979" xr:uid="{00000000-0005-0000-0000-0000703F0000}"/>
    <cellStyle name="Normal 22" xfId="11966" xr:uid="{00000000-0005-0000-0000-0000713F0000}"/>
    <cellStyle name="Normal 22 2" xfId="11967" xr:uid="{00000000-0005-0000-0000-0000723F0000}"/>
    <cellStyle name="Normal 22 3" xfId="26980" xr:uid="{00000000-0005-0000-0000-0000733F0000}"/>
    <cellStyle name="Normal 23" xfId="11968" xr:uid="{00000000-0005-0000-0000-0000743F0000}"/>
    <cellStyle name="Normal 23 2" xfId="11969" xr:uid="{00000000-0005-0000-0000-0000753F0000}"/>
    <cellStyle name="Normal 23 3" xfId="11970" xr:uid="{00000000-0005-0000-0000-0000763F0000}"/>
    <cellStyle name="Normal 23 4" xfId="11971" xr:uid="{00000000-0005-0000-0000-0000773F0000}"/>
    <cellStyle name="Normal 23 5" xfId="11972" xr:uid="{00000000-0005-0000-0000-0000783F0000}"/>
    <cellStyle name="Normal 23 6" xfId="26981" xr:uid="{00000000-0005-0000-0000-0000793F0000}"/>
    <cellStyle name="Normal 24" xfId="11973" xr:uid="{00000000-0005-0000-0000-00007A3F0000}"/>
    <cellStyle name="Normal 24 2" xfId="11974" xr:uid="{00000000-0005-0000-0000-00007B3F0000}"/>
    <cellStyle name="Normal 24 3" xfId="26982" xr:uid="{00000000-0005-0000-0000-00007C3F0000}"/>
    <cellStyle name="Normal 25" xfId="11975" xr:uid="{00000000-0005-0000-0000-00007D3F0000}"/>
    <cellStyle name="Normal 25 2" xfId="11976" xr:uid="{00000000-0005-0000-0000-00007E3F0000}"/>
    <cellStyle name="Normal 25 2 2" xfId="11977" xr:uid="{00000000-0005-0000-0000-00007F3F0000}"/>
    <cellStyle name="Normal 25 2 2 2" xfId="11978" xr:uid="{00000000-0005-0000-0000-0000803F0000}"/>
    <cellStyle name="Normal 25 2 2 3" xfId="11979" xr:uid="{00000000-0005-0000-0000-0000813F0000}"/>
    <cellStyle name="Normal 25 2 3" xfId="11980" xr:uid="{00000000-0005-0000-0000-0000823F0000}"/>
    <cellStyle name="Normal 25 3" xfId="11981" xr:uid="{00000000-0005-0000-0000-0000833F0000}"/>
    <cellStyle name="Normal 25 3 2" xfId="11982" xr:uid="{00000000-0005-0000-0000-0000843F0000}"/>
    <cellStyle name="Normal 25 4" xfId="11983" xr:uid="{00000000-0005-0000-0000-0000853F0000}"/>
    <cellStyle name="Normal 25 5" xfId="26983" xr:uid="{00000000-0005-0000-0000-0000863F0000}"/>
    <cellStyle name="Normal 26" xfId="11984" xr:uid="{00000000-0005-0000-0000-0000873F0000}"/>
    <cellStyle name="Normal 26 2" xfId="11985" xr:uid="{00000000-0005-0000-0000-0000883F0000}"/>
    <cellStyle name="Normal 26 2 2" xfId="11986" xr:uid="{00000000-0005-0000-0000-0000893F0000}"/>
    <cellStyle name="Normal 26 2 2 2" xfId="11987" xr:uid="{00000000-0005-0000-0000-00008A3F0000}"/>
    <cellStyle name="Normal 26 2 2 3" xfId="11988" xr:uid="{00000000-0005-0000-0000-00008B3F0000}"/>
    <cellStyle name="Normal 26 2 3" xfId="11989" xr:uid="{00000000-0005-0000-0000-00008C3F0000}"/>
    <cellStyle name="Normal 26 3" xfId="11990" xr:uid="{00000000-0005-0000-0000-00008D3F0000}"/>
    <cellStyle name="Normal 26 3 2" xfId="11991" xr:uid="{00000000-0005-0000-0000-00008E3F0000}"/>
    <cellStyle name="Normal 26 4" xfId="11992" xr:uid="{00000000-0005-0000-0000-00008F3F0000}"/>
    <cellStyle name="Normal 26 5" xfId="26984" xr:uid="{00000000-0005-0000-0000-0000903F0000}"/>
    <cellStyle name="Normal 27" xfId="11993" xr:uid="{00000000-0005-0000-0000-0000913F0000}"/>
    <cellStyle name="Normal 27 2" xfId="11994" xr:uid="{00000000-0005-0000-0000-0000923F0000}"/>
    <cellStyle name="Normal 27 2 2" xfId="11995" xr:uid="{00000000-0005-0000-0000-0000933F0000}"/>
    <cellStyle name="Normal 27 2 2 2" xfId="11996" xr:uid="{00000000-0005-0000-0000-0000943F0000}"/>
    <cellStyle name="Normal 27 2 2 3" xfId="11997" xr:uid="{00000000-0005-0000-0000-0000953F0000}"/>
    <cellStyle name="Normal 27 2 3" xfId="11998" xr:uid="{00000000-0005-0000-0000-0000963F0000}"/>
    <cellStyle name="Normal 27 3" xfId="11999" xr:uid="{00000000-0005-0000-0000-0000973F0000}"/>
    <cellStyle name="Normal 27 3 2" xfId="12000" xr:uid="{00000000-0005-0000-0000-0000983F0000}"/>
    <cellStyle name="Normal 27 4" xfId="12001" xr:uid="{00000000-0005-0000-0000-0000993F0000}"/>
    <cellStyle name="Normal 27 5" xfId="26985" xr:uid="{00000000-0005-0000-0000-00009A3F0000}"/>
    <cellStyle name="Normal 28" xfId="12002" xr:uid="{00000000-0005-0000-0000-00009B3F0000}"/>
    <cellStyle name="Normal 28 2" xfId="12003" xr:uid="{00000000-0005-0000-0000-00009C3F0000}"/>
    <cellStyle name="Normal 28 3" xfId="26986" xr:uid="{00000000-0005-0000-0000-00009D3F0000}"/>
    <cellStyle name="Normal 29" xfId="12004" xr:uid="{00000000-0005-0000-0000-00009E3F0000}"/>
    <cellStyle name="Normal 29 2" xfId="12005" xr:uid="{00000000-0005-0000-0000-00009F3F0000}"/>
    <cellStyle name="Normal 29 3" xfId="26987" xr:uid="{00000000-0005-0000-0000-0000A03F0000}"/>
    <cellStyle name="Normal 3" xfId="2313" xr:uid="{00000000-0005-0000-0000-0000A13F0000}"/>
    <cellStyle name="Normal 3 10" xfId="2314" xr:uid="{00000000-0005-0000-0000-0000A23F0000}"/>
    <cellStyle name="Normal 3 10 2" xfId="2315" xr:uid="{00000000-0005-0000-0000-0000A33F0000}"/>
    <cellStyle name="Normal 3 10 2 2" xfId="2316" xr:uid="{00000000-0005-0000-0000-0000A43F0000}"/>
    <cellStyle name="Normal 3 10 2 2 2" xfId="2317" xr:uid="{00000000-0005-0000-0000-0000A53F0000}"/>
    <cellStyle name="Normal 3 10 2 2 3" xfId="2318" xr:uid="{00000000-0005-0000-0000-0000A63F0000}"/>
    <cellStyle name="Normal 3 10 2 3" xfId="2319" xr:uid="{00000000-0005-0000-0000-0000A73F0000}"/>
    <cellStyle name="Normal 3 10 2 3 2" xfId="2320" xr:uid="{00000000-0005-0000-0000-0000A83F0000}"/>
    <cellStyle name="Normal 3 10 2 4" xfId="2321" xr:uid="{00000000-0005-0000-0000-0000A93F0000}"/>
    <cellStyle name="Normal 3 10 2 4 2" xfId="2322" xr:uid="{00000000-0005-0000-0000-0000AA3F0000}"/>
    <cellStyle name="Normal 3 10 2 5" xfId="2323" xr:uid="{00000000-0005-0000-0000-0000AB3F0000}"/>
    <cellStyle name="Normal 3 10 3" xfId="2324" xr:uid="{00000000-0005-0000-0000-0000AC3F0000}"/>
    <cellStyle name="Normal 3 10 3 2" xfId="2325" xr:uid="{00000000-0005-0000-0000-0000AD3F0000}"/>
    <cellStyle name="Normal 3 10 3 2 2" xfId="2326" xr:uid="{00000000-0005-0000-0000-0000AE3F0000}"/>
    <cellStyle name="Normal 3 10 3 3" xfId="2327" xr:uid="{00000000-0005-0000-0000-0000AF3F0000}"/>
    <cellStyle name="Normal 3 10 3 3 2" xfId="2328" xr:uid="{00000000-0005-0000-0000-0000B03F0000}"/>
    <cellStyle name="Normal 3 10 3 4" xfId="2329" xr:uid="{00000000-0005-0000-0000-0000B13F0000}"/>
    <cellStyle name="Normal 3 10 4" xfId="2330" xr:uid="{00000000-0005-0000-0000-0000B23F0000}"/>
    <cellStyle name="Normal 3 10 4 2" xfId="2331" xr:uid="{00000000-0005-0000-0000-0000B33F0000}"/>
    <cellStyle name="Normal 3 10 4 3" xfId="2332" xr:uid="{00000000-0005-0000-0000-0000B43F0000}"/>
    <cellStyle name="Normal 3 10 5" xfId="2333" xr:uid="{00000000-0005-0000-0000-0000B53F0000}"/>
    <cellStyle name="Normal 3 10 5 2" xfId="2334" xr:uid="{00000000-0005-0000-0000-0000B63F0000}"/>
    <cellStyle name="Normal 3 10 6" xfId="2335" xr:uid="{00000000-0005-0000-0000-0000B73F0000}"/>
    <cellStyle name="Normal 3 10 6 2" xfId="2336" xr:uid="{00000000-0005-0000-0000-0000B83F0000}"/>
    <cellStyle name="Normal 3 10 7" xfId="2337" xr:uid="{00000000-0005-0000-0000-0000B93F0000}"/>
    <cellStyle name="Normal 3 11" xfId="2338" xr:uid="{00000000-0005-0000-0000-0000BA3F0000}"/>
    <cellStyle name="Normal 3 11 2" xfId="2339" xr:uid="{00000000-0005-0000-0000-0000BB3F0000}"/>
    <cellStyle name="Normal 3 11 2 2" xfId="2340" xr:uid="{00000000-0005-0000-0000-0000BC3F0000}"/>
    <cellStyle name="Normal 3 11 2 2 2" xfId="2341" xr:uid="{00000000-0005-0000-0000-0000BD3F0000}"/>
    <cellStyle name="Normal 3 11 2 2 3" xfId="2342" xr:uid="{00000000-0005-0000-0000-0000BE3F0000}"/>
    <cellStyle name="Normal 3 11 2 3" xfId="2343" xr:uid="{00000000-0005-0000-0000-0000BF3F0000}"/>
    <cellStyle name="Normal 3 11 2 3 2" xfId="2344" xr:uid="{00000000-0005-0000-0000-0000C03F0000}"/>
    <cellStyle name="Normal 3 11 2 4" xfId="2345" xr:uid="{00000000-0005-0000-0000-0000C13F0000}"/>
    <cellStyle name="Normal 3 11 2 4 2" xfId="2346" xr:uid="{00000000-0005-0000-0000-0000C23F0000}"/>
    <cellStyle name="Normal 3 11 2 5" xfId="2347" xr:uid="{00000000-0005-0000-0000-0000C33F0000}"/>
    <cellStyle name="Normal 3 11 3" xfId="2348" xr:uid="{00000000-0005-0000-0000-0000C43F0000}"/>
    <cellStyle name="Normal 3 11 3 2" xfId="2349" xr:uid="{00000000-0005-0000-0000-0000C53F0000}"/>
    <cellStyle name="Normal 3 11 3 2 2" xfId="2350" xr:uid="{00000000-0005-0000-0000-0000C63F0000}"/>
    <cellStyle name="Normal 3 11 3 3" xfId="2351" xr:uid="{00000000-0005-0000-0000-0000C73F0000}"/>
    <cellStyle name="Normal 3 11 3 3 2" xfId="2352" xr:uid="{00000000-0005-0000-0000-0000C83F0000}"/>
    <cellStyle name="Normal 3 11 3 4" xfId="2353" xr:uid="{00000000-0005-0000-0000-0000C93F0000}"/>
    <cellStyle name="Normal 3 11 4" xfId="2354" xr:uid="{00000000-0005-0000-0000-0000CA3F0000}"/>
    <cellStyle name="Normal 3 11 4 2" xfId="2355" xr:uid="{00000000-0005-0000-0000-0000CB3F0000}"/>
    <cellStyle name="Normal 3 11 4 3" xfId="2356" xr:uid="{00000000-0005-0000-0000-0000CC3F0000}"/>
    <cellStyle name="Normal 3 11 5" xfId="2357" xr:uid="{00000000-0005-0000-0000-0000CD3F0000}"/>
    <cellStyle name="Normal 3 11 5 2" xfId="2358" xr:uid="{00000000-0005-0000-0000-0000CE3F0000}"/>
    <cellStyle name="Normal 3 11 6" xfId="2359" xr:uid="{00000000-0005-0000-0000-0000CF3F0000}"/>
    <cellStyle name="Normal 3 11 6 2" xfId="2360" xr:uid="{00000000-0005-0000-0000-0000D03F0000}"/>
    <cellStyle name="Normal 3 11 7" xfId="2361" xr:uid="{00000000-0005-0000-0000-0000D13F0000}"/>
    <cellStyle name="Normal 3 12" xfId="2362" xr:uid="{00000000-0005-0000-0000-0000D23F0000}"/>
    <cellStyle name="Normal 3 12 2" xfId="2363" xr:uid="{00000000-0005-0000-0000-0000D33F0000}"/>
    <cellStyle name="Normal 3 12 2 2" xfId="2364" xr:uid="{00000000-0005-0000-0000-0000D43F0000}"/>
    <cellStyle name="Normal 3 12 2 2 2" xfId="2365" xr:uid="{00000000-0005-0000-0000-0000D53F0000}"/>
    <cellStyle name="Normal 3 12 2 3" xfId="2366" xr:uid="{00000000-0005-0000-0000-0000D63F0000}"/>
    <cellStyle name="Normal 3 12 2 3 2" xfId="2367" xr:uid="{00000000-0005-0000-0000-0000D73F0000}"/>
    <cellStyle name="Normal 3 12 2 4" xfId="2368" xr:uid="{00000000-0005-0000-0000-0000D83F0000}"/>
    <cellStyle name="Normal 3 12 3" xfId="2369" xr:uid="{00000000-0005-0000-0000-0000D93F0000}"/>
    <cellStyle name="Normal 3 12 3 2" xfId="2370" xr:uid="{00000000-0005-0000-0000-0000DA3F0000}"/>
    <cellStyle name="Normal 3 12 3 3" xfId="2371" xr:uid="{00000000-0005-0000-0000-0000DB3F0000}"/>
    <cellStyle name="Normal 3 12 4" xfId="2372" xr:uid="{00000000-0005-0000-0000-0000DC3F0000}"/>
    <cellStyle name="Normal 3 12 4 2" xfId="2373" xr:uid="{00000000-0005-0000-0000-0000DD3F0000}"/>
    <cellStyle name="Normal 3 12 5" xfId="2374" xr:uid="{00000000-0005-0000-0000-0000DE3F0000}"/>
    <cellStyle name="Normal 3 12 5 2" xfId="2375" xr:uid="{00000000-0005-0000-0000-0000DF3F0000}"/>
    <cellStyle name="Normal 3 12 6" xfId="2376" xr:uid="{00000000-0005-0000-0000-0000E03F0000}"/>
    <cellStyle name="Normal 3 13" xfId="2377" xr:uid="{00000000-0005-0000-0000-0000E13F0000}"/>
    <cellStyle name="Normal 3 13 2" xfId="2378" xr:uid="{00000000-0005-0000-0000-0000E23F0000}"/>
    <cellStyle name="Normal 3 13 2 2" xfId="2379" xr:uid="{00000000-0005-0000-0000-0000E33F0000}"/>
    <cellStyle name="Normal 3 13 3" xfId="2380" xr:uid="{00000000-0005-0000-0000-0000E43F0000}"/>
    <cellStyle name="Normal 3 13 3 2" xfId="2381" xr:uid="{00000000-0005-0000-0000-0000E53F0000}"/>
    <cellStyle name="Normal 3 13 4" xfId="2382" xr:uid="{00000000-0005-0000-0000-0000E63F0000}"/>
    <cellStyle name="Normal 3 14" xfId="2383" xr:uid="{00000000-0005-0000-0000-0000E73F0000}"/>
    <cellStyle name="Normal 3 14 2" xfId="2384" xr:uid="{00000000-0005-0000-0000-0000E83F0000}"/>
    <cellStyle name="Normal 3 14 2 2" xfId="2385" xr:uid="{00000000-0005-0000-0000-0000E93F0000}"/>
    <cellStyle name="Normal 3 14 3" xfId="2386" xr:uid="{00000000-0005-0000-0000-0000EA3F0000}"/>
    <cellStyle name="Normal 3 14 3 2" xfId="2387" xr:uid="{00000000-0005-0000-0000-0000EB3F0000}"/>
    <cellStyle name="Normal 3 14 4" xfId="2388" xr:uid="{00000000-0005-0000-0000-0000EC3F0000}"/>
    <cellStyle name="Normal 3 15" xfId="2389" xr:uid="{00000000-0005-0000-0000-0000ED3F0000}"/>
    <cellStyle name="Normal 3 15 2" xfId="2390" xr:uid="{00000000-0005-0000-0000-0000EE3F0000}"/>
    <cellStyle name="Normal 3 15 3" xfId="2391" xr:uid="{00000000-0005-0000-0000-0000EF3F0000}"/>
    <cellStyle name="Normal 3 16" xfId="2392" xr:uid="{00000000-0005-0000-0000-0000F03F0000}"/>
    <cellStyle name="Normal 3 16 2" xfId="2393" xr:uid="{00000000-0005-0000-0000-0000F13F0000}"/>
    <cellStyle name="Normal 3 17" xfId="2394" xr:uid="{00000000-0005-0000-0000-0000F23F0000}"/>
    <cellStyle name="Normal 3 17 2" xfId="2395" xr:uid="{00000000-0005-0000-0000-0000F33F0000}"/>
    <cellStyle name="Normal 3 18" xfId="2396" xr:uid="{00000000-0005-0000-0000-0000F43F0000}"/>
    <cellStyle name="Normal 3 19" xfId="17667" xr:uid="{00000000-0005-0000-0000-0000F53F0000}"/>
    <cellStyle name="Normal 3 2" xfId="2397" xr:uid="{00000000-0005-0000-0000-0000F63F0000}"/>
    <cellStyle name="Normal 3 2 10" xfId="2398" xr:uid="{00000000-0005-0000-0000-0000F73F0000}"/>
    <cellStyle name="Normal 3 2 10 2" xfId="2399" xr:uid="{00000000-0005-0000-0000-0000F83F0000}"/>
    <cellStyle name="Normal 3 2 10 2 2" xfId="2400" xr:uid="{00000000-0005-0000-0000-0000F93F0000}"/>
    <cellStyle name="Normal 3 2 10 2 2 2" xfId="2401" xr:uid="{00000000-0005-0000-0000-0000FA3F0000}"/>
    <cellStyle name="Normal 3 2 10 2 2 3" xfId="2402" xr:uid="{00000000-0005-0000-0000-0000FB3F0000}"/>
    <cellStyle name="Normal 3 2 10 2 2 4" xfId="26990" xr:uid="{00000000-0005-0000-0000-0000FC3F0000}"/>
    <cellStyle name="Normal 3 2 10 2 3" xfId="2403" xr:uid="{00000000-0005-0000-0000-0000FD3F0000}"/>
    <cellStyle name="Normal 3 2 10 2 3 2" xfId="2404" xr:uid="{00000000-0005-0000-0000-0000FE3F0000}"/>
    <cellStyle name="Normal 3 2 10 2 4" xfId="2405" xr:uid="{00000000-0005-0000-0000-0000FF3F0000}"/>
    <cellStyle name="Normal 3 2 10 2 4 2" xfId="2406" xr:uid="{00000000-0005-0000-0000-000000400000}"/>
    <cellStyle name="Normal 3 2 10 2 5" xfId="2407" xr:uid="{00000000-0005-0000-0000-000001400000}"/>
    <cellStyle name="Normal 3 2 10 2 6" xfId="26989" xr:uid="{00000000-0005-0000-0000-000002400000}"/>
    <cellStyle name="Normal 3 2 10 3" xfId="2408" xr:uid="{00000000-0005-0000-0000-000003400000}"/>
    <cellStyle name="Normal 3 2 10 3 2" xfId="2409" xr:uid="{00000000-0005-0000-0000-000004400000}"/>
    <cellStyle name="Normal 3 2 10 3 2 2" xfId="2410" xr:uid="{00000000-0005-0000-0000-000005400000}"/>
    <cellStyle name="Normal 3 2 10 3 2 3" xfId="26992" xr:uid="{00000000-0005-0000-0000-000006400000}"/>
    <cellStyle name="Normal 3 2 10 3 3" xfId="2411" xr:uid="{00000000-0005-0000-0000-000007400000}"/>
    <cellStyle name="Normal 3 2 10 3 3 2" xfId="2412" xr:uid="{00000000-0005-0000-0000-000008400000}"/>
    <cellStyle name="Normal 3 2 10 3 4" xfId="2413" xr:uid="{00000000-0005-0000-0000-000009400000}"/>
    <cellStyle name="Normal 3 2 10 3 5" xfId="26991" xr:uid="{00000000-0005-0000-0000-00000A400000}"/>
    <cellStyle name="Normal 3 2 10 4" xfId="2414" xr:uid="{00000000-0005-0000-0000-00000B400000}"/>
    <cellStyle name="Normal 3 2 10 4 2" xfId="2415" xr:uid="{00000000-0005-0000-0000-00000C400000}"/>
    <cellStyle name="Normal 3 2 10 4 2 2" xfId="26994" xr:uid="{00000000-0005-0000-0000-00000D400000}"/>
    <cellStyle name="Normal 3 2 10 4 3" xfId="2416" xr:uid="{00000000-0005-0000-0000-00000E400000}"/>
    <cellStyle name="Normal 3 2 10 4 4" xfId="26993" xr:uid="{00000000-0005-0000-0000-00000F400000}"/>
    <cellStyle name="Normal 3 2 10 5" xfId="2417" xr:uid="{00000000-0005-0000-0000-000010400000}"/>
    <cellStyle name="Normal 3 2 10 5 2" xfId="2418" xr:uid="{00000000-0005-0000-0000-000011400000}"/>
    <cellStyle name="Normal 3 2 10 5 3" xfId="26995" xr:uid="{00000000-0005-0000-0000-000012400000}"/>
    <cellStyle name="Normal 3 2 10 6" xfId="2419" xr:uid="{00000000-0005-0000-0000-000013400000}"/>
    <cellStyle name="Normal 3 2 10 6 2" xfId="2420" xr:uid="{00000000-0005-0000-0000-000014400000}"/>
    <cellStyle name="Normal 3 2 10 6 3" xfId="26996" xr:uid="{00000000-0005-0000-0000-000015400000}"/>
    <cellStyle name="Normal 3 2 10 7" xfId="2421" xr:uid="{00000000-0005-0000-0000-000016400000}"/>
    <cellStyle name="Normal 3 2 10 8" xfId="26988" xr:uid="{00000000-0005-0000-0000-000017400000}"/>
    <cellStyle name="Normal 3 2 11" xfId="2422" xr:uid="{00000000-0005-0000-0000-000018400000}"/>
    <cellStyle name="Normal 3 2 11 2" xfId="2423" xr:uid="{00000000-0005-0000-0000-000019400000}"/>
    <cellStyle name="Normal 3 2 11 2 2" xfId="2424" xr:uid="{00000000-0005-0000-0000-00001A400000}"/>
    <cellStyle name="Normal 3 2 11 2 2 2" xfId="2425" xr:uid="{00000000-0005-0000-0000-00001B400000}"/>
    <cellStyle name="Normal 3 2 11 2 2 3" xfId="26999" xr:uid="{00000000-0005-0000-0000-00001C400000}"/>
    <cellStyle name="Normal 3 2 11 2 3" xfId="2426" xr:uid="{00000000-0005-0000-0000-00001D400000}"/>
    <cellStyle name="Normal 3 2 11 2 3 2" xfId="2427" xr:uid="{00000000-0005-0000-0000-00001E400000}"/>
    <cellStyle name="Normal 3 2 11 2 4" xfId="2428" xr:uid="{00000000-0005-0000-0000-00001F400000}"/>
    <cellStyle name="Normal 3 2 11 2 5" xfId="26998" xr:uid="{00000000-0005-0000-0000-000020400000}"/>
    <cellStyle name="Normal 3 2 11 3" xfId="2429" xr:uid="{00000000-0005-0000-0000-000021400000}"/>
    <cellStyle name="Normal 3 2 11 3 2" xfId="2430" xr:uid="{00000000-0005-0000-0000-000022400000}"/>
    <cellStyle name="Normal 3 2 11 3 2 2" xfId="27001" xr:uid="{00000000-0005-0000-0000-000023400000}"/>
    <cellStyle name="Normal 3 2 11 3 3" xfId="2431" xr:uid="{00000000-0005-0000-0000-000024400000}"/>
    <cellStyle name="Normal 3 2 11 3 4" xfId="27000" xr:uid="{00000000-0005-0000-0000-000025400000}"/>
    <cellStyle name="Normal 3 2 11 4" xfId="2432" xr:uid="{00000000-0005-0000-0000-000026400000}"/>
    <cellStyle name="Normal 3 2 11 4 2" xfId="2433" xr:uid="{00000000-0005-0000-0000-000027400000}"/>
    <cellStyle name="Normal 3 2 11 4 2 2" xfId="27003" xr:uid="{00000000-0005-0000-0000-000028400000}"/>
    <cellStyle name="Normal 3 2 11 4 3" xfId="27002" xr:uid="{00000000-0005-0000-0000-000029400000}"/>
    <cellStyle name="Normal 3 2 11 5" xfId="2434" xr:uid="{00000000-0005-0000-0000-00002A400000}"/>
    <cellStyle name="Normal 3 2 11 5 2" xfId="2435" xr:uid="{00000000-0005-0000-0000-00002B400000}"/>
    <cellStyle name="Normal 3 2 11 5 3" xfId="27004" xr:uid="{00000000-0005-0000-0000-00002C400000}"/>
    <cellStyle name="Normal 3 2 11 6" xfId="2436" xr:uid="{00000000-0005-0000-0000-00002D400000}"/>
    <cellStyle name="Normal 3 2 11 6 2" xfId="27005" xr:uid="{00000000-0005-0000-0000-00002E400000}"/>
    <cellStyle name="Normal 3 2 11 7" xfId="26997" xr:uid="{00000000-0005-0000-0000-00002F400000}"/>
    <cellStyle name="Normal 3 2 12" xfId="2437" xr:uid="{00000000-0005-0000-0000-000030400000}"/>
    <cellStyle name="Normal 3 2 12 2" xfId="2438" xr:uid="{00000000-0005-0000-0000-000031400000}"/>
    <cellStyle name="Normal 3 2 12 2 2" xfId="2439" xr:uid="{00000000-0005-0000-0000-000032400000}"/>
    <cellStyle name="Normal 3 2 12 2 2 2" xfId="27008" xr:uid="{00000000-0005-0000-0000-000033400000}"/>
    <cellStyle name="Normal 3 2 12 2 3" xfId="27007" xr:uid="{00000000-0005-0000-0000-000034400000}"/>
    <cellStyle name="Normal 3 2 12 3" xfId="2440" xr:uid="{00000000-0005-0000-0000-000035400000}"/>
    <cellStyle name="Normal 3 2 12 3 2" xfId="2441" xr:uid="{00000000-0005-0000-0000-000036400000}"/>
    <cellStyle name="Normal 3 2 12 3 2 2" xfId="27010" xr:uid="{00000000-0005-0000-0000-000037400000}"/>
    <cellStyle name="Normal 3 2 12 3 3" xfId="27009" xr:uid="{00000000-0005-0000-0000-000038400000}"/>
    <cellStyle name="Normal 3 2 12 4" xfId="2442" xr:uid="{00000000-0005-0000-0000-000039400000}"/>
    <cellStyle name="Normal 3 2 12 4 2" xfId="27012" xr:uid="{00000000-0005-0000-0000-00003A400000}"/>
    <cellStyle name="Normal 3 2 12 4 3" xfId="27011" xr:uid="{00000000-0005-0000-0000-00003B400000}"/>
    <cellStyle name="Normal 3 2 12 5" xfId="27013" xr:uid="{00000000-0005-0000-0000-00003C400000}"/>
    <cellStyle name="Normal 3 2 12 6" xfId="27014" xr:uid="{00000000-0005-0000-0000-00003D400000}"/>
    <cellStyle name="Normal 3 2 12 7" xfId="27006" xr:uid="{00000000-0005-0000-0000-00003E400000}"/>
    <cellStyle name="Normal 3 2 13" xfId="2443" xr:uid="{00000000-0005-0000-0000-00003F400000}"/>
    <cellStyle name="Normal 3 2 13 2" xfId="2444" xr:uid="{00000000-0005-0000-0000-000040400000}"/>
    <cellStyle name="Normal 3 2 13 2 2" xfId="2445" xr:uid="{00000000-0005-0000-0000-000041400000}"/>
    <cellStyle name="Normal 3 2 13 2 2 2" xfId="27017" xr:uid="{00000000-0005-0000-0000-000042400000}"/>
    <cellStyle name="Normal 3 2 13 2 3" xfId="27016" xr:uid="{00000000-0005-0000-0000-000043400000}"/>
    <cellStyle name="Normal 3 2 13 3" xfId="2446" xr:uid="{00000000-0005-0000-0000-000044400000}"/>
    <cellStyle name="Normal 3 2 13 3 2" xfId="2447" xr:uid="{00000000-0005-0000-0000-000045400000}"/>
    <cellStyle name="Normal 3 2 13 3 2 2" xfId="27019" xr:uid="{00000000-0005-0000-0000-000046400000}"/>
    <cellStyle name="Normal 3 2 13 3 3" xfId="27018" xr:uid="{00000000-0005-0000-0000-000047400000}"/>
    <cellStyle name="Normal 3 2 13 4" xfId="2448" xr:uid="{00000000-0005-0000-0000-000048400000}"/>
    <cellStyle name="Normal 3 2 13 4 2" xfId="27020" xr:uid="{00000000-0005-0000-0000-000049400000}"/>
    <cellStyle name="Normal 3 2 13 5" xfId="27021" xr:uid="{00000000-0005-0000-0000-00004A400000}"/>
    <cellStyle name="Normal 3 2 13 6" xfId="27015" xr:uid="{00000000-0005-0000-0000-00004B400000}"/>
    <cellStyle name="Normal 3 2 14" xfId="2449" xr:uid="{00000000-0005-0000-0000-00004C400000}"/>
    <cellStyle name="Normal 3 2 14 2" xfId="2450" xr:uid="{00000000-0005-0000-0000-00004D400000}"/>
    <cellStyle name="Normal 3 2 14 2 2" xfId="27023" xr:uid="{00000000-0005-0000-0000-00004E400000}"/>
    <cellStyle name="Normal 3 2 14 3" xfId="2451" xr:uid="{00000000-0005-0000-0000-00004F400000}"/>
    <cellStyle name="Normal 3 2 14 4" xfId="27022" xr:uid="{00000000-0005-0000-0000-000050400000}"/>
    <cellStyle name="Normal 3 2 15" xfId="2452" xr:uid="{00000000-0005-0000-0000-000051400000}"/>
    <cellStyle name="Normal 3 2 15 2" xfId="2453" xr:uid="{00000000-0005-0000-0000-000052400000}"/>
    <cellStyle name="Normal 3 2 15 2 2" xfId="27025" xr:uid="{00000000-0005-0000-0000-000053400000}"/>
    <cellStyle name="Normal 3 2 15 3" xfId="27024" xr:uid="{00000000-0005-0000-0000-000054400000}"/>
    <cellStyle name="Normal 3 2 16" xfId="2454" xr:uid="{00000000-0005-0000-0000-000055400000}"/>
    <cellStyle name="Normal 3 2 16 2" xfId="2455" xr:uid="{00000000-0005-0000-0000-000056400000}"/>
    <cellStyle name="Normal 3 2 16 2 2" xfId="27027" xr:uid="{00000000-0005-0000-0000-000057400000}"/>
    <cellStyle name="Normal 3 2 16 3" xfId="27026" xr:uid="{00000000-0005-0000-0000-000058400000}"/>
    <cellStyle name="Normal 3 2 17" xfId="2456" xr:uid="{00000000-0005-0000-0000-000059400000}"/>
    <cellStyle name="Normal 3 2 17 2" xfId="27028" xr:uid="{00000000-0005-0000-0000-00005A400000}"/>
    <cellStyle name="Normal 3 2 18" xfId="27029" xr:uid="{00000000-0005-0000-0000-00005B400000}"/>
    <cellStyle name="Normal 3 2 19" xfId="27030" xr:uid="{00000000-0005-0000-0000-00005C400000}"/>
    <cellStyle name="Normal 3 2 2" xfId="2457" xr:uid="{00000000-0005-0000-0000-00005D400000}"/>
    <cellStyle name="Normal 3 2 2 10" xfId="2458" xr:uid="{00000000-0005-0000-0000-00005E400000}"/>
    <cellStyle name="Normal 3 2 2 10 2" xfId="2459" xr:uid="{00000000-0005-0000-0000-00005F400000}"/>
    <cellStyle name="Normal 3 2 2 10 2 2" xfId="2460" xr:uid="{00000000-0005-0000-0000-000060400000}"/>
    <cellStyle name="Normal 3 2 2 10 2 2 2" xfId="27033" xr:uid="{00000000-0005-0000-0000-000061400000}"/>
    <cellStyle name="Normal 3 2 2 10 2 3" xfId="27032" xr:uid="{00000000-0005-0000-0000-000062400000}"/>
    <cellStyle name="Normal 3 2 2 10 3" xfId="2461" xr:uid="{00000000-0005-0000-0000-000063400000}"/>
    <cellStyle name="Normal 3 2 2 10 3 2" xfId="2462" xr:uid="{00000000-0005-0000-0000-000064400000}"/>
    <cellStyle name="Normal 3 2 2 10 3 2 2" xfId="27035" xr:uid="{00000000-0005-0000-0000-000065400000}"/>
    <cellStyle name="Normal 3 2 2 10 3 3" xfId="27034" xr:uid="{00000000-0005-0000-0000-000066400000}"/>
    <cellStyle name="Normal 3 2 2 10 4" xfId="2463" xr:uid="{00000000-0005-0000-0000-000067400000}"/>
    <cellStyle name="Normal 3 2 2 10 4 2" xfId="27037" xr:uid="{00000000-0005-0000-0000-000068400000}"/>
    <cellStyle name="Normal 3 2 2 10 4 3" xfId="27036" xr:uid="{00000000-0005-0000-0000-000069400000}"/>
    <cellStyle name="Normal 3 2 2 10 5" xfId="27038" xr:uid="{00000000-0005-0000-0000-00006A400000}"/>
    <cellStyle name="Normal 3 2 2 10 6" xfId="27039" xr:uid="{00000000-0005-0000-0000-00006B400000}"/>
    <cellStyle name="Normal 3 2 2 10 7" xfId="27031" xr:uid="{00000000-0005-0000-0000-00006C400000}"/>
    <cellStyle name="Normal 3 2 2 11" xfId="2464" xr:uid="{00000000-0005-0000-0000-00006D400000}"/>
    <cellStyle name="Normal 3 2 2 11 2" xfId="2465" xr:uid="{00000000-0005-0000-0000-00006E400000}"/>
    <cellStyle name="Normal 3 2 2 11 2 2" xfId="2466" xr:uid="{00000000-0005-0000-0000-00006F400000}"/>
    <cellStyle name="Normal 3 2 2 11 2 2 2" xfId="27042" xr:uid="{00000000-0005-0000-0000-000070400000}"/>
    <cellStyle name="Normal 3 2 2 11 2 3" xfId="27041" xr:uid="{00000000-0005-0000-0000-000071400000}"/>
    <cellStyle name="Normal 3 2 2 11 3" xfId="2467" xr:uid="{00000000-0005-0000-0000-000072400000}"/>
    <cellStyle name="Normal 3 2 2 11 3 2" xfId="2468" xr:uid="{00000000-0005-0000-0000-000073400000}"/>
    <cellStyle name="Normal 3 2 2 11 3 2 2" xfId="27044" xr:uid="{00000000-0005-0000-0000-000074400000}"/>
    <cellStyle name="Normal 3 2 2 11 3 3" xfId="27043" xr:uid="{00000000-0005-0000-0000-000075400000}"/>
    <cellStyle name="Normal 3 2 2 11 4" xfId="2469" xr:uid="{00000000-0005-0000-0000-000076400000}"/>
    <cellStyle name="Normal 3 2 2 11 4 2" xfId="27046" xr:uid="{00000000-0005-0000-0000-000077400000}"/>
    <cellStyle name="Normal 3 2 2 11 4 3" xfId="27045" xr:uid="{00000000-0005-0000-0000-000078400000}"/>
    <cellStyle name="Normal 3 2 2 11 5" xfId="27047" xr:uid="{00000000-0005-0000-0000-000079400000}"/>
    <cellStyle name="Normal 3 2 2 11 6" xfId="27048" xr:uid="{00000000-0005-0000-0000-00007A400000}"/>
    <cellStyle name="Normal 3 2 2 11 7" xfId="27040" xr:uid="{00000000-0005-0000-0000-00007B400000}"/>
    <cellStyle name="Normal 3 2 2 12" xfId="2470" xr:uid="{00000000-0005-0000-0000-00007C400000}"/>
    <cellStyle name="Normal 3 2 2 12 2" xfId="2471" xr:uid="{00000000-0005-0000-0000-00007D400000}"/>
    <cellStyle name="Normal 3 2 2 12 2 2" xfId="27051" xr:uid="{00000000-0005-0000-0000-00007E400000}"/>
    <cellStyle name="Normal 3 2 2 12 2 3" xfId="27050" xr:uid="{00000000-0005-0000-0000-00007F400000}"/>
    <cellStyle name="Normal 3 2 2 12 3" xfId="2472" xr:uid="{00000000-0005-0000-0000-000080400000}"/>
    <cellStyle name="Normal 3 2 2 12 3 2" xfId="27053" xr:uid="{00000000-0005-0000-0000-000081400000}"/>
    <cellStyle name="Normal 3 2 2 12 3 3" xfId="27052" xr:uid="{00000000-0005-0000-0000-000082400000}"/>
    <cellStyle name="Normal 3 2 2 12 4" xfId="27054" xr:uid="{00000000-0005-0000-0000-000083400000}"/>
    <cellStyle name="Normal 3 2 2 12 5" xfId="27055" xr:uid="{00000000-0005-0000-0000-000084400000}"/>
    <cellStyle name="Normal 3 2 2 12 6" xfId="27049" xr:uid="{00000000-0005-0000-0000-000085400000}"/>
    <cellStyle name="Normal 3 2 2 13" xfId="2473" xr:uid="{00000000-0005-0000-0000-000086400000}"/>
    <cellStyle name="Normal 3 2 2 13 2" xfId="2474" xr:uid="{00000000-0005-0000-0000-000087400000}"/>
    <cellStyle name="Normal 3 2 2 13 2 2" xfId="27057" xr:uid="{00000000-0005-0000-0000-000088400000}"/>
    <cellStyle name="Normal 3 2 2 13 3" xfId="27056" xr:uid="{00000000-0005-0000-0000-000089400000}"/>
    <cellStyle name="Normal 3 2 2 14" xfId="2475" xr:uid="{00000000-0005-0000-0000-00008A400000}"/>
    <cellStyle name="Normal 3 2 2 14 2" xfId="2476" xr:uid="{00000000-0005-0000-0000-00008B400000}"/>
    <cellStyle name="Normal 3 2 2 14 2 2" xfId="27059" xr:uid="{00000000-0005-0000-0000-00008C400000}"/>
    <cellStyle name="Normal 3 2 2 14 3" xfId="27058" xr:uid="{00000000-0005-0000-0000-00008D400000}"/>
    <cellStyle name="Normal 3 2 2 15" xfId="2477" xr:uid="{00000000-0005-0000-0000-00008E400000}"/>
    <cellStyle name="Normal 3 2 2 15 2" xfId="27061" xr:uid="{00000000-0005-0000-0000-00008F400000}"/>
    <cellStyle name="Normal 3 2 2 15 3" xfId="27060" xr:uid="{00000000-0005-0000-0000-000090400000}"/>
    <cellStyle name="Normal 3 2 2 16" xfId="27062" xr:uid="{00000000-0005-0000-0000-000091400000}"/>
    <cellStyle name="Normal 3 2 2 17" xfId="27063" xr:uid="{00000000-0005-0000-0000-000092400000}"/>
    <cellStyle name="Normal 3 2 2 18" xfId="27064" xr:uid="{00000000-0005-0000-0000-000093400000}"/>
    <cellStyle name="Normal 3 2 2 19" xfId="17681" xr:uid="{00000000-0005-0000-0000-000094400000}"/>
    <cellStyle name="Normal 3 2 2 2" xfId="2478" xr:uid="{00000000-0005-0000-0000-000095400000}"/>
    <cellStyle name="Normal 3 2 2 2 10" xfId="2479" xr:uid="{00000000-0005-0000-0000-000096400000}"/>
    <cellStyle name="Normal 3 2 2 2 10 2" xfId="2480" xr:uid="{00000000-0005-0000-0000-000097400000}"/>
    <cellStyle name="Normal 3 2 2 2 10 2 2" xfId="27068" xr:uid="{00000000-0005-0000-0000-000098400000}"/>
    <cellStyle name="Normal 3 2 2 2 10 2 3" xfId="27067" xr:uid="{00000000-0005-0000-0000-000099400000}"/>
    <cellStyle name="Normal 3 2 2 2 10 3" xfId="2481" xr:uid="{00000000-0005-0000-0000-00009A400000}"/>
    <cellStyle name="Normal 3 2 2 2 10 3 2" xfId="27070" xr:uid="{00000000-0005-0000-0000-00009B400000}"/>
    <cellStyle name="Normal 3 2 2 2 10 3 3" xfId="27069" xr:uid="{00000000-0005-0000-0000-00009C400000}"/>
    <cellStyle name="Normal 3 2 2 2 10 4" xfId="27071" xr:uid="{00000000-0005-0000-0000-00009D400000}"/>
    <cellStyle name="Normal 3 2 2 2 10 4 2" xfId="27072" xr:uid="{00000000-0005-0000-0000-00009E400000}"/>
    <cellStyle name="Normal 3 2 2 2 10 5" xfId="27073" xr:uid="{00000000-0005-0000-0000-00009F400000}"/>
    <cellStyle name="Normal 3 2 2 2 10 6" xfId="27074" xr:uid="{00000000-0005-0000-0000-0000A0400000}"/>
    <cellStyle name="Normal 3 2 2 2 10 7" xfId="27066" xr:uid="{00000000-0005-0000-0000-0000A1400000}"/>
    <cellStyle name="Normal 3 2 2 2 11" xfId="2482" xr:uid="{00000000-0005-0000-0000-0000A2400000}"/>
    <cellStyle name="Normal 3 2 2 2 11 2" xfId="2483" xr:uid="{00000000-0005-0000-0000-0000A3400000}"/>
    <cellStyle name="Normal 3 2 2 2 11 2 2" xfId="27077" xr:uid="{00000000-0005-0000-0000-0000A4400000}"/>
    <cellStyle name="Normal 3 2 2 2 11 2 3" xfId="27076" xr:uid="{00000000-0005-0000-0000-0000A5400000}"/>
    <cellStyle name="Normal 3 2 2 2 11 3" xfId="27078" xr:uid="{00000000-0005-0000-0000-0000A6400000}"/>
    <cellStyle name="Normal 3 2 2 2 11 3 2" xfId="27079" xr:uid="{00000000-0005-0000-0000-0000A7400000}"/>
    <cellStyle name="Normal 3 2 2 2 11 4" xfId="27080" xr:uid="{00000000-0005-0000-0000-0000A8400000}"/>
    <cellStyle name="Normal 3 2 2 2 11 4 2" xfId="27081" xr:uid="{00000000-0005-0000-0000-0000A9400000}"/>
    <cellStyle name="Normal 3 2 2 2 11 5" xfId="27082" xr:uid="{00000000-0005-0000-0000-0000AA400000}"/>
    <cellStyle name="Normal 3 2 2 2 11 6" xfId="27083" xr:uid="{00000000-0005-0000-0000-0000AB400000}"/>
    <cellStyle name="Normal 3 2 2 2 11 7" xfId="27075" xr:uid="{00000000-0005-0000-0000-0000AC400000}"/>
    <cellStyle name="Normal 3 2 2 2 12" xfId="2484" xr:uid="{00000000-0005-0000-0000-0000AD400000}"/>
    <cellStyle name="Normal 3 2 2 2 12 2" xfId="2485" xr:uid="{00000000-0005-0000-0000-0000AE400000}"/>
    <cellStyle name="Normal 3 2 2 2 12 2 2" xfId="27086" xr:uid="{00000000-0005-0000-0000-0000AF400000}"/>
    <cellStyle name="Normal 3 2 2 2 12 2 3" xfId="27085" xr:uid="{00000000-0005-0000-0000-0000B0400000}"/>
    <cellStyle name="Normal 3 2 2 2 12 3" xfId="27087" xr:uid="{00000000-0005-0000-0000-0000B1400000}"/>
    <cellStyle name="Normal 3 2 2 2 12 3 2" xfId="27088" xr:uid="{00000000-0005-0000-0000-0000B2400000}"/>
    <cellStyle name="Normal 3 2 2 2 12 4" xfId="27089" xr:uid="{00000000-0005-0000-0000-0000B3400000}"/>
    <cellStyle name="Normal 3 2 2 2 12 5" xfId="27090" xr:uid="{00000000-0005-0000-0000-0000B4400000}"/>
    <cellStyle name="Normal 3 2 2 2 12 6" xfId="27084" xr:uid="{00000000-0005-0000-0000-0000B5400000}"/>
    <cellStyle name="Normal 3 2 2 2 13" xfId="2486" xr:uid="{00000000-0005-0000-0000-0000B6400000}"/>
    <cellStyle name="Normal 3 2 2 2 13 2" xfId="27092" xr:uid="{00000000-0005-0000-0000-0000B7400000}"/>
    <cellStyle name="Normal 3 2 2 2 13 3" xfId="27091" xr:uid="{00000000-0005-0000-0000-0000B8400000}"/>
    <cellStyle name="Normal 3 2 2 2 14" xfId="27093" xr:uid="{00000000-0005-0000-0000-0000B9400000}"/>
    <cellStyle name="Normal 3 2 2 2 14 2" xfId="27094" xr:uid="{00000000-0005-0000-0000-0000BA400000}"/>
    <cellStyle name="Normal 3 2 2 2 15" xfId="27095" xr:uid="{00000000-0005-0000-0000-0000BB400000}"/>
    <cellStyle name="Normal 3 2 2 2 15 2" xfId="27096" xr:uid="{00000000-0005-0000-0000-0000BC400000}"/>
    <cellStyle name="Normal 3 2 2 2 16" xfId="27097" xr:uid="{00000000-0005-0000-0000-0000BD400000}"/>
    <cellStyle name="Normal 3 2 2 2 17" xfId="27098" xr:uid="{00000000-0005-0000-0000-0000BE400000}"/>
    <cellStyle name="Normal 3 2 2 2 18" xfId="27065" xr:uid="{00000000-0005-0000-0000-0000BF400000}"/>
    <cellStyle name="Normal 3 2 2 2 2" xfId="2487" xr:uid="{00000000-0005-0000-0000-0000C0400000}"/>
    <cellStyle name="Normal 3 2 2 2 2 10" xfId="2488" xr:uid="{00000000-0005-0000-0000-0000C1400000}"/>
    <cellStyle name="Normal 3 2 2 2 2 10 10" xfId="27101" xr:uid="{00000000-0005-0000-0000-0000C2400000}"/>
    <cellStyle name="Normal 3 2 2 2 2 10 11" xfId="27100" xr:uid="{00000000-0005-0000-0000-0000C3400000}"/>
    <cellStyle name="Normal 3 2 2 2 2 10 2" xfId="2489" xr:uid="{00000000-0005-0000-0000-0000C4400000}"/>
    <cellStyle name="Normal 3 2 2 2 2 10 2 2" xfId="27103" xr:uid="{00000000-0005-0000-0000-0000C5400000}"/>
    <cellStyle name="Normal 3 2 2 2 2 10 2 2 2" xfId="27104" xr:uid="{00000000-0005-0000-0000-0000C6400000}"/>
    <cellStyle name="Normal 3 2 2 2 2 10 2 3" xfId="27105" xr:uid="{00000000-0005-0000-0000-0000C7400000}"/>
    <cellStyle name="Normal 3 2 2 2 2 10 2 3 2" xfId="27106" xr:uid="{00000000-0005-0000-0000-0000C8400000}"/>
    <cellStyle name="Normal 3 2 2 2 2 10 2 4" xfId="27107" xr:uid="{00000000-0005-0000-0000-0000C9400000}"/>
    <cellStyle name="Normal 3 2 2 2 2 10 2 4 2" xfId="27108" xr:uid="{00000000-0005-0000-0000-0000CA400000}"/>
    <cellStyle name="Normal 3 2 2 2 2 10 2 5" xfId="27109" xr:uid="{00000000-0005-0000-0000-0000CB400000}"/>
    <cellStyle name="Normal 3 2 2 2 2 10 2 6" xfId="27110" xr:uid="{00000000-0005-0000-0000-0000CC400000}"/>
    <cellStyle name="Normal 3 2 2 2 2 10 2 7" xfId="27102" xr:uid="{00000000-0005-0000-0000-0000CD400000}"/>
    <cellStyle name="Normal 3 2 2 2 2 10 3" xfId="27111" xr:uid="{00000000-0005-0000-0000-0000CE400000}"/>
    <cellStyle name="Normal 3 2 2 2 2 10 3 2" xfId="27112" xr:uid="{00000000-0005-0000-0000-0000CF400000}"/>
    <cellStyle name="Normal 3 2 2 2 2 10 3 2 2" xfId="27113" xr:uid="{00000000-0005-0000-0000-0000D0400000}"/>
    <cellStyle name="Normal 3 2 2 2 2 10 3 3" xfId="27114" xr:uid="{00000000-0005-0000-0000-0000D1400000}"/>
    <cellStyle name="Normal 3 2 2 2 2 10 3 3 2" xfId="27115" xr:uid="{00000000-0005-0000-0000-0000D2400000}"/>
    <cellStyle name="Normal 3 2 2 2 2 10 3 4" xfId="27116" xr:uid="{00000000-0005-0000-0000-0000D3400000}"/>
    <cellStyle name="Normal 3 2 2 2 2 10 3 4 2" xfId="27117" xr:uid="{00000000-0005-0000-0000-0000D4400000}"/>
    <cellStyle name="Normal 3 2 2 2 2 10 3 5" xfId="27118" xr:uid="{00000000-0005-0000-0000-0000D5400000}"/>
    <cellStyle name="Normal 3 2 2 2 2 10 3 6" xfId="27119" xr:uid="{00000000-0005-0000-0000-0000D6400000}"/>
    <cellStyle name="Normal 3 2 2 2 2 10 4" xfId="27120" xr:uid="{00000000-0005-0000-0000-0000D7400000}"/>
    <cellStyle name="Normal 3 2 2 2 2 10 4 2" xfId="27121" xr:uid="{00000000-0005-0000-0000-0000D8400000}"/>
    <cellStyle name="Normal 3 2 2 2 2 10 4 2 2" xfId="27122" xr:uid="{00000000-0005-0000-0000-0000D9400000}"/>
    <cellStyle name="Normal 3 2 2 2 2 10 4 3" xfId="27123" xr:uid="{00000000-0005-0000-0000-0000DA400000}"/>
    <cellStyle name="Normal 3 2 2 2 2 10 4 3 2" xfId="27124" xr:uid="{00000000-0005-0000-0000-0000DB400000}"/>
    <cellStyle name="Normal 3 2 2 2 2 10 4 4" xfId="27125" xr:uid="{00000000-0005-0000-0000-0000DC400000}"/>
    <cellStyle name="Normal 3 2 2 2 2 10 4 4 2" xfId="27126" xr:uid="{00000000-0005-0000-0000-0000DD400000}"/>
    <cellStyle name="Normal 3 2 2 2 2 10 4 5" xfId="27127" xr:uid="{00000000-0005-0000-0000-0000DE400000}"/>
    <cellStyle name="Normal 3 2 2 2 2 10 4 6" xfId="27128" xr:uid="{00000000-0005-0000-0000-0000DF400000}"/>
    <cellStyle name="Normal 3 2 2 2 2 10 5" xfId="27129" xr:uid="{00000000-0005-0000-0000-0000E0400000}"/>
    <cellStyle name="Normal 3 2 2 2 2 10 5 2" xfId="27130" xr:uid="{00000000-0005-0000-0000-0000E1400000}"/>
    <cellStyle name="Normal 3 2 2 2 2 10 5 2 2" xfId="27131" xr:uid="{00000000-0005-0000-0000-0000E2400000}"/>
    <cellStyle name="Normal 3 2 2 2 2 10 5 3" xfId="27132" xr:uid="{00000000-0005-0000-0000-0000E3400000}"/>
    <cellStyle name="Normal 3 2 2 2 2 10 5 3 2" xfId="27133" xr:uid="{00000000-0005-0000-0000-0000E4400000}"/>
    <cellStyle name="Normal 3 2 2 2 2 10 5 4" xfId="27134" xr:uid="{00000000-0005-0000-0000-0000E5400000}"/>
    <cellStyle name="Normal 3 2 2 2 2 10 5 5" xfId="27135" xr:uid="{00000000-0005-0000-0000-0000E6400000}"/>
    <cellStyle name="Normal 3 2 2 2 2 10 6" xfId="27136" xr:uid="{00000000-0005-0000-0000-0000E7400000}"/>
    <cellStyle name="Normal 3 2 2 2 2 10 6 2" xfId="27137" xr:uid="{00000000-0005-0000-0000-0000E8400000}"/>
    <cellStyle name="Normal 3 2 2 2 2 10 7" xfId="27138" xr:uid="{00000000-0005-0000-0000-0000E9400000}"/>
    <cellStyle name="Normal 3 2 2 2 2 10 7 2" xfId="27139" xr:uid="{00000000-0005-0000-0000-0000EA400000}"/>
    <cellStyle name="Normal 3 2 2 2 2 10 8" xfId="27140" xr:uid="{00000000-0005-0000-0000-0000EB400000}"/>
    <cellStyle name="Normal 3 2 2 2 2 10 8 2" xfId="27141" xr:uid="{00000000-0005-0000-0000-0000EC400000}"/>
    <cellStyle name="Normal 3 2 2 2 2 10 9" xfId="27142" xr:uid="{00000000-0005-0000-0000-0000ED400000}"/>
    <cellStyle name="Normal 3 2 2 2 2 11" xfId="2490" xr:uid="{00000000-0005-0000-0000-0000EE400000}"/>
    <cellStyle name="Normal 3 2 2 2 2 11 2" xfId="27144" xr:uid="{00000000-0005-0000-0000-0000EF400000}"/>
    <cellStyle name="Normal 3 2 2 2 2 11 2 2" xfId="27145" xr:uid="{00000000-0005-0000-0000-0000F0400000}"/>
    <cellStyle name="Normal 3 2 2 2 2 11 3" xfId="27146" xr:uid="{00000000-0005-0000-0000-0000F1400000}"/>
    <cellStyle name="Normal 3 2 2 2 2 11 3 2" xfId="27147" xr:uid="{00000000-0005-0000-0000-0000F2400000}"/>
    <cellStyle name="Normal 3 2 2 2 2 11 4" xfId="27148" xr:uid="{00000000-0005-0000-0000-0000F3400000}"/>
    <cellStyle name="Normal 3 2 2 2 2 11 4 2" xfId="27149" xr:uid="{00000000-0005-0000-0000-0000F4400000}"/>
    <cellStyle name="Normal 3 2 2 2 2 11 5" xfId="27150" xr:uid="{00000000-0005-0000-0000-0000F5400000}"/>
    <cellStyle name="Normal 3 2 2 2 2 11 6" xfId="27151" xr:uid="{00000000-0005-0000-0000-0000F6400000}"/>
    <cellStyle name="Normal 3 2 2 2 2 11 7" xfId="27143" xr:uid="{00000000-0005-0000-0000-0000F7400000}"/>
    <cellStyle name="Normal 3 2 2 2 2 12" xfId="27152" xr:uid="{00000000-0005-0000-0000-0000F8400000}"/>
    <cellStyle name="Normal 3 2 2 2 2 12 2" xfId="27153" xr:uid="{00000000-0005-0000-0000-0000F9400000}"/>
    <cellStyle name="Normal 3 2 2 2 2 12 2 2" xfId="27154" xr:uid="{00000000-0005-0000-0000-0000FA400000}"/>
    <cellStyle name="Normal 3 2 2 2 2 12 3" xfId="27155" xr:uid="{00000000-0005-0000-0000-0000FB400000}"/>
    <cellStyle name="Normal 3 2 2 2 2 12 3 2" xfId="27156" xr:uid="{00000000-0005-0000-0000-0000FC400000}"/>
    <cellStyle name="Normal 3 2 2 2 2 12 4" xfId="27157" xr:uid="{00000000-0005-0000-0000-0000FD400000}"/>
    <cellStyle name="Normal 3 2 2 2 2 12 4 2" xfId="27158" xr:uid="{00000000-0005-0000-0000-0000FE400000}"/>
    <cellStyle name="Normal 3 2 2 2 2 12 5" xfId="27159" xr:uid="{00000000-0005-0000-0000-0000FF400000}"/>
    <cellStyle name="Normal 3 2 2 2 2 12 6" xfId="27160" xr:uid="{00000000-0005-0000-0000-000000410000}"/>
    <cellStyle name="Normal 3 2 2 2 2 13" xfId="27161" xr:uid="{00000000-0005-0000-0000-000001410000}"/>
    <cellStyle name="Normal 3 2 2 2 2 13 2" xfId="27162" xr:uid="{00000000-0005-0000-0000-000002410000}"/>
    <cellStyle name="Normal 3 2 2 2 2 13 2 2" xfId="27163" xr:uid="{00000000-0005-0000-0000-000003410000}"/>
    <cellStyle name="Normal 3 2 2 2 2 13 3" xfId="27164" xr:uid="{00000000-0005-0000-0000-000004410000}"/>
    <cellStyle name="Normal 3 2 2 2 2 13 3 2" xfId="27165" xr:uid="{00000000-0005-0000-0000-000005410000}"/>
    <cellStyle name="Normal 3 2 2 2 2 13 4" xfId="27166" xr:uid="{00000000-0005-0000-0000-000006410000}"/>
    <cellStyle name="Normal 3 2 2 2 2 13 4 2" xfId="27167" xr:uid="{00000000-0005-0000-0000-000007410000}"/>
    <cellStyle name="Normal 3 2 2 2 2 13 5" xfId="27168" xr:uid="{00000000-0005-0000-0000-000008410000}"/>
    <cellStyle name="Normal 3 2 2 2 2 13 6" xfId="27169" xr:uid="{00000000-0005-0000-0000-000009410000}"/>
    <cellStyle name="Normal 3 2 2 2 2 14" xfId="27170" xr:uid="{00000000-0005-0000-0000-00000A410000}"/>
    <cellStyle name="Normal 3 2 2 2 2 14 2" xfId="27171" xr:uid="{00000000-0005-0000-0000-00000B410000}"/>
    <cellStyle name="Normal 3 2 2 2 2 14 2 2" xfId="27172" xr:uid="{00000000-0005-0000-0000-00000C410000}"/>
    <cellStyle name="Normal 3 2 2 2 2 14 3" xfId="27173" xr:uid="{00000000-0005-0000-0000-00000D410000}"/>
    <cellStyle name="Normal 3 2 2 2 2 14 3 2" xfId="27174" xr:uid="{00000000-0005-0000-0000-00000E410000}"/>
    <cellStyle name="Normal 3 2 2 2 2 14 4" xfId="27175" xr:uid="{00000000-0005-0000-0000-00000F410000}"/>
    <cellStyle name="Normal 3 2 2 2 2 14 5" xfId="27176" xr:uid="{00000000-0005-0000-0000-000010410000}"/>
    <cellStyle name="Normal 3 2 2 2 2 15" xfId="27177" xr:uid="{00000000-0005-0000-0000-000011410000}"/>
    <cellStyle name="Normal 3 2 2 2 2 15 2" xfId="27178" xr:uid="{00000000-0005-0000-0000-000012410000}"/>
    <cellStyle name="Normal 3 2 2 2 2 16" xfId="27179" xr:uid="{00000000-0005-0000-0000-000013410000}"/>
    <cellStyle name="Normal 3 2 2 2 2 16 2" xfId="27180" xr:uid="{00000000-0005-0000-0000-000014410000}"/>
    <cellStyle name="Normal 3 2 2 2 2 17" xfId="27181" xr:uid="{00000000-0005-0000-0000-000015410000}"/>
    <cellStyle name="Normal 3 2 2 2 2 17 2" xfId="27182" xr:uid="{00000000-0005-0000-0000-000016410000}"/>
    <cellStyle name="Normal 3 2 2 2 2 18" xfId="27183" xr:uid="{00000000-0005-0000-0000-000017410000}"/>
    <cellStyle name="Normal 3 2 2 2 2 19" xfId="27184" xr:uid="{00000000-0005-0000-0000-000018410000}"/>
    <cellStyle name="Normal 3 2 2 2 2 2" xfId="2491" xr:uid="{00000000-0005-0000-0000-000019410000}"/>
    <cellStyle name="Normal 3 2 2 2 2 2 10" xfId="27186" xr:uid="{00000000-0005-0000-0000-00001A410000}"/>
    <cellStyle name="Normal 3 2 2 2 2 2 10 2" xfId="27187" xr:uid="{00000000-0005-0000-0000-00001B410000}"/>
    <cellStyle name="Normal 3 2 2 2 2 2 10 2 2" xfId="27188" xr:uid="{00000000-0005-0000-0000-00001C410000}"/>
    <cellStyle name="Normal 3 2 2 2 2 2 10 3" xfId="27189" xr:uid="{00000000-0005-0000-0000-00001D410000}"/>
    <cellStyle name="Normal 3 2 2 2 2 2 10 3 2" xfId="27190" xr:uid="{00000000-0005-0000-0000-00001E410000}"/>
    <cellStyle name="Normal 3 2 2 2 2 2 10 4" xfId="27191" xr:uid="{00000000-0005-0000-0000-00001F410000}"/>
    <cellStyle name="Normal 3 2 2 2 2 2 10 4 2" xfId="27192" xr:uid="{00000000-0005-0000-0000-000020410000}"/>
    <cellStyle name="Normal 3 2 2 2 2 2 10 5" xfId="27193" xr:uid="{00000000-0005-0000-0000-000021410000}"/>
    <cellStyle name="Normal 3 2 2 2 2 2 10 6" xfId="27194" xr:uid="{00000000-0005-0000-0000-000022410000}"/>
    <cellStyle name="Normal 3 2 2 2 2 2 11" xfId="27195" xr:uid="{00000000-0005-0000-0000-000023410000}"/>
    <cellStyle name="Normal 3 2 2 2 2 2 11 2" xfId="27196" xr:uid="{00000000-0005-0000-0000-000024410000}"/>
    <cellStyle name="Normal 3 2 2 2 2 2 11 2 2" xfId="27197" xr:uid="{00000000-0005-0000-0000-000025410000}"/>
    <cellStyle name="Normal 3 2 2 2 2 2 11 3" xfId="27198" xr:uid="{00000000-0005-0000-0000-000026410000}"/>
    <cellStyle name="Normal 3 2 2 2 2 2 11 3 2" xfId="27199" xr:uid="{00000000-0005-0000-0000-000027410000}"/>
    <cellStyle name="Normal 3 2 2 2 2 2 11 4" xfId="27200" xr:uid="{00000000-0005-0000-0000-000028410000}"/>
    <cellStyle name="Normal 3 2 2 2 2 2 11 5" xfId="27201" xr:uid="{00000000-0005-0000-0000-000029410000}"/>
    <cellStyle name="Normal 3 2 2 2 2 2 12" xfId="27202" xr:uid="{00000000-0005-0000-0000-00002A410000}"/>
    <cellStyle name="Normal 3 2 2 2 2 2 12 2" xfId="27203" xr:uid="{00000000-0005-0000-0000-00002B410000}"/>
    <cellStyle name="Normal 3 2 2 2 2 2 13" xfId="27204" xr:uid="{00000000-0005-0000-0000-00002C410000}"/>
    <cellStyle name="Normal 3 2 2 2 2 2 13 2" xfId="27205" xr:uid="{00000000-0005-0000-0000-00002D410000}"/>
    <cellStyle name="Normal 3 2 2 2 2 2 14" xfId="27206" xr:uid="{00000000-0005-0000-0000-00002E410000}"/>
    <cellStyle name="Normal 3 2 2 2 2 2 14 2" xfId="27207" xr:uid="{00000000-0005-0000-0000-00002F410000}"/>
    <cellStyle name="Normal 3 2 2 2 2 2 15" xfId="27208" xr:uid="{00000000-0005-0000-0000-000030410000}"/>
    <cellStyle name="Normal 3 2 2 2 2 2 16" xfId="27209" xr:uid="{00000000-0005-0000-0000-000031410000}"/>
    <cellStyle name="Normal 3 2 2 2 2 2 17" xfId="27185" xr:uid="{00000000-0005-0000-0000-000032410000}"/>
    <cellStyle name="Normal 3 2 2 2 2 2 2" xfId="2492" xr:uid="{00000000-0005-0000-0000-000033410000}"/>
    <cellStyle name="Normal 3 2 2 2 2 2 2 10" xfId="27211" xr:uid="{00000000-0005-0000-0000-000034410000}"/>
    <cellStyle name="Normal 3 2 2 2 2 2 2 10 2" xfId="27212" xr:uid="{00000000-0005-0000-0000-000035410000}"/>
    <cellStyle name="Normal 3 2 2 2 2 2 2 11" xfId="27213" xr:uid="{00000000-0005-0000-0000-000036410000}"/>
    <cellStyle name="Normal 3 2 2 2 2 2 2 11 2" xfId="27214" xr:uid="{00000000-0005-0000-0000-000037410000}"/>
    <cellStyle name="Normal 3 2 2 2 2 2 2 12" xfId="27215" xr:uid="{00000000-0005-0000-0000-000038410000}"/>
    <cellStyle name="Normal 3 2 2 2 2 2 2 13" xfId="27216" xr:uid="{00000000-0005-0000-0000-000039410000}"/>
    <cellStyle name="Normal 3 2 2 2 2 2 2 14" xfId="27210" xr:uid="{00000000-0005-0000-0000-00003A410000}"/>
    <cellStyle name="Normal 3 2 2 2 2 2 2 2" xfId="2493" xr:uid="{00000000-0005-0000-0000-00003B410000}"/>
    <cellStyle name="Normal 3 2 2 2 2 2 2 2 10" xfId="27218" xr:uid="{00000000-0005-0000-0000-00003C410000}"/>
    <cellStyle name="Normal 3 2 2 2 2 2 2 2 11" xfId="27219" xr:uid="{00000000-0005-0000-0000-00003D410000}"/>
    <cellStyle name="Normal 3 2 2 2 2 2 2 2 12" xfId="27217" xr:uid="{00000000-0005-0000-0000-00003E410000}"/>
    <cellStyle name="Normal 3 2 2 2 2 2 2 2 2" xfId="2494" xr:uid="{00000000-0005-0000-0000-00003F410000}"/>
    <cellStyle name="Normal 3 2 2 2 2 2 2 2 2 2" xfId="2495" xr:uid="{00000000-0005-0000-0000-000040410000}"/>
    <cellStyle name="Normal 3 2 2 2 2 2 2 2 2 2 2" xfId="27222" xr:uid="{00000000-0005-0000-0000-000041410000}"/>
    <cellStyle name="Normal 3 2 2 2 2 2 2 2 2 2 3" xfId="27221" xr:uid="{00000000-0005-0000-0000-000042410000}"/>
    <cellStyle name="Normal 3 2 2 2 2 2 2 2 2 3" xfId="2496" xr:uid="{00000000-0005-0000-0000-000043410000}"/>
    <cellStyle name="Normal 3 2 2 2 2 2 2 2 2 3 2" xfId="27224" xr:uid="{00000000-0005-0000-0000-000044410000}"/>
    <cellStyle name="Normal 3 2 2 2 2 2 2 2 2 3 3" xfId="27223" xr:uid="{00000000-0005-0000-0000-000045410000}"/>
    <cellStyle name="Normal 3 2 2 2 2 2 2 2 2 4" xfId="27225" xr:uid="{00000000-0005-0000-0000-000046410000}"/>
    <cellStyle name="Normal 3 2 2 2 2 2 2 2 2 4 2" xfId="27226" xr:uid="{00000000-0005-0000-0000-000047410000}"/>
    <cellStyle name="Normal 3 2 2 2 2 2 2 2 2 5" xfId="27227" xr:uid="{00000000-0005-0000-0000-000048410000}"/>
    <cellStyle name="Normal 3 2 2 2 2 2 2 2 2 6" xfId="27228" xr:uid="{00000000-0005-0000-0000-000049410000}"/>
    <cellStyle name="Normal 3 2 2 2 2 2 2 2 2 7" xfId="27220" xr:uid="{00000000-0005-0000-0000-00004A410000}"/>
    <cellStyle name="Normal 3 2 2 2 2 2 2 2 3" xfId="2497" xr:uid="{00000000-0005-0000-0000-00004B410000}"/>
    <cellStyle name="Normal 3 2 2 2 2 2 2 2 3 2" xfId="2498" xr:uid="{00000000-0005-0000-0000-00004C410000}"/>
    <cellStyle name="Normal 3 2 2 2 2 2 2 2 3 2 2" xfId="27231" xr:uid="{00000000-0005-0000-0000-00004D410000}"/>
    <cellStyle name="Normal 3 2 2 2 2 2 2 2 3 2 3" xfId="27230" xr:uid="{00000000-0005-0000-0000-00004E410000}"/>
    <cellStyle name="Normal 3 2 2 2 2 2 2 2 3 3" xfId="27232" xr:uid="{00000000-0005-0000-0000-00004F410000}"/>
    <cellStyle name="Normal 3 2 2 2 2 2 2 2 3 3 2" xfId="27233" xr:uid="{00000000-0005-0000-0000-000050410000}"/>
    <cellStyle name="Normal 3 2 2 2 2 2 2 2 3 4" xfId="27234" xr:uid="{00000000-0005-0000-0000-000051410000}"/>
    <cellStyle name="Normal 3 2 2 2 2 2 2 2 3 4 2" xfId="27235" xr:uid="{00000000-0005-0000-0000-000052410000}"/>
    <cellStyle name="Normal 3 2 2 2 2 2 2 2 3 5" xfId="27236" xr:uid="{00000000-0005-0000-0000-000053410000}"/>
    <cellStyle name="Normal 3 2 2 2 2 2 2 2 3 6" xfId="27237" xr:uid="{00000000-0005-0000-0000-000054410000}"/>
    <cellStyle name="Normal 3 2 2 2 2 2 2 2 3 7" xfId="27229" xr:uid="{00000000-0005-0000-0000-000055410000}"/>
    <cellStyle name="Normal 3 2 2 2 2 2 2 2 4" xfId="2499" xr:uid="{00000000-0005-0000-0000-000056410000}"/>
    <cellStyle name="Normal 3 2 2 2 2 2 2 2 4 2" xfId="2500" xr:uid="{00000000-0005-0000-0000-000057410000}"/>
    <cellStyle name="Normal 3 2 2 2 2 2 2 2 4 2 2" xfId="27240" xr:uid="{00000000-0005-0000-0000-000058410000}"/>
    <cellStyle name="Normal 3 2 2 2 2 2 2 2 4 2 3" xfId="27239" xr:uid="{00000000-0005-0000-0000-000059410000}"/>
    <cellStyle name="Normal 3 2 2 2 2 2 2 2 4 3" xfId="27241" xr:uid="{00000000-0005-0000-0000-00005A410000}"/>
    <cellStyle name="Normal 3 2 2 2 2 2 2 2 4 3 2" xfId="27242" xr:uid="{00000000-0005-0000-0000-00005B410000}"/>
    <cellStyle name="Normal 3 2 2 2 2 2 2 2 4 4" xfId="27243" xr:uid="{00000000-0005-0000-0000-00005C410000}"/>
    <cellStyle name="Normal 3 2 2 2 2 2 2 2 4 4 2" xfId="27244" xr:uid="{00000000-0005-0000-0000-00005D410000}"/>
    <cellStyle name="Normal 3 2 2 2 2 2 2 2 4 5" xfId="27245" xr:uid="{00000000-0005-0000-0000-00005E410000}"/>
    <cellStyle name="Normal 3 2 2 2 2 2 2 2 4 6" xfId="27246" xr:uid="{00000000-0005-0000-0000-00005F410000}"/>
    <cellStyle name="Normal 3 2 2 2 2 2 2 2 4 7" xfId="27238" xr:uid="{00000000-0005-0000-0000-000060410000}"/>
    <cellStyle name="Normal 3 2 2 2 2 2 2 2 5" xfId="2501" xr:uid="{00000000-0005-0000-0000-000061410000}"/>
    <cellStyle name="Normal 3 2 2 2 2 2 2 2 5 2" xfId="27248" xr:uid="{00000000-0005-0000-0000-000062410000}"/>
    <cellStyle name="Normal 3 2 2 2 2 2 2 2 5 2 2" xfId="27249" xr:uid="{00000000-0005-0000-0000-000063410000}"/>
    <cellStyle name="Normal 3 2 2 2 2 2 2 2 5 3" xfId="27250" xr:uid="{00000000-0005-0000-0000-000064410000}"/>
    <cellStyle name="Normal 3 2 2 2 2 2 2 2 5 3 2" xfId="27251" xr:uid="{00000000-0005-0000-0000-000065410000}"/>
    <cellStyle name="Normal 3 2 2 2 2 2 2 2 5 4" xfId="27252" xr:uid="{00000000-0005-0000-0000-000066410000}"/>
    <cellStyle name="Normal 3 2 2 2 2 2 2 2 5 4 2" xfId="27253" xr:uid="{00000000-0005-0000-0000-000067410000}"/>
    <cellStyle name="Normal 3 2 2 2 2 2 2 2 5 5" xfId="27254" xr:uid="{00000000-0005-0000-0000-000068410000}"/>
    <cellStyle name="Normal 3 2 2 2 2 2 2 2 5 6" xfId="27255" xr:uid="{00000000-0005-0000-0000-000069410000}"/>
    <cellStyle name="Normal 3 2 2 2 2 2 2 2 5 7" xfId="27247" xr:uid="{00000000-0005-0000-0000-00006A410000}"/>
    <cellStyle name="Normal 3 2 2 2 2 2 2 2 6" xfId="27256" xr:uid="{00000000-0005-0000-0000-00006B410000}"/>
    <cellStyle name="Normal 3 2 2 2 2 2 2 2 6 2" xfId="27257" xr:uid="{00000000-0005-0000-0000-00006C410000}"/>
    <cellStyle name="Normal 3 2 2 2 2 2 2 2 6 2 2" xfId="27258" xr:uid="{00000000-0005-0000-0000-00006D410000}"/>
    <cellStyle name="Normal 3 2 2 2 2 2 2 2 6 3" xfId="27259" xr:uid="{00000000-0005-0000-0000-00006E410000}"/>
    <cellStyle name="Normal 3 2 2 2 2 2 2 2 6 3 2" xfId="27260" xr:uid="{00000000-0005-0000-0000-00006F410000}"/>
    <cellStyle name="Normal 3 2 2 2 2 2 2 2 6 4" xfId="27261" xr:uid="{00000000-0005-0000-0000-000070410000}"/>
    <cellStyle name="Normal 3 2 2 2 2 2 2 2 6 5" xfId="27262" xr:uid="{00000000-0005-0000-0000-000071410000}"/>
    <cellStyle name="Normal 3 2 2 2 2 2 2 2 7" xfId="27263" xr:uid="{00000000-0005-0000-0000-000072410000}"/>
    <cellStyle name="Normal 3 2 2 2 2 2 2 2 7 2" xfId="27264" xr:uid="{00000000-0005-0000-0000-000073410000}"/>
    <cellStyle name="Normal 3 2 2 2 2 2 2 2 8" xfId="27265" xr:uid="{00000000-0005-0000-0000-000074410000}"/>
    <cellStyle name="Normal 3 2 2 2 2 2 2 2 8 2" xfId="27266" xr:uid="{00000000-0005-0000-0000-000075410000}"/>
    <cellStyle name="Normal 3 2 2 2 2 2 2 2 9" xfId="27267" xr:uid="{00000000-0005-0000-0000-000076410000}"/>
    <cellStyle name="Normal 3 2 2 2 2 2 2 2 9 2" xfId="27268" xr:uid="{00000000-0005-0000-0000-000077410000}"/>
    <cellStyle name="Normal 3 2 2 2 2 2 2 3" xfId="2502" xr:uid="{00000000-0005-0000-0000-000078410000}"/>
    <cellStyle name="Normal 3 2 2 2 2 2 2 3 10" xfId="27270" xr:uid="{00000000-0005-0000-0000-000079410000}"/>
    <cellStyle name="Normal 3 2 2 2 2 2 2 3 11" xfId="27269" xr:uid="{00000000-0005-0000-0000-00007A410000}"/>
    <cellStyle name="Normal 3 2 2 2 2 2 2 3 2" xfId="2503" xr:uid="{00000000-0005-0000-0000-00007B410000}"/>
    <cellStyle name="Normal 3 2 2 2 2 2 2 3 2 2" xfId="2504" xr:uid="{00000000-0005-0000-0000-00007C410000}"/>
    <cellStyle name="Normal 3 2 2 2 2 2 2 3 2 2 2" xfId="27273" xr:uid="{00000000-0005-0000-0000-00007D410000}"/>
    <cellStyle name="Normal 3 2 2 2 2 2 2 3 2 2 3" xfId="27272" xr:uid="{00000000-0005-0000-0000-00007E410000}"/>
    <cellStyle name="Normal 3 2 2 2 2 2 2 3 2 3" xfId="27274" xr:uid="{00000000-0005-0000-0000-00007F410000}"/>
    <cellStyle name="Normal 3 2 2 2 2 2 2 3 2 3 2" xfId="27275" xr:uid="{00000000-0005-0000-0000-000080410000}"/>
    <cellStyle name="Normal 3 2 2 2 2 2 2 3 2 4" xfId="27276" xr:uid="{00000000-0005-0000-0000-000081410000}"/>
    <cellStyle name="Normal 3 2 2 2 2 2 2 3 2 4 2" xfId="27277" xr:uid="{00000000-0005-0000-0000-000082410000}"/>
    <cellStyle name="Normal 3 2 2 2 2 2 2 3 2 5" xfId="27278" xr:uid="{00000000-0005-0000-0000-000083410000}"/>
    <cellStyle name="Normal 3 2 2 2 2 2 2 3 2 6" xfId="27279" xr:uid="{00000000-0005-0000-0000-000084410000}"/>
    <cellStyle name="Normal 3 2 2 2 2 2 2 3 2 7" xfId="27271" xr:uid="{00000000-0005-0000-0000-000085410000}"/>
    <cellStyle name="Normal 3 2 2 2 2 2 2 3 3" xfId="2505" xr:uid="{00000000-0005-0000-0000-000086410000}"/>
    <cellStyle name="Normal 3 2 2 2 2 2 2 3 3 2" xfId="2506" xr:uid="{00000000-0005-0000-0000-000087410000}"/>
    <cellStyle name="Normal 3 2 2 2 2 2 2 3 3 2 2" xfId="27282" xr:uid="{00000000-0005-0000-0000-000088410000}"/>
    <cellStyle name="Normal 3 2 2 2 2 2 2 3 3 2 3" xfId="27281" xr:uid="{00000000-0005-0000-0000-000089410000}"/>
    <cellStyle name="Normal 3 2 2 2 2 2 2 3 3 3" xfId="27283" xr:uid="{00000000-0005-0000-0000-00008A410000}"/>
    <cellStyle name="Normal 3 2 2 2 2 2 2 3 3 3 2" xfId="27284" xr:uid="{00000000-0005-0000-0000-00008B410000}"/>
    <cellStyle name="Normal 3 2 2 2 2 2 2 3 3 4" xfId="27285" xr:uid="{00000000-0005-0000-0000-00008C410000}"/>
    <cellStyle name="Normal 3 2 2 2 2 2 2 3 3 4 2" xfId="27286" xr:uid="{00000000-0005-0000-0000-00008D410000}"/>
    <cellStyle name="Normal 3 2 2 2 2 2 2 3 3 5" xfId="27287" xr:uid="{00000000-0005-0000-0000-00008E410000}"/>
    <cellStyle name="Normal 3 2 2 2 2 2 2 3 3 6" xfId="27288" xr:uid="{00000000-0005-0000-0000-00008F410000}"/>
    <cellStyle name="Normal 3 2 2 2 2 2 2 3 3 7" xfId="27280" xr:uid="{00000000-0005-0000-0000-000090410000}"/>
    <cellStyle name="Normal 3 2 2 2 2 2 2 3 4" xfId="2507" xr:uid="{00000000-0005-0000-0000-000091410000}"/>
    <cellStyle name="Normal 3 2 2 2 2 2 2 3 4 2" xfId="27290" xr:uid="{00000000-0005-0000-0000-000092410000}"/>
    <cellStyle name="Normal 3 2 2 2 2 2 2 3 4 2 2" xfId="27291" xr:uid="{00000000-0005-0000-0000-000093410000}"/>
    <cellStyle name="Normal 3 2 2 2 2 2 2 3 4 3" xfId="27292" xr:uid="{00000000-0005-0000-0000-000094410000}"/>
    <cellStyle name="Normal 3 2 2 2 2 2 2 3 4 3 2" xfId="27293" xr:uid="{00000000-0005-0000-0000-000095410000}"/>
    <cellStyle name="Normal 3 2 2 2 2 2 2 3 4 4" xfId="27294" xr:uid="{00000000-0005-0000-0000-000096410000}"/>
    <cellStyle name="Normal 3 2 2 2 2 2 2 3 4 4 2" xfId="27295" xr:uid="{00000000-0005-0000-0000-000097410000}"/>
    <cellStyle name="Normal 3 2 2 2 2 2 2 3 4 5" xfId="27296" xr:uid="{00000000-0005-0000-0000-000098410000}"/>
    <cellStyle name="Normal 3 2 2 2 2 2 2 3 4 6" xfId="27297" xr:uid="{00000000-0005-0000-0000-000099410000}"/>
    <cellStyle name="Normal 3 2 2 2 2 2 2 3 4 7" xfId="27289" xr:uid="{00000000-0005-0000-0000-00009A410000}"/>
    <cellStyle name="Normal 3 2 2 2 2 2 2 3 5" xfId="27298" xr:uid="{00000000-0005-0000-0000-00009B410000}"/>
    <cellStyle name="Normal 3 2 2 2 2 2 2 3 5 2" xfId="27299" xr:uid="{00000000-0005-0000-0000-00009C410000}"/>
    <cellStyle name="Normal 3 2 2 2 2 2 2 3 5 2 2" xfId="27300" xr:uid="{00000000-0005-0000-0000-00009D410000}"/>
    <cellStyle name="Normal 3 2 2 2 2 2 2 3 5 3" xfId="27301" xr:uid="{00000000-0005-0000-0000-00009E410000}"/>
    <cellStyle name="Normal 3 2 2 2 2 2 2 3 5 3 2" xfId="27302" xr:uid="{00000000-0005-0000-0000-00009F410000}"/>
    <cellStyle name="Normal 3 2 2 2 2 2 2 3 5 4" xfId="27303" xr:uid="{00000000-0005-0000-0000-0000A0410000}"/>
    <cellStyle name="Normal 3 2 2 2 2 2 2 3 5 5" xfId="27304" xr:uid="{00000000-0005-0000-0000-0000A1410000}"/>
    <cellStyle name="Normal 3 2 2 2 2 2 2 3 6" xfId="27305" xr:uid="{00000000-0005-0000-0000-0000A2410000}"/>
    <cellStyle name="Normal 3 2 2 2 2 2 2 3 6 2" xfId="27306" xr:uid="{00000000-0005-0000-0000-0000A3410000}"/>
    <cellStyle name="Normal 3 2 2 2 2 2 2 3 7" xfId="27307" xr:uid="{00000000-0005-0000-0000-0000A4410000}"/>
    <cellStyle name="Normal 3 2 2 2 2 2 2 3 7 2" xfId="27308" xr:uid="{00000000-0005-0000-0000-0000A5410000}"/>
    <cellStyle name="Normal 3 2 2 2 2 2 2 3 8" xfId="27309" xr:uid="{00000000-0005-0000-0000-0000A6410000}"/>
    <cellStyle name="Normal 3 2 2 2 2 2 2 3 8 2" xfId="27310" xr:uid="{00000000-0005-0000-0000-0000A7410000}"/>
    <cellStyle name="Normal 3 2 2 2 2 2 2 3 9" xfId="27311" xr:uid="{00000000-0005-0000-0000-0000A8410000}"/>
    <cellStyle name="Normal 3 2 2 2 2 2 2 4" xfId="2508" xr:uid="{00000000-0005-0000-0000-0000A9410000}"/>
    <cellStyle name="Normal 3 2 2 2 2 2 2 4 10" xfId="27313" xr:uid="{00000000-0005-0000-0000-0000AA410000}"/>
    <cellStyle name="Normal 3 2 2 2 2 2 2 4 11" xfId="27312" xr:uid="{00000000-0005-0000-0000-0000AB410000}"/>
    <cellStyle name="Normal 3 2 2 2 2 2 2 4 2" xfId="2509" xr:uid="{00000000-0005-0000-0000-0000AC410000}"/>
    <cellStyle name="Normal 3 2 2 2 2 2 2 4 2 2" xfId="27315" xr:uid="{00000000-0005-0000-0000-0000AD410000}"/>
    <cellStyle name="Normal 3 2 2 2 2 2 2 4 2 2 2" xfId="27316" xr:uid="{00000000-0005-0000-0000-0000AE410000}"/>
    <cellStyle name="Normal 3 2 2 2 2 2 2 4 2 3" xfId="27317" xr:uid="{00000000-0005-0000-0000-0000AF410000}"/>
    <cellStyle name="Normal 3 2 2 2 2 2 2 4 2 3 2" xfId="27318" xr:uid="{00000000-0005-0000-0000-0000B0410000}"/>
    <cellStyle name="Normal 3 2 2 2 2 2 2 4 2 4" xfId="27319" xr:uid="{00000000-0005-0000-0000-0000B1410000}"/>
    <cellStyle name="Normal 3 2 2 2 2 2 2 4 2 4 2" xfId="27320" xr:uid="{00000000-0005-0000-0000-0000B2410000}"/>
    <cellStyle name="Normal 3 2 2 2 2 2 2 4 2 5" xfId="27321" xr:uid="{00000000-0005-0000-0000-0000B3410000}"/>
    <cellStyle name="Normal 3 2 2 2 2 2 2 4 2 6" xfId="27322" xr:uid="{00000000-0005-0000-0000-0000B4410000}"/>
    <cellStyle name="Normal 3 2 2 2 2 2 2 4 2 7" xfId="27314" xr:uid="{00000000-0005-0000-0000-0000B5410000}"/>
    <cellStyle name="Normal 3 2 2 2 2 2 2 4 3" xfId="2510" xr:uid="{00000000-0005-0000-0000-0000B6410000}"/>
    <cellStyle name="Normal 3 2 2 2 2 2 2 4 3 2" xfId="27324" xr:uid="{00000000-0005-0000-0000-0000B7410000}"/>
    <cellStyle name="Normal 3 2 2 2 2 2 2 4 3 2 2" xfId="27325" xr:uid="{00000000-0005-0000-0000-0000B8410000}"/>
    <cellStyle name="Normal 3 2 2 2 2 2 2 4 3 3" xfId="27326" xr:uid="{00000000-0005-0000-0000-0000B9410000}"/>
    <cellStyle name="Normal 3 2 2 2 2 2 2 4 3 3 2" xfId="27327" xr:uid="{00000000-0005-0000-0000-0000BA410000}"/>
    <cellStyle name="Normal 3 2 2 2 2 2 2 4 3 4" xfId="27328" xr:uid="{00000000-0005-0000-0000-0000BB410000}"/>
    <cellStyle name="Normal 3 2 2 2 2 2 2 4 3 4 2" xfId="27329" xr:uid="{00000000-0005-0000-0000-0000BC410000}"/>
    <cellStyle name="Normal 3 2 2 2 2 2 2 4 3 5" xfId="27330" xr:uid="{00000000-0005-0000-0000-0000BD410000}"/>
    <cellStyle name="Normal 3 2 2 2 2 2 2 4 3 6" xfId="27331" xr:uid="{00000000-0005-0000-0000-0000BE410000}"/>
    <cellStyle name="Normal 3 2 2 2 2 2 2 4 3 7" xfId="27323" xr:uid="{00000000-0005-0000-0000-0000BF410000}"/>
    <cellStyle name="Normal 3 2 2 2 2 2 2 4 4" xfId="27332" xr:uid="{00000000-0005-0000-0000-0000C0410000}"/>
    <cellStyle name="Normal 3 2 2 2 2 2 2 4 4 2" xfId="27333" xr:uid="{00000000-0005-0000-0000-0000C1410000}"/>
    <cellStyle name="Normal 3 2 2 2 2 2 2 4 4 2 2" xfId="27334" xr:uid="{00000000-0005-0000-0000-0000C2410000}"/>
    <cellStyle name="Normal 3 2 2 2 2 2 2 4 4 3" xfId="27335" xr:uid="{00000000-0005-0000-0000-0000C3410000}"/>
    <cellStyle name="Normal 3 2 2 2 2 2 2 4 4 3 2" xfId="27336" xr:uid="{00000000-0005-0000-0000-0000C4410000}"/>
    <cellStyle name="Normal 3 2 2 2 2 2 2 4 4 4" xfId="27337" xr:uid="{00000000-0005-0000-0000-0000C5410000}"/>
    <cellStyle name="Normal 3 2 2 2 2 2 2 4 4 4 2" xfId="27338" xr:uid="{00000000-0005-0000-0000-0000C6410000}"/>
    <cellStyle name="Normal 3 2 2 2 2 2 2 4 4 5" xfId="27339" xr:uid="{00000000-0005-0000-0000-0000C7410000}"/>
    <cellStyle name="Normal 3 2 2 2 2 2 2 4 4 6" xfId="27340" xr:uid="{00000000-0005-0000-0000-0000C8410000}"/>
    <cellStyle name="Normal 3 2 2 2 2 2 2 4 5" xfId="27341" xr:uid="{00000000-0005-0000-0000-0000C9410000}"/>
    <cellStyle name="Normal 3 2 2 2 2 2 2 4 5 2" xfId="27342" xr:uid="{00000000-0005-0000-0000-0000CA410000}"/>
    <cellStyle name="Normal 3 2 2 2 2 2 2 4 5 2 2" xfId="27343" xr:uid="{00000000-0005-0000-0000-0000CB410000}"/>
    <cellStyle name="Normal 3 2 2 2 2 2 2 4 5 3" xfId="27344" xr:uid="{00000000-0005-0000-0000-0000CC410000}"/>
    <cellStyle name="Normal 3 2 2 2 2 2 2 4 5 3 2" xfId="27345" xr:uid="{00000000-0005-0000-0000-0000CD410000}"/>
    <cellStyle name="Normal 3 2 2 2 2 2 2 4 5 4" xfId="27346" xr:uid="{00000000-0005-0000-0000-0000CE410000}"/>
    <cellStyle name="Normal 3 2 2 2 2 2 2 4 5 5" xfId="27347" xr:uid="{00000000-0005-0000-0000-0000CF410000}"/>
    <cellStyle name="Normal 3 2 2 2 2 2 2 4 6" xfId="27348" xr:uid="{00000000-0005-0000-0000-0000D0410000}"/>
    <cellStyle name="Normal 3 2 2 2 2 2 2 4 6 2" xfId="27349" xr:uid="{00000000-0005-0000-0000-0000D1410000}"/>
    <cellStyle name="Normal 3 2 2 2 2 2 2 4 7" xfId="27350" xr:uid="{00000000-0005-0000-0000-0000D2410000}"/>
    <cellStyle name="Normal 3 2 2 2 2 2 2 4 7 2" xfId="27351" xr:uid="{00000000-0005-0000-0000-0000D3410000}"/>
    <cellStyle name="Normal 3 2 2 2 2 2 2 4 8" xfId="27352" xr:uid="{00000000-0005-0000-0000-0000D4410000}"/>
    <cellStyle name="Normal 3 2 2 2 2 2 2 4 8 2" xfId="27353" xr:uid="{00000000-0005-0000-0000-0000D5410000}"/>
    <cellStyle name="Normal 3 2 2 2 2 2 2 4 9" xfId="27354" xr:uid="{00000000-0005-0000-0000-0000D6410000}"/>
    <cellStyle name="Normal 3 2 2 2 2 2 2 5" xfId="2511" xr:uid="{00000000-0005-0000-0000-0000D7410000}"/>
    <cellStyle name="Normal 3 2 2 2 2 2 2 5 2" xfId="2512" xr:uid="{00000000-0005-0000-0000-0000D8410000}"/>
    <cellStyle name="Normal 3 2 2 2 2 2 2 5 2 2" xfId="27357" xr:uid="{00000000-0005-0000-0000-0000D9410000}"/>
    <cellStyle name="Normal 3 2 2 2 2 2 2 5 2 3" xfId="27356" xr:uid="{00000000-0005-0000-0000-0000DA410000}"/>
    <cellStyle name="Normal 3 2 2 2 2 2 2 5 3" xfId="27358" xr:uid="{00000000-0005-0000-0000-0000DB410000}"/>
    <cellStyle name="Normal 3 2 2 2 2 2 2 5 3 2" xfId="27359" xr:uid="{00000000-0005-0000-0000-0000DC410000}"/>
    <cellStyle name="Normal 3 2 2 2 2 2 2 5 4" xfId="27360" xr:uid="{00000000-0005-0000-0000-0000DD410000}"/>
    <cellStyle name="Normal 3 2 2 2 2 2 2 5 4 2" xfId="27361" xr:uid="{00000000-0005-0000-0000-0000DE410000}"/>
    <cellStyle name="Normal 3 2 2 2 2 2 2 5 5" xfId="27362" xr:uid="{00000000-0005-0000-0000-0000DF410000}"/>
    <cellStyle name="Normal 3 2 2 2 2 2 2 5 6" xfId="27363" xr:uid="{00000000-0005-0000-0000-0000E0410000}"/>
    <cellStyle name="Normal 3 2 2 2 2 2 2 5 7" xfId="27355" xr:uid="{00000000-0005-0000-0000-0000E1410000}"/>
    <cellStyle name="Normal 3 2 2 2 2 2 2 6" xfId="2513" xr:uid="{00000000-0005-0000-0000-0000E2410000}"/>
    <cellStyle name="Normal 3 2 2 2 2 2 2 6 2" xfId="2514" xr:uid="{00000000-0005-0000-0000-0000E3410000}"/>
    <cellStyle name="Normal 3 2 2 2 2 2 2 6 2 2" xfId="27366" xr:uid="{00000000-0005-0000-0000-0000E4410000}"/>
    <cellStyle name="Normal 3 2 2 2 2 2 2 6 2 3" xfId="27365" xr:uid="{00000000-0005-0000-0000-0000E5410000}"/>
    <cellStyle name="Normal 3 2 2 2 2 2 2 6 3" xfId="27367" xr:uid="{00000000-0005-0000-0000-0000E6410000}"/>
    <cellStyle name="Normal 3 2 2 2 2 2 2 6 3 2" xfId="27368" xr:uid="{00000000-0005-0000-0000-0000E7410000}"/>
    <cellStyle name="Normal 3 2 2 2 2 2 2 6 4" xfId="27369" xr:uid="{00000000-0005-0000-0000-0000E8410000}"/>
    <cellStyle name="Normal 3 2 2 2 2 2 2 6 4 2" xfId="27370" xr:uid="{00000000-0005-0000-0000-0000E9410000}"/>
    <cellStyle name="Normal 3 2 2 2 2 2 2 6 5" xfId="27371" xr:uid="{00000000-0005-0000-0000-0000EA410000}"/>
    <cellStyle name="Normal 3 2 2 2 2 2 2 6 6" xfId="27372" xr:uid="{00000000-0005-0000-0000-0000EB410000}"/>
    <cellStyle name="Normal 3 2 2 2 2 2 2 6 7" xfId="27364" xr:uid="{00000000-0005-0000-0000-0000EC410000}"/>
    <cellStyle name="Normal 3 2 2 2 2 2 2 7" xfId="2515" xr:uid="{00000000-0005-0000-0000-0000ED410000}"/>
    <cellStyle name="Normal 3 2 2 2 2 2 2 7 2" xfId="27374" xr:uid="{00000000-0005-0000-0000-0000EE410000}"/>
    <cellStyle name="Normal 3 2 2 2 2 2 2 7 2 2" xfId="27375" xr:uid="{00000000-0005-0000-0000-0000EF410000}"/>
    <cellStyle name="Normal 3 2 2 2 2 2 2 7 3" xfId="27376" xr:uid="{00000000-0005-0000-0000-0000F0410000}"/>
    <cellStyle name="Normal 3 2 2 2 2 2 2 7 3 2" xfId="27377" xr:uid="{00000000-0005-0000-0000-0000F1410000}"/>
    <cellStyle name="Normal 3 2 2 2 2 2 2 7 4" xfId="27378" xr:uid="{00000000-0005-0000-0000-0000F2410000}"/>
    <cellStyle name="Normal 3 2 2 2 2 2 2 7 4 2" xfId="27379" xr:uid="{00000000-0005-0000-0000-0000F3410000}"/>
    <cellStyle name="Normal 3 2 2 2 2 2 2 7 5" xfId="27380" xr:uid="{00000000-0005-0000-0000-0000F4410000}"/>
    <cellStyle name="Normal 3 2 2 2 2 2 2 7 6" xfId="27381" xr:uid="{00000000-0005-0000-0000-0000F5410000}"/>
    <cellStyle name="Normal 3 2 2 2 2 2 2 7 7" xfId="27373" xr:uid="{00000000-0005-0000-0000-0000F6410000}"/>
    <cellStyle name="Normal 3 2 2 2 2 2 2 8" xfId="27382" xr:uid="{00000000-0005-0000-0000-0000F7410000}"/>
    <cellStyle name="Normal 3 2 2 2 2 2 2 8 2" xfId="27383" xr:uid="{00000000-0005-0000-0000-0000F8410000}"/>
    <cellStyle name="Normal 3 2 2 2 2 2 2 8 2 2" xfId="27384" xr:uid="{00000000-0005-0000-0000-0000F9410000}"/>
    <cellStyle name="Normal 3 2 2 2 2 2 2 8 3" xfId="27385" xr:uid="{00000000-0005-0000-0000-0000FA410000}"/>
    <cellStyle name="Normal 3 2 2 2 2 2 2 8 3 2" xfId="27386" xr:uid="{00000000-0005-0000-0000-0000FB410000}"/>
    <cellStyle name="Normal 3 2 2 2 2 2 2 8 4" xfId="27387" xr:uid="{00000000-0005-0000-0000-0000FC410000}"/>
    <cellStyle name="Normal 3 2 2 2 2 2 2 8 5" xfId="27388" xr:uid="{00000000-0005-0000-0000-0000FD410000}"/>
    <cellStyle name="Normal 3 2 2 2 2 2 2 9" xfId="27389" xr:uid="{00000000-0005-0000-0000-0000FE410000}"/>
    <cellStyle name="Normal 3 2 2 2 2 2 2 9 2" xfId="27390" xr:uid="{00000000-0005-0000-0000-0000FF410000}"/>
    <cellStyle name="Normal 3 2 2 2 2 2 3" xfId="2516" xr:uid="{00000000-0005-0000-0000-000000420000}"/>
    <cellStyle name="Normal 3 2 2 2 2 2 3 10" xfId="27392" xr:uid="{00000000-0005-0000-0000-000001420000}"/>
    <cellStyle name="Normal 3 2 2 2 2 2 3 10 2" xfId="27393" xr:uid="{00000000-0005-0000-0000-000002420000}"/>
    <cellStyle name="Normal 3 2 2 2 2 2 3 11" xfId="27394" xr:uid="{00000000-0005-0000-0000-000003420000}"/>
    <cellStyle name="Normal 3 2 2 2 2 2 3 11 2" xfId="27395" xr:uid="{00000000-0005-0000-0000-000004420000}"/>
    <cellStyle name="Normal 3 2 2 2 2 2 3 12" xfId="27396" xr:uid="{00000000-0005-0000-0000-000005420000}"/>
    <cellStyle name="Normal 3 2 2 2 2 2 3 13" xfId="27397" xr:uid="{00000000-0005-0000-0000-000006420000}"/>
    <cellStyle name="Normal 3 2 2 2 2 2 3 14" xfId="27391" xr:uid="{00000000-0005-0000-0000-000007420000}"/>
    <cellStyle name="Normal 3 2 2 2 2 2 3 2" xfId="2517" xr:uid="{00000000-0005-0000-0000-000008420000}"/>
    <cellStyle name="Normal 3 2 2 2 2 2 3 2 10" xfId="27399" xr:uid="{00000000-0005-0000-0000-000009420000}"/>
    <cellStyle name="Normal 3 2 2 2 2 2 3 2 11" xfId="27400" xr:uid="{00000000-0005-0000-0000-00000A420000}"/>
    <cellStyle name="Normal 3 2 2 2 2 2 3 2 12" xfId="27398" xr:uid="{00000000-0005-0000-0000-00000B420000}"/>
    <cellStyle name="Normal 3 2 2 2 2 2 3 2 2" xfId="2518" xr:uid="{00000000-0005-0000-0000-00000C420000}"/>
    <cellStyle name="Normal 3 2 2 2 2 2 3 2 2 2" xfId="27402" xr:uid="{00000000-0005-0000-0000-00000D420000}"/>
    <cellStyle name="Normal 3 2 2 2 2 2 3 2 2 2 2" xfId="27403" xr:uid="{00000000-0005-0000-0000-00000E420000}"/>
    <cellStyle name="Normal 3 2 2 2 2 2 3 2 2 3" xfId="27404" xr:uid="{00000000-0005-0000-0000-00000F420000}"/>
    <cellStyle name="Normal 3 2 2 2 2 2 3 2 2 3 2" xfId="27405" xr:uid="{00000000-0005-0000-0000-000010420000}"/>
    <cellStyle name="Normal 3 2 2 2 2 2 3 2 2 4" xfId="27406" xr:uid="{00000000-0005-0000-0000-000011420000}"/>
    <cellStyle name="Normal 3 2 2 2 2 2 3 2 2 4 2" xfId="27407" xr:uid="{00000000-0005-0000-0000-000012420000}"/>
    <cellStyle name="Normal 3 2 2 2 2 2 3 2 2 5" xfId="27408" xr:uid="{00000000-0005-0000-0000-000013420000}"/>
    <cellStyle name="Normal 3 2 2 2 2 2 3 2 2 6" xfId="27409" xr:uid="{00000000-0005-0000-0000-000014420000}"/>
    <cellStyle name="Normal 3 2 2 2 2 2 3 2 2 7" xfId="27401" xr:uid="{00000000-0005-0000-0000-000015420000}"/>
    <cellStyle name="Normal 3 2 2 2 2 2 3 2 3" xfId="2519" xr:uid="{00000000-0005-0000-0000-000016420000}"/>
    <cellStyle name="Normal 3 2 2 2 2 2 3 2 3 2" xfId="27411" xr:uid="{00000000-0005-0000-0000-000017420000}"/>
    <cellStyle name="Normal 3 2 2 2 2 2 3 2 3 2 2" xfId="27412" xr:uid="{00000000-0005-0000-0000-000018420000}"/>
    <cellStyle name="Normal 3 2 2 2 2 2 3 2 3 3" xfId="27413" xr:uid="{00000000-0005-0000-0000-000019420000}"/>
    <cellStyle name="Normal 3 2 2 2 2 2 3 2 3 3 2" xfId="27414" xr:uid="{00000000-0005-0000-0000-00001A420000}"/>
    <cellStyle name="Normal 3 2 2 2 2 2 3 2 3 4" xfId="27415" xr:uid="{00000000-0005-0000-0000-00001B420000}"/>
    <cellStyle name="Normal 3 2 2 2 2 2 3 2 3 4 2" xfId="27416" xr:uid="{00000000-0005-0000-0000-00001C420000}"/>
    <cellStyle name="Normal 3 2 2 2 2 2 3 2 3 5" xfId="27417" xr:uid="{00000000-0005-0000-0000-00001D420000}"/>
    <cellStyle name="Normal 3 2 2 2 2 2 3 2 3 6" xfId="27418" xr:uid="{00000000-0005-0000-0000-00001E420000}"/>
    <cellStyle name="Normal 3 2 2 2 2 2 3 2 3 7" xfId="27410" xr:uid="{00000000-0005-0000-0000-00001F420000}"/>
    <cellStyle name="Normal 3 2 2 2 2 2 3 2 4" xfId="27419" xr:uid="{00000000-0005-0000-0000-000020420000}"/>
    <cellStyle name="Normal 3 2 2 2 2 2 3 2 4 2" xfId="27420" xr:uid="{00000000-0005-0000-0000-000021420000}"/>
    <cellStyle name="Normal 3 2 2 2 2 2 3 2 4 2 2" xfId="27421" xr:uid="{00000000-0005-0000-0000-000022420000}"/>
    <cellStyle name="Normal 3 2 2 2 2 2 3 2 4 3" xfId="27422" xr:uid="{00000000-0005-0000-0000-000023420000}"/>
    <cellStyle name="Normal 3 2 2 2 2 2 3 2 4 3 2" xfId="27423" xr:uid="{00000000-0005-0000-0000-000024420000}"/>
    <cellStyle name="Normal 3 2 2 2 2 2 3 2 4 4" xfId="27424" xr:uid="{00000000-0005-0000-0000-000025420000}"/>
    <cellStyle name="Normal 3 2 2 2 2 2 3 2 4 4 2" xfId="27425" xr:uid="{00000000-0005-0000-0000-000026420000}"/>
    <cellStyle name="Normal 3 2 2 2 2 2 3 2 4 5" xfId="27426" xr:uid="{00000000-0005-0000-0000-000027420000}"/>
    <cellStyle name="Normal 3 2 2 2 2 2 3 2 4 6" xfId="27427" xr:uid="{00000000-0005-0000-0000-000028420000}"/>
    <cellStyle name="Normal 3 2 2 2 2 2 3 2 5" xfId="27428" xr:uid="{00000000-0005-0000-0000-000029420000}"/>
    <cellStyle name="Normal 3 2 2 2 2 2 3 2 5 2" xfId="27429" xr:uid="{00000000-0005-0000-0000-00002A420000}"/>
    <cellStyle name="Normal 3 2 2 2 2 2 3 2 5 2 2" xfId="27430" xr:uid="{00000000-0005-0000-0000-00002B420000}"/>
    <cellStyle name="Normal 3 2 2 2 2 2 3 2 5 3" xfId="27431" xr:uid="{00000000-0005-0000-0000-00002C420000}"/>
    <cellStyle name="Normal 3 2 2 2 2 2 3 2 5 3 2" xfId="27432" xr:uid="{00000000-0005-0000-0000-00002D420000}"/>
    <cellStyle name="Normal 3 2 2 2 2 2 3 2 5 4" xfId="27433" xr:uid="{00000000-0005-0000-0000-00002E420000}"/>
    <cellStyle name="Normal 3 2 2 2 2 2 3 2 5 4 2" xfId="27434" xr:uid="{00000000-0005-0000-0000-00002F420000}"/>
    <cellStyle name="Normal 3 2 2 2 2 2 3 2 5 5" xfId="27435" xr:uid="{00000000-0005-0000-0000-000030420000}"/>
    <cellStyle name="Normal 3 2 2 2 2 2 3 2 5 6" xfId="27436" xr:uid="{00000000-0005-0000-0000-000031420000}"/>
    <cellStyle name="Normal 3 2 2 2 2 2 3 2 6" xfId="27437" xr:uid="{00000000-0005-0000-0000-000032420000}"/>
    <cellStyle name="Normal 3 2 2 2 2 2 3 2 6 2" xfId="27438" xr:uid="{00000000-0005-0000-0000-000033420000}"/>
    <cellStyle name="Normal 3 2 2 2 2 2 3 2 6 2 2" xfId="27439" xr:uid="{00000000-0005-0000-0000-000034420000}"/>
    <cellStyle name="Normal 3 2 2 2 2 2 3 2 6 3" xfId="27440" xr:uid="{00000000-0005-0000-0000-000035420000}"/>
    <cellStyle name="Normal 3 2 2 2 2 2 3 2 6 3 2" xfId="27441" xr:uid="{00000000-0005-0000-0000-000036420000}"/>
    <cellStyle name="Normal 3 2 2 2 2 2 3 2 6 4" xfId="27442" xr:uid="{00000000-0005-0000-0000-000037420000}"/>
    <cellStyle name="Normal 3 2 2 2 2 2 3 2 6 5" xfId="27443" xr:uid="{00000000-0005-0000-0000-000038420000}"/>
    <cellStyle name="Normal 3 2 2 2 2 2 3 2 7" xfId="27444" xr:uid="{00000000-0005-0000-0000-000039420000}"/>
    <cellStyle name="Normal 3 2 2 2 2 2 3 2 7 2" xfId="27445" xr:uid="{00000000-0005-0000-0000-00003A420000}"/>
    <cellStyle name="Normal 3 2 2 2 2 2 3 2 8" xfId="27446" xr:uid="{00000000-0005-0000-0000-00003B420000}"/>
    <cellStyle name="Normal 3 2 2 2 2 2 3 2 8 2" xfId="27447" xr:uid="{00000000-0005-0000-0000-00003C420000}"/>
    <cellStyle name="Normal 3 2 2 2 2 2 3 2 9" xfId="27448" xr:uid="{00000000-0005-0000-0000-00003D420000}"/>
    <cellStyle name="Normal 3 2 2 2 2 2 3 2 9 2" xfId="27449" xr:uid="{00000000-0005-0000-0000-00003E420000}"/>
    <cellStyle name="Normal 3 2 2 2 2 2 3 3" xfId="2520" xr:uid="{00000000-0005-0000-0000-00003F420000}"/>
    <cellStyle name="Normal 3 2 2 2 2 2 3 3 10" xfId="27451" xr:uid="{00000000-0005-0000-0000-000040420000}"/>
    <cellStyle name="Normal 3 2 2 2 2 2 3 3 11" xfId="27450" xr:uid="{00000000-0005-0000-0000-000041420000}"/>
    <cellStyle name="Normal 3 2 2 2 2 2 3 3 2" xfId="2521" xr:uid="{00000000-0005-0000-0000-000042420000}"/>
    <cellStyle name="Normal 3 2 2 2 2 2 3 3 2 2" xfId="27453" xr:uid="{00000000-0005-0000-0000-000043420000}"/>
    <cellStyle name="Normal 3 2 2 2 2 2 3 3 2 2 2" xfId="27454" xr:uid="{00000000-0005-0000-0000-000044420000}"/>
    <cellStyle name="Normal 3 2 2 2 2 2 3 3 2 3" xfId="27455" xr:uid="{00000000-0005-0000-0000-000045420000}"/>
    <cellStyle name="Normal 3 2 2 2 2 2 3 3 2 3 2" xfId="27456" xr:uid="{00000000-0005-0000-0000-000046420000}"/>
    <cellStyle name="Normal 3 2 2 2 2 2 3 3 2 4" xfId="27457" xr:uid="{00000000-0005-0000-0000-000047420000}"/>
    <cellStyle name="Normal 3 2 2 2 2 2 3 3 2 4 2" xfId="27458" xr:uid="{00000000-0005-0000-0000-000048420000}"/>
    <cellStyle name="Normal 3 2 2 2 2 2 3 3 2 5" xfId="27459" xr:uid="{00000000-0005-0000-0000-000049420000}"/>
    <cellStyle name="Normal 3 2 2 2 2 2 3 3 2 6" xfId="27460" xr:uid="{00000000-0005-0000-0000-00004A420000}"/>
    <cellStyle name="Normal 3 2 2 2 2 2 3 3 2 7" xfId="27452" xr:uid="{00000000-0005-0000-0000-00004B420000}"/>
    <cellStyle name="Normal 3 2 2 2 2 2 3 3 3" xfId="27461" xr:uid="{00000000-0005-0000-0000-00004C420000}"/>
    <cellStyle name="Normal 3 2 2 2 2 2 3 3 3 2" xfId="27462" xr:uid="{00000000-0005-0000-0000-00004D420000}"/>
    <cellStyle name="Normal 3 2 2 2 2 2 3 3 3 2 2" xfId="27463" xr:uid="{00000000-0005-0000-0000-00004E420000}"/>
    <cellStyle name="Normal 3 2 2 2 2 2 3 3 3 3" xfId="27464" xr:uid="{00000000-0005-0000-0000-00004F420000}"/>
    <cellStyle name="Normal 3 2 2 2 2 2 3 3 3 3 2" xfId="27465" xr:uid="{00000000-0005-0000-0000-000050420000}"/>
    <cellStyle name="Normal 3 2 2 2 2 2 3 3 3 4" xfId="27466" xr:uid="{00000000-0005-0000-0000-000051420000}"/>
    <cellStyle name="Normal 3 2 2 2 2 2 3 3 3 4 2" xfId="27467" xr:uid="{00000000-0005-0000-0000-000052420000}"/>
    <cellStyle name="Normal 3 2 2 2 2 2 3 3 3 5" xfId="27468" xr:uid="{00000000-0005-0000-0000-000053420000}"/>
    <cellStyle name="Normal 3 2 2 2 2 2 3 3 3 6" xfId="27469" xr:uid="{00000000-0005-0000-0000-000054420000}"/>
    <cellStyle name="Normal 3 2 2 2 2 2 3 3 4" xfId="27470" xr:uid="{00000000-0005-0000-0000-000055420000}"/>
    <cellStyle name="Normal 3 2 2 2 2 2 3 3 4 2" xfId="27471" xr:uid="{00000000-0005-0000-0000-000056420000}"/>
    <cellStyle name="Normal 3 2 2 2 2 2 3 3 4 2 2" xfId="27472" xr:uid="{00000000-0005-0000-0000-000057420000}"/>
    <cellStyle name="Normal 3 2 2 2 2 2 3 3 4 3" xfId="27473" xr:uid="{00000000-0005-0000-0000-000058420000}"/>
    <cellStyle name="Normal 3 2 2 2 2 2 3 3 4 3 2" xfId="27474" xr:uid="{00000000-0005-0000-0000-000059420000}"/>
    <cellStyle name="Normal 3 2 2 2 2 2 3 3 4 4" xfId="27475" xr:uid="{00000000-0005-0000-0000-00005A420000}"/>
    <cellStyle name="Normal 3 2 2 2 2 2 3 3 4 4 2" xfId="27476" xr:uid="{00000000-0005-0000-0000-00005B420000}"/>
    <cellStyle name="Normal 3 2 2 2 2 2 3 3 4 5" xfId="27477" xr:uid="{00000000-0005-0000-0000-00005C420000}"/>
    <cellStyle name="Normal 3 2 2 2 2 2 3 3 4 6" xfId="27478" xr:uid="{00000000-0005-0000-0000-00005D420000}"/>
    <cellStyle name="Normal 3 2 2 2 2 2 3 3 5" xfId="27479" xr:uid="{00000000-0005-0000-0000-00005E420000}"/>
    <cellStyle name="Normal 3 2 2 2 2 2 3 3 5 2" xfId="27480" xr:uid="{00000000-0005-0000-0000-00005F420000}"/>
    <cellStyle name="Normal 3 2 2 2 2 2 3 3 5 2 2" xfId="27481" xr:uid="{00000000-0005-0000-0000-000060420000}"/>
    <cellStyle name="Normal 3 2 2 2 2 2 3 3 5 3" xfId="27482" xr:uid="{00000000-0005-0000-0000-000061420000}"/>
    <cellStyle name="Normal 3 2 2 2 2 2 3 3 5 3 2" xfId="27483" xr:uid="{00000000-0005-0000-0000-000062420000}"/>
    <cellStyle name="Normal 3 2 2 2 2 2 3 3 5 4" xfId="27484" xr:uid="{00000000-0005-0000-0000-000063420000}"/>
    <cellStyle name="Normal 3 2 2 2 2 2 3 3 5 5" xfId="27485" xr:uid="{00000000-0005-0000-0000-000064420000}"/>
    <cellStyle name="Normal 3 2 2 2 2 2 3 3 6" xfId="27486" xr:uid="{00000000-0005-0000-0000-000065420000}"/>
    <cellStyle name="Normal 3 2 2 2 2 2 3 3 6 2" xfId="27487" xr:uid="{00000000-0005-0000-0000-000066420000}"/>
    <cellStyle name="Normal 3 2 2 2 2 2 3 3 7" xfId="27488" xr:uid="{00000000-0005-0000-0000-000067420000}"/>
    <cellStyle name="Normal 3 2 2 2 2 2 3 3 7 2" xfId="27489" xr:uid="{00000000-0005-0000-0000-000068420000}"/>
    <cellStyle name="Normal 3 2 2 2 2 2 3 3 8" xfId="27490" xr:uid="{00000000-0005-0000-0000-000069420000}"/>
    <cellStyle name="Normal 3 2 2 2 2 2 3 3 8 2" xfId="27491" xr:uid="{00000000-0005-0000-0000-00006A420000}"/>
    <cellStyle name="Normal 3 2 2 2 2 2 3 3 9" xfId="27492" xr:uid="{00000000-0005-0000-0000-00006B420000}"/>
    <cellStyle name="Normal 3 2 2 2 2 2 3 4" xfId="2522" xr:uid="{00000000-0005-0000-0000-00006C420000}"/>
    <cellStyle name="Normal 3 2 2 2 2 2 3 4 10" xfId="27494" xr:uid="{00000000-0005-0000-0000-00006D420000}"/>
    <cellStyle name="Normal 3 2 2 2 2 2 3 4 11" xfId="27493" xr:uid="{00000000-0005-0000-0000-00006E420000}"/>
    <cellStyle name="Normal 3 2 2 2 2 2 3 4 2" xfId="2523" xr:uid="{00000000-0005-0000-0000-00006F420000}"/>
    <cellStyle name="Normal 3 2 2 2 2 2 3 4 2 2" xfId="27496" xr:uid="{00000000-0005-0000-0000-000070420000}"/>
    <cellStyle name="Normal 3 2 2 2 2 2 3 4 2 2 2" xfId="27497" xr:uid="{00000000-0005-0000-0000-000071420000}"/>
    <cellStyle name="Normal 3 2 2 2 2 2 3 4 2 3" xfId="27498" xr:uid="{00000000-0005-0000-0000-000072420000}"/>
    <cellStyle name="Normal 3 2 2 2 2 2 3 4 2 3 2" xfId="27499" xr:uid="{00000000-0005-0000-0000-000073420000}"/>
    <cellStyle name="Normal 3 2 2 2 2 2 3 4 2 4" xfId="27500" xr:uid="{00000000-0005-0000-0000-000074420000}"/>
    <cellStyle name="Normal 3 2 2 2 2 2 3 4 2 4 2" xfId="27501" xr:uid="{00000000-0005-0000-0000-000075420000}"/>
    <cellStyle name="Normal 3 2 2 2 2 2 3 4 2 5" xfId="27502" xr:uid="{00000000-0005-0000-0000-000076420000}"/>
    <cellStyle name="Normal 3 2 2 2 2 2 3 4 2 6" xfId="27503" xr:uid="{00000000-0005-0000-0000-000077420000}"/>
    <cellStyle name="Normal 3 2 2 2 2 2 3 4 2 7" xfId="27495" xr:uid="{00000000-0005-0000-0000-000078420000}"/>
    <cellStyle name="Normal 3 2 2 2 2 2 3 4 3" xfId="27504" xr:uid="{00000000-0005-0000-0000-000079420000}"/>
    <cellStyle name="Normal 3 2 2 2 2 2 3 4 3 2" xfId="27505" xr:uid="{00000000-0005-0000-0000-00007A420000}"/>
    <cellStyle name="Normal 3 2 2 2 2 2 3 4 3 2 2" xfId="27506" xr:uid="{00000000-0005-0000-0000-00007B420000}"/>
    <cellStyle name="Normal 3 2 2 2 2 2 3 4 3 3" xfId="27507" xr:uid="{00000000-0005-0000-0000-00007C420000}"/>
    <cellStyle name="Normal 3 2 2 2 2 2 3 4 3 3 2" xfId="27508" xr:uid="{00000000-0005-0000-0000-00007D420000}"/>
    <cellStyle name="Normal 3 2 2 2 2 2 3 4 3 4" xfId="27509" xr:uid="{00000000-0005-0000-0000-00007E420000}"/>
    <cellStyle name="Normal 3 2 2 2 2 2 3 4 3 4 2" xfId="27510" xr:uid="{00000000-0005-0000-0000-00007F420000}"/>
    <cellStyle name="Normal 3 2 2 2 2 2 3 4 3 5" xfId="27511" xr:uid="{00000000-0005-0000-0000-000080420000}"/>
    <cellStyle name="Normal 3 2 2 2 2 2 3 4 3 6" xfId="27512" xr:uid="{00000000-0005-0000-0000-000081420000}"/>
    <cellStyle name="Normal 3 2 2 2 2 2 3 4 4" xfId="27513" xr:uid="{00000000-0005-0000-0000-000082420000}"/>
    <cellStyle name="Normal 3 2 2 2 2 2 3 4 4 2" xfId="27514" xr:uid="{00000000-0005-0000-0000-000083420000}"/>
    <cellStyle name="Normal 3 2 2 2 2 2 3 4 4 2 2" xfId="27515" xr:uid="{00000000-0005-0000-0000-000084420000}"/>
    <cellStyle name="Normal 3 2 2 2 2 2 3 4 4 3" xfId="27516" xr:uid="{00000000-0005-0000-0000-000085420000}"/>
    <cellStyle name="Normal 3 2 2 2 2 2 3 4 4 3 2" xfId="27517" xr:uid="{00000000-0005-0000-0000-000086420000}"/>
    <cellStyle name="Normal 3 2 2 2 2 2 3 4 4 4" xfId="27518" xr:uid="{00000000-0005-0000-0000-000087420000}"/>
    <cellStyle name="Normal 3 2 2 2 2 2 3 4 4 4 2" xfId="27519" xr:uid="{00000000-0005-0000-0000-000088420000}"/>
    <cellStyle name="Normal 3 2 2 2 2 2 3 4 4 5" xfId="27520" xr:uid="{00000000-0005-0000-0000-000089420000}"/>
    <cellStyle name="Normal 3 2 2 2 2 2 3 4 4 6" xfId="27521" xr:uid="{00000000-0005-0000-0000-00008A420000}"/>
    <cellStyle name="Normal 3 2 2 2 2 2 3 4 5" xfId="27522" xr:uid="{00000000-0005-0000-0000-00008B420000}"/>
    <cellStyle name="Normal 3 2 2 2 2 2 3 4 5 2" xfId="27523" xr:uid="{00000000-0005-0000-0000-00008C420000}"/>
    <cellStyle name="Normal 3 2 2 2 2 2 3 4 5 2 2" xfId="27524" xr:uid="{00000000-0005-0000-0000-00008D420000}"/>
    <cellStyle name="Normal 3 2 2 2 2 2 3 4 5 3" xfId="27525" xr:uid="{00000000-0005-0000-0000-00008E420000}"/>
    <cellStyle name="Normal 3 2 2 2 2 2 3 4 5 3 2" xfId="27526" xr:uid="{00000000-0005-0000-0000-00008F420000}"/>
    <cellStyle name="Normal 3 2 2 2 2 2 3 4 5 4" xfId="27527" xr:uid="{00000000-0005-0000-0000-000090420000}"/>
    <cellStyle name="Normal 3 2 2 2 2 2 3 4 5 5" xfId="27528" xr:uid="{00000000-0005-0000-0000-000091420000}"/>
    <cellStyle name="Normal 3 2 2 2 2 2 3 4 6" xfId="27529" xr:uid="{00000000-0005-0000-0000-000092420000}"/>
    <cellStyle name="Normal 3 2 2 2 2 2 3 4 6 2" xfId="27530" xr:uid="{00000000-0005-0000-0000-000093420000}"/>
    <cellStyle name="Normal 3 2 2 2 2 2 3 4 7" xfId="27531" xr:uid="{00000000-0005-0000-0000-000094420000}"/>
    <cellStyle name="Normal 3 2 2 2 2 2 3 4 7 2" xfId="27532" xr:uid="{00000000-0005-0000-0000-000095420000}"/>
    <cellStyle name="Normal 3 2 2 2 2 2 3 4 8" xfId="27533" xr:uid="{00000000-0005-0000-0000-000096420000}"/>
    <cellStyle name="Normal 3 2 2 2 2 2 3 4 8 2" xfId="27534" xr:uid="{00000000-0005-0000-0000-000097420000}"/>
    <cellStyle name="Normal 3 2 2 2 2 2 3 4 9" xfId="27535" xr:uid="{00000000-0005-0000-0000-000098420000}"/>
    <cellStyle name="Normal 3 2 2 2 2 2 3 5" xfId="2524" xr:uid="{00000000-0005-0000-0000-000099420000}"/>
    <cellStyle name="Normal 3 2 2 2 2 2 3 5 2" xfId="27537" xr:uid="{00000000-0005-0000-0000-00009A420000}"/>
    <cellStyle name="Normal 3 2 2 2 2 2 3 5 2 2" xfId="27538" xr:uid="{00000000-0005-0000-0000-00009B420000}"/>
    <cellStyle name="Normal 3 2 2 2 2 2 3 5 3" xfId="27539" xr:uid="{00000000-0005-0000-0000-00009C420000}"/>
    <cellStyle name="Normal 3 2 2 2 2 2 3 5 3 2" xfId="27540" xr:uid="{00000000-0005-0000-0000-00009D420000}"/>
    <cellStyle name="Normal 3 2 2 2 2 2 3 5 4" xfId="27541" xr:uid="{00000000-0005-0000-0000-00009E420000}"/>
    <cellStyle name="Normal 3 2 2 2 2 2 3 5 4 2" xfId="27542" xr:uid="{00000000-0005-0000-0000-00009F420000}"/>
    <cellStyle name="Normal 3 2 2 2 2 2 3 5 5" xfId="27543" xr:uid="{00000000-0005-0000-0000-0000A0420000}"/>
    <cellStyle name="Normal 3 2 2 2 2 2 3 5 6" xfId="27544" xr:uid="{00000000-0005-0000-0000-0000A1420000}"/>
    <cellStyle name="Normal 3 2 2 2 2 2 3 5 7" xfId="27536" xr:uid="{00000000-0005-0000-0000-0000A2420000}"/>
    <cellStyle name="Normal 3 2 2 2 2 2 3 6" xfId="27545" xr:uid="{00000000-0005-0000-0000-0000A3420000}"/>
    <cellStyle name="Normal 3 2 2 2 2 2 3 6 2" xfId="27546" xr:uid="{00000000-0005-0000-0000-0000A4420000}"/>
    <cellStyle name="Normal 3 2 2 2 2 2 3 6 2 2" xfId="27547" xr:uid="{00000000-0005-0000-0000-0000A5420000}"/>
    <cellStyle name="Normal 3 2 2 2 2 2 3 6 3" xfId="27548" xr:uid="{00000000-0005-0000-0000-0000A6420000}"/>
    <cellStyle name="Normal 3 2 2 2 2 2 3 6 3 2" xfId="27549" xr:uid="{00000000-0005-0000-0000-0000A7420000}"/>
    <cellStyle name="Normal 3 2 2 2 2 2 3 6 4" xfId="27550" xr:uid="{00000000-0005-0000-0000-0000A8420000}"/>
    <cellStyle name="Normal 3 2 2 2 2 2 3 6 4 2" xfId="27551" xr:uid="{00000000-0005-0000-0000-0000A9420000}"/>
    <cellStyle name="Normal 3 2 2 2 2 2 3 6 5" xfId="27552" xr:uid="{00000000-0005-0000-0000-0000AA420000}"/>
    <cellStyle name="Normal 3 2 2 2 2 2 3 6 6" xfId="27553" xr:uid="{00000000-0005-0000-0000-0000AB420000}"/>
    <cellStyle name="Normal 3 2 2 2 2 2 3 7" xfId="27554" xr:uid="{00000000-0005-0000-0000-0000AC420000}"/>
    <cellStyle name="Normal 3 2 2 2 2 2 3 7 2" xfId="27555" xr:uid="{00000000-0005-0000-0000-0000AD420000}"/>
    <cellStyle name="Normal 3 2 2 2 2 2 3 7 2 2" xfId="27556" xr:uid="{00000000-0005-0000-0000-0000AE420000}"/>
    <cellStyle name="Normal 3 2 2 2 2 2 3 7 3" xfId="27557" xr:uid="{00000000-0005-0000-0000-0000AF420000}"/>
    <cellStyle name="Normal 3 2 2 2 2 2 3 7 3 2" xfId="27558" xr:uid="{00000000-0005-0000-0000-0000B0420000}"/>
    <cellStyle name="Normal 3 2 2 2 2 2 3 7 4" xfId="27559" xr:uid="{00000000-0005-0000-0000-0000B1420000}"/>
    <cellStyle name="Normal 3 2 2 2 2 2 3 7 4 2" xfId="27560" xr:uid="{00000000-0005-0000-0000-0000B2420000}"/>
    <cellStyle name="Normal 3 2 2 2 2 2 3 7 5" xfId="27561" xr:uid="{00000000-0005-0000-0000-0000B3420000}"/>
    <cellStyle name="Normal 3 2 2 2 2 2 3 7 6" xfId="27562" xr:uid="{00000000-0005-0000-0000-0000B4420000}"/>
    <cellStyle name="Normal 3 2 2 2 2 2 3 8" xfId="27563" xr:uid="{00000000-0005-0000-0000-0000B5420000}"/>
    <cellStyle name="Normal 3 2 2 2 2 2 3 8 2" xfId="27564" xr:uid="{00000000-0005-0000-0000-0000B6420000}"/>
    <cellStyle name="Normal 3 2 2 2 2 2 3 8 2 2" xfId="27565" xr:uid="{00000000-0005-0000-0000-0000B7420000}"/>
    <cellStyle name="Normal 3 2 2 2 2 2 3 8 3" xfId="27566" xr:uid="{00000000-0005-0000-0000-0000B8420000}"/>
    <cellStyle name="Normal 3 2 2 2 2 2 3 8 3 2" xfId="27567" xr:uid="{00000000-0005-0000-0000-0000B9420000}"/>
    <cellStyle name="Normal 3 2 2 2 2 2 3 8 4" xfId="27568" xr:uid="{00000000-0005-0000-0000-0000BA420000}"/>
    <cellStyle name="Normal 3 2 2 2 2 2 3 8 5" xfId="27569" xr:uid="{00000000-0005-0000-0000-0000BB420000}"/>
    <cellStyle name="Normal 3 2 2 2 2 2 3 9" xfId="27570" xr:uid="{00000000-0005-0000-0000-0000BC420000}"/>
    <cellStyle name="Normal 3 2 2 2 2 2 3 9 2" xfId="27571" xr:uid="{00000000-0005-0000-0000-0000BD420000}"/>
    <cellStyle name="Normal 3 2 2 2 2 2 4" xfId="2525" xr:uid="{00000000-0005-0000-0000-0000BE420000}"/>
    <cellStyle name="Normal 3 2 2 2 2 2 4 10" xfId="27573" xr:uid="{00000000-0005-0000-0000-0000BF420000}"/>
    <cellStyle name="Normal 3 2 2 2 2 2 4 10 2" xfId="27574" xr:uid="{00000000-0005-0000-0000-0000C0420000}"/>
    <cellStyle name="Normal 3 2 2 2 2 2 4 11" xfId="27575" xr:uid="{00000000-0005-0000-0000-0000C1420000}"/>
    <cellStyle name="Normal 3 2 2 2 2 2 4 12" xfId="27576" xr:uid="{00000000-0005-0000-0000-0000C2420000}"/>
    <cellStyle name="Normal 3 2 2 2 2 2 4 13" xfId="27572" xr:uid="{00000000-0005-0000-0000-0000C3420000}"/>
    <cellStyle name="Normal 3 2 2 2 2 2 4 2" xfId="2526" xr:uid="{00000000-0005-0000-0000-0000C4420000}"/>
    <cellStyle name="Normal 3 2 2 2 2 2 4 2 10" xfId="27578" xr:uid="{00000000-0005-0000-0000-0000C5420000}"/>
    <cellStyle name="Normal 3 2 2 2 2 2 4 2 11" xfId="27577" xr:uid="{00000000-0005-0000-0000-0000C6420000}"/>
    <cellStyle name="Normal 3 2 2 2 2 2 4 2 2" xfId="2527" xr:uid="{00000000-0005-0000-0000-0000C7420000}"/>
    <cellStyle name="Normal 3 2 2 2 2 2 4 2 2 2" xfId="27580" xr:uid="{00000000-0005-0000-0000-0000C8420000}"/>
    <cellStyle name="Normal 3 2 2 2 2 2 4 2 2 2 2" xfId="27581" xr:uid="{00000000-0005-0000-0000-0000C9420000}"/>
    <cellStyle name="Normal 3 2 2 2 2 2 4 2 2 3" xfId="27582" xr:uid="{00000000-0005-0000-0000-0000CA420000}"/>
    <cellStyle name="Normal 3 2 2 2 2 2 4 2 2 3 2" xfId="27583" xr:uid="{00000000-0005-0000-0000-0000CB420000}"/>
    <cellStyle name="Normal 3 2 2 2 2 2 4 2 2 4" xfId="27584" xr:uid="{00000000-0005-0000-0000-0000CC420000}"/>
    <cellStyle name="Normal 3 2 2 2 2 2 4 2 2 4 2" xfId="27585" xr:uid="{00000000-0005-0000-0000-0000CD420000}"/>
    <cellStyle name="Normal 3 2 2 2 2 2 4 2 2 5" xfId="27586" xr:uid="{00000000-0005-0000-0000-0000CE420000}"/>
    <cellStyle name="Normal 3 2 2 2 2 2 4 2 2 6" xfId="27587" xr:uid="{00000000-0005-0000-0000-0000CF420000}"/>
    <cellStyle name="Normal 3 2 2 2 2 2 4 2 2 7" xfId="27579" xr:uid="{00000000-0005-0000-0000-0000D0420000}"/>
    <cellStyle name="Normal 3 2 2 2 2 2 4 2 3" xfId="27588" xr:uid="{00000000-0005-0000-0000-0000D1420000}"/>
    <cellStyle name="Normal 3 2 2 2 2 2 4 2 3 2" xfId="27589" xr:uid="{00000000-0005-0000-0000-0000D2420000}"/>
    <cellStyle name="Normal 3 2 2 2 2 2 4 2 3 2 2" xfId="27590" xr:uid="{00000000-0005-0000-0000-0000D3420000}"/>
    <cellStyle name="Normal 3 2 2 2 2 2 4 2 3 3" xfId="27591" xr:uid="{00000000-0005-0000-0000-0000D4420000}"/>
    <cellStyle name="Normal 3 2 2 2 2 2 4 2 3 3 2" xfId="27592" xr:uid="{00000000-0005-0000-0000-0000D5420000}"/>
    <cellStyle name="Normal 3 2 2 2 2 2 4 2 3 4" xfId="27593" xr:uid="{00000000-0005-0000-0000-0000D6420000}"/>
    <cellStyle name="Normal 3 2 2 2 2 2 4 2 3 4 2" xfId="27594" xr:uid="{00000000-0005-0000-0000-0000D7420000}"/>
    <cellStyle name="Normal 3 2 2 2 2 2 4 2 3 5" xfId="27595" xr:uid="{00000000-0005-0000-0000-0000D8420000}"/>
    <cellStyle name="Normal 3 2 2 2 2 2 4 2 3 6" xfId="27596" xr:uid="{00000000-0005-0000-0000-0000D9420000}"/>
    <cellStyle name="Normal 3 2 2 2 2 2 4 2 4" xfId="27597" xr:uid="{00000000-0005-0000-0000-0000DA420000}"/>
    <cellStyle name="Normal 3 2 2 2 2 2 4 2 4 2" xfId="27598" xr:uid="{00000000-0005-0000-0000-0000DB420000}"/>
    <cellStyle name="Normal 3 2 2 2 2 2 4 2 4 2 2" xfId="27599" xr:uid="{00000000-0005-0000-0000-0000DC420000}"/>
    <cellStyle name="Normal 3 2 2 2 2 2 4 2 4 3" xfId="27600" xr:uid="{00000000-0005-0000-0000-0000DD420000}"/>
    <cellStyle name="Normal 3 2 2 2 2 2 4 2 4 3 2" xfId="27601" xr:uid="{00000000-0005-0000-0000-0000DE420000}"/>
    <cellStyle name="Normal 3 2 2 2 2 2 4 2 4 4" xfId="27602" xr:uid="{00000000-0005-0000-0000-0000DF420000}"/>
    <cellStyle name="Normal 3 2 2 2 2 2 4 2 4 4 2" xfId="27603" xr:uid="{00000000-0005-0000-0000-0000E0420000}"/>
    <cellStyle name="Normal 3 2 2 2 2 2 4 2 4 5" xfId="27604" xr:uid="{00000000-0005-0000-0000-0000E1420000}"/>
    <cellStyle name="Normal 3 2 2 2 2 2 4 2 4 6" xfId="27605" xr:uid="{00000000-0005-0000-0000-0000E2420000}"/>
    <cellStyle name="Normal 3 2 2 2 2 2 4 2 5" xfId="27606" xr:uid="{00000000-0005-0000-0000-0000E3420000}"/>
    <cellStyle name="Normal 3 2 2 2 2 2 4 2 5 2" xfId="27607" xr:uid="{00000000-0005-0000-0000-0000E4420000}"/>
    <cellStyle name="Normal 3 2 2 2 2 2 4 2 5 2 2" xfId="27608" xr:uid="{00000000-0005-0000-0000-0000E5420000}"/>
    <cellStyle name="Normal 3 2 2 2 2 2 4 2 5 3" xfId="27609" xr:uid="{00000000-0005-0000-0000-0000E6420000}"/>
    <cellStyle name="Normal 3 2 2 2 2 2 4 2 5 3 2" xfId="27610" xr:uid="{00000000-0005-0000-0000-0000E7420000}"/>
    <cellStyle name="Normal 3 2 2 2 2 2 4 2 5 4" xfId="27611" xr:uid="{00000000-0005-0000-0000-0000E8420000}"/>
    <cellStyle name="Normal 3 2 2 2 2 2 4 2 5 5" xfId="27612" xr:uid="{00000000-0005-0000-0000-0000E9420000}"/>
    <cellStyle name="Normal 3 2 2 2 2 2 4 2 6" xfId="27613" xr:uid="{00000000-0005-0000-0000-0000EA420000}"/>
    <cellStyle name="Normal 3 2 2 2 2 2 4 2 6 2" xfId="27614" xr:uid="{00000000-0005-0000-0000-0000EB420000}"/>
    <cellStyle name="Normal 3 2 2 2 2 2 4 2 7" xfId="27615" xr:uid="{00000000-0005-0000-0000-0000EC420000}"/>
    <cellStyle name="Normal 3 2 2 2 2 2 4 2 7 2" xfId="27616" xr:uid="{00000000-0005-0000-0000-0000ED420000}"/>
    <cellStyle name="Normal 3 2 2 2 2 2 4 2 8" xfId="27617" xr:uid="{00000000-0005-0000-0000-0000EE420000}"/>
    <cellStyle name="Normal 3 2 2 2 2 2 4 2 8 2" xfId="27618" xr:uid="{00000000-0005-0000-0000-0000EF420000}"/>
    <cellStyle name="Normal 3 2 2 2 2 2 4 2 9" xfId="27619" xr:uid="{00000000-0005-0000-0000-0000F0420000}"/>
    <cellStyle name="Normal 3 2 2 2 2 2 4 3" xfId="2528" xr:uid="{00000000-0005-0000-0000-0000F1420000}"/>
    <cellStyle name="Normal 3 2 2 2 2 2 4 3 10" xfId="27621" xr:uid="{00000000-0005-0000-0000-0000F2420000}"/>
    <cellStyle name="Normal 3 2 2 2 2 2 4 3 11" xfId="27620" xr:uid="{00000000-0005-0000-0000-0000F3420000}"/>
    <cellStyle name="Normal 3 2 2 2 2 2 4 3 2" xfId="2529" xr:uid="{00000000-0005-0000-0000-0000F4420000}"/>
    <cellStyle name="Normal 3 2 2 2 2 2 4 3 2 2" xfId="27623" xr:uid="{00000000-0005-0000-0000-0000F5420000}"/>
    <cellStyle name="Normal 3 2 2 2 2 2 4 3 2 2 2" xfId="27624" xr:uid="{00000000-0005-0000-0000-0000F6420000}"/>
    <cellStyle name="Normal 3 2 2 2 2 2 4 3 2 3" xfId="27625" xr:uid="{00000000-0005-0000-0000-0000F7420000}"/>
    <cellStyle name="Normal 3 2 2 2 2 2 4 3 2 3 2" xfId="27626" xr:uid="{00000000-0005-0000-0000-0000F8420000}"/>
    <cellStyle name="Normal 3 2 2 2 2 2 4 3 2 4" xfId="27627" xr:uid="{00000000-0005-0000-0000-0000F9420000}"/>
    <cellStyle name="Normal 3 2 2 2 2 2 4 3 2 4 2" xfId="27628" xr:uid="{00000000-0005-0000-0000-0000FA420000}"/>
    <cellStyle name="Normal 3 2 2 2 2 2 4 3 2 5" xfId="27629" xr:uid="{00000000-0005-0000-0000-0000FB420000}"/>
    <cellStyle name="Normal 3 2 2 2 2 2 4 3 2 6" xfId="27630" xr:uid="{00000000-0005-0000-0000-0000FC420000}"/>
    <cellStyle name="Normal 3 2 2 2 2 2 4 3 2 7" xfId="27622" xr:uid="{00000000-0005-0000-0000-0000FD420000}"/>
    <cellStyle name="Normal 3 2 2 2 2 2 4 3 3" xfId="27631" xr:uid="{00000000-0005-0000-0000-0000FE420000}"/>
    <cellStyle name="Normal 3 2 2 2 2 2 4 3 3 2" xfId="27632" xr:uid="{00000000-0005-0000-0000-0000FF420000}"/>
    <cellStyle name="Normal 3 2 2 2 2 2 4 3 3 2 2" xfId="27633" xr:uid="{00000000-0005-0000-0000-000000430000}"/>
    <cellStyle name="Normal 3 2 2 2 2 2 4 3 3 3" xfId="27634" xr:uid="{00000000-0005-0000-0000-000001430000}"/>
    <cellStyle name="Normal 3 2 2 2 2 2 4 3 3 3 2" xfId="27635" xr:uid="{00000000-0005-0000-0000-000002430000}"/>
    <cellStyle name="Normal 3 2 2 2 2 2 4 3 3 4" xfId="27636" xr:uid="{00000000-0005-0000-0000-000003430000}"/>
    <cellStyle name="Normal 3 2 2 2 2 2 4 3 3 4 2" xfId="27637" xr:uid="{00000000-0005-0000-0000-000004430000}"/>
    <cellStyle name="Normal 3 2 2 2 2 2 4 3 3 5" xfId="27638" xr:uid="{00000000-0005-0000-0000-000005430000}"/>
    <cellStyle name="Normal 3 2 2 2 2 2 4 3 3 6" xfId="27639" xr:uid="{00000000-0005-0000-0000-000006430000}"/>
    <cellStyle name="Normal 3 2 2 2 2 2 4 3 4" xfId="27640" xr:uid="{00000000-0005-0000-0000-000007430000}"/>
    <cellStyle name="Normal 3 2 2 2 2 2 4 3 4 2" xfId="27641" xr:uid="{00000000-0005-0000-0000-000008430000}"/>
    <cellStyle name="Normal 3 2 2 2 2 2 4 3 4 2 2" xfId="27642" xr:uid="{00000000-0005-0000-0000-000009430000}"/>
    <cellStyle name="Normal 3 2 2 2 2 2 4 3 4 3" xfId="27643" xr:uid="{00000000-0005-0000-0000-00000A430000}"/>
    <cellStyle name="Normal 3 2 2 2 2 2 4 3 4 3 2" xfId="27644" xr:uid="{00000000-0005-0000-0000-00000B430000}"/>
    <cellStyle name="Normal 3 2 2 2 2 2 4 3 4 4" xfId="27645" xr:uid="{00000000-0005-0000-0000-00000C430000}"/>
    <cellStyle name="Normal 3 2 2 2 2 2 4 3 4 4 2" xfId="27646" xr:uid="{00000000-0005-0000-0000-00000D430000}"/>
    <cellStyle name="Normal 3 2 2 2 2 2 4 3 4 5" xfId="27647" xr:uid="{00000000-0005-0000-0000-00000E430000}"/>
    <cellStyle name="Normal 3 2 2 2 2 2 4 3 4 6" xfId="27648" xr:uid="{00000000-0005-0000-0000-00000F430000}"/>
    <cellStyle name="Normal 3 2 2 2 2 2 4 3 5" xfId="27649" xr:uid="{00000000-0005-0000-0000-000010430000}"/>
    <cellStyle name="Normal 3 2 2 2 2 2 4 3 5 2" xfId="27650" xr:uid="{00000000-0005-0000-0000-000011430000}"/>
    <cellStyle name="Normal 3 2 2 2 2 2 4 3 5 2 2" xfId="27651" xr:uid="{00000000-0005-0000-0000-000012430000}"/>
    <cellStyle name="Normal 3 2 2 2 2 2 4 3 5 3" xfId="27652" xr:uid="{00000000-0005-0000-0000-000013430000}"/>
    <cellStyle name="Normal 3 2 2 2 2 2 4 3 5 3 2" xfId="27653" xr:uid="{00000000-0005-0000-0000-000014430000}"/>
    <cellStyle name="Normal 3 2 2 2 2 2 4 3 5 4" xfId="27654" xr:uid="{00000000-0005-0000-0000-000015430000}"/>
    <cellStyle name="Normal 3 2 2 2 2 2 4 3 5 5" xfId="27655" xr:uid="{00000000-0005-0000-0000-000016430000}"/>
    <cellStyle name="Normal 3 2 2 2 2 2 4 3 6" xfId="27656" xr:uid="{00000000-0005-0000-0000-000017430000}"/>
    <cellStyle name="Normal 3 2 2 2 2 2 4 3 6 2" xfId="27657" xr:uid="{00000000-0005-0000-0000-000018430000}"/>
    <cellStyle name="Normal 3 2 2 2 2 2 4 3 7" xfId="27658" xr:uid="{00000000-0005-0000-0000-000019430000}"/>
    <cellStyle name="Normal 3 2 2 2 2 2 4 3 7 2" xfId="27659" xr:uid="{00000000-0005-0000-0000-00001A430000}"/>
    <cellStyle name="Normal 3 2 2 2 2 2 4 3 8" xfId="27660" xr:uid="{00000000-0005-0000-0000-00001B430000}"/>
    <cellStyle name="Normal 3 2 2 2 2 2 4 3 8 2" xfId="27661" xr:uid="{00000000-0005-0000-0000-00001C430000}"/>
    <cellStyle name="Normal 3 2 2 2 2 2 4 3 9" xfId="27662" xr:uid="{00000000-0005-0000-0000-00001D430000}"/>
    <cellStyle name="Normal 3 2 2 2 2 2 4 4" xfId="2530" xr:uid="{00000000-0005-0000-0000-00001E430000}"/>
    <cellStyle name="Normal 3 2 2 2 2 2 4 4 2" xfId="27664" xr:uid="{00000000-0005-0000-0000-00001F430000}"/>
    <cellStyle name="Normal 3 2 2 2 2 2 4 4 2 2" xfId="27665" xr:uid="{00000000-0005-0000-0000-000020430000}"/>
    <cellStyle name="Normal 3 2 2 2 2 2 4 4 3" xfId="27666" xr:uid="{00000000-0005-0000-0000-000021430000}"/>
    <cellStyle name="Normal 3 2 2 2 2 2 4 4 3 2" xfId="27667" xr:uid="{00000000-0005-0000-0000-000022430000}"/>
    <cellStyle name="Normal 3 2 2 2 2 2 4 4 4" xfId="27668" xr:uid="{00000000-0005-0000-0000-000023430000}"/>
    <cellStyle name="Normal 3 2 2 2 2 2 4 4 4 2" xfId="27669" xr:uid="{00000000-0005-0000-0000-000024430000}"/>
    <cellStyle name="Normal 3 2 2 2 2 2 4 4 5" xfId="27670" xr:uid="{00000000-0005-0000-0000-000025430000}"/>
    <cellStyle name="Normal 3 2 2 2 2 2 4 4 6" xfId="27671" xr:uid="{00000000-0005-0000-0000-000026430000}"/>
    <cellStyle name="Normal 3 2 2 2 2 2 4 4 7" xfId="27663" xr:uid="{00000000-0005-0000-0000-000027430000}"/>
    <cellStyle name="Normal 3 2 2 2 2 2 4 5" xfId="27672" xr:uid="{00000000-0005-0000-0000-000028430000}"/>
    <cellStyle name="Normal 3 2 2 2 2 2 4 5 2" xfId="27673" xr:uid="{00000000-0005-0000-0000-000029430000}"/>
    <cellStyle name="Normal 3 2 2 2 2 2 4 5 2 2" xfId="27674" xr:uid="{00000000-0005-0000-0000-00002A430000}"/>
    <cellStyle name="Normal 3 2 2 2 2 2 4 5 3" xfId="27675" xr:uid="{00000000-0005-0000-0000-00002B430000}"/>
    <cellStyle name="Normal 3 2 2 2 2 2 4 5 3 2" xfId="27676" xr:uid="{00000000-0005-0000-0000-00002C430000}"/>
    <cellStyle name="Normal 3 2 2 2 2 2 4 5 4" xfId="27677" xr:uid="{00000000-0005-0000-0000-00002D430000}"/>
    <cellStyle name="Normal 3 2 2 2 2 2 4 5 4 2" xfId="27678" xr:uid="{00000000-0005-0000-0000-00002E430000}"/>
    <cellStyle name="Normal 3 2 2 2 2 2 4 5 5" xfId="27679" xr:uid="{00000000-0005-0000-0000-00002F430000}"/>
    <cellStyle name="Normal 3 2 2 2 2 2 4 5 6" xfId="27680" xr:uid="{00000000-0005-0000-0000-000030430000}"/>
    <cellStyle name="Normal 3 2 2 2 2 2 4 6" xfId="27681" xr:uid="{00000000-0005-0000-0000-000031430000}"/>
    <cellStyle name="Normal 3 2 2 2 2 2 4 6 2" xfId="27682" xr:uid="{00000000-0005-0000-0000-000032430000}"/>
    <cellStyle name="Normal 3 2 2 2 2 2 4 6 2 2" xfId="27683" xr:uid="{00000000-0005-0000-0000-000033430000}"/>
    <cellStyle name="Normal 3 2 2 2 2 2 4 6 3" xfId="27684" xr:uid="{00000000-0005-0000-0000-000034430000}"/>
    <cellStyle name="Normal 3 2 2 2 2 2 4 6 3 2" xfId="27685" xr:uid="{00000000-0005-0000-0000-000035430000}"/>
    <cellStyle name="Normal 3 2 2 2 2 2 4 6 4" xfId="27686" xr:uid="{00000000-0005-0000-0000-000036430000}"/>
    <cellStyle name="Normal 3 2 2 2 2 2 4 6 4 2" xfId="27687" xr:uid="{00000000-0005-0000-0000-000037430000}"/>
    <cellStyle name="Normal 3 2 2 2 2 2 4 6 5" xfId="27688" xr:uid="{00000000-0005-0000-0000-000038430000}"/>
    <cellStyle name="Normal 3 2 2 2 2 2 4 6 6" xfId="27689" xr:uid="{00000000-0005-0000-0000-000039430000}"/>
    <cellStyle name="Normal 3 2 2 2 2 2 4 7" xfId="27690" xr:uid="{00000000-0005-0000-0000-00003A430000}"/>
    <cellStyle name="Normal 3 2 2 2 2 2 4 7 2" xfId="27691" xr:uid="{00000000-0005-0000-0000-00003B430000}"/>
    <cellStyle name="Normal 3 2 2 2 2 2 4 7 2 2" xfId="27692" xr:uid="{00000000-0005-0000-0000-00003C430000}"/>
    <cellStyle name="Normal 3 2 2 2 2 2 4 7 3" xfId="27693" xr:uid="{00000000-0005-0000-0000-00003D430000}"/>
    <cellStyle name="Normal 3 2 2 2 2 2 4 7 3 2" xfId="27694" xr:uid="{00000000-0005-0000-0000-00003E430000}"/>
    <cellStyle name="Normal 3 2 2 2 2 2 4 7 4" xfId="27695" xr:uid="{00000000-0005-0000-0000-00003F430000}"/>
    <cellStyle name="Normal 3 2 2 2 2 2 4 7 5" xfId="27696" xr:uid="{00000000-0005-0000-0000-000040430000}"/>
    <cellStyle name="Normal 3 2 2 2 2 2 4 8" xfId="27697" xr:uid="{00000000-0005-0000-0000-000041430000}"/>
    <cellStyle name="Normal 3 2 2 2 2 2 4 8 2" xfId="27698" xr:uid="{00000000-0005-0000-0000-000042430000}"/>
    <cellStyle name="Normal 3 2 2 2 2 2 4 9" xfId="27699" xr:uid="{00000000-0005-0000-0000-000043430000}"/>
    <cellStyle name="Normal 3 2 2 2 2 2 4 9 2" xfId="27700" xr:uid="{00000000-0005-0000-0000-000044430000}"/>
    <cellStyle name="Normal 3 2 2 2 2 2 5" xfId="2531" xr:uid="{00000000-0005-0000-0000-000045430000}"/>
    <cellStyle name="Normal 3 2 2 2 2 2 5 10" xfId="27702" xr:uid="{00000000-0005-0000-0000-000046430000}"/>
    <cellStyle name="Normal 3 2 2 2 2 2 5 11" xfId="27703" xr:uid="{00000000-0005-0000-0000-000047430000}"/>
    <cellStyle name="Normal 3 2 2 2 2 2 5 12" xfId="27701" xr:uid="{00000000-0005-0000-0000-000048430000}"/>
    <cellStyle name="Normal 3 2 2 2 2 2 5 2" xfId="2532" xr:uid="{00000000-0005-0000-0000-000049430000}"/>
    <cellStyle name="Normal 3 2 2 2 2 2 5 2 2" xfId="27705" xr:uid="{00000000-0005-0000-0000-00004A430000}"/>
    <cellStyle name="Normal 3 2 2 2 2 2 5 2 2 2" xfId="27706" xr:uid="{00000000-0005-0000-0000-00004B430000}"/>
    <cellStyle name="Normal 3 2 2 2 2 2 5 2 3" xfId="27707" xr:uid="{00000000-0005-0000-0000-00004C430000}"/>
    <cellStyle name="Normal 3 2 2 2 2 2 5 2 3 2" xfId="27708" xr:uid="{00000000-0005-0000-0000-00004D430000}"/>
    <cellStyle name="Normal 3 2 2 2 2 2 5 2 4" xfId="27709" xr:uid="{00000000-0005-0000-0000-00004E430000}"/>
    <cellStyle name="Normal 3 2 2 2 2 2 5 2 4 2" xfId="27710" xr:uid="{00000000-0005-0000-0000-00004F430000}"/>
    <cellStyle name="Normal 3 2 2 2 2 2 5 2 5" xfId="27711" xr:uid="{00000000-0005-0000-0000-000050430000}"/>
    <cellStyle name="Normal 3 2 2 2 2 2 5 2 6" xfId="27712" xr:uid="{00000000-0005-0000-0000-000051430000}"/>
    <cellStyle name="Normal 3 2 2 2 2 2 5 2 7" xfId="27704" xr:uid="{00000000-0005-0000-0000-000052430000}"/>
    <cellStyle name="Normal 3 2 2 2 2 2 5 3" xfId="2533" xr:uid="{00000000-0005-0000-0000-000053430000}"/>
    <cellStyle name="Normal 3 2 2 2 2 2 5 3 2" xfId="27714" xr:uid="{00000000-0005-0000-0000-000054430000}"/>
    <cellStyle name="Normal 3 2 2 2 2 2 5 3 2 2" xfId="27715" xr:uid="{00000000-0005-0000-0000-000055430000}"/>
    <cellStyle name="Normal 3 2 2 2 2 2 5 3 3" xfId="27716" xr:uid="{00000000-0005-0000-0000-000056430000}"/>
    <cellStyle name="Normal 3 2 2 2 2 2 5 3 3 2" xfId="27717" xr:uid="{00000000-0005-0000-0000-000057430000}"/>
    <cellStyle name="Normal 3 2 2 2 2 2 5 3 4" xfId="27718" xr:uid="{00000000-0005-0000-0000-000058430000}"/>
    <cellStyle name="Normal 3 2 2 2 2 2 5 3 4 2" xfId="27719" xr:uid="{00000000-0005-0000-0000-000059430000}"/>
    <cellStyle name="Normal 3 2 2 2 2 2 5 3 5" xfId="27720" xr:uid="{00000000-0005-0000-0000-00005A430000}"/>
    <cellStyle name="Normal 3 2 2 2 2 2 5 3 6" xfId="27721" xr:uid="{00000000-0005-0000-0000-00005B430000}"/>
    <cellStyle name="Normal 3 2 2 2 2 2 5 3 7" xfId="27713" xr:uid="{00000000-0005-0000-0000-00005C430000}"/>
    <cellStyle name="Normal 3 2 2 2 2 2 5 4" xfId="27722" xr:uid="{00000000-0005-0000-0000-00005D430000}"/>
    <cellStyle name="Normal 3 2 2 2 2 2 5 4 2" xfId="27723" xr:uid="{00000000-0005-0000-0000-00005E430000}"/>
    <cellStyle name="Normal 3 2 2 2 2 2 5 4 2 2" xfId="27724" xr:uid="{00000000-0005-0000-0000-00005F430000}"/>
    <cellStyle name="Normal 3 2 2 2 2 2 5 4 3" xfId="27725" xr:uid="{00000000-0005-0000-0000-000060430000}"/>
    <cellStyle name="Normal 3 2 2 2 2 2 5 4 3 2" xfId="27726" xr:uid="{00000000-0005-0000-0000-000061430000}"/>
    <cellStyle name="Normal 3 2 2 2 2 2 5 4 4" xfId="27727" xr:uid="{00000000-0005-0000-0000-000062430000}"/>
    <cellStyle name="Normal 3 2 2 2 2 2 5 4 4 2" xfId="27728" xr:uid="{00000000-0005-0000-0000-000063430000}"/>
    <cellStyle name="Normal 3 2 2 2 2 2 5 4 5" xfId="27729" xr:uid="{00000000-0005-0000-0000-000064430000}"/>
    <cellStyle name="Normal 3 2 2 2 2 2 5 4 6" xfId="27730" xr:uid="{00000000-0005-0000-0000-000065430000}"/>
    <cellStyle name="Normal 3 2 2 2 2 2 5 5" xfId="27731" xr:uid="{00000000-0005-0000-0000-000066430000}"/>
    <cellStyle name="Normal 3 2 2 2 2 2 5 5 2" xfId="27732" xr:uid="{00000000-0005-0000-0000-000067430000}"/>
    <cellStyle name="Normal 3 2 2 2 2 2 5 5 2 2" xfId="27733" xr:uid="{00000000-0005-0000-0000-000068430000}"/>
    <cellStyle name="Normal 3 2 2 2 2 2 5 5 3" xfId="27734" xr:uid="{00000000-0005-0000-0000-000069430000}"/>
    <cellStyle name="Normal 3 2 2 2 2 2 5 5 3 2" xfId="27735" xr:uid="{00000000-0005-0000-0000-00006A430000}"/>
    <cellStyle name="Normal 3 2 2 2 2 2 5 5 4" xfId="27736" xr:uid="{00000000-0005-0000-0000-00006B430000}"/>
    <cellStyle name="Normal 3 2 2 2 2 2 5 5 4 2" xfId="27737" xr:uid="{00000000-0005-0000-0000-00006C430000}"/>
    <cellStyle name="Normal 3 2 2 2 2 2 5 5 5" xfId="27738" xr:uid="{00000000-0005-0000-0000-00006D430000}"/>
    <cellStyle name="Normal 3 2 2 2 2 2 5 5 6" xfId="27739" xr:uid="{00000000-0005-0000-0000-00006E430000}"/>
    <cellStyle name="Normal 3 2 2 2 2 2 5 6" xfId="27740" xr:uid="{00000000-0005-0000-0000-00006F430000}"/>
    <cellStyle name="Normal 3 2 2 2 2 2 5 6 2" xfId="27741" xr:uid="{00000000-0005-0000-0000-000070430000}"/>
    <cellStyle name="Normal 3 2 2 2 2 2 5 6 2 2" xfId="27742" xr:uid="{00000000-0005-0000-0000-000071430000}"/>
    <cellStyle name="Normal 3 2 2 2 2 2 5 6 3" xfId="27743" xr:uid="{00000000-0005-0000-0000-000072430000}"/>
    <cellStyle name="Normal 3 2 2 2 2 2 5 6 3 2" xfId="27744" xr:uid="{00000000-0005-0000-0000-000073430000}"/>
    <cellStyle name="Normal 3 2 2 2 2 2 5 6 4" xfId="27745" xr:uid="{00000000-0005-0000-0000-000074430000}"/>
    <cellStyle name="Normal 3 2 2 2 2 2 5 6 5" xfId="27746" xr:uid="{00000000-0005-0000-0000-000075430000}"/>
    <cellStyle name="Normal 3 2 2 2 2 2 5 7" xfId="27747" xr:uid="{00000000-0005-0000-0000-000076430000}"/>
    <cellStyle name="Normal 3 2 2 2 2 2 5 7 2" xfId="27748" xr:uid="{00000000-0005-0000-0000-000077430000}"/>
    <cellStyle name="Normal 3 2 2 2 2 2 5 8" xfId="27749" xr:uid="{00000000-0005-0000-0000-000078430000}"/>
    <cellStyle name="Normal 3 2 2 2 2 2 5 8 2" xfId="27750" xr:uid="{00000000-0005-0000-0000-000079430000}"/>
    <cellStyle name="Normal 3 2 2 2 2 2 5 9" xfId="27751" xr:uid="{00000000-0005-0000-0000-00007A430000}"/>
    <cellStyle name="Normal 3 2 2 2 2 2 5 9 2" xfId="27752" xr:uid="{00000000-0005-0000-0000-00007B430000}"/>
    <cellStyle name="Normal 3 2 2 2 2 2 6" xfId="2534" xr:uid="{00000000-0005-0000-0000-00007C430000}"/>
    <cellStyle name="Normal 3 2 2 2 2 2 6 10" xfId="27754" xr:uid="{00000000-0005-0000-0000-00007D430000}"/>
    <cellStyle name="Normal 3 2 2 2 2 2 6 11" xfId="27753" xr:uid="{00000000-0005-0000-0000-00007E430000}"/>
    <cellStyle name="Normal 3 2 2 2 2 2 6 2" xfId="2535" xr:uid="{00000000-0005-0000-0000-00007F430000}"/>
    <cellStyle name="Normal 3 2 2 2 2 2 6 2 2" xfId="27756" xr:uid="{00000000-0005-0000-0000-000080430000}"/>
    <cellStyle name="Normal 3 2 2 2 2 2 6 2 2 2" xfId="27757" xr:uid="{00000000-0005-0000-0000-000081430000}"/>
    <cellStyle name="Normal 3 2 2 2 2 2 6 2 3" xfId="27758" xr:uid="{00000000-0005-0000-0000-000082430000}"/>
    <cellStyle name="Normal 3 2 2 2 2 2 6 2 3 2" xfId="27759" xr:uid="{00000000-0005-0000-0000-000083430000}"/>
    <cellStyle name="Normal 3 2 2 2 2 2 6 2 4" xfId="27760" xr:uid="{00000000-0005-0000-0000-000084430000}"/>
    <cellStyle name="Normal 3 2 2 2 2 2 6 2 4 2" xfId="27761" xr:uid="{00000000-0005-0000-0000-000085430000}"/>
    <cellStyle name="Normal 3 2 2 2 2 2 6 2 5" xfId="27762" xr:uid="{00000000-0005-0000-0000-000086430000}"/>
    <cellStyle name="Normal 3 2 2 2 2 2 6 2 6" xfId="27763" xr:uid="{00000000-0005-0000-0000-000087430000}"/>
    <cellStyle name="Normal 3 2 2 2 2 2 6 2 7" xfId="27755" xr:uid="{00000000-0005-0000-0000-000088430000}"/>
    <cellStyle name="Normal 3 2 2 2 2 2 6 3" xfId="27764" xr:uid="{00000000-0005-0000-0000-000089430000}"/>
    <cellStyle name="Normal 3 2 2 2 2 2 6 3 2" xfId="27765" xr:uid="{00000000-0005-0000-0000-00008A430000}"/>
    <cellStyle name="Normal 3 2 2 2 2 2 6 3 2 2" xfId="27766" xr:uid="{00000000-0005-0000-0000-00008B430000}"/>
    <cellStyle name="Normal 3 2 2 2 2 2 6 3 3" xfId="27767" xr:uid="{00000000-0005-0000-0000-00008C430000}"/>
    <cellStyle name="Normal 3 2 2 2 2 2 6 3 3 2" xfId="27768" xr:uid="{00000000-0005-0000-0000-00008D430000}"/>
    <cellStyle name="Normal 3 2 2 2 2 2 6 3 4" xfId="27769" xr:uid="{00000000-0005-0000-0000-00008E430000}"/>
    <cellStyle name="Normal 3 2 2 2 2 2 6 3 4 2" xfId="27770" xr:uid="{00000000-0005-0000-0000-00008F430000}"/>
    <cellStyle name="Normal 3 2 2 2 2 2 6 3 5" xfId="27771" xr:uid="{00000000-0005-0000-0000-000090430000}"/>
    <cellStyle name="Normal 3 2 2 2 2 2 6 3 6" xfId="27772" xr:uid="{00000000-0005-0000-0000-000091430000}"/>
    <cellStyle name="Normal 3 2 2 2 2 2 6 4" xfId="27773" xr:uid="{00000000-0005-0000-0000-000092430000}"/>
    <cellStyle name="Normal 3 2 2 2 2 2 6 4 2" xfId="27774" xr:uid="{00000000-0005-0000-0000-000093430000}"/>
    <cellStyle name="Normal 3 2 2 2 2 2 6 4 2 2" xfId="27775" xr:uid="{00000000-0005-0000-0000-000094430000}"/>
    <cellStyle name="Normal 3 2 2 2 2 2 6 4 3" xfId="27776" xr:uid="{00000000-0005-0000-0000-000095430000}"/>
    <cellStyle name="Normal 3 2 2 2 2 2 6 4 3 2" xfId="27777" xr:uid="{00000000-0005-0000-0000-000096430000}"/>
    <cellStyle name="Normal 3 2 2 2 2 2 6 4 4" xfId="27778" xr:uid="{00000000-0005-0000-0000-000097430000}"/>
    <cellStyle name="Normal 3 2 2 2 2 2 6 4 4 2" xfId="27779" xr:uid="{00000000-0005-0000-0000-000098430000}"/>
    <cellStyle name="Normal 3 2 2 2 2 2 6 4 5" xfId="27780" xr:uid="{00000000-0005-0000-0000-000099430000}"/>
    <cellStyle name="Normal 3 2 2 2 2 2 6 4 6" xfId="27781" xr:uid="{00000000-0005-0000-0000-00009A430000}"/>
    <cellStyle name="Normal 3 2 2 2 2 2 6 5" xfId="27782" xr:uid="{00000000-0005-0000-0000-00009B430000}"/>
    <cellStyle name="Normal 3 2 2 2 2 2 6 5 2" xfId="27783" xr:uid="{00000000-0005-0000-0000-00009C430000}"/>
    <cellStyle name="Normal 3 2 2 2 2 2 6 5 2 2" xfId="27784" xr:uid="{00000000-0005-0000-0000-00009D430000}"/>
    <cellStyle name="Normal 3 2 2 2 2 2 6 5 3" xfId="27785" xr:uid="{00000000-0005-0000-0000-00009E430000}"/>
    <cellStyle name="Normal 3 2 2 2 2 2 6 5 3 2" xfId="27786" xr:uid="{00000000-0005-0000-0000-00009F430000}"/>
    <cellStyle name="Normal 3 2 2 2 2 2 6 5 4" xfId="27787" xr:uid="{00000000-0005-0000-0000-0000A0430000}"/>
    <cellStyle name="Normal 3 2 2 2 2 2 6 5 5" xfId="27788" xr:uid="{00000000-0005-0000-0000-0000A1430000}"/>
    <cellStyle name="Normal 3 2 2 2 2 2 6 6" xfId="27789" xr:uid="{00000000-0005-0000-0000-0000A2430000}"/>
    <cellStyle name="Normal 3 2 2 2 2 2 6 6 2" xfId="27790" xr:uid="{00000000-0005-0000-0000-0000A3430000}"/>
    <cellStyle name="Normal 3 2 2 2 2 2 6 7" xfId="27791" xr:uid="{00000000-0005-0000-0000-0000A4430000}"/>
    <cellStyle name="Normal 3 2 2 2 2 2 6 7 2" xfId="27792" xr:uid="{00000000-0005-0000-0000-0000A5430000}"/>
    <cellStyle name="Normal 3 2 2 2 2 2 6 8" xfId="27793" xr:uid="{00000000-0005-0000-0000-0000A6430000}"/>
    <cellStyle name="Normal 3 2 2 2 2 2 6 8 2" xfId="27794" xr:uid="{00000000-0005-0000-0000-0000A7430000}"/>
    <cellStyle name="Normal 3 2 2 2 2 2 6 9" xfId="27795" xr:uid="{00000000-0005-0000-0000-0000A8430000}"/>
    <cellStyle name="Normal 3 2 2 2 2 2 7" xfId="2536" xr:uid="{00000000-0005-0000-0000-0000A9430000}"/>
    <cellStyle name="Normal 3 2 2 2 2 2 7 10" xfId="27797" xr:uid="{00000000-0005-0000-0000-0000AA430000}"/>
    <cellStyle name="Normal 3 2 2 2 2 2 7 11" xfId="27796" xr:uid="{00000000-0005-0000-0000-0000AB430000}"/>
    <cellStyle name="Normal 3 2 2 2 2 2 7 2" xfId="2537" xr:uid="{00000000-0005-0000-0000-0000AC430000}"/>
    <cellStyle name="Normal 3 2 2 2 2 2 7 2 2" xfId="27799" xr:uid="{00000000-0005-0000-0000-0000AD430000}"/>
    <cellStyle name="Normal 3 2 2 2 2 2 7 2 2 2" xfId="27800" xr:uid="{00000000-0005-0000-0000-0000AE430000}"/>
    <cellStyle name="Normal 3 2 2 2 2 2 7 2 3" xfId="27801" xr:uid="{00000000-0005-0000-0000-0000AF430000}"/>
    <cellStyle name="Normal 3 2 2 2 2 2 7 2 3 2" xfId="27802" xr:uid="{00000000-0005-0000-0000-0000B0430000}"/>
    <cellStyle name="Normal 3 2 2 2 2 2 7 2 4" xfId="27803" xr:uid="{00000000-0005-0000-0000-0000B1430000}"/>
    <cellStyle name="Normal 3 2 2 2 2 2 7 2 4 2" xfId="27804" xr:uid="{00000000-0005-0000-0000-0000B2430000}"/>
    <cellStyle name="Normal 3 2 2 2 2 2 7 2 5" xfId="27805" xr:uid="{00000000-0005-0000-0000-0000B3430000}"/>
    <cellStyle name="Normal 3 2 2 2 2 2 7 2 6" xfId="27806" xr:uid="{00000000-0005-0000-0000-0000B4430000}"/>
    <cellStyle name="Normal 3 2 2 2 2 2 7 2 7" xfId="27798" xr:uid="{00000000-0005-0000-0000-0000B5430000}"/>
    <cellStyle name="Normal 3 2 2 2 2 2 7 3" xfId="27807" xr:uid="{00000000-0005-0000-0000-0000B6430000}"/>
    <cellStyle name="Normal 3 2 2 2 2 2 7 3 2" xfId="27808" xr:uid="{00000000-0005-0000-0000-0000B7430000}"/>
    <cellStyle name="Normal 3 2 2 2 2 2 7 3 2 2" xfId="27809" xr:uid="{00000000-0005-0000-0000-0000B8430000}"/>
    <cellStyle name="Normal 3 2 2 2 2 2 7 3 3" xfId="27810" xr:uid="{00000000-0005-0000-0000-0000B9430000}"/>
    <cellStyle name="Normal 3 2 2 2 2 2 7 3 3 2" xfId="27811" xr:uid="{00000000-0005-0000-0000-0000BA430000}"/>
    <cellStyle name="Normal 3 2 2 2 2 2 7 3 4" xfId="27812" xr:uid="{00000000-0005-0000-0000-0000BB430000}"/>
    <cellStyle name="Normal 3 2 2 2 2 2 7 3 4 2" xfId="27813" xr:uid="{00000000-0005-0000-0000-0000BC430000}"/>
    <cellStyle name="Normal 3 2 2 2 2 2 7 3 5" xfId="27814" xr:uid="{00000000-0005-0000-0000-0000BD430000}"/>
    <cellStyle name="Normal 3 2 2 2 2 2 7 3 6" xfId="27815" xr:uid="{00000000-0005-0000-0000-0000BE430000}"/>
    <cellStyle name="Normal 3 2 2 2 2 2 7 4" xfId="27816" xr:uid="{00000000-0005-0000-0000-0000BF430000}"/>
    <cellStyle name="Normal 3 2 2 2 2 2 7 4 2" xfId="27817" xr:uid="{00000000-0005-0000-0000-0000C0430000}"/>
    <cellStyle name="Normal 3 2 2 2 2 2 7 4 2 2" xfId="27818" xr:uid="{00000000-0005-0000-0000-0000C1430000}"/>
    <cellStyle name="Normal 3 2 2 2 2 2 7 4 3" xfId="27819" xr:uid="{00000000-0005-0000-0000-0000C2430000}"/>
    <cellStyle name="Normal 3 2 2 2 2 2 7 4 3 2" xfId="27820" xr:uid="{00000000-0005-0000-0000-0000C3430000}"/>
    <cellStyle name="Normal 3 2 2 2 2 2 7 4 4" xfId="27821" xr:uid="{00000000-0005-0000-0000-0000C4430000}"/>
    <cellStyle name="Normal 3 2 2 2 2 2 7 4 4 2" xfId="27822" xr:uid="{00000000-0005-0000-0000-0000C5430000}"/>
    <cellStyle name="Normal 3 2 2 2 2 2 7 4 5" xfId="27823" xr:uid="{00000000-0005-0000-0000-0000C6430000}"/>
    <cellStyle name="Normal 3 2 2 2 2 2 7 4 6" xfId="27824" xr:uid="{00000000-0005-0000-0000-0000C7430000}"/>
    <cellStyle name="Normal 3 2 2 2 2 2 7 5" xfId="27825" xr:uid="{00000000-0005-0000-0000-0000C8430000}"/>
    <cellStyle name="Normal 3 2 2 2 2 2 7 5 2" xfId="27826" xr:uid="{00000000-0005-0000-0000-0000C9430000}"/>
    <cellStyle name="Normal 3 2 2 2 2 2 7 5 2 2" xfId="27827" xr:uid="{00000000-0005-0000-0000-0000CA430000}"/>
    <cellStyle name="Normal 3 2 2 2 2 2 7 5 3" xfId="27828" xr:uid="{00000000-0005-0000-0000-0000CB430000}"/>
    <cellStyle name="Normal 3 2 2 2 2 2 7 5 3 2" xfId="27829" xr:uid="{00000000-0005-0000-0000-0000CC430000}"/>
    <cellStyle name="Normal 3 2 2 2 2 2 7 5 4" xfId="27830" xr:uid="{00000000-0005-0000-0000-0000CD430000}"/>
    <cellStyle name="Normal 3 2 2 2 2 2 7 5 5" xfId="27831" xr:uid="{00000000-0005-0000-0000-0000CE430000}"/>
    <cellStyle name="Normal 3 2 2 2 2 2 7 6" xfId="27832" xr:uid="{00000000-0005-0000-0000-0000CF430000}"/>
    <cellStyle name="Normal 3 2 2 2 2 2 7 6 2" xfId="27833" xr:uid="{00000000-0005-0000-0000-0000D0430000}"/>
    <cellStyle name="Normal 3 2 2 2 2 2 7 7" xfId="27834" xr:uid="{00000000-0005-0000-0000-0000D1430000}"/>
    <cellStyle name="Normal 3 2 2 2 2 2 7 7 2" xfId="27835" xr:uid="{00000000-0005-0000-0000-0000D2430000}"/>
    <cellStyle name="Normal 3 2 2 2 2 2 7 8" xfId="27836" xr:uid="{00000000-0005-0000-0000-0000D3430000}"/>
    <cellStyle name="Normal 3 2 2 2 2 2 7 8 2" xfId="27837" xr:uid="{00000000-0005-0000-0000-0000D4430000}"/>
    <cellStyle name="Normal 3 2 2 2 2 2 7 9" xfId="27838" xr:uid="{00000000-0005-0000-0000-0000D5430000}"/>
    <cellStyle name="Normal 3 2 2 2 2 2 8" xfId="2538" xr:uid="{00000000-0005-0000-0000-0000D6430000}"/>
    <cellStyle name="Normal 3 2 2 2 2 2 8 2" xfId="27840" xr:uid="{00000000-0005-0000-0000-0000D7430000}"/>
    <cellStyle name="Normal 3 2 2 2 2 2 8 2 2" xfId="27841" xr:uid="{00000000-0005-0000-0000-0000D8430000}"/>
    <cellStyle name="Normal 3 2 2 2 2 2 8 3" xfId="27842" xr:uid="{00000000-0005-0000-0000-0000D9430000}"/>
    <cellStyle name="Normal 3 2 2 2 2 2 8 3 2" xfId="27843" xr:uid="{00000000-0005-0000-0000-0000DA430000}"/>
    <cellStyle name="Normal 3 2 2 2 2 2 8 4" xfId="27844" xr:uid="{00000000-0005-0000-0000-0000DB430000}"/>
    <cellStyle name="Normal 3 2 2 2 2 2 8 4 2" xfId="27845" xr:uid="{00000000-0005-0000-0000-0000DC430000}"/>
    <cellStyle name="Normal 3 2 2 2 2 2 8 5" xfId="27846" xr:uid="{00000000-0005-0000-0000-0000DD430000}"/>
    <cellStyle name="Normal 3 2 2 2 2 2 8 6" xfId="27847" xr:uid="{00000000-0005-0000-0000-0000DE430000}"/>
    <cellStyle name="Normal 3 2 2 2 2 2 8 7" xfId="27839" xr:uid="{00000000-0005-0000-0000-0000DF430000}"/>
    <cellStyle name="Normal 3 2 2 2 2 2 9" xfId="27848" xr:uid="{00000000-0005-0000-0000-0000E0430000}"/>
    <cellStyle name="Normal 3 2 2 2 2 2 9 2" xfId="27849" xr:uid="{00000000-0005-0000-0000-0000E1430000}"/>
    <cellStyle name="Normal 3 2 2 2 2 2 9 2 2" xfId="27850" xr:uid="{00000000-0005-0000-0000-0000E2430000}"/>
    <cellStyle name="Normal 3 2 2 2 2 2 9 3" xfId="27851" xr:uid="{00000000-0005-0000-0000-0000E3430000}"/>
    <cellStyle name="Normal 3 2 2 2 2 2 9 3 2" xfId="27852" xr:uid="{00000000-0005-0000-0000-0000E4430000}"/>
    <cellStyle name="Normal 3 2 2 2 2 2 9 4" xfId="27853" xr:uid="{00000000-0005-0000-0000-0000E5430000}"/>
    <cellStyle name="Normal 3 2 2 2 2 2 9 4 2" xfId="27854" xr:uid="{00000000-0005-0000-0000-0000E6430000}"/>
    <cellStyle name="Normal 3 2 2 2 2 2 9 5" xfId="27855" xr:uid="{00000000-0005-0000-0000-0000E7430000}"/>
    <cellStyle name="Normal 3 2 2 2 2 2 9 6" xfId="27856" xr:uid="{00000000-0005-0000-0000-0000E8430000}"/>
    <cellStyle name="Normal 3 2 2 2 2 20" xfId="27099" xr:uid="{00000000-0005-0000-0000-0000E9430000}"/>
    <cellStyle name="Normal 3 2 2 2 2 3" xfId="2539" xr:uid="{00000000-0005-0000-0000-0000EA430000}"/>
    <cellStyle name="Normal 3 2 2 2 2 3 10" xfId="27858" xr:uid="{00000000-0005-0000-0000-0000EB430000}"/>
    <cellStyle name="Normal 3 2 2 2 2 3 10 2" xfId="27859" xr:uid="{00000000-0005-0000-0000-0000EC430000}"/>
    <cellStyle name="Normal 3 2 2 2 2 3 10 2 2" xfId="27860" xr:uid="{00000000-0005-0000-0000-0000ED430000}"/>
    <cellStyle name="Normal 3 2 2 2 2 3 10 3" xfId="27861" xr:uid="{00000000-0005-0000-0000-0000EE430000}"/>
    <cellStyle name="Normal 3 2 2 2 2 3 10 3 2" xfId="27862" xr:uid="{00000000-0005-0000-0000-0000EF430000}"/>
    <cellStyle name="Normal 3 2 2 2 2 3 10 4" xfId="27863" xr:uid="{00000000-0005-0000-0000-0000F0430000}"/>
    <cellStyle name="Normal 3 2 2 2 2 3 10 4 2" xfId="27864" xr:uid="{00000000-0005-0000-0000-0000F1430000}"/>
    <cellStyle name="Normal 3 2 2 2 2 3 10 5" xfId="27865" xr:uid="{00000000-0005-0000-0000-0000F2430000}"/>
    <cellStyle name="Normal 3 2 2 2 2 3 10 6" xfId="27866" xr:uid="{00000000-0005-0000-0000-0000F3430000}"/>
    <cellStyle name="Normal 3 2 2 2 2 3 11" xfId="27867" xr:uid="{00000000-0005-0000-0000-0000F4430000}"/>
    <cellStyle name="Normal 3 2 2 2 2 3 11 2" xfId="27868" xr:uid="{00000000-0005-0000-0000-0000F5430000}"/>
    <cellStyle name="Normal 3 2 2 2 2 3 11 2 2" xfId="27869" xr:uid="{00000000-0005-0000-0000-0000F6430000}"/>
    <cellStyle name="Normal 3 2 2 2 2 3 11 3" xfId="27870" xr:uid="{00000000-0005-0000-0000-0000F7430000}"/>
    <cellStyle name="Normal 3 2 2 2 2 3 11 3 2" xfId="27871" xr:uid="{00000000-0005-0000-0000-0000F8430000}"/>
    <cellStyle name="Normal 3 2 2 2 2 3 11 4" xfId="27872" xr:uid="{00000000-0005-0000-0000-0000F9430000}"/>
    <cellStyle name="Normal 3 2 2 2 2 3 11 4 2" xfId="27873" xr:uid="{00000000-0005-0000-0000-0000FA430000}"/>
    <cellStyle name="Normal 3 2 2 2 2 3 11 5" xfId="27874" xr:uid="{00000000-0005-0000-0000-0000FB430000}"/>
    <cellStyle name="Normal 3 2 2 2 2 3 11 6" xfId="27875" xr:uid="{00000000-0005-0000-0000-0000FC430000}"/>
    <cellStyle name="Normal 3 2 2 2 2 3 12" xfId="27876" xr:uid="{00000000-0005-0000-0000-0000FD430000}"/>
    <cellStyle name="Normal 3 2 2 2 2 3 12 2" xfId="27877" xr:uid="{00000000-0005-0000-0000-0000FE430000}"/>
    <cellStyle name="Normal 3 2 2 2 2 3 12 2 2" xfId="27878" xr:uid="{00000000-0005-0000-0000-0000FF430000}"/>
    <cellStyle name="Normal 3 2 2 2 2 3 12 3" xfId="27879" xr:uid="{00000000-0005-0000-0000-000000440000}"/>
    <cellStyle name="Normal 3 2 2 2 2 3 12 3 2" xfId="27880" xr:uid="{00000000-0005-0000-0000-000001440000}"/>
    <cellStyle name="Normal 3 2 2 2 2 3 12 4" xfId="27881" xr:uid="{00000000-0005-0000-0000-000002440000}"/>
    <cellStyle name="Normal 3 2 2 2 2 3 12 5" xfId="27882" xr:uid="{00000000-0005-0000-0000-000003440000}"/>
    <cellStyle name="Normal 3 2 2 2 2 3 13" xfId="27883" xr:uid="{00000000-0005-0000-0000-000004440000}"/>
    <cellStyle name="Normal 3 2 2 2 2 3 13 2" xfId="27884" xr:uid="{00000000-0005-0000-0000-000005440000}"/>
    <cellStyle name="Normal 3 2 2 2 2 3 14" xfId="27885" xr:uid="{00000000-0005-0000-0000-000006440000}"/>
    <cellStyle name="Normal 3 2 2 2 2 3 14 2" xfId="27886" xr:uid="{00000000-0005-0000-0000-000007440000}"/>
    <cellStyle name="Normal 3 2 2 2 2 3 15" xfId="27887" xr:uid="{00000000-0005-0000-0000-000008440000}"/>
    <cellStyle name="Normal 3 2 2 2 2 3 15 2" xfId="27888" xr:uid="{00000000-0005-0000-0000-000009440000}"/>
    <cellStyle name="Normal 3 2 2 2 2 3 16" xfId="27889" xr:uid="{00000000-0005-0000-0000-00000A440000}"/>
    <cellStyle name="Normal 3 2 2 2 2 3 17" xfId="27890" xr:uid="{00000000-0005-0000-0000-00000B440000}"/>
    <cellStyle name="Normal 3 2 2 2 2 3 18" xfId="27857" xr:uid="{00000000-0005-0000-0000-00000C440000}"/>
    <cellStyle name="Normal 3 2 2 2 2 3 2" xfId="2540" xr:uid="{00000000-0005-0000-0000-00000D440000}"/>
    <cellStyle name="Normal 3 2 2 2 2 3 2 10" xfId="27892" xr:uid="{00000000-0005-0000-0000-00000E440000}"/>
    <cellStyle name="Normal 3 2 2 2 2 3 2 10 2" xfId="27893" xr:uid="{00000000-0005-0000-0000-00000F440000}"/>
    <cellStyle name="Normal 3 2 2 2 2 3 2 10 2 2" xfId="27894" xr:uid="{00000000-0005-0000-0000-000010440000}"/>
    <cellStyle name="Normal 3 2 2 2 2 3 2 10 3" xfId="27895" xr:uid="{00000000-0005-0000-0000-000011440000}"/>
    <cellStyle name="Normal 3 2 2 2 2 3 2 10 3 2" xfId="27896" xr:uid="{00000000-0005-0000-0000-000012440000}"/>
    <cellStyle name="Normal 3 2 2 2 2 3 2 10 4" xfId="27897" xr:uid="{00000000-0005-0000-0000-000013440000}"/>
    <cellStyle name="Normal 3 2 2 2 2 3 2 10 4 2" xfId="27898" xr:uid="{00000000-0005-0000-0000-000014440000}"/>
    <cellStyle name="Normal 3 2 2 2 2 3 2 10 5" xfId="27899" xr:uid="{00000000-0005-0000-0000-000015440000}"/>
    <cellStyle name="Normal 3 2 2 2 2 3 2 10 6" xfId="27900" xr:uid="{00000000-0005-0000-0000-000016440000}"/>
    <cellStyle name="Normal 3 2 2 2 2 3 2 11" xfId="27901" xr:uid="{00000000-0005-0000-0000-000017440000}"/>
    <cellStyle name="Normal 3 2 2 2 2 3 2 11 2" xfId="27902" xr:uid="{00000000-0005-0000-0000-000018440000}"/>
    <cellStyle name="Normal 3 2 2 2 2 3 2 11 2 2" xfId="27903" xr:uid="{00000000-0005-0000-0000-000019440000}"/>
    <cellStyle name="Normal 3 2 2 2 2 3 2 11 3" xfId="27904" xr:uid="{00000000-0005-0000-0000-00001A440000}"/>
    <cellStyle name="Normal 3 2 2 2 2 3 2 11 3 2" xfId="27905" xr:uid="{00000000-0005-0000-0000-00001B440000}"/>
    <cellStyle name="Normal 3 2 2 2 2 3 2 11 4" xfId="27906" xr:uid="{00000000-0005-0000-0000-00001C440000}"/>
    <cellStyle name="Normal 3 2 2 2 2 3 2 11 5" xfId="27907" xr:uid="{00000000-0005-0000-0000-00001D440000}"/>
    <cellStyle name="Normal 3 2 2 2 2 3 2 12" xfId="27908" xr:uid="{00000000-0005-0000-0000-00001E440000}"/>
    <cellStyle name="Normal 3 2 2 2 2 3 2 12 2" xfId="27909" xr:uid="{00000000-0005-0000-0000-00001F440000}"/>
    <cellStyle name="Normal 3 2 2 2 2 3 2 13" xfId="27910" xr:uid="{00000000-0005-0000-0000-000020440000}"/>
    <cellStyle name="Normal 3 2 2 2 2 3 2 13 2" xfId="27911" xr:uid="{00000000-0005-0000-0000-000021440000}"/>
    <cellStyle name="Normal 3 2 2 2 2 3 2 14" xfId="27912" xr:uid="{00000000-0005-0000-0000-000022440000}"/>
    <cellStyle name="Normal 3 2 2 2 2 3 2 14 2" xfId="27913" xr:uid="{00000000-0005-0000-0000-000023440000}"/>
    <cellStyle name="Normal 3 2 2 2 2 3 2 15" xfId="27914" xr:uid="{00000000-0005-0000-0000-000024440000}"/>
    <cellStyle name="Normal 3 2 2 2 2 3 2 16" xfId="27915" xr:uid="{00000000-0005-0000-0000-000025440000}"/>
    <cellStyle name="Normal 3 2 2 2 2 3 2 17" xfId="27891" xr:uid="{00000000-0005-0000-0000-000026440000}"/>
    <cellStyle name="Normal 3 2 2 2 2 3 2 2" xfId="2541" xr:uid="{00000000-0005-0000-0000-000027440000}"/>
    <cellStyle name="Normal 3 2 2 2 2 3 2 2 10" xfId="27917" xr:uid="{00000000-0005-0000-0000-000028440000}"/>
    <cellStyle name="Normal 3 2 2 2 2 3 2 2 10 2" xfId="27918" xr:uid="{00000000-0005-0000-0000-000029440000}"/>
    <cellStyle name="Normal 3 2 2 2 2 3 2 2 11" xfId="27919" xr:uid="{00000000-0005-0000-0000-00002A440000}"/>
    <cellStyle name="Normal 3 2 2 2 2 3 2 2 11 2" xfId="27920" xr:uid="{00000000-0005-0000-0000-00002B440000}"/>
    <cellStyle name="Normal 3 2 2 2 2 3 2 2 12" xfId="27921" xr:uid="{00000000-0005-0000-0000-00002C440000}"/>
    <cellStyle name="Normal 3 2 2 2 2 3 2 2 13" xfId="27922" xr:uid="{00000000-0005-0000-0000-00002D440000}"/>
    <cellStyle name="Normal 3 2 2 2 2 3 2 2 14" xfId="27916" xr:uid="{00000000-0005-0000-0000-00002E440000}"/>
    <cellStyle name="Normal 3 2 2 2 2 3 2 2 2" xfId="2542" xr:uid="{00000000-0005-0000-0000-00002F440000}"/>
    <cellStyle name="Normal 3 2 2 2 2 3 2 2 2 10" xfId="27924" xr:uid="{00000000-0005-0000-0000-000030440000}"/>
    <cellStyle name="Normal 3 2 2 2 2 3 2 2 2 11" xfId="27925" xr:uid="{00000000-0005-0000-0000-000031440000}"/>
    <cellStyle name="Normal 3 2 2 2 2 3 2 2 2 12" xfId="27923" xr:uid="{00000000-0005-0000-0000-000032440000}"/>
    <cellStyle name="Normal 3 2 2 2 2 3 2 2 2 2" xfId="27926" xr:uid="{00000000-0005-0000-0000-000033440000}"/>
    <cellStyle name="Normal 3 2 2 2 2 3 2 2 2 2 2" xfId="27927" xr:uid="{00000000-0005-0000-0000-000034440000}"/>
    <cellStyle name="Normal 3 2 2 2 2 3 2 2 2 2 2 2" xfId="27928" xr:uid="{00000000-0005-0000-0000-000035440000}"/>
    <cellStyle name="Normal 3 2 2 2 2 3 2 2 2 2 3" xfId="27929" xr:uid="{00000000-0005-0000-0000-000036440000}"/>
    <cellStyle name="Normal 3 2 2 2 2 3 2 2 2 2 3 2" xfId="27930" xr:uid="{00000000-0005-0000-0000-000037440000}"/>
    <cellStyle name="Normal 3 2 2 2 2 3 2 2 2 2 4" xfId="27931" xr:uid="{00000000-0005-0000-0000-000038440000}"/>
    <cellStyle name="Normal 3 2 2 2 2 3 2 2 2 2 4 2" xfId="27932" xr:uid="{00000000-0005-0000-0000-000039440000}"/>
    <cellStyle name="Normal 3 2 2 2 2 3 2 2 2 2 5" xfId="27933" xr:uid="{00000000-0005-0000-0000-00003A440000}"/>
    <cellStyle name="Normal 3 2 2 2 2 3 2 2 2 2 6" xfId="27934" xr:uid="{00000000-0005-0000-0000-00003B440000}"/>
    <cellStyle name="Normal 3 2 2 2 2 3 2 2 2 3" xfId="27935" xr:uid="{00000000-0005-0000-0000-00003C440000}"/>
    <cellStyle name="Normal 3 2 2 2 2 3 2 2 2 3 2" xfId="27936" xr:uid="{00000000-0005-0000-0000-00003D440000}"/>
    <cellStyle name="Normal 3 2 2 2 2 3 2 2 2 3 2 2" xfId="27937" xr:uid="{00000000-0005-0000-0000-00003E440000}"/>
    <cellStyle name="Normal 3 2 2 2 2 3 2 2 2 3 3" xfId="27938" xr:uid="{00000000-0005-0000-0000-00003F440000}"/>
    <cellStyle name="Normal 3 2 2 2 2 3 2 2 2 3 3 2" xfId="27939" xr:uid="{00000000-0005-0000-0000-000040440000}"/>
    <cellStyle name="Normal 3 2 2 2 2 3 2 2 2 3 4" xfId="27940" xr:uid="{00000000-0005-0000-0000-000041440000}"/>
    <cellStyle name="Normal 3 2 2 2 2 3 2 2 2 3 4 2" xfId="27941" xr:uid="{00000000-0005-0000-0000-000042440000}"/>
    <cellStyle name="Normal 3 2 2 2 2 3 2 2 2 3 5" xfId="27942" xr:uid="{00000000-0005-0000-0000-000043440000}"/>
    <cellStyle name="Normal 3 2 2 2 2 3 2 2 2 3 6" xfId="27943" xr:uid="{00000000-0005-0000-0000-000044440000}"/>
    <cellStyle name="Normal 3 2 2 2 2 3 2 2 2 4" xfId="27944" xr:uid="{00000000-0005-0000-0000-000045440000}"/>
    <cellStyle name="Normal 3 2 2 2 2 3 2 2 2 4 2" xfId="27945" xr:uid="{00000000-0005-0000-0000-000046440000}"/>
    <cellStyle name="Normal 3 2 2 2 2 3 2 2 2 4 2 2" xfId="27946" xr:uid="{00000000-0005-0000-0000-000047440000}"/>
    <cellStyle name="Normal 3 2 2 2 2 3 2 2 2 4 3" xfId="27947" xr:uid="{00000000-0005-0000-0000-000048440000}"/>
    <cellStyle name="Normal 3 2 2 2 2 3 2 2 2 4 3 2" xfId="27948" xr:uid="{00000000-0005-0000-0000-000049440000}"/>
    <cellStyle name="Normal 3 2 2 2 2 3 2 2 2 4 4" xfId="27949" xr:uid="{00000000-0005-0000-0000-00004A440000}"/>
    <cellStyle name="Normal 3 2 2 2 2 3 2 2 2 4 4 2" xfId="27950" xr:uid="{00000000-0005-0000-0000-00004B440000}"/>
    <cellStyle name="Normal 3 2 2 2 2 3 2 2 2 4 5" xfId="27951" xr:uid="{00000000-0005-0000-0000-00004C440000}"/>
    <cellStyle name="Normal 3 2 2 2 2 3 2 2 2 4 6" xfId="27952" xr:uid="{00000000-0005-0000-0000-00004D440000}"/>
    <cellStyle name="Normal 3 2 2 2 2 3 2 2 2 5" xfId="27953" xr:uid="{00000000-0005-0000-0000-00004E440000}"/>
    <cellStyle name="Normal 3 2 2 2 2 3 2 2 2 5 2" xfId="27954" xr:uid="{00000000-0005-0000-0000-00004F440000}"/>
    <cellStyle name="Normal 3 2 2 2 2 3 2 2 2 5 2 2" xfId="27955" xr:uid="{00000000-0005-0000-0000-000050440000}"/>
    <cellStyle name="Normal 3 2 2 2 2 3 2 2 2 5 3" xfId="27956" xr:uid="{00000000-0005-0000-0000-000051440000}"/>
    <cellStyle name="Normal 3 2 2 2 2 3 2 2 2 5 3 2" xfId="27957" xr:uid="{00000000-0005-0000-0000-000052440000}"/>
    <cellStyle name="Normal 3 2 2 2 2 3 2 2 2 5 4" xfId="27958" xr:uid="{00000000-0005-0000-0000-000053440000}"/>
    <cellStyle name="Normal 3 2 2 2 2 3 2 2 2 5 4 2" xfId="27959" xr:uid="{00000000-0005-0000-0000-000054440000}"/>
    <cellStyle name="Normal 3 2 2 2 2 3 2 2 2 5 5" xfId="27960" xr:uid="{00000000-0005-0000-0000-000055440000}"/>
    <cellStyle name="Normal 3 2 2 2 2 3 2 2 2 5 6" xfId="27961" xr:uid="{00000000-0005-0000-0000-000056440000}"/>
    <cellStyle name="Normal 3 2 2 2 2 3 2 2 2 6" xfId="27962" xr:uid="{00000000-0005-0000-0000-000057440000}"/>
    <cellStyle name="Normal 3 2 2 2 2 3 2 2 2 6 2" xfId="27963" xr:uid="{00000000-0005-0000-0000-000058440000}"/>
    <cellStyle name="Normal 3 2 2 2 2 3 2 2 2 6 2 2" xfId="27964" xr:uid="{00000000-0005-0000-0000-000059440000}"/>
    <cellStyle name="Normal 3 2 2 2 2 3 2 2 2 6 3" xfId="27965" xr:uid="{00000000-0005-0000-0000-00005A440000}"/>
    <cellStyle name="Normal 3 2 2 2 2 3 2 2 2 6 3 2" xfId="27966" xr:uid="{00000000-0005-0000-0000-00005B440000}"/>
    <cellStyle name="Normal 3 2 2 2 2 3 2 2 2 6 4" xfId="27967" xr:uid="{00000000-0005-0000-0000-00005C440000}"/>
    <cellStyle name="Normal 3 2 2 2 2 3 2 2 2 6 5" xfId="27968" xr:uid="{00000000-0005-0000-0000-00005D440000}"/>
    <cellStyle name="Normal 3 2 2 2 2 3 2 2 2 7" xfId="27969" xr:uid="{00000000-0005-0000-0000-00005E440000}"/>
    <cellStyle name="Normal 3 2 2 2 2 3 2 2 2 7 2" xfId="27970" xr:uid="{00000000-0005-0000-0000-00005F440000}"/>
    <cellStyle name="Normal 3 2 2 2 2 3 2 2 2 8" xfId="27971" xr:uid="{00000000-0005-0000-0000-000060440000}"/>
    <cellStyle name="Normal 3 2 2 2 2 3 2 2 2 8 2" xfId="27972" xr:uid="{00000000-0005-0000-0000-000061440000}"/>
    <cellStyle name="Normal 3 2 2 2 2 3 2 2 2 9" xfId="27973" xr:uid="{00000000-0005-0000-0000-000062440000}"/>
    <cellStyle name="Normal 3 2 2 2 2 3 2 2 2 9 2" xfId="27974" xr:uid="{00000000-0005-0000-0000-000063440000}"/>
    <cellStyle name="Normal 3 2 2 2 2 3 2 2 3" xfId="2543" xr:uid="{00000000-0005-0000-0000-000064440000}"/>
    <cellStyle name="Normal 3 2 2 2 2 3 2 2 3 10" xfId="27976" xr:uid="{00000000-0005-0000-0000-000065440000}"/>
    <cellStyle name="Normal 3 2 2 2 2 3 2 2 3 11" xfId="27975" xr:uid="{00000000-0005-0000-0000-000066440000}"/>
    <cellStyle name="Normal 3 2 2 2 2 3 2 2 3 2" xfId="27977" xr:uid="{00000000-0005-0000-0000-000067440000}"/>
    <cellStyle name="Normal 3 2 2 2 2 3 2 2 3 2 2" xfId="27978" xr:uid="{00000000-0005-0000-0000-000068440000}"/>
    <cellStyle name="Normal 3 2 2 2 2 3 2 2 3 2 2 2" xfId="27979" xr:uid="{00000000-0005-0000-0000-000069440000}"/>
    <cellStyle name="Normal 3 2 2 2 2 3 2 2 3 2 3" xfId="27980" xr:uid="{00000000-0005-0000-0000-00006A440000}"/>
    <cellStyle name="Normal 3 2 2 2 2 3 2 2 3 2 3 2" xfId="27981" xr:uid="{00000000-0005-0000-0000-00006B440000}"/>
    <cellStyle name="Normal 3 2 2 2 2 3 2 2 3 2 4" xfId="27982" xr:uid="{00000000-0005-0000-0000-00006C440000}"/>
    <cellStyle name="Normal 3 2 2 2 2 3 2 2 3 2 4 2" xfId="27983" xr:uid="{00000000-0005-0000-0000-00006D440000}"/>
    <cellStyle name="Normal 3 2 2 2 2 3 2 2 3 2 5" xfId="27984" xr:uid="{00000000-0005-0000-0000-00006E440000}"/>
    <cellStyle name="Normal 3 2 2 2 2 3 2 2 3 2 6" xfId="27985" xr:uid="{00000000-0005-0000-0000-00006F440000}"/>
    <cellStyle name="Normal 3 2 2 2 2 3 2 2 3 3" xfId="27986" xr:uid="{00000000-0005-0000-0000-000070440000}"/>
    <cellStyle name="Normal 3 2 2 2 2 3 2 2 3 3 2" xfId="27987" xr:uid="{00000000-0005-0000-0000-000071440000}"/>
    <cellStyle name="Normal 3 2 2 2 2 3 2 2 3 3 2 2" xfId="27988" xr:uid="{00000000-0005-0000-0000-000072440000}"/>
    <cellStyle name="Normal 3 2 2 2 2 3 2 2 3 3 3" xfId="27989" xr:uid="{00000000-0005-0000-0000-000073440000}"/>
    <cellStyle name="Normal 3 2 2 2 2 3 2 2 3 3 3 2" xfId="27990" xr:uid="{00000000-0005-0000-0000-000074440000}"/>
    <cellStyle name="Normal 3 2 2 2 2 3 2 2 3 3 4" xfId="27991" xr:uid="{00000000-0005-0000-0000-000075440000}"/>
    <cellStyle name="Normal 3 2 2 2 2 3 2 2 3 3 4 2" xfId="27992" xr:uid="{00000000-0005-0000-0000-000076440000}"/>
    <cellStyle name="Normal 3 2 2 2 2 3 2 2 3 3 5" xfId="27993" xr:uid="{00000000-0005-0000-0000-000077440000}"/>
    <cellStyle name="Normal 3 2 2 2 2 3 2 2 3 3 6" xfId="27994" xr:uid="{00000000-0005-0000-0000-000078440000}"/>
    <cellStyle name="Normal 3 2 2 2 2 3 2 2 3 4" xfId="27995" xr:uid="{00000000-0005-0000-0000-000079440000}"/>
    <cellStyle name="Normal 3 2 2 2 2 3 2 2 3 4 2" xfId="27996" xr:uid="{00000000-0005-0000-0000-00007A440000}"/>
    <cellStyle name="Normal 3 2 2 2 2 3 2 2 3 4 2 2" xfId="27997" xr:uid="{00000000-0005-0000-0000-00007B440000}"/>
    <cellStyle name="Normal 3 2 2 2 2 3 2 2 3 4 3" xfId="27998" xr:uid="{00000000-0005-0000-0000-00007C440000}"/>
    <cellStyle name="Normal 3 2 2 2 2 3 2 2 3 4 3 2" xfId="27999" xr:uid="{00000000-0005-0000-0000-00007D440000}"/>
    <cellStyle name="Normal 3 2 2 2 2 3 2 2 3 4 4" xfId="28000" xr:uid="{00000000-0005-0000-0000-00007E440000}"/>
    <cellStyle name="Normal 3 2 2 2 2 3 2 2 3 4 4 2" xfId="28001" xr:uid="{00000000-0005-0000-0000-00007F440000}"/>
    <cellStyle name="Normal 3 2 2 2 2 3 2 2 3 4 5" xfId="28002" xr:uid="{00000000-0005-0000-0000-000080440000}"/>
    <cellStyle name="Normal 3 2 2 2 2 3 2 2 3 4 6" xfId="28003" xr:uid="{00000000-0005-0000-0000-000081440000}"/>
    <cellStyle name="Normal 3 2 2 2 2 3 2 2 3 5" xfId="28004" xr:uid="{00000000-0005-0000-0000-000082440000}"/>
    <cellStyle name="Normal 3 2 2 2 2 3 2 2 3 5 2" xfId="28005" xr:uid="{00000000-0005-0000-0000-000083440000}"/>
    <cellStyle name="Normal 3 2 2 2 2 3 2 2 3 5 2 2" xfId="28006" xr:uid="{00000000-0005-0000-0000-000084440000}"/>
    <cellStyle name="Normal 3 2 2 2 2 3 2 2 3 5 3" xfId="28007" xr:uid="{00000000-0005-0000-0000-000085440000}"/>
    <cellStyle name="Normal 3 2 2 2 2 3 2 2 3 5 3 2" xfId="28008" xr:uid="{00000000-0005-0000-0000-000086440000}"/>
    <cellStyle name="Normal 3 2 2 2 2 3 2 2 3 5 4" xfId="28009" xr:uid="{00000000-0005-0000-0000-000087440000}"/>
    <cellStyle name="Normal 3 2 2 2 2 3 2 2 3 5 5" xfId="28010" xr:uid="{00000000-0005-0000-0000-000088440000}"/>
    <cellStyle name="Normal 3 2 2 2 2 3 2 2 3 6" xfId="28011" xr:uid="{00000000-0005-0000-0000-000089440000}"/>
    <cellStyle name="Normal 3 2 2 2 2 3 2 2 3 6 2" xfId="28012" xr:uid="{00000000-0005-0000-0000-00008A440000}"/>
    <cellStyle name="Normal 3 2 2 2 2 3 2 2 3 7" xfId="28013" xr:uid="{00000000-0005-0000-0000-00008B440000}"/>
    <cellStyle name="Normal 3 2 2 2 2 3 2 2 3 7 2" xfId="28014" xr:uid="{00000000-0005-0000-0000-00008C440000}"/>
    <cellStyle name="Normal 3 2 2 2 2 3 2 2 3 8" xfId="28015" xr:uid="{00000000-0005-0000-0000-00008D440000}"/>
    <cellStyle name="Normal 3 2 2 2 2 3 2 2 3 8 2" xfId="28016" xr:uid="{00000000-0005-0000-0000-00008E440000}"/>
    <cellStyle name="Normal 3 2 2 2 2 3 2 2 3 9" xfId="28017" xr:uid="{00000000-0005-0000-0000-00008F440000}"/>
    <cellStyle name="Normal 3 2 2 2 2 3 2 2 4" xfId="28018" xr:uid="{00000000-0005-0000-0000-000090440000}"/>
    <cellStyle name="Normal 3 2 2 2 2 3 2 2 4 10" xfId="28019" xr:uid="{00000000-0005-0000-0000-000091440000}"/>
    <cellStyle name="Normal 3 2 2 2 2 3 2 2 4 2" xfId="28020" xr:uid="{00000000-0005-0000-0000-000092440000}"/>
    <cellStyle name="Normal 3 2 2 2 2 3 2 2 4 2 2" xfId="28021" xr:uid="{00000000-0005-0000-0000-000093440000}"/>
    <cellStyle name="Normal 3 2 2 2 2 3 2 2 4 2 2 2" xfId="28022" xr:uid="{00000000-0005-0000-0000-000094440000}"/>
    <cellStyle name="Normal 3 2 2 2 2 3 2 2 4 2 3" xfId="28023" xr:uid="{00000000-0005-0000-0000-000095440000}"/>
    <cellStyle name="Normal 3 2 2 2 2 3 2 2 4 2 3 2" xfId="28024" xr:uid="{00000000-0005-0000-0000-000096440000}"/>
    <cellStyle name="Normal 3 2 2 2 2 3 2 2 4 2 4" xfId="28025" xr:uid="{00000000-0005-0000-0000-000097440000}"/>
    <cellStyle name="Normal 3 2 2 2 2 3 2 2 4 2 4 2" xfId="28026" xr:uid="{00000000-0005-0000-0000-000098440000}"/>
    <cellStyle name="Normal 3 2 2 2 2 3 2 2 4 2 5" xfId="28027" xr:uid="{00000000-0005-0000-0000-000099440000}"/>
    <cellStyle name="Normal 3 2 2 2 2 3 2 2 4 2 6" xfId="28028" xr:uid="{00000000-0005-0000-0000-00009A440000}"/>
    <cellStyle name="Normal 3 2 2 2 2 3 2 2 4 3" xfId="28029" xr:uid="{00000000-0005-0000-0000-00009B440000}"/>
    <cellStyle name="Normal 3 2 2 2 2 3 2 2 4 3 2" xfId="28030" xr:uid="{00000000-0005-0000-0000-00009C440000}"/>
    <cellStyle name="Normal 3 2 2 2 2 3 2 2 4 3 2 2" xfId="28031" xr:uid="{00000000-0005-0000-0000-00009D440000}"/>
    <cellStyle name="Normal 3 2 2 2 2 3 2 2 4 3 3" xfId="28032" xr:uid="{00000000-0005-0000-0000-00009E440000}"/>
    <cellStyle name="Normal 3 2 2 2 2 3 2 2 4 3 3 2" xfId="28033" xr:uid="{00000000-0005-0000-0000-00009F440000}"/>
    <cellStyle name="Normal 3 2 2 2 2 3 2 2 4 3 4" xfId="28034" xr:uid="{00000000-0005-0000-0000-0000A0440000}"/>
    <cellStyle name="Normal 3 2 2 2 2 3 2 2 4 3 4 2" xfId="28035" xr:uid="{00000000-0005-0000-0000-0000A1440000}"/>
    <cellStyle name="Normal 3 2 2 2 2 3 2 2 4 3 5" xfId="28036" xr:uid="{00000000-0005-0000-0000-0000A2440000}"/>
    <cellStyle name="Normal 3 2 2 2 2 3 2 2 4 3 6" xfId="28037" xr:uid="{00000000-0005-0000-0000-0000A3440000}"/>
    <cellStyle name="Normal 3 2 2 2 2 3 2 2 4 4" xfId="28038" xr:uid="{00000000-0005-0000-0000-0000A4440000}"/>
    <cellStyle name="Normal 3 2 2 2 2 3 2 2 4 4 2" xfId="28039" xr:uid="{00000000-0005-0000-0000-0000A5440000}"/>
    <cellStyle name="Normal 3 2 2 2 2 3 2 2 4 4 2 2" xfId="28040" xr:uid="{00000000-0005-0000-0000-0000A6440000}"/>
    <cellStyle name="Normal 3 2 2 2 2 3 2 2 4 4 3" xfId="28041" xr:uid="{00000000-0005-0000-0000-0000A7440000}"/>
    <cellStyle name="Normal 3 2 2 2 2 3 2 2 4 4 3 2" xfId="28042" xr:uid="{00000000-0005-0000-0000-0000A8440000}"/>
    <cellStyle name="Normal 3 2 2 2 2 3 2 2 4 4 4" xfId="28043" xr:uid="{00000000-0005-0000-0000-0000A9440000}"/>
    <cellStyle name="Normal 3 2 2 2 2 3 2 2 4 4 4 2" xfId="28044" xr:uid="{00000000-0005-0000-0000-0000AA440000}"/>
    <cellStyle name="Normal 3 2 2 2 2 3 2 2 4 4 5" xfId="28045" xr:uid="{00000000-0005-0000-0000-0000AB440000}"/>
    <cellStyle name="Normal 3 2 2 2 2 3 2 2 4 4 6" xfId="28046" xr:uid="{00000000-0005-0000-0000-0000AC440000}"/>
    <cellStyle name="Normal 3 2 2 2 2 3 2 2 4 5" xfId="28047" xr:uid="{00000000-0005-0000-0000-0000AD440000}"/>
    <cellStyle name="Normal 3 2 2 2 2 3 2 2 4 5 2" xfId="28048" xr:uid="{00000000-0005-0000-0000-0000AE440000}"/>
    <cellStyle name="Normal 3 2 2 2 2 3 2 2 4 5 2 2" xfId="28049" xr:uid="{00000000-0005-0000-0000-0000AF440000}"/>
    <cellStyle name="Normal 3 2 2 2 2 3 2 2 4 5 3" xfId="28050" xr:uid="{00000000-0005-0000-0000-0000B0440000}"/>
    <cellStyle name="Normal 3 2 2 2 2 3 2 2 4 5 3 2" xfId="28051" xr:uid="{00000000-0005-0000-0000-0000B1440000}"/>
    <cellStyle name="Normal 3 2 2 2 2 3 2 2 4 5 4" xfId="28052" xr:uid="{00000000-0005-0000-0000-0000B2440000}"/>
    <cellStyle name="Normal 3 2 2 2 2 3 2 2 4 5 5" xfId="28053" xr:uid="{00000000-0005-0000-0000-0000B3440000}"/>
    <cellStyle name="Normal 3 2 2 2 2 3 2 2 4 6" xfId="28054" xr:uid="{00000000-0005-0000-0000-0000B4440000}"/>
    <cellStyle name="Normal 3 2 2 2 2 3 2 2 4 6 2" xfId="28055" xr:uid="{00000000-0005-0000-0000-0000B5440000}"/>
    <cellStyle name="Normal 3 2 2 2 2 3 2 2 4 7" xfId="28056" xr:uid="{00000000-0005-0000-0000-0000B6440000}"/>
    <cellStyle name="Normal 3 2 2 2 2 3 2 2 4 7 2" xfId="28057" xr:uid="{00000000-0005-0000-0000-0000B7440000}"/>
    <cellStyle name="Normal 3 2 2 2 2 3 2 2 4 8" xfId="28058" xr:uid="{00000000-0005-0000-0000-0000B8440000}"/>
    <cellStyle name="Normal 3 2 2 2 2 3 2 2 4 8 2" xfId="28059" xr:uid="{00000000-0005-0000-0000-0000B9440000}"/>
    <cellStyle name="Normal 3 2 2 2 2 3 2 2 4 9" xfId="28060" xr:uid="{00000000-0005-0000-0000-0000BA440000}"/>
    <cellStyle name="Normal 3 2 2 2 2 3 2 2 5" xfId="28061" xr:uid="{00000000-0005-0000-0000-0000BB440000}"/>
    <cellStyle name="Normal 3 2 2 2 2 3 2 2 5 2" xfId="28062" xr:uid="{00000000-0005-0000-0000-0000BC440000}"/>
    <cellStyle name="Normal 3 2 2 2 2 3 2 2 5 2 2" xfId="28063" xr:uid="{00000000-0005-0000-0000-0000BD440000}"/>
    <cellStyle name="Normal 3 2 2 2 2 3 2 2 5 3" xfId="28064" xr:uid="{00000000-0005-0000-0000-0000BE440000}"/>
    <cellStyle name="Normal 3 2 2 2 2 3 2 2 5 3 2" xfId="28065" xr:uid="{00000000-0005-0000-0000-0000BF440000}"/>
    <cellStyle name="Normal 3 2 2 2 2 3 2 2 5 4" xfId="28066" xr:uid="{00000000-0005-0000-0000-0000C0440000}"/>
    <cellStyle name="Normal 3 2 2 2 2 3 2 2 5 4 2" xfId="28067" xr:uid="{00000000-0005-0000-0000-0000C1440000}"/>
    <cellStyle name="Normal 3 2 2 2 2 3 2 2 5 5" xfId="28068" xr:uid="{00000000-0005-0000-0000-0000C2440000}"/>
    <cellStyle name="Normal 3 2 2 2 2 3 2 2 5 6" xfId="28069" xr:uid="{00000000-0005-0000-0000-0000C3440000}"/>
    <cellStyle name="Normal 3 2 2 2 2 3 2 2 6" xfId="28070" xr:uid="{00000000-0005-0000-0000-0000C4440000}"/>
    <cellStyle name="Normal 3 2 2 2 2 3 2 2 6 2" xfId="28071" xr:uid="{00000000-0005-0000-0000-0000C5440000}"/>
    <cellStyle name="Normal 3 2 2 2 2 3 2 2 6 2 2" xfId="28072" xr:uid="{00000000-0005-0000-0000-0000C6440000}"/>
    <cellStyle name="Normal 3 2 2 2 2 3 2 2 6 3" xfId="28073" xr:uid="{00000000-0005-0000-0000-0000C7440000}"/>
    <cellStyle name="Normal 3 2 2 2 2 3 2 2 6 3 2" xfId="28074" xr:uid="{00000000-0005-0000-0000-0000C8440000}"/>
    <cellStyle name="Normal 3 2 2 2 2 3 2 2 6 4" xfId="28075" xr:uid="{00000000-0005-0000-0000-0000C9440000}"/>
    <cellStyle name="Normal 3 2 2 2 2 3 2 2 6 4 2" xfId="28076" xr:uid="{00000000-0005-0000-0000-0000CA440000}"/>
    <cellStyle name="Normal 3 2 2 2 2 3 2 2 6 5" xfId="28077" xr:uid="{00000000-0005-0000-0000-0000CB440000}"/>
    <cellStyle name="Normal 3 2 2 2 2 3 2 2 6 6" xfId="28078" xr:uid="{00000000-0005-0000-0000-0000CC440000}"/>
    <cellStyle name="Normal 3 2 2 2 2 3 2 2 7" xfId="28079" xr:uid="{00000000-0005-0000-0000-0000CD440000}"/>
    <cellStyle name="Normal 3 2 2 2 2 3 2 2 7 2" xfId="28080" xr:uid="{00000000-0005-0000-0000-0000CE440000}"/>
    <cellStyle name="Normal 3 2 2 2 2 3 2 2 7 2 2" xfId="28081" xr:uid="{00000000-0005-0000-0000-0000CF440000}"/>
    <cellStyle name="Normal 3 2 2 2 2 3 2 2 7 3" xfId="28082" xr:uid="{00000000-0005-0000-0000-0000D0440000}"/>
    <cellStyle name="Normal 3 2 2 2 2 3 2 2 7 3 2" xfId="28083" xr:uid="{00000000-0005-0000-0000-0000D1440000}"/>
    <cellStyle name="Normal 3 2 2 2 2 3 2 2 7 4" xfId="28084" xr:uid="{00000000-0005-0000-0000-0000D2440000}"/>
    <cellStyle name="Normal 3 2 2 2 2 3 2 2 7 4 2" xfId="28085" xr:uid="{00000000-0005-0000-0000-0000D3440000}"/>
    <cellStyle name="Normal 3 2 2 2 2 3 2 2 7 5" xfId="28086" xr:uid="{00000000-0005-0000-0000-0000D4440000}"/>
    <cellStyle name="Normal 3 2 2 2 2 3 2 2 7 6" xfId="28087" xr:uid="{00000000-0005-0000-0000-0000D5440000}"/>
    <cellStyle name="Normal 3 2 2 2 2 3 2 2 8" xfId="28088" xr:uid="{00000000-0005-0000-0000-0000D6440000}"/>
    <cellStyle name="Normal 3 2 2 2 2 3 2 2 8 2" xfId="28089" xr:uid="{00000000-0005-0000-0000-0000D7440000}"/>
    <cellStyle name="Normal 3 2 2 2 2 3 2 2 8 2 2" xfId="28090" xr:uid="{00000000-0005-0000-0000-0000D8440000}"/>
    <cellStyle name="Normal 3 2 2 2 2 3 2 2 8 3" xfId="28091" xr:uid="{00000000-0005-0000-0000-0000D9440000}"/>
    <cellStyle name="Normal 3 2 2 2 2 3 2 2 8 3 2" xfId="28092" xr:uid="{00000000-0005-0000-0000-0000DA440000}"/>
    <cellStyle name="Normal 3 2 2 2 2 3 2 2 8 4" xfId="28093" xr:uid="{00000000-0005-0000-0000-0000DB440000}"/>
    <cellStyle name="Normal 3 2 2 2 2 3 2 2 8 5" xfId="28094" xr:uid="{00000000-0005-0000-0000-0000DC440000}"/>
    <cellStyle name="Normal 3 2 2 2 2 3 2 2 9" xfId="28095" xr:uid="{00000000-0005-0000-0000-0000DD440000}"/>
    <cellStyle name="Normal 3 2 2 2 2 3 2 2 9 2" xfId="28096" xr:uid="{00000000-0005-0000-0000-0000DE440000}"/>
    <cellStyle name="Normal 3 2 2 2 2 3 2 3" xfId="2544" xr:uid="{00000000-0005-0000-0000-0000DF440000}"/>
    <cellStyle name="Normal 3 2 2 2 2 3 2 3 10" xfId="28098" xr:uid="{00000000-0005-0000-0000-0000E0440000}"/>
    <cellStyle name="Normal 3 2 2 2 2 3 2 3 10 2" xfId="28099" xr:uid="{00000000-0005-0000-0000-0000E1440000}"/>
    <cellStyle name="Normal 3 2 2 2 2 3 2 3 11" xfId="28100" xr:uid="{00000000-0005-0000-0000-0000E2440000}"/>
    <cellStyle name="Normal 3 2 2 2 2 3 2 3 11 2" xfId="28101" xr:uid="{00000000-0005-0000-0000-0000E3440000}"/>
    <cellStyle name="Normal 3 2 2 2 2 3 2 3 12" xfId="28102" xr:uid="{00000000-0005-0000-0000-0000E4440000}"/>
    <cellStyle name="Normal 3 2 2 2 2 3 2 3 13" xfId="28103" xr:uid="{00000000-0005-0000-0000-0000E5440000}"/>
    <cellStyle name="Normal 3 2 2 2 2 3 2 3 14" xfId="28097" xr:uid="{00000000-0005-0000-0000-0000E6440000}"/>
    <cellStyle name="Normal 3 2 2 2 2 3 2 3 2" xfId="2545" xr:uid="{00000000-0005-0000-0000-0000E7440000}"/>
    <cellStyle name="Normal 3 2 2 2 2 3 2 3 2 10" xfId="28105" xr:uid="{00000000-0005-0000-0000-0000E8440000}"/>
    <cellStyle name="Normal 3 2 2 2 2 3 2 3 2 11" xfId="28106" xr:uid="{00000000-0005-0000-0000-0000E9440000}"/>
    <cellStyle name="Normal 3 2 2 2 2 3 2 3 2 12" xfId="28104" xr:uid="{00000000-0005-0000-0000-0000EA440000}"/>
    <cellStyle name="Normal 3 2 2 2 2 3 2 3 2 2" xfId="28107" xr:uid="{00000000-0005-0000-0000-0000EB440000}"/>
    <cellStyle name="Normal 3 2 2 2 2 3 2 3 2 2 2" xfId="28108" xr:uid="{00000000-0005-0000-0000-0000EC440000}"/>
    <cellStyle name="Normal 3 2 2 2 2 3 2 3 2 2 2 2" xfId="28109" xr:uid="{00000000-0005-0000-0000-0000ED440000}"/>
    <cellStyle name="Normal 3 2 2 2 2 3 2 3 2 2 3" xfId="28110" xr:uid="{00000000-0005-0000-0000-0000EE440000}"/>
    <cellStyle name="Normal 3 2 2 2 2 3 2 3 2 2 3 2" xfId="28111" xr:uid="{00000000-0005-0000-0000-0000EF440000}"/>
    <cellStyle name="Normal 3 2 2 2 2 3 2 3 2 2 4" xfId="28112" xr:uid="{00000000-0005-0000-0000-0000F0440000}"/>
    <cellStyle name="Normal 3 2 2 2 2 3 2 3 2 2 4 2" xfId="28113" xr:uid="{00000000-0005-0000-0000-0000F1440000}"/>
    <cellStyle name="Normal 3 2 2 2 2 3 2 3 2 2 5" xfId="28114" xr:uid="{00000000-0005-0000-0000-0000F2440000}"/>
    <cellStyle name="Normal 3 2 2 2 2 3 2 3 2 2 6" xfId="28115" xr:uid="{00000000-0005-0000-0000-0000F3440000}"/>
    <cellStyle name="Normal 3 2 2 2 2 3 2 3 2 3" xfId="28116" xr:uid="{00000000-0005-0000-0000-0000F4440000}"/>
    <cellStyle name="Normal 3 2 2 2 2 3 2 3 2 3 2" xfId="28117" xr:uid="{00000000-0005-0000-0000-0000F5440000}"/>
    <cellStyle name="Normal 3 2 2 2 2 3 2 3 2 3 2 2" xfId="28118" xr:uid="{00000000-0005-0000-0000-0000F6440000}"/>
    <cellStyle name="Normal 3 2 2 2 2 3 2 3 2 3 3" xfId="28119" xr:uid="{00000000-0005-0000-0000-0000F7440000}"/>
    <cellStyle name="Normal 3 2 2 2 2 3 2 3 2 3 3 2" xfId="28120" xr:uid="{00000000-0005-0000-0000-0000F8440000}"/>
    <cellStyle name="Normal 3 2 2 2 2 3 2 3 2 3 4" xfId="28121" xr:uid="{00000000-0005-0000-0000-0000F9440000}"/>
    <cellStyle name="Normal 3 2 2 2 2 3 2 3 2 3 4 2" xfId="28122" xr:uid="{00000000-0005-0000-0000-0000FA440000}"/>
    <cellStyle name="Normal 3 2 2 2 2 3 2 3 2 3 5" xfId="28123" xr:uid="{00000000-0005-0000-0000-0000FB440000}"/>
    <cellStyle name="Normal 3 2 2 2 2 3 2 3 2 3 6" xfId="28124" xr:uid="{00000000-0005-0000-0000-0000FC440000}"/>
    <cellStyle name="Normal 3 2 2 2 2 3 2 3 2 4" xfId="28125" xr:uid="{00000000-0005-0000-0000-0000FD440000}"/>
    <cellStyle name="Normal 3 2 2 2 2 3 2 3 2 4 2" xfId="28126" xr:uid="{00000000-0005-0000-0000-0000FE440000}"/>
    <cellStyle name="Normal 3 2 2 2 2 3 2 3 2 4 2 2" xfId="28127" xr:uid="{00000000-0005-0000-0000-0000FF440000}"/>
    <cellStyle name="Normal 3 2 2 2 2 3 2 3 2 4 3" xfId="28128" xr:uid="{00000000-0005-0000-0000-000000450000}"/>
    <cellStyle name="Normal 3 2 2 2 2 3 2 3 2 4 3 2" xfId="28129" xr:uid="{00000000-0005-0000-0000-000001450000}"/>
    <cellStyle name="Normal 3 2 2 2 2 3 2 3 2 4 4" xfId="28130" xr:uid="{00000000-0005-0000-0000-000002450000}"/>
    <cellStyle name="Normal 3 2 2 2 2 3 2 3 2 4 4 2" xfId="28131" xr:uid="{00000000-0005-0000-0000-000003450000}"/>
    <cellStyle name="Normal 3 2 2 2 2 3 2 3 2 4 5" xfId="28132" xr:uid="{00000000-0005-0000-0000-000004450000}"/>
    <cellStyle name="Normal 3 2 2 2 2 3 2 3 2 4 6" xfId="28133" xr:uid="{00000000-0005-0000-0000-000005450000}"/>
    <cellStyle name="Normal 3 2 2 2 2 3 2 3 2 5" xfId="28134" xr:uid="{00000000-0005-0000-0000-000006450000}"/>
    <cellStyle name="Normal 3 2 2 2 2 3 2 3 2 5 2" xfId="28135" xr:uid="{00000000-0005-0000-0000-000007450000}"/>
    <cellStyle name="Normal 3 2 2 2 2 3 2 3 2 5 2 2" xfId="28136" xr:uid="{00000000-0005-0000-0000-000008450000}"/>
    <cellStyle name="Normal 3 2 2 2 2 3 2 3 2 5 3" xfId="28137" xr:uid="{00000000-0005-0000-0000-000009450000}"/>
    <cellStyle name="Normal 3 2 2 2 2 3 2 3 2 5 3 2" xfId="28138" xr:uid="{00000000-0005-0000-0000-00000A450000}"/>
    <cellStyle name="Normal 3 2 2 2 2 3 2 3 2 5 4" xfId="28139" xr:uid="{00000000-0005-0000-0000-00000B450000}"/>
    <cellStyle name="Normal 3 2 2 2 2 3 2 3 2 5 4 2" xfId="28140" xr:uid="{00000000-0005-0000-0000-00000C450000}"/>
    <cellStyle name="Normal 3 2 2 2 2 3 2 3 2 5 5" xfId="28141" xr:uid="{00000000-0005-0000-0000-00000D450000}"/>
    <cellStyle name="Normal 3 2 2 2 2 3 2 3 2 5 6" xfId="28142" xr:uid="{00000000-0005-0000-0000-00000E450000}"/>
    <cellStyle name="Normal 3 2 2 2 2 3 2 3 2 6" xfId="28143" xr:uid="{00000000-0005-0000-0000-00000F450000}"/>
    <cellStyle name="Normal 3 2 2 2 2 3 2 3 2 6 2" xfId="28144" xr:uid="{00000000-0005-0000-0000-000010450000}"/>
    <cellStyle name="Normal 3 2 2 2 2 3 2 3 2 6 2 2" xfId="28145" xr:uid="{00000000-0005-0000-0000-000011450000}"/>
    <cellStyle name="Normal 3 2 2 2 2 3 2 3 2 6 3" xfId="28146" xr:uid="{00000000-0005-0000-0000-000012450000}"/>
    <cellStyle name="Normal 3 2 2 2 2 3 2 3 2 6 3 2" xfId="28147" xr:uid="{00000000-0005-0000-0000-000013450000}"/>
    <cellStyle name="Normal 3 2 2 2 2 3 2 3 2 6 4" xfId="28148" xr:uid="{00000000-0005-0000-0000-000014450000}"/>
    <cellStyle name="Normal 3 2 2 2 2 3 2 3 2 6 5" xfId="28149" xr:uid="{00000000-0005-0000-0000-000015450000}"/>
    <cellStyle name="Normal 3 2 2 2 2 3 2 3 2 7" xfId="28150" xr:uid="{00000000-0005-0000-0000-000016450000}"/>
    <cellStyle name="Normal 3 2 2 2 2 3 2 3 2 7 2" xfId="28151" xr:uid="{00000000-0005-0000-0000-000017450000}"/>
    <cellStyle name="Normal 3 2 2 2 2 3 2 3 2 8" xfId="28152" xr:uid="{00000000-0005-0000-0000-000018450000}"/>
    <cellStyle name="Normal 3 2 2 2 2 3 2 3 2 8 2" xfId="28153" xr:uid="{00000000-0005-0000-0000-000019450000}"/>
    <cellStyle name="Normal 3 2 2 2 2 3 2 3 2 9" xfId="28154" xr:uid="{00000000-0005-0000-0000-00001A450000}"/>
    <cellStyle name="Normal 3 2 2 2 2 3 2 3 2 9 2" xfId="28155" xr:uid="{00000000-0005-0000-0000-00001B450000}"/>
    <cellStyle name="Normal 3 2 2 2 2 3 2 3 3" xfId="28156" xr:uid="{00000000-0005-0000-0000-00001C450000}"/>
    <cellStyle name="Normal 3 2 2 2 2 3 2 3 3 10" xfId="28157" xr:uid="{00000000-0005-0000-0000-00001D450000}"/>
    <cellStyle name="Normal 3 2 2 2 2 3 2 3 3 2" xfId="28158" xr:uid="{00000000-0005-0000-0000-00001E450000}"/>
    <cellStyle name="Normal 3 2 2 2 2 3 2 3 3 2 2" xfId="28159" xr:uid="{00000000-0005-0000-0000-00001F450000}"/>
    <cellStyle name="Normal 3 2 2 2 2 3 2 3 3 2 2 2" xfId="28160" xr:uid="{00000000-0005-0000-0000-000020450000}"/>
    <cellStyle name="Normal 3 2 2 2 2 3 2 3 3 2 3" xfId="28161" xr:uid="{00000000-0005-0000-0000-000021450000}"/>
    <cellStyle name="Normal 3 2 2 2 2 3 2 3 3 2 3 2" xfId="28162" xr:uid="{00000000-0005-0000-0000-000022450000}"/>
    <cellStyle name="Normal 3 2 2 2 2 3 2 3 3 2 4" xfId="28163" xr:uid="{00000000-0005-0000-0000-000023450000}"/>
    <cellStyle name="Normal 3 2 2 2 2 3 2 3 3 2 4 2" xfId="28164" xr:uid="{00000000-0005-0000-0000-000024450000}"/>
    <cellStyle name="Normal 3 2 2 2 2 3 2 3 3 2 5" xfId="28165" xr:uid="{00000000-0005-0000-0000-000025450000}"/>
    <cellStyle name="Normal 3 2 2 2 2 3 2 3 3 2 6" xfId="28166" xr:uid="{00000000-0005-0000-0000-000026450000}"/>
    <cellStyle name="Normal 3 2 2 2 2 3 2 3 3 3" xfId="28167" xr:uid="{00000000-0005-0000-0000-000027450000}"/>
    <cellStyle name="Normal 3 2 2 2 2 3 2 3 3 3 2" xfId="28168" xr:uid="{00000000-0005-0000-0000-000028450000}"/>
    <cellStyle name="Normal 3 2 2 2 2 3 2 3 3 3 2 2" xfId="28169" xr:uid="{00000000-0005-0000-0000-000029450000}"/>
    <cellStyle name="Normal 3 2 2 2 2 3 2 3 3 3 3" xfId="28170" xr:uid="{00000000-0005-0000-0000-00002A450000}"/>
    <cellStyle name="Normal 3 2 2 2 2 3 2 3 3 3 3 2" xfId="28171" xr:uid="{00000000-0005-0000-0000-00002B450000}"/>
    <cellStyle name="Normal 3 2 2 2 2 3 2 3 3 3 4" xfId="28172" xr:uid="{00000000-0005-0000-0000-00002C450000}"/>
    <cellStyle name="Normal 3 2 2 2 2 3 2 3 3 3 4 2" xfId="28173" xr:uid="{00000000-0005-0000-0000-00002D450000}"/>
    <cellStyle name="Normal 3 2 2 2 2 3 2 3 3 3 5" xfId="28174" xr:uid="{00000000-0005-0000-0000-00002E450000}"/>
    <cellStyle name="Normal 3 2 2 2 2 3 2 3 3 3 6" xfId="28175" xr:uid="{00000000-0005-0000-0000-00002F450000}"/>
    <cellStyle name="Normal 3 2 2 2 2 3 2 3 3 4" xfId="28176" xr:uid="{00000000-0005-0000-0000-000030450000}"/>
    <cellStyle name="Normal 3 2 2 2 2 3 2 3 3 4 2" xfId="28177" xr:uid="{00000000-0005-0000-0000-000031450000}"/>
    <cellStyle name="Normal 3 2 2 2 2 3 2 3 3 4 2 2" xfId="28178" xr:uid="{00000000-0005-0000-0000-000032450000}"/>
    <cellStyle name="Normal 3 2 2 2 2 3 2 3 3 4 3" xfId="28179" xr:uid="{00000000-0005-0000-0000-000033450000}"/>
    <cellStyle name="Normal 3 2 2 2 2 3 2 3 3 4 3 2" xfId="28180" xr:uid="{00000000-0005-0000-0000-000034450000}"/>
    <cellStyle name="Normal 3 2 2 2 2 3 2 3 3 4 4" xfId="28181" xr:uid="{00000000-0005-0000-0000-000035450000}"/>
    <cellStyle name="Normal 3 2 2 2 2 3 2 3 3 4 4 2" xfId="28182" xr:uid="{00000000-0005-0000-0000-000036450000}"/>
    <cellStyle name="Normal 3 2 2 2 2 3 2 3 3 4 5" xfId="28183" xr:uid="{00000000-0005-0000-0000-000037450000}"/>
    <cellStyle name="Normal 3 2 2 2 2 3 2 3 3 4 6" xfId="28184" xr:uid="{00000000-0005-0000-0000-000038450000}"/>
    <cellStyle name="Normal 3 2 2 2 2 3 2 3 3 5" xfId="28185" xr:uid="{00000000-0005-0000-0000-000039450000}"/>
    <cellStyle name="Normal 3 2 2 2 2 3 2 3 3 5 2" xfId="28186" xr:uid="{00000000-0005-0000-0000-00003A450000}"/>
    <cellStyle name="Normal 3 2 2 2 2 3 2 3 3 5 2 2" xfId="28187" xr:uid="{00000000-0005-0000-0000-00003B450000}"/>
    <cellStyle name="Normal 3 2 2 2 2 3 2 3 3 5 3" xfId="28188" xr:uid="{00000000-0005-0000-0000-00003C450000}"/>
    <cellStyle name="Normal 3 2 2 2 2 3 2 3 3 5 3 2" xfId="28189" xr:uid="{00000000-0005-0000-0000-00003D450000}"/>
    <cellStyle name="Normal 3 2 2 2 2 3 2 3 3 5 4" xfId="28190" xr:uid="{00000000-0005-0000-0000-00003E450000}"/>
    <cellStyle name="Normal 3 2 2 2 2 3 2 3 3 5 5" xfId="28191" xr:uid="{00000000-0005-0000-0000-00003F450000}"/>
    <cellStyle name="Normal 3 2 2 2 2 3 2 3 3 6" xfId="28192" xr:uid="{00000000-0005-0000-0000-000040450000}"/>
    <cellStyle name="Normal 3 2 2 2 2 3 2 3 3 6 2" xfId="28193" xr:uid="{00000000-0005-0000-0000-000041450000}"/>
    <cellStyle name="Normal 3 2 2 2 2 3 2 3 3 7" xfId="28194" xr:uid="{00000000-0005-0000-0000-000042450000}"/>
    <cellStyle name="Normal 3 2 2 2 2 3 2 3 3 7 2" xfId="28195" xr:uid="{00000000-0005-0000-0000-000043450000}"/>
    <cellStyle name="Normal 3 2 2 2 2 3 2 3 3 8" xfId="28196" xr:uid="{00000000-0005-0000-0000-000044450000}"/>
    <cellStyle name="Normal 3 2 2 2 2 3 2 3 3 8 2" xfId="28197" xr:uid="{00000000-0005-0000-0000-000045450000}"/>
    <cellStyle name="Normal 3 2 2 2 2 3 2 3 3 9" xfId="28198" xr:uid="{00000000-0005-0000-0000-000046450000}"/>
    <cellStyle name="Normal 3 2 2 2 2 3 2 3 4" xfId="28199" xr:uid="{00000000-0005-0000-0000-000047450000}"/>
    <cellStyle name="Normal 3 2 2 2 2 3 2 3 4 10" xfId="28200" xr:uid="{00000000-0005-0000-0000-000048450000}"/>
    <cellStyle name="Normal 3 2 2 2 2 3 2 3 4 2" xfId="28201" xr:uid="{00000000-0005-0000-0000-000049450000}"/>
    <cellStyle name="Normal 3 2 2 2 2 3 2 3 4 2 2" xfId="28202" xr:uid="{00000000-0005-0000-0000-00004A450000}"/>
    <cellStyle name="Normal 3 2 2 2 2 3 2 3 4 2 2 2" xfId="28203" xr:uid="{00000000-0005-0000-0000-00004B450000}"/>
    <cellStyle name="Normal 3 2 2 2 2 3 2 3 4 2 3" xfId="28204" xr:uid="{00000000-0005-0000-0000-00004C450000}"/>
    <cellStyle name="Normal 3 2 2 2 2 3 2 3 4 2 3 2" xfId="28205" xr:uid="{00000000-0005-0000-0000-00004D450000}"/>
    <cellStyle name="Normal 3 2 2 2 2 3 2 3 4 2 4" xfId="28206" xr:uid="{00000000-0005-0000-0000-00004E450000}"/>
    <cellStyle name="Normal 3 2 2 2 2 3 2 3 4 2 4 2" xfId="28207" xr:uid="{00000000-0005-0000-0000-00004F450000}"/>
    <cellStyle name="Normal 3 2 2 2 2 3 2 3 4 2 5" xfId="28208" xr:uid="{00000000-0005-0000-0000-000050450000}"/>
    <cellStyle name="Normal 3 2 2 2 2 3 2 3 4 2 6" xfId="28209" xr:uid="{00000000-0005-0000-0000-000051450000}"/>
    <cellStyle name="Normal 3 2 2 2 2 3 2 3 4 3" xfId="28210" xr:uid="{00000000-0005-0000-0000-000052450000}"/>
    <cellStyle name="Normal 3 2 2 2 2 3 2 3 4 3 2" xfId="28211" xr:uid="{00000000-0005-0000-0000-000053450000}"/>
    <cellStyle name="Normal 3 2 2 2 2 3 2 3 4 3 2 2" xfId="28212" xr:uid="{00000000-0005-0000-0000-000054450000}"/>
    <cellStyle name="Normal 3 2 2 2 2 3 2 3 4 3 3" xfId="28213" xr:uid="{00000000-0005-0000-0000-000055450000}"/>
    <cellStyle name="Normal 3 2 2 2 2 3 2 3 4 3 3 2" xfId="28214" xr:uid="{00000000-0005-0000-0000-000056450000}"/>
    <cellStyle name="Normal 3 2 2 2 2 3 2 3 4 3 4" xfId="28215" xr:uid="{00000000-0005-0000-0000-000057450000}"/>
    <cellStyle name="Normal 3 2 2 2 2 3 2 3 4 3 4 2" xfId="28216" xr:uid="{00000000-0005-0000-0000-000058450000}"/>
    <cellStyle name="Normal 3 2 2 2 2 3 2 3 4 3 5" xfId="28217" xr:uid="{00000000-0005-0000-0000-000059450000}"/>
    <cellStyle name="Normal 3 2 2 2 2 3 2 3 4 3 6" xfId="28218" xr:uid="{00000000-0005-0000-0000-00005A450000}"/>
    <cellStyle name="Normal 3 2 2 2 2 3 2 3 4 4" xfId="28219" xr:uid="{00000000-0005-0000-0000-00005B450000}"/>
    <cellStyle name="Normal 3 2 2 2 2 3 2 3 4 4 2" xfId="28220" xr:uid="{00000000-0005-0000-0000-00005C450000}"/>
    <cellStyle name="Normal 3 2 2 2 2 3 2 3 4 4 2 2" xfId="28221" xr:uid="{00000000-0005-0000-0000-00005D450000}"/>
    <cellStyle name="Normal 3 2 2 2 2 3 2 3 4 4 3" xfId="28222" xr:uid="{00000000-0005-0000-0000-00005E450000}"/>
    <cellStyle name="Normal 3 2 2 2 2 3 2 3 4 4 3 2" xfId="28223" xr:uid="{00000000-0005-0000-0000-00005F450000}"/>
    <cellStyle name="Normal 3 2 2 2 2 3 2 3 4 4 4" xfId="28224" xr:uid="{00000000-0005-0000-0000-000060450000}"/>
    <cellStyle name="Normal 3 2 2 2 2 3 2 3 4 4 4 2" xfId="28225" xr:uid="{00000000-0005-0000-0000-000061450000}"/>
    <cellStyle name="Normal 3 2 2 2 2 3 2 3 4 4 5" xfId="28226" xr:uid="{00000000-0005-0000-0000-000062450000}"/>
    <cellStyle name="Normal 3 2 2 2 2 3 2 3 4 4 6" xfId="28227" xr:uid="{00000000-0005-0000-0000-000063450000}"/>
    <cellStyle name="Normal 3 2 2 2 2 3 2 3 4 5" xfId="28228" xr:uid="{00000000-0005-0000-0000-000064450000}"/>
    <cellStyle name="Normal 3 2 2 2 2 3 2 3 4 5 2" xfId="28229" xr:uid="{00000000-0005-0000-0000-000065450000}"/>
    <cellStyle name="Normal 3 2 2 2 2 3 2 3 4 5 2 2" xfId="28230" xr:uid="{00000000-0005-0000-0000-000066450000}"/>
    <cellStyle name="Normal 3 2 2 2 2 3 2 3 4 5 3" xfId="28231" xr:uid="{00000000-0005-0000-0000-000067450000}"/>
    <cellStyle name="Normal 3 2 2 2 2 3 2 3 4 5 3 2" xfId="28232" xr:uid="{00000000-0005-0000-0000-000068450000}"/>
    <cellStyle name="Normal 3 2 2 2 2 3 2 3 4 5 4" xfId="28233" xr:uid="{00000000-0005-0000-0000-000069450000}"/>
    <cellStyle name="Normal 3 2 2 2 2 3 2 3 4 5 5" xfId="28234" xr:uid="{00000000-0005-0000-0000-00006A450000}"/>
    <cellStyle name="Normal 3 2 2 2 2 3 2 3 4 6" xfId="28235" xr:uid="{00000000-0005-0000-0000-00006B450000}"/>
    <cellStyle name="Normal 3 2 2 2 2 3 2 3 4 6 2" xfId="28236" xr:uid="{00000000-0005-0000-0000-00006C450000}"/>
    <cellStyle name="Normal 3 2 2 2 2 3 2 3 4 7" xfId="28237" xr:uid="{00000000-0005-0000-0000-00006D450000}"/>
    <cellStyle name="Normal 3 2 2 2 2 3 2 3 4 7 2" xfId="28238" xr:uid="{00000000-0005-0000-0000-00006E450000}"/>
    <cellStyle name="Normal 3 2 2 2 2 3 2 3 4 8" xfId="28239" xr:uid="{00000000-0005-0000-0000-00006F450000}"/>
    <cellStyle name="Normal 3 2 2 2 2 3 2 3 4 8 2" xfId="28240" xr:uid="{00000000-0005-0000-0000-000070450000}"/>
    <cellStyle name="Normal 3 2 2 2 2 3 2 3 4 9" xfId="28241" xr:uid="{00000000-0005-0000-0000-000071450000}"/>
    <cellStyle name="Normal 3 2 2 2 2 3 2 3 5" xfId="28242" xr:uid="{00000000-0005-0000-0000-000072450000}"/>
    <cellStyle name="Normal 3 2 2 2 2 3 2 3 5 2" xfId="28243" xr:uid="{00000000-0005-0000-0000-000073450000}"/>
    <cellStyle name="Normal 3 2 2 2 2 3 2 3 5 2 2" xfId="28244" xr:uid="{00000000-0005-0000-0000-000074450000}"/>
    <cellStyle name="Normal 3 2 2 2 2 3 2 3 5 3" xfId="28245" xr:uid="{00000000-0005-0000-0000-000075450000}"/>
    <cellStyle name="Normal 3 2 2 2 2 3 2 3 5 3 2" xfId="28246" xr:uid="{00000000-0005-0000-0000-000076450000}"/>
    <cellStyle name="Normal 3 2 2 2 2 3 2 3 5 4" xfId="28247" xr:uid="{00000000-0005-0000-0000-000077450000}"/>
    <cellStyle name="Normal 3 2 2 2 2 3 2 3 5 4 2" xfId="28248" xr:uid="{00000000-0005-0000-0000-000078450000}"/>
    <cellStyle name="Normal 3 2 2 2 2 3 2 3 5 5" xfId="28249" xr:uid="{00000000-0005-0000-0000-000079450000}"/>
    <cellStyle name="Normal 3 2 2 2 2 3 2 3 5 6" xfId="28250" xr:uid="{00000000-0005-0000-0000-00007A450000}"/>
    <cellStyle name="Normal 3 2 2 2 2 3 2 3 6" xfId="28251" xr:uid="{00000000-0005-0000-0000-00007B450000}"/>
    <cellStyle name="Normal 3 2 2 2 2 3 2 3 6 2" xfId="28252" xr:uid="{00000000-0005-0000-0000-00007C450000}"/>
    <cellStyle name="Normal 3 2 2 2 2 3 2 3 6 2 2" xfId="28253" xr:uid="{00000000-0005-0000-0000-00007D450000}"/>
    <cellStyle name="Normal 3 2 2 2 2 3 2 3 6 3" xfId="28254" xr:uid="{00000000-0005-0000-0000-00007E450000}"/>
    <cellStyle name="Normal 3 2 2 2 2 3 2 3 6 3 2" xfId="28255" xr:uid="{00000000-0005-0000-0000-00007F450000}"/>
    <cellStyle name="Normal 3 2 2 2 2 3 2 3 6 4" xfId="28256" xr:uid="{00000000-0005-0000-0000-000080450000}"/>
    <cellStyle name="Normal 3 2 2 2 2 3 2 3 6 4 2" xfId="28257" xr:uid="{00000000-0005-0000-0000-000081450000}"/>
    <cellStyle name="Normal 3 2 2 2 2 3 2 3 6 5" xfId="28258" xr:uid="{00000000-0005-0000-0000-000082450000}"/>
    <cellStyle name="Normal 3 2 2 2 2 3 2 3 6 6" xfId="28259" xr:uid="{00000000-0005-0000-0000-000083450000}"/>
    <cellStyle name="Normal 3 2 2 2 2 3 2 3 7" xfId="28260" xr:uid="{00000000-0005-0000-0000-000084450000}"/>
    <cellStyle name="Normal 3 2 2 2 2 3 2 3 7 2" xfId="28261" xr:uid="{00000000-0005-0000-0000-000085450000}"/>
    <cellStyle name="Normal 3 2 2 2 2 3 2 3 7 2 2" xfId="28262" xr:uid="{00000000-0005-0000-0000-000086450000}"/>
    <cellStyle name="Normal 3 2 2 2 2 3 2 3 7 3" xfId="28263" xr:uid="{00000000-0005-0000-0000-000087450000}"/>
    <cellStyle name="Normal 3 2 2 2 2 3 2 3 7 3 2" xfId="28264" xr:uid="{00000000-0005-0000-0000-000088450000}"/>
    <cellStyle name="Normal 3 2 2 2 2 3 2 3 7 4" xfId="28265" xr:uid="{00000000-0005-0000-0000-000089450000}"/>
    <cellStyle name="Normal 3 2 2 2 2 3 2 3 7 4 2" xfId="28266" xr:uid="{00000000-0005-0000-0000-00008A450000}"/>
    <cellStyle name="Normal 3 2 2 2 2 3 2 3 7 5" xfId="28267" xr:uid="{00000000-0005-0000-0000-00008B450000}"/>
    <cellStyle name="Normal 3 2 2 2 2 3 2 3 7 6" xfId="28268" xr:uid="{00000000-0005-0000-0000-00008C450000}"/>
    <cellStyle name="Normal 3 2 2 2 2 3 2 3 8" xfId="28269" xr:uid="{00000000-0005-0000-0000-00008D450000}"/>
    <cellStyle name="Normal 3 2 2 2 2 3 2 3 8 2" xfId="28270" xr:uid="{00000000-0005-0000-0000-00008E450000}"/>
    <cellStyle name="Normal 3 2 2 2 2 3 2 3 8 2 2" xfId="28271" xr:uid="{00000000-0005-0000-0000-00008F450000}"/>
    <cellStyle name="Normal 3 2 2 2 2 3 2 3 8 3" xfId="28272" xr:uid="{00000000-0005-0000-0000-000090450000}"/>
    <cellStyle name="Normal 3 2 2 2 2 3 2 3 8 3 2" xfId="28273" xr:uid="{00000000-0005-0000-0000-000091450000}"/>
    <cellStyle name="Normal 3 2 2 2 2 3 2 3 8 4" xfId="28274" xr:uid="{00000000-0005-0000-0000-000092450000}"/>
    <cellStyle name="Normal 3 2 2 2 2 3 2 3 8 5" xfId="28275" xr:uid="{00000000-0005-0000-0000-000093450000}"/>
    <cellStyle name="Normal 3 2 2 2 2 3 2 3 9" xfId="28276" xr:uid="{00000000-0005-0000-0000-000094450000}"/>
    <cellStyle name="Normal 3 2 2 2 2 3 2 3 9 2" xfId="28277" xr:uid="{00000000-0005-0000-0000-000095450000}"/>
    <cellStyle name="Normal 3 2 2 2 2 3 2 4" xfId="2546" xr:uid="{00000000-0005-0000-0000-000096450000}"/>
    <cellStyle name="Normal 3 2 2 2 2 3 2 4 10" xfId="28279" xr:uid="{00000000-0005-0000-0000-000097450000}"/>
    <cellStyle name="Normal 3 2 2 2 2 3 2 4 10 2" xfId="28280" xr:uid="{00000000-0005-0000-0000-000098450000}"/>
    <cellStyle name="Normal 3 2 2 2 2 3 2 4 11" xfId="28281" xr:uid="{00000000-0005-0000-0000-000099450000}"/>
    <cellStyle name="Normal 3 2 2 2 2 3 2 4 12" xfId="28282" xr:uid="{00000000-0005-0000-0000-00009A450000}"/>
    <cellStyle name="Normal 3 2 2 2 2 3 2 4 13" xfId="28278" xr:uid="{00000000-0005-0000-0000-00009B450000}"/>
    <cellStyle name="Normal 3 2 2 2 2 3 2 4 2" xfId="2547" xr:uid="{00000000-0005-0000-0000-00009C450000}"/>
    <cellStyle name="Normal 3 2 2 2 2 3 2 4 2 10" xfId="28284" xr:uid="{00000000-0005-0000-0000-00009D450000}"/>
    <cellStyle name="Normal 3 2 2 2 2 3 2 4 2 11" xfId="28283" xr:uid="{00000000-0005-0000-0000-00009E450000}"/>
    <cellStyle name="Normal 3 2 2 2 2 3 2 4 2 2" xfId="28285" xr:uid="{00000000-0005-0000-0000-00009F450000}"/>
    <cellStyle name="Normal 3 2 2 2 2 3 2 4 2 2 2" xfId="28286" xr:uid="{00000000-0005-0000-0000-0000A0450000}"/>
    <cellStyle name="Normal 3 2 2 2 2 3 2 4 2 2 2 2" xfId="28287" xr:uid="{00000000-0005-0000-0000-0000A1450000}"/>
    <cellStyle name="Normal 3 2 2 2 2 3 2 4 2 2 3" xfId="28288" xr:uid="{00000000-0005-0000-0000-0000A2450000}"/>
    <cellStyle name="Normal 3 2 2 2 2 3 2 4 2 2 3 2" xfId="28289" xr:uid="{00000000-0005-0000-0000-0000A3450000}"/>
    <cellStyle name="Normal 3 2 2 2 2 3 2 4 2 2 4" xfId="28290" xr:uid="{00000000-0005-0000-0000-0000A4450000}"/>
    <cellStyle name="Normal 3 2 2 2 2 3 2 4 2 2 4 2" xfId="28291" xr:uid="{00000000-0005-0000-0000-0000A5450000}"/>
    <cellStyle name="Normal 3 2 2 2 2 3 2 4 2 2 5" xfId="28292" xr:uid="{00000000-0005-0000-0000-0000A6450000}"/>
    <cellStyle name="Normal 3 2 2 2 2 3 2 4 2 2 6" xfId="28293" xr:uid="{00000000-0005-0000-0000-0000A7450000}"/>
    <cellStyle name="Normal 3 2 2 2 2 3 2 4 2 3" xfId="28294" xr:uid="{00000000-0005-0000-0000-0000A8450000}"/>
    <cellStyle name="Normal 3 2 2 2 2 3 2 4 2 3 2" xfId="28295" xr:uid="{00000000-0005-0000-0000-0000A9450000}"/>
    <cellStyle name="Normal 3 2 2 2 2 3 2 4 2 3 2 2" xfId="28296" xr:uid="{00000000-0005-0000-0000-0000AA450000}"/>
    <cellStyle name="Normal 3 2 2 2 2 3 2 4 2 3 3" xfId="28297" xr:uid="{00000000-0005-0000-0000-0000AB450000}"/>
    <cellStyle name="Normal 3 2 2 2 2 3 2 4 2 3 3 2" xfId="28298" xr:uid="{00000000-0005-0000-0000-0000AC450000}"/>
    <cellStyle name="Normal 3 2 2 2 2 3 2 4 2 3 4" xfId="28299" xr:uid="{00000000-0005-0000-0000-0000AD450000}"/>
    <cellStyle name="Normal 3 2 2 2 2 3 2 4 2 3 4 2" xfId="28300" xr:uid="{00000000-0005-0000-0000-0000AE450000}"/>
    <cellStyle name="Normal 3 2 2 2 2 3 2 4 2 3 5" xfId="28301" xr:uid="{00000000-0005-0000-0000-0000AF450000}"/>
    <cellStyle name="Normal 3 2 2 2 2 3 2 4 2 3 6" xfId="28302" xr:uid="{00000000-0005-0000-0000-0000B0450000}"/>
    <cellStyle name="Normal 3 2 2 2 2 3 2 4 2 4" xfId="28303" xr:uid="{00000000-0005-0000-0000-0000B1450000}"/>
    <cellStyle name="Normal 3 2 2 2 2 3 2 4 2 4 2" xfId="28304" xr:uid="{00000000-0005-0000-0000-0000B2450000}"/>
    <cellStyle name="Normal 3 2 2 2 2 3 2 4 2 4 2 2" xfId="28305" xr:uid="{00000000-0005-0000-0000-0000B3450000}"/>
    <cellStyle name="Normal 3 2 2 2 2 3 2 4 2 4 3" xfId="28306" xr:uid="{00000000-0005-0000-0000-0000B4450000}"/>
    <cellStyle name="Normal 3 2 2 2 2 3 2 4 2 4 3 2" xfId="28307" xr:uid="{00000000-0005-0000-0000-0000B5450000}"/>
    <cellStyle name="Normal 3 2 2 2 2 3 2 4 2 4 4" xfId="28308" xr:uid="{00000000-0005-0000-0000-0000B6450000}"/>
    <cellStyle name="Normal 3 2 2 2 2 3 2 4 2 4 4 2" xfId="28309" xr:uid="{00000000-0005-0000-0000-0000B7450000}"/>
    <cellStyle name="Normal 3 2 2 2 2 3 2 4 2 4 5" xfId="28310" xr:uid="{00000000-0005-0000-0000-0000B8450000}"/>
    <cellStyle name="Normal 3 2 2 2 2 3 2 4 2 4 6" xfId="28311" xr:uid="{00000000-0005-0000-0000-0000B9450000}"/>
    <cellStyle name="Normal 3 2 2 2 2 3 2 4 2 5" xfId="28312" xr:uid="{00000000-0005-0000-0000-0000BA450000}"/>
    <cellStyle name="Normal 3 2 2 2 2 3 2 4 2 5 2" xfId="28313" xr:uid="{00000000-0005-0000-0000-0000BB450000}"/>
    <cellStyle name="Normal 3 2 2 2 2 3 2 4 2 5 2 2" xfId="28314" xr:uid="{00000000-0005-0000-0000-0000BC450000}"/>
    <cellStyle name="Normal 3 2 2 2 2 3 2 4 2 5 3" xfId="28315" xr:uid="{00000000-0005-0000-0000-0000BD450000}"/>
    <cellStyle name="Normal 3 2 2 2 2 3 2 4 2 5 3 2" xfId="28316" xr:uid="{00000000-0005-0000-0000-0000BE450000}"/>
    <cellStyle name="Normal 3 2 2 2 2 3 2 4 2 5 4" xfId="28317" xr:uid="{00000000-0005-0000-0000-0000BF450000}"/>
    <cellStyle name="Normal 3 2 2 2 2 3 2 4 2 5 5" xfId="28318" xr:uid="{00000000-0005-0000-0000-0000C0450000}"/>
    <cellStyle name="Normal 3 2 2 2 2 3 2 4 2 6" xfId="28319" xr:uid="{00000000-0005-0000-0000-0000C1450000}"/>
    <cellStyle name="Normal 3 2 2 2 2 3 2 4 2 6 2" xfId="28320" xr:uid="{00000000-0005-0000-0000-0000C2450000}"/>
    <cellStyle name="Normal 3 2 2 2 2 3 2 4 2 7" xfId="28321" xr:uid="{00000000-0005-0000-0000-0000C3450000}"/>
    <cellStyle name="Normal 3 2 2 2 2 3 2 4 2 7 2" xfId="28322" xr:uid="{00000000-0005-0000-0000-0000C4450000}"/>
    <cellStyle name="Normal 3 2 2 2 2 3 2 4 2 8" xfId="28323" xr:uid="{00000000-0005-0000-0000-0000C5450000}"/>
    <cellStyle name="Normal 3 2 2 2 2 3 2 4 2 8 2" xfId="28324" xr:uid="{00000000-0005-0000-0000-0000C6450000}"/>
    <cellStyle name="Normal 3 2 2 2 2 3 2 4 2 9" xfId="28325" xr:uid="{00000000-0005-0000-0000-0000C7450000}"/>
    <cellStyle name="Normal 3 2 2 2 2 3 2 4 3" xfId="28326" xr:uid="{00000000-0005-0000-0000-0000C8450000}"/>
    <cellStyle name="Normal 3 2 2 2 2 3 2 4 3 10" xfId="28327" xr:uid="{00000000-0005-0000-0000-0000C9450000}"/>
    <cellStyle name="Normal 3 2 2 2 2 3 2 4 3 2" xfId="28328" xr:uid="{00000000-0005-0000-0000-0000CA450000}"/>
    <cellStyle name="Normal 3 2 2 2 2 3 2 4 3 2 2" xfId="28329" xr:uid="{00000000-0005-0000-0000-0000CB450000}"/>
    <cellStyle name="Normal 3 2 2 2 2 3 2 4 3 2 2 2" xfId="28330" xr:uid="{00000000-0005-0000-0000-0000CC450000}"/>
    <cellStyle name="Normal 3 2 2 2 2 3 2 4 3 2 3" xfId="28331" xr:uid="{00000000-0005-0000-0000-0000CD450000}"/>
    <cellStyle name="Normal 3 2 2 2 2 3 2 4 3 2 3 2" xfId="28332" xr:uid="{00000000-0005-0000-0000-0000CE450000}"/>
    <cellStyle name="Normal 3 2 2 2 2 3 2 4 3 2 4" xfId="28333" xr:uid="{00000000-0005-0000-0000-0000CF450000}"/>
    <cellStyle name="Normal 3 2 2 2 2 3 2 4 3 2 4 2" xfId="28334" xr:uid="{00000000-0005-0000-0000-0000D0450000}"/>
    <cellStyle name="Normal 3 2 2 2 2 3 2 4 3 2 5" xfId="28335" xr:uid="{00000000-0005-0000-0000-0000D1450000}"/>
    <cellStyle name="Normal 3 2 2 2 2 3 2 4 3 2 6" xfId="28336" xr:uid="{00000000-0005-0000-0000-0000D2450000}"/>
    <cellStyle name="Normal 3 2 2 2 2 3 2 4 3 3" xfId="28337" xr:uid="{00000000-0005-0000-0000-0000D3450000}"/>
    <cellStyle name="Normal 3 2 2 2 2 3 2 4 3 3 2" xfId="28338" xr:uid="{00000000-0005-0000-0000-0000D4450000}"/>
    <cellStyle name="Normal 3 2 2 2 2 3 2 4 3 3 2 2" xfId="28339" xr:uid="{00000000-0005-0000-0000-0000D5450000}"/>
    <cellStyle name="Normal 3 2 2 2 2 3 2 4 3 3 3" xfId="28340" xr:uid="{00000000-0005-0000-0000-0000D6450000}"/>
    <cellStyle name="Normal 3 2 2 2 2 3 2 4 3 3 3 2" xfId="28341" xr:uid="{00000000-0005-0000-0000-0000D7450000}"/>
    <cellStyle name="Normal 3 2 2 2 2 3 2 4 3 3 4" xfId="28342" xr:uid="{00000000-0005-0000-0000-0000D8450000}"/>
    <cellStyle name="Normal 3 2 2 2 2 3 2 4 3 3 4 2" xfId="28343" xr:uid="{00000000-0005-0000-0000-0000D9450000}"/>
    <cellStyle name="Normal 3 2 2 2 2 3 2 4 3 3 5" xfId="28344" xr:uid="{00000000-0005-0000-0000-0000DA450000}"/>
    <cellStyle name="Normal 3 2 2 2 2 3 2 4 3 3 6" xfId="28345" xr:uid="{00000000-0005-0000-0000-0000DB450000}"/>
    <cellStyle name="Normal 3 2 2 2 2 3 2 4 3 4" xfId="28346" xr:uid="{00000000-0005-0000-0000-0000DC450000}"/>
    <cellStyle name="Normal 3 2 2 2 2 3 2 4 3 4 2" xfId="28347" xr:uid="{00000000-0005-0000-0000-0000DD450000}"/>
    <cellStyle name="Normal 3 2 2 2 2 3 2 4 3 4 2 2" xfId="28348" xr:uid="{00000000-0005-0000-0000-0000DE450000}"/>
    <cellStyle name="Normal 3 2 2 2 2 3 2 4 3 4 3" xfId="28349" xr:uid="{00000000-0005-0000-0000-0000DF450000}"/>
    <cellStyle name="Normal 3 2 2 2 2 3 2 4 3 4 3 2" xfId="28350" xr:uid="{00000000-0005-0000-0000-0000E0450000}"/>
    <cellStyle name="Normal 3 2 2 2 2 3 2 4 3 4 4" xfId="28351" xr:uid="{00000000-0005-0000-0000-0000E1450000}"/>
    <cellStyle name="Normal 3 2 2 2 2 3 2 4 3 4 4 2" xfId="28352" xr:uid="{00000000-0005-0000-0000-0000E2450000}"/>
    <cellStyle name="Normal 3 2 2 2 2 3 2 4 3 4 5" xfId="28353" xr:uid="{00000000-0005-0000-0000-0000E3450000}"/>
    <cellStyle name="Normal 3 2 2 2 2 3 2 4 3 4 6" xfId="28354" xr:uid="{00000000-0005-0000-0000-0000E4450000}"/>
    <cellStyle name="Normal 3 2 2 2 2 3 2 4 3 5" xfId="28355" xr:uid="{00000000-0005-0000-0000-0000E5450000}"/>
    <cellStyle name="Normal 3 2 2 2 2 3 2 4 3 5 2" xfId="28356" xr:uid="{00000000-0005-0000-0000-0000E6450000}"/>
    <cellStyle name="Normal 3 2 2 2 2 3 2 4 3 5 2 2" xfId="28357" xr:uid="{00000000-0005-0000-0000-0000E7450000}"/>
    <cellStyle name="Normal 3 2 2 2 2 3 2 4 3 5 3" xfId="28358" xr:uid="{00000000-0005-0000-0000-0000E8450000}"/>
    <cellStyle name="Normal 3 2 2 2 2 3 2 4 3 5 3 2" xfId="28359" xr:uid="{00000000-0005-0000-0000-0000E9450000}"/>
    <cellStyle name="Normal 3 2 2 2 2 3 2 4 3 5 4" xfId="28360" xr:uid="{00000000-0005-0000-0000-0000EA450000}"/>
    <cellStyle name="Normal 3 2 2 2 2 3 2 4 3 5 5" xfId="28361" xr:uid="{00000000-0005-0000-0000-0000EB450000}"/>
    <cellStyle name="Normal 3 2 2 2 2 3 2 4 3 6" xfId="28362" xr:uid="{00000000-0005-0000-0000-0000EC450000}"/>
    <cellStyle name="Normal 3 2 2 2 2 3 2 4 3 6 2" xfId="28363" xr:uid="{00000000-0005-0000-0000-0000ED450000}"/>
    <cellStyle name="Normal 3 2 2 2 2 3 2 4 3 7" xfId="28364" xr:uid="{00000000-0005-0000-0000-0000EE450000}"/>
    <cellStyle name="Normal 3 2 2 2 2 3 2 4 3 7 2" xfId="28365" xr:uid="{00000000-0005-0000-0000-0000EF450000}"/>
    <cellStyle name="Normal 3 2 2 2 2 3 2 4 3 8" xfId="28366" xr:uid="{00000000-0005-0000-0000-0000F0450000}"/>
    <cellStyle name="Normal 3 2 2 2 2 3 2 4 3 8 2" xfId="28367" xr:uid="{00000000-0005-0000-0000-0000F1450000}"/>
    <cellStyle name="Normal 3 2 2 2 2 3 2 4 3 9" xfId="28368" xr:uid="{00000000-0005-0000-0000-0000F2450000}"/>
    <cellStyle name="Normal 3 2 2 2 2 3 2 4 4" xfId="28369" xr:uid="{00000000-0005-0000-0000-0000F3450000}"/>
    <cellStyle name="Normal 3 2 2 2 2 3 2 4 4 2" xfId="28370" xr:uid="{00000000-0005-0000-0000-0000F4450000}"/>
    <cellStyle name="Normal 3 2 2 2 2 3 2 4 4 2 2" xfId="28371" xr:uid="{00000000-0005-0000-0000-0000F5450000}"/>
    <cellStyle name="Normal 3 2 2 2 2 3 2 4 4 3" xfId="28372" xr:uid="{00000000-0005-0000-0000-0000F6450000}"/>
    <cellStyle name="Normal 3 2 2 2 2 3 2 4 4 3 2" xfId="28373" xr:uid="{00000000-0005-0000-0000-0000F7450000}"/>
    <cellStyle name="Normal 3 2 2 2 2 3 2 4 4 4" xfId="28374" xr:uid="{00000000-0005-0000-0000-0000F8450000}"/>
    <cellStyle name="Normal 3 2 2 2 2 3 2 4 4 4 2" xfId="28375" xr:uid="{00000000-0005-0000-0000-0000F9450000}"/>
    <cellStyle name="Normal 3 2 2 2 2 3 2 4 4 5" xfId="28376" xr:uid="{00000000-0005-0000-0000-0000FA450000}"/>
    <cellStyle name="Normal 3 2 2 2 2 3 2 4 4 6" xfId="28377" xr:uid="{00000000-0005-0000-0000-0000FB450000}"/>
    <cellStyle name="Normal 3 2 2 2 2 3 2 4 5" xfId="28378" xr:uid="{00000000-0005-0000-0000-0000FC450000}"/>
    <cellStyle name="Normal 3 2 2 2 2 3 2 4 5 2" xfId="28379" xr:uid="{00000000-0005-0000-0000-0000FD450000}"/>
    <cellStyle name="Normal 3 2 2 2 2 3 2 4 5 2 2" xfId="28380" xr:uid="{00000000-0005-0000-0000-0000FE450000}"/>
    <cellStyle name="Normal 3 2 2 2 2 3 2 4 5 3" xfId="28381" xr:uid="{00000000-0005-0000-0000-0000FF450000}"/>
    <cellStyle name="Normal 3 2 2 2 2 3 2 4 5 3 2" xfId="28382" xr:uid="{00000000-0005-0000-0000-000000460000}"/>
    <cellStyle name="Normal 3 2 2 2 2 3 2 4 5 4" xfId="28383" xr:uid="{00000000-0005-0000-0000-000001460000}"/>
    <cellStyle name="Normal 3 2 2 2 2 3 2 4 5 4 2" xfId="28384" xr:uid="{00000000-0005-0000-0000-000002460000}"/>
    <cellStyle name="Normal 3 2 2 2 2 3 2 4 5 5" xfId="28385" xr:uid="{00000000-0005-0000-0000-000003460000}"/>
    <cellStyle name="Normal 3 2 2 2 2 3 2 4 5 6" xfId="28386" xr:uid="{00000000-0005-0000-0000-000004460000}"/>
    <cellStyle name="Normal 3 2 2 2 2 3 2 4 6" xfId="28387" xr:uid="{00000000-0005-0000-0000-000005460000}"/>
    <cellStyle name="Normal 3 2 2 2 2 3 2 4 6 2" xfId="28388" xr:uid="{00000000-0005-0000-0000-000006460000}"/>
    <cellStyle name="Normal 3 2 2 2 2 3 2 4 6 2 2" xfId="28389" xr:uid="{00000000-0005-0000-0000-000007460000}"/>
    <cellStyle name="Normal 3 2 2 2 2 3 2 4 6 3" xfId="28390" xr:uid="{00000000-0005-0000-0000-000008460000}"/>
    <cellStyle name="Normal 3 2 2 2 2 3 2 4 6 3 2" xfId="28391" xr:uid="{00000000-0005-0000-0000-000009460000}"/>
    <cellStyle name="Normal 3 2 2 2 2 3 2 4 6 4" xfId="28392" xr:uid="{00000000-0005-0000-0000-00000A460000}"/>
    <cellStyle name="Normal 3 2 2 2 2 3 2 4 6 4 2" xfId="28393" xr:uid="{00000000-0005-0000-0000-00000B460000}"/>
    <cellStyle name="Normal 3 2 2 2 2 3 2 4 6 5" xfId="28394" xr:uid="{00000000-0005-0000-0000-00000C460000}"/>
    <cellStyle name="Normal 3 2 2 2 2 3 2 4 6 6" xfId="28395" xr:uid="{00000000-0005-0000-0000-00000D460000}"/>
    <cellStyle name="Normal 3 2 2 2 2 3 2 4 7" xfId="28396" xr:uid="{00000000-0005-0000-0000-00000E460000}"/>
    <cellStyle name="Normal 3 2 2 2 2 3 2 4 7 2" xfId="28397" xr:uid="{00000000-0005-0000-0000-00000F460000}"/>
    <cellStyle name="Normal 3 2 2 2 2 3 2 4 7 2 2" xfId="28398" xr:uid="{00000000-0005-0000-0000-000010460000}"/>
    <cellStyle name="Normal 3 2 2 2 2 3 2 4 7 3" xfId="28399" xr:uid="{00000000-0005-0000-0000-000011460000}"/>
    <cellStyle name="Normal 3 2 2 2 2 3 2 4 7 3 2" xfId="28400" xr:uid="{00000000-0005-0000-0000-000012460000}"/>
    <cellStyle name="Normal 3 2 2 2 2 3 2 4 7 4" xfId="28401" xr:uid="{00000000-0005-0000-0000-000013460000}"/>
    <cellStyle name="Normal 3 2 2 2 2 3 2 4 7 5" xfId="28402" xr:uid="{00000000-0005-0000-0000-000014460000}"/>
    <cellStyle name="Normal 3 2 2 2 2 3 2 4 8" xfId="28403" xr:uid="{00000000-0005-0000-0000-000015460000}"/>
    <cellStyle name="Normal 3 2 2 2 2 3 2 4 8 2" xfId="28404" xr:uid="{00000000-0005-0000-0000-000016460000}"/>
    <cellStyle name="Normal 3 2 2 2 2 3 2 4 9" xfId="28405" xr:uid="{00000000-0005-0000-0000-000017460000}"/>
    <cellStyle name="Normal 3 2 2 2 2 3 2 4 9 2" xfId="28406" xr:uid="{00000000-0005-0000-0000-000018460000}"/>
    <cellStyle name="Normal 3 2 2 2 2 3 2 5" xfId="2548" xr:uid="{00000000-0005-0000-0000-000019460000}"/>
    <cellStyle name="Normal 3 2 2 2 2 3 2 5 10" xfId="28408" xr:uid="{00000000-0005-0000-0000-00001A460000}"/>
    <cellStyle name="Normal 3 2 2 2 2 3 2 5 11" xfId="28409" xr:uid="{00000000-0005-0000-0000-00001B460000}"/>
    <cellStyle name="Normal 3 2 2 2 2 3 2 5 12" xfId="28407" xr:uid="{00000000-0005-0000-0000-00001C460000}"/>
    <cellStyle name="Normal 3 2 2 2 2 3 2 5 2" xfId="28410" xr:uid="{00000000-0005-0000-0000-00001D460000}"/>
    <cellStyle name="Normal 3 2 2 2 2 3 2 5 2 2" xfId="28411" xr:uid="{00000000-0005-0000-0000-00001E460000}"/>
    <cellStyle name="Normal 3 2 2 2 2 3 2 5 2 2 2" xfId="28412" xr:uid="{00000000-0005-0000-0000-00001F460000}"/>
    <cellStyle name="Normal 3 2 2 2 2 3 2 5 2 3" xfId="28413" xr:uid="{00000000-0005-0000-0000-000020460000}"/>
    <cellStyle name="Normal 3 2 2 2 2 3 2 5 2 3 2" xfId="28414" xr:uid="{00000000-0005-0000-0000-000021460000}"/>
    <cellStyle name="Normal 3 2 2 2 2 3 2 5 2 4" xfId="28415" xr:uid="{00000000-0005-0000-0000-000022460000}"/>
    <cellStyle name="Normal 3 2 2 2 2 3 2 5 2 4 2" xfId="28416" xr:uid="{00000000-0005-0000-0000-000023460000}"/>
    <cellStyle name="Normal 3 2 2 2 2 3 2 5 2 5" xfId="28417" xr:uid="{00000000-0005-0000-0000-000024460000}"/>
    <cellStyle name="Normal 3 2 2 2 2 3 2 5 2 6" xfId="28418" xr:uid="{00000000-0005-0000-0000-000025460000}"/>
    <cellStyle name="Normal 3 2 2 2 2 3 2 5 3" xfId="28419" xr:uid="{00000000-0005-0000-0000-000026460000}"/>
    <cellStyle name="Normal 3 2 2 2 2 3 2 5 3 2" xfId="28420" xr:uid="{00000000-0005-0000-0000-000027460000}"/>
    <cellStyle name="Normal 3 2 2 2 2 3 2 5 3 2 2" xfId="28421" xr:uid="{00000000-0005-0000-0000-000028460000}"/>
    <cellStyle name="Normal 3 2 2 2 2 3 2 5 3 3" xfId="28422" xr:uid="{00000000-0005-0000-0000-000029460000}"/>
    <cellStyle name="Normal 3 2 2 2 2 3 2 5 3 3 2" xfId="28423" xr:uid="{00000000-0005-0000-0000-00002A460000}"/>
    <cellStyle name="Normal 3 2 2 2 2 3 2 5 3 4" xfId="28424" xr:uid="{00000000-0005-0000-0000-00002B460000}"/>
    <cellStyle name="Normal 3 2 2 2 2 3 2 5 3 4 2" xfId="28425" xr:uid="{00000000-0005-0000-0000-00002C460000}"/>
    <cellStyle name="Normal 3 2 2 2 2 3 2 5 3 5" xfId="28426" xr:uid="{00000000-0005-0000-0000-00002D460000}"/>
    <cellStyle name="Normal 3 2 2 2 2 3 2 5 3 6" xfId="28427" xr:uid="{00000000-0005-0000-0000-00002E460000}"/>
    <cellStyle name="Normal 3 2 2 2 2 3 2 5 4" xfId="28428" xr:uid="{00000000-0005-0000-0000-00002F460000}"/>
    <cellStyle name="Normal 3 2 2 2 2 3 2 5 4 2" xfId="28429" xr:uid="{00000000-0005-0000-0000-000030460000}"/>
    <cellStyle name="Normal 3 2 2 2 2 3 2 5 4 2 2" xfId="28430" xr:uid="{00000000-0005-0000-0000-000031460000}"/>
    <cellStyle name="Normal 3 2 2 2 2 3 2 5 4 3" xfId="28431" xr:uid="{00000000-0005-0000-0000-000032460000}"/>
    <cellStyle name="Normal 3 2 2 2 2 3 2 5 4 3 2" xfId="28432" xr:uid="{00000000-0005-0000-0000-000033460000}"/>
    <cellStyle name="Normal 3 2 2 2 2 3 2 5 4 4" xfId="28433" xr:uid="{00000000-0005-0000-0000-000034460000}"/>
    <cellStyle name="Normal 3 2 2 2 2 3 2 5 4 4 2" xfId="28434" xr:uid="{00000000-0005-0000-0000-000035460000}"/>
    <cellStyle name="Normal 3 2 2 2 2 3 2 5 4 5" xfId="28435" xr:uid="{00000000-0005-0000-0000-000036460000}"/>
    <cellStyle name="Normal 3 2 2 2 2 3 2 5 4 6" xfId="28436" xr:uid="{00000000-0005-0000-0000-000037460000}"/>
    <cellStyle name="Normal 3 2 2 2 2 3 2 5 5" xfId="28437" xr:uid="{00000000-0005-0000-0000-000038460000}"/>
    <cellStyle name="Normal 3 2 2 2 2 3 2 5 5 2" xfId="28438" xr:uid="{00000000-0005-0000-0000-000039460000}"/>
    <cellStyle name="Normal 3 2 2 2 2 3 2 5 5 2 2" xfId="28439" xr:uid="{00000000-0005-0000-0000-00003A460000}"/>
    <cellStyle name="Normal 3 2 2 2 2 3 2 5 5 3" xfId="28440" xr:uid="{00000000-0005-0000-0000-00003B460000}"/>
    <cellStyle name="Normal 3 2 2 2 2 3 2 5 5 3 2" xfId="28441" xr:uid="{00000000-0005-0000-0000-00003C460000}"/>
    <cellStyle name="Normal 3 2 2 2 2 3 2 5 5 4" xfId="28442" xr:uid="{00000000-0005-0000-0000-00003D460000}"/>
    <cellStyle name="Normal 3 2 2 2 2 3 2 5 5 4 2" xfId="28443" xr:uid="{00000000-0005-0000-0000-00003E460000}"/>
    <cellStyle name="Normal 3 2 2 2 2 3 2 5 5 5" xfId="28444" xr:uid="{00000000-0005-0000-0000-00003F460000}"/>
    <cellStyle name="Normal 3 2 2 2 2 3 2 5 5 6" xfId="28445" xr:uid="{00000000-0005-0000-0000-000040460000}"/>
    <cellStyle name="Normal 3 2 2 2 2 3 2 5 6" xfId="28446" xr:uid="{00000000-0005-0000-0000-000041460000}"/>
    <cellStyle name="Normal 3 2 2 2 2 3 2 5 6 2" xfId="28447" xr:uid="{00000000-0005-0000-0000-000042460000}"/>
    <cellStyle name="Normal 3 2 2 2 2 3 2 5 6 2 2" xfId="28448" xr:uid="{00000000-0005-0000-0000-000043460000}"/>
    <cellStyle name="Normal 3 2 2 2 2 3 2 5 6 3" xfId="28449" xr:uid="{00000000-0005-0000-0000-000044460000}"/>
    <cellStyle name="Normal 3 2 2 2 2 3 2 5 6 3 2" xfId="28450" xr:uid="{00000000-0005-0000-0000-000045460000}"/>
    <cellStyle name="Normal 3 2 2 2 2 3 2 5 6 4" xfId="28451" xr:uid="{00000000-0005-0000-0000-000046460000}"/>
    <cellStyle name="Normal 3 2 2 2 2 3 2 5 6 5" xfId="28452" xr:uid="{00000000-0005-0000-0000-000047460000}"/>
    <cellStyle name="Normal 3 2 2 2 2 3 2 5 7" xfId="28453" xr:uid="{00000000-0005-0000-0000-000048460000}"/>
    <cellStyle name="Normal 3 2 2 2 2 3 2 5 7 2" xfId="28454" xr:uid="{00000000-0005-0000-0000-000049460000}"/>
    <cellStyle name="Normal 3 2 2 2 2 3 2 5 8" xfId="28455" xr:uid="{00000000-0005-0000-0000-00004A460000}"/>
    <cellStyle name="Normal 3 2 2 2 2 3 2 5 8 2" xfId="28456" xr:uid="{00000000-0005-0000-0000-00004B460000}"/>
    <cellStyle name="Normal 3 2 2 2 2 3 2 5 9" xfId="28457" xr:uid="{00000000-0005-0000-0000-00004C460000}"/>
    <cellStyle name="Normal 3 2 2 2 2 3 2 5 9 2" xfId="28458" xr:uid="{00000000-0005-0000-0000-00004D460000}"/>
    <cellStyle name="Normal 3 2 2 2 2 3 2 6" xfId="28459" xr:uid="{00000000-0005-0000-0000-00004E460000}"/>
    <cellStyle name="Normal 3 2 2 2 2 3 2 6 10" xfId="28460" xr:uid="{00000000-0005-0000-0000-00004F460000}"/>
    <cellStyle name="Normal 3 2 2 2 2 3 2 6 2" xfId="28461" xr:uid="{00000000-0005-0000-0000-000050460000}"/>
    <cellStyle name="Normal 3 2 2 2 2 3 2 6 2 2" xfId="28462" xr:uid="{00000000-0005-0000-0000-000051460000}"/>
    <cellStyle name="Normal 3 2 2 2 2 3 2 6 2 2 2" xfId="28463" xr:uid="{00000000-0005-0000-0000-000052460000}"/>
    <cellStyle name="Normal 3 2 2 2 2 3 2 6 2 3" xfId="28464" xr:uid="{00000000-0005-0000-0000-000053460000}"/>
    <cellStyle name="Normal 3 2 2 2 2 3 2 6 2 3 2" xfId="28465" xr:uid="{00000000-0005-0000-0000-000054460000}"/>
    <cellStyle name="Normal 3 2 2 2 2 3 2 6 2 4" xfId="28466" xr:uid="{00000000-0005-0000-0000-000055460000}"/>
    <cellStyle name="Normal 3 2 2 2 2 3 2 6 2 4 2" xfId="28467" xr:uid="{00000000-0005-0000-0000-000056460000}"/>
    <cellStyle name="Normal 3 2 2 2 2 3 2 6 2 5" xfId="28468" xr:uid="{00000000-0005-0000-0000-000057460000}"/>
    <cellStyle name="Normal 3 2 2 2 2 3 2 6 2 6" xfId="28469" xr:uid="{00000000-0005-0000-0000-000058460000}"/>
    <cellStyle name="Normal 3 2 2 2 2 3 2 6 3" xfId="28470" xr:uid="{00000000-0005-0000-0000-000059460000}"/>
    <cellStyle name="Normal 3 2 2 2 2 3 2 6 3 2" xfId="28471" xr:uid="{00000000-0005-0000-0000-00005A460000}"/>
    <cellStyle name="Normal 3 2 2 2 2 3 2 6 3 2 2" xfId="28472" xr:uid="{00000000-0005-0000-0000-00005B460000}"/>
    <cellStyle name="Normal 3 2 2 2 2 3 2 6 3 3" xfId="28473" xr:uid="{00000000-0005-0000-0000-00005C460000}"/>
    <cellStyle name="Normal 3 2 2 2 2 3 2 6 3 3 2" xfId="28474" xr:uid="{00000000-0005-0000-0000-00005D460000}"/>
    <cellStyle name="Normal 3 2 2 2 2 3 2 6 3 4" xfId="28475" xr:uid="{00000000-0005-0000-0000-00005E460000}"/>
    <cellStyle name="Normal 3 2 2 2 2 3 2 6 3 4 2" xfId="28476" xr:uid="{00000000-0005-0000-0000-00005F460000}"/>
    <cellStyle name="Normal 3 2 2 2 2 3 2 6 3 5" xfId="28477" xr:uid="{00000000-0005-0000-0000-000060460000}"/>
    <cellStyle name="Normal 3 2 2 2 2 3 2 6 3 6" xfId="28478" xr:uid="{00000000-0005-0000-0000-000061460000}"/>
    <cellStyle name="Normal 3 2 2 2 2 3 2 6 4" xfId="28479" xr:uid="{00000000-0005-0000-0000-000062460000}"/>
    <cellStyle name="Normal 3 2 2 2 2 3 2 6 4 2" xfId="28480" xr:uid="{00000000-0005-0000-0000-000063460000}"/>
    <cellStyle name="Normal 3 2 2 2 2 3 2 6 4 2 2" xfId="28481" xr:uid="{00000000-0005-0000-0000-000064460000}"/>
    <cellStyle name="Normal 3 2 2 2 2 3 2 6 4 3" xfId="28482" xr:uid="{00000000-0005-0000-0000-000065460000}"/>
    <cellStyle name="Normal 3 2 2 2 2 3 2 6 4 3 2" xfId="28483" xr:uid="{00000000-0005-0000-0000-000066460000}"/>
    <cellStyle name="Normal 3 2 2 2 2 3 2 6 4 4" xfId="28484" xr:uid="{00000000-0005-0000-0000-000067460000}"/>
    <cellStyle name="Normal 3 2 2 2 2 3 2 6 4 4 2" xfId="28485" xr:uid="{00000000-0005-0000-0000-000068460000}"/>
    <cellStyle name="Normal 3 2 2 2 2 3 2 6 4 5" xfId="28486" xr:uid="{00000000-0005-0000-0000-000069460000}"/>
    <cellStyle name="Normal 3 2 2 2 2 3 2 6 4 6" xfId="28487" xr:uid="{00000000-0005-0000-0000-00006A460000}"/>
    <cellStyle name="Normal 3 2 2 2 2 3 2 6 5" xfId="28488" xr:uid="{00000000-0005-0000-0000-00006B460000}"/>
    <cellStyle name="Normal 3 2 2 2 2 3 2 6 5 2" xfId="28489" xr:uid="{00000000-0005-0000-0000-00006C460000}"/>
    <cellStyle name="Normal 3 2 2 2 2 3 2 6 5 2 2" xfId="28490" xr:uid="{00000000-0005-0000-0000-00006D460000}"/>
    <cellStyle name="Normal 3 2 2 2 2 3 2 6 5 3" xfId="28491" xr:uid="{00000000-0005-0000-0000-00006E460000}"/>
    <cellStyle name="Normal 3 2 2 2 2 3 2 6 5 3 2" xfId="28492" xr:uid="{00000000-0005-0000-0000-00006F460000}"/>
    <cellStyle name="Normal 3 2 2 2 2 3 2 6 5 4" xfId="28493" xr:uid="{00000000-0005-0000-0000-000070460000}"/>
    <cellStyle name="Normal 3 2 2 2 2 3 2 6 5 5" xfId="28494" xr:uid="{00000000-0005-0000-0000-000071460000}"/>
    <cellStyle name="Normal 3 2 2 2 2 3 2 6 6" xfId="28495" xr:uid="{00000000-0005-0000-0000-000072460000}"/>
    <cellStyle name="Normal 3 2 2 2 2 3 2 6 6 2" xfId="28496" xr:uid="{00000000-0005-0000-0000-000073460000}"/>
    <cellStyle name="Normal 3 2 2 2 2 3 2 6 7" xfId="28497" xr:uid="{00000000-0005-0000-0000-000074460000}"/>
    <cellStyle name="Normal 3 2 2 2 2 3 2 6 7 2" xfId="28498" xr:uid="{00000000-0005-0000-0000-000075460000}"/>
    <cellStyle name="Normal 3 2 2 2 2 3 2 6 8" xfId="28499" xr:uid="{00000000-0005-0000-0000-000076460000}"/>
    <cellStyle name="Normal 3 2 2 2 2 3 2 6 8 2" xfId="28500" xr:uid="{00000000-0005-0000-0000-000077460000}"/>
    <cellStyle name="Normal 3 2 2 2 2 3 2 6 9" xfId="28501" xr:uid="{00000000-0005-0000-0000-000078460000}"/>
    <cellStyle name="Normal 3 2 2 2 2 3 2 7" xfId="28502" xr:uid="{00000000-0005-0000-0000-000079460000}"/>
    <cellStyle name="Normal 3 2 2 2 2 3 2 7 10" xfId="28503" xr:uid="{00000000-0005-0000-0000-00007A460000}"/>
    <cellStyle name="Normal 3 2 2 2 2 3 2 7 2" xfId="28504" xr:uid="{00000000-0005-0000-0000-00007B460000}"/>
    <cellStyle name="Normal 3 2 2 2 2 3 2 7 2 2" xfId="28505" xr:uid="{00000000-0005-0000-0000-00007C460000}"/>
    <cellStyle name="Normal 3 2 2 2 2 3 2 7 2 2 2" xfId="28506" xr:uid="{00000000-0005-0000-0000-00007D460000}"/>
    <cellStyle name="Normal 3 2 2 2 2 3 2 7 2 3" xfId="28507" xr:uid="{00000000-0005-0000-0000-00007E460000}"/>
    <cellStyle name="Normal 3 2 2 2 2 3 2 7 2 3 2" xfId="28508" xr:uid="{00000000-0005-0000-0000-00007F460000}"/>
    <cellStyle name="Normal 3 2 2 2 2 3 2 7 2 4" xfId="28509" xr:uid="{00000000-0005-0000-0000-000080460000}"/>
    <cellStyle name="Normal 3 2 2 2 2 3 2 7 2 4 2" xfId="28510" xr:uid="{00000000-0005-0000-0000-000081460000}"/>
    <cellStyle name="Normal 3 2 2 2 2 3 2 7 2 5" xfId="28511" xr:uid="{00000000-0005-0000-0000-000082460000}"/>
    <cellStyle name="Normal 3 2 2 2 2 3 2 7 2 6" xfId="28512" xr:uid="{00000000-0005-0000-0000-000083460000}"/>
    <cellStyle name="Normal 3 2 2 2 2 3 2 7 3" xfId="28513" xr:uid="{00000000-0005-0000-0000-000084460000}"/>
    <cellStyle name="Normal 3 2 2 2 2 3 2 7 3 2" xfId="28514" xr:uid="{00000000-0005-0000-0000-000085460000}"/>
    <cellStyle name="Normal 3 2 2 2 2 3 2 7 3 2 2" xfId="28515" xr:uid="{00000000-0005-0000-0000-000086460000}"/>
    <cellStyle name="Normal 3 2 2 2 2 3 2 7 3 3" xfId="28516" xr:uid="{00000000-0005-0000-0000-000087460000}"/>
    <cellStyle name="Normal 3 2 2 2 2 3 2 7 3 3 2" xfId="28517" xr:uid="{00000000-0005-0000-0000-000088460000}"/>
    <cellStyle name="Normal 3 2 2 2 2 3 2 7 3 4" xfId="28518" xr:uid="{00000000-0005-0000-0000-000089460000}"/>
    <cellStyle name="Normal 3 2 2 2 2 3 2 7 3 4 2" xfId="28519" xr:uid="{00000000-0005-0000-0000-00008A460000}"/>
    <cellStyle name="Normal 3 2 2 2 2 3 2 7 3 5" xfId="28520" xr:uid="{00000000-0005-0000-0000-00008B460000}"/>
    <cellStyle name="Normal 3 2 2 2 2 3 2 7 3 6" xfId="28521" xr:uid="{00000000-0005-0000-0000-00008C460000}"/>
    <cellStyle name="Normal 3 2 2 2 2 3 2 7 4" xfId="28522" xr:uid="{00000000-0005-0000-0000-00008D460000}"/>
    <cellStyle name="Normal 3 2 2 2 2 3 2 7 4 2" xfId="28523" xr:uid="{00000000-0005-0000-0000-00008E460000}"/>
    <cellStyle name="Normal 3 2 2 2 2 3 2 7 4 2 2" xfId="28524" xr:uid="{00000000-0005-0000-0000-00008F460000}"/>
    <cellStyle name="Normal 3 2 2 2 2 3 2 7 4 3" xfId="28525" xr:uid="{00000000-0005-0000-0000-000090460000}"/>
    <cellStyle name="Normal 3 2 2 2 2 3 2 7 4 3 2" xfId="28526" xr:uid="{00000000-0005-0000-0000-000091460000}"/>
    <cellStyle name="Normal 3 2 2 2 2 3 2 7 4 4" xfId="28527" xr:uid="{00000000-0005-0000-0000-000092460000}"/>
    <cellStyle name="Normal 3 2 2 2 2 3 2 7 4 4 2" xfId="28528" xr:uid="{00000000-0005-0000-0000-000093460000}"/>
    <cellStyle name="Normal 3 2 2 2 2 3 2 7 4 5" xfId="28529" xr:uid="{00000000-0005-0000-0000-000094460000}"/>
    <cellStyle name="Normal 3 2 2 2 2 3 2 7 4 6" xfId="28530" xr:uid="{00000000-0005-0000-0000-000095460000}"/>
    <cellStyle name="Normal 3 2 2 2 2 3 2 7 5" xfId="28531" xr:uid="{00000000-0005-0000-0000-000096460000}"/>
    <cellStyle name="Normal 3 2 2 2 2 3 2 7 5 2" xfId="28532" xr:uid="{00000000-0005-0000-0000-000097460000}"/>
    <cellStyle name="Normal 3 2 2 2 2 3 2 7 5 2 2" xfId="28533" xr:uid="{00000000-0005-0000-0000-000098460000}"/>
    <cellStyle name="Normal 3 2 2 2 2 3 2 7 5 3" xfId="28534" xr:uid="{00000000-0005-0000-0000-000099460000}"/>
    <cellStyle name="Normal 3 2 2 2 2 3 2 7 5 3 2" xfId="28535" xr:uid="{00000000-0005-0000-0000-00009A460000}"/>
    <cellStyle name="Normal 3 2 2 2 2 3 2 7 5 4" xfId="28536" xr:uid="{00000000-0005-0000-0000-00009B460000}"/>
    <cellStyle name="Normal 3 2 2 2 2 3 2 7 5 5" xfId="28537" xr:uid="{00000000-0005-0000-0000-00009C460000}"/>
    <cellStyle name="Normal 3 2 2 2 2 3 2 7 6" xfId="28538" xr:uid="{00000000-0005-0000-0000-00009D460000}"/>
    <cellStyle name="Normal 3 2 2 2 2 3 2 7 6 2" xfId="28539" xr:uid="{00000000-0005-0000-0000-00009E460000}"/>
    <cellStyle name="Normal 3 2 2 2 2 3 2 7 7" xfId="28540" xr:uid="{00000000-0005-0000-0000-00009F460000}"/>
    <cellStyle name="Normal 3 2 2 2 2 3 2 7 7 2" xfId="28541" xr:uid="{00000000-0005-0000-0000-0000A0460000}"/>
    <cellStyle name="Normal 3 2 2 2 2 3 2 7 8" xfId="28542" xr:uid="{00000000-0005-0000-0000-0000A1460000}"/>
    <cellStyle name="Normal 3 2 2 2 2 3 2 7 8 2" xfId="28543" xr:uid="{00000000-0005-0000-0000-0000A2460000}"/>
    <cellStyle name="Normal 3 2 2 2 2 3 2 7 9" xfId="28544" xr:uid="{00000000-0005-0000-0000-0000A3460000}"/>
    <cellStyle name="Normal 3 2 2 2 2 3 2 8" xfId="28545" xr:uid="{00000000-0005-0000-0000-0000A4460000}"/>
    <cellStyle name="Normal 3 2 2 2 2 3 2 8 2" xfId="28546" xr:uid="{00000000-0005-0000-0000-0000A5460000}"/>
    <cellStyle name="Normal 3 2 2 2 2 3 2 8 2 2" xfId="28547" xr:uid="{00000000-0005-0000-0000-0000A6460000}"/>
    <cellStyle name="Normal 3 2 2 2 2 3 2 8 3" xfId="28548" xr:uid="{00000000-0005-0000-0000-0000A7460000}"/>
    <cellStyle name="Normal 3 2 2 2 2 3 2 8 3 2" xfId="28549" xr:uid="{00000000-0005-0000-0000-0000A8460000}"/>
    <cellStyle name="Normal 3 2 2 2 2 3 2 8 4" xfId="28550" xr:uid="{00000000-0005-0000-0000-0000A9460000}"/>
    <cellStyle name="Normal 3 2 2 2 2 3 2 8 4 2" xfId="28551" xr:uid="{00000000-0005-0000-0000-0000AA460000}"/>
    <cellStyle name="Normal 3 2 2 2 2 3 2 8 5" xfId="28552" xr:uid="{00000000-0005-0000-0000-0000AB460000}"/>
    <cellStyle name="Normal 3 2 2 2 2 3 2 8 6" xfId="28553" xr:uid="{00000000-0005-0000-0000-0000AC460000}"/>
    <cellStyle name="Normal 3 2 2 2 2 3 2 9" xfId="28554" xr:uid="{00000000-0005-0000-0000-0000AD460000}"/>
    <cellStyle name="Normal 3 2 2 2 2 3 2 9 2" xfId="28555" xr:uid="{00000000-0005-0000-0000-0000AE460000}"/>
    <cellStyle name="Normal 3 2 2 2 2 3 2 9 2 2" xfId="28556" xr:uid="{00000000-0005-0000-0000-0000AF460000}"/>
    <cellStyle name="Normal 3 2 2 2 2 3 2 9 3" xfId="28557" xr:uid="{00000000-0005-0000-0000-0000B0460000}"/>
    <cellStyle name="Normal 3 2 2 2 2 3 2 9 3 2" xfId="28558" xr:uid="{00000000-0005-0000-0000-0000B1460000}"/>
    <cellStyle name="Normal 3 2 2 2 2 3 2 9 4" xfId="28559" xr:uid="{00000000-0005-0000-0000-0000B2460000}"/>
    <cellStyle name="Normal 3 2 2 2 2 3 2 9 4 2" xfId="28560" xr:uid="{00000000-0005-0000-0000-0000B3460000}"/>
    <cellStyle name="Normal 3 2 2 2 2 3 2 9 5" xfId="28561" xr:uid="{00000000-0005-0000-0000-0000B4460000}"/>
    <cellStyle name="Normal 3 2 2 2 2 3 2 9 6" xfId="28562" xr:uid="{00000000-0005-0000-0000-0000B5460000}"/>
    <cellStyle name="Normal 3 2 2 2 2 3 3" xfId="2549" xr:uid="{00000000-0005-0000-0000-0000B6460000}"/>
    <cellStyle name="Normal 3 2 2 2 2 3 3 10" xfId="28564" xr:uid="{00000000-0005-0000-0000-0000B7460000}"/>
    <cellStyle name="Normal 3 2 2 2 2 3 3 10 2" xfId="28565" xr:uid="{00000000-0005-0000-0000-0000B8460000}"/>
    <cellStyle name="Normal 3 2 2 2 2 3 3 11" xfId="28566" xr:uid="{00000000-0005-0000-0000-0000B9460000}"/>
    <cellStyle name="Normal 3 2 2 2 2 3 3 11 2" xfId="28567" xr:uid="{00000000-0005-0000-0000-0000BA460000}"/>
    <cellStyle name="Normal 3 2 2 2 2 3 3 12" xfId="28568" xr:uid="{00000000-0005-0000-0000-0000BB460000}"/>
    <cellStyle name="Normal 3 2 2 2 2 3 3 13" xfId="28569" xr:uid="{00000000-0005-0000-0000-0000BC460000}"/>
    <cellStyle name="Normal 3 2 2 2 2 3 3 14" xfId="28563" xr:uid="{00000000-0005-0000-0000-0000BD460000}"/>
    <cellStyle name="Normal 3 2 2 2 2 3 3 2" xfId="2550" xr:uid="{00000000-0005-0000-0000-0000BE460000}"/>
    <cellStyle name="Normal 3 2 2 2 2 3 3 2 10" xfId="28571" xr:uid="{00000000-0005-0000-0000-0000BF460000}"/>
    <cellStyle name="Normal 3 2 2 2 2 3 3 2 11" xfId="28572" xr:uid="{00000000-0005-0000-0000-0000C0460000}"/>
    <cellStyle name="Normal 3 2 2 2 2 3 3 2 12" xfId="28570" xr:uid="{00000000-0005-0000-0000-0000C1460000}"/>
    <cellStyle name="Normal 3 2 2 2 2 3 3 2 2" xfId="2551" xr:uid="{00000000-0005-0000-0000-0000C2460000}"/>
    <cellStyle name="Normal 3 2 2 2 2 3 3 2 2 2" xfId="28574" xr:uid="{00000000-0005-0000-0000-0000C3460000}"/>
    <cellStyle name="Normal 3 2 2 2 2 3 3 2 2 2 2" xfId="28575" xr:uid="{00000000-0005-0000-0000-0000C4460000}"/>
    <cellStyle name="Normal 3 2 2 2 2 3 3 2 2 3" xfId="28576" xr:uid="{00000000-0005-0000-0000-0000C5460000}"/>
    <cellStyle name="Normal 3 2 2 2 2 3 3 2 2 3 2" xfId="28577" xr:uid="{00000000-0005-0000-0000-0000C6460000}"/>
    <cellStyle name="Normal 3 2 2 2 2 3 3 2 2 4" xfId="28578" xr:uid="{00000000-0005-0000-0000-0000C7460000}"/>
    <cellStyle name="Normal 3 2 2 2 2 3 3 2 2 4 2" xfId="28579" xr:uid="{00000000-0005-0000-0000-0000C8460000}"/>
    <cellStyle name="Normal 3 2 2 2 2 3 3 2 2 5" xfId="28580" xr:uid="{00000000-0005-0000-0000-0000C9460000}"/>
    <cellStyle name="Normal 3 2 2 2 2 3 3 2 2 6" xfId="28581" xr:uid="{00000000-0005-0000-0000-0000CA460000}"/>
    <cellStyle name="Normal 3 2 2 2 2 3 3 2 2 7" xfId="28573" xr:uid="{00000000-0005-0000-0000-0000CB460000}"/>
    <cellStyle name="Normal 3 2 2 2 2 3 3 2 3" xfId="28582" xr:uid="{00000000-0005-0000-0000-0000CC460000}"/>
    <cellStyle name="Normal 3 2 2 2 2 3 3 2 3 2" xfId="28583" xr:uid="{00000000-0005-0000-0000-0000CD460000}"/>
    <cellStyle name="Normal 3 2 2 2 2 3 3 2 3 2 2" xfId="28584" xr:uid="{00000000-0005-0000-0000-0000CE460000}"/>
    <cellStyle name="Normal 3 2 2 2 2 3 3 2 3 3" xfId="28585" xr:uid="{00000000-0005-0000-0000-0000CF460000}"/>
    <cellStyle name="Normal 3 2 2 2 2 3 3 2 3 3 2" xfId="28586" xr:uid="{00000000-0005-0000-0000-0000D0460000}"/>
    <cellStyle name="Normal 3 2 2 2 2 3 3 2 3 4" xfId="28587" xr:uid="{00000000-0005-0000-0000-0000D1460000}"/>
    <cellStyle name="Normal 3 2 2 2 2 3 3 2 3 4 2" xfId="28588" xr:uid="{00000000-0005-0000-0000-0000D2460000}"/>
    <cellStyle name="Normal 3 2 2 2 2 3 3 2 3 5" xfId="28589" xr:uid="{00000000-0005-0000-0000-0000D3460000}"/>
    <cellStyle name="Normal 3 2 2 2 2 3 3 2 3 6" xfId="28590" xr:uid="{00000000-0005-0000-0000-0000D4460000}"/>
    <cellStyle name="Normal 3 2 2 2 2 3 3 2 4" xfId="28591" xr:uid="{00000000-0005-0000-0000-0000D5460000}"/>
    <cellStyle name="Normal 3 2 2 2 2 3 3 2 4 2" xfId="28592" xr:uid="{00000000-0005-0000-0000-0000D6460000}"/>
    <cellStyle name="Normal 3 2 2 2 2 3 3 2 4 2 2" xfId="28593" xr:uid="{00000000-0005-0000-0000-0000D7460000}"/>
    <cellStyle name="Normal 3 2 2 2 2 3 3 2 4 3" xfId="28594" xr:uid="{00000000-0005-0000-0000-0000D8460000}"/>
    <cellStyle name="Normal 3 2 2 2 2 3 3 2 4 3 2" xfId="28595" xr:uid="{00000000-0005-0000-0000-0000D9460000}"/>
    <cellStyle name="Normal 3 2 2 2 2 3 3 2 4 4" xfId="28596" xr:uid="{00000000-0005-0000-0000-0000DA460000}"/>
    <cellStyle name="Normal 3 2 2 2 2 3 3 2 4 4 2" xfId="28597" xr:uid="{00000000-0005-0000-0000-0000DB460000}"/>
    <cellStyle name="Normal 3 2 2 2 2 3 3 2 4 5" xfId="28598" xr:uid="{00000000-0005-0000-0000-0000DC460000}"/>
    <cellStyle name="Normal 3 2 2 2 2 3 3 2 4 6" xfId="28599" xr:uid="{00000000-0005-0000-0000-0000DD460000}"/>
    <cellStyle name="Normal 3 2 2 2 2 3 3 2 5" xfId="28600" xr:uid="{00000000-0005-0000-0000-0000DE460000}"/>
    <cellStyle name="Normal 3 2 2 2 2 3 3 2 5 2" xfId="28601" xr:uid="{00000000-0005-0000-0000-0000DF460000}"/>
    <cellStyle name="Normal 3 2 2 2 2 3 3 2 5 2 2" xfId="28602" xr:uid="{00000000-0005-0000-0000-0000E0460000}"/>
    <cellStyle name="Normal 3 2 2 2 2 3 3 2 5 3" xfId="28603" xr:uid="{00000000-0005-0000-0000-0000E1460000}"/>
    <cellStyle name="Normal 3 2 2 2 2 3 3 2 5 3 2" xfId="28604" xr:uid="{00000000-0005-0000-0000-0000E2460000}"/>
    <cellStyle name="Normal 3 2 2 2 2 3 3 2 5 4" xfId="28605" xr:uid="{00000000-0005-0000-0000-0000E3460000}"/>
    <cellStyle name="Normal 3 2 2 2 2 3 3 2 5 4 2" xfId="28606" xr:uid="{00000000-0005-0000-0000-0000E4460000}"/>
    <cellStyle name="Normal 3 2 2 2 2 3 3 2 5 5" xfId="28607" xr:uid="{00000000-0005-0000-0000-0000E5460000}"/>
    <cellStyle name="Normal 3 2 2 2 2 3 3 2 5 6" xfId="28608" xr:uid="{00000000-0005-0000-0000-0000E6460000}"/>
    <cellStyle name="Normal 3 2 2 2 2 3 3 2 6" xfId="28609" xr:uid="{00000000-0005-0000-0000-0000E7460000}"/>
    <cellStyle name="Normal 3 2 2 2 2 3 3 2 6 2" xfId="28610" xr:uid="{00000000-0005-0000-0000-0000E8460000}"/>
    <cellStyle name="Normal 3 2 2 2 2 3 3 2 6 2 2" xfId="28611" xr:uid="{00000000-0005-0000-0000-0000E9460000}"/>
    <cellStyle name="Normal 3 2 2 2 2 3 3 2 6 3" xfId="28612" xr:uid="{00000000-0005-0000-0000-0000EA460000}"/>
    <cellStyle name="Normal 3 2 2 2 2 3 3 2 6 3 2" xfId="28613" xr:uid="{00000000-0005-0000-0000-0000EB460000}"/>
    <cellStyle name="Normal 3 2 2 2 2 3 3 2 6 4" xfId="28614" xr:uid="{00000000-0005-0000-0000-0000EC460000}"/>
    <cellStyle name="Normal 3 2 2 2 2 3 3 2 6 5" xfId="28615" xr:uid="{00000000-0005-0000-0000-0000ED460000}"/>
    <cellStyle name="Normal 3 2 2 2 2 3 3 2 7" xfId="28616" xr:uid="{00000000-0005-0000-0000-0000EE460000}"/>
    <cellStyle name="Normal 3 2 2 2 2 3 3 2 7 2" xfId="28617" xr:uid="{00000000-0005-0000-0000-0000EF460000}"/>
    <cellStyle name="Normal 3 2 2 2 2 3 3 2 8" xfId="28618" xr:uid="{00000000-0005-0000-0000-0000F0460000}"/>
    <cellStyle name="Normal 3 2 2 2 2 3 3 2 8 2" xfId="28619" xr:uid="{00000000-0005-0000-0000-0000F1460000}"/>
    <cellStyle name="Normal 3 2 2 2 2 3 3 2 9" xfId="28620" xr:uid="{00000000-0005-0000-0000-0000F2460000}"/>
    <cellStyle name="Normal 3 2 2 2 2 3 3 2 9 2" xfId="28621" xr:uid="{00000000-0005-0000-0000-0000F3460000}"/>
    <cellStyle name="Normal 3 2 2 2 2 3 3 3" xfId="2552" xr:uid="{00000000-0005-0000-0000-0000F4460000}"/>
    <cellStyle name="Normal 3 2 2 2 2 3 3 3 10" xfId="28623" xr:uid="{00000000-0005-0000-0000-0000F5460000}"/>
    <cellStyle name="Normal 3 2 2 2 2 3 3 3 11" xfId="28622" xr:uid="{00000000-0005-0000-0000-0000F6460000}"/>
    <cellStyle name="Normal 3 2 2 2 2 3 3 3 2" xfId="2553" xr:uid="{00000000-0005-0000-0000-0000F7460000}"/>
    <cellStyle name="Normal 3 2 2 2 2 3 3 3 2 2" xfId="28625" xr:uid="{00000000-0005-0000-0000-0000F8460000}"/>
    <cellStyle name="Normal 3 2 2 2 2 3 3 3 2 2 2" xfId="28626" xr:uid="{00000000-0005-0000-0000-0000F9460000}"/>
    <cellStyle name="Normal 3 2 2 2 2 3 3 3 2 3" xfId="28627" xr:uid="{00000000-0005-0000-0000-0000FA460000}"/>
    <cellStyle name="Normal 3 2 2 2 2 3 3 3 2 3 2" xfId="28628" xr:uid="{00000000-0005-0000-0000-0000FB460000}"/>
    <cellStyle name="Normal 3 2 2 2 2 3 3 3 2 4" xfId="28629" xr:uid="{00000000-0005-0000-0000-0000FC460000}"/>
    <cellStyle name="Normal 3 2 2 2 2 3 3 3 2 4 2" xfId="28630" xr:uid="{00000000-0005-0000-0000-0000FD460000}"/>
    <cellStyle name="Normal 3 2 2 2 2 3 3 3 2 5" xfId="28631" xr:uid="{00000000-0005-0000-0000-0000FE460000}"/>
    <cellStyle name="Normal 3 2 2 2 2 3 3 3 2 6" xfId="28632" xr:uid="{00000000-0005-0000-0000-0000FF460000}"/>
    <cellStyle name="Normal 3 2 2 2 2 3 3 3 2 7" xfId="28624" xr:uid="{00000000-0005-0000-0000-000000470000}"/>
    <cellStyle name="Normal 3 2 2 2 2 3 3 3 3" xfId="28633" xr:uid="{00000000-0005-0000-0000-000001470000}"/>
    <cellStyle name="Normal 3 2 2 2 2 3 3 3 3 2" xfId="28634" xr:uid="{00000000-0005-0000-0000-000002470000}"/>
    <cellStyle name="Normal 3 2 2 2 2 3 3 3 3 2 2" xfId="28635" xr:uid="{00000000-0005-0000-0000-000003470000}"/>
    <cellStyle name="Normal 3 2 2 2 2 3 3 3 3 3" xfId="28636" xr:uid="{00000000-0005-0000-0000-000004470000}"/>
    <cellStyle name="Normal 3 2 2 2 2 3 3 3 3 3 2" xfId="28637" xr:uid="{00000000-0005-0000-0000-000005470000}"/>
    <cellStyle name="Normal 3 2 2 2 2 3 3 3 3 4" xfId="28638" xr:uid="{00000000-0005-0000-0000-000006470000}"/>
    <cellStyle name="Normal 3 2 2 2 2 3 3 3 3 4 2" xfId="28639" xr:uid="{00000000-0005-0000-0000-000007470000}"/>
    <cellStyle name="Normal 3 2 2 2 2 3 3 3 3 5" xfId="28640" xr:uid="{00000000-0005-0000-0000-000008470000}"/>
    <cellStyle name="Normal 3 2 2 2 2 3 3 3 3 6" xfId="28641" xr:uid="{00000000-0005-0000-0000-000009470000}"/>
    <cellStyle name="Normal 3 2 2 2 2 3 3 3 4" xfId="28642" xr:uid="{00000000-0005-0000-0000-00000A470000}"/>
    <cellStyle name="Normal 3 2 2 2 2 3 3 3 4 2" xfId="28643" xr:uid="{00000000-0005-0000-0000-00000B470000}"/>
    <cellStyle name="Normal 3 2 2 2 2 3 3 3 4 2 2" xfId="28644" xr:uid="{00000000-0005-0000-0000-00000C470000}"/>
    <cellStyle name="Normal 3 2 2 2 2 3 3 3 4 3" xfId="28645" xr:uid="{00000000-0005-0000-0000-00000D470000}"/>
    <cellStyle name="Normal 3 2 2 2 2 3 3 3 4 3 2" xfId="28646" xr:uid="{00000000-0005-0000-0000-00000E470000}"/>
    <cellStyle name="Normal 3 2 2 2 2 3 3 3 4 4" xfId="28647" xr:uid="{00000000-0005-0000-0000-00000F470000}"/>
    <cellStyle name="Normal 3 2 2 2 2 3 3 3 4 4 2" xfId="28648" xr:uid="{00000000-0005-0000-0000-000010470000}"/>
    <cellStyle name="Normal 3 2 2 2 2 3 3 3 4 5" xfId="28649" xr:uid="{00000000-0005-0000-0000-000011470000}"/>
    <cellStyle name="Normal 3 2 2 2 2 3 3 3 4 6" xfId="28650" xr:uid="{00000000-0005-0000-0000-000012470000}"/>
    <cellStyle name="Normal 3 2 2 2 2 3 3 3 5" xfId="28651" xr:uid="{00000000-0005-0000-0000-000013470000}"/>
    <cellStyle name="Normal 3 2 2 2 2 3 3 3 5 2" xfId="28652" xr:uid="{00000000-0005-0000-0000-000014470000}"/>
    <cellStyle name="Normal 3 2 2 2 2 3 3 3 5 2 2" xfId="28653" xr:uid="{00000000-0005-0000-0000-000015470000}"/>
    <cellStyle name="Normal 3 2 2 2 2 3 3 3 5 3" xfId="28654" xr:uid="{00000000-0005-0000-0000-000016470000}"/>
    <cellStyle name="Normal 3 2 2 2 2 3 3 3 5 3 2" xfId="28655" xr:uid="{00000000-0005-0000-0000-000017470000}"/>
    <cellStyle name="Normal 3 2 2 2 2 3 3 3 5 4" xfId="28656" xr:uid="{00000000-0005-0000-0000-000018470000}"/>
    <cellStyle name="Normal 3 2 2 2 2 3 3 3 5 5" xfId="28657" xr:uid="{00000000-0005-0000-0000-000019470000}"/>
    <cellStyle name="Normal 3 2 2 2 2 3 3 3 6" xfId="28658" xr:uid="{00000000-0005-0000-0000-00001A470000}"/>
    <cellStyle name="Normal 3 2 2 2 2 3 3 3 6 2" xfId="28659" xr:uid="{00000000-0005-0000-0000-00001B470000}"/>
    <cellStyle name="Normal 3 2 2 2 2 3 3 3 7" xfId="28660" xr:uid="{00000000-0005-0000-0000-00001C470000}"/>
    <cellStyle name="Normal 3 2 2 2 2 3 3 3 7 2" xfId="28661" xr:uid="{00000000-0005-0000-0000-00001D470000}"/>
    <cellStyle name="Normal 3 2 2 2 2 3 3 3 8" xfId="28662" xr:uid="{00000000-0005-0000-0000-00001E470000}"/>
    <cellStyle name="Normal 3 2 2 2 2 3 3 3 8 2" xfId="28663" xr:uid="{00000000-0005-0000-0000-00001F470000}"/>
    <cellStyle name="Normal 3 2 2 2 2 3 3 3 9" xfId="28664" xr:uid="{00000000-0005-0000-0000-000020470000}"/>
    <cellStyle name="Normal 3 2 2 2 2 3 3 4" xfId="2554" xr:uid="{00000000-0005-0000-0000-000021470000}"/>
    <cellStyle name="Normal 3 2 2 2 2 3 3 4 10" xfId="28666" xr:uid="{00000000-0005-0000-0000-000022470000}"/>
    <cellStyle name="Normal 3 2 2 2 2 3 3 4 11" xfId="28665" xr:uid="{00000000-0005-0000-0000-000023470000}"/>
    <cellStyle name="Normal 3 2 2 2 2 3 3 4 2" xfId="28667" xr:uid="{00000000-0005-0000-0000-000024470000}"/>
    <cellStyle name="Normal 3 2 2 2 2 3 3 4 2 2" xfId="28668" xr:uid="{00000000-0005-0000-0000-000025470000}"/>
    <cellStyle name="Normal 3 2 2 2 2 3 3 4 2 2 2" xfId="28669" xr:uid="{00000000-0005-0000-0000-000026470000}"/>
    <cellStyle name="Normal 3 2 2 2 2 3 3 4 2 3" xfId="28670" xr:uid="{00000000-0005-0000-0000-000027470000}"/>
    <cellStyle name="Normal 3 2 2 2 2 3 3 4 2 3 2" xfId="28671" xr:uid="{00000000-0005-0000-0000-000028470000}"/>
    <cellStyle name="Normal 3 2 2 2 2 3 3 4 2 4" xfId="28672" xr:uid="{00000000-0005-0000-0000-000029470000}"/>
    <cellStyle name="Normal 3 2 2 2 2 3 3 4 2 4 2" xfId="28673" xr:uid="{00000000-0005-0000-0000-00002A470000}"/>
    <cellStyle name="Normal 3 2 2 2 2 3 3 4 2 5" xfId="28674" xr:uid="{00000000-0005-0000-0000-00002B470000}"/>
    <cellStyle name="Normal 3 2 2 2 2 3 3 4 2 6" xfId="28675" xr:uid="{00000000-0005-0000-0000-00002C470000}"/>
    <cellStyle name="Normal 3 2 2 2 2 3 3 4 3" xfId="28676" xr:uid="{00000000-0005-0000-0000-00002D470000}"/>
    <cellStyle name="Normal 3 2 2 2 2 3 3 4 3 2" xfId="28677" xr:uid="{00000000-0005-0000-0000-00002E470000}"/>
    <cellStyle name="Normal 3 2 2 2 2 3 3 4 3 2 2" xfId="28678" xr:uid="{00000000-0005-0000-0000-00002F470000}"/>
    <cellStyle name="Normal 3 2 2 2 2 3 3 4 3 3" xfId="28679" xr:uid="{00000000-0005-0000-0000-000030470000}"/>
    <cellStyle name="Normal 3 2 2 2 2 3 3 4 3 3 2" xfId="28680" xr:uid="{00000000-0005-0000-0000-000031470000}"/>
    <cellStyle name="Normal 3 2 2 2 2 3 3 4 3 4" xfId="28681" xr:uid="{00000000-0005-0000-0000-000032470000}"/>
    <cellStyle name="Normal 3 2 2 2 2 3 3 4 3 4 2" xfId="28682" xr:uid="{00000000-0005-0000-0000-000033470000}"/>
    <cellStyle name="Normal 3 2 2 2 2 3 3 4 3 5" xfId="28683" xr:uid="{00000000-0005-0000-0000-000034470000}"/>
    <cellStyle name="Normal 3 2 2 2 2 3 3 4 3 6" xfId="28684" xr:uid="{00000000-0005-0000-0000-000035470000}"/>
    <cellStyle name="Normal 3 2 2 2 2 3 3 4 4" xfId="28685" xr:uid="{00000000-0005-0000-0000-000036470000}"/>
    <cellStyle name="Normal 3 2 2 2 2 3 3 4 4 2" xfId="28686" xr:uid="{00000000-0005-0000-0000-000037470000}"/>
    <cellStyle name="Normal 3 2 2 2 2 3 3 4 4 2 2" xfId="28687" xr:uid="{00000000-0005-0000-0000-000038470000}"/>
    <cellStyle name="Normal 3 2 2 2 2 3 3 4 4 3" xfId="28688" xr:uid="{00000000-0005-0000-0000-000039470000}"/>
    <cellStyle name="Normal 3 2 2 2 2 3 3 4 4 3 2" xfId="28689" xr:uid="{00000000-0005-0000-0000-00003A470000}"/>
    <cellStyle name="Normal 3 2 2 2 2 3 3 4 4 4" xfId="28690" xr:uid="{00000000-0005-0000-0000-00003B470000}"/>
    <cellStyle name="Normal 3 2 2 2 2 3 3 4 4 4 2" xfId="28691" xr:uid="{00000000-0005-0000-0000-00003C470000}"/>
    <cellStyle name="Normal 3 2 2 2 2 3 3 4 4 5" xfId="28692" xr:uid="{00000000-0005-0000-0000-00003D470000}"/>
    <cellStyle name="Normal 3 2 2 2 2 3 3 4 4 6" xfId="28693" xr:uid="{00000000-0005-0000-0000-00003E470000}"/>
    <cellStyle name="Normal 3 2 2 2 2 3 3 4 5" xfId="28694" xr:uid="{00000000-0005-0000-0000-00003F470000}"/>
    <cellStyle name="Normal 3 2 2 2 2 3 3 4 5 2" xfId="28695" xr:uid="{00000000-0005-0000-0000-000040470000}"/>
    <cellStyle name="Normal 3 2 2 2 2 3 3 4 5 2 2" xfId="28696" xr:uid="{00000000-0005-0000-0000-000041470000}"/>
    <cellStyle name="Normal 3 2 2 2 2 3 3 4 5 3" xfId="28697" xr:uid="{00000000-0005-0000-0000-000042470000}"/>
    <cellStyle name="Normal 3 2 2 2 2 3 3 4 5 3 2" xfId="28698" xr:uid="{00000000-0005-0000-0000-000043470000}"/>
    <cellStyle name="Normal 3 2 2 2 2 3 3 4 5 4" xfId="28699" xr:uid="{00000000-0005-0000-0000-000044470000}"/>
    <cellStyle name="Normal 3 2 2 2 2 3 3 4 5 5" xfId="28700" xr:uid="{00000000-0005-0000-0000-000045470000}"/>
    <cellStyle name="Normal 3 2 2 2 2 3 3 4 6" xfId="28701" xr:uid="{00000000-0005-0000-0000-000046470000}"/>
    <cellStyle name="Normal 3 2 2 2 2 3 3 4 6 2" xfId="28702" xr:uid="{00000000-0005-0000-0000-000047470000}"/>
    <cellStyle name="Normal 3 2 2 2 2 3 3 4 7" xfId="28703" xr:uid="{00000000-0005-0000-0000-000048470000}"/>
    <cellStyle name="Normal 3 2 2 2 2 3 3 4 7 2" xfId="28704" xr:uid="{00000000-0005-0000-0000-000049470000}"/>
    <cellStyle name="Normal 3 2 2 2 2 3 3 4 8" xfId="28705" xr:uid="{00000000-0005-0000-0000-00004A470000}"/>
    <cellStyle name="Normal 3 2 2 2 2 3 3 4 8 2" xfId="28706" xr:uid="{00000000-0005-0000-0000-00004B470000}"/>
    <cellStyle name="Normal 3 2 2 2 2 3 3 4 9" xfId="28707" xr:uid="{00000000-0005-0000-0000-00004C470000}"/>
    <cellStyle name="Normal 3 2 2 2 2 3 3 5" xfId="28708" xr:uid="{00000000-0005-0000-0000-00004D470000}"/>
    <cellStyle name="Normal 3 2 2 2 2 3 3 5 2" xfId="28709" xr:uid="{00000000-0005-0000-0000-00004E470000}"/>
    <cellStyle name="Normal 3 2 2 2 2 3 3 5 2 2" xfId="28710" xr:uid="{00000000-0005-0000-0000-00004F470000}"/>
    <cellStyle name="Normal 3 2 2 2 2 3 3 5 3" xfId="28711" xr:uid="{00000000-0005-0000-0000-000050470000}"/>
    <cellStyle name="Normal 3 2 2 2 2 3 3 5 3 2" xfId="28712" xr:uid="{00000000-0005-0000-0000-000051470000}"/>
    <cellStyle name="Normal 3 2 2 2 2 3 3 5 4" xfId="28713" xr:uid="{00000000-0005-0000-0000-000052470000}"/>
    <cellStyle name="Normal 3 2 2 2 2 3 3 5 4 2" xfId="28714" xr:uid="{00000000-0005-0000-0000-000053470000}"/>
    <cellStyle name="Normal 3 2 2 2 2 3 3 5 5" xfId="28715" xr:uid="{00000000-0005-0000-0000-000054470000}"/>
    <cellStyle name="Normal 3 2 2 2 2 3 3 5 6" xfId="28716" xr:uid="{00000000-0005-0000-0000-000055470000}"/>
    <cellStyle name="Normal 3 2 2 2 2 3 3 6" xfId="28717" xr:uid="{00000000-0005-0000-0000-000056470000}"/>
    <cellStyle name="Normal 3 2 2 2 2 3 3 6 2" xfId="28718" xr:uid="{00000000-0005-0000-0000-000057470000}"/>
    <cellStyle name="Normal 3 2 2 2 2 3 3 6 2 2" xfId="28719" xr:uid="{00000000-0005-0000-0000-000058470000}"/>
    <cellStyle name="Normal 3 2 2 2 2 3 3 6 3" xfId="28720" xr:uid="{00000000-0005-0000-0000-000059470000}"/>
    <cellStyle name="Normal 3 2 2 2 2 3 3 6 3 2" xfId="28721" xr:uid="{00000000-0005-0000-0000-00005A470000}"/>
    <cellStyle name="Normal 3 2 2 2 2 3 3 6 4" xfId="28722" xr:uid="{00000000-0005-0000-0000-00005B470000}"/>
    <cellStyle name="Normal 3 2 2 2 2 3 3 6 4 2" xfId="28723" xr:uid="{00000000-0005-0000-0000-00005C470000}"/>
    <cellStyle name="Normal 3 2 2 2 2 3 3 6 5" xfId="28724" xr:uid="{00000000-0005-0000-0000-00005D470000}"/>
    <cellStyle name="Normal 3 2 2 2 2 3 3 6 6" xfId="28725" xr:uid="{00000000-0005-0000-0000-00005E470000}"/>
    <cellStyle name="Normal 3 2 2 2 2 3 3 7" xfId="28726" xr:uid="{00000000-0005-0000-0000-00005F470000}"/>
    <cellStyle name="Normal 3 2 2 2 2 3 3 7 2" xfId="28727" xr:uid="{00000000-0005-0000-0000-000060470000}"/>
    <cellStyle name="Normal 3 2 2 2 2 3 3 7 2 2" xfId="28728" xr:uid="{00000000-0005-0000-0000-000061470000}"/>
    <cellStyle name="Normal 3 2 2 2 2 3 3 7 3" xfId="28729" xr:uid="{00000000-0005-0000-0000-000062470000}"/>
    <cellStyle name="Normal 3 2 2 2 2 3 3 7 3 2" xfId="28730" xr:uid="{00000000-0005-0000-0000-000063470000}"/>
    <cellStyle name="Normal 3 2 2 2 2 3 3 7 4" xfId="28731" xr:uid="{00000000-0005-0000-0000-000064470000}"/>
    <cellStyle name="Normal 3 2 2 2 2 3 3 7 4 2" xfId="28732" xr:uid="{00000000-0005-0000-0000-000065470000}"/>
    <cellStyle name="Normal 3 2 2 2 2 3 3 7 5" xfId="28733" xr:uid="{00000000-0005-0000-0000-000066470000}"/>
    <cellStyle name="Normal 3 2 2 2 2 3 3 7 6" xfId="28734" xr:uid="{00000000-0005-0000-0000-000067470000}"/>
    <cellStyle name="Normal 3 2 2 2 2 3 3 8" xfId="28735" xr:uid="{00000000-0005-0000-0000-000068470000}"/>
    <cellStyle name="Normal 3 2 2 2 2 3 3 8 2" xfId="28736" xr:uid="{00000000-0005-0000-0000-000069470000}"/>
    <cellStyle name="Normal 3 2 2 2 2 3 3 8 2 2" xfId="28737" xr:uid="{00000000-0005-0000-0000-00006A470000}"/>
    <cellStyle name="Normal 3 2 2 2 2 3 3 8 3" xfId="28738" xr:uid="{00000000-0005-0000-0000-00006B470000}"/>
    <cellStyle name="Normal 3 2 2 2 2 3 3 8 3 2" xfId="28739" xr:uid="{00000000-0005-0000-0000-00006C470000}"/>
    <cellStyle name="Normal 3 2 2 2 2 3 3 8 4" xfId="28740" xr:uid="{00000000-0005-0000-0000-00006D470000}"/>
    <cellStyle name="Normal 3 2 2 2 2 3 3 8 5" xfId="28741" xr:uid="{00000000-0005-0000-0000-00006E470000}"/>
    <cellStyle name="Normal 3 2 2 2 2 3 3 9" xfId="28742" xr:uid="{00000000-0005-0000-0000-00006F470000}"/>
    <cellStyle name="Normal 3 2 2 2 2 3 3 9 2" xfId="28743" xr:uid="{00000000-0005-0000-0000-000070470000}"/>
    <cellStyle name="Normal 3 2 2 2 2 3 4" xfId="2555" xr:uid="{00000000-0005-0000-0000-000071470000}"/>
    <cellStyle name="Normal 3 2 2 2 2 3 4 10" xfId="28745" xr:uid="{00000000-0005-0000-0000-000072470000}"/>
    <cellStyle name="Normal 3 2 2 2 2 3 4 10 2" xfId="28746" xr:uid="{00000000-0005-0000-0000-000073470000}"/>
    <cellStyle name="Normal 3 2 2 2 2 3 4 11" xfId="28747" xr:uid="{00000000-0005-0000-0000-000074470000}"/>
    <cellStyle name="Normal 3 2 2 2 2 3 4 11 2" xfId="28748" xr:uid="{00000000-0005-0000-0000-000075470000}"/>
    <cellStyle name="Normal 3 2 2 2 2 3 4 12" xfId="28749" xr:uid="{00000000-0005-0000-0000-000076470000}"/>
    <cellStyle name="Normal 3 2 2 2 2 3 4 13" xfId="28750" xr:uid="{00000000-0005-0000-0000-000077470000}"/>
    <cellStyle name="Normal 3 2 2 2 2 3 4 14" xfId="28744" xr:uid="{00000000-0005-0000-0000-000078470000}"/>
    <cellStyle name="Normal 3 2 2 2 2 3 4 2" xfId="2556" xr:uid="{00000000-0005-0000-0000-000079470000}"/>
    <cellStyle name="Normal 3 2 2 2 2 3 4 2 10" xfId="28752" xr:uid="{00000000-0005-0000-0000-00007A470000}"/>
    <cellStyle name="Normal 3 2 2 2 2 3 4 2 11" xfId="28753" xr:uid="{00000000-0005-0000-0000-00007B470000}"/>
    <cellStyle name="Normal 3 2 2 2 2 3 4 2 12" xfId="28751" xr:uid="{00000000-0005-0000-0000-00007C470000}"/>
    <cellStyle name="Normal 3 2 2 2 2 3 4 2 2" xfId="28754" xr:uid="{00000000-0005-0000-0000-00007D470000}"/>
    <cellStyle name="Normal 3 2 2 2 2 3 4 2 2 2" xfId="28755" xr:uid="{00000000-0005-0000-0000-00007E470000}"/>
    <cellStyle name="Normal 3 2 2 2 2 3 4 2 2 2 2" xfId="28756" xr:uid="{00000000-0005-0000-0000-00007F470000}"/>
    <cellStyle name="Normal 3 2 2 2 2 3 4 2 2 3" xfId="28757" xr:uid="{00000000-0005-0000-0000-000080470000}"/>
    <cellStyle name="Normal 3 2 2 2 2 3 4 2 2 3 2" xfId="28758" xr:uid="{00000000-0005-0000-0000-000081470000}"/>
    <cellStyle name="Normal 3 2 2 2 2 3 4 2 2 4" xfId="28759" xr:uid="{00000000-0005-0000-0000-000082470000}"/>
    <cellStyle name="Normal 3 2 2 2 2 3 4 2 2 4 2" xfId="28760" xr:uid="{00000000-0005-0000-0000-000083470000}"/>
    <cellStyle name="Normal 3 2 2 2 2 3 4 2 2 5" xfId="28761" xr:uid="{00000000-0005-0000-0000-000084470000}"/>
    <cellStyle name="Normal 3 2 2 2 2 3 4 2 2 6" xfId="28762" xr:uid="{00000000-0005-0000-0000-000085470000}"/>
    <cellStyle name="Normal 3 2 2 2 2 3 4 2 3" xfId="28763" xr:uid="{00000000-0005-0000-0000-000086470000}"/>
    <cellStyle name="Normal 3 2 2 2 2 3 4 2 3 2" xfId="28764" xr:uid="{00000000-0005-0000-0000-000087470000}"/>
    <cellStyle name="Normal 3 2 2 2 2 3 4 2 3 2 2" xfId="28765" xr:uid="{00000000-0005-0000-0000-000088470000}"/>
    <cellStyle name="Normal 3 2 2 2 2 3 4 2 3 3" xfId="28766" xr:uid="{00000000-0005-0000-0000-000089470000}"/>
    <cellStyle name="Normal 3 2 2 2 2 3 4 2 3 3 2" xfId="28767" xr:uid="{00000000-0005-0000-0000-00008A470000}"/>
    <cellStyle name="Normal 3 2 2 2 2 3 4 2 3 4" xfId="28768" xr:uid="{00000000-0005-0000-0000-00008B470000}"/>
    <cellStyle name="Normal 3 2 2 2 2 3 4 2 3 4 2" xfId="28769" xr:uid="{00000000-0005-0000-0000-00008C470000}"/>
    <cellStyle name="Normal 3 2 2 2 2 3 4 2 3 5" xfId="28770" xr:uid="{00000000-0005-0000-0000-00008D470000}"/>
    <cellStyle name="Normal 3 2 2 2 2 3 4 2 3 6" xfId="28771" xr:uid="{00000000-0005-0000-0000-00008E470000}"/>
    <cellStyle name="Normal 3 2 2 2 2 3 4 2 4" xfId="28772" xr:uid="{00000000-0005-0000-0000-00008F470000}"/>
    <cellStyle name="Normal 3 2 2 2 2 3 4 2 4 2" xfId="28773" xr:uid="{00000000-0005-0000-0000-000090470000}"/>
    <cellStyle name="Normal 3 2 2 2 2 3 4 2 4 2 2" xfId="28774" xr:uid="{00000000-0005-0000-0000-000091470000}"/>
    <cellStyle name="Normal 3 2 2 2 2 3 4 2 4 3" xfId="28775" xr:uid="{00000000-0005-0000-0000-000092470000}"/>
    <cellStyle name="Normal 3 2 2 2 2 3 4 2 4 3 2" xfId="28776" xr:uid="{00000000-0005-0000-0000-000093470000}"/>
    <cellStyle name="Normal 3 2 2 2 2 3 4 2 4 4" xfId="28777" xr:uid="{00000000-0005-0000-0000-000094470000}"/>
    <cellStyle name="Normal 3 2 2 2 2 3 4 2 4 4 2" xfId="28778" xr:uid="{00000000-0005-0000-0000-000095470000}"/>
    <cellStyle name="Normal 3 2 2 2 2 3 4 2 4 5" xfId="28779" xr:uid="{00000000-0005-0000-0000-000096470000}"/>
    <cellStyle name="Normal 3 2 2 2 2 3 4 2 4 6" xfId="28780" xr:uid="{00000000-0005-0000-0000-000097470000}"/>
    <cellStyle name="Normal 3 2 2 2 2 3 4 2 5" xfId="28781" xr:uid="{00000000-0005-0000-0000-000098470000}"/>
    <cellStyle name="Normal 3 2 2 2 2 3 4 2 5 2" xfId="28782" xr:uid="{00000000-0005-0000-0000-000099470000}"/>
    <cellStyle name="Normal 3 2 2 2 2 3 4 2 5 2 2" xfId="28783" xr:uid="{00000000-0005-0000-0000-00009A470000}"/>
    <cellStyle name="Normal 3 2 2 2 2 3 4 2 5 3" xfId="28784" xr:uid="{00000000-0005-0000-0000-00009B470000}"/>
    <cellStyle name="Normal 3 2 2 2 2 3 4 2 5 3 2" xfId="28785" xr:uid="{00000000-0005-0000-0000-00009C470000}"/>
    <cellStyle name="Normal 3 2 2 2 2 3 4 2 5 4" xfId="28786" xr:uid="{00000000-0005-0000-0000-00009D470000}"/>
    <cellStyle name="Normal 3 2 2 2 2 3 4 2 5 4 2" xfId="28787" xr:uid="{00000000-0005-0000-0000-00009E470000}"/>
    <cellStyle name="Normal 3 2 2 2 2 3 4 2 5 5" xfId="28788" xr:uid="{00000000-0005-0000-0000-00009F470000}"/>
    <cellStyle name="Normal 3 2 2 2 2 3 4 2 5 6" xfId="28789" xr:uid="{00000000-0005-0000-0000-0000A0470000}"/>
    <cellStyle name="Normal 3 2 2 2 2 3 4 2 6" xfId="28790" xr:uid="{00000000-0005-0000-0000-0000A1470000}"/>
    <cellStyle name="Normal 3 2 2 2 2 3 4 2 6 2" xfId="28791" xr:uid="{00000000-0005-0000-0000-0000A2470000}"/>
    <cellStyle name="Normal 3 2 2 2 2 3 4 2 6 2 2" xfId="28792" xr:uid="{00000000-0005-0000-0000-0000A3470000}"/>
    <cellStyle name="Normal 3 2 2 2 2 3 4 2 6 3" xfId="28793" xr:uid="{00000000-0005-0000-0000-0000A4470000}"/>
    <cellStyle name="Normal 3 2 2 2 2 3 4 2 6 3 2" xfId="28794" xr:uid="{00000000-0005-0000-0000-0000A5470000}"/>
    <cellStyle name="Normal 3 2 2 2 2 3 4 2 6 4" xfId="28795" xr:uid="{00000000-0005-0000-0000-0000A6470000}"/>
    <cellStyle name="Normal 3 2 2 2 2 3 4 2 6 5" xfId="28796" xr:uid="{00000000-0005-0000-0000-0000A7470000}"/>
    <cellStyle name="Normal 3 2 2 2 2 3 4 2 7" xfId="28797" xr:uid="{00000000-0005-0000-0000-0000A8470000}"/>
    <cellStyle name="Normal 3 2 2 2 2 3 4 2 7 2" xfId="28798" xr:uid="{00000000-0005-0000-0000-0000A9470000}"/>
    <cellStyle name="Normal 3 2 2 2 2 3 4 2 8" xfId="28799" xr:uid="{00000000-0005-0000-0000-0000AA470000}"/>
    <cellStyle name="Normal 3 2 2 2 2 3 4 2 8 2" xfId="28800" xr:uid="{00000000-0005-0000-0000-0000AB470000}"/>
    <cellStyle name="Normal 3 2 2 2 2 3 4 2 9" xfId="28801" xr:uid="{00000000-0005-0000-0000-0000AC470000}"/>
    <cellStyle name="Normal 3 2 2 2 2 3 4 2 9 2" xfId="28802" xr:uid="{00000000-0005-0000-0000-0000AD470000}"/>
    <cellStyle name="Normal 3 2 2 2 2 3 4 3" xfId="2557" xr:uid="{00000000-0005-0000-0000-0000AE470000}"/>
    <cellStyle name="Normal 3 2 2 2 2 3 4 3 10" xfId="28804" xr:uid="{00000000-0005-0000-0000-0000AF470000}"/>
    <cellStyle name="Normal 3 2 2 2 2 3 4 3 11" xfId="28803" xr:uid="{00000000-0005-0000-0000-0000B0470000}"/>
    <cellStyle name="Normal 3 2 2 2 2 3 4 3 2" xfId="28805" xr:uid="{00000000-0005-0000-0000-0000B1470000}"/>
    <cellStyle name="Normal 3 2 2 2 2 3 4 3 2 2" xfId="28806" xr:uid="{00000000-0005-0000-0000-0000B2470000}"/>
    <cellStyle name="Normal 3 2 2 2 2 3 4 3 2 2 2" xfId="28807" xr:uid="{00000000-0005-0000-0000-0000B3470000}"/>
    <cellStyle name="Normal 3 2 2 2 2 3 4 3 2 3" xfId="28808" xr:uid="{00000000-0005-0000-0000-0000B4470000}"/>
    <cellStyle name="Normal 3 2 2 2 2 3 4 3 2 3 2" xfId="28809" xr:uid="{00000000-0005-0000-0000-0000B5470000}"/>
    <cellStyle name="Normal 3 2 2 2 2 3 4 3 2 4" xfId="28810" xr:uid="{00000000-0005-0000-0000-0000B6470000}"/>
    <cellStyle name="Normal 3 2 2 2 2 3 4 3 2 4 2" xfId="28811" xr:uid="{00000000-0005-0000-0000-0000B7470000}"/>
    <cellStyle name="Normal 3 2 2 2 2 3 4 3 2 5" xfId="28812" xr:uid="{00000000-0005-0000-0000-0000B8470000}"/>
    <cellStyle name="Normal 3 2 2 2 2 3 4 3 2 6" xfId="28813" xr:uid="{00000000-0005-0000-0000-0000B9470000}"/>
    <cellStyle name="Normal 3 2 2 2 2 3 4 3 3" xfId="28814" xr:uid="{00000000-0005-0000-0000-0000BA470000}"/>
    <cellStyle name="Normal 3 2 2 2 2 3 4 3 3 2" xfId="28815" xr:uid="{00000000-0005-0000-0000-0000BB470000}"/>
    <cellStyle name="Normal 3 2 2 2 2 3 4 3 3 2 2" xfId="28816" xr:uid="{00000000-0005-0000-0000-0000BC470000}"/>
    <cellStyle name="Normal 3 2 2 2 2 3 4 3 3 3" xfId="28817" xr:uid="{00000000-0005-0000-0000-0000BD470000}"/>
    <cellStyle name="Normal 3 2 2 2 2 3 4 3 3 3 2" xfId="28818" xr:uid="{00000000-0005-0000-0000-0000BE470000}"/>
    <cellStyle name="Normal 3 2 2 2 2 3 4 3 3 4" xfId="28819" xr:uid="{00000000-0005-0000-0000-0000BF470000}"/>
    <cellStyle name="Normal 3 2 2 2 2 3 4 3 3 4 2" xfId="28820" xr:uid="{00000000-0005-0000-0000-0000C0470000}"/>
    <cellStyle name="Normal 3 2 2 2 2 3 4 3 3 5" xfId="28821" xr:uid="{00000000-0005-0000-0000-0000C1470000}"/>
    <cellStyle name="Normal 3 2 2 2 2 3 4 3 3 6" xfId="28822" xr:uid="{00000000-0005-0000-0000-0000C2470000}"/>
    <cellStyle name="Normal 3 2 2 2 2 3 4 3 4" xfId="28823" xr:uid="{00000000-0005-0000-0000-0000C3470000}"/>
    <cellStyle name="Normal 3 2 2 2 2 3 4 3 4 2" xfId="28824" xr:uid="{00000000-0005-0000-0000-0000C4470000}"/>
    <cellStyle name="Normal 3 2 2 2 2 3 4 3 4 2 2" xfId="28825" xr:uid="{00000000-0005-0000-0000-0000C5470000}"/>
    <cellStyle name="Normal 3 2 2 2 2 3 4 3 4 3" xfId="28826" xr:uid="{00000000-0005-0000-0000-0000C6470000}"/>
    <cellStyle name="Normal 3 2 2 2 2 3 4 3 4 3 2" xfId="28827" xr:uid="{00000000-0005-0000-0000-0000C7470000}"/>
    <cellStyle name="Normal 3 2 2 2 2 3 4 3 4 4" xfId="28828" xr:uid="{00000000-0005-0000-0000-0000C8470000}"/>
    <cellStyle name="Normal 3 2 2 2 2 3 4 3 4 4 2" xfId="28829" xr:uid="{00000000-0005-0000-0000-0000C9470000}"/>
    <cellStyle name="Normal 3 2 2 2 2 3 4 3 4 5" xfId="28830" xr:uid="{00000000-0005-0000-0000-0000CA470000}"/>
    <cellStyle name="Normal 3 2 2 2 2 3 4 3 4 6" xfId="28831" xr:uid="{00000000-0005-0000-0000-0000CB470000}"/>
    <cellStyle name="Normal 3 2 2 2 2 3 4 3 5" xfId="28832" xr:uid="{00000000-0005-0000-0000-0000CC470000}"/>
    <cellStyle name="Normal 3 2 2 2 2 3 4 3 5 2" xfId="28833" xr:uid="{00000000-0005-0000-0000-0000CD470000}"/>
    <cellStyle name="Normal 3 2 2 2 2 3 4 3 5 2 2" xfId="28834" xr:uid="{00000000-0005-0000-0000-0000CE470000}"/>
    <cellStyle name="Normal 3 2 2 2 2 3 4 3 5 3" xfId="28835" xr:uid="{00000000-0005-0000-0000-0000CF470000}"/>
    <cellStyle name="Normal 3 2 2 2 2 3 4 3 5 3 2" xfId="28836" xr:uid="{00000000-0005-0000-0000-0000D0470000}"/>
    <cellStyle name="Normal 3 2 2 2 2 3 4 3 5 4" xfId="28837" xr:uid="{00000000-0005-0000-0000-0000D1470000}"/>
    <cellStyle name="Normal 3 2 2 2 2 3 4 3 5 5" xfId="28838" xr:uid="{00000000-0005-0000-0000-0000D2470000}"/>
    <cellStyle name="Normal 3 2 2 2 2 3 4 3 6" xfId="28839" xr:uid="{00000000-0005-0000-0000-0000D3470000}"/>
    <cellStyle name="Normal 3 2 2 2 2 3 4 3 6 2" xfId="28840" xr:uid="{00000000-0005-0000-0000-0000D4470000}"/>
    <cellStyle name="Normal 3 2 2 2 2 3 4 3 7" xfId="28841" xr:uid="{00000000-0005-0000-0000-0000D5470000}"/>
    <cellStyle name="Normal 3 2 2 2 2 3 4 3 7 2" xfId="28842" xr:uid="{00000000-0005-0000-0000-0000D6470000}"/>
    <cellStyle name="Normal 3 2 2 2 2 3 4 3 8" xfId="28843" xr:uid="{00000000-0005-0000-0000-0000D7470000}"/>
    <cellStyle name="Normal 3 2 2 2 2 3 4 3 8 2" xfId="28844" xr:uid="{00000000-0005-0000-0000-0000D8470000}"/>
    <cellStyle name="Normal 3 2 2 2 2 3 4 3 9" xfId="28845" xr:uid="{00000000-0005-0000-0000-0000D9470000}"/>
    <cellStyle name="Normal 3 2 2 2 2 3 4 4" xfId="28846" xr:uid="{00000000-0005-0000-0000-0000DA470000}"/>
    <cellStyle name="Normal 3 2 2 2 2 3 4 4 10" xfId="28847" xr:uid="{00000000-0005-0000-0000-0000DB470000}"/>
    <cellStyle name="Normal 3 2 2 2 2 3 4 4 2" xfId="28848" xr:uid="{00000000-0005-0000-0000-0000DC470000}"/>
    <cellStyle name="Normal 3 2 2 2 2 3 4 4 2 2" xfId="28849" xr:uid="{00000000-0005-0000-0000-0000DD470000}"/>
    <cellStyle name="Normal 3 2 2 2 2 3 4 4 2 2 2" xfId="28850" xr:uid="{00000000-0005-0000-0000-0000DE470000}"/>
    <cellStyle name="Normal 3 2 2 2 2 3 4 4 2 3" xfId="28851" xr:uid="{00000000-0005-0000-0000-0000DF470000}"/>
    <cellStyle name="Normal 3 2 2 2 2 3 4 4 2 3 2" xfId="28852" xr:uid="{00000000-0005-0000-0000-0000E0470000}"/>
    <cellStyle name="Normal 3 2 2 2 2 3 4 4 2 4" xfId="28853" xr:uid="{00000000-0005-0000-0000-0000E1470000}"/>
    <cellStyle name="Normal 3 2 2 2 2 3 4 4 2 4 2" xfId="28854" xr:uid="{00000000-0005-0000-0000-0000E2470000}"/>
    <cellStyle name="Normal 3 2 2 2 2 3 4 4 2 5" xfId="28855" xr:uid="{00000000-0005-0000-0000-0000E3470000}"/>
    <cellStyle name="Normal 3 2 2 2 2 3 4 4 2 6" xfId="28856" xr:uid="{00000000-0005-0000-0000-0000E4470000}"/>
    <cellStyle name="Normal 3 2 2 2 2 3 4 4 3" xfId="28857" xr:uid="{00000000-0005-0000-0000-0000E5470000}"/>
    <cellStyle name="Normal 3 2 2 2 2 3 4 4 3 2" xfId="28858" xr:uid="{00000000-0005-0000-0000-0000E6470000}"/>
    <cellStyle name="Normal 3 2 2 2 2 3 4 4 3 2 2" xfId="28859" xr:uid="{00000000-0005-0000-0000-0000E7470000}"/>
    <cellStyle name="Normal 3 2 2 2 2 3 4 4 3 3" xfId="28860" xr:uid="{00000000-0005-0000-0000-0000E8470000}"/>
    <cellStyle name="Normal 3 2 2 2 2 3 4 4 3 3 2" xfId="28861" xr:uid="{00000000-0005-0000-0000-0000E9470000}"/>
    <cellStyle name="Normal 3 2 2 2 2 3 4 4 3 4" xfId="28862" xr:uid="{00000000-0005-0000-0000-0000EA470000}"/>
    <cellStyle name="Normal 3 2 2 2 2 3 4 4 3 4 2" xfId="28863" xr:uid="{00000000-0005-0000-0000-0000EB470000}"/>
    <cellStyle name="Normal 3 2 2 2 2 3 4 4 3 5" xfId="28864" xr:uid="{00000000-0005-0000-0000-0000EC470000}"/>
    <cellStyle name="Normal 3 2 2 2 2 3 4 4 3 6" xfId="28865" xr:uid="{00000000-0005-0000-0000-0000ED470000}"/>
    <cellStyle name="Normal 3 2 2 2 2 3 4 4 4" xfId="28866" xr:uid="{00000000-0005-0000-0000-0000EE470000}"/>
    <cellStyle name="Normal 3 2 2 2 2 3 4 4 4 2" xfId="28867" xr:uid="{00000000-0005-0000-0000-0000EF470000}"/>
    <cellStyle name="Normal 3 2 2 2 2 3 4 4 4 2 2" xfId="28868" xr:uid="{00000000-0005-0000-0000-0000F0470000}"/>
    <cellStyle name="Normal 3 2 2 2 2 3 4 4 4 3" xfId="28869" xr:uid="{00000000-0005-0000-0000-0000F1470000}"/>
    <cellStyle name="Normal 3 2 2 2 2 3 4 4 4 3 2" xfId="28870" xr:uid="{00000000-0005-0000-0000-0000F2470000}"/>
    <cellStyle name="Normal 3 2 2 2 2 3 4 4 4 4" xfId="28871" xr:uid="{00000000-0005-0000-0000-0000F3470000}"/>
    <cellStyle name="Normal 3 2 2 2 2 3 4 4 4 4 2" xfId="28872" xr:uid="{00000000-0005-0000-0000-0000F4470000}"/>
    <cellStyle name="Normal 3 2 2 2 2 3 4 4 4 5" xfId="28873" xr:uid="{00000000-0005-0000-0000-0000F5470000}"/>
    <cellStyle name="Normal 3 2 2 2 2 3 4 4 4 6" xfId="28874" xr:uid="{00000000-0005-0000-0000-0000F6470000}"/>
    <cellStyle name="Normal 3 2 2 2 2 3 4 4 5" xfId="28875" xr:uid="{00000000-0005-0000-0000-0000F7470000}"/>
    <cellStyle name="Normal 3 2 2 2 2 3 4 4 5 2" xfId="28876" xr:uid="{00000000-0005-0000-0000-0000F8470000}"/>
    <cellStyle name="Normal 3 2 2 2 2 3 4 4 5 2 2" xfId="28877" xr:uid="{00000000-0005-0000-0000-0000F9470000}"/>
    <cellStyle name="Normal 3 2 2 2 2 3 4 4 5 3" xfId="28878" xr:uid="{00000000-0005-0000-0000-0000FA470000}"/>
    <cellStyle name="Normal 3 2 2 2 2 3 4 4 5 3 2" xfId="28879" xr:uid="{00000000-0005-0000-0000-0000FB470000}"/>
    <cellStyle name="Normal 3 2 2 2 2 3 4 4 5 4" xfId="28880" xr:uid="{00000000-0005-0000-0000-0000FC470000}"/>
    <cellStyle name="Normal 3 2 2 2 2 3 4 4 5 5" xfId="28881" xr:uid="{00000000-0005-0000-0000-0000FD470000}"/>
    <cellStyle name="Normal 3 2 2 2 2 3 4 4 6" xfId="28882" xr:uid="{00000000-0005-0000-0000-0000FE470000}"/>
    <cellStyle name="Normal 3 2 2 2 2 3 4 4 6 2" xfId="28883" xr:uid="{00000000-0005-0000-0000-0000FF470000}"/>
    <cellStyle name="Normal 3 2 2 2 2 3 4 4 7" xfId="28884" xr:uid="{00000000-0005-0000-0000-000000480000}"/>
    <cellStyle name="Normal 3 2 2 2 2 3 4 4 7 2" xfId="28885" xr:uid="{00000000-0005-0000-0000-000001480000}"/>
    <cellStyle name="Normal 3 2 2 2 2 3 4 4 8" xfId="28886" xr:uid="{00000000-0005-0000-0000-000002480000}"/>
    <cellStyle name="Normal 3 2 2 2 2 3 4 4 8 2" xfId="28887" xr:uid="{00000000-0005-0000-0000-000003480000}"/>
    <cellStyle name="Normal 3 2 2 2 2 3 4 4 9" xfId="28888" xr:uid="{00000000-0005-0000-0000-000004480000}"/>
    <cellStyle name="Normal 3 2 2 2 2 3 4 5" xfId="28889" xr:uid="{00000000-0005-0000-0000-000005480000}"/>
    <cellStyle name="Normal 3 2 2 2 2 3 4 5 2" xfId="28890" xr:uid="{00000000-0005-0000-0000-000006480000}"/>
    <cellStyle name="Normal 3 2 2 2 2 3 4 5 2 2" xfId="28891" xr:uid="{00000000-0005-0000-0000-000007480000}"/>
    <cellStyle name="Normal 3 2 2 2 2 3 4 5 3" xfId="28892" xr:uid="{00000000-0005-0000-0000-000008480000}"/>
    <cellStyle name="Normal 3 2 2 2 2 3 4 5 3 2" xfId="28893" xr:uid="{00000000-0005-0000-0000-000009480000}"/>
    <cellStyle name="Normal 3 2 2 2 2 3 4 5 4" xfId="28894" xr:uid="{00000000-0005-0000-0000-00000A480000}"/>
    <cellStyle name="Normal 3 2 2 2 2 3 4 5 4 2" xfId="28895" xr:uid="{00000000-0005-0000-0000-00000B480000}"/>
    <cellStyle name="Normal 3 2 2 2 2 3 4 5 5" xfId="28896" xr:uid="{00000000-0005-0000-0000-00000C480000}"/>
    <cellStyle name="Normal 3 2 2 2 2 3 4 5 6" xfId="28897" xr:uid="{00000000-0005-0000-0000-00000D480000}"/>
    <cellStyle name="Normal 3 2 2 2 2 3 4 6" xfId="28898" xr:uid="{00000000-0005-0000-0000-00000E480000}"/>
    <cellStyle name="Normal 3 2 2 2 2 3 4 6 2" xfId="28899" xr:uid="{00000000-0005-0000-0000-00000F480000}"/>
    <cellStyle name="Normal 3 2 2 2 2 3 4 6 2 2" xfId="28900" xr:uid="{00000000-0005-0000-0000-000010480000}"/>
    <cellStyle name="Normal 3 2 2 2 2 3 4 6 3" xfId="28901" xr:uid="{00000000-0005-0000-0000-000011480000}"/>
    <cellStyle name="Normal 3 2 2 2 2 3 4 6 3 2" xfId="28902" xr:uid="{00000000-0005-0000-0000-000012480000}"/>
    <cellStyle name="Normal 3 2 2 2 2 3 4 6 4" xfId="28903" xr:uid="{00000000-0005-0000-0000-000013480000}"/>
    <cellStyle name="Normal 3 2 2 2 2 3 4 6 4 2" xfId="28904" xr:uid="{00000000-0005-0000-0000-000014480000}"/>
    <cellStyle name="Normal 3 2 2 2 2 3 4 6 5" xfId="28905" xr:uid="{00000000-0005-0000-0000-000015480000}"/>
    <cellStyle name="Normal 3 2 2 2 2 3 4 6 6" xfId="28906" xr:uid="{00000000-0005-0000-0000-000016480000}"/>
    <cellStyle name="Normal 3 2 2 2 2 3 4 7" xfId="28907" xr:uid="{00000000-0005-0000-0000-000017480000}"/>
    <cellStyle name="Normal 3 2 2 2 2 3 4 7 2" xfId="28908" xr:uid="{00000000-0005-0000-0000-000018480000}"/>
    <cellStyle name="Normal 3 2 2 2 2 3 4 7 2 2" xfId="28909" xr:uid="{00000000-0005-0000-0000-000019480000}"/>
    <cellStyle name="Normal 3 2 2 2 2 3 4 7 3" xfId="28910" xr:uid="{00000000-0005-0000-0000-00001A480000}"/>
    <cellStyle name="Normal 3 2 2 2 2 3 4 7 3 2" xfId="28911" xr:uid="{00000000-0005-0000-0000-00001B480000}"/>
    <cellStyle name="Normal 3 2 2 2 2 3 4 7 4" xfId="28912" xr:uid="{00000000-0005-0000-0000-00001C480000}"/>
    <cellStyle name="Normal 3 2 2 2 2 3 4 7 4 2" xfId="28913" xr:uid="{00000000-0005-0000-0000-00001D480000}"/>
    <cellStyle name="Normal 3 2 2 2 2 3 4 7 5" xfId="28914" xr:uid="{00000000-0005-0000-0000-00001E480000}"/>
    <cellStyle name="Normal 3 2 2 2 2 3 4 7 6" xfId="28915" xr:uid="{00000000-0005-0000-0000-00001F480000}"/>
    <cellStyle name="Normal 3 2 2 2 2 3 4 8" xfId="28916" xr:uid="{00000000-0005-0000-0000-000020480000}"/>
    <cellStyle name="Normal 3 2 2 2 2 3 4 8 2" xfId="28917" xr:uid="{00000000-0005-0000-0000-000021480000}"/>
    <cellStyle name="Normal 3 2 2 2 2 3 4 8 2 2" xfId="28918" xr:uid="{00000000-0005-0000-0000-000022480000}"/>
    <cellStyle name="Normal 3 2 2 2 2 3 4 8 3" xfId="28919" xr:uid="{00000000-0005-0000-0000-000023480000}"/>
    <cellStyle name="Normal 3 2 2 2 2 3 4 8 3 2" xfId="28920" xr:uid="{00000000-0005-0000-0000-000024480000}"/>
    <cellStyle name="Normal 3 2 2 2 2 3 4 8 4" xfId="28921" xr:uid="{00000000-0005-0000-0000-000025480000}"/>
    <cellStyle name="Normal 3 2 2 2 2 3 4 8 5" xfId="28922" xr:uid="{00000000-0005-0000-0000-000026480000}"/>
    <cellStyle name="Normal 3 2 2 2 2 3 4 9" xfId="28923" xr:uid="{00000000-0005-0000-0000-000027480000}"/>
    <cellStyle name="Normal 3 2 2 2 2 3 4 9 2" xfId="28924" xr:uid="{00000000-0005-0000-0000-000028480000}"/>
    <cellStyle name="Normal 3 2 2 2 2 3 5" xfId="2558" xr:uid="{00000000-0005-0000-0000-000029480000}"/>
    <cellStyle name="Normal 3 2 2 2 2 3 5 10" xfId="28926" xr:uid="{00000000-0005-0000-0000-00002A480000}"/>
    <cellStyle name="Normal 3 2 2 2 2 3 5 10 2" xfId="28927" xr:uid="{00000000-0005-0000-0000-00002B480000}"/>
    <cellStyle name="Normal 3 2 2 2 2 3 5 11" xfId="28928" xr:uid="{00000000-0005-0000-0000-00002C480000}"/>
    <cellStyle name="Normal 3 2 2 2 2 3 5 12" xfId="28929" xr:uid="{00000000-0005-0000-0000-00002D480000}"/>
    <cellStyle name="Normal 3 2 2 2 2 3 5 13" xfId="28925" xr:uid="{00000000-0005-0000-0000-00002E480000}"/>
    <cellStyle name="Normal 3 2 2 2 2 3 5 2" xfId="2559" xr:uid="{00000000-0005-0000-0000-00002F480000}"/>
    <cellStyle name="Normal 3 2 2 2 2 3 5 2 10" xfId="28931" xr:uid="{00000000-0005-0000-0000-000030480000}"/>
    <cellStyle name="Normal 3 2 2 2 2 3 5 2 11" xfId="28930" xr:uid="{00000000-0005-0000-0000-000031480000}"/>
    <cellStyle name="Normal 3 2 2 2 2 3 5 2 2" xfId="28932" xr:uid="{00000000-0005-0000-0000-000032480000}"/>
    <cellStyle name="Normal 3 2 2 2 2 3 5 2 2 2" xfId="28933" xr:uid="{00000000-0005-0000-0000-000033480000}"/>
    <cellStyle name="Normal 3 2 2 2 2 3 5 2 2 2 2" xfId="28934" xr:uid="{00000000-0005-0000-0000-000034480000}"/>
    <cellStyle name="Normal 3 2 2 2 2 3 5 2 2 3" xfId="28935" xr:uid="{00000000-0005-0000-0000-000035480000}"/>
    <cellStyle name="Normal 3 2 2 2 2 3 5 2 2 3 2" xfId="28936" xr:uid="{00000000-0005-0000-0000-000036480000}"/>
    <cellStyle name="Normal 3 2 2 2 2 3 5 2 2 4" xfId="28937" xr:uid="{00000000-0005-0000-0000-000037480000}"/>
    <cellStyle name="Normal 3 2 2 2 2 3 5 2 2 4 2" xfId="28938" xr:uid="{00000000-0005-0000-0000-000038480000}"/>
    <cellStyle name="Normal 3 2 2 2 2 3 5 2 2 5" xfId="28939" xr:uid="{00000000-0005-0000-0000-000039480000}"/>
    <cellStyle name="Normal 3 2 2 2 2 3 5 2 2 6" xfId="28940" xr:uid="{00000000-0005-0000-0000-00003A480000}"/>
    <cellStyle name="Normal 3 2 2 2 2 3 5 2 3" xfId="28941" xr:uid="{00000000-0005-0000-0000-00003B480000}"/>
    <cellStyle name="Normal 3 2 2 2 2 3 5 2 3 2" xfId="28942" xr:uid="{00000000-0005-0000-0000-00003C480000}"/>
    <cellStyle name="Normal 3 2 2 2 2 3 5 2 3 2 2" xfId="28943" xr:uid="{00000000-0005-0000-0000-00003D480000}"/>
    <cellStyle name="Normal 3 2 2 2 2 3 5 2 3 3" xfId="28944" xr:uid="{00000000-0005-0000-0000-00003E480000}"/>
    <cellStyle name="Normal 3 2 2 2 2 3 5 2 3 3 2" xfId="28945" xr:uid="{00000000-0005-0000-0000-00003F480000}"/>
    <cellStyle name="Normal 3 2 2 2 2 3 5 2 3 4" xfId="28946" xr:uid="{00000000-0005-0000-0000-000040480000}"/>
    <cellStyle name="Normal 3 2 2 2 2 3 5 2 3 4 2" xfId="28947" xr:uid="{00000000-0005-0000-0000-000041480000}"/>
    <cellStyle name="Normal 3 2 2 2 2 3 5 2 3 5" xfId="28948" xr:uid="{00000000-0005-0000-0000-000042480000}"/>
    <cellStyle name="Normal 3 2 2 2 2 3 5 2 3 6" xfId="28949" xr:uid="{00000000-0005-0000-0000-000043480000}"/>
    <cellStyle name="Normal 3 2 2 2 2 3 5 2 4" xfId="28950" xr:uid="{00000000-0005-0000-0000-000044480000}"/>
    <cellStyle name="Normal 3 2 2 2 2 3 5 2 4 2" xfId="28951" xr:uid="{00000000-0005-0000-0000-000045480000}"/>
    <cellStyle name="Normal 3 2 2 2 2 3 5 2 4 2 2" xfId="28952" xr:uid="{00000000-0005-0000-0000-000046480000}"/>
    <cellStyle name="Normal 3 2 2 2 2 3 5 2 4 3" xfId="28953" xr:uid="{00000000-0005-0000-0000-000047480000}"/>
    <cellStyle name="Normal 3 2 2 2 2 3 5 2 4 3 2" xfId="28954" xr:uid="{00000000-0005-0000-0000-000048480000}"/>
    <cellStyle name="Normal 3 2 2 2 2 3 5 2 4 4" xfId="28955" xr:uid="{00000000-0005-0000-0000-000049480000}"/>
    <cellStyle name="Normal 3 2 2 2 2 3 5 2 4 4 2" xfId="28956" xr:uid="{00000000-0005-0000-0000-00004A480000}"/>
    <cellStyle name="Normal 3 2 2 2 2 3 5 2 4 5" xfId="28957" xr:uid="{00000000-0005-0000-0000-00004B480000}"/>
    <cellStyle name="Normal 3 2 2 2 2 3 5 2 4 6" xfId="28958" xr:uid="{00000000-0005-0000-0000-00004C480000}"/>
    <cellStyle name="Normal 3 2 2 2 2 3 5 2 5" xfId="28959" xr:uid="{00000000-0005-0000-0000-00004D480000}"/>
    <cellStyle name="Normal 3 2 2 2 2 3 5 2 5 2" xfId="28960" xr:uid="{00000000-0005-0000-0000-00004E480000}"/>
    <cellStyle name="Normal 3 2 2 2 2 3 5 2 5 2 2" xfId="28961" xr:uid="{00000000-0005-0000-0000-00004F480000}"/>
    <cellStyle name="Normal 3 2 2 2 2 3 5 2 5 3" xfId="28962" xr:uid="{00000000-0005-0000-0000-000050480000}"/>
    <cellStyle name="Normal 3 2 2 2 2 3 5 2 5 3 2" xfId="28963" xr:uid="{00000000-0005-0000-0000-000051480000}"/>
    <cellStyle name="Normal 3 2 2 2 2 3 5 2 5 4" xfId="28964" xr:uid="{00000000-0005-0000-0000-000052480000}"/>
    <cellStyle name="Normal 3 2 2 2 2 3 5 2 5 5" xfId="28965" xr:uid="{00000000-0005-0000-0000-000053480000}"/>
    <cellStyle name="Normal 3 2 2 2 2 3 5 2 6" xfId="28966" xr:uid="{00000000-0005-0000-0000-000054480000}"/>
    <cellStyle name="Normal 3 2 2 2 2 3 5 2 6 2" xfId="28967" xr:uid="{00000000-0005-0000-0000-000055480000}"/>
    <cellStyle name="Normal 3 2 2 2 2 3 5 2 7" xfId="28968" xr:uid="{00000000-0005-0000-0000-000056480000}"/>
    <cellStyle name="Normal 3 2 2 2 2 3 5 2 7 2" xfId="28969" xr:uid="{00000000-0005-0000-0000-000057480000}"/>
    <cellStyle name="Normal 3 2 2 2 2 3 5 2 8" xfId="28970" xr:uid="{00000000-0005-0000-0000-000058480000}"/>
    <cellStyle name="Normal 3 2 2 2 2 3 5 2 8 2" xfId="28971" xr:uid="{00000000-0005-0000-0000-000059480000}"/>
    <cellStyle name="Normal 3 2 2 2 2 3 5 2 9" xfId="28972" xr:uid="{00000000-0005-0000-0000-00005A480000}"/>
    <cellStyle name="Normal 3 2 2 2 2 3 5 3" xfId="28973" xr:uid="{00000000-0005-0000-0000-00005B480000}"/>
    <cellStyle name="Normal 3 2 2 2 2 3 5 3 10" xfId="28974" xr:uid="{00000000-0005-0000-0000-00005C480000}"/>
    <cellStyle name="Normal 3 2 2 2 2 3 5 3 2" xfId="28975" xr:uid="{00000000-0005-0000-0000-00005D480000}"/>
    <cellStyle name="Normal 3 2 2 2 2 3 5 3 2 2" xfId="28976" xr:uid="{00000000-0005-0000-0000-00005E480000}"/>
    <cellStyle name="Normal 3 2 2 2 2 3 5 3 2 2 2" xfId="28977" xr:uid="{00000000-0005-0000-0000-00005F480000}"/>
    <cellStyle name="Normal 3 2 2 2 2 3 5 3 2 3" xfId="28978" xr:uid="{00000000-0005-0000-0000-000060480000}"/>
    <cellStyle name="Normal 3 2 2 2 2 3 5 3 2 3 2" xfId="28979" xr:uid="{00000000-0005-0000-0000-000061480000}"/>
    <cellStyle name="Normal 3 2 2 2 2 3 5 3 2 4" xfId="28980" xr:uid="{00000000-0005-0000-0000-000062480000}"/>
    <cellStyle name="Normal 3 2 2 2 2 3 5 3 2 4 2" xfId="28981" xr:uid="{00000000-0005-0000-0000-000063480000}"/>
    <cellStyle name="Normal 3 2 2 2 2 3 5 3 2 5" xfId="28982" xr:uid="{00000000-0005-0000-0000-000064480000}"/>
    <cellStyle name="Normal 3 2 2 2 2 3 5 3 2 6" xfId="28983" xr:uid="{00000000-0005-0000-0000-000065480000}"/>
    <cellStyle name="Normal 3 2 2 2 2 3 5 3 3" xfId="28984" xr:uid="{00000000-0005-0000-0000-000066480000}"/>
    <cellStyle name="Normal 3 2 2 2 2 3 5 3 3 2" xfId="28985" xr:uid="{00000000-0005-0000-0000-000067480000}"/>
    <cellStyle name="Normal 3 2 2 2 2 3 5 3 3 2 2" xfId="28986" xr:uid="{00000000-0005-0000-0000-000068480000}"/>
    <cellStyle name="Normal 3 2 2 2 2 3 5 3 3 3" xfId="28987" xr:uid="{00000000-0005-0000-0000-000069480000}"/>
    <cellStyle name="Normal 3 2 2 2 2 3 5 3 3 3 2" xfId="28988" xr:uid="{00000000-0005-0000-0000-00006A480000}"/>
    <cellStyle name="Normal 3 2 2 2 2 3 5 3 3 4" xfId="28989" xr:uid="{00000000-0005-0000-0000-00006B480000}"/>
    <cellStyle name="Normal 3 2 2 2 2 3 5 3 3 4 2" xfId="28990" xr:uid="{00000000-0005-0000-0000-00006C480000}"/>
    <cellStyle name="Normal 3 2 2 2 2 3 5 3 3 5" xfId="28991" xr:uid="{00000000-0005-0000-0000-00006D480000}"/>
    <cellStyle name="Normal 3 2 2 2 2 3 5 3 3 6" xfId="28992" xr:uid="{00000000-0005-0000-0000-00006E480000}"/>
    <cellStyle name="Normal 3 2 2 2 2 3 5 3 4" xfId="28993" xr:uid="{00000000-0005-0000-0000-00006F480000}"/>
    <cellStyle name="Normal 3 2 2 2 2 3 5 3 4 2" xfId="28994" xr:uid="{00000000-0005-0000-0000-000070480000}"/>
    <cellStyle name="Normal 3 2 2 2 2 3 5 3 4 2 2" xfId="28995" xr:uid="{00000000-0005-0000-0000-000071480000}"/>
    <cellStyle name="Normal 3 2 2 2 2 3 5 3 4 3" xfId="28996" xr:uid="{00000000-0005-0000-0000-000072480000}"/>
    <cellStyle name="Normal 3 2 2 2 2 3 5 3 4 3 2" xfId="28997" xr:uid="{00000000-0005-0000-0000-000073480000}"/>
    <cellStyle name="Normal 3 2 2 2 2 3 5 3 4 4" xfId="28998" xr:uid="{00000000-0005-0000-0000-000074480000}"/>
    <cellStyle name="Normal 3 2 2 2 2 3 5 3 4 4 2" xfId="28999" xr:uid="{00000000-0005-0000-0000-000075480000}"/>
    <cellStyle name="Normal 3 2 2 2 2 3 5 3 4 5" xfId="29000" xr:uid="{00000000-0005-0000-0000-000076480000}"/>
    <cellStyle name="Normal 3 2 2 2 2 3 5 3 4 6" xfId="29001" xr:uid="{00000000-0005-0000-0000-000077480000}"/>
    <cellStyle name="Normal 3 2 2 2 2 3 5 3 5" xfId="29002" xr:uid="{00000000-0005-0000-0000-000078480000}"/>
    <cellStyle name="Normal 3 2 2 2 2 3 5 3 5 2" xfId="29003" xr:uid="{00000000-0005-0000-0000-000079480000}"/>
    <cellStyle name="Normal 3 2 2 2 2 3 5 3 5 2 2" xfId="29004" xr:uid="{00000000-0005-0000-0000-00007A480000}"/>
    <cellStyle name="Normal 3 2 2 2 2 3 5 3 5 3" xfId="29005" xr:uid="{00000000-0005-0000-0000-00007B480000}"/>
    <cellStyle name="Normal 3 2 2 2 2 3 5 3 5 3 2" xfId="29006" xr:uid="{00000000-0005-0000-0000-00007C480000}"/>
    <cellStyle name="Normal 3 2 2 2 2 3 5 3 5 4" xfId="29007" xr:uid="{00000000-0005-0000-0000-00007D480000}"/>
    <cellStyle name="Normal 3 2 2 2 2 3 5 3 5 5" xfId="29008" xr:uid="{00000000-0005-0000-0000-00007E480000}"/>
    <cellStyle name="Normal 3 2 2 2 2 3 5 3 6" xfId="29009" xr:uid="{00000000-0005-0000-0000-00007F480000}"/>
    <cellStyle name="Normal 3 2 2 2 2 3 5 3 6 2" xfId="29010" xr:uid="{00000000-0005-0000-0000-000080480000}"/>
    <cellStyle name="Normal 3 2 2 2 2 3 5 3 7" xfId="29011" xr:uid="{00000000-0005-0000-0000-000081480000}"/>
    <cellStyle name="Normal 3 2 2 2 2 3 5 3 7 2" xfId="29012" xr:uid="{00000000-0005-0000-0000-000082480000}"/>
    <cellStyle name="Normal 3 2 2 2 2 3 5 3 8" xfId="29013" xr:uid="{00000000-0005-0000-0000-000083480000}"/>
    <cellStyle name="Normal 3 2 2 2 2 3 5 3 8 2" xfId="29014" xr:uid="{00000000-0005-0000-0000-000084480000}"/>
    <cellStyle name="Normal 3 2 2 2 2 3 5 3 9" xfId="29015" xr:uid="{00000000-0005-0000-0000-000085480000}"/>
    <cellStyle name="Normal 3 2 2 2 2 3 5 4" xfId="29016" xr:uid="{00000000-0005-0000-0000-000086480000}"/>
    <cellStyle name="Normal 3 2 2 2 2 3 5 4 2" xfId="29017" xr:uid="{00000000-0005-0000-0000-000087480000}"/>
    <cellStyle name="Normal 3 2 2 2 2 3 5 4 2 2" xfId="29018" xr:uid="{00000000-0005-0000-0000-000088480000}"/>
    <cellStyle name="Normal 3 2 2 2 2 3 5 4 3" xfId="29019" xr:uid="{00000000-0005-0000-0000-000089480000}"/>
    <cellStyle name="Normal 3 2 2 2 2 3 5 4 3 2" xfId="29020" xr:uid="{00000000-0005-0000-0000-00008A480000}"/>
    <cellStyle name="Normal 3 2 2 2 2 3 5 4 4" xfId="29021" xr:uid="{00000000-0005-0000-0000-00008B480000}"/>
    <cellStyle name="Normal 3 2 2 2 2 3 5 4 4 2" xfId="29022" xr:uid="{00000000-0005-0000-0000-00008C480000}"/>
    <cellStyle name="Normal 3 2 2 2 2 3 5 4 5" xfId="29023" xr:uid="{00000000-0005-0000-0000-00008D480000}"/>
    <cellStyle name="Normal 3 2 2 2 2 3 5 4 6" xfId="29024" xr:uid="{00000000-0005-0000-0000-00008E480000}"/>
    <cellStyle name="Normal 3 2 2 2 2 3 5 5" xfId="29025" xr:uid="{00000000-0005-0000-0000-00008F480000}"/>
    <cellStyle name="Normal 3 2 2 2 2 3 5 5 2" xfId="29026" xr:uid="{00000000-0005-0000-0000-000090480000}"/>
    <cellStyle name="Normal 3 2 2 2 2 3 5 5 2 2" xfId="29027" xr:uid="{00000000-0005-0000-0000-000091480000}"/>
    <cellStyle name="Normal 3 2 2 2 2 3 5 5 3" xfId="29028" xr:uid="{00000000-0005-0000-0000-000092480000}"/>
    <cellStyle name="Normal 3 2 2 2 2 3 5 5 3 2" xfId="29029" xr:uid="{00000000-0005-0000-0000-000093480000}"/>
    <cellStyle name="Normal 3 2 2 2 2 3 5 5 4" xfId="29030" xr:uid="{00000000-0005-0000-0000-000094480000}"/>
    <cellStyle name="Normal 3 2 2 2 2 3 5 5 4 2" xfId="29031" xr:uid="{00000000-0005-0000-0000-000095480000}"/>
    <cellStyle name="Normal 3 2 2 2 2 3 5 5 5" xfId="29032" xr:uid="{00000000-0005-0000-0000-000096480000}"/>
    <cellStyle name="Normal 3 2 2 2 2 3 5 5 6" xfId="29033" xr:uid="{00000000-0005-0000-0000-000097480000}"/>
    <cellStyle name="Normal 3 2 2 2 2 3 5 6" xfId="29034" xr:uid="{00000000-0005-0000-0000-000098480000}"/>
    <cellStyle name="Normal 3 2 2 2 2 3 5 6 2" xfId="29035" xr:uid="{00000000-0005-0000-0000-000099480000}"/>
    <cellStyle name="Normal 3 2 2 2 2 3 5 6 2 2" xfId="29036" xr:uid="{00000000-0005-0000-0000-00009A480000}"/>
    <cellStyle name="Normal 3 2 2 2 2 3 5 6 3" xfId="29037" xr:uid="{00000000-0005-0000-0000-00009B480000}"/>
    <cellStyle name="Normal 3 2 2 2 2 3 5 6 3 2" xfId="29038" xr:uid="{00000000-0005-0000-0000-00009C480000}"/>
    <cellStyle name="Normal 3 2 2 2 2 3 5 6 4" xfId="29039" xr:uid="{00000000-0005-0000-0000-00009D480000}"/>
    <cellStyle name="Normal 3 2 2 2 2 3 5 6 4 2" xfId="29040" xr:uid="{00000000-0005-0000-0000-00009E480000}"/>
    <cellStyle name="Normal 3 2 2 2 2 3 5 6 5" xfId="29041" xr:uid="{00000000-0005-0000-0000-00009F480000}"/>
    <cellStyle name="Normal 3 2 2 2 2 3 5 6 6" xfId="29042" xr:uid="{00000000-0005-0000-0000-0000A0480000}"/>
    <cellStyle name="Normal 3 2 2 2 2 3 5 7" xfId="29043" xr:uid="{00000000-0005-0000-0000-0000A1480000}"/>
    <cellStyle name="Normal 3 2 2 2 2 3 5 7 2" xfId="29044" xr:uid="{00000000-0005-0000-0000-0000A2480000}"/>
    <cellStyle name="Normal 3 2 2 2 2 3 5 7 2 2" xfId="29045" xr:uid="{00000000-0005-0000-0000-0000A3480000}"/>
    <cellStyle name="Normal 3 2 2 2 2 3 5 7 3" xfId="29046" xr:uid="{00000000-0005-0000-0000-0000A4480000}"/>
    <cellStyle name="Normal 3 2 2 2 2 3 5 7 3 2" xfId="29047" xr:uid="{00000000-0005-0000-0000-0000A5480000}"/>
    <cellStyle name="Normal 3 2 2 2 2 3 5 7 4" xfId="29048" xr:uid="{00000000-0005-0000-0000-0000A6480000}"/>
    <cellStyle name="Normal 3 2 2 2 2 3 5 7 5" xfId="29049" xr:uid="{00000000-0005-0000-0000-0000A7480000}"/>
    <cellStyle name="Normal 3 2 2 2 2 3 5 8" xfId="29050" xr:uid="{00000000-0005-0000-0000-0000A8480000}"/>
    <cellStyle name="Normal 3 2 2 2 2 3 5 8 2" xfId="29051" xr:uid="{00000000-0005-0000-0000-0000A9480000}"/>
    <cellStyle name="Normal 3 2 2 2 2 3 5 9" xfId="29052" xr:uid="{00000000-0005-0000-0000-0000AA480000}"/>
    <cellStyle name="Normal 3 2 2 2 2 3 5 9 2" xfId="29053" xr:uid="{00000000-0005-0000-0000-0000AB480000}"/>
    <cellStyle name="Normal 3 2 2 2 2 3 6" xfId="2560" xr:uid="{00000000-0005-0000-0000-0000AC480000}"/>
    <cellStyle name="Normal 3 2 2 2 2 3 6 10" xfId="29055" xr:uid="{00000000-0005-0000-0000-0000AD480000}"/>
    <cellStyle name="Normal 3 2 2 2 2 3 6 11" xfId="29056" xr:uid="{00000000-0005-0000-0000-0000AE480000}"/>
    <cellStyle name="Normal 3 2 2 2 2 3 6 12" xfId="29054" xr:uid="{00000000-0005-0000-0000-0000AF480000}"/>
    <cellStyle name="Normal 3 2 2 2 2 3 6 2" xfId="2561" xr:uid="{00000000-0005-0000-0000-0000B0480000}"/>
    <cellStyle name="Normal 3 2 2 2 2 3 6 2 2" xfId="29058" xr:uid="{00000000-0005-0000-0000-0000B1480000}"/>
    <cellStyle name="Normal 3 2 2 2 2 3 6 2 2 2" xfId="29059" xr:uid="{00000000-0005-0000-0000-0000B2480000}"/>
    <cellStyle name="Normal 3 2 2 2 2 3 6 2 3" xfId="29060" xr:uid="{00000000-0005-0000-0000-0000B3480000}"/>
    <cellStyle name="Normal 3 2 2 2 2 3 6 2 3 2" xfId="29061" xr:uid="{00000000-0005-0000-0000-0000B4480000}"/>
    <cellStyle name="Normal 3 2 2 2 2 3 6 2 4" xfId="29062" xr:uid="{00000000-0005-0000-0000-0000B5480000}"/>
    <cellStyle name="Normal 3 2 2 2 2 3 6 2 4 2" xfId="29063" xr:uid="{00000000-0005-0000-0000-0000B6480000}"/>
    <cellStyle name="Normal 3 2 2 2 2 3 6 2 5" xfId="29064" xr:uid="{00000000-0005-0000-0000-0000B7480000}"/>
    <cellStyle name="Normal 3 2 2 2 2 3 6 2 6" xfId="29065" xr:uid="{00000000-0005-0000-0000-0000B8480000}"/>
    <cellStyle name="Normal 3 2 2 2 2 3 6 2 7" xfId="29057" xr:uid="{00000000-0005-0000-0000-0000B9480000}"/>
    <cellStyle name="Normal 3 2 2 2 2 3 6 3" xfId="29066" xr:uid="{00000000-0005-0000-0000-0000BA480000}"/>
    <cellStyle name="Normal 3 2 2 2 2 3 6 3 2" xfId="29067" xr:uid="{00000000-0005-0000-0000-0000BB480000}"/>
    <cellStyle name="Normal 3 2 2 2 2 3 6 3 2 2" xfId="29068" xr:uid="{00000000-0005-0000-0000-0000BC480000}"/>
    <cellStyle name="Normal 3 2 2 2 2 3 6 3 3" xfId="29069" xr:uid="{00000000-0005-0000-0000-0000BD480000}"/>
    <cellStyle name="Normal 3 2 2 2 2 3 6 3 3 2" xfId="29070" xr:uid="{00000000-0005-0000-0000-0000BE480000}"/>
    <cellStyle name="Normal 3 2 2 2 2 3 6 3 4" xfId="29071" xr:uid="{00000000-0005-0000-0000-0000BF480000}"/>
    <cellStyle name="Normal 3 2 2 2 2 3 6 3 4 2" xfId="29072" xr:uid="{00000000-0005-0000-0000-0000C0480000}"/>
    <cellStyle name="Normal 3 2 2 2 2 3 6 3 5" xfId="29073" xr:uid="{00000000-0005-0000-0000-0000C1480000}"/>
    <cellStyle name="Normal 3 2 2 2 2 3 6 3 6" xfId="29074" xr:uid="{00000000-0005-0000-0000-0000C2480000}"/>
    <cellStyle name="Normal 3 2 2 2 2 3 6 4" xfId="29075" xr:uid="{00000000-0005-0000-0000-0000C3480000}"/>
    <cellStyle name="Normal 3 2 2 2 2 3 6 4 2" xfId="29076" xr:uid="{00000000-0005-0000-0000-0000C4480000}"/>
    <cellStyle name="Normal 3 2 2 2 2 3 6 4 2 2" xfId="29077" xr:uid="{00000000-0005-0000-0000-0000C5480000}"/>
    <cellStyle name="Normal 3 2 2 2 2 3 6 4 3" xfId="29078" xr:uid="{00000000-0005-0000-0000-0000C6480000}"/>
    <cellStyle name="Normal 3 2 2 2 2 3 6 4 3 2" xfId="29079" xr:uid="{00000000-0005-0000-0000-0000C7480000}"/>
    <cellStyle name="Normal 3 2 2 2 2 3 6 4 4" xfId="29080" xr:uid="{00000000-0005-0000-0000-0000C8480000}"/>
    <cellStyle name="Normal 3 2 2 2 2 3 6 4 4 2" xfId="29081" xr:uid="{00000000-0005-0000-0000-0000C9480000}"/>
    <cellStyle name="Normal 3 2 2 2 2 3 6 4 5" xfId="29082" xr:uid="{00000000-0005-0000-0000-0000CA480000}"/>
    <cellStyle name="Normal 3 2 2 2 2 3 6 4 6" xfId="29083" xr:uid="{00000000-0005-0000-0000-0000CB480000}"/>
    <cellStyle name="Normal 3 2 2 2 2 3 6 5" xfId="29084" xr:uid="{00000000-0005-0000-0000-0000CC480000}"/>
    <cellStyle name="Normal 3 2 2 2 2 3 6 5 2" xfId="29085" xr:uid="{00000000-0005-0000-0000-0000CD480000}"/>
    <cellStyle name="Normal 3 2 2 2 2 3 6 5 2 2" xfId="29086" xr:uid="{00000000-0005-0000-0000-0000CE480000}"/>
    <cellStyle name="Normal 3 2 2 2 2 3 6 5 3" xfId="29087" xr:uid="{00000000-0005-0000-0000-0000CF480000}"/>
    <cellStyle name="Normal 3 2 2 2 2 3 6 5 3 2" xfId="29088" xr:uid="{00000000-0005-0000-0000-0000D0480000}"/>
    <cellStyle name="Normal 3 2 2 2 2 3 6 5 4" xfId="29089" xr:uid="{00000000-0005-0000-0000-0000D1480000}"/>
    <cellStyle name="Normal 3 2 2 2 2 3 6 5 4 2" xfId="29090" xr:uid="{00000000-0005-0000-0000-0000D2480000}"/>
    <cellStyle name="Normal 3 2 2 2 2 3 6 5 5" xfId="29091" xr:uid="{00000000-0005-0000-0000-0000D3480000}"/>
    <cellStyle name="Normal 3 2 2 2 2 3 6 5 6" xfId="29092" xr:uid="{00000000-0005-0000-0000-0000D4480000}"/>
    <cellStyle name="Normal 3 2 2 2 2 3 6 6" xfId="29093" xr:uid="{00000000-0005-0000-0000-0000D5480000}"/>
    <cellStyle name="Normal 3 2 2 2 2 3 6 6 2" xfId="29094" xr:uid="{00000000-0005-0000-0000-0000D6480000}"/>
    <cellStyle name="Normal 3 2 2 2 2 3 6 6 2 2" xfId="29095" xr:uid="{00000000-0005-0000-0000-0000D7480000}"/>
    <cellStyle name="Normal 3 2 2 2 2 3 6 6 3" xfId="29096" xr:uid="{00000000-0005-0000-0000-0000D8480000}"/>
    <cellStyle name="Normal 3 2 2 2 2 3 6 6 3 2" xfId="29097" xr:uid="{00000000-0005-0000-0000-0000D9480000}"/>
    <cellStyle name="Normal 3 2 2 2 2 3 6 6 4" xfId="29098" xr:uid="{00000000-0005-0000-0000-0000DA480000}"/>
    <cellStyle name="Normal 3 2 2 2 2 3 6 6 5" xfId="29099" xr:uid="{00000000-0005-0000-0000-0000DB480000}"/>
    <cellStyle name="Normal 3 2 2 2 2 3 6 7" xfId="29100" xr:uid="{00000000-0005-0000-0000-0000DC480000}"/>
    <cellStyle name="Normal 3 2 2 2 2 3 6 7 2" xfId="29101" xr:uid="{00000000-0005-0000-0000-0000DD480000}"/>
    <cellStyle name="Normal 3 2 2 2 2 3 6 8" xfId="29102" xr:uid="{00000000-0005-0000-0000-0000DE480000}"/>
    <cellStyle name="Normal 3 2 2 2 2 3 6 8 2" xfId="29103" xr:uid="{00000000-0005-0000-0000-0000DF480000}"/>
    <cellStyle name="Normal 3 2 2 2 2 3 6 9" xfId="29104" xr:uid="{00000000-0005-0000-0000-0000E0480000}"/>
    <cellStyle name="Normal 3 2 2 2 2 3 6 9 2" xfId="29105" xr:uid="{00000000-0005-0000-0000-0000E1480000}"/>
    <cellStyle name="Normal 3 2 2 2 2 3 7" xfId="2562" xr:uid="{00000000-0005-0000-0000-0000E2480000}"/>
    <cellStyle name="Normal 3 2 2 2 2 3 7 10" xfId="29107" xr:uid="{00000000-0005-0000-0000-0000E3480000}"/>
    <cellStyle name="Normal 3 2 2 2 2 3 7 11" xfId="29106" xr:uid="{00000000-0005-0000-0000-0000E4480000}"/>
    <cellStyle name="Normal 3 2 2 2 2 3 7 2" xfId="29108" xr:uid="{00000000-0005-0000-0000-0000E5480000}"/>
    <cellStyle name="Normal 3 2 2 2 2 3 7 2 2" xfId="29109" xr:uid="{00000000-0005-0000-0000-0000E6480000}"/>
    <cellStyle name="Normal 3 2 2 2 2 3 7 2 2 2" xfId="29110" xr:uid="{00000000-0005-0000-0000-0000E7480000}"/>
    <cellStyle name="Normal 3 2 2 2 2 3 7 2 3" xfId="29111" xr:uid="{00000000-0005-0000-0000-0000E8480000}"/>
    <cellStyle name="Normal 3 2 2 2 2 3 7 2 3 2" xfId="29112" xr:uid="{00000000-0005-0000-0000-0000E9480000}"/>
    <cellStyle name="Normal 3 2 2 2 2 3 7 2 4" xfId="29113" xr:uid="{00000000-0005-0000-0000-0000EA480000}"/>
    <cellStyle name="Normal 3 2 2 2 2 3 7 2 4 2" xfId="29114" xr:uid="{00000000-0005-0000-0000-0000EB480000}"/>
    <cellStyle name="Normal 3 2 2 2 2 3 7 2 5" xfId="29115" xr:uid="{00000000-0005-0000-0000-0000EC480000}"/>
    <cellStyle name="Normal 3 2 2 2 2 3 7 2 6" xfId="29116" xr:uid="{00000000-0005-0000-0000-0000ED480000}"/>
    <cellStyle name="Normal 3 2 2 2 2 3 7 3" xfId="29117" xr:uid="{00000000-0005-0000-0000-0000EE480000}"/>
    <cellStyle name="Normal 3 2 2 2 2 3 7 3 2" xfId="29118" xr:uid="{00000000-0005-0000-0000-0000EF480000}"/>
    <cellStyle name="Normal 3 2 2 2 2 3 7 3 2 2" xfId="29119" xr:uid="{00000000-0005-0000-0000-0000F0480000}"/>
    <cellStyle name="Normal 3 2 2 2 2 3 7 3 3" xfId="29120" xr:uid="{00000000-0005-0000-0000-0000F1480000}"/>
    <cellStyle name="Normal 3 2 2 2 2 3 7 3 3 2" xfId="29121" xr:uid="{00000000-0005-0000-0000-0000F2480000}"/>
    <cellStyle name="Normal 3 2 2 2 2 3 7 3 4" xfId="29122" xr:uid="{00000000-0005-0000-0000-0000F3480000}"/>
    <cellStyle name="Normal 3 2 2 2 2 3 7 3 4 2" xfId="29123" xr:uid="{00000000-0005-0000-0000-0000F4480000}"/>
    <cellStyle name="Normal 3 2 2 2 2 3 7 3 5" xfId="29124" xr:uid="{00000000-0005-0000-0000-0000F5480000}"/>
    <cellStyle name="Normal 3 2 2 2 2 3 7 3 6" xfId="29125" xr:uid="{00000000-0005-0000-0000-0000F6480000}"/>
    <cellStyle name="Normal 3 2 2 2 2 3 7 4" xfId="29126" xr:uid="{00000000-0005-0000-0000-0000F7480000}"/>
    <cellStyle name="Normal 3 2 2 2 2 3 7 4 2" xfId="29127" xr:uid="{00000000-0005-0000-0000-0000F8480000}"/>
    <cellStyle name="Normal 3 2 2 2 2 3 7 4 2 2" xfId="29128" xr:uid="{00000000-0005-0000-0000-0000F9480000}"/>
    <cellStyle name="Normal 3 2 2 2 2 3 7 4 3" xfId="29129" xr:uid="{00000000-0005-0000-0000-0000FA480000}"/>
    <cellStyle name="Normal 3 2 2 2 2 3 7 4 3 2" xfId="29130" xr:uid="{00000000-0005-0000-0000-0000FB480000}"/>
    <cellStyle name="Normal 3 2 2 2 2 3 7 4 4" xfId="29131" xr:uid="{00000000-0005-0000-0000-0000FC480000}"/>
    <cellStyle name="Normal 3 2 2 2 2 3 7 4 4 2" xfId="29132" xr:uid="{00000000-0005-0000-0000-0000FD480000}"/>
    <cellStyle name="Normal 3 2 2 2 2 3 7 4 5" xfId="29133" xr:uid="{00000000-0005-0000-0000-0000FE480000}"/>
    <cellStyle name="Normal 3 2 2 2 2 3 7 4 6" xfId="29134" xr:uid="{00000000-0005-0000-0000-0000FF480000}"/>
    <cellStyle name="Normal 3 2 2 2 2 3 7 5" xfId="29135" xr:uid="{00000000-0005-0000-0000-000000490000}"/>
    <cellStyle name="Normal 3 2 2 2 2 3 7 5 2" xfId="29136" xr:uid="{00000000-0005-0000-0000-000001490000}"/>
    <cellStyle name="Normal 3 2 2 2 2 3 7 5 2 2" xfId="29137" xr:uid="{00000000-0005-0000-0000-000002490000}"/>
    <cellStyle name="Normal 3 2 2 2 2 3 7 5 3" xfId="29138" xr:uid="{00000000-0005-0000-0000-000003490000}"/>
    <cellStyle name="Normal 3 2 2 2 2 3 7 5 3 2" xfId="29139" xr:uid="{00000000-0005-0000-0000-000004490000}"/>
    <cellStyle name="Normal 3 2 2 2 2 3 7 5 4" xfId="29140" xr:uid="{00000000-0005-0000-0000-000005490000}"/>
    <cellStyle name="Normal 3 2 2 2 2 3 7 5 5" xfId="29141" xr:uid="{00000000-0005-0000-0000-000006490000}"/>
    <cellStyle name="Normal 3 2 2 2 2 3 7 6" xfId="29142" xr:uid="{00000000-0005-0000-0000-000007490000}"/>
    <cellStyle name="Normal 3 2 2 2 2 3 7 6 2" xfId="29143" xr:uid="{00000000-0005-0000-0000-000008490000}"/>
    <cellStyle name="Normal 3 2 2 2 2 3 7 7" xfId="29144" xr:uid="{00000000-0005-0000-0000-000009490000}"/>
    <cellStyle name="Normal 3 2 2 2 2 3 7 7 2" xfId="29145" xr:uid="{00000000-0005-0000-0000-00000A490000}"/>
    <cellStyle name="Normal 3 2 2 2 2 3 7 8" xfId="29146" xr:uid="{00000000-0005-0000-0000-00000B490000}"/>
    <cellStyle name="Normal 3 2 2 2 2 3 7 8 2" xfId="29147" xr:uid="{00000000-0005-0000-0000-00000C490000}"/>
    <cellStyle name="Normal 3 2 2 2 2 3 7 9" xfId="29148" xr:uid="{00000000-0005-0000-0000-00000D490000}"/>
    <cellStyle name="Normal 3 2 2 2 2 3 8" xfId="29149" xr:uid="{00000000-0005-0000-0000-00000E490000}"/>
    <cellStyle name="Normal 3 2 2 2 2 3 8 10" xfId="29150" xr:uid="{00000000-0005-0000-0000-00000F490000}"/>
    <cellStyle name="Normal 3 2 2 2 2 3 8 2" xfId="29151" xr:uid="{00000000-0005-0000-0000-000010490000}"/>
    <cellStyle name="Normal 3 2 2 2 2 3 8 2 2" xfId="29152" xr:uid="{00000000-0005-0000-0000-000011490000}"/>
    <cellStyle name="Normal 3 2 2 2 2 3 8 2 2 2" xfId="29153" xr:uid="{00000000-0005-0000-0000-000012490000}"/>
    <cellStyle name="Normal 3 2 2 2 2 3 8 2 3" xfId="29154" xr:uid="{00000000-0005-0000-0000-000013490000}"/>
    <cellStyle name="Normal 3 2 2 2 2 3 8 2 3 2" xfId="29155" xr:uid="{00000000-0005-0000-0000-000014490000}"/>
    <cellStyle name="Normal 3 2 2 2 2 3 8 2 4" xfId="29156" xr:uid="{00000000-0005-0000-0000-000015490000}"/>
    <cellStyle name="Normal 3 2 2 2 2 3 8 2 4 2" xfId="29157" xr:uid="{00000000-0005-0000-0000-000016490000}"/>
    <cellStyle name="Normal 3 2 2 2 2 3 8 2 5" xfId="29158" xr:uid="{00000000-0005-0000-0000-000017490000}"/>
    <cellStyle name="Normal 3 2 2 2 2 3 8 2 6" xfId="29159" xr:uid="{00000000-0005-0000-0000-000018490000}"/>
    <cellStyle name="Normal 3 2 2 2 2 3 8 3" xfId="29160" xr:uid="{00000000-0005-0000-0000-000019490000}"/>
    <cellStyle name="Normal 3 2 2 2 2 3 8 3 2" xfId="29161" xr:uid="{00000000-0005-0000-0000-00001A490000}"/>
    <cellStyle name="Normal 3 2 2 2 2 3 8 3 2 2" xfId="29162" xr:uid="{00000000-0005-0000-0000-00001B490000}"/>
    <cellStyle name="Normal 3 2 2 2 2 3 8 3 3" xfId="29163" xr:uid="{00000000-0005-0000-0000-00001C490000}"/>
    <cellStyle name="Normal 3 2 2 2 2 3 8 3 3 2" xfId="29164" xr:uid="{00000000-0005-0000-0000-00001D490000}"/>
    <cellStyle name="Normal 3 2 2 2 2 3 8 3 4" xfId="29165" xr:uid="{00000000-0005-0000-0000-00001E490000}"/>
    <cellStyle name="Normal 3 2 2 2 2 3 8 3 4 2" xfId="29166" xr:uid="{00000000-0005-0000-0000-00001F490000}"/>
    <cellStyle name="Normal 3 2 2 2 2 3 8 3 5" xfId="29167" xr:uid="{00000000-0005-0000-0000-000020490000}"/>
    <cellStyle name="Normal 3 2 2 2 2 3 8 3 6" xfId="29168" xr:uid="{00000000-0005-0000-0000-000021490000}"/>
    <cellStyle name="Normal 3 2 2 2 2 3 8 4" xfId="29169" xr:uid="{00000000-0005-0000-0000-000022490000}"/>
    <cellStyle name="Normal 3 2 2 2 2 3 8 4 2" xfId="29170" xr:uid="{00000000-0005-0000-0000-000023490000}"/>
    <cellStyle name="Normal 3 2 2 2 2 3 8 4 2 2" xfId="29171" xr:uid="{00000000-0005-0000-0000-000024490000}"/>
    <cellStyle name="Normal 3 2 2 2 2 3 8 4 3" xfId="29172" xr:uid="{00000000-0005-0000-0000-000025490000}"/>
    <cellStyle name="Normal 3 2 2 2 2 3 8 4 3 2" xfId="29173" xr:uid="{00000000-0005-0000-0000-000026490000}"/>
    <cellStyle name="Normal 3 2 2 2 2 3 8 4 4" xfId="29174" xr:uid="{00000000-0005-0000-0000-000027490000}"/>
    <cellStyle name="Normal 3 2 2 2 2 3 8 4 4 2" xfId="29175" xr:uid="{00000000-0005-0000-0000-000028490000}"/>
    <cellStyle name="Normal 3 2 2 2 2 3 8 4 5" xfId="29176" xr:uid="{00000000-0005-0000-0000-000029490000}"/>
    <cellStyle name="Normal 3 2 2 2 2 3 8 4 6" xfId="29177" xr:uid="{00000000-0005-0000-0000-00002A490000}"/>
    <cellStyle name="Normal 3 2 2 2 2 3 8 5" xfId="29178" xr:uid="{00000000-0005-0000-0000-00002B490000}"/>
    <cellStyle name="Normal 3 2 2 2 2 3 8 5 2" xfId="29179" xr:uid="{00000000-0005-0000-0000-00002C490000}"/>
    <cellStyle name="Normal 3 2 2 2 2 3 8 5 2 2" xfId="29180" xr:uid="{00000000-0005-0000-0000-00002D490000}"/>
    <cellStyle name="Normal 3 2 2 2 2 3 8 5 3" xfId="29181" xr:uid="{00000000-0005-0000-0000-00002E490000}"/>
    <cellStyle name="Normal 3 2 2 2 2 3 8 5 3 2" xfId="29182" xr:uid="{00000000-0005-0000-0000-00002F490000}"/>
    <cellStyle name="Normal 3 2 2 2 2 3 8 5 4" xfId="29183" xr:uid="{00000000-0005-0000-0000-000030490000}"/>
    <cellStyle name="Normal 3 2 2 2 2 3 8 5 5" xfId="29184" xr:uid="{00000000-0005-0000-0000-000031490000}"/>
    <cellStyle name="Normal 3 2 2 2 2 3 8 6" xfId="29185" xr:uid="{00000000-0005-0000-0000-000032490000}"/>
    <cellStyle name="Normal 3 2 2 2 2 3 8 6 2" xfId="29186" xr:uid="{00000000-0005-0000-0000-000033490000}"/>
    <cellStyle name="Normal 3 2 2 2 2 3 8 7" xfId="29187" xr:uid="{00000000-0005-0000-0000-000034490000}"/>
    <cellStyle name="Normal 3 2 2 2 2 3 8 7 2" xfId="29188" xr:uid="{00000000-0005-0000-0000-000035490000}"/>
    <cellStyle name="Normal 3 2 2 2 2 3 8 8" xfId="29189" xr:uid="{00000000-0005-0000-0000-000036490000}"/>
    <cellStyle name="Normal 3 2 2 2 2 3 8 8 2" xfId="29190" xr:uid="{00000000-0005-0000-0000-000037490000}"/>
    <cellStyle name="Normal 3 2 2 2 2 3 8 9" xfId="29191" xr:uid="{00000000-0005-0000-0000-000038490000}"/>
    <cellStyle name="Normal 3 2 2 2 2 3 9" xfId="29192" xr:uid="{00000000-0005-0000-0000-000039490000}"/>
    <cellStyle name="Normal 3 2 2 2 2 3 9 2" xfId="29193" xr:uid="{00000000-0005-0000-0000-00003A490000}"/>
    <cellStyle name="Normal 3 2 2 2 2 3 9 2 2" xfId="29194" xr:uid="{00000000-0005-0000-0000-00003B490000}"/>
    <cellStyle name="Normal 3 2 2 2 2 3 9 3" xfId="29195" xr:uid="{00000000-0005-0000-0000-00003C490000}"/>
    <cellStyle name="Normal 3 2 2 2 2 3 9 3 2" xfId="29196" xr:uid="{00000000-0005-0000-0000-00003D490000}"/>
    <cellStyle name="Normal 3 2 2 2 2 3 9 4" xfId="29197" xr:uid="{00000000-0005-0000-0000-00003E490000}"/>
    <cellStyle name="Normal 3 2 2 2 2 3 9 4 2" xfId="29198" xr:uid="{00000000-0005-0000-0000-00003F490000}"/>
    <cellStyle name="Normal 3 2 2 2 2 3 9 5" xfId="29199" xr:uid="{00000000-0005-0000-0000-000040490000}"/>
    <cellStyle name="Normal 3 2 2 2 2 3 9 6" xfId="29200" xr:uid="{00000000-0005-0000-0000-000041490000}"/>
    <cellStyle name="Normal 3 2 2 2 2 4" xfId="2563" xr:uid="{00000000-0005-0000-0000-000042490000}"/>
    <cellStyle name="Normal 3 2 2 2 2 4 10" xfId="29202" xr:uid="{00000000-0005-0000-0000-000043490000}"/>
    <cellStyle name="Normal 3 2 2 2 2 4 10 2" xfId="29203" xr:uid="{00000000-0005-0000-0000-000044490000}"/>
    <cellStyle name="Normal 3 2 2 2 2 4 10 2 2" xfId="29204" xr:uid="{00000000-0005-0000-0000-000045490000}"/>
    <cellStyle name="Normal 3 2 2 2 2 4 10 3" xfId="29205" xr:uid="{00000000-0005-0000-0000-000046490000}"/>
    <cellStyle name="Normal 3 2 2 2 2 4 10 3 2" xfId="29206" xr:uid="{00000000-0005-0000-0000-000047490000}"/>
    <cellStyle name="Normal 3 2 2 2 2 4 10 4" xfId="29207" xr:uid="{00000000-0005-0000-0000-000048490000}"/>
    <cellStyle name="Normal 3 2 2 2 2 4 10 4 2" xfId="29208" xr:uid="{00000000-0005-0000-0000-000049490000}"/>
    <cellStyle name="Normal 3 2 2 2 2 4 10 5" xfId="29209" xr:uid="{00000000-0005-0000-0000-00004A490000}"/>
    <cellStyle name="Normal 3 2 2 2 2 4 10 6" xfId="29210" xr:uid="{00000000-0005-0000-0000-00004B490000}"/>
    <cellStyle name="Normal 3 2 2 2 2 4 11" xfId="29211" xr:uid="{00000000-0005-0000-0000-00004C490000}"/>
    <cellStyle name="Normal 3 2 2 2 2 4 11 2" xfId="29212" xr:uid="{00000000-0005-0000-0000-00004D490000}"/>
    <cellStyle name="Normal 3 2 2 2 2 4 11 2 2" xfId="29213" xr:uid="{00000000-0005-0000-0000-00004E490000}"/>
    <cellStyle name="Normal 3 2 2 2 2 4 11 3" xfId="29214" xr:uid="{00000000-0005-0000-0000-00004F490000}"/>
    <cellStyle name="Normal 3 2 2 2 2 4 11 3 2" xfId="29215" xr:uid="{00000000-0005-0000-0000-000050490000}"/>
    <cellStyle name="Normal 3 2 2 2 2 4 11 4" xfId="29216" xr:uid="{00000000-0005-0000-0000-000051490000}"/>
    <cellStyle name="Normal 3 2 2 2 2 4 11 5" xfId="29217" xr:uid="{00000000-0005-0000-0000-000052490000}"/>
    <cellStyle name="Normal 3 2 2 2 2 4 12" xfId="29218" xr:uid="{00000000-0005-0000-0000-000053490000}"/>
    <cellStyle name="Normal 3 2 2 2 2 4 12 2" xfId="29219" xr:uid="{00000000-0005-0000-0000-000054490000}"/>
    <cellStyle name="Normal 3 2 2 2 2 4 13" xfId="29220" xr:uid="{00000000-0005-0000-0000-000055490000}"/>
    <cellStyle name="Normal 3 2 2 2 2 4 13 2" xfId="29221" xr:uid="{00000000-0005-0000-0000-000056490000}"/>
    <cellStyle name="Normal 3 2 2 2 2 4 14" xfId="29222" xr:uid="{00000000-0005-0000-0000-000057490000}"/>
    <cellStyle name="Normal 3 2 2 2 2 4 14 2" xfId="29223" xr:uid="{00000000-0005-0000-0000-000058490000}"/>
    <cellStyle name="Normal 3 2 2 2 2 4 15" xfId="29224" xr:uid="{00000000-0005-0000-0000-000059490000}"/>
    <cellStyle name="Normal 3 2 2 2 2 4 16" xfId="29225" xr:uid="{00000000-0005-0000-0000-00005A490000}"/>
    <cellStyle name="Normal 3 2 2 2 2 4 17" xfId="29201" xr:uid="{00000000-0005-0000-0000-00005B490000}"/>
    <cellStyle name="Normal 3 2 2 2 2 4 2" xfId="2564" xr:uid="{00000000-0005-0000-0000-00005C490000}"/>
    <cellStyle name="Normal 3 2 2 2 2 4 2 10" xfId="29227" xr:uid="{00000000-0005-0000-0000-00005D490000}"/>
    <cellStyle name="Normal 3 2 2 2 2 4 2 10 2" xfId="29228" xr:uid="{00000000-0005-0000-0000-00005E490000}"/>
    <cellStyle name="Normal 3 2 2 2 2 4 2 11" xfId="29229" xr:uid="{00000000-0005-0000-0000-00005F490000}"/>
    <cellStyle name="Normal 3 2 2 2 2 4 2 11 2" xfId="29230" xr:uid="{00000000-0005-0000-0000-000060490000}"/>
    <cellStyle name="Normal 3 2 2 2 2 4 2 12" xfId="29231" xr:uid="{00000000-0005-0000-0000-000061490000}"/>
    <cellStyle name="Normal 3 2 2 2 2 4 2 13" xfId="29232" xr:uid="{00000000-0005-0000-0000-000062490000}"/>
    <cellStyle name="Normal 3 2 2 2 2 4 2 14" xfId="29226" xr:uid="{00000000-0005-0000-0000-000063490000}"/>
    <cellStyle name="Normal 3 2 2 2 2 4 2 2" xfId="2565" xr:uid="{00000000-0005-0000-0000-000064490000}"/>
    <cellStyle name="Normal 3 2 2 2 2 4 2 2 10" xfId="29234" xr:uid="{00000000-0005-0000-0000-000065490000}"/>
    <cellStyle name="Normal 3 2 2 2 2 4 2 2 11" xfId="29235" xr:uid="{00000000-0005-0000-0000-000066490000}"/>
    <cellStyle name="Normal 3 2 2 2 2 4 2 2 12" xfId="29233" xr:uid="{00000000-0005-0000-0000-000067490000}"/>
    <cellStyle name="Normal 3 2 2 2 2 4 2 2 2" xfId="2566" xr:uid="{00000000-0005-0000-0000-000068490000}"/>
    <cellStyle name="Normal 3 2 2 2 2 4 2 2 2 2" xfId="29237" xr:uid="{00000000-0005-0000-0000-000069490000}"/>
    <cellStyle name="Normal 3 2 2 2 2 4 2 2 2 2 2" xfId="29238" xr:uid="{00000000-0005-0000-0000-00006A490000}"/>
    <cellStyle name="Normal 3 2 2 2 2 4 2 2 2 3" xfId="29239" xr:uid="{00000000-0005-0000-0000-00006B490000}"/>
    <cellStyle name="Normal 3 2 2 2 2 4 2 2 2 3 2" xfId="29240" xr:uid="{00000000-0005-0000-0000-00006C490000}"/>
    <cellStyle name="Normal 3 2 2 2 2 4 2 2 2 4" xfId="29241" xr:uid="{00000000-0005-0000-0000-00006D490000}"/>
    <cellStyle name="Normal 3 2 2 2 2 4 2 2 2 4 2" xfId="29242" xr:uid="{00000000-0005-0000-0000-00006E490000}"/>
    <cellStyle name="Normal 3 2 2 2 2 4 2 2 2 5" xfId="29243" xr:uid="{00000000-0005-0000-0000-00006F490000}"/>
    <cellStyle name="Normal 3 2 2 2 2 4 2 2 2 6" xfId="29244" xr:uid="{00000000-0005-0000-0000-000070490000}"/>
    <cellStyle name="Normal 3 2 2 2 2 4 2 2 2 7" xfId="29236" xr:uid="{00000000-0005-0000-0000-000071490000}"/>
    <cellStyle name="Normal 3 2 2 2 2 4 2 2 3" xfId="2567" xr:uid="{00000000-0005-0000-0000-000072490000}"/>
    <cellStyle name="Normal 3 2 2 2 2 4 2 2 3 2" xfId="29246" xr:uid="{00000000-0005-0000-0000-000073490000}"/>
    <cellStyle name="Normal 3 2 2 2 2 4 2 2 3 2 2" xfId="29247" xr:uid="{00000000-0005-0000-0000-000074490000}"/>
    <cellStyle name="Normal 3 2 2 2 2 4 2 2 3 3" xfId="29248" xr:uid="{00000000-0005-0000-0000-000075490000}"/>
    <cellStyle name="Normal 3 2 2 2 2 4 2 2 3 3 2" xfId="29249" xr:uid="{00000000-0005-0000-0000-000076490000}"/>
    <cellStyle name="Normal 3 2 2 2 2 4 2 2 3 4" xfId="29250" xr:uid="{00000000-0005-0000-0000-000077490000}"/>
    <cellStyle name="Normal 3 2 2 2 2 4 2 2 3 4 2" xfId="29251" xr:uid="{00000000-0005-0000-0000-000078490000}"/>
    <cellStyle name="Normal 3 2 2 2 2 4 2 2 3 5" xfId="29252" xr:uid="{00000000-0005-0000-0000-000079490000}"/>
    <cellStyle name="Normal 3 2 2 2 2 4 2 2 3 6" xfId="29253" xr:uid="{00000000-0005-0000-0000-00007A490000}"/>
    <cellStyle name="Normal 3 2 2 2 2 4 2 2 3 7" xfId="29245" xr:uid="{00000000-0005-0000-0000-00007B490000}"/>
    <cellStyle name="Normal 3 2 2 2 2 4 2 2 4" xfId="29254" xr:uid="{00000000-0005-0000-0000-00007C490000}"/>
    <cellStyle name="Normal 3 2 2 2 2 4 2 2 4 2" xfId="29255" xr:uid="{00000000-0005-0000-0000-00007D490000}"/>
    <cellStyle name="Normal 3 2 2 2 2 4 2 2 4 2 2" xfId="29256" xr:uid="{00000000-0005-0000-0000-00007E490000}"/>
    <cellStyle name="Normal 3 2 2 2 2 4 2 2 4 3" xfId="29257" xr:uid="{00000000-0005-0000-0000-00007F490000}"/>
    <cellStyle name="Normal 3 2 2 2 2 4 2 2 4 3 2" xfId="29258" xr:uid="{00000000-0005-0000-0000-000080490000}"/>
    <cellStyle name="Normal 3 2 2 2 2 4 2 2 4 4" xfId="29259" xr:uid="{00000000-0005-0000-0000-000081490000}"/>
    <cellStyle name="Normal 3 2 2 2 2 4 2 2 4 4 2" xfId="29260" xr:uid="{00000000-0005-0000-0000-000082490000}"/>
    <cellStyle name="Normal 3 2 2 2 2 4 2 2 4 5" xfId="29261" xr:uid="{00000000-0005-0000-0000-000083490000}"/>
    <cellStyle name="Normal 3 2 2 2 2 4 2 2 4 6" xfId="29262" xr:uid="{00000000-0005-0000-0000-000084490000}"/>
    <cellStyle name="Normal 3 2 2 2 2 4 2 2 5" xfId="29263" xr:uid="{00000000-0005-0000-0000-000085490000}"/>
    <cellStyle name="Normal 3 2 2 2 2 4 2 2 5 2" xfId="29264" xr:uid="{00000000-0005-0000-0000-000086490000}"/>
    <cellStyle name="Normal 3 2 2 2 2 4 2 2 5 2 2" xfId="29265" xr:uid="{00000000-0005-0000-0000-000087490000}"/>
    <cellStyle name="Normal 3 2 2 2 2 4 2 2 5 3" xfId="29266" xr:uid="{00000000-0005-0000-0000-000088490000}"/>
    <cellStyle name="Normal 3 2 2 2 2 4 2 2 5 3 2" xfId="29267" xr:uid="{00000000-0005-0000-0000-000089490000}"/>
    <cellStyle name="Normal 3 2 2 2 2 4 2 2 5 4" xfId="29268" xr:uid="{00000000-0005-0000-0000-00008A490000}"/>
    <cellStyle name="Normal 3 2 2 2 2 4 2 2 5 4 2" xfId="29269" xr:uid="{00000000-0005-0000-0000-00008B490000}"/>
    <cellStyle name="Normal 3 2 2 2 2 4 2 2 5 5" xfId="29270" xr:uid="{00000000-0005-0000-0000-00008C490000}"/>
    <cellStyle name="Normal 3 2 2 2 2 4 2 2 5 6" xfId="29271" xr:uid="{00000000-0005-0000-0000-00008D490000}"/>
    <cellStyle name="Normal 3 2 2 2 2 4 2 2 6" xfId="29272" xr:uid="{00000000-0005-0000-0000-00008E490000}"/>
    <cellStyle name="Normal 3 2 2 2 2 4 2 2 6 2" xfId="29273" xr:uid="{00000000-0005-0000-0000-00008F490000}"/>
    <cellStyle name="Normal 3 2 2 2 2 4 2 2 6 2 2" xfId="29274" xr:uid="{00000000-0005-0000-0000-000090490000}"/>
    <cellStyle name="Normal 3 2 2 2 2 4 2 2 6 3" xfId="29275" xr:uid="{00000000-0005-0000-0000-000091490000}"/>
    <cellStyle name="Normal 3 2 2 2 2 4 2 2 6 3 2" xfId="29276" xr:uid="{00000000-0005-0000-0000-000092490000}"/>
    <cellStyle name="Normal 3 2 2 2 2 4 2 2 6 4" xfId="29277" xr:uid="{00000000-0005-0000-0000-000093490000}"/>
    <cellStyle name="Normal 3 2 2 2 2 4 2 2 6 5" xfId="29278" xr:uid="{00000000-0005-0000-0000-000094490000}"/>
    <cellStyle name="Normal 3 2 2 2 2 4 2 2 7" xfId="29279" xr:uid="{00000000-0005-0000-0000-000095490000}"/>
    <cellStyle name="Normal 3 2 2 2 2 4 2 2 7 2" xfId="29280" xr:uid="{00000000-0005-0000-0000-000096490000}"/>
    <cellStyle name="Normal 3 2 2 2 2 4 2 2 8" xfId="29281" xr:uid="{00000000-0005-0000-0000-000097490000}"/>
    <cellStyle name="Normal 3 2 2 2 2 4 2 2 8 2" xfId="29282" xr:uid="{00000000-0005-0000-0000-000098490000}"/>
    <cellStyle name="Normal 3 2 2 2 2 4 2 2 9" xfId="29283" xr:uid="{00000000-0005-0000-0000-000099490000}"/>
    <cellStyle name="Normal 3 2 2 2 2 4 2 2 9 2" xfId="29284" xr:uid="{00000000-0005-0000-0000-00009A490000}"/>
    <cellStyle name="Normal 3 2 2 2 2 4 2 3" xfId="2568" xr:uid="{00000000-0005-0000-0000-00009B490000}"/>
    <cellStyle name="Normal 3 2 2 2 2 4 2 3 10" xfId="29286" xr:uid="{00000000-0005-0000-0000-00009C490000}"/>
    <cellStyle name="Normal 3 2 2 2 2 4 2 3 11" xfId="29285" xr:uid="{00000000-0005-0000-0000-00009D490000}"/>
    <cellStyle name="Normal 3 2 2 2 2 4 2 3 2" xfId="2569" xr:uid="{00000000-0005-0000-0000-00009E490000}"/>
    <cellStyle name="Normal 3 2 2 2 2 4 2 3 2 2" xfId="29288" xr:uid="{00000000-0005-0000-0000-00009F490000}"/>
    <cellStyle name="Normal 3 2 2 2 2 4 2 3 2 2 2" xfId="29289" xr:uid="{00000000-0005-0000-0000-0000A0490000}"/>
    <cellStyle name="Normal 3 2 2 2 2 4 2 3 2 3" xfId="29290" xr:uid="{00000000-0005-0000-0000-0000A1490000}"/>
    <cellStyle name="Normal 3 2 2 2 2 4 2 3 2 3 2" xfId="29291" xr:uid="{00000000-0005-0000-0000-0000A2490000}"/>
    <cellStyle name="Normal 3 2 2 2 2 4 2 3 2 4" xfId="29292" xr:uid="{00000000-0005-0000-0000-0000A3490000}"/>
    <cellStyle name="Normal 3 2 2 2 2 4 2 3 2 4 2" xfId="29293" xr:uid="{00000000-0005-0000-0000-0000A4490000}"/>
    <cellStyle name="Normal 3 2 2 2 2 4 2 3 2 5" xfId="29294" xr:uid="{00000000-0005-0000-0000-0000A5490000}"/>
    <cellStyle name="Normal 3 2 2 2 2 4 2 3 2 6" xfId="29295" xr:uid="{00000000-0005-0000-0000-0000A6490000}"/>
    <cellStyle name="Normal 3 2 2 2 2 4 2 3 2 7" xfId="29287" xr:uid="{00000000-0005-0000-0000-0000A7490000}"/>
    <cellStyle name="Normal 3 2 2 2 2 4 2 3 3" xfId="29296" xr:uid="{00000000-0005-0000-0000-0000A8490000}"/>
    <cellStyle name="Normal 3 2 2 2 2 4 2 3 3 2" xfId="29297" xr:uid="{00000000-0005-0000-0000-0000A9490000}"/>
    <cellStyle name="Normal 3 2 2 2 2 4 2 3 3 2 2" xfId="29298" xr:uid="{00000000-0005-0000-0000-0000AA490000}"/>
    <cellStyle name="Normal 3 2 2 2 2 4 2 3 3 3" xfId="29299" xr:uid="{00000000-0005-0000-0000-0000AB490000}"/>
    <cellStyle name="Normal 3 2 2 2 2 4 2 3 3 3 2" xfId="29300" xr:uid="{00000000-0005-0000-0000-0000AC490000}"/>
    <cellStyle name="Normal 3 2 2 2 2 4 2 3 3 4" xfId="29301" xr:uid="{00000000-0005-0000-0000-0000AD490000}"/>
    <cellStyle name="Normal 3 2 2 2 2 4 2 3 3 4 2" xfId="29302" xr:uid="{00000000-0005-0000-0000-0000AE490000}"/>
    <cellStyle name="Normal 3 2 2 2 2 4 2 3 3 5" xfId="29303" xr:uid="{00000000-0005-0000-0000-0000AF490000}"/>
    <cellStyle name="Normal 3 2 2 2 2 4 2 3 3 6" xfId="29304" xr:uid="{00000000-0005-0000-0000-0000B0490000}"/>
    <cellStyle name="Normal 3 2 2 2 2 4 2 3 4" xfId="29305" xr:uid="{00000000-0005-0000-0000-0000B1490000}"/>
    <cellStyle name="Normal 3 2 2 2 2 4 2 3 4 2" xfId="29306" xr:uid="{00000000-0005-0000-0000-0000B2490000}"/>
    <cellStyle name="Normal 3 2 2 2 2 4 2 3 4 2 2" xfId="29307" xr:uid="{00000000-0005-0000-0000-0000B3490000}"/>
    <cellStyle name="Normal 3 2 2 2 2 4 2 3 4 3" xfId="29308" xr:uid="{00000000-0005-0000-0000-0000B4490000}"/>
    <cellStyle name="Normal 3 2 2 2 2 4 2 3 4 3 2" xfId="29309" xr:uid="{00000000-0005-0000-0000-0000B5490000}"/>
    <cellStyle name="Normal 3 2 2 2 2 4 2 3 4 4" xfId="29310" xr:uid="{00000000-0005-0000-0000-0000B6490000}"/>
    <cellStyle name="Normal 3 2 2 2 2 4 2 3 4 4 2" xfId="29311" xr:uid="{00000000-0005-0000-0000-0000B7490000}"/>
    <cellStyle name="Normal 3 2 2 2 2 4 2 3 4 5" xfId="29312" xr:uid="{00000000-0005-0000-0000-0000B8490000}"/>
    <cellStyle name="Normal 3 2 2 2 2 4 2 3 4 6" xfId="29313" xr:uid="{00000000-0005-0000-0000-0000B9490000}"/>
    <cellStyle name="Normal 3 2 2 2 2 4 2 3 5" xfId="29314" xr:uid="{00000000-0005-0000-0000-0000BA490000}"/>
    <cellStyle name="Normal 3 2 2 2 2 4 2 3 5 2" xfId="29315" xr:uid="{00000000-0005-0000-0000-0000BB490000}"/>
    <cellStyle name="Normal 3 2 2 2 2 4 2 3 5 2 2" xfId="29316" xr:uid="{00000000-0005-0000-0000-0000BC490000}"/>
    <cellStyle name="Normal 3 2 2 2 2 4 2 3 5 3" xfId="29317" xr:uid="{00000000-0005-0000-0000-0000BD490000}"/>
    <cellStyle name="Normal 3 2 2 2 2 4 2 3 5 3 2" xfId="29318" xr:uid="{00000000-0005-0000-0000-0000BE490000}"/>
    <cellStyle name="Normal 3 2 2 2 2 4 2 3 5 4" xfId="29319" xr:uid="{00000000-0005-0000-0000-0000BF490000}"/>
    <cellStyle name="Normal 3 2 2 2 2 4 2 3 5 5" xfId="29320" xr:uid="{00000000-0005-0000-0000-0000C0490000}"/>
    <cellStyle name="Normal 3 2 2 2 2 4 2 3 6" xfId="29321" xr:uid="{00000000-0005-0000-0000-0000C1490000}"/>
    <cellStyle name="Normal 3 2 2 2 2 4 2 3 6 2" xfId="29322" xr:uid="{00000000-0005-0000-0000-0000C2490000}"/>
    <cellStyle name="Normal 3 2 2 2 2 4 2 3 7" xfId="29323" xr:uid="{00000000-0005-0000-0000-0000C3490000}"/>
    <cellStyle name="Normal 3 2 2 2 2 4 2 3 7 2" xfId="29324" xr:uid="{00000000-0005-0000-0000-0000C4490000}"/>
    <cellStyle name="Normal 3 2 2 2 2 4 2 3 8" xfId="29325" xr:uid="{00000000-0005-0000-0000-0000C5490000}"/>
    <cellStyle name="Normal 3 2 2 2 2 4 2 3 8 2" xfId="29326" xr:uid="{00000000-0005-0000-0000-0000C6490000}"/>
    <cellStyle name="Normal 3 2 2 2 2 4 2 3 9" xfId="29327" xr:uid="{00000000-0005-0000-0000-0000C7490000}"/>
    <cellStyle name="Normal 3 2 2 2 2 4 2 4" xfId="2570" xr:uid="{00000000-0005-0000-0000-0000C8490000}"/>
    <cellStyle name="Normal 3 2 2 2 2 4 2 4 10" xfId="29329" xr:uid="{00000000-0005-0000-0000-0000C9490000}"/>
    <cellStyle name="Normal 3 2 2 2 2 4 2 4 11" xfId="29328" xr:uid="{00000000-0005-0000-0000-0000CA490000}"/>
    <cellStyle name="Normal 3 2 2 2 2 4 2 4 2" xfId="2571" xr:uid="{00000000-0005-0000-0000-0000CB490000}"/>
    <cellStyle name="Normal 3 2 2 2 2 4 2 4 2 2" xfId="29331" xr:uid="{00000000-0005-0000-0000-0000CC490000}"/>
    <cellStyle name="Normal 3 2 2 2 2 4 2 4 2 2 2" xfId="29332" xr:uid="{00000000-0005-0000-0000-0000CD490000}"/>
    <cellStyle name="Normal 3 2 2 2 2 4 2 4 2 3" xfId="29333" xr:uid="{00000000-0005-0000-0000-0000CE490000}"/>
    <cellStyle name="Normal 3 2 2 2 2 4 2 4 2 3 2" xfId="29334" xr:uid="{00000000-0005-0000-0000-0000CF490000}"/>
    <cellStyle name="Normal 3 2 2 2 2 4 2 4 2 4" xfId="29335" xr:uid="{00000000-0005-0000-0000-0000D0490000}"/>
    <cellStyle name="Normal 3 2 2 2 2 4 2 4 2 4 2" xfId="29336" xr:uid="{00000000-0005-0000-0000-0000D1490000}"/>
    <cellStyle name="Normal 3 2 2 2 2 4 2 4 2 5" xfId="29337" xr:uid="{00000000-0005-0000-0000-0000D2490000}"/>
    <cellStyle name="Normal 3 2 2 2 2 4 2 4 2 6" xfId="29338" xr:uid="{00000000-0005-0000-0000-0000D3490000}"/>
    <cellStyle name="Normal 3 2 2 2 2 4 2 4 2 7" xfId="29330" xr:uid="{00000000-0005-0000-0000-0000D4490000}"/>
    <cellStyle name="Normal 3 2 2 2 2 4 2 4 3" xfId="29339" xr:uid="{00000000-0005-0000-0000-0000D5490000}"/>
    <cellStyle name="Normal 3 2 2 2 2 4 2 4 3 2" xfId="29340" xr:uid="{00000000-0005-0000-0000-0000D6490000}"/>
    <cellStyle name="Normal 3 2 2 2 2 4 2 4 3 2 2" xfId="29341" xr:uid="{00000000-0005-0000-0000-0000D7490000}"/>
    <cellStyle name="Normal 3 2 2 2 2 4 2 4 3 3" xfId="29342" xr:uid="{00000000-0005-0000-0000-0000D8490000}"/>
    <cellStyle name="Normal 3 2 2 2 2 4 2 4 3 3 2" xfId="29343" xr:uid="{00000000-0005-0000-0000-0000D9490000}"/>
    <cellStyle name="Normal 3 2 2 2 2 4 2 4 3 4" xfId="29344" xr:uid="{00000000-0005-0000-0000-0000DA490000}"/>
    <cellStyle name="Normal 3 2 2 2 2 4 2 4 3 4 2" xfId="29345" xr:uid="{00000000-0005-0000-0000-0000DB490000}"/>
    <cellStyle name="Normal 3 2 2 2 2 4 2 4 3 5" xfId="29346" xr:uid="{00000000-0005-0000-0000-0000DC490000}"/>
    <cellStyle name="Normal 3 2 2 2 2 4 2 4 3 6" xfId="29347" xr:uid="{00000000-0005-0000-0000-0000DD490000}"/>
    <cellStyle name="Normal 3 2 2 2 2 4 2 4 4" xfId="29348" xr:uid="{00000000-0005-0000-0000-0000DE490000}"/>
    <cellStyle name="Normal 3 2 2 2 2 4 2 4 4 2" xfId="29349" xr:uid="{00000000-0005-0000-0000-0000DF490000}"/>
    <cellStyle name="Normal 3 2 2 2 2 4 2 4 4 2 2" xfId="29350" xr:uid="{00000000-0005-0000-0000-0000E0490000}"/>
    <cellStyle name="Normal 3 2 2 2 2 4 2 4 4 3" xfId="29351" xr:uid="{00000000-0005-0000-0000-0000E1490000}"/>
    <cellStyle name="Normal 3 2 2 2 2 4 2 4 4 3 2" xfId="29352" xr:uid="{00000000-0005-0000-0000-0000E2490000}"/>
    <cellStyle name="Normal 3 2 2 2 2 4 2 4 4 4" xfId="29353" xr:uid="{00000000-0005-0000-0000-0000E3490000}"/>
    <cellStyle name="Normal 3 2 2 2 2 4 2 4 4 4 2" xfId="29354" xr:uid="{00000000-0005-0000-0000-0000E4490000}"/>
    <cellStyle name="Normal 3 2 2 2 2 4 2 4 4 5" xfId="29355" xr:uid="{00000000-0005-0000-0000-0000E5490000}"/>
    <cellStyle name="Normal 3 2 2 2 2 4 2 4 4 6" xfId="29356" xr:uid="{00000000-0005-0000-0000-0000E6490000}"/>
    <cellStyle name="Normal 3 2 2 2 2 4 2 4 5" xfId="29357" xr:uid="{00000000-0005-0000-0000-0000E7490000}"/>
    <cellStyle name="Normal 3 2 2 2 2 4 2 4 5 2" xfId="29358" xr:uid="{00000000-0005-0000-0000-0000E8490000}"/>
    <cellStyle name="Normal 3 2 2 2 2 4 2 4 5 2 2" xfId="29359" xr:uid="{00000000-0005-0000-0000-0000E9490000}"/>
    <cellStyle name="Normal 3 2 2 2 2 4 2 4 5 3" xfId="29360" xr:uid="{00000000-0005-0000-0000-0000EA490000}"/>
    <cellStyle name="Normal 3 2 2 2 2 4 2 4 5 3 2" xfId="29361" xr:uid="{00000000-0005-0000-0000-0000EB490000}"/>
    <cellStyle name="Normal 3 2 2 2 2 4 2 4 5 4" xfId="29362" xr:uid="{00000000-0005-0000-0000-0000EC490000}"/>
    <cellStyle name="Normal 3 2 2 2 2 4 2 4 5 5" xfId="29363" xr:uid="{00000000-0005-0000-0000-0000ED490000}"/>
    <cellStyle name="Normal 3 2 2 2 2 4 2 4 6" xfId="29364" xr:uid="{00000000-0005-0000-0000-0000EE490000}"/>
    <cellStyle name="Normal 3 2 2 2 2 4 2 4 6 2" xfId="29365" xr:uid="{00000000-0005-0000-0000-0000EF490000}"/>
    <cellStyle name="Normal 3 2 2 2 2 4 2 4 7" xfId="29366" xr:uid="{00000000-0005-0000-0000-0000F0490000}"/>
    <cellStyle name="Normal 3 2 2 2 2 4 2 4 7 2" xfId="29367" xr:uid="{00000000-0005-0000-0000-0000F1490000}"/>
    <cellStyle name="Normal 3 2 2 2 2 4 2 4 8" xfId="29368" xr:uid="{00000000-0005-0000-0000-0000F2490000}"/>
    <cellStyle name="Normal 3 2 2 2 2 4 2 4 8 2" xfId="29369" xr:uid="{00000000-0005-0000-0000-0000F3490000}"/>
    <cellStyle name="Normal 3 2 2 2 2 4 2 4 9" xfId="29370" xr:uid="{00000000-0005-0000-0000-0000F4490000}"/>
    <cellStyle name="Normal 3 2 2 2 2 4 2 5" xfId="2572" xr:uid="{00000000-0005-0000-0000-0000F5490000}"/>
    <cellStyle name="Normal 3 2 2 2 2 4 2 5 2" xfId="29372" xr:uid="{00000000-0005-0000-0000-0000F6490000}"/>
    <cellStyle name="Normal 3 2 2 2 2 4 2 5 2 2" xfId="29373" xr:uid="{00000000-0005-0000-0000-0000F7490000}"/>
    <cellStyle name="Normal 3 2 2 2 2 4 2 5 3" xfId="29374" xr:uid="{00000000-0005-0000-0000-0000F8490000}"/>
    <cellStyle name="Normal 3 2 2 2 2 4 2 5 3 2" xfId="29375" xr:uid="{00000000-0005-0000-0000-0000F9490000}"/>
    <cellStyle name="Normal 3 2 2 2 2 4 2 5 4" xfId="29376" xr:uid="{00000000-0005-0000-0000-0000FA490000}"/>
    <cellStyle name="Normal 3 2 2 2 2 4 2 5 4 2" xfId="29377" xr:uid="{00000000-0005-0000-0000-0000FB490000}"/>
    <cellStyle name="Normal 3 2 2 2 2 4 2 5 5" xfId="29378" xr:uid="{00000000-0005-0000-0000-0000FC490000}"/>
    <cellStyle name="Normal 3 2 2 2 2 4 2 5 6" xfId="29379" xr:uid="{00000000-0005-0000-0000-0000FD490000}"/>
    <cellStyle name="Normal 3 2 2 2 2 4 2 5 7" xfId="29371" xr:uid="{00000000-0005-0000-0000-0000FE490000}"/>
    <cellStyle name="Normal 3 2 2 2 2 4 2 6" xfId="29380" xr:uid="{00000000-0005-0000-0000-0000FF490000}"/>
    <cellStyle name="Normal 3 2 2 2 2 4 2 6 2" xfId="29381" xr:uid="{00000000-0005-0000-0000-0000004A0000}"/>
    <cellStyle name="Normal 3 2 2 2 2 4 2 6 2 2" xfId="29382" xr:uid="{00000000-0005-0000-0000-0000014A0000}"/>
    <cellStyle name="Normal 3 2 2 2 2 4 2 6 3" xfId="29383" xr:uid="{00000000-0005-0000-0000-0000024A0000}"/>
    <cellStyle name="Normal 3 2 2 2 2 4 2 6 3 2" xfId="29384" xr:uid="{00000000-0005-0000-0000-0000034A0000}"/>
    <cellStyle name="Normal 3 2 2 2 2 4 2 6 4" xfId="29385" xr:uid="{00000000-0005-0000-0000-0000044A0000}"/>
    <cellStyle name="Normal 3 2 2 2 2 4 2 6 4 2" xfId="29386" xr:uid="{00000000-0005-0000-0000-0000054A0000}"/>
    <cellStyle name="Normal 3 2 2 2 2 4 2 6 5" xfId="29387" xr:uid="{00000000-0005-0000-0000-0000064A0000}"/>
    <cellStyle name="Normal 3 2 2 2 2 4 2 6 6" xfId="29388" xr:uid="{00000000-0005-0000-0000-0000074A0000}"/>
    <cellStyle name="Normal 3 2 2 2 2 4 2 7" xfId="29389" xr:uid="{00000000-0005-0000-0000-0000084A0000}"/>
    <cellStyle name="Normal 3 2 2 2 2 4 2 7 2" xfId="29390" xr:uid="{00000000-0005-0000-0000-0000094A0000}"/>
    <cellStyle name="Normal 3 2 2 2 2 4 2 7 2 2" xfId="29391" xr:uid="{00000000-0005-0000-0000-00000A4A0000}"/>
    <cellStyle name="Normal 3 2 2 2 2 4 2 7 3" xfId="29392" xr:uid="{00000000-0005-0000-0000-00000B4A0000}"/>
    <cellStyle name="Normal 3 2 2 2 2 4 2 7 3 2" xfId="29393" xr:uid="{00000000-0005-0000-0000-00000C4A0000}"/>
    <cellStyle name="Normal 3 2 2 2 2 4 2 7 4" xfId="29394" xr:uid="{00000000-0005-0000-0000-00000D4A0000}"/>
    <cellStyle name="Normal 3 2 2 2 2 4 2 7 4 2" xfId="29395" xr:uid="{00000000-0005-0000-0000-00000E4A0000}"/>
    <cellStyle name="Normal 3 2 2 2 2 4 2 7 5" xfId="29396" xr:uid="{00000000-0005-0000-0000-00000F4A0000}"/>
    <cellStyle name="Normal 3 2 2 2 2 4 2 7 6" xfId="29397" xr:uid="{00000000-0005-0000-0000-0000104A0000}"/>
    <cellStyle name="Normal 3 2 2 2 2 4 2 8" xfId="29398" xr:uid="{00000000-0005-0000-0000-0000114A0000}"/>
    <cellStyle name="Normal 3 2 2 2 2 4 2 8 2" xfId="29399" xr:uid="{00000000-0005-0000-0000-0000124A0000}"/>
    <cellStyle name="Normal 3 2 2 2 2 4 2 8 2 2" xfId="29400" xr:uid="{00000000-0005-0000-0000-0000134A0000}"/>
    <cellStyle name="Normal 3 2 2 2 2 4 2 8 3" xfId="29401" xr:uid="{00000000-0005-0000-0000-0000144A0000}"/>
    <cellStyle name="Normal 3 2 2 2 2 4 2 8 3 2" xfId="29402" xr:uid="{00000000-0005-0000-0000-0000154A0000}"/>
    <cellStyle name="Normal 3 2 2 2 2 4 2 8 4" xfId="29403" xr:uid="{00000000-0005-0000-0000-0000164A0000}"/>
    <cellStyle name="Normal 3 2 2 2 2 4 2 8 5" xfId="29404" xr:uid="{00000000-0005-0000-0000-0000174A0000}"/>
    <cellStyle name="Normal 3 2 2 2 2 4 2 9" xfId="29405" xr:uid="{00000000-0005-0000-0000-0000184A0000}"/>
    <cellStyle name="Normal 3 2 2 2 2 4 2 9 2" xfId="29406" xr:uid="{00000000-0005-0000-0000-0000194A0000}"/>
    <cellStyle name="Normal 3 2 2 2 2 4 3" xfId="2573" xr:uid="{00000000-0005-0000-0000-00001A4A0000}"/>
    <cellStyle name="Normal 3 2 2 2 2 4 3 10" xfId="29408" xr:uid="{00000000-0005-0000-0000-00001B4A0000}"/>
    <cellStyle name="Normal 3 2 2 2 2 4 3 10 2" xfId="29409" xr:uid="{00000000-0005-0000-0000-00001C4A0000}"/>
    <cellStyle name="Normal 3 2 2 2 2 4 3 11" xfId="29410" xr:uid="{00000000-0005-0000-0000-00001D4A0000}"/>
    <cellStyle name="Normal 3 2 2 2 2 4 3 11 2" xfId="29411" xr:uid="{00000000-0005-0000-0000-00001E4A0000}"/>
    <cellStyle name="Normal 3 2 2 2 2 4 3 12" xfId="29412" xr:uid="{00000000-0005-0000-0000-00001F4A0000}"/>
    <cellStyle name="Normal 3 2 2 2 2 4 3 13" xfId="29413" xr:uid="{00000000-0005-0000-0000-0000204A0000}"/>
    <cellStyle name="Normal 3 2 2 2 2 4 3 14" xfId="29407" xr:uid="{00000000-0005-0000-0000-0000214A0000}"/>
    <cellStyle name="Normal 3 2 2 2 2 4 3 2" xfId="2574" xr:uid="{00000000-0005-0000-0000-0000224A0000}"/>
    <cellStyle name="Normal 3 2 2 2 2 4 3 2 10" xfId="29415" xr:uid="{00000000-0005-0000-0000-0000234A0000}"/>
    <cellStyle name="Normal 3 2 2 2 2 4 3 2 11" xfId="29416" xr:uid="{00000000-0005-0000-0000-0000244A0000}"/>
    <cellStyle name="Normal 3 2 2 2 2 4 3 2 12" xfId="29414" xr:uid="{00000000-0005-0000-0000-0000254A0000}"/>
    <cellStyle name="Normal 3 2 2 2 2 4 3 2 2" xfId="2575" xr:uid="{00000000-0005-0000-0000-0000264A0000}"/>
    <cellStyle name="Normal 3 2 2 2 2 4 3 2 2 2" xfId="29418" xr:uid="{00000000-0005-0000-0000-0000274A0000}"/>
    <cellStyle name="Normal 3 2 2 2 2 4 3 2 2 2 2" xfId="29419" xr:uid="{00000000-0005-0000-0000-0000284A0000}"/>
    <cellStyle name="Normal 3 2 2 2 2 4 3 2 2 3" xfId="29420" xr:uid="{00000000-0005-0000-0000-0000294A0000}"/>
    <cellStyle name="Normal 3 2 2 2 2 4 3 2 2 3 2" xfId="29421" xr:uid="{00000000-0005-0000-0000-00002A4A0000}"/>
    <cellStyle name="Normal 3 2 2 2 2 4 3 2 2 4" xfId="29422" xr:uid="{00000000-0005-0000-0000-00002B4A0000}"/>
    <cellStyle name="Normal 3 2 2 2 2 4 3 2 2 4 2" xfId="29423" xr:uid="{00000000-0005-0000-0000-00002C4A0000}"/>
    <cellStyle name="Normal 3 2 2 2 2 4 3 2 2 5" xfId="29424" xr:uid="{00000000-0005-0000-0000-00002D4A0000}"/>
    <cellStyle name="Normal 3 2 2 2 2 4 3 2 2 6" xfId="29425" xr:uid="{00000000-0005-0000-0000-00002E4A0000}"/>
    <cellStyle name="Normal 3 2 2 2 2 4 3 2 2 7" xfId="29417" xr:uid="{00000000-0005-0000-0000-00002F4A0000}"/>
    <cellStyle name="Normal 3 2 2 2 2 4 3 2 3" xfId="29426" xr:uid="{00000000-0005-0000-0000-0000304A0000}"/>
    <cellStyle name="Normal 3 2 2 2 2 4 3 2 3 2" xfId="29427" xr:uid="{00000000-0005-0000-0000-0000314A0000}"/>
    <cellStyle name="Normal 3 2 2 2 2 4 3 2 3 2 2" xfId="29428" xr:uid="{00000000-0005-0000-0000-0000324A0000}"/>
    <cellStyle name="Normal 3 2 2 2 2 4 3 2 3 3" xfId="29429" xr:uid="{00000000-0005-0000-0000-0000334A0000}"/>
    <cellStyle name="Normal 3 2 2 2 2 4 3 2 3 3 2" xfId="29430" xr:uid="{00000000-0005-0000-0000-0000344A0000}"/>
    <cellStyle name="Normal 3 2 2 2 2 4 3 2 3 4" xfId="29431" xr:uid="{00000000-0005-0000-0000-0000354A0000}"/>
    <cellStyle name="Normal 3 2 2 2 2 4 3 2 3 4 2" xfId="29432" xr:uid="{00000000-0005-0000-0000-0000364A0000}"/>
    <cellStyle name="Normal 3 2 2 2 2 4 3 2 3 5" xfId="29433" xr:uid="{00000000-0005-0000-0000-0000374A0000}"/>
    <cellStyle name="Normal 3 2 2 2 2 4 3 2 3 6" xfId="29434" xr:uid="{00000000-0005-0000-0000-0000384A0000}"/>
    <cellStyle name="Normal 3 2 2 2 2 4 3 2 4" xfId="29435" xr:uid="{00000000-0005-0000-0000-0000394A0000}"/>
    <cellStyle name="Normal 3 2 2 2 2 4 3 2 4 2" xfId="29436" xr:uid="{00000000-0005-0000-0000-00003A4A0000}"/>
    <cellStyle name="Normal 3 2 2 2 2 4 3 2 4 2 2" xfId="29437" xr:uid="{00000000-0005-0000-0000-00003B4A0000}"/>
    <cellStyle name="Normal 3 2 2 2 2 4 3 2 4 3" xfId="29438" xr:uid="{00000000-0005-0000-0000-00003C4A0000}"/>
    <cellStyle name="Normal 3 2 2 2 2 4 3 2 4 3 2" xfId="29439" xr:uid="{00000000-0005-0000-0000-00003D4A0000}"/>
    <cellStyle name="Normal 3 2 2 2 2 4 3 2 4 4" xfId="29440" xr:uid="{00000000-0005-0000-0000-00003E4A0000}"/>
    <cellStyle name="Normal 3 2 2 2 2 4 3 2 4 4 2" xfId="29441" xr:uid="{00000000-0005-0000-0000-00003F4A0000}"/>
    <cellStyle name="Normal 3 2 2 2 2 4 3 2 4 5" xfId="29442" xr:uid="{00000000-0005-0000-0000-0000404A0000}"/>
    <cellStyle name="Normal 3 2 2 2 2 4 3 2 4 6" xfId="29443" xr:uid="{00000000-0005-0000-0000-0000414A0000}"/>
    <cellStyle name="Normal 3 2 2 2 2 4 3 2 5" xfId="29444" xr:uid="{00000000-0005-0000-0000-0000424A0000}"/>
    <cellStyle name="Normal 3 2 2 2 2 4 3 2 5 2" xfId="29445" xr:uid="{00000000-0005-0000-0000-0000434A0000}"/>
    <cellStyle name="Normal 3 2 2 2 2 4 3 2 5 2 2" xfId="29446" xr:uid="{00000000-0005-0000-0000-0000444A0000}"/>
    <cellStyle name="Normal 3 2 2 2 2 4 3 2 5 3" xfId="29447" xr:uid="{00000000-0005-0000-0000-0000454A0000}"/>
    <cellStyle name="Normal 3 2 2 2 2 4 3 2 5 3 2" xfId="29448" xr:uid="{00000000-0005-0000-0000-0000464A0000}"/>
    <cellStyle name="Normal 3 2 2 2 2 4 3 2 5 4" xfId="29449" xr:uid="{00000000-0005-0000-0000-0000474A0000}"/>
    <cellStyle name="Normal 3 2 2 2 2 4 3 2 5 4 2" xfId="29450" xr:uid="{00000000-0005-0000-0000-0000484A0000}"/>
    <cellStyle name="Normal 3 2 2 2 2 4 3 2 5 5" xfId="29451" xr:uid="{00000000-0005-0000-0000-0000494A0000}"/>
    <cellStyle name="Normal 3 2 2 2 2 4 3 2 5 6" xfId="29452" xr:uid="{00000000-0005-0000-0000-00004A4A0000}"/>
    <cellStyle name="Normal 3 2 2 2 2 4 3 2 6" xfId="29453" xr:uid="{00000000-0005-0000-0000-00004B4A0000}"/>
    <cellStyle name="Normal 3 2 2 2 2 4 3 2 6 2" xfId="29454" xr:uid="{00000000-0005-0000-0000-00004C4A0000}"/>
    <cellStyle name="Normal 3 2 2 2 2 4 3 2 6 2 2" xfId="29455" xr:uid="{00000000-0005-0000-0000-00004D4A0000}"/>
    <cellStyle name="Normal 3 2 2 2 2 4 3 2 6 3" xfId="29456" xr:uid="{00000000-0005-0000-0000-00004E4A0000}"/>
    <cellStyle name="Normal 3 2 2 2 2 4 3 2 6 3 2" xfId="29457" xr:uid="{00000000-0005-0000-0000-00004F4A0000}"/>
    <cellStyle name="Normal 3 2 2 2 2 4 3 2 6 4" xfId="29458" xr:uid="{00000000-0005-0000-0000-0000504A0000}"/>
    <cellStyle name="Normal 3 2 2 2 2 4 3 2 6 5" xfId="29459" xr:uid="{00000000-0005-0000-0000-0000514A0000}"/>
    <cellStyle name="Normal 3 2 2 2 2 4 3 2 7" xfId="29460" xr:uid="{00000000-0005-0000-0000-0000524A0000}"/>
    <cellStyle name="Normal 3 2 2 2 2 4 3 2 7 2" xfId="29461" xr:uid="{00000000-0005-0000-0000-0000534A0000}"/>
    <cellStyle name="Normal 3 2 2 2 2 4 3 2 8" xfId="29462" xr:uid="{00000000-0005-0000-0000-0000544A0000}"/>
    <cellStyle name="Normal 3 2 2 2 2 4 3 2 8 2" xfId="29463" xr:uid="{00000000-0005-0000-0000-0000554A0000}"/>
    <cellStyle name="Normal 3 2 2 2 2 4 3 2 9" xfId="29464" xr:uid="{00000000-0005-0000-0000-0000564A0000}"/>
    <cellStyle name="Normal 3 2 2 2 2 4 3 2 9 2" xfId="29465" xr:uid="{00000000-0005-0000-0000-0000574A0000}"/>
    <cellStyle name="Normal 3 2 2 2 2 4 3 3" xfId="2576" xr:uid="{00000000-0005-0000-0000-0000584A0000}"/>
    <cellStyle name="Normal 3 2 2 2 2 4 3 3 10" xfId="29467" xr:uid="{00000000-0005-0000-0000-0000594A0000}"/>
    <cellStyle name="Normal 3 2 2 2 2 4 3 3 11" xfId="29466" xr:uid="{00000000-0005-0000-0000-00005A4A0000}"/>
    <cellStyle name="Normal 3 2 2 2 2 4 3 3 2" xfId="2577" xr:uid="{00000000-0005-0000-0000-00005B4A0000}"/>
    <cellStyle name="Normal 3 2 2 2 2 4 3 3 2 2" xfId="29469" xr:uid="{00000000-0005-0000-0000-00005C4A0000}"/>
    <cellStyle name="Normal 3 2 2 2 2 4 3 3 2 2 2" xfId="29470" xr:uid="{00000000-0005-0000-0000-00005D4A0000}"/>
    <cellStyle name="Normal 3 2 2 2 2 4 3 3 2 3" xfId="29471" xr:uid="{00000000-0005-0000-0000-00005E4A0000}"/>
    <cellStyle name="Normal 3 2 2 2 2 4 3 3 2 3 2" xfId="29472" xr:uid="{00000000-0005-0000-0000-00005F4A0000}"/>
    <cellStyle name="Normal 3 2 2 2 2 4 3 3 2 4" xfId="29473" xr:uid="{00000000-0005-0000-0000-0000604A0000}"/>
    <cellStyle name="Normal 3 2 2 2 2 4 3 3 2 4 2" xfId="29474" xr:uid="{00000000-0005-0000-0000-0000614A0000}"/>
    <cellStyle name="Normal 3 2 2 2 2 4 3 3 2 5" xfId="29475" xr:uid="{00000000-0005-0000-0000-0000624A0000}"/>
    <cellStyle name="Normal 3 2 2 2 2 4 3 3 2 6" xfId="29476" xr:uid="{00000000-0005-0000-0000-0000634A0000}"/>
    <cellStyle name="Normal 3 2 2 2 2 4 3 3 2 7" xfId="29468" xr:uid="{00000000-0005-0000-0000-0000644A0000}"/>
    <cellStyle name="Normal 3 2 2 2 2 4 3 3 3" xfId="29477" xr:uid="{00000000-0005-0000-0000-0000654A0000}"/>
    <cellStyle name="Normal 3 2 2 2 2 4 3 3 3 2" xfId="29478" xr:uid="{00000000-0005-0000-0000-0000664A0000}"/>
    <cellStyle name="Normal 3 2 2 2 2 4 3 3 3 2 2" xfId="29479" xr:uid="{00000000-0005-0000-0000-0000674A0000}"/>
    <cellStyle name="Normal 3 2 2 2 2 4 3 3 3 3" xfId="29480" xr:uid="{00000000-0005-0000-0000-0000684A0000}"/>
    <cellStyle name="Normal 3 2 2 2 2 4 3 3 3 3 2" xfId="29481" xr:uid="{00000000-0005-0000-0000-0000694A0000}"/>
    <cellStyle name="Normal 3 2 2 2 2 4 3 3 3 4" xfId="29482" xr:uid="{00000000-0005-0000-0000-00006A4A0000}"/>
    <cellStyle name="Normal 3 2 2 2 2 4 3 3 3 4 2" xfId="29483" xr:uid="{00000000-0005-0000-0000-00006B4A0000}"/>
    <cellStyle name="Normal 3 2 2 2 2 4 3 3 3 5" xfId="29484" xr:uid="{00000000-0005-0000-0000-00006C4A0000}"/>
    <cellStyle name="Normal 3 2 2 2 2 4 3 3 3 6" xfId="29485" xr:uid="{00000000-0005-0000-0000-00006D4A0000}"/>
    <cellStyle name="Normal 3 2 2 2 2 4 3 3 4" xfId="29486" xr:uid="{00000000-0005-0000-0000-00006E4A0000}"/>
    <cellStyle name="Normal 3 2 2 2 2 4 3 3 4 2" xfId="29487" xr:uid="{00000000-0005-0000-0000-00006F4A0000}"/>
    <cellStyle name="Normal 3 2 2 2 2 4 3 3 4 2 2" xfId="29488" xr:uid="{00000000-0005-0000-0000-0000704A0000}"/>
    <cellStyle name="Normal 3 2 2 2 2 4 3 3 4 3" xfId="29489" xr:uid="{00000000-0005-0000-0000-0000714A0000}"/>
    <cellStyle name="Normal 3 2 2 2 2 4 3 3 4 3 2" xfId="29490" xr:uid="{00000000-0005-0000-0000-0000724A0000}"/>
    <cellStyle name="Normal 3 2 2 2 2 4 3 3 4 4" xfId="29491" xr:uid="{00000000-0005-0000-0000-0000734A0000}"/>
    <cellStyle name="Normal 3 2 2 2 2 4 3 3 4 4 2" xfId="29492" xr:uid="{00000000-0005-0000-0000-0000744A0000}"/>
    <cellStyle name="Normal 3 2 2 2 2 4 3 3 4 5" xfId="29493" xr:uid="{00000000-0005-0000-0000-0000754A0000}"/>
    <cellStyle name="Normal 3 2 2 2 2 4 3 3 4 6" xfId="29494" xr:uid="{00000000-0005-0000-0000-0000764A0000}"/>
    <cellStyle name="Normal 3 2 2 2 2 4 3 3 5" xfId="29495" xr:uid="{00000000-0005-0000-0000-0000774A0000}"/>
    <cellStyle name="Normal 3 2 2 2 2 4 3 3 5 2" xfId="29496" xr:uid="{00000000-0005-0000-0000-0000784A0000}"/>
    <cellStyle name="Normal 3 2 2 2 2 4 3 3 5 2 2" xfId="29497" xr:uid="{00000000-0005-0000-0000-0000794A0000}"/>
    <cellStyle name="Normal 3 2 2 2 2 4 3 3 5 3" xfId="29498" xr:uid="{00000000-0005-0000-0000-00007A4A0000}"/>
    <cellStyle name="Normal 3 2 2 2 2 4 3 3 5 3 2" xfId="29499" xr:uid="{00000000-0005-0000-0000-00007B4A0000}"/>
    <cellStyle name="Normal 3 2 2 2 2 4 3 3 5 4" xfId="29500" xr:uid="{00000000-0005-0000-0000-00007C4A0000}"/>
    <cellStyle name="Normal 3 2 2 2 2 4 3 3 5 5" xfId="29501" xr:uid="{00000000-0005-0000-0000-00007D4A0000}"/>
    <cellStyle name="Normal 3 2 2 2 2 4 3 3 6" xfId="29502" xr:uid="{00000000-0005-0000-0000-00007E4A0000}"/>
    <cellStyle name="Normal 3 2 2 2 2 4 3 3 6 2" xfId="29503" xr:uid="{00000000-0005-0000-0000-00007F4A0000}"/>
    <cellStyle name="Normal 3 2 2 2 2 4 3 3 7" xfId="29504" xr:uid="{00000000-0005-0000-0000-0000804A0000}"/>
    <cellStyle name="Normal 3 2 2 2 2 4 3 3 7 2" xfId="29505" xr:uid="{00000000-0005-0000-0000-0000814A0000}"/>
    <cellStyle name="Normal 3 2 2 2 2 4 3 3 8" xfId="29506" xr:uid="{00000000-0005-0000-0000-0000824A0000}"/>
    <cellStyle name="Normal 3 2 2 2 2 4 3 3 8 2" xfId="29507" xr:uid="{00000000-0005-0000-0000-0000834A0000}"/>
    <cellStyle name="Normal 3 2 2 2 2 4 3 3 9" xfId="29508" xr:uid="{00000000-0005-0000-0000-0000844A0000}"/>
    <cellStyle name="Normal 3 2 2 2 2 4 3 4" xfId="2578" xr:uid="{00000000-0005-0000-0000-0000854A0000}"/>
    <cellStyle name="Normal 3 2 2 2 2 4 3 4 10" xfId="29510" xr:uid="{00000000-0005-0000-0000-0000864A0000}"/>
    <cellStyle name="Normal 3 2 2 2 2 4 3 4 11" xfId="29509" xr:uid="{00000000-0005-0000-0000-0000874A0000}"/>
    <cellStyle name="Normal 3 2 2 2 2 4 3 4 2" xfId="29511" xr:uid="{00000000-0005-0000-0000-0000884A0000}"/>
    <cellStyle name="Normal 3 2 2 2 2 4 3 4 2 2" xfId="29512" xr:uid="{00000000-0005-0000-0000-0000894A0000}"/>
    <cellStyle name="Normal 3 2 2 2 2 4 3 4 2 2 2" xfId="29513" xr:uid="{00000000-0005-0000-0000-00008A4A0000}"/>
    <cellStyle name="Normal 3 2 2 2 2 4 3 4 2 3" xfId="29514" xr:uid="{00000000-0005-0000-0000-00008B4A0000}"/>
    <cellStyle name="Normal 3 2 2 2 2 4 3 4 2 3 2" xfId="29515" xr:uid="{00000000-0005-0000-0000-00008C4A0000}"/>
    <cellStyle name="Normal 3 2 2 2 2 4 3 4 2 4" xfId="29516" xr:uid="{00000000-0005-0000-0000-00008D4A0000}"/>
    <cellStyle name="Normal 3 2 2 2 2 4 3 4 2 4 2" xfId="29517" xr:uid="{00000000-0005-0000-0000-00008E4A0000}"/>
    <cellStyle name="Normal 3 2 2 2 2 4 3 4 2 5" xfId="29518" xr:uid="{00000000-0005-0000-0000-00008F4A0000}"/>
    <cellStyle name="Normal 3 2 2 2 2 4 3 4 2 6" xfId="29519" xr:uid="{00000000-0005-0000-0000-0000904A0000}"/>
    <cellStyle name="Normal 3 2 2 2 2 4 3 4 3" xfId="29520" xr:uid="{00000000-0005-0000-0000-0000914A0000}"/>
    <cellStyle name="Normal 3 2 2 2 2 4 3 4 3 2" xfId="29521" xr:uid="{00000000-0005-0000-0000-0000924A0000}"/>
    <cellStyle name="Normal 3 2 2 2 2 4 3 4 3 2 2" xfId="29522" xr:uid="{00000000-0005-0000-0000-0000934A0000}"/>
    <cellStyle name="Normal 3 2 2 2 2 4 3 4 3 3" xfId="29523" xr:uid="{00000000-0005-0000-0000-0000944A0000}"/>
    <cellStyle name="Normal 3 2 2 2 2 4 3 4 3 3 2" xfId="29524" xr:uid="{00000000-0005-0000-0000-0000954A0000}"/>
    <cellStyle name="Normal 3 2 2 2 2 4 3 4 3 4" xfId="29525" xr:uid="{00000000-0005-0000-0000-0000964A0000}"/>
    <cellStyle name="Normal 3 2 2 2 2 4 3 4 3 4 2" xfId="29526" xr:uid="{00000000-0005-0000-0000-0000974A0000}"/>
    <cellStyle name="Normal 3 2 2 2 2 4 3 4 3 5" xfId="29527" xr:uid="{00000000-0005-0000-0000-0000984A0000}"/>
    <cellStyle name="Normal 3 2 2 2 2 4 3 4 3 6" xfId="29528" xr:uid="{00000000-0005-0000-0000-0000994A0000}"/>
    <cellStyle name="Normal 3 2 2 2 2 4 3 4 4" xfId="29529" xr:uid="{00000000-0005-0000-0000-00009A4A0000}"/>
    <cellStyle name="Normal 3 2 2 2 2 4 3 4 4 2" xfId="29530" xr:uid="{00000000-0005-0000-0000-00009B4A0000}"/>
    <cellStyle name="Normal 3 2 2 2 2 4 3 4 4 2 2" xfId="29531" xr:uid="{00000000-0005-0000-0000-00009C4A0000}"/>
    <cellStyle name="Normal 3 2 2 2 2 4 3 4 4 3" xfId="29532" xr:uid="{00000000-0005-0000-0000-00009D4A0000}"/>
    <cellStyle name="Normal 3 2 2 2 2 4 3 4 4 3 2" xfId="29533" xr:uid="{00000000-0005-0000-0000-00009E4A0000}"/>
    <cellStyle name="Normal 3 2 2 2 2 4 3 4 4 4" xfId="29534" xr:uid="{00000000-0005-0000-0000-00009F4A0000}"/>
    <cellStyle name="Normal 3 2 2 2 2 4 3 4 4 4 2" xfId="29535" xr:uid="{00000000-0005-0000-0000-0000A04A0000}"/>
    <cellStyle name="Normal 3 2 2 2 2 4 3 4 4 5" xfId="29536" xr:uid="{00000000-0005-0000-0000-0000A14A0000}"/>
    <cellStyle name="Normal 3 2 2 2 2 4 3 4 4 6" xfId="29537" xr:uid="{00000000-0005-0000-0000-0000A24A0000}"/>
    <cellStyle name="Normal 3 2 2 2 2 4 3 4 5" xfId="29538" xr:uid="{00000000-0005-0000-0000-0000A34A0000}"/>
    <cellStyle name="Normal 3 2 2 2 2 4 3 4 5 2" xfId="29539" xr:uid="{00000000-0005-0000-0000-0000A44A0000}"/>
    <cellStyle name="Normal 3 2 2 2 2 4 3 4 5 2 2" xfId="29540" xr:uid="{00000000-0005-0000-0000-0000A54A0000}"/>
    <cellStyle name="Normal 3 2 2 2 2 4 3 4 5 3" xfId="29541" xr:uid="{00000000-0005-0000-0000-0000A64A0000}"/>
    <cellStyle name="Normal 3 2 2 2 2 4 3 4 5 3 2" xfId="29542" xr:uid="{00000000-0005-0000-0000-0000A74A0000}"/>
    <cellStyle name="Normal 3 2 2 2 2 4 3 4 5 4" xfId="29543" xr:uid="{00000000-0005-0000-0000-0000A84A0000}"/>
    <cellStyle name="Normal 3 2 2 2 2 4 3 4 5 5" xfId="29544" xr:uid="{00000000-0005-0000-0000-0000A94A0000}"/>
    <cellStyle name="Normal 3 2 2 2 2 4 3 4 6" xfId="29545" xr:uid="{00000000-0005-0000-0000-0000AA4A0000}"/>
    <cellStyle name="Normal 3 2 2 2 2 4 3 4 6 2" xfId="29546" xr:uid="{00000000-0005-0000-0000-0000AB4A0000}"/>
    <cellStyle name="Normal 3 2 2 2 2 4 3 4 7" xfId="29547" xr:uid="{00000000-0005-0000-0000-0000AC4A0000}"/>
    <cellStyle name="Normal 3 2 2 2 2 4 3 4 7 2" xfId="29548" xr:uid="{00000000-0005-0000-0000-0000AD4A0000}"/>
    <cellStyle name="Normal 3 2 2 2 2 4 3 4 8" xfId="29549" xr:uid="{00000000-0005-0000-0000-0000AE4A0000}"/>
    <cellStyle name="Normal 3 2 2 2 2 4 3 4 8 2" xfId="29550" xr:uid="{00000000-0005-0000-0000-0000AF4A0000}"/>
    <cellStyle name="Normal 3 2 2 2 2 4 3 4 9" xfId="29551" xr:uid="{00000000-0005-0000-0000-0000B04A0000}"/>
    <cellStyle name="Normal 3 2 2 2 2 4 3 5" xfId="29552" xr:uid="{00000000-0005-0000-0000-0000B14A0000}"/>
    <cellStyle name="Normal 3 2 2 2 2 4 3 5 2" xfId="29553" xr:uid="{00000000-0005-0000-0000-0000B24A0000}"/>
    <cellStyle name="Normal 3 2 2 2 2 4 3 5 2 2" xfId="29554" xr:uid="{00000000-0005-0000-0000-0000B34A0000}"/>
    <cellStyle name="Normal 3 2 2 2 2 4 3 5 3" xfId="29555" xr:uid="{00000000-0005-0000-0000-0000B44A0000}"/>
    <cellStyle name="Normal 3 2 2 2 2 4 3 5 3 2" xfId="29556" xr:uid="{00000000-0005-0000-0000-0000B54A0000}"/>
    <cellStyle name="Normal 3 2 2 2 2 4 3 5 4" xfId="29557" xr:uid="{00000000-0005-0000-0000-0000B64A0000}"/>
    <cellStyle name="Normal 3 2 2 2 2 4 3 5 4 2" xfId="29558" xr:uid="{00000000-0005-0000-0000-0000B74A0000}"/>
    <cellStyle name="Normal 3 2 2 2 2 4 3 5 5" xfId="29559" xr:uid="{00000000-0005-0000-0000-0000B84A0000}"/>
    <cellStyle name="Normal 3 2 2 2 2 4 3 5 6" xfId="29560" xr:uid="{00000000-0005-0000-0000-0000B94A0000}"/>
    <cellStyle name="Normal 3 2 2 2 2 4 3 6" xfId="29561" xr:uid="{00000000-0005-0000-0000-0000BA4A0000}"/>
    <cellStyle name="Normal 3 2 2 2 2 4 3 6 2" xfId="29562" xr:uid="{00000000-0005-0000-0000-0000BB4A0000}"/>
    <cellStyle name="Normal 3 2 2 2 2 4 3 6 2 2" xfId="29563" xr:uid="{00000000-0005-0000-0000-0000BC4A0000}"/>
    <cellStyle name="Normal 3 2 2 2 2 4 3 6 3" xfId="29564" xr:uid="{00000000-0005-0000-0000-0000BD4A0000}"/>
    <cellStyle name="Normal 3 2 2 2 2 4 3 6 3 2" xfId="29565" xr:uid="{00000000-0005-0000-0000-0000BE4A0000}"/>
    <cellStyle name="Normal 3 2 2 2 2 4 3 6 4" xfId="29566" xr:uid="{00000000-0005-0000-0000-0000BF4A0000}"/>
    <cellStyle name="Normal 3 2 2 2 2 4 3 6 4 2" xfId="29567" xr:uid="{00000000-0005-0000-0000-0000C04A0000}"/>
    <cellStyle name="Normal 3 2 2 2 2 4 3 6 5" xfId="29568" xr:uid="{00000000-0005-0000-0000-0000C14A0000}"/>
    <cellStyle name="Normal 3 2 2 2 2 4 3 6 6" xfId="29569" xr:uid="{00000000-0005-0000-0000-0000C24A0000}"/>
    <cellStyle name="Normal 3 2 2 2 2 4 3 7" xfId="29570" xr:uid="{00000000-0005-0000-0000-0000C34A0000}"/>
    <cellStyle name="Normal 3 2 2 2 2 4 3 7 2" xfId="29571" xr:uid="{00000000-0005-0000-0000-0000C44A0000}"/>
    <cellStyle name="Normal 3 2 2 2 2 4 3 7 2 2" xfId="29572" xr:uid="{00000000-0005-0000-0000-0000C54A0000}"/>
    <cellStyle name="Normal 3 2 2 2 2 4 3 7 3" xfId="29573" xr:uid="{00000000-0005-0000-0000-0000C64A0000}"/>
    <cellStyle name="Normal 3 2 2 2 2 4 3 7 3 2" xfId="29574" xr:uid="{00000000-0005-0000-0000-0000C74A0000}"/>
    <cellStyle name="Normal 3 2 2 2 2 4 3 7 4" xfId="29575" xr:uid="{00000000-0005-0000-0000-0000C84A0000}"/>
    <cellStyle name="Normal 3 2 2 2 2 4 3 7 4 2" xfId="29576" xr:uid="{00000000-0005-0000-0000-0000C94A0000}"/>
    <cellStyle name="Normal 3 2 2 2 2 4 3 7 5" xfId="29577" xr:uid="{00000000-0005-0000-0000-0000CA4A0000}"/>
    <cellStyle name="Normal 3 2 2 2 2 4 3 7 6" xfId="29578" xr:uid="{00000000-0005-0000-0000-0000CB4A0000}"/>
    <cellStyle name="Normal 3 2 2 2 2 4 3 8" xfId="29579" xr:uid="{00000000-0005-0000-0000-0000CC4A0000}"/>
    <cellStyle name="Normal 3 2 2 2 2 4 3 8 2" xfId="29580" xr:uid="{00000000-0005-0000-0000-0000CD4A0000}"/>
    <cellStyle name="Normal 3 2 2 2 2 4 3 8 2 2" xfId="29581" xr:uid="{00000000-0005-0000-0000-0000CE4A0000}"/>
    <cellStyle name="Normal 3 2 2 2 2 4 3 8 3" xfId="29582" xr:uid="{00000000-0005-0000-0000-0000CF4A0000}"/>
    <cellStyle name="Normal 3 2 2 2 2 4 3 8 3 2" xfId="29583" xr:uid="{00000000-0005-0000-0000-0000D04A0000}"/>
    <cellStyle name="Normal 3 2 2 2 2 4 3 8 4" xfId="29584" xr:uid="{00000000-0005-0000-0000-0000D14A0000}"/>
    <cellStyle name="Normal 3 2 2 2 2 4 3 8 5" xfId="29585" xr:uid="{00000000-0005-0000-0000-0000D24A0000}"/>
    <cellStyle name="Normal 3 2 2 2 2 4 3 9" xfId="29586" xr:uid="{00000000-0005-0000-0000-0000D34A0000}"/>
    <cellStyle name="Normal 3 2 2 2 2 4 3 9 2" xfId="29587" xr:uid="{00000000-0005-0000-0000-0000D44A0000}"/>
    <cellStyle name="Normal 3 2 2 2 2 4 4" xfId="2579" xr:uid="{00000000-0005-0000-0000-0000D54A0000}"/>
    <cellStyle name="Normal 3 2 2 2 2 4 4 10" xfId="29589" xr:uid="{00000000-0005-0000-0000-0000D64A0000}"/>
    <cellStyle name="Normal 3 2 2 2 2 4 4 10 2" xfId="29590" xr:uid="{00000000-0005-0000-0000-0000D74A0000}"/>
    <cellStyle name="Normal 3 2 2 2 2 4 4 11" xfId="29591" xr:uid="{00000000-0005-0000-0000-0000D84A0000}"/>
    <cellStyle name="Normal 3 2 2 2 2 4 4 12" xfId="29592" xr:uid="{00000000-0005-0000-0000-0000D94A0000}"/>
    <cellStyle name="Normal 3 2 2 2 2 4 4 13" xfId="29588" xr:uid="{00000000-0005-0000-0000-0000DA4A0000}"/>
    <cellStyle name="Normal 3 2 2 2 2 4 4 2" xfId="2580" xr:uid="{00000000-0005-0000-0000-0000DB4A0000}"/>
    <cellStyle name="Normal 3 2 2 2 2 4 4 2 10" xfId="29594" xr:uid="{00000000-0005-0000-0000-0000DC4A0000}"/>
    <cellStyle name="Normal 3 2 2 2 2 4 4 2 11" xfId="29593" xr:uid="{00000000-0005-0000-0000-0000DD4A0000}"/>
    <cellStyle name="Normal 3 2 2 2 2 4 4 2 2" xfId="29595" xr:uid="{00000000-0005-0000-0000-0000DE4A0000}"/>
    <cellStyle name="Normal 3 2 2 2 2 4 4 2 2 2" xfId="29596" xr:uid="{00000000-0005-0000-0000-0000DF4A0000}"/>
    <cellStyle name="Normal 3 2 2 2 2 4 4 2 2 2 2" xfId="29597" xr:uid="{00000000-0005-0000-0000-0000E04A0000}"/>
    <cellStyle name="Normal 3 2 2 2 2 4 4 2 2 3" xfId="29598" xr:uid="{00000000-0005-0000-0000-0000E14A0000}"/>
    <cellStyle name="Normal 3 2 2 2 2 4 4 2 2 3 2" xfId="29599" xr:uid="{00000000-0005-0000-0000-0000E24A0000}"/>
    <cellStyle name="Normal 3 2 2 2 2 4 4 2 2 4" xfId="29600" xr:uid="{00000000-0005-0000-0000-0000E34A0000}"/>
    <cellStyle name="Normal 3 2 2 2 2 4 4 2 2 4 2" xfId="29601" xr:uid="{00000000-0005-0000-0000-0000E44A0000}"/>
    <cellStyle name="Normal 3 2 2 2 2 4 4 2 2 5" xfId="29602" xr:uid="{00000000-0005-0000-0000-0000E54A0000}"/>
    <cellStyle name="Normal 3 2 2 2 2 4 4 2 2 6" xfId="29603" xr:uid="{00000000-0005-0000-0000-0000E64A0000}"/>
    <cellStyle name="Normal 3 2 2 2 2 4 4 2 3" xfId="29604" xr:uid="{00000000-0005-0000-0000-0000E74A0000}"/>
    <cellStyle name="Normal 3 2 2 2 2 4 4 2 3 2" xfId="29605" xr:uid="{00000000-0005-0000-0000-0000E84A0000}"/>
    <cellStyle name="Normal 3 2 2 2 2 4 4 2 3 2 2" xfId="29606" xr:uid="{00000000-0005-0000-0000-0000E94A0000}"/>
    <cellStyle name="Normal 3 2 2 2 2 4 4 2 3 3" xfId="29607" xr:uid="{00000000-0005-0000-0000-0000EA4A0000}"/>
    <cellStyle name="Normal 3 2 2 2 2 4 4 2 3 3 2" xfId="29608" xr:uid="{00000000-0005-0000-0000-0000EB4A0000}"/>
    <cellStyle name="Normal 3 2 2 2 2 4 4 2 3 4" xfId="29609" xr:uid="{00000000-0005-0000-0000-0000EC4A0000}"/>
    <cellStyle name="Normal 3 2 2 2 2 4 4 2 3 4 2" xfId="29610" xr:uid="{00000000-0005-0000-0000-0000ED4A0000}"/>
    <cellStyle name="Normal 3 2 2 2 2 4 4 2 3 5" xfId="29611" xr:uid="{00000000-0005-0000-0000-0000EE4A0000}"/>
    <cellStyle name="Normal 3 2 2 2 2 4 4 2 3 6" xfId="29612" xr:uid="{00000000-0005-0000-0000-0000EF4A0000}"/>
    <cellStyle name="Normal 3 2 2 2 2 4 4 2 4" xfId="29613" xr:uid="{00000000-0005-0000-0000-0000F04A0000}"/>
    <cellStyle name="Normal 3 2 2 2 2 4 4 2 4 2" xfId="29614" xr:uid="{00000000-0005-0000-0000-0000F14A0000}"/>
    <cellStyle name="Normal 3 2 2 2 2 4 4 2 4 2 2" xfId="29615" xr:uid="{00000000-0005-0000-0000-0000F24A0000}"/>
    <cellStyle name="Normal 3 2 2 2 2 4 4 2 4 3" xfId="29616" xr:uid="{00000000-0005-0000-0000-0000F34A0000}"/>
    <cellStyle name="Normal 3 2 2 2 2 4 4 2 4 3 2" xfId="29617" xr:uid="{00000000-0005-0000-0000-0000F44A0000}"/>
    <cellStyle name="Normal 3 2 2 2 2 4 4 2 4 4" xfId="29618" xr:uid="{00000000-0005-0000-0000-0000F54A0000}"/>
    <cellStyle name="Normal 3 2 2 2 2 4 4 2 4 4 2" xfId="29619" xr:uid="{00000000-0005-0000-0000-0000F64A0000}"/>
    <cellStyle name="Normal 3 2 2 2 2 4 4 2 4 5" xfId="29620" xr:uid="{00000000-0005-0000-0000-0000F74A0000}"/>
    <cellStyle name="Normal 3 2 2 2 2 4 4 2 4 6" xfId="29621" xr:uid="{00000000-0005-0000-0000-0000F84A0000}"/>
    <cellStyle name="Normal 3 2 2 2 2 4 4 2 5" xfId="29622" xr:uid="{00000000-0005-0000-0000-0000F94A0000}"/>
    <cellStyle name="Normal 3 2 2 2 2 4 4 2 5 2" xfId="29623" xr:uid="{00000000-0005-0000-0000-0000FA4A0000}"/>
    <cellStyle name="Normal 3 2 2 2 2 4 4 2 5 2 2" xfId="29624" xr:uid="{00000000-0005-0000-0000-0000FB4A0000}"/>
    <cellStyle name="Normal 3 2 2 2 2 4 4 2 5 3" xfId="29625" xr:uid="{00000000-0005-0000-0000-0000FC4A0000}"/>
    <cellStyle name="Normal 3 2 2 2 2 4 4 2 5 3 2" xfId="29626" xr:uid="{00000000-0005-0000-0000-0000FD4A0000}"/>
    <cellStyle name="Normal 3 2 2 2 2 4 4 2 5 4" xfId="29627" xr:uid="{00000000-0005-0000-0000-0000FE4A0000}"/>
    <cellStyle name="Normal 3 2 2 2 2 4 4 2 5 5" xfId="29628" xr:uid="{00000000-0005-0000-0000-0000FF4A0000}"/>
    <cellStyle name="Normal 3 2 2 2 2 4 4 2 6" xfId="29629" xr:uid="{00000000-0005-0000-0000-0000004B0000}"/>
    <cellStyle name="Normal 3 2 2 2 2 4 4 2 6 2" xfId="29630" xr:uid="{00000000-0005-0000-0000-0000014B0000}"/>
    <cellStyle name="Normal 3 2 2 2 2 4 4 2 7" xfId="29631" xr:uid="{00000000-0005-0000-0000-0000024B0000}"/>
    <cellStyle name="Normal 3 2 2 2 2 4 4 2 7 2" xfId="29632" xr:uid="{00000000-0005-0000-0000-0000034B0000}"/>
    <cellStyle name="Normal 3 2 2 2 2 4 4 2 8" xfId="29633" xr:uid="{00000000-0005-0000-0000-0000044B0000}"/>
    <cellStyle name="Normal 3 2 2 2 2 4 4 2 8 2" xfId="29634" xr:uid="{00000000-0005-0000-0000-0000054B0000}"/>
    <cellStyle name="Normal 3 2 2 2 2 4 4 2 9" xfId="29635" xr:uid="{00000000-0005-0000-0000-0000064B0000}"/>
    <cellStyle name="Normal 3 2 2 2 2 4 4 3" xfId="2581" xr:uid="{00000000-0005-0000-0000-0000074B0000}"/>
    <cellStyle name="Normal 3 2 2 2 2 4 4 3 10" xfId="29637" xr:uid="{00000000-0005-0000-0000-0000084B0000}"/>
    <cellStyle name="Normal 3 2 2 2 2 4 4 3 11" xfId="29636" xr:uid="{00000000-0005-0000-0000-0000094B0000}"/>
    <cellStyle name="Normal 3 2 2 2 2 4 4 3 2" xfId="29638" xr:uid="{00000000-0005-0000-0000-00000A4B0000}"/>
    <cellStyle name="Normal 3 2 2 2 2 4 4 3 2 2" xfId="29639" xr:uid="{00000000-0005-0000-0000-00000B4B0000}"/>
    <cellStyle name="Normal 3 2 2 2 2 4 4 3 2 2 2" xfId="29640" xr:uid="{00000000-0005-0000-0000-00000C4B0000}"/>
    <cellStyle name="Normal 3 2 2 2 2 4 4 3 2 3" xfId="29641" xr:uid="{00000000-0005-0000-0000-00000D4B0000}"/>
    <cellStyle name="Normal 3 2 2 2 2 4 4 3 2 3 2" xfId="29642" xr:uid="{00000000-0005-0000-0000-00000E4B0000}"/>
    <cellStyle name="Normal 3 2 2 2 2 4 4 3 2 4" xfId="29643" xr:uid="{00000000-0005-0000-0000-00000F4B0000}"/>
    <cellStyle name="Normal 3 2 2 2 2 4 4 3 2 4 2" xfId="29644" xr:uid="{00000000-0005-0000-0000-0000104B0000}"/>
    <cellStyle name="Normal 3 2 2 2 2 4 4 3 2 5" xfId="29645" xr:uid="{00000000-0005-0000-0000-0000114B0000}"/>
    <cellStyle name="Normal 3 2 2 2 2 4 4 3 2 6" xfId="29646" xr:uid="{00000000-0005-0000-0000-0000124B0000}"/>
    <cellStyle name="Normal 3 2 2 2 2 4 4 3 3" xfId="29647" xr:uid="{00000000-0005-0000-0000-0000134B0000}"/>
    <cellStyle name="Normal 3 2 2 2 2 4 4 3 3 2" xfId="29648" xr:uid="{00000000-0005-0000-0000-0000144B0000}"/>
    <cellStyle name="Normal 3 2 2 2 2 4 4 3 3 2 2" xfId="29649" xr:uid="{00000000-0005-0000-0000-0000154B0000}"/>
    <cellStyle name="Normal 3 2 2 2 2 4 4 3 3 3" xfId="29650" xr:uid="{00000000-0005-0000-0000-0000164B0000}"/>
    <cellStyle name="Normal 3 2 2 2 2 4 4 3 3 3 2" xfId="29651" xr:uid="{00000000-0005-0000-0000-0000174B0000}"/>
    <cellStyle name="Normal 3 2 2 2 2 4 4 3 3 4" xfId="29652" xr:uid="{00000000-0005-0000-0000-0000184B0000}"/>
    <cellStyle name="Normal 3 2 2 2 2 4 4 3 3 4 2" xfId="29653" xr:uid="{00000000-0005-0000-0000-0000194B0000}"/>
    <cellStyle name="Normal 3 2 2 2 2 4 4 3 3 5" xfId="29654" xr:uid="{00000000-0005-0000-0000-00001A4B0000}"/>
    <cellStyle name="Normal 3 2 2 2 2 4 4 3 3 6" xfId="29655" xr:uid="{00000000-0005-0000-0000-00001B4B0000}"/>
    <cellStyle name="Normal 3 2 2 2 2 4 4 3 4" xfId="29656" xr:uid="{00000000-0005-0000-0000-00001C4B0000}"/>
    <cellStyle name="Normal 3 2 2 2 2 4 4 3 4 2" xfId="29657" xr:uid="{00000000-0005-0000-0000-00001D4B0000}"/>
    <cellStyle name="Normal 3 2 2 2 2 4 4 3 4 2 2" xfId="29658" xr:uid="{00000000-0005-0000-0000-00001E4B0000}"/>
    <cellStyle name="Normal 3 2 2 2 2 4 4 3 4 3" xfId="29659" xr:uid="{00000000-0005-0000-0000-00001F4B0000}"/>
    <cellStyle name="Normal 3 2 2 2 2 4 4 3 4 3 2" xfId="29660" xr:uid="{00000000-0005-0000-0000-0000204B0000}"/>
    <cellStyle name="Normal 3 2 2 2 2 4 4 3 4 4" xfId="29661" xr:uid="{00000000-0005-0000-0000-0000214B0000}"/>
    <cellStyle name="Normal 3 2 2 2 2 4 4 3 4 4 2" xfId="29662" xr:uid="{00000000-0005-0000-0000-0000224B0000}"/>
    <cellStyle name="Normal 3 2 2 2 2 4 4 3 4 5" xfId="29663" xr:uid="{00000000-0005-0000-0000-0000234B0000}"/>
    <cellStyle name="Normal 3 2 2 2 2 4 4 3 4 6" xfId="29664" xr:uid="{00000000-0005-0000-0000-0000244B0000}"/>
    <cellStyle name="Normal 3 2 2 2 2 4 4 3 5" xfId="29665" xr:uid="{00000000-0005-0000-0000-0000254B0000}"/>
    <cellStyle name="Normal 3 2 2 2 2 4 4 3 5 2" xfId="29666" xr:uid="{00000000-0005-0000-0000-0000264B0000}"/>
    <cellStyle name="Normal 3 2 2 2 2 4 4 3 5 2 2" xfId="29667" xr:uid="{00000000-0005-0000-0000-0000274B0000}"/>
    <cellStyle name="Normal 3 2 2 2 2 4 4 3 5 3" xfId="29668" xr:uid="{00000000-0005-0000-0000-0000284B0000}"/>
    <cellStyle name="Normal 3 2 2 2 2 4 4 3 5 3 2" xfId="29669" xr:uid="{00000000-0005-0000-0000-0000294B0000}"/>
    <cellStyle name="Normal 3 2 2 2 2 4 4 3 5 4" xfId="29670" xr:uid="{00000000-0005-0000-0000-00002A4B0000}"/>
    <cellStyle name="Normal 3 2 2 2 2 4 4 3 5 5" xfId="29671" xr:uid="{00000000-0005-0000-0000-00002B4B0000}"/>
    <cellStyle name="Normal 3 2 2 2 2 4 4 3 6" xfId="29672" xr:uid="{00000000-0005-0000-0000-00002C4B0000}"/>
    <cellStyle name="Normal 3 2 2 2 2 4 4 3 6 2" xfId="29673" xr:uid="{00000000-0005-0000-0000-00002D4B0000}"/>
    <cellStyle name="Normal 3 2 2 2 2 4 4 3 7" xfId="29674" xr:uid="{00000000-0005-0000-0000-00002E4B0000}"/>
    <cellStyle name="Normal 3 2 2 2 2 4 4 3 7 2" xfId="29675" xr:uid="{00000000-0005-0000-0000-00002F4B0000}"/>
    <cellStyle name="Normal 3 2 2 2 2 4 4 3 8" xfId="29676" xr:uid="{00000000-0005-0000-0000-0000304B0000}"/>
    <cellStyle name="Normal 3 2 2 2 2 4 4 3 8 2" xfId="29677" xr:uid="{00000000-0005-0000-0000-0000314B0000}"/>
    <cellStyle name="Normal 3 2 2 2 2 4 4 3 9" xfId="29678" xr:uid="{00000000-0005-0000-0000-0000324B0000}"/>
    <cellStyle name="Normal 3 2 2 2 2 4 4 4" xfId="29679" xr:uid="{00000000-0005-0000-0000-0000334B0000}"/>
    <cellStyle name="Normal 3 2 2 2 2 4 4 4 2" xfId="29680" xr:uid="{00000000-0005-0000-0000-0000344B0000}"/>
    <cellStyle name="Normal 3 2 2 2 2 4 4 4 2 2" xfId="29681" xr:uid="{00000000-0005-0000-0000-0000354B0000}"/>
    <cellStyle name="Normal 3 2 2 2 2 4 4 4 3" xfId="29682" xr:uid="{00000000-0005-0000-0000-0000364B0000}"/>
    <cellStyle name="Normal 3 2 2 2 2 4 4 4 3 2" xfId="29683" xr:uid="{00000000-0005-0000-0000-0000374B0000}"/>
    <cellStyle name="Normal 3 2 2 2 2 4 4 4 4" xfId="29684" xr:uid="{00000000-0005-0000-0000-0000384B0000}"/>
    <cellStyle name="Normal 3 2 2 2 2 4 4 4 4 2" xfId="29685" xr:uid="{00000000-0005-0000-0000-0000394B0000}"/>
    <cellStyle name="Normal 3 2 2 2 2 4 4 4 5" xfId="29686" xr:uid="{00000000-0005-0000-0000-00003A4B0000}"/>
    <cellStyle name="Normal 3 2 2 2 2 4 4 4 6" xfId="29687" xr:uid="{00000000-0005-0000-0000-00003B4B0000}"/>
    <cellStyle name="Normal 3 2 2 2 2 4 4 5" xfId="29688" xr:uid="{00000000-0005-0000-0000-00003C4B0000}"/>
    <cellStyle name="Normal 3 2 2 2 2 4 4 5 2" xfId="29689" xr:uid="{00000000-0005-0000-0000-00003D4B0000}"/>
    <cellStyle name="Normal 3 2 2 2 2 4 4 5 2 2" xfId="29690" xr:uid="{00000000-0005-0000-0000-00003E4B0000}"/>
    <cellStyle name="Normal 3 2 2 2 2 4 4 5 3" xfId="29691" xr:uid="{00000000-0005-0000-0000-00003F4B0000}"/>
    <cellStyle name="Normal 3 2 2 2 2 4 4 5 3 2" xfId="29692" xr:uid="{00000000-0005-0000-0000-0000404B0000}"/>
    <cellStyle name="Normal 3 2 2 2 2 4 4 5 4" xfId="29693" xr:uid="{00000000-0005-0000-0000-0000414B0000}"/>
    <cellStyle name="Normal 3 2 2 2 2 4 4 5 4 2" xfId="29694" xr:uid="{00000000-0005-0000-0000-0000424B0000}"/>
    <cellStyle name="Normal 3 2 2 2 2 4 4 5 5" xfId="29695" xr:uid="{00000000-0005-0000-0000-0000434B0000}"/>
    <cellStyle name="Normal 3 2 2 2 2 4 4 5 6" xfId="29696" xr:uid="{00000000-0005-0000-0000-0000444B0000}"/>
    <cellStyle name="Normal 3 2 2 2 2 4 4 6" xfId="29697" xr:uid="{00000000-0005-0000-0000-0000454B0000}"/>
    <cellStyle name="Normal 3 2 2 2 2 4 4 6 2" xfId="29698" xr:uid="{00000000-0005-0000-0000-0000464B0000}"/>
    <cellStyle name="Normal 3 2 2 2 2 4 4 6 2 2" xfId="29699" xr:uid="{00000000-0005-0000-0000-0000474B0000}"/>
    <cellStyle name="Normal 3 2 2 2 2 4 4 6 3" xfId="29700" xr:uid="{00000000-0005-0000-0000-0000484B0000}"/>
    <cellStyle name="Normal 3 2 2 2 2 4 4 6 3 2" xfId="29701" xr:uid="{00000000-0005-0000-0000-0000494B0000}"/>
    <cellStyle name="Normal 3 2 2 2 2 4 4 6 4" xfId="29702" xr:uid="{00000000-0005-0000-0000-00004A4B0000}"/>
    <cellStyle name="Normal 3 2 2 2 2 4 4 6 4 2" xfId="29703" xr:uid="{00000000-0005-0000-0000-00004B4B0000}"/>
    <cellStyle name="Normal 3 2 2 2 2 4 4 6 5" xfId="29704" xr:uid="{00000000-0005-0000-0000-00004C4B0000}"/>
    <cellStyle name="Normal 3 2 2 2 2 4 4 6 6" xfId="29705" xr:uid="{00000000-0005-0000-0000-00004D4B0000}"/>
    <cellStyle name="Normal 3 2 2 2 2 4 4 7" xfId="29706" xr:uid="{00000000-0005-0000-0000-00004E4B0000}"/>
    <cellStyle name="Normal 3 2 2 2 2 4 4 7 2" xfId="29707" xr:uid="{00000000-0005-0000-0000-00004F4B0000}"/>
    <cellStyle name="Normal 3 2 2 2 2 4 4 7 2 2" xfId="29708" xr:uid="{00000000-0005-0000-0000-0000504B0000}"/>
    <cellStyle name="Normal 3 2 2 2 2 4 4 7 3" xfId="29709" xr:uid="{00000000-0005-0000-0000-0000514B0000}"/>
    <cellStyle name="Normal 3 2 2 2 2 4 4 7 3 2" xfId="29710" xr:uid="{00000000-0005-0000-0000-0000524B0000}"/>
    <cellStyle name="Normal 3 2 2 2 2 4 4 7 4" xfId="29711" xr:uid="{00000000-0005-0000-0000-0000534B0000}"/>
    <cellStyle name="Normal 3 2 2 2 2 4 4 7 5" xfId="29712" xr:uid="{00000000-0005-0000-0000-0000544B0000}"/>
    <cellStyle name="Normal 3 2 2 2 2 4 4 8" xfId="29713" xr:uid="{00000000-0005-0000-0000-0000554B0000}"/>
    <cellStyle name="Normal 3 2 2 2 2 4 4 8 2" xfId="29714" xr:uid="{00000000-0005-0000-0000-0000564B0000}"/>
    <cellStyle name="Normal 3 2 2 2 2 4 4 9" xfId="29715" xr:uid="{00000000-0005-0000-0000-0000574B0000}"/>
    <cellStyle name="Normal 3 2 2 2 2 4 4 9 2" xfId="29716" xr:uid="{00000000-0005-0000-0000-0000584B0000}"/>
    <cellStyle name="Normal 3 2 2 2 2 4 5" xfId="2582" xr:uid="{00000000-0005-0000-0000-0000594B0000}"/>
    <cellStyle name="Normal 3 2 2 2 2 4 5 10" xfId="29718" xr:uid="{00000000-0005-0000-0000-00005A4B0000}"/>
    <cellStyle name="Normal 3 2 2 2 2 4 5 11" xfId="29719" xr:uid="{00000000-0005-0000-0000-00005B4B0000}"/>
    <cellStyle name="Normal 3 2 2 2 2 4 5 12" xfId="29717" xr:uid="{00000000-0005-0000-0000-00005C4B0000}"/>
    <cellStyle name="Normal 3 2 2 2 2 4 5 2" xfId="2583" xr:uid="{00000000-0005-0000-0000-00005D4B0000}"/>
    <cellStyle name="Normal 3 2 2 2 2 4 5 2 2" xfId="29721" xr:uid="{00000000-0005-0000-0000-00005E4B0000}"/>
    <cellStyle name="Normal 3 2 2 2 2 4 5 2 2 2" xfId="29722" xr:uid="{00000000-0005-0000-0000-00005F4B0000}"/>
    <cellStyle name="Normal 3 2 2 2 2 4 5 2 3" xfId="29723" xr:uid="{00000000-0005-0000-0000-0000604B0000}"/>
    <cellStyle name="Normal 3 2 2 2 2 4 5 2 3 2" xfId="29724" xr:uid="{00000000-0005-0000-0000-0000614B0000}"/>
    <cellStyle name="Normal 3 2 2 2 2 4 5 2 4" xfId="29725" xr:uid="{00000000-0005-0000-0000-0000624B0000}"/>
    <cellStyle name="Normal 3 2 2 2 2 4 5 2 4 2" xfId="29726" xr:uid="{00000000-0005-0000-0000-0000634B0000}"/>
    <cellStyle name="Normal 3 2 2 2 2 4 5 2 5" xfId="29727" xr:uid="{00000000-0005-0000-0000-0000644B0000}"/>
    <cellStyle name="Normal 3 2 2 2 2 4 5 2 6" xfId="29728" xr:uid="{00000000-0005-0000-0000-0000654B0000}"/>
    <cellStyle name="Normal 3 2 2 2 2 4 5 2 7" xfId="29720" xr:uid="{00000000-0005-0000-0000-0000664B0000}"/>
    <cellStyle name="Normal 3 2 2 2 2 4 5 3" xfId="29729" xr:uid="{00000000-0005-0000-0000-0000674B0000}"/>
    <cellStyle name="Normal 3 2 2 2 2 4 5 3 2" xfId="29730" xr:uid="{00000000-0005-0000-0000-0000684B0000}"/>
    <cellStyle name="Normal 3 2 2 2 2 4 5 3 2 2" xfId="29731" xr:uid="{00000000-0005-0000-0000-0000694B0000}"/>
    <cellStyle name="Normal 3 2 2 2 2 4 5 3 3" xfId="29732" xr:uid="{00000000-0005-0000-0000-00006A4B0000}"/>
    <cellStyle name="Normal 3 2 2 2 2 4 5 3 3 2" xfId="29733" xr:uid="{00000000-0005-0000-0000-00006B4B0000}"/>
    <cellStyle name="Normal 3 2 2 2 2 4 5 3 4" xfId="29734" xr:uid="{00000000-0005-0000-0000-00006C4B0000}"/>
    <cellStyle name="Normal 3 2 2 2 2 4 5 3 4 2" xfId="29735" xr:uid="{00000000-0005-0000-0000-00006D4B0000}"/>
    <cellStyle name="Normal 3 2 2 2 2 4 5 3 5" xfId="29736" xr:uid="{00000000-0005-0000-0000-00006E4B0000}"/>
    <cellStyle name="Normal 3 2 2 2 2 4 5 3 6" xfId="29737" xr:uid="{00000000-0005-0000-0000-00006F4B0000}"/>
    <cellStyle name="Normal 3 2 2 2 2 4 5 4" xfId="29738" xr:uid="{00000000-0005-0000-0000-0000704B0000}"/>
    <cellStyle name="Normal 3 2 2 2 2 4 5 4 2" xfId="29739" xr:uid="{00000000-0005-0000-0000-0000714B0000}"/>
    <cellStyle name="Normal 3 2 2 2 2 4 5 4 2 2" xfId="29740" xr:uid="{00000000-0005-0000-0000-0000724B0000}"/>
    <cellStyle name="Normal 3 2 2 2 2 4 5 4 3" xfId="29741" xr:uid="{00000000-0005-0000-0000-0000734B0000}"/>
    <cellStyle name="Normal 3 2 2 2 2 4 5 4 3 2" xfId="29742" xr:uid="{00000000-0005-0000-0000-0000744B0000}"/>
    <cellStyle name="Normal 3 2 2 2 2 4 5 4 4" xfId="29743" xr:uid="{00000000-0005-0000-0000-0000754B0000}"/>
    <cellStyle name="Normal 3 2 2 2 2 4 5 4 4 2" xfId="29744" xr:uid="{00000000-0005-0000-0000-0000764B0000}"/>
    <cellStyle name="Normal 3 2 2 2 2 4 5 4 5" xfId="29745" xr:uid="{00000000-0005-0000-0000-0000774B0000}"/>
    <cellStyle name="Normal 3 2 2 2 2 4 5 4 6" xfId="29746" xr:uid="{00000000-0005-0000-0000-0000784B0000}"/>
    <cellStyle name="Normal 3 2 2 2 2 4 5 5" xfId="29747" xr:uid="{00000000-0005-0000-0000-0000794B0000}"/>
    <cellStyle name="Normal 3 2 2 2 2 4 5 5 2" xfId="29748" xr:uid="{00000000-0005-0000-0000-00007A4B0000}"/>
    <cellStyle name="Normal 3 2 2 2 2 4 5 5 2 2" xfId="29749" xr:uid="{00000000-0005-0000-0000-00007B4B0000}"/>
    <cellStyle name="Normal 3 2 2 2 2 4 5 5 3" xfId="29750" xr:uid="{00000000-0005-0000-0000-00007C4B0000}"/>
    <cellStyle name="Normal 3 2 2 2 2 4 5 5 3 2" xfId="29751" xr:uid="{00000000-0005-0000-0000-00007D4B0000}"/>
    <cellStyle name="Normal 3 2 2 2 2 4 5 5 4" xfId="29752" xr:uid="{00000000-0005-0000-0000-00007E4B0000}"/>
    <cellStyle name="Normal 3 2 2 2 2 4 5 5 4 2" xfId="29753" xr:uid="{00000000-0005-0000-0000-00007F4B0000}"/>
    <cellStyle name="Normal 3 2 2 2 2 4 5 5 5" xfId="29754" xr:uid="{00000000-0005-0000-0000-0000804B0000}"/>
    <cellStyle name="Normal 3 2 2 2 2 4 5 5 6" xfId="29755" xr:uid="{00000000-0005-0000-0000-0000814B0000}"/>
    <cellStyle name="Normal 3 2 2 2 2 4 5 6" xfId="29756" xr:uid="{00000000-0005-0000-0000-0000824B0000}"/>
    <cellStyle name="Normal 3 2 2 2 2 4 5 6 2" xfId="29757" xr:uid="{00000000-0005-0000-0000-0000834B0000}"/>
    <cellStyle name="Normal 3 2 2 2 2 4 5 6 2 2" xfId="29758" xr:uid="{00000000-0005-0000-0000-0000844B0000}"/>
    <cellStyle name="Normal 3 2 2 2 2 4 5 6 3" xfId="29759" xr:uid="{00000000-0005-0000-0000-0000854B0000}"/>
    <cellStyle name="Normal 3 2 2 2 2 4 5 6 3 2" xfId="29760" xr:uid="{00000000-0005-0000-0000-0000864B0000}"/>
    <cellStyle name="Normal 3 2 2 2 2 4 5 6 4" xfId="29761" xr:uid="{00000000-0005-0000-0000-0000874B0000}"/>
    <cellStyle name="Normal 3 2 2 2 2 4 5 6 5" xfId="29762" xr:uid="{00000000-0005-0000-0000-0000884B0000}"/>
    <cellStyle name="Normal 3 2 2 2 2 4 5 7" xfId="29763" xr:uid="{00000000-0005-0000-0000-0000894B0000}"/>
    <cellStyle name="Normal 3 2 2 2 2 4 5 7 2" xfId="29764" xr:uid="{00000000-0005-0000-0000-00008A4B0000}"/>
    <cellStyle name="Normal 3 2 2 2 2 4 5 8" xfId="29765" xr:uid="{00000000-0005-0000-0000-00008B4B0000}"/>
    <cellStyle name="Normal 3 2 2 2 2 4 5 8 2" xfId="29766" xr:uid="{00000000-0005-0000-0000-00008C4B0000}"/>
    <cellStyle name="Normal 3 2 2 2 2 4 5 9" xfId="29767" xr:uid="{00000000-0005-0000-0000-00008D4B0000}"/>
    <cellStyle name="Normal 3 2 2 2 2 4 5 9 2" xfId="29768" xr:uid="{00000000-0005-0000-0000-00008E4B0000}"/>
    <cellStyle name="Normal 3 2 2 2 2 4 6" xfId="2584" xr:uid="{00000000-0005-0000-0000-00008F4B0000}"/>
    <cellStyle name="Normal 3 2 2 2 2 4 6 10" xfId="29770" xr:uid="{00000000-0005-0000-0000-0000904B0000}"/>
    <cellStyle name="Normal 3 2 2 2 2 4 6 11" xfId="29769" xr:uid="{00000000-0005-0000-0000-0000914B0000}"/>
    <cellStyle name="Normal 3 2 2 2 2 4 6 2" xfId="2585" xr:uid="{00000000-0005-0000-0000-0000924B0000}"/>
    <cellStyle name="Normal 3 2 2 2 2 4 6 2 2" xfId="29772" xr:uid="{00000000-0005-0000-0000-0000934B0000}"/>
    <cellStyle name="Normal 3 2 2 2 2 4 6 2 2 2" xfId="29773" xr:uid="{00000000-0005-0000-0000-0000944B0000}"/>
    <cellStyle name="Normal 3 2 2 2 2 4 6 2 3" xfId="29774" xr:uid="{00000000-0005-0000-0000-0000954B0000}"/>
    <cellStyle name="Normal 3 2 2 2 2 4 6 2 3 2" xfId="29775" xr:uid="{00000000-0005-0000-0000-0000964B0000}"/>
    <cellStyle name="Normal 3 2 2 2 2 4 6 2 4" xfId="29776" xr:uid="{00000000-0005-0000-0000-0000974B0000}"/>
    <cellStyle name="Normal 3 2 2 2 2 4 6 2 4 2" xfId="29777" xr:uid="{00000000-0005-0000-0000-0000984B0000}"/>
    <cellStyle name="Normal 3 2 2 2 2 4 6 2 5" xfId="29778" xr:uid="{00000000-0005-0000-0000-0000994B0000}"/>
    <cellStyle name="Normal 3 2 2 2 2 4 6 2 6" xfId="29779" xr:uid="{00000000-0005-0000-0000-00009A4B0000}"/>
    <cellStyle name="Normal 3 2 2 2 2 4 6 2 7" xfId="29771" xr:uid="{00000000-0005-0000-0000-00009B4B0000}"/>
    <cellStyle name="Normal 3 2 2 2 2 4 6 3" xfId="29780" xr:uid="{00000000-0005-0000-0000-00009C4B0000}"/>
    <cellStyle name="Normal 3 2 2 2 2 4 6 3 2" xfId="29781" xr:uid="{00000000-0005-0000-0000-00009D4B0000}"/>
    <cellStyle name="Normal 3 2 2 2 2 4 6 3 2 2" xfId="29782" xr:uid="{00000000-0005-0000-0000-00009E4B0000}"/>
    <cellStyle name="Normal 3 2 2 2 2 4 6 3 3" xfId="29783" xr:uid="{00000000-0005-0000-0000-00009F4B0000}"/>
    <cellStyle name="Normal 3 2 2 2 2 4 6 3 3 2" xfId="29784" xr:uid="{00000000-0005-0000-0000-0000A04B0000}"/>
    <cellStyle name="Normal 3 2 2 2 2 4 6 3 4" xfId="29785" xr:uid="{00000000-0005-0000-0000-0000A14B0000}"/>
    <cellStyle name="Normal 3 2 2 2 2 4 6 3 4 2" xfId="29786" xr:uid="{00000000-0005-0000-0000-0000A24B0000}"/>
    <cellStyle name="Normal 3 2 2 2 2 4 6 3 5" xfId="29787" xr:uid="{00000000-0005-0000-0000-0000A34B0000}"/>
    <cellStyle name="Normal 3 2 2 2 2 4 6 3 6" xfId="29788" xr:uid="{00000000-0005-0000-0000-0000A44B0000}"/>
    <cellStyle name="Normal 3 2 2 2 2 4 6 4" xfId="29789" xr:uid="{00000000-0005-0000-0000-0000A54B0000}"/>
    <cellStyle name="Normal 3 2 2 2 2 4 6 4 2" xfId="29790" xr:uid="{00000000-0005-0000-0000-0000A64B0000}"/>
    <cellStyle name="Normal 3 2 2 2 2 4 6 4 2 2" xfId="29791" xr:uid="{00000000-0005-0000-0000-0000A74B0000}"/>
    <cellStyle name="Normal 3 2 2 2 2 4 6 4 3" xfId="29792" xr:uid="{00000000-0005-0000-0000-0000A84B0000}"/>
    <cellStyle name="Normal 3 2 2 2 2 4 6 4 3 2" xfId="29793" xr:uid="{00000000-0005-0000-0000-0000A94B0000}"/>
    <cellStyle name="Normal 3 2 2 2 2 4 6 4 4" xfId="29794" xr:uid="{00000000-0005-0000-0000-0000AA4B0000}"/>
    <cellStyle name="Normal 3 2 2 2 2 4 6 4 4 2" xfId="29795" xr:uid="{00000000-0005-0000-0000-0000AB4B0000}"/>
    <cellStyle name="Normal 3 2 2 2 2 4 6 4 5" xfId="29796" xr:uid="{00000000-0005-0000-0000-0000AC4B0000}"/>
    <cellStyle name="Normal 3 2 2 2 2 4 6 4 6" xfId="29797" xr:uid="{00000000-0005-0000-0000-0000AD4B0000}"/>
    <cellStyle name="Normal 3 2 2 2 2 4 6 5" xfId="29798" xr:uid="{00000000-0005-0000-0000-0000AE4B0000}"/>
    <cellStyle name="Normal 3 2 2 2 2 4 6 5 2" xfId="29799" xr:uid="{00000000-0005-0000-0000-0000AF4B0000}"/>
    <cellStyle name="Normal 3 2 2 2 2 4 6 5 2 2" xfId="29800" xr:uid="{00000000-0005-0000-0000-0000B04B0000}"/>
    <cellStyle name="Normal 3 2 2 2 2 4 6 5 3" xfId="29801" xr:uid="{00000000-0005-0000-0000-0000B14B0000}"/>
    <cellStyle name="Normal 3 2 2 2 2 4 6 5 3 2" xfId="29802" xr:uid="{00000000-0005-0000-0000-0000B24B0000}"/>
    <cellStyle name="Normal 3 2 2 2 2 4 6 5 4" xfId="29803" xr:uid="{00000000-0005-0000-0000-0000B34B0000}"/>
    <cellStyle name="Normal 3 2 2 2 2 4 6 5 5" xfId="29804" xr:uid="{00000000-0005-0000-0000-0000B44B0000}"/>
    <cellStyle name="Normal 3 2 2 2 2 4 6 6" xfId="29805" xr:uid="{00000000-0005-0000-0000-0000B54B0000}"/>
    <cellStyle name="Normal 3 2 2 2 2 4 6 6 2" xfId="29806" xr:uid="{00000000-0005-0000-0000-0000B64B0000}"/>
    <cellStyle name="Normal 3 2 2 2 2 4 6 7" xfId="29807" xr:uid="{00000000-0005-0000-0000-0000B74B0000}"/>
    <cellStyle name="Normal 3 2 2 2 2 4 6 7 2" xfId="29808" xr:uid="{00000000-0005-0000-0000-0000B84B0000}"/>
    <cellStyle name="Normal 3 2 2 2 2 4 6 8" xfId="29809" xr:uid="{00000000-0005-0000-0000-0000B94B0000}"/>
    <cellStyle name="Normal 3 2 2 2 2 4 6 8 2" xfId="29810" xr:uid="{00000000-0005-0000-0000-0000BA4B0000}"/>
    <cellStyle name="Normal 3 2 2 2 2 4 6 9" xfId="29811" xr:uid="{00000000-0005-0000-0000-0000BB4B0000}"/>
    <cellStyle name="Normal 3 2 2 2 2 4 7" xfId="2586" xr:uid="{00000000-0005-0000-0000-0000BC4B0000}"/>
    <cellStyle name="Normal 3 2 2 2 2 4 7 10" xfId="29813" xr:uid="{00000000-0005-0000-0000-0000BD4B0000}"/>
    <cellStyle name="Normal 3 2 2 2 2 4 7 11" xfId="29812" xr:uid="{00000000-0005-0000-0000-0000BE4B0000}"/>
    <cellStyle name="Normal 3 2 2 2 2 4 7 2" xfId="29814" xr:uid="{00000000-0005-0000-0000-0000BF4B0000}"/>
    <cellStyle name="Normal 3 2 2 2 2 4 7 2 2" xfId="29815" xr:uid="{00000000-0005-0000-0000-0000C04B0000}"/>
    <cellStyle name="Normal 3 2 2 2 2 4 7 2 2 2" xfId="29816" xr:uid="{00000000-0005-0000-0000-0000C14B0000}"/>
    <cellStyle name="Normal 3 2 2 2 2 4 7 2 3" xfId="29817" xr:uid="{00000000-0005-0000-0000-0000C24B0000}"/>
    <cellStyle name="Normal 3 2 2 2 2 4 7 2 3 2" xfId="29818" xr:uid="{00000000-0005-0000-0000-0000C34B0000}"/>
    <cellStyle name="Normal 3 2 2 2 2 4 7 2 4" xfId="29819" xr:uid="{00000000-0005-0000-0000-0000C44B0000}"/>
    <cellStyle name="Normal 3 2 2 2 2 4 7 2 4 2" xfId="29820" xr:uid="{00000000-0005-0000-0000-0000C54B0000}"/>
    <cellStyle name="Normal 3 2 2 2 2 4 7 2 5" xfId="29821" xr:uid="{00000000-0005-0000-0000-0000C64B0000}"/>
    <cellStyle name="Normal 3 2 2 2 2 4 7 2 6" xfId="29822" xr:uid="{00000000-0005-0000-0000-0000C74B0000}"/>
    <cellStyle name="Normal 3 2 2 2 2 4 7 3" xfId="29823" xr:uid="{00000000-0005-0000-0000-0000C84B0000}"/>
    <cellStyle name="Normal 3 2 2 2 2 4 7 3 2" xfId="29824" xr:uid="{00000000-0005-0000-0000-0000C94B0000}"/>
    <cellStyle name="Normal 3 2 2 2 2 4 7 3 2 2" xfId="29825" xr:uid="{00000000-0005-0000-0000-0000CA4B0000}"/>
    <cellStyle name="Normal 3 2 2 2 2 4 7 3 3" xfId="29826" xr:uid="{00000000-0005-0000-0000-0000CB4B0000}"/>
    <cellStyle name="Normal 3 2 2 2 2 4 7 3 3 2" xfId="29827" xr:uid="{00000000-0005-0000-0000-0000CC4B0000}"/>
    <cellStyle name="Normal 3 2 2 2 2 4 7 3 4" xfId="29828" xr:uid="{00000000-0005-0000-0000-0000CD4B0000}"/>
    <cellStyle name="Normal 3 2 2 2 2 4 7 3 4 2" xfId="29829" xr:uid="{00000000-0005-0000-0000-0000CE4B0000}"/>
    <cellStyle name="Normal 3 2 2 2 2 4 7 3 5" xfId="29830" xr:uid="{00000000-0005-0000-0000-0000CF4B0000}"/>
    <cellStyle name="Normal 3 2 2 2 2 4 7 3 6" xfId="29831" xr:uid="{00000000-0005-0000-0000-0000D04B0000}"/>
    <cellStyle name="Normal 3 2 2 2 2 4 7 4" xfId="29832" xr:uid="{00000000-0005-0000-0000-0000D14B0000}"/>
    <cellStyle name="Normal 3 2 2 2 2 4 7 4 2" xfId="29833" xr:uid="{00000000-0005-0000-0000-0000D24B0000}"/>
    <cellStyle name="Normal 3 2 2 2 2 4 7 4 2 2" xfId="29834" xr:uid="{00000000-0005-0000-0000-0000D34B0000}"/>
    <cellStyle name="Normal 3 2 2 2 2 4 7 4 3" xfId="29835" xr:uid="{00000000-0005-0000-0000-0000D44B0000}"/>
    <cellStyle name="Normal 3 2 2 2 2 4 7 4 3 2" xfId="29836" xr:uid="{00000000-0005-0000-0000-0000D54B0000}"/>
    <cellStyle name="Normal 3 2 2 2 2 4 7 4 4" xfId="29837" xr:uid="{00000000-0005-0000-0000-0000D64B0000}"/>
    <cellStyle name="Normal 3 2 2 2 2 4 7 4 4 2" xfId="29838" xr:uid="{00000000-0005-0000-0000-0000D74B0000}"/>
    <cellStyle name="Normal 3 2 2 2 2 4 7 4 5" xfId="29839" xr:uid="{00000000-0005-0000-0000-0000D84B0000}"/>
    <cellStyle name="Normal 3 2 2 2 2 4 7 4 6" xfId="29840" xr:uid="{00000000-0005-0000-0000-0000D94B0000}"/>
    <cellStyle name="Normal 3 2 2 2 2 4 7 5" xfId="29841" xr:uid="{00000000-0005-0000-0000-0000DA4B0000}"/>
    <cellStyle name="Normal 3 2 2 2 2 4 7 5 2" xfId="29842" xr:uid="{00000000-0005-0000-0000-0000DB4B0000}"/>
    <cellStyle name="Normal 3 2 2 2 2 4 7 5 2 2" xfId="29843" xr:uid="{00000000-0005-0000-0000-0000DC4B0000}"/>
    <cellStyle name="Normal 3 2 2 2 2 4 7 5 3" xfId="29844" xr:uid="{00000000-0005-0000-0000-0000DD4B0000}"/>
    <cellStyle name="Normal 3 2 2 2 2 4 7 5 3 2" xfId="29845" xr:uid="{00000000-0005-0000-0000-0000DE4B0000}"/>
    <cellStyle name="Normal 3 2 2 2 2 4 7 5 4" xfId="29846" xr:uid="{00000000-0005-0000-0000-0000DF4B0000}"/>
    <cellStyle name="Normal 3 2 2 2 2 4 7 5 5" xfId="29847" xr:uid="{00000000-0005-0000-0000-0000E04B0000}"/>
    <cellStyle name="Normal 3 2 2 2 2 4 7 6" xfId="29848" xr:uid="{00000000-0005-0000-0000-0000E14B0000}"/>
    <cellStyle name="Normal 3 2 2 2 2 4 7 6 2" xfId="29849" xr:uid="{00000000-0005-0000-0000-0000E24B0000}"/>
    <cellStyle name="Normal 3 2 2 2 2 4 7 7" xfId="29850" xr:uid="{00000000-0005-0000-0000-0000E34B0000}"/>
    <cellStyle name="Normal 3 2 2 2 2 4 7 7 2" xfId="29851" xr:uid="{00000000-0005-0000-0000-0000E44B0000}"/>
    <cellStyle name="Normal 3 2 2 2 2 4 7 8" xfId="29852" xr:uid="{00000000-0005-0000-0000-0000E54B0000}"/>
    <cellStyle name="Normal 3 2 2 2 2 4 7 8 2" xfId="29853" xr:uid="{00000000-0005-0000-0000-0000E64B0000}"/>
    <cellStyle name="Normal 3 2 2 2 2 4 7 9" xfId="29854" xr:uid="{00000000-0005-0000-0000-0000E74B0000}"/>
    <cellStyle name="Normal 3 2 2 2 2 4 8" xfId="29855" xr:uid="{00000000-0005-0000-0000-0000E84B0000}"/>
    <cellStyle name="Normal 3 2 2 2 2 4 8 2" xfId="29856" xr:uid="{00000000-0005-0000-0000-0000E94B0000}"/>
    <cellStyle name="Normal 3 2 2 2 2 4 8 2 2" xfId="29857" xr:uid="{00000000-0005-0000-0000-0000EA4B0000}"/>
    <cellStyle name="Normal 3 2 2 2 2 4 8 3" xfId="29858" xr:uid="{00000000-0005-0000-0000-0000EB4B0000}"/>
    <cellStyle name="Normal 3 2 2 2 2 4 8 3 2" xfId="29859" xr:uid="{00000000-0005-0000-0000-0000EC4B0000}"/>
    <cellStyle name="Normal 3 2 2 2 2 4 8 4" xfId="29860" xr:uid="{00000000-0005-0000-0000-0000ED4B0000}"/>
    <cellStyle name="Normal 3 2 2 2 2 4 8 4 2" xfId="29861" xr:uid="{00000000-0005-0000-0000-0000EE4B0000}"/>
    <cellStyle name="Normal 3 2 2 2 2 4 8 5" xfId="29862" xr:uid="{00000000-0005-0000-0000-0000EF4B0000}"/>
    <cellStyle name="Normal 3 2 2 2 2 4 8 6" xfId="29863" xr:uid="{00000000-0005-0000-0000-0000F04B0000}"/>
    <cellStyle name="Normal 3 2 2 2 2 4 9" xfId="29864" xr:uid="{00000000-0005-0000-0000-0000F14B0000}"/>
    <cellStyle name="Normal 3 2 2 2 2 4 9 2" xfId="29865" xr:uid="{00000000-0005-0000-0000-0000F24B0000}"/>
    <cellStyle name="Normal 3 2 2 2 2 4 9 2 2" xfId="29866" xr:uid="{00000000-0005-0000-0000-0000F34B0000}"/>
    <cellStyle name="Normal 3 2 2 2 2 4 9 3" xfId="29867" xr:uid="{00000000-0005-0000-0000-0000F44B0000}"/>
    <cellStyle name="Normal 3 2 2 2 2 4 9 3 2" xfId="29868" xr:uid="{00000000-0005-0000-0000-0000F54B0000}"/>
    <cellStyle name="Normal 3 2 2 2 2 4 9 4" xfId="29869" xr:uid="{00000000-0005-0000-0000-0000F64B0000}"/>
    <cellStyle name="Normal 3 2 2 2 2 4 9 4 2" xfId="29870" xr:uid="{00000000-0005-0000-0000-0000F74B0000}"/>
    <cellStyle name="Normal 3 2 2 2 2 4 9 5" xfId="29871" xr:uid="{00000000-0005-0000-0000-0000F84B0000}"/>
    <cellStyle name="Normal 3 2 2 2 2 4 9 6" xfId="29872" xr:uid="{00000000-0005-0000-0000-0000F94B0000}"/>
    <cellStyle name="Normal 3 2 2 2 2 5" xfId="2587" xr:uid="{00000000-0005-0000-0000-0000FA4B0000}"/>
    <cellStyle name="Normal 3 2 2 2 2 5 10" xfId="29874" xr:uid="{00000000-0005-0000-0000-0000FB4B0000}"/>
    <cellStyle name="Normal 3 2 2 2 2 5 10 2" xfId="29875" xr:uid="{00000000-0005-0000-0000-0000FC4B0000}"/>
    <cellStyle name="Normal 3 2 2 2 2 5 11" xfId="29876" xr:uid="{00000000-0005-0000-0000-0000FD4B0000}"/>
    <cellStyle name="Normal 3 2 2 2 2 5 11 2" xfId="29877" xr:uid="{00000000-0005-0000-0000-0000FE4B0000}"/>
    <cellStyle name="Normal 3 2 2 2 2 5 12" xfId="29878" xr:uid="{00000000-0005-0000-0000-0000FF4B0000}"/>
    <cellStyle name="Normal 3 2 2 2 2 5 13" xfId="29879" xr:uid="{00000000-0005-0000-0000-0000004C0000}"/>
    <cellStyle name="Normal 3 2 2 2 2 5 14" xfId="29873" xr:uid="{00000000-0005-0000-0000-0000014C0000}"/>
    <cellStyle name="Normal 3 2 2 2 2 5 2" xfId="2588" xr:uid="{00000000-0005-0000-0000-0000024C0000}"/>
    <cellStyle name="Normal 3 2 2 2 2 5 2 10" xfId="29881" xr:uid="{00000000-0005-0000-0000-0000034C0000}"/>
    <cellStyle name="Normal 3 2 2 2 2 5 2 11" xfId="29882" xr:uid="{00000000-0005-0000-0000-0000044C0000}"/>
    <cellStyle name="Normal 3 2 2 2 2 5 2 12" xfId="29880" xr:uid="{00000000-0005-0000-0000-0000054C0000}"/>
    <cellStyle name="Normal 3 2 2 2 2 5 2 2" xfId="2589" xr:uid="{00000000-0005-0000-0000-0000064C0000}"/>
    <cellStyle name="Normal 3 2 2 2 2 5 2 2 2" xfId="2590" xr:uid="{00000000-0005-0000-0000-0000074C0000}"/>
    <cellStyle name="Normal 3 2 2 2 2 5 2 2 2 2" xfId="29885" xr:uid="{00000000-0005-0000-0000-0000084C0000}"/>
    <cellStyle name="Normal 3 2 2 2 2 5 2 2 2 3" xfId="29884" xr:uid="{00000000-0005-0000-0000-0000094C0000}"/>
    <cellStyle name="Normal 3 2 2 2 2 5 2 2 3" xfId="29886" xr:uid="{00000000-0005-0000-0000-00000A4C0000}"/>
    <cellStyle name="Normal 3 2 2 2 2 5 2 2 3 2" xfId="29887" xr:uid="{00000000-0005-0000-0000-00000B4C0000}"/>
    <cellStyle name="Normal 3 2 2 2 2 5 2 2 4" xfId="29888" xr:uid="{00000000-0005-0000-0000-00000C4C0000}"/>
    <cellStyle name="Normal 3 2 2 2 2 5 2 2 4 2" xfId="29889" xr:uid="{00000000-0005-0000-0000-00000D4C0000}"/>
    <cellStyle name="Normal 3 2 2 2 2 5 2 2 5" xfId="29890" xr:uid="{00000000-0005-0000-0000-00000E4C0000}"/>
    <cellStyle name="Normal 3 2 2 2 2 5 2 2 6" xfId="29891" xr:uid="{00000000-0005-0000-0000-00000F4C0000}"/>
    <cellStyle name="Normal 3 2 2 2 2 5 2 2 7" xfId="29883" xr:uid="{00000000-0005-0000-0000-0000104C0000}"/>
    <cellStyle name="Normal 3 2 2 2 2 5 2 3" xfId="2591" xr:uid="{00000000-0005-0000-0000-0000114C0000}"/>
    <cellStyle name="Normal 3 2 2 2 2 5 2 3 2" xfId="2592" xr:uid="{00000000-0005-0000-0000-0000124C0000}"/>
    <cellStyle name="Normal 3 2 2 2 2 5 2 3 2 2" xfId="29894" xr:uid="{00000000-0005-0000-0000-0000134C0000}"/>
    <cellStyle name="Normal 3 2 2 2 2 5 2 3 2 3" xfId="29893" xr:uid="{00000000-0005-0000-0000-0000144C0000}"/>
    <cellStyle name="Normal 3 2 2 2 2 5 2 3 3" xfId="29895" xr:uid="{00000000-0005-0000-0000-0000154C0000}"/>
    <cellStyle name="Normal 3 2 2 2 2 5 2 3 3 2" xfId="29896" xr:uid="{00000000-0005-0000-0000-0000164C0000}"/>
    <cellStyle name="Normal 3 2 2 2 2 5 2 3 4" xfId="29897" xr:uid="{00000000-0005-0000-0000-0000174C0000}"/>
    <cellStyle name="Normal 3 2 2 2 2 5 2 3 4 2" xfId="29898" xr:uid="{00000000-0005-0000-0000-0000184C0000}"/>
    <cellStyle name="Normal 3 2 2 2 2 5 2 3 5" xfId="29899" xr:uid="{00000000-0005-0000-0000-0000194C0000}"/>
    <cellStyle name="Normal 3 2 2 2 2 5 2 3 6" xfId="29900" xr:uid="{00000000-0005-0000-0000-00001A4C0000}"/>
    <cellStyle name="Normal 3 2 2 2 2 5 2 3 7" xfId="29892" xr:uid="{00000000-0005-0000-0000-00001B4C0000}"/>
    <cellStyle name="Normal 3 2 2 2 2 5 2 4" xfId="2593" xr:uid="{00000000-0005-0000-0000-00001C4C0000}"/>
    <cellStyle name="Normal 3 2 2 2 2 5 2 4 2" xfId="29902" xr:uid="{00000000-0005-0000-0000-00001D4C0000}"/>
    <cellStyle name="Normal 3 2 2 2 2 5 2 4 2 2" xfId="29903" xr:uid="{00000000-0005-0000-0000-00001E4C0000}"/>
    <cellStyle name="Normal 3 2 2 2 2 5 2 4 3" xfId="29904" xr:uid="{00000000-0005-0000-0000-00001F4C0000}"/>
    <cellStyle name="Normal 3 2 2 2 2 5 2 4 3 2" xfId="29905" xr:uid="{00000000-0005-0000-0000-0000204C0000}"/>
    <cellStyle name="Normal 3 2 2 2 2 5 2 4 4" xfId="29906" xr:uid="{00000000-0005-0000-0000-0000214C0000}"/>
    <cellStyle name="Normal 3 2 2 2 2 5 2 4 4 2" xfId="29907" xr:uid="{00000000-0005-0000-0000-0000224C0000}"/>
    <cellStyle name="Normal 3 2 2 2 2 5 2 4 5" xfId="29908" xr:uid="{00000000-0005-0000-0000-0000234C0000}"/>
    <cellStyle name="Normal 3 2 2 2 2 5 2 4 6" xfId="29909" xr:uid="{00000000-0005-0000-0000-0000244C0000}"/>
    <cellStyle name="Normal 3 2 2 2 2 5 2 4 7" xfId="29901" xr:uid="{00000000-0005-0000-0000-0000254C0000}"/>
    <cellStyle name="Normal 3 2 2 2 2 5 2 5" xfId="29910" xr:uid="{00000000-0005-0000-0000-0000264C0000}"/>
    <cellStyle name="Normal 3 2 2 2 2 5 2 5 2" xfId="29911" xr:uid="{00000000-0005-0000-0000-0000274C0000}"/>
    <cellStyle name="Normal 3 2 2 2 2 5 2 5 2 2" xfId="29912" xr:uid="{00000000-0005-0000-0000-0000284C0000}"/>
    <cellStyle name="Normal 3 2 2 2 2 5 2 5 3" xfId="29913" xr:uid="{00000000-0005-0000-0000-0000294C0000}"/>
    <cellStyle name="Normal 3 2 2 2 2 5 2 5 3 2" xfId="29914" xr:uid="{00000000-0005-0000-0000-00002A4C0000}"/>
    <cellStyle name="Normal 3 2 2 2 2 5 2 5 4" xfId="29915" xr:uid="{00000000-0005-0000-0000-00002B4C0000}"/>
    <cellStyle name="Normal 3 2 2 2 2 5 2 5 4 2" xfId="29916" xr:uid="{00000000-0005-0000-0000-00002C4C0000}"/>
    <cellStyle name="Normal 3 2 2 2 2 5 2 5 5" xfId="29917" xr:uid="{00000000-0005-0000-0000-00002D4C0000}"/>
    <cellStyle name="Normal 3 2 2 2 2 5 2 5 6" xfId="29918" xr:uid="{00000000-0005-0000-0000-00002E4C0000}"/>
    <cellStyle name="Normal 3 2 2 2 2 5 2 6" xfId="29919" xr:uid="{00000000-0005-0000-0000-00002F4C0000}"/>
    <cellStyle name="Normal 3 2 2 2 2 5 2 6 2" xfId="29920" xr:uid="{00000000-0005-0000-0000-0000304C0000}"/>
    <cellStyle name="Normal 3 2 2 2 2 5 2 6 2 2" xfId="29921" xr:uid="{00000000-0005-0000-0000-0000314C0000}"/>
    <cellStyle name="Normal 3 2 2 2 2 5 2 6 3" xfId="29922" xr:uid="{00000000-0005-0000-0000-0000324C0000}"/>
    <cellStyle name="Normal 3 2 2 2 2 5 2 6 3 2" xfId="29923" xr:uid="{00000000-0005-0000-0000-0000334C0000}"/>
    <cellStyle name="Normal 3 2 2 2 2 5 2 6 4" xfId="29924" xr:uid="{00000000-0005-0000-0000-0000344C0000}"/>
    <cellStyle name="Normal 3 2 2 2 2 5 2 6 5" xfId="29925" xr:uid="{00000000-0005-0000-0000-0000354C0000}"/>
    <cellStyle name="Normal 3 2 2 2 2 5 2 7" xfId="29926" xr:uid="{00000000-0005-0000-0000-0000364C0000}"/>
    <cellStyle name="Normal 3 2 2 2 2 5 2 7 2" xfId="29927" xr:uid="{00000000-0005-0000-0000-0000374C0000}"/>
    <cellStyle name="Normal 3 2 2 2 2 5 2 8" xfId="29928" xr:uid="{00000000-0005-0000-0000-0000384C0000}"/>
    <cellStyle name="Normal 3 2 2 2 2 5 2 8 2" xfId="29929" xr:uid="{00000000-0005-0000-0000-0000394C0000}"/>
    <cellStyle name="Normal 3 2 2 2 2 5 2 9" xfId="29930" xr:uid="{00000000-0005-0000-0000-00003A4C0000}"/>
    <cellStyle name="Normal 3 2 2 2 2 5 2 9 2" xfId="29931" xr:uid="{00000000-0005-0000-0000-00003B4C0000}"/>
    <cellStyle name="Normal 3 2 2 2 2 5 3" xfId="2594" xr:uid="{00000000-0005-0000-0000-00003C4C0000}"/>
    <cellStyle name="Normal 3 2 2 2 2 5 3 10" xfId="29933" xr:uid="{00000000-0005-0000-0000-00003D4C0000}"/>
    <cellStyle name="Normal 3 2 2 2 2 5 3 11" xfId="29932" xr:uid="{00000000-0005-0000-0000-00003E4C0000}"/>
    <cellStyle name="Normal 3 2 2 2 2 5 3 2" xfId="2595" xr:uid="{00000000-0005-0000-0000-00003F4C0000}"/>
    <cellStyle name="Normal 3 2 2 2 2 5 3 2 2" xfId="29935" xr:uid="{00000000-0005-0000-0000-0000404C0000}"/>
    <cellStyle name="Normal 3 2 2 2 2 5 3 2 2 2" xfId="29936" xr:uid="{00000000-0005-0000-0000-0000414C0000}"/>
    <cellStyle name="Normal 3 2 2 2 2 5 3 2 3" xfId="29937" xr:uid="{00000000-0005-0000-0000-0000424C0000}"/>
    <cellStyle name="Normal 3 2 2 2 2 5 3 2 3 2" xfId="29938" xr:uid="{00000000-0005-0000-0000-0000434C0000}"/>
    <cellStyle name="Normal 3 2 2 2 2 5 3 2 4" xfId="29939" xr:uid="{00000000-0005-0000-0000-0000444C0000}"/>
    <cellStyle name="Normal 3 2 2 2 2 5 3 2 4 2" xfId="29940" xr:uid="{00000000-0005-0000-0000-0000454C0000}"/>
    <cellStyle name="Normal 3 2 2 2 2 5 3 2 5" xfId="29941" xr:uid="{00000000-0005-0000-0000-0000464C0000}"/>
    <cellStyle name="Normal 3 2 2 2 2 5 3 2 6" xfId="29942" xr:uid="{00000000-0005-0000-0000-0000474C0000}"/>
    <cellStyle name="Normal 3 2 2 2 2 5 3 2 7" xfId="29934" xr:uid="{00000000-0005-0000-0000-0000484C0000}"/>
    <cellStyle name="Normal 3 2 2 2 2 5 3 3" xfId="2596" xr:uid="{00000000-0005-0000-0000-0000494C0000}"/>
    <cellStyle name="Normal 3 2 2 2 2 5 3 3 2" xfId="29944" xr:uid="{00000000-0005-0000-0000-00004A4C0000}"/>
    <cellStyle name="Normal 3 2 2 2 2 5 3 3 2 2" xfId="29945" xr:uid="{00000000-0005-0000-0000-00004B4C0000}"/>
    <cellStyle name="Normal 3 2 2 2 2 5 3 3 3" xfId="29946" xr:uid="{00000000-0005-0000-0000-00004C4C0000}"/>
    <cellStyle name="Normal 3 2 2 2 2 5 3 3 3 2" xfId="29947" xr:uid="{00000000-0005-0000-0000-00004D4C0000}"/>
    <cellStyle name="Normal 3 2 2 2 2 5 3 3 4" xfId="29948" xr:uid="{00000000-0005-0000-0000-00004E4C0000}"/>
    <cellStyle name="Normal 3 2 2 2 2 5 3 3 4 2" xfId="29949" xr:uid="{00000000-0005-0000-0000-00004F4C0000}"/>
    <cellStyle name="Normal 3 2 2 2 2 5 3 3 5" xfId="29950" xr:uid="{00000000-0005-0000-0000-0000504C0000}"/>
    <cellStyle name="Normal 3 2 2 2 2 5 3 3 6" xfId="29951" xr:uid="{00000000-0005-0000-0000-0000514C0000}"/>
    <cellStyle name="Normal 3 2 2 2 2 5 3 3 7" xfId="29943" xr:uid="{00000000-0005-0000-0000-0000524C0000}"/>
    <cellStyle name="Normal 3 2 2 2 2 5 3 4" xfId="29952" xr:uid="{00000000-0005-0000-0000-0000534C0000}"/>
    <cellStyle name="Normal 3 2 2 2 2 5 3 4 2" xfId="29953" xr:uid="{00000000-0005-0000-0000-0000544C0000}"/>
    <cellStyle name="Normal 3 2 2 2 2 5 3 4 2 2" xfId="29954" xr:uid="{00000000-0005-0000-0000-0000554C0000}"/>
    <cellStyle name="Normal 3 2 2 2 2 5 3 4 3" xfId="29955" xr:uid="{00000000-0005-0000-0000-0000564C0000}"/>
    <cellStyle name="Normal 3 2 2 2 2 5 3 4 3 2" xfId="29956" xr:uid="{00000000-0005-0000-0000-0000574C0000}"/>
    <cellStyle name="Normal 3 2 2 2 2 5 3 4 4" xfId="29957" xr:uid="{00000000-0005-0000-0000-0000584C0000}"/>
    <cellStyle name="Normal 3 2 2 2 2 5 3 4 4 2" xfId="29958" xr:uid="{00000000-0005-0000-0000-0000594C0000}"/>
    <cellStyle name="Normal 3 2 2 2 2 5 3 4 5" xfId="29959" xr:uid="{00000000-0005-0000-0000-00005A4C0000}"/>
    <cellStyle name="Normal 3 2 2 2 2 5 3 4 6" xfId="29960" xr:uid="{00000000-0005-0000-0000-00005B4C0000}"/>
    <cellStyle name="Normal 3 2 2 2 2 5 3 5" xfId="29961" xr:uid="{00000000-0005-0000-0000-00005C4C0000}"/>
    <cellStyle name="Normal 3 2 2 2 2 5 3 5 2" xfId="29962" xr:uid="{00000000-0005-0000-0000-00005D4C0000}"/>
    <cellStyle name="Normal 3 2 2 2 2 5 3 5 2 2" xfId="29963" xr:uid="{00000000-0005-0000-0000-00005E4C0000}"/>
    <cellStyle name="Normal 3 2 2 2 2 5 3 5 3" xfId="29964" xr:uid="{00000000-0005-0000-0000-00005F4C0000}"/>
    <cellStyle name="Normal 3 2 2 2 2 5 3 5 3 2" xfId="29965" xr:uid="{00000000-0005-0000-0000-0000604C0000}"/>
    <cellStyle name="Normal 3 2 2 2 2 5 3 5 4" xfId="29966" xr:uid="{00000000-0005-0000-0000-0000614C0000}"/>
    <cellStyle name="Normal 3 2 2 2 2 5 3 5 5" xfId="29967" xr:uid="{00000000-0005-0000-0000-0000624C0000}"/>
    <cellStyle name="Normal 3 2 2 2 2 5 3 6" xfId="29968" xr:uid="{00000000-0005-0000-0000-0000634C0000}"/>
    <cellStyle name="Normal 3 2 2 2 2 5 3 6 2" xfId="29969" xr:uid="{00000000-0005-0000-0000-0000644C0000}"/>
    <cellStyle name="Normal 3 2 2 2 2 5 3 7" xfId="29970" xr:uid="{00000000-0005-0000-0000-0000654C0000}"/>
    <cellStyle name="Normal 3 2 2 2 2 5 3 7 2" xfId="29971" xr:uid="{00000000-0005-0000-0000-0000664C0000}"/>
    <cellStyle name="Normal 3 2 2 2 2 5 3 8" xfId="29972" xr:uid="{00000000-0005-0000-0000-0000674C0000}"/>
    <cellStyle name="Normal 3 2 2 2 2 5 3 8 2" xfId="29973" xr:uid="{00000000-0005-0000-0000-0000684C0000}"/>
    <cellStyle name="Normal 3 2 2 2 2 5 3 9" xfId="29974" xr:uid="{00000000-0005-0000-0000-0000694C0000}"/>
    <cellStyle name="Normal 3 2 2 2 2 5 4" xfId="2597" xr:uid="{00000000-0005-0000-0000-00006A4C0000}"/>
    <cellStyle name="Normal 3 2 2 2 2 5 4 10" xfId="29976" xr:uid="{00000000-0005-0000-0000-00006B4C0000}"/>
    <cellStyle name="Normal 3 2 2 2 2 5 4 11" xfId="29975" xr:uid="{00000000-0005-0000-0000-00006C4C0000}"/>
    <cellStyle name="Normal 3 2 2 2 2 5 4 2" xfId="2598" xr:uid="{00000000-0005-0000-0000-00006D4C0000}"/>
    <cellStyle name="Normal 3 2 2 2 2 5 4 2 2" xfId="29978" xr:uid="{00000000-0005-0000-0000-00006E4C0000}"/>
    <cellStyle name="Normal 3 2 2 2 2 5 4 2 2 2" xfId="29979" xr:uid="{00000000-0005-0000-0000-00006F4C0000}"/>
    <cellStyle name="Normal 3 2 2 2 2 5 4 2 3" xfId="29980" xr:uid="{00000000-0005-0000-0000-0000704C0000}"/>
    <cellStyle name="Normal 3 2 2 2 2 5 4 2 3 2" xfId="29981" xr:uid="{00000000-0005-0000-0000-0000714C0000}"/>
    <cellStyle name="Normal 3 2 2 2 2 5 4 2 4" xfId="29982" xr:uid="{00000000-0005-0000-0000-0000724C0000}"/>
    <cellStyle name="Normal 3 2 2 2 2 5 4 2 4 2" xfId="29983" xr:uid="{00000000-0005-0000-0000-0000734C0000}"/>
    <cellStyle name="Normal 3 2 2 2 2 5 4 2 5" xfId="29984" xr:uid="{00000000-0005-0000-0000-0000744C0000}"/>
    <cellStyle name="Normal 3 2 2 2 2 5 4 2 6" xfId="29985" xr:uid="{00000000-0005-0000-0000-0000754C0000}"/>
    <cellStyle name="Normal 3 2 2 2 2 5 4 2 7" xfId="29977" xr:uid="{00000000-0005-0000-0000-0000764C0000}"/>
    <cellStyle name="Normal 3 2 2 2 2 5 4 3" xfId="29986" xr:uid="{00000000-0005-0000-0000-0000774C0000}"/>
    <cellStyle name="Normal 3 2 2 2 2 5 4 3 2" xfId="29987" xr:uid="{00000000-0005-0000-0000-0000784C0000}"/>
    <cellStyle name="Normal 3 2 2 2 2 5 4 3 2 2" xfId="29988" xr:uid="{00000000-0005-0000-0000-0000794C0000}"/>
    <cellStyle name="Normal 3 2 2 2 2 5 4 3 3" xfId="29989" xr:uid="{00000000-0005-0000-0000-00007A4C0000}"/>
    <cellStyle name="Normal 3 2 2 2 2 5 4 3 3 2" xfId="29990" xr:uid="{00000000-0005-0000-0000-00007B4C0000}"/>
    <cellStyle name="Normal 3 2 2 2 2 5 4 3 4" xfId="29991" xr:uid="{00000000-0005-0000-0000-00007C4C0000}"/>
    <cellStyle name="Normal 3 2 2 2 2 5 4 3 4 2" xfId="29992" xr:uid="{00000000-0005-0000-0000-00007D4C0000}"/>
    <cellStyle name="Normal 3 2 2 2 2 5 4 3 5" xfId="29993" xr:uid="{00000000-0005-0000-0000-00007E4C0000}"/>
    <cellStyle name="Normal 3 2 2 2 2 5 4 3 6" xfId="29994" xr:uid="{00000000-0005-0000-0000-00007F4C0000}"/>
    <cellStyle name="Normal 3 2 2 2 2 5 4 4" xfId="29995" xr:uid="{00000000-0005-0000-0000-0000804C0000}"/>
    <cellStyle name="Normal 3 2 2 2 2 5 4 4 2" xfId="29996" xr:uid="{00000000-0005-0000-0000-0000814C0000}"/>
    <cellStyle name="Normal 3 2 2 2 2 5 4 4 2 2" xfId="29997" xr:uid="{00000000-0005-0000-0000-0000824C0000}"/>
    <cellStyle name="Normal 3 2 2 2 2 5 4 4 3" xfId="29998" xr:uid="{00000000-0005-0000-0000-0000834C0000}"/>
    <cellStyle name="Normal 3 2 2 2 2 5 4 4 3 2" xfId="29999" xr:uid="{00000000-0005-0000-0000-0000844C0000}"/>
    <cellStyle name="Normal 3 2 2 2 2 5 4 4 4" xfId="30000" xr:uid="{00000000-0005-0000-0000-0000854C0000}"/>
    <cellStyle name="Normal 3 2 2 2 2 5 4 4 4 2" xfId="30001" xr:uid="{00000000-0005-0000-0000-0000864C0000}"/>
    <cellStyle name="Normal 3 2 2 2 2 5 4 4 5" xfId="30002" xr:uid="{00000000-0005-0000-0000-0000874C0000}"/>
    <cellStyle name="Normal 3 2 2 2 2 5 4 4 6" xfId="30003" xr:uid="{00000000-0005-0000-0000-0000884C0000}"/>
    <cellStyle name="Normal 3 2 2 2 2 5 4 5" xfId="30004" xr:uid="{00000000-0005-0000-0000-0000894C0000}"/>
    <cellStyle name="Normal 3 2 2 2 2 5 4 5 2" xfId="30005" xr:uid="{00000000-0005-0000-0000-00008A4C0000}"/>
    <cellStyle name="Normal 3 2 2 2 2 5 4 5 2 2" xfId="30006" xr:uid="{00000000-0005-0000-0000-00008B4C0000}"/>
    <cellStyle name="Normal 3 2 2 2 2 5 4 5 3" xfId="30007" xr:uid="{00000000-0005-0000-0000-00008C4C0000}"/>
    <cellStyle name="Normal 3 2 2 2 2 5 4 5 3 2" xfId="30008" xr:uid="{00000000-0005-0000-0000-00008D4C0000}"/>
    <cellStyle name="Normal 3 2 2 2 2 5 4 5 4" xfId="30009" xr:uid="{00000000-0005-0000-0000-00008E4C0000}"/>
    <cellStyle name="Normal 3 2 2 2 2 5 4 5 5" xfId="30010" xr:uid="{00000000-0005-0000-0000-00008F4C0000}"/>
    <cellStyle name="Normal 3 2 2 2 2 5 4 6" xfId="30011" xr:uid="{00000000-0005-0000-0000-0000904C0000}"/>
    <cellStyle name="Normal 3 2 2 2 2 5 4 6 2" xfId="30012" xr:uid="{00000000-0005-0000-0000-0000914C0000}"/>
    <cellStyle name="Normal 3 2 2 2 2 5 4 7" xfId="30013" xr:uid="{00000000-0005-0000-0000-0000924C0000}"/>
    <cellStyle name="Normal 3 2 2 2 2 5 4 7 2" xfId="30014" xr:uid="{00000000-0005-0000-0000-0000934C0000}"/>
    <cellStyle name="Normal 3 2 2 2 2 5 4 8" xfId="30015" xr:uid="{00000000-0005-0000-0000-0000944C0000}"/>
    <cellStyle name="Normal 3 2 2 2 2 5 4 8 2" xfId="30016" xr:uid="{00000000-0005-0000-0000-0000954C0000}"/>
    <cellStyle name="Normal 3 2 2 2 2 5 4 9" xfId="30017" xr:uid="{00000000-0005-0000-0000-0000964C0000}"/>
    <cellStyle name="Normal 3 2 2 2 2 5 5" xfId="2599" xr:uid="{00000000-0005-0000-0000-0000974C0000}"/>
    <cellStyle name="Normal 3 2 2 2 2 5 5 2" xfId="2600" xr:uid="{00000000-0005-0000-0000-0000984C0000}"/>
    <cellStyle name="Normal 3 2 2 2 2 5 5 2 2" xfId="30020" xr:uid="{00000000-0005-0000-0000-0000994C0000}"/>
    <cellStyle name="Normal 3 2 2 2 2 5 5 2 3" xfId="30019" xr:uid="{00000000-0005-0000-0000-00009A4C0000}"/>
    <cellStyle name="Normal 3 2 2 2 2 5 5 3" xfId="30021" xr:uid="{00000000-0005-0000-0000-00009B4C0000}"/>
    <cellStyle name="Normal 3 2 2 2 2 5 5 3 2" xfId="30022" xr:uid="{00000000-0005-0000-0000-00009C4C0000}"/>
    <cellStyle name="Normal 3 2 2 2 2 5 5 4" xfId="30023" xr:uid="{00000000-0005-0000-0000-00009D4C0000}"/>
    <cellStyle name="Normal 3 2 2 2 2 5 5 4 2" xfId="30024" xr:uid="{00000000-0005-0000-0000-00009E4C0000}"/>
    <cellStyle name="Normal 3 2 2 2 2 5 5 5" xfId="30025" xr:uid="{00000000-0005-0000-0000-00009F4C0000}"/>
    <cellStyle name="Normal 3 2 2 2 2 5 5 6" xfId="30026" xr:uid="{00000000-0005-0000-0000-0000A04C0000}"/>
    <cellStyle name="Normal 3 2 2 2 2 5 5 7" xfId="30018" xr:uid="{00000000-0005-0000-0000-0000A14C0000}"/>
    <cellStyle name="Normal 3 2 2 2 2 5 6" xfId="2601" xr:uid="{00000000-0005-0000-0000-0000A24C0000}"/>
    <cellStyle name="Normal 3 2 2 2 2 5 6 2" xfId="30028" xr:uid="{00000000-0005-0000-0000-0000A34C0000}"/>
    <cellStyle name="Normal 3 2 2 2 2 5 6 2 2" xfId="30029" xr:uid="{00000000-0005-0000-0000-0000A44C0000}"/>
    <cellStyle name="Normal 3 2 2 2 2 5 6 3" xfId="30030" xr:uid="{00000000-0005-0000-0000-0000A54C0000}"/>
    <cellStyle name="Normal 3 2 2 2 2 5 6 3 2" xfId="30031" xr:uid="{00000000-0005-0000-0000-0000A64C0000}"/>
    <cellStyle name="Normal 3 2 2 2 2 5 6 4" xfId="30032" xr:uid="{00000000-0005-0000-0000-0000A74C0000}"/>
    <cellStyle name="Normal 3 2 2 2 2 5 6 4 2" xfId="30033" xr:uid="{00000000-0005-0000-0000-0000A84C0000}"/>
    <cellStyle name="Normal 3 2 2 2 2 5 6 5" xfId="30034" xr:uid="{00000000-0005-0000-0000-0000A94C0000}"/>
    <cellStyle name="Normal 3 2 2 2 2 5 6 6" xfId="30035" xr:uid="{00000000-0005-0000-0000-0000AA4C0000}"/>
    <cellStyle name="Normal 3 2 2 2 2 5 6 7" xfId="30027" xr:uid="{00000000-0005-0000-0000-0000AB4C0000}"/>
    <cellStyle name="Normal 3 2 2 2 2 5 7" xfId="30036" xr:uid="{00000000-0005-0000-0000-0000AC4C0000}"/>
    <cellStyle name="Normal 3 2 2 2 2 5 7 2" xfId="30037" xr:uid="{00000000-0005-0000-0000-0000AD4C0000}"/>
    <cellStyle name="Normal 3 2 2 2 2 5 7 2 2" xfId="30038" xr:uid="{00000000-0005-0000-0000-0000AE4C0000}"/>
    <cellStyle name="Normal 3 2 2 2 2 5 7 3" xfId="30039" xr:uid="{00000000-0005-0000-0000-0000AF4C0000}"/>
    <cellStyle name="Normal 3 2 2 2 2 5 7 3 2" xfId="30040" xr:uid="{00000000-0005-0000-0000-0000B04C0000}"/>
    <cellStyle name="Normal 3 2 2 2 2 5 7 4" xfId="30041" xr:uid="{00000000-0005-0000-0000-0000B14C0000}"/>
    <cellStyle name="Normal 3 2 2 2 2 5 7 4 2" xfId="30042" xr:uid="{00000000-0005-0000-0000-0000B24C0000}"/>
    <cellStyle name="Normal 3 2 2 2 2 5 7 5" xfId="30043" xr:uid="{00000000-0005-0000-0000-0000B34C0000}"/>
    <cellStyle name="Normal 3 2 2 2 2 5 7 6" xfId="30044" xr:uid="{00000000-0005-0000-0000-0000B44C0000}"/>
    <cellStyle name="Normal 3 2 2 2 2 5 8" xfId="30045" xr:uid="{00000000-0005-0000-0000-0000B54C0000}"/>
    <cellStyle name="Normal 3 2 2 2 2 5 8 2" xfId="30046" xr:uid="{00000000-0005-0000-0000-0000B64C0000}"/>
    <cellStyle name="Normal 3 2 2 2 2 5 8 2 2" xfId="30047" xr:uid="{00000000-0005-0000-0000-0000B74C0000}"/>
    <cellStyle name="Normal 3 2 2 2 2 5 8 3" xfId="30048" xr:uid="{00000000-0005-0000-0000-0000B84C0000}"/>
    <cellStyle name="Normal 3 2 2 2 2 5 8 3 2" xfId="30049" xr:uid="{00000000-0005-0000-0000-0000B94C0000}"/>
    <cellStyle name="Normal 3 2 2 2 2 5 8 4" xfId="30050" xr:uid="{00000000-0005-0000-0000-0000BA4C0000}"/>
    <cellStyle name="Normal 3 2 2 2 2 5 8 5" xfId="30051" xr:uid="{00000000-0005-0000-0000-0000BB4C0000}"/>
    <cellStyle name="Normal 3 2 2 2 2 5 9" xfId="30052" xr:uid="{00000000-0005-0000-0000-0000BC4C0000}"/>
    <cellStyle name="Normal 3 2 2 2 2 5 9 2" xfId="30053" xr:uid="{00000000-0005-0000-0000-0000BD4C0000}"/>
    <cellStyle name="Normal 3 2 2 2 2 6" xfId="2602" xr:uid="{00000000-0005-0000-0000-0000BE4C0000}"/>
    <cellStyle name="Normal 3 2 2 2 2 6 10" xfId="30055" xr:uid="{00000000-0005-0000-0000-0000BF4C0000}"/>
    <cellStyle name="Normal 3 2 2 2 2 6 10 2" xfId="30056" xr:uid="{00000000-0005-0000-0000-0000C04C0000}"/>
    <cellStyle name="Normal 3 2 2 2 2 6 11" xfId="30057" xr:uid="{00000000-0005-0000-0000-0000C14C0000}"/>
    <cellStyle name="Normal 3 2 2 2 2 6 11 2" xfId="30058" xr:uid="{00000000-0005-0000-0000-0000C24C0000}"/>
    <cellStyle name="Normal 3 2 2 2 2 6 12" xfId="30059" xr:uid="{00000000-0005-0000-0000-0000C34C0000}"/>
    <cellStyle name="Normal 3 2 2 2 2 6 13" xfId="30060" xr:uid="{00000000-0005-0000-0000-0000C44C0000}"/>
    <cellStyle name="Normal 3 2 2 2 2 6 14" xfId="30054" xr:uid="{00000000-0005-0000-0000-0000C54C0000}"/>
    <cellStyle name="Normal 3 2 2 2 2 6 2" xfId="2603" xr:uid="{00000000-0005-0000-0000-0000C64C0000}"/>
    <cellStyle name="Normal 3 2 2 2 2 6 2 10" xfId="30062" xr:uid="{00000000-0005-0000-0000-0000C74C0000}"/>
    <cellStyle name="Normal 3 2 2 2 2 6 2 11" xfId="30063" xr:uid="{00000000-0005-0000-0000-0000C84C0000}"/>
    <cellStyle name="Normal 3 2 2 2 2 6 2 12" xfId="30061" xr:uid="{00000000-0005-0000-0000-0000C94C0000}"/>
    <cellStyle name="Normal 3 2 2 2 2 6 2 2" xfId="2604" xr:uid="{00000000-0005-0000-0000-0000CA4C0000}"/>
    <cellStyle name="Normal 3 2 2 2 2 6 2 2 2" xfId="30065" xr:uid="{00000000-0005-0000-0000-0000CB4C0000}"/>
    <cellStyle name="Normal 3 2 2 2 2 6 2 2 2 2" xfId="30066" xr:uid="{00000000-0005-0000-0000-0000CC4C0000}"/>
    <cellStyle name="Normal 3 2 2 2 2 6 2 2 3" xfId="30067" xr:uid="{00000000-0005-0000-0000-0000CD4C0000}"/>
    <cellStyle name="Normal 3 2 2 2 2 6 2 2 3 2" xfId="30068" xr:uid="{00000000-0005-0000-0000-0000CE4C0000}"/>
    <cellStyle name="Normal 3 2 2 2 2 6 2 2 4" xfId="30069" xr:uid="{00000000-0005-0000-0000-0000CF4C0000}"/>
    <cellStyle name="Normal 3 2 2 2 2 6 2 2 4 2" xfId="30070" xr:uid="{00000000-0005-0000-0000-0000D04C0000}"/>
    <cellStyle name="Normal 3 2 2 2 2 6 2 2 5" xfId="30071" xr:uid="{00000000-0005-0000-0000-0000D14C0000}"/>
    <cellStyle name="Normal 3 2 2 2 2 6 2 2 6" xfId="30072" xr:uid="{00000000-0005-0000-0000-0000D24C0000}"/>
    <cellStyle name="Normal 3 2 2 2 2 6 2 2 7" xfId="30064" xr:uid="{00000000-0005-0000-0000-0000D34C0000}"/>
    <cellStyle name="Normal 3 2 2 2 2 6 2 3" xfId="30073" xr:uid="{00000000-0005-0000-0000-0000D44C0000}"/>
    <cellStyle name="Normal 3 2 2 2 2 6 2 3 2" xfId="30074" xr:uid="{00000000-0005-0000-0000-0000D54C0000}"/>
    <cellStyle name="Normal 3 2 2 2 2 6 2 3 2 2" xfId="30075" xr:uid="{00000000-0005-0000-0000-0000D64C0000}"/>
    <cellStyle name="Normal 3 2 2 2 2 6 2 3 3" xfId="30076" xr:uid="{00000000-0005-0000-0000-0000D74C0000}"/>
    <cellStyle name="Normal 3 2 2 2 2 6 2 3 3 2" xfId="30077" xr:uid="{00000000-0005-0000-0000-0000D84C0000}"/>
    <cellStyle name="Normal 3 2 2 2 2 6 2 3 4" xfId="30078" xr:uid="{00000000-0005-0000-0000-0000D94C0000}"/>
    <cellStyle name="Normal 3 2 2 2 2 6 2 3 4 2" xfId="30079" xr:uid="{00000000-0005-0000-0000-0000DA4C0000}"/>
    <cellStyle name="Normal 3 2 2 2 2 6 2 3 5" xfId="30080" xr:uid="{00000000-0005-0000-0000-0000DB4C0000}"/>
    <cellStyle name="Normal 3 2 2 2 2 6 2 3 6" xfId="30081" xr:uid="{00000000-0005-0000-0000-0000DC4C0000}"/>
    <cellStyle name="Normal 3 2 2 2 2 6 2 4" xfId="30082" xr:uid="{00000000-0005-0000-0000-0000DD4C0000}"/>
    <cellStyle name="Normal 3 2 2 2 2 6 2 4 2" xfId="30083" xr:uid="{00000000-0005-0000-0000-0000DE4C0000}"/>
    <cellStyle name="Normal 3 2 2 2 2 6 2 4 2 2" xfId="30084" xr:uid="{00000000-0005-0000-0000-0000DF4C0000}"/>
    <cellStyle name="Normal 3 2 2 2 2 6 2 4 3" xfId="30085" xr:uid="{00000000-0005-0000-0000-0000E04C0000}"/>
    <cellStyle name="Normal 3 2 2 2 2 6 2 4 3 2" xfId="30086" xr:uid="{00000000-0005-0000-0000-0000E14C0000}"/>
    <cellStyle name="Normal 3 2 2 2 2 6 2 4 4" xfId="30087" xr:uid="{00000000-0005-0000-0000-0000E24C0000}"/>
    <cellStyle name="Normal 3 2 2 2 2 6 2 4 4 2" xfId="30088" xr:uid="{00000000-0005-0000-0000-0000E34C0000}"/>
    <cellStyle name="Normal 3 2 2 2 2 6 2 4 5" xfId="30089" xr:uid="{00000000-0005-0000-0000-0000E44C0000}"/>
    <cellStyle name="Normal 3 2 2 2 2 6 2 4 6" xfId="30090" xr:uid="{00000000-0005-0000-0000-0000E54C0000}"/>
    <cellStyle name="Normal 3 2 2 2 2 6 2 5" xfId="30091" xr:uid="{00000000-0005-0000-0000-0000E64C0000}"/>
    <cellStyle name="Normal 3 2 2 2 2 6 2 5 2" xfId="30092" xr:uid="{00000000-0005-0000-0000-0000E74C0000}"/>
    <cellStyle name="Normal 3 2 2 2 2 6 2 5 2 2" xfId="30093" xr:uid="{00000000-0005-0000-0000-0000E84C0000}"/>
    <cellStyle name="Normal 3 2 2 2 2 6 2 5 3" xfId="30094" xr:uid="{00000000-0005-0000-0000-0000E94C0000}"/>
    <cellStyle name="Normal 3 2 2 2 2 6 2 5 3 2" xfId="30095" xr:uid="{00000000-0005-0000-0000-0000EA4C0000}"/>
    <cellStyle name="Normal 3 2 2 2 2 6 2 5 4" xfId="30096" xr:uid="{00000000-0005-0000-0000-0000EB4C0000}"/>
    <cellStyle name="Normal 3 2 2 2 2 6 2 5 4 2" xfId="30097" xr:uid="{00000000-0005-0000-0000-0000EC4C0000}"/>
    <cellStyle name="Normal 3 2 2 2 2 6 2 5 5" xfId="30098" xr:uid="{00000000-0005-0000-0000-0000ED4C0000}"/>
    <cellStyle name="Normal 3 2 2 2 2 6 2 5 6" xfId="30099" xr:uid="{00000000-0005-0000-0000-0000EE4C0000}"/>
    <cellStyle name="Normal 3 2 2 2 2 6 2 6" xfId="30100" xr:uid="{00000000-0005-0000-0000-0000EF4C0000}"/>
    <cellStyle name="Normal 3 2 2 2 2 6 2 6 2" xfId="30101" xr:uid="{00000000-0005-0000-0000-0000F04C0000}"/>
    <cellStyle name="Normal 3 2 2 2 2 6 2 6 2 2" xfId="30102" xr:uid="{00000000-0005-0000-0000-0000F14C0000}"/>
    <cellStyle name="Normal 3 2 2 2 2 6 2 6 3" xfId="30103" xr:uid="{00000000-0005-0000-0000-0000F24C0000}"/>
    <cellStyle name="Normal 3 2 2 2 2 6 2 6 3 2" xfId="30104" xr:uid="{00000000-0005-0000-0000-0000F34C0000}"/>
    <cellStyle name="Normal 3 2 2 2 2 6 2 6 4" xfId="30105" xr:uid="{00000000-0005-0000-0000-0000F44C0000}"/>
    <cellStyle name="Normal 3 2 2 2 2 6 2 6 5" xfId="30106" xr:uid="{00000000-0005-0000-0000-0000F54C0000}"/>
    <cellStyle name="Normal 3 2 2 2 2 6 2 7" xfId="30107" xr:uid="{00000000-0005-0000-0000-0000F64C0000}"/>
    <cellStyle name="Normal 3 2 2 2 2 6 2 7 2" xfId="30108" xr:uid="{00000000-0005-0000-0000-0000F74C0000}"/>
    <cellStyle name="Normal 3 2 2 2 2 6 2 8" xfId="30109" xr:uid="{00000000-0005-0000-0000-0000F84C0000}"/>
    <cellStyle name="Normal 3 2 2 2 2 6 2 8 2" xfId="30110" xr:uid="{00000000-0005-0000-0000-0000F94C0000}"/>
    <cellStyle name="Normal 3 2 2 2 2 6 2 9" xfId="30111" xr:uid="{00000000-0005-0000-0000-0000FA4C0000}"/>
    <cellStyle name="Normal 3 2 2 2 2 6 2 9 2" xfId="30112" xr:uid="{00000000-0005-0000-0000-0000FB4C0000}"/>
    <cellStyle name="Normal 3 2 2 2 2 6 3" xfId="2605" xr:uid="{00000000-0005-0000-0000-0000FC4C0000}"/>
    <cellStyle name="Normal 3 2 2 2 2 6 3 10" xfId="30114" xr:uid="{00000000-0005-0000-0000-0000FD4C0000}"/>
    <cellStyle name="Normal 3 2 2 2 2 6 3 11" xfId="30113" xr:uid="{00000000-0005-0000-0000-0000FE4C0000}"/>
    <cellStyle name="Normal 3 2 2 2 2 6 3 2" xfId="2606" xr:uid="{00000000-0005-0000-0000-0000FF4C0000}"/>
    <cellStyle name="Normal 3 2 2 2 2 6 3 2 2" xfId="30116" xr:uid="{00000000-0005-0000-0000-0000004D0000}"/>
    <cellStyle name="Normal 3 2 2 2 2 6 3 2 2 2" xfId="30117" xr:uid="{00000000-0005-0000-0000-0000014D0000}"/>
    <cellStyle name="Normal 3 2 2 2 2 6 3 2 3" xfId="30118" xr:uid="{00000000-0005-0000-0000-0000024D0000}"/>
    <cellStyle name="Normal 3 2 2 2 2 6 3 2 3 2" xfId="30119" xr:uid="{00000000-0005-0000-0000-0000034D0000}"/>
    <cellStyle name="Normal 3 2 2 2 2 6 3 2 4" xfId="30120" xr:uid="{00000000-0005-0000-0000-0000044D0000}"/>
    <cellStyle name="Normal 3 2 2 2 2 6 3 2 4 2" xfId="30121" xr:uid="{00000000-0005-0000-0000-0000054D0000}"/>
    <cellStyle name="Normal 3 2 2 2 2 6 3 2 5" xfId="30122" xr:uid="{00000000-0005-0000-0000-0000064D0000}"/>
    <cellStyle name="Normal 3 2 2 2 2 6 3 2 6" xfId="30123" xr:uid="{00000000-0005-0000-0000-0000074D0000}"/>
    <cellStyle name="Normal 3 2 2 2 2 6 3 2 7" xfId="30115" xr:uid="{00000000-0005-0000-0000-0000084D0000}"/>
    <cellStyle name="Normal 3 2 2 2 2 6 3 3" xfId="30124" xr:uid="{00000000-0005-0000-0000-0000094D0000}"/>
    <cellStyle name="Normal 3 2 2 2 2 6 3 3 2" xfId="30125" xr:uid="{00000000-0005-0000-0000-00000A4D0000}"/>
    <cellStyle name="Normal 3 2 2 2 2 6 3 3 2 2" xfId="30126" xr:uid="{00000000-0005-0000-0000-00000B4D0000}"/>
    <cellStyle name="Normal 3 2 2 2 2 6 3 3 3" xfId="30127" xr:uid="{00000000-0005-0000-0000-00000C4D0000}"/>
    <cellStyle name="Normal 3 2 2 2 2 6 3 3 3 2" xfId="30128" xr:uid="{00000000-0005-0000-0000-00000D4D0000}"/>
    <cellStyle name="Normal 3 2 2 2 2 6 3 3 4" xfId="30129" xr:uid="{00000000-0005-0000-0000-00000E4D0000}"/>
    <cellStyle name="Normal 3 2 2 2 2 6 3 3 4 2" xfId="30130" xr:uid="{00000000-0005-0000-0000-00000F4D0000}"/>
    <cellStyle name="Normal 3 2 2 2 2 6 3 3 5" xfId="30131" xr:uid="{00000000-0005-0000-0000-0000104D0000}"/>
    <cellStyle name="Normal 3 2 2 2 2 6 3 3 6" xfId="30132" xr:uid="{00000000-0005-0000-0000-0000114D0000}"/>
    <cellStyle name="Normal 3 2 2 2 2 6 3 4" xfId="30133" xr:uid="{00000000-0005-0000-0000-0000124D0000}"/>
    <cellStyle name="Normal 3 2 2 2 2 6 3 4 2" xfId="30134" xr:uid="{00000000-0005-0000-0000-0000134D0000}"/>
    <cellStyle name="Normal 3 2 2 2 2 6 3 4 2 2" xfId="30135" xr:uid="{00000000-0005-0000-0000-0000144D0000}"/>
    <cellStyle name="Normal 3 2 2 2 2 6 3 4 3" xfId="30136" xr:uid="{00000000-0005-0000-0000-0000154D0000}"/>
    <cellStyle name="Normal 3 2 2 2 2 6 3 4 3 2" xfId="30137" xr:uid="{00000000-0005-0000-0000-0000164D0000}"/>
    <cellStyle name="Normal 3 2 2 2 2 6 3 4 4" xfId="30138" xr:uid="{00000000-0005-0000-0000-0000174D0000}"/>
    <cellStyle name="Normal 3 2 2 2 2 6 3 4 4 2" xfId="30139" xr:uid="{00000000-0005-0000-0000-0000184D0000}"/>
    <cellStyle name="Normal 3 2 2 2 2 6 3 4 5" xfId="30140" xr:uid="{00000000-0005-0000-0000-0000194D0000}"/>
    <cellStyle name="Normal 3 2 2 2 2 6 3 4 6" xfId="30141" xr:uid="{00000000-0005-0000-0000-00001A4D0000}"/>
    <cellStyle name="Normal 3 2 2 2 2 6 3 5" xfId="30142" xr:uid="{00000000-0005-0000-0000-00001B4D0000}"/>
    <cellStyle name="Normal 3 2 2 2 2 6 3 5 2" xfId="30143" xr:uid="{00000000-0005-0000-0000-00001C4D0000}"/>
    <cellStyle name="Normal 3 2 2 2 2 6 3 5 2 2" xfId="30144" xr:uid="{00000000-0005-0000-0000-00001D4D0000}"/>
    <cellStyle name="Normal 3 2 2 2 2 6 3 5 3" xfId="30145" xr:uid="{00000000-0005-0000-0000-00001E4D0000}"/>
    <cellStyle name="Normal 3 2 2 2 2 6 3 5 3 2" xfId="30146" xr:uid="{00000000-0005-0000-0000-00001F4D0000}"/>
    <cellStyle name="Normal 3 2 2 2 2 6 3 5 4" xfId="30147" xr:uid="{00000000-0005-0000-0000-0000204D0000}"/>
    <cellStyle name="Normal 3 2 2 2 2 6 3 5 5" xfId="30148" xr:uid="{00000000-0005-0000-0000-0000214D0000}"/>
    <cellStyle name="Normal 3 2 2 2 2 6 3 6" xfId="30149" xr:uid="{00000000-0005-0000-0000-0000224D0000}"/>
    <cellStyle name="Normal 3 2 2 2 2 6 3 6 2" xfId="30150" xr:uid="{00000000-0005-0000-0000-0000234D0000}"/>
    <cellStyle name="Normal 3 2 2 2 2 6 3 7" xfId="30151" xr:uid="{00000000-0005-0000-0000-0000244D0000}"/>
    <cellStyle name="Normal 3 2 2 2 2 6 3 7 2" xfId="30152" xr:uid="{00000000-0005-0000-0000-0000254D0000}"/>
    <cellStyle name="Normal 3 2 2 2 2 6 3 8" xfId="30153" xr:uid="{00000000-0005-0000-0000-0000264D0000}"/>
    <cellStyle name="Normal 3 2 2 2 2 6 3 8 2" xfId="30154" xr:uid="{00000000-0005-0000-0000-0000274D0000}"/>
    <cellStyle name="Normal 3 2 2 2 2 6 3 9" xfId="30155" xr:uid="{00000000-0005-0000-0000-0000284D0000}"/>
    <cellStyle name="Normal 3 2 2 2 2 6 4" xfId="2607" xr:uid="{00000000-0005-0000-0000-0000294D0000}"/>
    <cellStyle name="Normal 3 2 2 2 2 6 4 10" xfId="30157" xr:uid="{00000000-0005-0000-0000-00002A4D0000}"/>
    <cellStyle name="Normal 3 2 2 2 2 6 4 11" xfId="30156" xr:uid="{00000000-0005-0000-0000-00002B4D0000}"/>
    <cellStyle name="Normal 3 2 2 2 2 6 4 2" xfId="30158" xr:uid="{00000000-0005-0000-0000-00002C4D0000}"/>
    <cellStyle name="Normal 3 2 2 2 2 6 4 2 2" xfId="30159" xr:uid="{00000000-0005-0000-0000-00002D4D0000}"/>
    <cellStyle name="Normal 3 2 2 2 2 6 4 2 2 2" xfId="30160" xr:uid="{00000000-0005-0000-0000-00002E4D0000}"/>
    <cellStyle name="Normal 3 2 2 2 2 6 4 2 3" xfId="30161" xr:uid="{00000000-0005-0000-0000-00002F4D0000}"/>
    <cellStyle name="Normal 3 2 2 2 2 6 4 2 3 2" xfId="30162" xr:uid="{00000000-0005-0000-0000-0000304D0000}"/>
    <cellStyle name="Normal 3 2 2 2 2 6 4 2 4" xfId="30163" xr:uid="{00000000-0005-0000-0000-0000314D0000}"/>
    <cellStyle name="Normal 3 2 2 2 2 6 4 2 4 2" xfId="30164" xr:uid="{00000000-0005-0000-0000-0000324D0000}"/>
    <cellStyle name="Normal 3 2 2 2 2 6 4 2 5" xfId="30165" xr:uid="{00000000-0005-0000-0000-0000334D0000}"/>
    <cellStyle name="Normal 3 2 2 2 2 6 4 2 6" xfId="30166" xr:uid="{00000000-0005-0000-0000-0000344D0000}"/>
    <cellStyle name="Normal 3 2 2 2 2 6 4 3" xfId="30167" xr:uid="{00000000-0005-0000-0000-0000354D0000}"/>
    <cellStyle name="Normal 3 2 2 2 2 6 4 3 2" xfId="30168" xr:uid="{00000000-0005-0000-0000-0000364D0000}"/>
    <cellStyle name="Normal 3 2 2 2 2 6 4 3 2 2" xfId="30169" xr:uid="{00000000-0005-0000-0000-0000374D0000}"/>
    <cellStyle name="Normal 3 2 2 2 2 6 4 3 3" xfId="30170" xr:uid="{00000000-0005-0000-0000-0000384D0000}"/>
    <cellStyle name="Normal 3 2 2 2 2 6 4 3 3 2" xfId="30171" xr:uid="{00000000-0005-0000-0000-0000394D0000}"/>
    <cellStyle name="Normal 3 2 2 2 2 6 4 3 4" xfId="30172" xr:uid="{00000000-0005-0000-0000-00003A4D0000}"/>
    <cellStyle name="Normal 3 2 2 2 2 6 4 3 4 2" xfId="30173" xr:uid="{00000000-0005-0000-0000-00003B4D0000}"/>
    <cellStyle name="Normal 3 2 2 2 2 6 4 3 5" xfId="30174" xr:uid="{00000000-0005-0000-0000-00003C4D0000}"/>
    <cellStyle name="Normal 3 2 2 2 2 6 4 3 6" xfId="30175" xr:uid="{00000000-0005-0000-0000-00003D4D0000}"/>
    <cellStyle name="Normal 3 2 2 2 2 6 4 4" xfId="30176" xr:uid="{00000000-0005-0000-0000-00003E4D0000}"/>
    <cellStyle name="Normal 3 2 2 2 2 6 4 4 2" xfId="30177" xr:uid="{00000000-0005-0000-0000-00003F4D0000}"/>
    <cellStyle name="Normal 3 2 2 2 2 6 4 4 2 2" xfId="30178" xr:uid="{00000000-0005-0000-0000-0000404D0000}"/>
    <cellStyle name="Normal 3 2 2 2 2 6 4 4 3" xfId="30179" xr:uid="{00000000-0005-0000-0000-0000414D0000}"/>
    <cellStyle name="Normal 3 2 2 2 2 6 4 4 3 2" xfId="30180" xr:uid="{00000000-0005-0000-0000-0000424D0000}"/>
    <cellStyle name="Normal 3 2 2 2 2 6 4 4 4" xfId="30181" xr:uid="{00000000-0005-0000-0000-0000434D0000}"/>
    <cellStyle name="Normal 3 2 2 2 2 6 4 4 4 2" xfId="30182" xr:uid="{00000000-0005-0000-0000-0000444D0000}"/>
    <cellStyle name="Normal 3 2 2 2 2 6 4 4 5" xfId="30183" xr:uid="{00000000-0005-0000-0000-0000454D0000}"/>
    <cellStyle name="Normal 3 2 2 2 2 6 4 4 6" xfId="30184" xr:uid="{00000000-0005-0000-0000-0000464D0000}"/>
    <cellStyle name="Normal 3 2 2 2 2 6 4 5" xfId="30185" xr:uid="{00000000-0005-0000-0000-0000474D0000}"/>
    <cellStyle name="Normal 3 2 2 2 2 6 4 5 2" xfId="30186" xr:uid="{00000000-0005-0000-0000-0000484D0000}"/>
    <cellStyle name="Normal 3 2 2 2 2 6 4 5 2 2" xfId="30187" xr:uid="{00000000-0005-0000-0000-0000494D0000}"/>
    <cellStyle name="Normal 3 2 2 2 2 6 4 5 3" xfId="30188" xr:uid="{00000000-0005-0000-0000-00004A4D0000}"/>
    <cellStyle name="Normal 3 2 2 2 2 6 4 5 3 2" xfId="30189" xr:uid="{00000000-0005-0000-0000-00004B4D0000}"/>
    <cellStyle name="Normal 3 2 2 2 2 6 4 5 4" xfId="30190" xr:uid="{00000000-0005-0000-0000-00004C4D0000}"/>
    <cellStyle name="Normal 3 2 2 2 2 6 4 5 5" xfId="30191" xr:uid="{00000000-0005-0000-0000-00004D4D0000}"/>
    <cellStyle name="Normal 3 2 2 2 2 6 4 6" xfId="30192" xr:uid="{00000000-0005-0000-0000-00004E4D0000}"/>
    <cellStyle name="Normal 3 2 2 2 2 6 4 6 2" xfId="30193" xr:uid="{00000000-0005-0000-0000-00004F4D0000}"/>
    <cellStyle name="Normal 3 2 2 2 2 6 4 7" xfId="30194" xr:uid="{00000000-0005-0000-0000-0000504D0000}"/>
    <cellStyle name="Normal 3 2 2 2 2 6 4 7 2" xfId="30195" xr:uid="{00000000-0005-0000-0000-0000514D0000}"/>
    <cellStyle name="Normal 3 2 2 2 2 6 4 8" xfId="30196" xr:uid="{00000000-0005-0000-0000-0000524D0000}"/>
    <cellStyle name="Normal 3 2 2 2 2 6 4 8 2" xfId="30197" xr:uid="{00000000-0005-0000-0000-0000534D0000}"/>
    <cellStyle name="Normal 3 2 2 2 2 6 4 9" xfId="30198" xr:uid="{00000000-0005-0000-0000-0000544D0000}"/>
    <cellStyle name="Normal 3 2 2 2 2 6 5" xfId="30199" xr:uid="{00000000-0005-0000-0000-0000554D0000}"/>
    <cellStyle name="Normal 3 2 2 2 2 6 5 2" xfId="30200" xr:uid="{00000000-0005-0000-0000-0000564D0000}"/>
    <cellStyle name="Normal 3 2 2 2 2 6 5 2 2" xfId="30201" xr:uid="{00000000-0005-0000-0000-0000574D0000}"/>
    <cellStyle name="Normal 3 2 2 2 2 6 5 3" xfId="30202" xr:uid="{00000000-0005-0000-0000-0000584D0000}"/>
    <cellStyle name="Normal 3 2 2 2 2 6 5 3 2" xfId="30203" xr:uid="{00000000-0005-0000-0000-0000594D0000}"/>
    <cellStyle name="Normal 3 2 2 2 2 6 5 4" xfId="30204" xr:uid="{00000000-0005-0000-0000-00005A4D0000}"/>
    <cellStyle name="Normal 3 2 2 2 2 6 5 4 2" xfId="30205" xr:uid="{00000000-0005-0000-0000-00005B4D0000}"/>
    <cellStyle name="Normal 3 2 2 2 2 6 5 5" xfId="30206" xr:uid="{00000000-0005-0000-0000-00005C4D0000}"/>
    <cellStyle name="Normal 3 2 2 2 2 6 5 6" xfId="30207" xr:uid="{00000000-0005-0000-0000-00005D4D0000}"/>
    <cellStyle name="Normal 3 2 2 2 2 6 6" xfId="30208" xr:uid="{00000000-0005-0000-0000-00005E4D0000}"/>
    <cellStyle name="Normal 3 2 2 2 2 6 6 2" xfId="30209" xr:uid="{00000000-0005-0000-0000-00005F4D0000}"/>
    <cellStyle name="Normal 3 2 2 2 2 6 6 2 2" xfId="30210" xr:uid="{00000000-0005-0000-0000-0000604D0000}"/>
    <cellStyle name="Normal 3 2 2 2 2 6 6 3" xfId="30211" xr:uid="{00000000-0005-0000-0000-0000614D0000}"/>
    <cellStyle name="Normal 3 2 2 2 2 6 6 3 2" xfId="30212" xr:uid="{00000000-0005-0000-0000-0000624D0000}"/>
    <cellStyle name="Normal 3 2 2 2 2 6 6 4" xfId="30213" xr:uid="{00000000-0005-0000-0000-0000634D0000}"/>
    <cellStyle name="Normal 3 2 2 2 2 6 6 4 2" xfId="30214" xr:uid="{00000000-0005-0000-0000-0000644D0000}"/>
    <cellStyle name="Normal 3 2 2 2 2 6 6 5" xfId="30215" xr:uid="{00000000-0005-0000-0000-0000654D0000}"/>
    <cellStyle name="Normal 3 2 2 2 2 6 6 6" xfId="30216" xr:uid="{00000000-0005-0000-0000-0000664D0000}"/>
    <cellStyle name="Normal 3 2 2 2 2 6 7" xfId="30217" xr:uid="{00000000-0005-0000-0000-0000674D0000}"/>
    <cellStyle name="Normal 3 2 2 2 2 6 7 2" xfId="30218" xr:uid="{00000000-0005-0000-0000-0000684D0000}"/>
    <cellStyle name="Normal 3 2 2 2 2 6 7 2 2" xfId="30219" xr:uid="{00000000-0005-0000-0000-0000694D0000}"/>
    <cellStyle name="Normal 3 2 2 2 2 6 7 3" xfId="30220" xr:uid="{00000000-0005-0000-0000-00006A4D0000}"/>
    <cellStyle name="Normal 3 2 2 2 2 6 7 3 2" xfId="30221" xr:uid="{00000000-0005-0000-0000-00006B4D0000}"/>
    <cellStyle name="Normal 3 2 2 2 2 6 7 4" xfId="30222" xr:uid="{00000000-0005-0000-0000-00006C4D0000}"/>
    <cellStyle name="Normal 3 2 2 2 2 6 7 4 2" xfId="30223" xr:uid="{00000000-0005-0000-0000-00006D4D0000}"/>
    <cellStyle name="Normal 3 2 2 2 2 6 7 5" xfId="30224" xr:uid="{00000000-0005-0000-0000-00006E4D0000}"/>
    <cellStyle name="Normal 3 2 2 2 2 6 7 6" xfId="30225" xr:uid="{00000000-0005-0000-0000-00006F4D0000}"/>
    <cellStyle name="Normal 3 2 2 2 2 6 8" xfId="30226" xr:uid="{00000000-0005-0000-0000-0000704D0000}"/>
    <cellStyle name="Normal 3 2 2 2 2 6 8 2" xfId="30227" xr:uid="{00000000-0005-0000-0000-0000714D0000}"/>
    <cellStyle name="Normal 3 2 2 2 2 6 8 2 2" xfId="30228" xr:uid="{00000000-0005-0000-0000-0000724D0000}"/>
    <cellStyle name="Normal 3 2 2 2 2 6 8 3" xfId="30229" xr:uid="{00000000-0005-0000-0000-0000734D0000}"/>
    <cellStyle name="Normal 3 2 2 2 2 6 8 3 2" xfId="30230" xr:uid="{00000000-0005-0000-0000-0000744D0000}"/>
    <cellStyle name="Normal 3 2 2 2 2 6 8 4" xfId="30231" xr:uid="{00000000-0005-0000-0000-0000754D0000}"/>
    <cellStyle name="Normal 3 2 2 2 2 6 8 5" xfId="30232" xr:uid="{00000000-0005-0000-0000-0000764D0000}"/>
    <cellStyle name="Normal 3 2 2 2 2 6 9" xfId="30233" xr:uid="{00000000-0005-0000-0000-0000774D0000}"/>
    <cellStyle name="Normal 3 2 2 2 2 6 9 2" xfId="30234" xr:uid="{00000000-0005-0000-0000-0000784D0000}"/>
    <cellStyle name="Normal 3 2 2 2 2 7" xfId="2608" xr:uid="{00000000-0005-0000-0000-0000794D0000}"/>
    <cellStyle name="Normal 3 2 2 2 2 7 10" xfId="30236" xr:uid="{00000000-0005-0000-0000-00007A4D0000}"/>
    <cellStyle name="Normal 3 2 2 2 2 7 10 2" xfId="30237" xr:uid="{00000000-0005-0000-0000-00007B4D0000}"/>
    <cellStyle name="Normal 3 2 2 2 2 7 11" xfId="30238" xr:uid="{00000000-0005-0000-0000-00007C4D0000}"/>
    <cellStyle name="Normal 3 2 2 2 2 7 12" xfId="30239" xr:uid="{00000000-0005-0000-0000-00007D4D0000}"/>
    <cellStyle name="Normal 3 2 2 2 2 7 13" xfId="30235" xr:uid="{00000000-0005-0000-0000-00007E4D0000}"/>
    <cellStyle name="Normal 3 2 2 2 2 7 2" xfId="2609" xr:uid="{00000000-0005-0000-0000-00007F4D0000}"/>
    <cellStyle name="Normal 3 2 2 2 2 7 2 10" xfId="30241" xr:uid="{00000000-0005-0000-0000-0000804D0000}"/>
    <cellStyle name="Normal 3 2 2 2 2 7 2 11" xfId="30240" xr:uid="{00000000-0005-0000-0000-0000814D0000}"/>
    <cellStyle name="Normal 3 2 2 2 2 7 2 2" xfId="2610" xr:uid="{00000000-0005-0000-0000-0000824D0000}"/>
    <cellStyle name="Normal 3 2 2 2 2 7 2 2 2" xfId="30243" xr:uid="{00000000-0005-0000-0000-0000834D0000}"/>
    <cellStyle name="Normal 3 2 2 2 2 7 2 2 2 2" xfId="30244" xr:uid="{00000000-0005-0000-0000-0000844D0000}"/>
    <cellStyle name="Normal 3 2 2 2 2 7 2 2 3" xfId="30245" xr:uid="{00000000-0005-0000-0000-0000854D0000}"/>
    <cellStyle name="Normal 3 2 2 2 2 7 2 2 3 2" xfId="30246" xr:uid="{00000000-0005-0000-0000-0000864D0000}"/>
    <cellStyle name="Normal 3 2 2 2 2 7 2 2 4" xfId="30247" xr:uid="{00000000-0005-0000-0000-0000874D0000}"/>
    <cellStyle name="Normal 3 2 2 2 2 7 2 2 4 2" xfId="30248" xr:uid="{00000000-0005-0000-0000-0000884D0000}"/>
    <cellStyle name="Normal 3 2 2 2 2 7 2 2 5" xfId="30249" xr:uid="{00000000-0005-0000-0000-0000894D0000}"/>
    <cellStyle name="Normal 3 2 2 2 2 7 2 2 6" xfId="30250" xr:uid="{00000000-0005-0000-0000-00008A4D0000}"/>
    <cellStyle name="Normal 3 2 2 2 2 7 2 2 7" xfId="30242" xr:uid="{00000000-0005-0000-0000-00008B4D0000}"/>
    <cellStyle name="Normal 3 2 2 2 2 7 2 3" xfId="30251" xr:uid="{00000000-0005-0000-0000-00008C4D0000}"/>
    <cellStyle name="Normal 3 2 2 2 2 7 2 3 2" xfId="30252" xr:uid="{00000000-0005-0000-0000-00008D4D0000}"/>
    <cellStyle name="Normal 3 2 2 2 2 7 2 3 2 2" xfId="30253" xr:uid="{00000000-0005-0000-0000-00008E4D0000}"/>
    <cellStyle name="Normal 3 2 2 2 2 7 2 3 3" xfId="30254" xr:uid="{00000000-0005-0000-0000-00008F4D0000}"/>
    <cellStyle name="Normal 3 2 2 2 2 7 2 3 3 2" xfId="30255" xr:uid="{00000000-0005-0000-0000-0000904D0000}"/>
    <cellStyle name="Normal 3 2 2 2 2 7 2 3 4" xfId="30256" xr:uid="{00000000-0005-0000-0000-0000914D0000}"/>
    <cellStyle name="Normal 3 2 2 2 2 7 2 3 4 2" xfId="30257" xr:uid="{00000000-0005-0000-0000-0000924D0000}"/>
    <cellStyle name="Normal 3 2 2 2 2 7 2 3 5" xfId="30258" xr:uid="{00000000-0005-0000-0000-0000934D0000}"/>
    <cellStyle name="Normal 3 2 2 2 2 7 2 3 6" xfId="30259" xr:uid="{00000000-0005-0000-0000-0000944D0000}"/>
    <cellStyle name="Normal 3 2 2 2 2 7 2 4" xfId="30260" xr:uid="{00000000-0005-0000-0000-0000954D0000}"/>
    <cellStyle name="Normal 3 2 2 2 2 7 2 4 2" xfId="30261" xr:uid="{00000000-0005-0000-0000-0000964D0000}"/>
    <cellStyle name="Normal 3 2 2 2 2 7 2 4 2 2" xfId="30262" xr:uid="{00000000-0005-0000-0000-0000974D0000}"/>
    <cellStyle name="Normal 3 2 2 2 2 7 2 4 3" xfId="30263" xr:uid="{00000000-0005-0000-0000-0000984D0000}"/>
    <cellStyle name="Normal 3 2 2 2 2 7 2 4 3 2" xfId="30264" xr:uid="{00000000-0005-0000-0000-0000994D0000}"/>
    <cellStyle name="Normal 3 2 2 2 2 7 2 4 4" xfId="30265" xr:uid="{00000000-0005-0000-0000-00009A4D0000}"/>
    <cellStyle name="Normal 3 2 2 2 2 7 2 4 4 2" xfId="30266" xr:uid="{00000000-0005-0000-0000-00009B4D0000}"/>
    <cellStyle name="Normal 3 2 2 2 2 7 2 4 5" xfId="30267" xr:uid="{00000000-0005-0000-0000-00009C4D0000}"/>
    <cellStyle name="Normal 3 2 2 2 2 7 2 4 6" xfId="30268" xr:uid="{00000000-0005-0000-0000-00009D4D0000}"/>
    <cellStyle name="Normal 3 2 2 2 2 7 2 5" xfId="30269" xr:uid="{00000000-0005-0000-0000-00009E4D0000}"/>
    <cellStyle name="Normal 3 2 2 2 2 7 2 5 2" xfId="30270" xr:uid="{00000000-0005-0000-0000-00009F4D0000}"/>
    <cellStyle name="Normal 3 2 2 2 2 7 2 5 2 2" xfId="30271" xr:uid="{00000000-0005-0000-0000-0000A04D0000}"/>
    <cellStyle name="Normal 3 2 2 2 2 7 2 5 3" xfId="30272" xr:uid="{00000000-0005-0000-0000-0000A14D0000}"/>
    <cellStyle name="Normal 3 2 2 2 2 7 2 5 3 2" xfId="30273" xr:uid="{00000000-0005-0000-0000-0000A24D0000}"/>
    <cellStyle name="Normal 3 2 2 2 2 7 2 5 4" xfId="30274" xr:uid="{00000000-0005-0000-0000-0000A34D0000}"/>
    <cellStyle name="Normal 3 2 2 2 2 7 2 5 5" xfId="30275" xr:uid="{00000000-0005-0000-0000-0000A44D0000}"/>
    <cellStyle name="Normal 3 2 2 2 2 7 2 6" xfId="30276" xr:uid="{00000000-0005-0000-0000-0000A54D0000}"/>
    <cellStyle name="Normal 3 2 2 2 2 7 2 6 2" xfId="30277" xr:uid="{00000000-0005-0000-0000-0000A64D0000}"/>
    <cellStyle name="Normal 3 2 2 2 2 7 2 7" xfId="30278" xr:uid="{00000000-0005-0000-0000-0000A74D0000}"/>
    <cellStyle name="Normal 3 2 2 2 2 7 2 7 2" xfId="30279" xr:uid="{00000000-0005-0000-0000-0000A84D0000}"/>
    <cellStyle name="Normal 3 2 2 2 2 7 2 8" xfId="30280" xr:uid="{00000000-0005-0000-0000-0000A94D0000}"/>
    <cellStyle name="Normal 3 2 2 2 2 7 2 8 2" xfId="30281" xr:uid="{00000000-0005-0000-0000-0000AA4D0000}"/>
    <cellStyle name="Normal 3 2 2 2 2 7 2 9" xfId="30282" xr:uid="{00000000-0005-0000-0000-0000AB4D0000}"/>
    <cellStyle name="Normal 3 2 2 2 2 7 3" xfId="2611" xr:uid="{00000000-0005-0000-0000-0000AC4D0000}"/>
    <cellStyle name="Normal 3 2 2 2 2 7 3 10" xfId="30284" xr:uid="{00000000-0005-0000-0000-0000AD4D0000}"/>
    <cellStyle name="Normal 3 2 2 2 2 7 3 11" xfId="30283" xr:uid="{00000000-0005-0000-0000-0000AE4D0000}"/>
    <cellStyle name="Normal 3 2 2 2 2 7 3 2" xfId="2612" xr:uid="{00000000-0005-0000-0000-0000AF4D0000}"/>
    <cellStyle name="Normal 3 2 2 2 2 7 3 2 2" xfId="30286" xr:uid="{00000000-0005-0000-0000-0000B04D0000}"/>
    <cellStyle name="Normal 3 2 2 2 2 7 3 2 2 2" xfId="30287" xr:uid="{00000000-0005-0000-0000-0000B14D0000}"/>
    <cellStyle name="Normal 3 2 2 2 2 7 3 2 3" xfId="30288" xr:uid="{00000000-0005-0000-0000-0000B24D0000}"/>
    <cellStyle name="Normal 3 2 2 2 2 7 3 2 3 2" xfId="30289" xr:uid="{00000000-0005-0000-0000-0000B34D0000}"/>
    <cellStyle name="Normal 3 2 2 2 2 7 3 2 4" xfId="30290" xr:uid="{00000000-0005-0000-0000-0000B44D0000}"/>
    <cellStyle name="Normal 3 2 2 2 2 7 3 2 4 2" xfId="30291" xr:uid="{00000000-0005-0000-0000-0000B54D0000}"/>
    <cellStyle name="Normal 3 2 2 2 2 7 3 2 5" xfId="30292" xr:uid="{00000000-0005-0000-0000-0000B64D0000}"/>
    <cellStyle name="Normal 3 2 2 2 2 7 3 2 6" xfId="30293" xr:uid="{00000000-0005-0000-0000-0000B74D0000}"/>
    <cellStyle name="Normal 3 2 2 2 2 7 3 2 7" xfId="30285" xr:uid="{00000000-0005-0000-0000-0000B84D0000}"/>
    <cellStyle name="Normal 3 2 2 2 2 7 3 3" xfId="30294" xr:uid="{00000000-0005-0000-0000-0000B94D0000}"/>
    <cellStyle name="Normal 3 2 2 2 2 7 3 3 2" xfId="30295" xr:uid="{00000000-0005-0000-0000-0000BA4D0000}"/>
    <cellStyle name="Normal 3 2 2 2 2 7 3 3 2 2" xfId="30296" xr:uid="{00000000-0005-0000-0000-0000BB4D0000}"/>
    <cellStyle name="Normal 3 2 2 2 2 7 3 3 3" xfId="30297" xr:uid="{00000000-0005-0000-0000-0000BC4D0000}"/>
    <cellStyle name="Normal 3 2 2 2 2 7 3 3 3 2" xfId="30298" xr:uid="{00000000-0005-0000-0000-0000BD4D0000}"/>
    <cellStyle name="Normal 3 2 2 2 2 7 3 3 4" xfId="30299" xr:uid="{00000000-0005-0000-0000-0000BE4D0000}"/>
    <cellStyle name="Normal 3 2 2 2 2 7 3 3 4 2" xfId="30300" xr:uid="{00000000-0005-0000-0000-0000BF4D0000}"/>
    <cellStyle name="Normal 3 2 2 2 2 7 3 3 5" xfId="30301" xr:uid="{00000000-0005-0000-0000-0000C04D0000}"/>
    <cellStyle name="Normal 3 2 2 2 2 7 3 3 6" xfId="30302" xr:uid="{00000000-0005-0000-0000-0000C14D0000}"/>
    <cellStyle name="Normal 3 2 2 2 2 7 3 4" xfId="30303" xr:uid="{00000000-0005-0000-0000-0000C24D0000}"/>
    <cellStyle name="Normal 3 2 2 2 2 7 3 4 2" xfId="30304" xr:uid="{00000000-0005-0000-0000-0000C34D0000}"/>
    <cellStyle name="Normal 3 2 2 2 2 7 3 4 2 2" xfId="30305" xr:uid="{00000000-0005-0000-0000-0000C44D0000}"/>
    <cellStyle name="Normal 3 2 2 2 2 7 3 4 3" xfId="30306" xr:uid="{00000000-0005-0000-0000-0000C54D0000}"/>
    <cellStyle name="Normal 3 2 2 2 2 7 3 4 3 2" xfId="30307" xr:uid="{00000000-0005-0000-0000-0000C64D0000}"/>
    <cellStyle name="Normal 3 2 2 2 2 7 3 4 4" xfId="30308" xr:uid="{00000000-0005-0000-0000-0000C74D0000}"/>
    <cellStyle name="Normal 3 2 2 2 2 7 3 4 4 2" xfId="30309" xr:uid="{00000000-0005-0000-0000-0000C84D0000}"/>
    <cellStyle name="Normal 3 2 2 2 2 7 3 4 5" xfId="30310" xr:uid="{00000000-0005-0000-0000-0000C94D0000}"/>
    <cellStyle name="Normal 3 2 2 2 2 7 3 4 6" xfId="30311" xr:uid="{00000000-0005-0000-0000-0000CA4D0000}"/>
    <cellStyle name="Normal 3 2 2 2 2 7 3 5" xfId="30312" xr:uid="{00000000-0005-0000-0000-0000CB4D0000}"/>
    <cellStyle name="Normal 3 2 2 2 2 7 3 5 2" xfId="30313" xr:uid="{00000000-0005-0000-0000-0000CC4D0000}"/>
    <cellStyle name="Normal 3 2 2 2 2 7 3 5 2 2" xfId="30314" xr:uid="{00000000-0005-0000-0000-0000CD4D0000}"/>
    <cellStyle name="Normal 3 2 2 2 2 7 3 5 3" xfId="30315" xr:uid="{00000000-0005-0000-0000-0000CE4D0000}"/>
    <cellStyle name="Normal 3 2 2 2 2 7 3 5 3 2" xfId="30316" xr:uid="{00000000-0005-0000-0000-0000CF4D0000}"/>
    <cellStyle name="Normal 3 2 2 2 2 7 3 5 4" xfId="30317" xr:uid="{00000000-0005-0000-0000-0000D04D0000}"/>
    <cellStyle name="Normal 3 2 2 2 2 7 3 5 5" xfId="30318" xr:uid="{00000000-0005-0000-0000-0000D14D0000}"/>
    <cellStyle name="Normal 3 2 2 2 2 7 3 6" xfId="30319" xr:uid="{00000000-0005-0000-0000-0000D24D0000}"/>
    <cellStyle name="Normal 3 2 2 2 2 7 3 6 2" xfId="30320" xr:uid="{00000000-0005-0000-0000-0000D34D0000}"/>
    <cellStyle name="Normal 3 2 2 2 2 7 3 7" xfId="30321" xr:uid="{00000000-0005-0000-0000-0000D44D0000}"/>
    <cellStyle name="Normal 3 2 2 2 2 7 3 7 2" xfId="30322" xr:uid="{00000000-0005-0000-0000-0000D54D0000}"/>
    <cellStyle name="Normal 3 2 2 2 2 7 3 8" xfId="30323" xr:uid="{00000000-0005-0000-0000-0000D64D0000}"/>
    <cellStyle name="Normal 3 2 2 2 2 7 3 8 2" xfId="30324" xr:uid="{00000000-0005-0000-0000-0000D74D0000}"/>
    <cellStyle name="Normal 3 2 2 2 2 7 3 9" xfId="30325" xr:uid="{00000000-0005-0000-0000-0000D84D0000}"/>
    <cellStyle name="Normal 3 2 2 2 2 7 4" xfId="2613" xr:uid="{00000000-0005-0000-0000-0000D94D0000}"/>
    <cellStyle name="Normal 3 2 2 2 2 7 4 2" xfId="30327" xr:uid="{00000000-0005-0000-0000-0000DA4D0000}"/>
    <cellStyle name="Normal 3 2 2 2 2 7 4 2 2" xfId="30328" xr:uid="{00000000-0005-0000-0000-0000DB4D0000}"/>
    <cellStyle name="Normal 3 2 2 2 2 7 4 3" xfId="30329" xr:uid="{00000000-0005-0000-0000-0000DC4D0000}"/>
    <cellStyle name="Normal 3 2 2 2 2 7 4 3 2" xfId="30330" xr:uid="{00000000-0005-0000-0000-0000DD4D0000}"/>
    <cellStyle name="Normal 3 2 2 2 2 7 4 4" xfId="30331" xr:uid="{00000000-0005-0000-0000-0000DE4D0000}"/>
    <cellStyle name="Normal 3 2 2 2 2 7 4 4 2" xfId="30332" xr:uid="{00000000-0005-0000-0000-0000DF4D0000}"/>
    <cellStyle name="Normal 3 2 2 2 2 7 4 5" xfId="30333" xr:uid="{00000000-0005-0000-0000-0000E04D0000}"/>
    <cellStyle name="Normal 3 2 2 2 2 7 4 6" xfId="30334" xr:uid="{00000000-0005-0000-0000-0000E14D0000}"/>
    <cellStyle name="Normal 3 2 2 2 2 7 4 7" xfId="30326" xr:uid="{00000000-0005-0000-0000-0000E24D0000}"/>
    <cellStyle name="Normal 3 2 2 2 2 7 5" xfId="30335" xr:uid="{00000000-0005-0000-0000-0000E34D0000}"/>
    <cellStyle name="Normal 3 2 2 2 2 7 5 2" xfId="30336" xr:uid="{00000000-0005-0000-0000-0000E44D0000}"/>
    <cellStyle name="Normal 3 2 2 2 2 7 5 2 2" xfId="30337" xr:uid="{00000000-0005-0000-0000-0000E54D0000}"/>
    <cellStyle name="Normal 3 2 2 2 2 7 5 3" xfId="30338" xr:uid="{00000000-0005-0000-0000-0000E64D0000}"/>
    <cellStyle name="Normal 3 2 2 2 2 7 5 3 2" xfId="30339" xr:uid="{00000000-0005-0000-0000-0000E74D0000}"/>
    <cellStyle name="Normal 3 2 2 2 2 7 5 4" xfId="30340" xr:uid="{00000000-0005-0000-0000-0000E84D0000}"/>
    <cellStyle name="Normal 3 2 2 2 2 7 5 4 2" xfId="30341" xr:uid="{00000000-0005-0000-0000-0000E94D0000}"/>
    <cellStyle name="Normal 3 2 2 2 2 7 5 5" xfId="30342" xr:uid="{00000000-0005-0000-0000-0000EA4D0000}"/>
    <cellStyle name="Normal 3 2 2 2 2 7 5 6" xfId="30343" xr:uid="{00000000-0005-0000-0000-0000EB4D0000}"/>
    <cellStyle name="Normal 3 2 2 2 2 7 6" xfId="30344" xr:uid="{00000000-0005-0000-0000-0000EC4D0000}"/>
    <cellStyle name="Normal 3 2 2 2 2 7 6 2" xfId="30345" xr:uid="{00000000-0005-0000-0000-0000ED4D0000}"/>
    <cellStyle name="Normal 3 2 2 2 2 7 6 2 2" xfId="30346" xr:uid="{00000000-0005-0000-0000-0000EE4D0000}"/>
    <cellStyle name="Normal 3 2 2 2 2 7 6 3" xfId="30347" xr:uid="{00000000-0005-0000-0000-0000EF4D0000}"/>
    <cellStyle name="Normal 3 2 2 2 2 7 6 3 2" xfId="30348" xr:uid="{00000000-0005-0000-0000-0000F04D0000}"/>
    <cellStyle name="Normal 3 2 2 2 2 7 6 4" xfId="30349" xr:uid="{00000000-0005-0000-0000-0000F14D0000}"/>
    <cellStyle name="Normal 3 2 2 2 2 7 6 4 2" xfId="30350" xr:uid="{00000000-0005-0000-0000-0000F24D0000}"/>
    <cellStyle name="Normal 3 2 2 2 2 7 6 5" xfId="30351" xr:uid="{00000000-0005-0000-0000-0000F34D0000}"/>
    <cellStyle name="Normal 3 2 2 2 2 7 6 6" xfId="30352" xr:uid="{00000000-0005-0000-0000-0000F44D0000}"/>
    <cellStyle name="Normal 3 2 2 2 2 7 7" xfId="30353" xr:uid="{00000000-0005-0000-0000-0000F54D0000}"/>
    <cellStyle name="Normal 3 2 2 2 2 7 7 2" xfId="30354" xr:uid="{00000000-0005-0000-0000-0000F64D0000}"/>
    <cellStyle name="Normal 3 2 2 2 2 7 7 2 2" xfId="30355" xr:uid="{00000000-0005-0000-0000-0000F74D0000}"/>
    <cellStyle name="Normal 3 2 2 2 2 7 7 3" xfId="30356" xr:uid="{00000000-0005-0000-0000-0000F84D0000}"/>
    <cellStyle name="Normal 3 2 2 2 2 7 7 3 2" xfId="30357" xr:uid="{00000000-0005-0000-0000-0000F94D0000}"/>
    <cellStyle name="Normal 3 2 2 2 2 7 7 4" xfId="30358" xr:uid="{00000000-0005-0000-0000-0000FA4D0000}"/>
    <cellStyle name="Normal 3 2 2 2 2 7 7 5" xfId="30359" xr:uid="{00000000-0005-0000-0000-0000FB4D0000}"/>
    <cellStyle name="Normal 3 2 2 2 2 7 8" xfId="30360" xr:uid="{00000000-0005-0000-0000-0000FC4D0000}"/>
    <cellStyle name="Normal 3 2 2 2 2 7 8 2" xfId="30361" xr:uid="{00000000-0005-0000-0000-0000FD4D0000}"/>
    <cellStyle name="Normal 3 2 2 2 2 7 9" xfId="30362" xr:uid="{00000000-0005-0000-0000-0000FE4D0000}"/>
    <cellStyle name="Normal 3 2 2 2 2 7 9 2" xfId="30363" xr:uid="{00000000-0005-0000-0000-0000FF4D0000}"/>
    <cellStyle name="Normal 3 2 2 2 2 8" xfId="2614" xr:uid="{00000000-0005-0000-0000-0000004E0000}"/>
    <cellStyle name="Normal 3 2 2 2 2 8 10" xfId="30365" xr:uid="{00000000-0005-0000-0000-0000014E0000}"/>
    <cellStyle name="Normal 3 2 2 2 2 8 11" xfId="30366" xr:uid="{00000000-0005-0000-0000-0000024E0000}"/>
    <cellStyle name="Normal 3 2 2 2 2 8 12" xfId="30364" xr:uid="{00000000-0005-0000-0000-0000034E0000}"/>
    <cellStyle name="Normal 3 2 2 2 2 8 2" xfId="2615" xr:uid="{00000000-0005-0000-0000-0000044E0000}"/>
    <cellStyle name="Normal 3 2 2 2 2 8 2 2" xfId="30368" xr:uid="{00000000-0005-0000-0000-0000054E0000}"/>
    <cellStyle name="Normal 3 2 2 2 2 8 2 2 2" xfId="30369" xr:uid="{00000000-0005-0000-0000-0000064E0000}"/>
    <cellStyle name="Normal 3 2 2 2 2 8 2 3" xfId="30370" xr:uid="{00000000-0005-0000-0000-0000074E0000}"/>
    <cellStyle name="Normal 3 2 2 2 2 8 2 3 2" xfId="30371" xr:uid="{00000000-0005-0000-0000-0000084E0000}"/>
    <cellStyle name="Normal 3 2 2 2 2 8 2 4" xfId="30372" xr:uid="{00000000-0005-0000-0000-0000094E0000}"/>
    <cellStyle name="Normal 3 2 2 2 2 8 2 4 2" xfId="30373" xr:uid="{00000000-0005-0000-0000-00000A4E0000}"/>
    <cellStyle name="Normal 3 2 2 2 2 8 2 5" xfId="30374" xr:uid="{00000000-0005-0000-0000-00000B4E0000}"/>
    <cellStyle name="Normal 3 2 2 2 2 8 2 6" xfId="30375" xr:uid="{00000000-0005-0000-0000-00000C4E0000}"/>
    <cellStyle name="Normal 3 2 2 2 2 8 2 7" xfId="30367" xr:uid="{00000000-0005-0000-0000-00000D4E0000}"/>
    <cellStyle name="Normal 3 2 2 2 2 8 3" xfId="2616" xr:uid="{00000000-0005-0000-0000-00000E4E0000}"/>
    <cellStyle name="Normal 3 2 2 2 2 8 3 2" xfId="30377" xr:uid="{00000000-0005-0000-0000-00000F4E0000}"/>
    <cellStyle name="Normal 3 2 2 2 2 8 3 2 2" xfId="30378" xr:uid="{00000000-0005-0000-0000-0000104E0000}"/>
    <cellStyle name="Normal 3 2 2 2 2 8 3 3" xfId="30379" xr:uid="{00000000-0005-0000-0000-0000114E0000}"/>
    <cellStyle name="Normal 3 2 2 2 2 8 3 3 2" xfId="30380" xr:uid="{00000000-0005-0000-0000-0000124E0000}"/>
    <cellStyle name="Normal 3 2 2 2 2 8 3 4" xfId="30381" xr:uid="{00000000-0005-0000-0000-0000134E0000}"/>
    <cellStyle name="Normal 3 2 2 2 2 8 3 4 2" xfId="30382" xr:uid="{00000000-0005-0000-0000-0000144E0000}"/>
    <cellStyle name="Normal 3 2 2 2 2 8 3 5" xfId="30383" xr:uid="{00000000-0005-0000-0000-0000154E0000}"/>
    <cellStyle name="Normal 3 2 2 2 2 8 3 6" xfId="30384" xr:uid="{00000000-0005-0000-0000-0000164E0000}"/>
    <cellStyle name="Normal 3 2 2 2 2 8 3 7" xfId="30376" xr:uid="{00000000-0005-0000-0000-0000174E0000}"/>
    <cellStyle name="Normal 3 2 2 2 2 8 4" xfId="30385" xr:uid="{00000000-0005-0000-0000-0000184E0000}"/>
    <cellStyle name="Normal 3 2 2 2 2 8 4 2" xfId="30386" xr:uid="{00000000-0005-0000-0000-0000194E0000}"/>
    <cellStyle name="Normal 3 2 2 2 2 8 4 2 2" xfId="30387" xr:uid="{00000000-0005-0000-0000-00001A4E0000}"/>
    <cellStyle name="Normal 3 2 2 2 2 8 4 3" xfId="30388" xr:uid="{00000000-0005-0000-0000-00001B4E0000}"/>
    <cellStyle name="Normal 3 2 2 2 2 8 4 3 2" xfId="30389" xr:uid="{00000000-0005-0000-0000-00001C4E0000}"/>
    <cellStyle name="Normal 3 2 2 2 2 8 4 4" xfId="30390" xr:uid="{00000000-0005-0000-0000-00001D4E0000}"/>
    <cellStyle name="Normal 3 2 2 2 2 8 4 4 2" xfId="30391" xr:uid="{00000000-0005-0000-0000-00001E4E0000}"/>
    <cellStyle name="Normal 3 2 2 2 2 8 4 5" xfId="30392" xr:uid="{00000000-0005-0000-0000-00001F4E0000}"/>
    <cellStyle name="Normal 3 2 2 2 2 8 4 6" xfId="30393" xr:uid="{00000000-0005-0000-0000-0000204E0000}"/>
    <cellStyle name="Normal 3 2 2 2 2 8 5" xfId="30394" xr:uid="{00000000-0005-0000-0000-0000214E0000}"/>
    <cellStyle name="Normal 3 2 2 2 2 8 5 2" xfId="30395" xr:uid="{00000000-0005-0000-0000-0000224E0000}"/>
    <cellStyle name="Normal 3 2 2 2 2 8 5 2 2" xfId="30396" xr:uid="{00000000-0005-0000-0000-0000234E0000}"/>
    <cellStyle name="Normal 3 2 2 2 2 8 5 3" xfId="30397" xr:uid="{00000000-0005-0000-0000-0000244E0000}"/>
    <cellStyle name="Normal 3 2 2 2 2 8 5 3 2" xfId="30398" xr:uid="{00000000-0005-0000-0000-0000254E0000}"/>
    <cellStyle name="Normal 3 2 2 2 2 8 5 4" xfId="30399" xr:uid="{00000000-0005-0000-0000-0000264E0000}"/>
    <cellStyle name="Normal 3 2 2 2 2 8 5 4 2" xfId="30400" xr:uid="{00000000-0005-0000-0000-0000274E0000}"/>
    <cellStyle name="Normal 3 2 2 2 2 8 5 5" xfId="30401" xr:uid="{00000000-0005-0000-0000-0000284E0000}"/>
    <cellStyle name="Normal 3 2 2 2 2 8 5 6" xfId="30402" xr:uid="{00000000-0005-0000-0000-0000294E0000}"/>
    <cellStyle name="Normal 3 2 2 2 2 8 6" xfId="30403" xr:uid="{00000000-0005-0000-0000-00002A4E0000}"/>
    <cellStyle name="Normal 3 2 2 2 2 8 6 2" xfId="30404" xr:uid="{00000000-0005-0000-0000-00002B4E0000}"/>
    <cellStyle name="Normal 3 2 2 2 2 8 6 2 2" xfId="30405" xr:uid="{00000000-0005-0000-0000-00002C4E0000}"/>
    <cellStyle name="Normal 3 2 2 2 2 8 6 3" xfId="30406" xr:uid="{00000000-0005-0000-0000-00002D4E0000}"/>
    <cellStyle name="Normal 3 2 2 2 2 8 6 3 2" xfId="30407" xr:uid="{00000000-0005-0000-0000-00002E4E0000}"/>
    <cellStyle name="Normal 3 2 2 2 2 8 6 4" xfId="30408" xr:uid="{00000000-0005-0000-0000-00002F4E0000}"/>
    <cellStyle name="Normal 3 2 2 2 2 8 6 5" xfId="30409" xr:uid="{00000000-0005-0000-0000-0000304E0000}"/>
    <cellStyle name="Normal 3 2 2 2 2 8 7" xfId="30410" xr:uid="{00000000-0005-0000-0000-0000314E0000}"/>
    <cellStyle name="Normal 3 2 2 2 2 8 7 2" xfId="30411" xr:uid="{00000000-0005-0000-0000-0000324E0000}"/>
    <cellStyle name="Normal 3 2 2 2 2 8 8" xfId="30412" xr:uid="{00000000-0005-0000-0000-0000334E0000}"/>
    <cellStyle name="Normal 3 2 2 2 2 8 8 2" xfId="30413" xr:uid="{00000000-0005-0000-0000-0000344E0000}"/>
    <cellStyle name="Normal 3 2 2 2 2 8 9" xfId="30414" xr:uid="{00000000-0005-0000-0000-0000354E0000}"/>
    <cellStyle name="Normal 3 2 2 2 2 8 9 2" xfId="30415" xr:uid="{00000000-0005-0000-0000-0000364E0000}"/>
    <cellStyle name="Normal 3 2 2 2 2 9" xfId="2617" xr:uid="{00000000-0005-0000-0000-0000374E0000}"/>
    <cellStyle name="Normal 3 2 2 2 2 9 10" xfId="30417" xr:uid="{00000000-0005-0000-0000-0000384E0000}"/>
    <cellStyle name="Normal 3 2 2 2 2 9 11" xfId="30416" xr:uid="{00000000-0005-0000-0000-0000394E0000}"/>
    <cellStyle name="Normal 3 2 2 2 2 9 2" xfId="2618" xr:uid="{00000000-0005-0000-0000-00003A4E0000}"/>
    <cellStyle name="Normal 3 2 2 2 2 9 2 2" xfId="30419" xr:uid="{00000000-0005-0000-0000-00003B4E0000}"/>
    <cellStyle name="Normal 3 2 2 2 2 9 2 2 2" xfId="30420" xr:uid="{00000000-0005-0000-0000-00003C4E0000}"/>
    <cellStyle name="Normal 3 2 2 2 2 9 2 3" xfId="30421" xr:uid="{00000000-0005-0000-0000-00003D4E0000}"/>
    <cellStyle name="Normal 3 2 2 2 2 9 2 3 2" xfId="30422" xr:uid="{00000000-0005-0000-0000-00003E4E0000}"/>
    <cellStyle name="Normal 3 2 2 2 2 9 2 4" xfId="30423" xr:uid="{00000000-0005-0000-0000-00003F4E0000}"/>
    <cellStyle name="Normal 3 2 2 2 2 9 2 4 2" xfId="30424" xr:uid="{00000000-0005-0000-0000-0000404E0000}"/>
    <cellStyle name="Normal 3 2 2 2 2 9 2 5" xfId="30425" xr:uid="{00000000-0005-0000-0000-0000414E0000}"/>
    <cellStyle name="Normal 3 2 2 2 2 9 2 6" xfId="30426" xr:uid="{00000000-0005-0000-0000-0000424E0000}"/>
    <cellStyle name="Normal 3 2 2 2 2 9 2 7" xfId="30418" xr:uid="{00000000-0005-0000-0000-0000434E0000}"/>
    <cellStyle name="Normal 3 2 2 2 2 9 3" xfId="30427" xr:uid="{00000000-0005-0000-0000-0000444E0000}"/>
    <cellStyle name="Normal 3 2 2 2 2 9 3 2" xfId="30428" xr:uid="{00000000-0005-0000-0000-0000454E0000}"/>
    <cellStyle name="Normal 3 2 2 2 2 9 3 2 2" xfId="30429" xr:uid="{00000000-0005-0000-0000-0000464E0000}"/>
    <cellStyle name="Normal 3 2 2 2 2 9 3 3" xfId="30430" xr:uid="{00000000-0005-0000-0000-0000474E0000}"/>
    <cellStyle name="Normal 3 2 2 2 2 9 3 3 2" xfId="30431" xr:uid="{00000000-0005-0000-0000-0000484E0000}"/>
    <cellStyle name="Normal 3 2 2 2 2 9 3 4" xfId="30432" xr:uid="{00000000-0005-0000-0000-0000494E0000}"/>
    <cellStyle name="Normal 3 2 2 2 2 9 3 4 2" xfId="30433" xr:uid="{00000000-0005-0000-0000-00004A4E0000}"/>
    <cellStyle name="Normal 3 2 2 2 2 9 3 5" xfId="30434" xr:uid="{00000000-0005-0000-0000-00004B4E0000}"/>
    <cellStyle name="Normal 3 2 2 2 2 9 3 6" xfId="30435" xr:uid="{00000000-0005-0000-0000-00004C4E0000}"/>
    <cellStyle name="Normal 3 2 2 2 2 9 4" xfId="30436" xr:uid="{00000000-0005-0000-0000-00004D4E0000}"/>
    <cellStyle name="Normal 3 2 2 2 2 9 4 2" xfId="30437" xr:uid="{00000000-0005-0000-0000-00004E4E0000}"/>
    <cellStyle name="Normal 3 2 2 2 2 9 4 2 2" xfId="30438" xr:uid="{00000000-0005-0000-0000-00004F4E0000}"/>
    <cellStyle name="Normal 3 2 2 2 2 9 4 3" xfId="30439" xr:uid="{00000000-0005-0000-0000-0000504E0000}"/>
    <cellStyle name="Normal 3 2 2 2 2 9 4 3 2" xfId="30440" xr:uid="{00000000-0005-0000-0000-0000514E0000}"/>
    <cellStyle name="Normal 3 2 2 2 2 9 4 4" xfId="30441" xr:uid="{00000000-0005-0000-0000-0000524E0000}"/>
    <cellStyle name="Normal 3 2 2 2 2 9 4 4 2" xfId="30442" xr:uid="{00000000-0005-0000-0000-0000534E0000}"/>
    <cellStyle name="Normal 3 2 2 2 2 9 4 5" xfId="30443" xr:uid="{00000000-0005-0000-0000-0000544E0000}"/>
    <cellStyle name="Normal 3 2 2 2 2 9 4 6" xfId="30444" xr:uid="{00000000-0005-0000-0000-0000554E0000}"/>
    <cellStyle name="Normal 3 2 2 2 2 9 5" xfId="30445" xr:uid="{00000000-0005-0000-0000-0000564E0000}"/>
    <cellStyle name="Normal 3 2 2 2 2 9 5 2" xfId="30446" xr:uid="{00000000-0005-0000-0000-0000574E0000}"/>
    <cellStyle name="Normal 3 2 2 2 2 9 5 2 2" xfId="30447" xr:uid="{00000000-0005-0000-0000-0000584E0000}"/>
    <cellStyle name="Normal 3 2 2 2 2 9 5 3" xfId="30448" xr:uid="{00000000-0005-0000-0000-0000594E0000}"/>
    <cellStyle name="Normal 3 2 2 2 2 9 5 3 2" xfId="30449" xr:uid="{00000000-0005-0000-0000-00005A4E0000}"/>
    <cellStyle name="Normal 3 2 2 2 2 9 5 4" xfId="30450" xr:uid="{00000000-0005-0000-0000-00005B4E0000}"/>
    <cellStyle name="Normal 3 2 2 2 2 9 5 5" xfId="30451" xr:uid="{00000000-0005-0000-0000-00005C4E0000}"/>
    <cellStyle name="Normal 3 2 2 2 2 9 6" xfId="30452" xr:uid="{00000000-0005-0000-0000-00005D4E0000}"/>
    <cellStyle name="Normal 3 2 2 2 2 9 6 2" xfId="30453" xr:uid="{00000000-0005-0000-0000-00005E4E0000}"/>
    <cellStyle name="Normal 3 2 2 2 2 9 7" xfId="30454" xr:uid="{00000000-0005-0000-0000-00005F4E0000}"/>
    <cellStyle name="Normal 3 2 2 2 2 9 7 2" xfId="30455" xr:uid="{00000000-0005-0000-0000-0000604E0000}"/>
    <cellStyle name="Normal 3 2 2 2 2 9 8" xfId="30456" xr:uid="{00000000-0005-0000-0000-0000614E0000}"/>
    <cellStyle name="Normal 3 2 2 2 2 9 8 2" xfId="30457" xr:uid="{00000000-0005-0000-0000-0000624E0000}"/>
    <cellStyle name="Normal 3 2 2 2 2 9 9" xfId="30458" xr:uid="{00000000-0005-0000-0000-0000634E0000}"/>
    <cellStyle name="Normal 3 2 2 2 3" xfId="2619" xr:uid="{00000000-0005-0000-0000-0000644E0000}"/>
    <cellStyle name="Normal 3 2 2 2 3 10" xfId="2620" xr:uid="{00000000-0005-0000-0000-0000654E0000}"/>
    <cellStyle name="Normal 3 2 2 2 3 10 2" xfId="30461" xr:uid="{00000000-0005-0000-0000-0000664E0000}"/>
    <cellStyle name="Normal 3 2 2 2 3 10 3" xfId="30460" xr:uid="{00000000-0005-0000-0000-0000674E0000}"/>
    <cellStyle name="Normal 3 2 2 2 3 11" xfId="30462" xr:uid="{00000000-0005-0000-0000-0000684E0000}"/>
    <cellStyle name="Normal 3 2 2 2 3 11 2" xfId="30463" xr:uid="{00000000-0005-0000-0000-0000694E0000}"/>
    <cellStyle name="Normal 3 2 2 2 3 12" xfId="30464" xr:uid="{00000000-0005-0000-0000-00006A4E0000}"/>
    <cellStyle name="Normal 3 2 2 2 3 13" xfId="30465" xr:uid="{00000000-0005-0000-0000-00006B4E0000}"/>
    <cellStyle name="Normal 3 2 2 2 3 14" xfId="30459" xr:uid="{00000000-0005-0000-0000-00006C4E0000}"/>
    <cellStyle name="Normal 3 2 2 2 3 2" xfId="2621" xr:uid="{00000000-0005-0000-0000-00006D4E0000}"/>
    <cellStyle name="Normal 3 2 2 2 3 2 10" xfId="30467" xr:uid="{00000000-0005-0000-0000-00006E4E0000}"/>
    <cellStyle name="Normal 3 2 2 2 3 2 11" xfId="30468" xr:uid="{00000000-0005-0000-0000-00006F4E0000}"/>
    <cellStyle name="Normal 3 2 2 2 3 2 12" xfId="30466" xr:uid="{00000000-0005-0000-0000-0000704E0000}"/>
    <cellStyle name="Normal 3 2 2 2 3 2 2" xfId="2622" xr:uid="{00000000-0005-0000-0000-0000714E0000}"/>
    <cellStyle name="Normal 3 2 2 2 3 2 2 2" xfId="2623" xr:uid="{00000000-0005-0000-0000-0000724E0000}"/>
    <cellStyle name="Normal 3 2 2 2 3 2 2 2 2" xfId="2624" xr:uid="{00000000-0005-0000-0000-0000734E0000}"/>
    <cellStyle name="Normal 3 2 2 2 3 2 2 2 2 2" xfId="30471" xr:uid="{00000000-0005-0000-0000-0000744E0000}"/>
    <cellStyle name="Normal 3 2 2 2 3 2 2 2 3" xfId="2625" xr:uid="{00000000-0005-0000-0000-0000754E0000}"/>
    <cellStyle name="Normal 3 2 2 2 3 2 2 2 4" xfId="30470" xr:uid="{00000000-0005-0000-0000-0000764E0000}"/>
    <cellStyle name="Normal 3 2 2 2 3 2 2 3" xfId="2626" xr:uid="{00000000-0005-0000-0000-0000774E0000}"/>
    <cellStyle name="Normal 3 2 2 2 3 2 2 3 2" xfId="2627" xr:uid="{00000000-0005-0000-0000-0000784E0000}"/>
    <cellStyle name="Normal 3 2 2 2 3 2 2 3 2 2" xfId="30473" xr:uid="{00000000-0005-0000-0000-0000794E0000}"/>
    <cellStyle name="Normal 3 2 2 2 3 2 2 3 3" xfId="30472" xr:uid="{00000000-0005-0000-0000-00007A4E0000}"/>
    <cellStyle name="Normal 3 2 2 2 3 2 2 4" xfId="2628" xr:uid="{00000000-0005-0000-0000-00007B4E0000}"/>
    <cellStyle name="Normal 3 2 2 2 3 2 2 4 2" xfId="2629" xr:uid="{00000000-0005-0000-0000-00007C4E0000}"/>
    <cellStyle name="Normal 3 2 2 2 3 2 2 4 2 2" xfId="30475" xr:uid="{00000000-0005-0000-0000-00007D4E0000}"/>
    <cellStyle name="Normal 3 2 2 2 3 2 2 4 3" xfId="30474" xr:uid="{00000000-0005-0000-0000-00007E4E0000}"/>
    <cellStyle name="Normal 3 2 2 2 3 2 2 5" xfId="2630" xr:uid="{00000000-0005-0000-0000-00007F4E0000}"/>
    <cellStyle name="Normal 3 2 2 2 3 2 2 5 2" xfId="30476" xr:uid="{00000000-0005-0000-0000-0000804E0000}"/>
    <cellStyle name="Normal 3 2 2 2 3 2 2 6" xfId="30477" xr:uid="{00000000-0005-0000-0000-0000814E0000}"/>
    <cellStyle name="Normal 3 2 2 2 3 2 2 7" xfId="30469" xr:uid="{00000000-0005-0000-0000-0000824E0000}"/>
    <cellStyle name="Normal 3 2 2 2 3 2 3" xfId="2631" xr:uid="{00000000-0005-0000-0000-0000834E0000}"/>
    <cellStyle name="Normal 3 2 2 2 3 2 3 2" xfId="2632" xr:uid="{00000000-0005-0000-0000-0000844E0000}"/>
    <cellStyle name="Normal 3 2 2 2 3 2 3 2 2" xfId="2633" xr:uid="{00000000-0005-0000-0000-0000854E0000}"/>
    <cellStyle name="Normal 3 2 2 2 3 2 3 2 2 2" xfId="30480" xr:uid="{00000000-0005-0000-0000-0000864E0000}"/>
    <cellStyle name="Normal 3 2 2 2 3 2 3 2 3" xfId="30479" xr:uid="{00000000-0005-0000-0000-0000874E0000}"/>
    <cellStyle name="Normal 3 2 2 2 3 2 3 3" xfId="2634" xr:uid="{00000000-0005-0000-0000-0000884E0000}"/>
    <cellStyle name="Normal 3 2 2 2 3 2 3 3 2" xfId="2635" xr:uid="{00000000-0005-0000-0000-0000894E0000}"/>
    <cellStyle name="Normal 3 2 2 2 3 2 3 3 2 2" xfId="30482" xr:uid="{00000000-0005-0000-0000-00008A4E0000}"/>
    <cellStyle name="Normal 3 2 2 2 3 2 3 3 3" xfId="30481" xr:uid="{00000000-0005-0000-0000-00008B4E0000}"/>
    <cellStyle name="Normal 3 2 2 2 3 2 3 4" xfId="2636" xr:uid="{00000000-0005-0000-0000-00008C4E0000}"/>
    <cellStyle name="Normal 3 2 2 2 3 2 3 4 2" xfId="30484" xr:uid="{00000000-0005-0000-0000-00008D4E0000}"/>
    <cellStyle name="Normal 3 2 2 2 3 2 3 4 3" xfId="30483" xr:uid="{00000000-0005-0000-0000-00008E4E0000}"/>
    <cellStyle name="Normal 3 2 2 2 3 2 3 5" xfId="30485" xr:uid="{00000000-0005-0000-0000-00008F4E0000}"/>
    <cellStyle name="Normal 3 2 2 2 3 2 3 6" xfId="30486" xr:uid="{00000000-0005-0000-0000-0000904E0000}"/>
    <cellStyle name="Normal 3 2 2 2 3 2 3 7" xfId="30478" xr:uid="{00000000-0005-0000-0000-0000914E0000}"/>
    <cellStyle name="Normal 3 2 2 2 3 2 4" xfId="2637" xr:uid="{00000000-0005-0000-0000-0000924E0000}"/>
    <cellStyle name="Normal 3 2 2 2 3 2 4 2" xfId="2638" xr:uid="{00000000-0005-0000-0000-0000934E0000}"/>
    <cellStyle name="Normal 3 2 2 2 3 2 4 2 2" xfId="30489" xr:uid="{00000000-0005-0000-0000-0000944E0000}"/>
    <cellStyle name="Normal 3 2 2 2 3 2 4 2 3" xfId="30488" xr:uid="{00000000-0005-0000-0000-0000954E0000}"/>
    <cellStyle name="Normal 3 2 2 2 3 2 4 3" xfId="2639" xr:uid="{00000000-0005-0000-0000-0000964E0000}"/>
    <cellStyle name="Normal 3 2 2 2 3 2 4 3 2" xfId="30491" xr:uid="{00000000-0005-0000-0000-0000974E0000}"/>
    <cellStyle name="Normal 3 2 2 2 3 2 4 3 3" xfId="30490" xr:uid="{00000000-0005-0000-0000-0000984E0000}"/>
    <cellStyle name="Normal 3 2 2 2 3 2 4 4" xfId="30492" xr:uid="{00000000-0005-0000-0000-0000994E0000}"/>
    <cellStyle name="Normal 3 2 2 2 3 2 4 4 2" xfId="30493" xr:uid="{00000000-0005-0000-0000-00009A4E0000}"/>
    <cellStyle name="Normal 3 2 2 2 3 2 4 5" xfId="30494" xr:uid="{00000000-0005-0000-0000-00009B4E0000}"/>
    <cellStyle name="Normal 3 2 2 2 3 2 4 6" xfId="30495" xr:uid="{00000000-0005-0000-0000-00009C4E0000}"/>
    <cellStyle name="Normal 3 2 2 2 3 2 4 7" xfId="30487" xr:uid="{00000000-0005-0000-0000-00009D4E0000}"/>
    <cellStyle name="Normal 3 2 2 2 3 2 5" xfId="2640" xr:uid="{00000000-0005-0000-0000-00009E4E0000}"/>
    <cellStyle name="Normal 3 2 2 2 3 2 5 2" xfId="2641" xr:uid="{00000000-0005-0000-0000-00009F4E0000}"/>
    <cellStyle name="Normal 3 2 2 2 3 2 5 2 2" xfId="30498" xr:uid="{00000000-0005-0000-0000-0000A04E0000}"/>
    <cellStyle name="Normal 3 2 2 2 3 2 5 2 3" xfId="30497" xr:uid="{00000000-0005-0000-0000-0000A14E0000}"/>
    <cellStyle name="Normal 3 2 2 2 3 2 5 3" xfId="30499" xr:uid="{00000000-0005-0000-0000-0000A24E0000}"/>
    <cellStyle name="Normal 3 2 2 2 3 2 5 3 2" xfId="30500" xr:uid="{00000000-0005-0000-0000-0000A34E0000}"/>
    <cellStyle name="Normal 3 2 2 2 3 2 5 4" xfId="30501" xr:uid="{00000000-0005-0000-0000-0000A44E0000}"/>
    <cellStyle name="Normal 3 2 2 2 3 2 5 4 2" xfId="30502" xr:uid="{00000000-0005-0000-0000-0000A54E0000}"/>
    <cellStyle name="Normal 3 2 2 2 3 2 5 5" xfId="30503" xr:uid="{00000000-0005-0000-0000-0000A64E0000}"/>
    <cellStyle name="Normal 3 2 2 2 3 2 5 6" xfId="30504" xr:uid="{00000000-0005-0000-0000-0000A74E0000}"/>
    <cellStyle name="Normal 3 2 2 2 3 2 5 7" xfId="30496" xr:uid="{00000000-0005-0000-0000-0000A84E0000}"/>
    <cellStyle name="Normal 3 2 2 2 3 2 6" xfId="2642" xr:uid="{00000000-0005-0000-0000-0000A94E0000}"/>
    <cellStyle name="Normal 3 2 2 2 3 2 6 2" xfId="2643" xr:uid="{00000000-0005-0000-0000-0000AA4E0000}"/>
    <cellStyle name="Normal 3 2 2 2 3 2 6 2 2" xfId="30507" xr:uid="{00000000-0005-0000-0000-0000AB4E0000}"/>
    <cellStyle name="Normal 3 2 2 2 3 2 6 2 3" xfId="30506" xr:uid="{00000000-0005-0000-0000-0000AC4E0000}"/>
    <cellStyle name="Normal 3 2 2 2 3 2 6 3" xfId="30508" xr:uid="{00000000-0005-0000-0000-0000AD4E0000}"/>
    <cellStyle name="Normal 3 2 2 2 3 2 6 3 2" xfId="30509" xr:uid="{00000000-0005-0000-0000-0000AE4E0000}"/>
    <cellStyle name="Normal 3 2 2 2 3 2 6 4" xfId="30510" xr:uid="{00000000-0005-0000-0000-0000AF4E0000}"/>
    <cellStyle name="Normal 3 2 2 2 3 2 6 5" xfId="30511" xr:uid="{00000000-0005-0000-0000-0000B04E0000}"/>
    <cellStyle name="Normal 3 2 2 2 3 2 6 6" xfId="30505" xr:uid="{00000000-0005-0000-0000-0000B14E0000}"/>
    <cellStyle name="Normal 3 2 2 2 3 2 7" xfId="2644" xr:uid="{00000000-0005-0000-0000-0000B24E0000}"/>
    <cellStyle name="Normal 3 2 2 2 3 2 7 2" xfId="30513" xr:uid="{00000000-0005-0000-0000-0000B34E0000}"/>
    <cellStyle name="Normal 3 2 2 2 3 2 7 3" xfId="30512" xr:uid="{00000000-0005-0000-0000-0000B44E0000}"/>
    <cellStyle name="Normal 3 2 2 2 3 2 8" xfId="30514" xr:uid="{00000000-0005-0000-0000-0000B54E0000}"/>
    <cellStyle name="Normal 3 2 2 2 3 2 8 2" xfId="30515" xr:uid="{00000000-0005-0000-0000-0000B64E0000}"/>
    <cellStyle name="Normal 3 2 2 2 3 2 9" xfId="30516" xr:uid="{00000000-0005-0000-0000-0000B74E0000}"/>
    <cellStyle name="Normal 3 2 2 2 3 2 9 2" xfId="30517" xr:uid="{00000000-0005-0000-0000-0000B84E0000}"/>
    <cellStyle name="Normal 3 2 2 2 3 3" xfId="2645" xr:uid="{00000000-0005-0000-0000-0000B94E0000}"/>
    <cellStyle name="Normal 3 2 2 2 3 3 10" xfId="30519" xr:uid="{00000000-0005-0000-0000-0000BA4E0000}"/>
    <cellStyle name="Normal 3 2 2 2 3 3 11" xfId="30518" xr:uid="{00000000-0005-0000-0000-0000BB4E0000}"/>
    <cellStyle name="Normal 3 2 2 2 3 3 2" xfId="2646" xr:uid="{00000000-0005-0000-0000-0000BC4E0000}"/>
    <cellStyle name="Normal 3 2 2 2 3 3 2 2" xfId="2647" xr:uid="{00000000-0005-0000-0000-0000BD4E0000}"/>
    <cellStyle name="Normal 3 2 2 2 3 3 2 2 2" xfId="2648" xr:uid="{00000000-0005-0000-0000-0000BE4E0000}"/>
    <cellStyle name="Normal 3 2 2 2 3 3 2 2 2 2" xfId="30522" xr:uid="{00000000-0005-0000-0000-0000BF4E0000}"/>
    <cellStyle name="Normal 3 2 2 2 3 3 2 2 3" xfId="2649" xr:uid="{00000000-0005-0000-0000-0000C04E0000}"/>
    <cellStyle name="Normal 3 2 2 2 3 3 2 2 4" xfId="30521" xr:uid="{00000000-0005-0000-0000-0000C14E0000}"/>
    <cellStyle name="Normal 3 2 2 2 3 3 2 3" xfId="2650" xr:uid="{00000000-0005-0000-0000-0000C24E0000}"/>
    <cellStyle name="Normal 3 2 2 2 3 3 2 3 2" xfId="2651" xr:uid="{00000000-0005-0000-0000-0000C34E0000}"/>
    <cellStyle name="Normal 3 2 2 2 3 3 2 3 2 2" xfId="30524" xr:uid="{00000000-0005-0000-0000-0000C44E0000}"/>
    <cellStyle name="Normal 3 2 2 2 3 3 2 3 3" xfId="30523" xr:uid="{00000000-0005-0000-0000-0000C54E0000}"/>
    <cellStyle name="Normal 3 2 2 2 3 3 2 4" xfId="2652" xr:uid="{00000000-0005-0000-0000-0000C64E0000}"/>
    <cellStyle name="Normal 3 2 2 2 3 3 2 4 2" xfId="2653" xr:uid="{00000000-0005-0000-0000-0000C74E0000}"/>
    <cellStyle name="Normal 3 2 2 2 3 3 2 4 2 2" xfId="30526" xr:uid="{00000000-0005-0000-0000-0000C84E0000}"/>
    <cellStyle name="Normal 3 2 2 2 3 3 2 4 3" xfId="30525" xr:uid="{00000000-0005-0000-0000-0000C94E0000}"/>
    <cellStyle name="Normal 3 2 2 2 3 3 2 5" xfId="2654" xr:uid="{00000000-0005-0000-0000-0000CA4E0000}"/>
    <cellStyle name="Normal 3 2 2 2 3 3 2 5 2" xfId="30527" xr:uid="{00000000-0005-0000-0000-0000CB4E0000}"/>
    <cellStyle name="Normal 3 2 2 2 3 3 2 6" xfId="30528" xr:uid="{00000000-0005-0000-0000-0000CC4E0000}"/>
    <cellStyle name="Normal 3 2 2 2 3 3 2 7" xfId="30520" xr:uid="{00000000-0005-0000-0000-0000CD4E0000}"/>
    <cellStyle name="Normal 3 2 2 2 3 3 3" xfId="2655" xr:uid="{00000000-0005-0000-0000-0000CE4E0000}"/>
    <cellStyle name="Normal 3 2 2 2 3 3 3 2" xfId="2656" xr:uid="{00000000-0005-0000-0000-0000CF4E0000}"/>
    <cellStyle name="Normal 3 2 2 2 3 3 3 2 2" xfId="2657" xr:uid="{00000000-0005-0000-0000-0000D04E0000}"/>
    <cellStyle name="Normal 3 2 2 2 3 3 3 2 2 2" xfId="30531" xr:uid="{00000000-0005-0000-0000-0000D14E0000}"/>
    <cellStyle name="Normal 3 2 2 2 3 3 3 2 3" xfId="30530" xr:uid="{00000000-0005-0000-0000-0000D24E0000}"/>
    <cellStyle name="Normal 3 2 2 2 3 3 3 3" xfId="2658" xr:uid="{00000000-0005-0000-0000-0000D34E0000}"/>
    <cellStyle name="Normal 3 2 2 2 3 3 3 3 2" xfId="2659" xr:uid="{00000000-0005-0000-0000-0000D44E0000}"/>
    <cellStyle name="Normal 3 2 2 2 3 3 3 3 2 2" xfId="30533" xr:uid="{00000000-0005-0000-0000-0000D54E0000}"/>
    <cellStyle name="Normal 3 2 2 2 3 3 3 3 3" xfId="30532" xr:uid="{00000000-0005-0000-0000-0000D64E0000}"/>
    <cellStyle name="Normal 3 2 2 2 3 3 3 4" xfId="2660" xr:uid="{00000000-0005-0000-0000-0000D74E0000}"/>
    <cellStyle name="Normal 3 2 2 2 3 3 3 4 2" xfId="30535" xr:uid="{00000000-0005-0000-0000-0000D84E0000}"/>
    <cellStyle name="Normal 3 2 2 2 3 3 3 4 3" xfId="30534" xr:uid="{00000000-0005-0000-0000-0000D94E0000}"/>
    <cellStyle name="Normal 3 2 2 2 3 3 3 5" xfId="30536" xr:uid="{00000000-0005-0000-0000-0000DA4E0000}"/>
    <cellStyle name="Normal 3 2 2 2 3 3 3 6" xfId="30537" xr:uid="{00000000-0005-0000-0000-0000DB4E0000}"/>
    <cellStyle name="Normal 3 2 2 2 3 3 3 7" xfId="30529" xr:uid="{00000000-0005-0000-0000-0000DC4E0000}"/>
    <cellStyle name="Normal 3 2 2 2 3 3 4" xfId="2661" xr:uid="{00000000-0005-0000-0000-0000DD4E0000}"/>
    <cellStyle name="Normal 3 2 2 2 3 3 4 2" xfId="2662" xr:uid="{00000000-0005-0000-0000-0000DE4E0000}"/>
    <cellStyle name="Normal 3 2 2 2 3 3 4 2 2" xfId="30540" xr:uid="{00000000-0005-0000-0000-0000DF4E0000}"/>
    <cellStyle name="Normal 3 2 2 2 3 3 4 2 3" xfId="30539" xr:uid="{00000000-0005-0000-0000-0000E04E0000}"/>
    <cellStyle name="Normal 3 2 2 2 3 3 4 3" xfId="2663" xr:uid="{00000000-0005-0000-0000-0000E14E0000}"/>
    <cellStyle name="Normal 3 2 2 2 3 3 4 3 2" xfId="30542" xr:uid="{00000000-0005-0000-0000-0000E24E0000}"/>
    <cellStyle name="Normal 3 2 2 2 3 3 4 3 3" xfId="30541" xr:uid="{00000000-0005-0000-0000-0000E34E0000}"/>
    <cellStyle name="Normal 3 2 2 2 3 3 4 4" xfId="30543" xr:uid="{00000000-0005-0000-0000-0000E44E0000}"/>
    <cellStyle name="Normal 3 2 2 2 3 3 4 4 2" xfId="30544" xr:uid="{00000000-0005-0000-0000-0000E54E0000}"/>
    <cellStyle name="Normal 3 2 2 2 3 3 4 5" xfId="30545" xr:uid="{00000000-0005-0000-0000-0000E64E0000}"/>
    <cellStyle name="Normal 3 2 2 2 3 3 4 6" xfId="30546" xr:uid="{00000000-0005-0000-0000-0000E74E0000}"/>
    <cellStyle name="Normal 3 2 2 2 3 3 4 7" xfId="30538" xr:uid="{00000000-0005-0000-0000-0000E84E0000}"/>
    <cellStyle name="Normal 3 2 2 2 3 3 5" xfId="2664" xr:uid="{00000000-0005-0000-0000-0000E94E0000}"/>
    <cellStyle name="Normal 3 2 2 2 3 3 5 2" xfId="2665" xr:uid="{00000000-0005-0000-0000-0000EA4E0000}"/>
    <cellStyle name="Normal 3 2 2 2 3 3 5 2 2" xfId="30549" xr:uid="{00000000-0005-0000-0000-0000EB4E0000}"/>
    <cellStyle name="Normal 3 2 2 2 3 3 5 2 3" xfId="30548" xr:uid="{00000000-0005-0000-0000-0000EC4E0000}"/>
    <cellStyle name="Normal 3 2 2 2 3 3 5 3" xfId="30550" xr:uid="{00000000-0005-0000-0000-0000ED4E0000}"/>
    <cellStyle name="Normal 3 2 2 2 3 3 5 3 2" xfId="30551" xr:uid="{00000000-0005-0000-0000-0000EE4E0000}"/>
    <cellStyle name="Normal 3 2 2 2 3 3 5 4" xfId="30552" xr:uid="{00000000-0005-0000-0000-0000EF4E0000}"/>
    <cellStyle name="Normal 3 2 2 2 3 3 5 5" xfId="30553" xr:uid="{00000000-0005-0000-0000-0000F04E0000}"/>
    <cellStyle name="Normal 3 2 2 2 3 3 5 6" xfId="30547" xr:uid="{00000000-0005-0000-0000-0000F14E0000}"/>
    <cellStyle name="Normal 3 2 2 2 3 3 6" xfId="2666" xr:uid="{00000000-0005-0000-0000-0000F24E0000}"/>
    <cellStyle name="Normal 3 2 2 2 3 3 6 2" xfId="2667" xr:uid="{00000000-0005-0000-0000-0000F34E0000}"/>
    <cellStyle name="Normal 3 2 2 2 3 3 6 2 2" xfId="30555" xr:uid="{00000000-0005-0000-0000-0000F44E0000}"/>
    <cellStyle name="Normal 3 2 2 2 3 3 6 3" xfId="30554" xr:uid="{00000000-0005-0000-0000-0000F54E0000}"/>
    <cellStyle name="Normal 3 2 2 2 3 3 7" xfId="2668" xr:uid="{00000000-0005-0000-0000-0000F64E0000}"/>
    <cellStyle name="Normal 3 2 2 2 3 3 7 2" xfId="30557" xr:uid="{00000000-0005-0000-0000-0000F74E0000}"/>
    <cellStyle name="Normal 3 2 2 2 3 3 7 3" xfId="30556" xr:uid="{00000000-0005-0000-0000-0000F84E0000}"/>
    <cellStyle name="Normal 3 2 2 2 3 3 8" xfId="30558" xr:uid="{00000000-0005-0000-0000-0000F94E0000}"/>
    <cellStyle name="Normal 3 2 2 2 3 3 8 2" xfId="30559" xr:uid="{00000000-0005-0000-0000-0000FA4E0000}"/>
    <cellStyle name="Normal 3 2 2 2 3 3 9" xfId="30560" xr:uid="{00000000-0005-0000-0000-0000FB4E0000}"/>
    <cellStyle name="Normal 3 2 2 2 3 4" xfId="2669" xr:uid="{00000000-0005-0000-0000-0000FC4E0000}"/>
    <cellStyle name="Normal 3 2 2 2 3 4 10" xfId="30562" xr:uid="{00000000-0005-0000-0000-0000FD4E0000}"/>
    <cellStyle name="Normal 3 2 2 2 3 4 11" xfId="30561" xr:uid="{00000000-0005-0000-0000-0000FE4E0000}"/>
    <cellStyle name="Normal 3 2 2 2 3 4 2" xfId="2670" xr:uid="{00000000-0005-0000-0000-0000FF4E0000}"/>
    <cellStyle name="Normal 3 2 2 2 3 4 2 2" xfId="2671" xr:uid="{00000000-0005-0000-0000-0000004F0000}"/>
    <cellStyle name="Normal 3 2 2 2 3 4 2 2 2" xfId="2672" xr:uid="{00000000-0005-0000-0000-0000014F0000}"/>
    <cellStyle name="Normal 3 2 2 2 3 4 2 2 2 2" xfId="30565" xr:uid="{00000000-0005-0000-0000-0000024F0000}"/>
    <cellStyle name="Normal 3 2 2 2 3 4 2 2 3" xfId="30564" xr:uid="{00000000-0005-0000-0000-0000034F0000}"/>
    <cellStyle name="Normal 3 2 2 2 3 4 2 3" xfId="2673" xr:uid="{00000000-0005-0000-0000-0000044F0000}"/>
    <cellStyle name="Normal 3 2 2 2 3 4 2 3 2" xfId="2674" xr:uid="{00000000-0005-0000-0000-0000054F0000}"/>
    <cellStyle name="Normal 3 2 2 2 3 4 2 3 2 2" xfId="30567" xr:uid="{00000000-0005-0000-0000-0000064F0000}"/>
    <cellStyle name="Normal 3 2 2 2 3 4 2 3 3" xfId="30566" xr:uid="{00000000-0005-0000-0000-0000074F0000}"/>
    <cellStyle name="Normal 3 2 2 2 3 4 2 4" xfId="2675" xr:uid="{00000000-0005-0000-0000-0000084F0000}"/>
    <cellStyle name="Normal 3 2 2 2 3 4 2 4 2" xfId="30569" xr:uid="{00000000-0005-0000-0000-0000094F0000}"/>
    <cellStyle name="Normal 3 2 2 2 3 4 2 4 3" xfId="30568" xr:uid="{00000000-0005-0000-0000-00000A4F0000}"/>
    <cellStyle name="Normal 3 2 2 2 3 4 2 5" xfId="30570" xr:uid="{00000000-0005-0000-0000-00000B4F0000}"/>
    <cellStyle name="Normal 3 2 2 2 3 4 2 6" xfId="30571" xr:uid="{00000000-0005-0000-0000-00000C4F0000}"/>
    <cellStyle name="Normal 3 2 2 2 3 4 2 7" xfId="30563" xr:uid="{00000000-0005-0000-0000-00000D4F0000}"/>
    <cellStyle name="Normal 3 2 2 2 3 4 3" xfId="2676" xr:uid="{00000000-0005-0000-0000-00000E4F0000}"/>
    <cellStyle name="Normal 3 2 2 2 3 4 3 2" xfId="2677" xr:uid="{00000000-0005-0000-0000-00000F4F0000}"/>
    <cellStyle name="Normal 3 2 2 2 3 4 3 2 2" xfId="30574" xr:uid="{00000000-0005-0000-0000-0000104F0000}"/>
    <cellStyle name="Normal 3 2 2 2 3 4 3 2 3" xfId="30573" xr:uid="{00000000-0005-0000-0000-0000114F0000}"/>
    <cellStyle name="Normal 3 2 2 2 3 4 3 3" xfId="2678" xr:uid="{00000000-0005-0000-0000-0000124F0000}"/>
    <cellStyle name="Normal 3 2 2 2 3 4 3 3 2" xfId="30576" xr:uid="{00000000-0005-0000-0000-0000134F0000}"/>
    <cellStyle name="Normal 3 2 2 2 3 4 3 3 3" xfId="30575" xr:uid="{00000000-0005-0000-0000-0000144F0000}"/>
    <cellStyle name="Normal 3 2 2 2 3 4 3 4" xfId="30577" xr:uid="{00000000-0005-0000-0000-0000154F0000}"/>
    <cellStyle name="Normal 3 2 2 2 3 4 3 4 2" xfId="30578" xr:uid="{00000000-0005-0000-0000-0000164F0000}"/>
    <cellStyle name="Normal 3 2 2 2 3 4 3 5" xfId="30579" xr:uid="{00000000-0005-0000-0000-0000174F0000}"/>
    <cellStyle name="Normal 3 2 2 2 3 4 3 6" xfId="30580" xr:uid="{00000000-0005-0000-0000-0000184F0000}"/>
    <cellStyle name="Normal 3 2 2 2 3 4 3 7" xfId="30572" xr:uid="{00000000-0005-0000-0000-0000194F0000}"/>
    <cellStyle name="Normal 3 2 2 2 3 4 4" xfId="2679" xr:uid="{00000000-0005-0000-0000-00001A4F0000}"/>
    <cellStyle name="Normal 3 2 2 2 3 4 4 2" xfId="2680" xr:uid="{00000000-0005-0000-0000-00001B4F0000}"/>
    <cellStyle name="Normal 3 2 2 2 3 4 4 2 2" xfId="30583" xr:uid="{00000000-0005-0000-0000-00001C4F0000}"/>
    <cellStyle name="Normal 3 2 2 2 3 4 4 2 3" xfId="30582" xr:uid="{00000000-0005-0000-0000-00001D4F0000}"/>
    <cellStyle name="Normal 3 2 2 2 3 4 4 3" xfId="30584" xr:uid="{00000000-0005-0000-0000-00001E4F0000}"/>
    <cellStyle name="Normal 3 2 2 2 3 4 4 3 2" xfId="30585" xr:uid="{00000000-0005-0000-0000-00001F4F0000}"/>
    <cellStyle name="Normal 3 2 2 2 3 4 4 4" xfId="30586" xr:uid="{00000000-0005-0000-0000-0000204F0000}"/>
    <cellStyle name="Normal 3 2 2 2 3 4 4 4 2" xfId="30587" xr:uid="{00000000-0005-0000-0000-0000214F0000}"/>
    <cellStyle name="Normal 3 2 2 2 3 4 4 5" xfId="30588" xr:uid="{00000000-0005-0000-0000-0000224F0000}"/>
    <cellStyle name="Normal 3 2 2 2 3 4 4 6" xfId="30589" xr:uid="{00000000-0005-0000-0000-0000234F0000}"/>
    <cellStyle name="Normal 3 2 2 2 3 4 4 7" xfId="30581" xr:uid="{00000000-0005-0000-0000-0000244F0000}"/>
    <cellStyle name="Normal 3 2 2 2 3 4 5" xfId="2681" xr:uid="{00000000-0005-0000-0000-0000254F0000}"/>
    <cellStyle name="Normal 3 2 2 2 3 4 5 2" xfId="2682" xr:uid="{00000000-0005-0000-0000-0000264F0000}"/>
    <cellStyle name="Normal 3 2 2 2 3 4 5 2 2" xfId="30592" xr:uid="{00000000-0005-0000-0000-0000274F0000}"/>
    <cellStyle name="Normal 3 2 2 2 3 4 5 2 3" xfId="30591" xr:uid="{00000000-0005-0000-0000-0000284F0000}"/>
    <cellStyle name="Normal 3 2 2 2 3 4 5 3" xfId="30593" xr:uid="{00000000-0005-0000-0000-0000294F0000}"/>
    <cellStyle name="Normal 3 2 2 2 3 4 5 3 2" xfId="30594" xr:uid="{00000000-0005-0000-0000-00002A4F0000}"/>
    <cellStyle name="Normal 3 2 2 2 3 4 5 4" xfId="30595" xr:uid="{00000000-0005-0000-0000-00002B4F0000}"/>
    <cellStyle name="Normal 3 2 2 2 3 4 5 5" xfId="30596" xr:uid="{00000000-0005-0000-0000-00002C4F0000}"/>
    <cellStyle name="Normal 3 2 2 2 3 4 5 6" xfId="30590" xr:uid="{00000000-0005-0000-0000-00002D4F0000}"/>
    <cellStyle name="Normal 3 2 2 2 3 4 6" xfId="2683" xr:uid="{00000000-0005-0000-0000-00002E4F0000}"/>
    <cellStyle name="Normal 3 2 2 2 3 4 6 2" xfId="30598" xr:uid="{00000000-0005-0000-0000-00002F4F0000}"/>
    <cellStyle name="Normal 3 2 2 2 3 4 6 3" xfId="30597" xr:uid="{00000000-0005-0000-0000-0000304F0000}"/>
    <cellStyle name="Normal 3 2 2 2 3 4 7" xfId="30599" xr:uid="{00000000-0005-0000-0000-0000314F0000}"/>
    <cellStyle name="Normal 3 2 2 2 3 4 7 2" xfId="30600" xr:uid="{00000000-0005-0000-0000-0000324F0000}"/>
    <cellStyle name="Normal 3 2 2 2 3 4 8" xfId="30601" xr:uid="{00000000-0005-0000-0000-0000334F0000}"/>
    <cellStyle name="Normal 3 2 2 2 3 4 8 2" xfId="30602" xr:uid="{00000000-0005-0000-0000-0000344F0000}"/>
    <cellStyle name="Normal 3 2 2 2 3 4 9" xfId="30603" xr:uid="{00000000-0005-0000-0000-0000354F0000}"/>
    <cellStyle name="Normal 3 2 2 2 3 5" xfId="2684" xr:uid="{00000000-0005-0000-0000-0000364F0000}"/>
    <cellStyle name="Normal 3 2 2 2 3 5 2" xfId="2685" xr:uid="{00000000-0005-0000-0000-0000374F0000}"/>
    <cellStyle name="Normal 3 2 2 2 3 5 2 2" xfId="2686" xr:uid="{00000000-0005-0000-0000-0000384F0000}"/>
    <cellStyle name="Normal 3 2 2 2 3 5 2 2 2" xfId="30606" xr:uid="{00000000-0005-0000-0000-0000394F0000}"/>
    <cellStyle name="Normal 3 2 2 2 3 5 2 3" xfId="30605" xr:uid="{00000000-0005-0000-0000-00003A4F0000}"/>
    <cellStyle name="Normal 3 2 2 2 3 5 3" xfId="2687" xr:uid="{00000000-0005-0000-0000-00003B4F0000}"/>
    <cellStyle name="Normal 3 2 2 2 3 5 3 2" xfId="2688" xr:uid="{00000000-0005-0000-0000-00003C4F0000}"/>
    <cellStyle name="Normal 3 2 2 2 3 5 3 2 2" xfId="30608" xr:uid="{00000000-0005-0000-0000-00003D4F0000}"/>
    <cellStyle name="Normal 3 2 2 2 3 5 3 3" xfId="30607" xr:uid="{00000000-0005-0000-0000-00003E4F0000}"/>
    <cellStyle name="Normal 3 2 2 2 3 5 4" xfId="2689" xr:uid="{00000000-0005-0000-0000-00003F4F0000}"/>
    <cellStyle name="Normal 3 2 2 2 3 5 4 2" xfId="30610" xr:uid="{00000000-0005-0000-0000-0000404F0000}"/>
    <cellStyle name="Normal 3 2 2 2 3 5 4 3" xfId="30609" xr:uid="{00000000-0005-0000-0000-0000414F0000}"/>
    <cellStyle name="Normal 3 2 2 2 3 5 5" xfId="30611" xr:uid="{00000000-0005-0000-0000-0000424F0000}"/>
    <cellStyle name="Normal 3 2 2 2 3 5 6" xfId="30612" xr:uid="{00000000-0005-0000-0000-0000434F0000}"/>
    <cellStyle name="Normal 3 2 2 2 3 5 7" xfId="30604" xr:uid="{00000000-0005-0000-0000-0000444F0000}"/>
    <cellStyle name="Normal 3 2 2 2 3 6" xfId="2690" xr:uid="{00000000-0005-0000-0000-0000454F0000}"/>
    <cellStyle name="Normal 3 2 2 2 3 6 2" xfId="2691" xr:uid="{00000000-0005-0000-0000-0000464F0000}"/>
    <cellStyle name="Normal 3 2 2 2 3 6 2 2" xfId="2692" xr:uid="{00000000-0005-0000-0000-0000474F0000}"/>
    <cellStyle name="Normal 3 2 2 2 3 6 2 2 2" xfId="30615" xr:uid="{00000000-0005-0000-0000-0000484F0000}"/>
    <cellStyle name="Normal 3 2 2 2 3 6 2 3" xfId="30614" xr:uid="{00000000-0005-0000-0000-0000494F0000}"/>
    <cellStyle name="Normal 3 2 2 2 3 6 3" xfId="2693" xr:uid="{00000000-0005-0000-0000-00004A4F0000}"/>
    <cellStyle name="Normal 3 2 2 2 3 6 3 2" xfId="2694" xr:uid="{00000000-0005-0000-0000-00004B4F0000}"/>
    <cellStyle name="Normal 3 2 2 2 3 6 3 2 2" xfId="30617" xr:uid="{00000000-0005-0000-0000-00004C4F0000}"/>
    <cellStyle name="Normal 3 2 2 2 3 6 3 3" xfId="30616" xr:uid="{00000000-0005-0000-0000-00004D4F0000}"/>
    <cellStyle name="Normal 3 2 2 2 3 6 4" xfId="2695" xr:uid="{00000000-0005-0000-0000-00004E4F0000}"/>
    <cellStyle name="Normal 3 2 2 2 3 6 4 2" xfId="30619" xr:uid="{00000000-0005-0000-0000-00004F4F0000}"/>
    <cellStyle name="Normal 3 2 2 2 3 6 4 3" xfId="30618" xr:uid="{00000000-0005-0000-0000-0000504F0000}"/>
    <cellStyle name="Normal 3 2 2 2 3 6 5" xfId="30620" xr:uid="{00000000-0005-0000-0000-0000514F0000}"/>
    <cellStyle name="Normal 3 2 2 2 3 6 6" xfId="30621" xr:uid="{00000000-0005-0000-0000-0000524F0000}"/>
    <cellStyle name="Normal 3 2 2 2 3 6 7" xfId="30613" xr:uid="{00000000-0005-0000-0000-0000534F0000}"/>
    <cellStyle name="Normal 3 2 2 2 3 7" xfId="2696" xr:uid="{00000000-0005-0000-0000-0000544F0000}"/>
    <cellStyle name="Normal 3 2 2 2 3 7 2" xfId="2697" xr:uid="{00000000-0005-0000-0000-0000554F0000}"/>
    <cellStyle name="Normal 3 2 2 2 3 7 2 2" xfId="30624" xr:uid="{00000000-0005-0000-0000-0000564F0000}"/>
    <cellStyle name="Normal 3 2 2 2 3 7 2 3" xfId="30623" xr:uid="{00000000-0005-0000-0000-0000574F0000}"/>
    <cellStyle name="Normal 3 2 2 2 3 7 3" xfId="2698" xr:uid="{00000000-0005-0000-0000-0000584F0000}"/>
    <cellStyle name="Normal 3 2 2 2 3 7 3 2" xfId="30626" xr:uid="{00000000-0005-0000-0000-0000594F0000}"/>
    <cellStyle name="Normal 3 2 2 2 3 7 3 3" xfId="30625" xr:uid="{00000000-0005-0000-0000-00005A4F0000}"/>
    <cellStyle name="Normal 3 2 2 2 3 7 4" xfId="30627" xr:uid="{00000000-0005-0000-0000-00005B4F0000}"/>
    <cellStyle name="Normal 3 2 2 2 3 7 4 2" xfId="30628" xr:uid="{00000000-0005-0000-0000-00005C4F0000}"/>
    <cellStyle name="Normal 3 2 2 2 3 7 5" xfId="30629" xr:uid="{00000000-0005-0000-0000-00005D4F0000}"/>
    <cellStyle name="Normal 3 2 2 2 3 7 6" xfId="30630" xr:uid="{00000000-0005-0000-0000-00005E4F0000}"/>
    <cellStyle name="Normal 3 2 2 2 3 7 7" xfId="30622" xr:uid="{00000000-0005-0000-0000-00005F4F0000}"/>
    <cellStyle name="Normal 3 2 2 2 3 8" xfId="2699" xr:uid="{00000000-0005-0000-0000-0000604F0000}"/>
    <cellStyle name="Normal 3 2 2 2 3 8 2" xfId="2700" xr:uid="{00000000-0005-0000-0000-0000614F0000}"/>
    <cellStyle name="Normal 3 2 2 2 3 8 2 2" xfId="30633" xr:uid="{00000000-0005-0000-0000-0000624F0000}"/>
    <cellStyle name="Normal 3 2 2 2 3 8 2 3" xfId="30632" xr:uid="{00000000-0005-0000-0000-0000634F0000}"/>
    <cellStyle name="Normal 3 2 2 2 3 8 3" xfId="30634" xr:uid="{00000000-0005-0000-0000-0000644F0000}"/>
    <cellStyle name="Normal 3 2 2 2 3 8 3 2" xfId="30635" xr:uid="{00000000-0005-0000-0000-0000654F0000}"/>
    <cellStyle name="Normal 3 2 2 2 3 8 4" xfId="30636" xr:uid="{00000000-0005-0000-0000-0000664F0000}"/>
    <cellStyle name="Normal 3 2 2 2 3 8 5" xfId="30637" xr:uid="{00000000-0005-0000-0000-0000674F0000}"/>
    <cellStyle name="Normal 3 2 2 2 3 8 6" xfId="30631" xr:uid="{00000000-0005-0000-0000-0000684F0000}"/>
    <cellStyle name="Normal 3 2 2 2 3 9" xfId="2701" xr:uid="{00000000-0005-0000-0000-0000694F0000}"/>
    <cellStyle name="Normal 3 2 2 2 3 9 2" xfId="2702" xr:uid="{00000000-0005-0000-0000-00006A4F0000}"/>
    <cellStyle name="Normal 3 2 2 2 3 9 2 2" xfId="30639" xr:uid="{00000000-0005-0000-0000-00006B4F0000}"/>
    <cellStyle name="Normal 3 2 2 2 3 9 3" xfId="30638" xr:uid="{00000000-0005-0000-0000-00006C4F0000}"/>
    <cellStyle name="Normal 3 2 2 2 4" xfId="2703" xr:uid="{00000000-0005-0000-0000-00006D4F0000}"/>
    <cellStyle name="Normal 3 2 2 2 4 10" xfId="30641" xr:uid="{00000000-0005-0000-0000-00006E4F0000}"/>
    <cellStyle name="Normal 3 2 2 2 4 10 2" xfId="30642" xr:uid="{00000000-0005-0000-0000-00006F4F0000}"/>
    <cellStyle name="Normal 3 2 2 2 4 11" xfId="30643" xr:uid="{00000000-0005-0000-0000-0000704F0000}"/>
    <cellStyle name="Normal 3 2 2 2 4 11 2" xfId="30644" xr:uid="{00000000-0005-0000-0000-0000714F0000}"/>
    <cellStyle name="Normal 3 2 2 2 4 12" xfId="30645" xr:uid="{00000000-0005-0000-0000-0000724F0000}"/>
    <cellStyle name="Normal 3 2 2 2 4 13" xfId="30646" xr:uid="{00000000-0005-0000-0000-0000734F0000}"/>
    <cellStyle name="Normal 3 2 2 2 4 14" xfId="30640" xr:uid="{00000000-0005-0000-0000-0000744F0000}"/>
    <cellStyle name="Normal 3 2 2 2 4 2" xfId="2704" xr:uid="{00000000-0005-0000-0000-0000754F0000}"/>
    <cellStyle name="Normal 3 2 2 2 4 2 10" xfId="30648" xr:uid="{00000000-0005-0000-0000-0000764F0000}"/>
    <cellStyle name="Normal 3 2 2 2 4 2 11" xfId="30649" xr:uid="{00000000-0005-0000-0000-0000774F0000}"/>
    <cellStyle name="Normal 3 2 2 2 4 2 12" xfId="30647" xr:uid="{00000000-0005-0000-0000-0000784F0000}"/>
    <cellStyle name="Normal 3 2 2 2 4 2 2" xfId="2705" xr:uid="{00000000-0005-0000-0000-0000794F0000}"/>
    <cellStyle name="Normal 3 2 2 2 4 2 2 2" xfId="2706" xr:uid="{00000000-0005-0000-0000-00007A4F0000}"/>
    <cellStyle name="Normal 3 2 2 2 4 2 2 2 2" xfId="2707" xr:uid="{00000000-0005-0000-0000-00007B4F0000}"/>
    <cellStyle name="Normal 3 2 2 2 4 2 2 2 2 2" xfId="30652" xr:uid="{00000000-0005-0000-0000-00007C4F0000}"/>
    <cellStyle name="Normal 3 2 2 2 4 2 2 2 3" xfId="2708" xr:uid="{00000000-0005-0000-0000-00007D4F0000}"/>
    <cellStyle name="Normal 3 2 2 2 4 2 2 2 4" xfId="30651" xr:uid="{00000000-0005-0000-0000-00007E4F0000}"/>
    <cellStyle name="Normal 3 2 2 2 4 2 2 3" xfId="2709" xr:uid="{00000000-0005-0000-0000-00007F4F0000}"/>
    <cellStyle name="Normal 3 2 2 2 4 2 2 3 2" xfId="2710" xr:uid="{00000000-0005-0000-0000-0000804F0000}"/>
    <cellStyle name="Normal 3 2 2 2 4 2 2 3 2 2" xfId="30654" xr:uid="{00000000-0005-0000-0000-0000814F0000}"/>
    <cellStyle name="Normal 3 2 2 2 4 2 2 3 3" xfId="30653" xr:uid="{00000000-0005-0000-0000-0000824F0000}"/>
    <cellStyle name="Normal 3 2 2 2 4 2 2 4" xfId="2711" xr:uid="{00000000-0005-0000-0000-0000834F0000}"/>
    <cellStyle name="Normal 3 2 2 2 4 2 2 4 2" xfId="2712" xr:uid="{00000000-0005-0000-0000-0000844F0000}"/>
    <cellStyle name="Normal 3 2 2 2 4 2 2 4 2 2" xfId="30656" xr:uid="{00000000-0005-0000-0000-0000854F0000}"/>
    <cellStyle name="Normal 3 2 2 2 4 2 2 4 3" xfId="30655" xr:uid="{00000000-0005-0000-0000-0000864F0000}"/>
    <cellStyle name="Normal 3 2 2 2 4 2 2 5" xfId="2713" xr:uid="{00000000-0005-0000-0000-0000874F0000}"/>
    <cellStyle name="Normal 3 2 2 2 4 2 2 5 2" xfId="30657" xr:uid="{00000000-0005-0000-0000-0000884F0000}"/>
    <cellStyle name="Normal 3 2 2 2 4 2 2 6" xfId="30658" xr:uid="{00000000-0005-0000-0000-0000894F0000}"/>
    <cellStyle name="Normal 3 2 2 2 4 2 2 7" xfId="30650" xr:uid="{00000000-0005-0000-0000-00008A4F0000}"/>
    <cellStyle name="Normal 3 2 2 2 4 2 3" xfId="2714" xr:uid="{00000000-0005-0000-0000-00008B4F0000}"/>
    <cellStyle name="Normal 3 2 2 2 4 2 3 2" xfId="2715" xr:uid="{00000000-0005-0000-0000-00008C4F0000}"/>
    <cellStyle name="Normal 3 2 2 2 4 2 3 2 2" xfId="2716" xr:uid="{00000000-0005-0000-0000-00008D4F0000}"/>
    <cellStyle name="Normal 3 2 2 2 4 2 3 2 2 2" xfId="30661" xr:uid="{00000000-0005-0000-0000-00008E4F0000}"/>
    <cellStyle name="Normal 3 2 2 2 4 2 3 2 3" xfId="30660" xr:uid="{00000000-0005-0000-0000-00008F4F0000}"/>
    <cellStyle name="Normal 3 2 2 2 4 2 3 3" xfId="2717" xr:uid="{00000000-0005-0000-0000-0000904F0000}"/>
    <cellStyle name="Normal 3 2 2 2 4 2 3 3 2" xfId="2718" xr:uid="{00000000-0005-0000-0000-0000914F0000}"/>
    <cellStyle name="Normal 3 2 2 2 4 2 3 3 2 2" xfId="30663" xr:uid="{00000000-0005-0000-0000-0000924F0000}"/>
    <cellStyle name="Normal 3 2 2 2 4 2 3 3 3" xfId="30662" xr:uid="{00000000-0005-0000-0000-0000934F0000}"/>
    <cellStyle name="Normal 3 2 2 2 4 2 3 4" xfId="2719" xr:uid="{00000000-0005-0000-0000-0000944F0000}"/>
    <cellStyle name="Normal 3 2 2 2 4 2 3 4 2" xfId="30665" xr:uid="{00000000-0005-0000-0000-0000954F0000}"/>
    <cellStyle name="Normal 3 2 2 2 4 2 3 4 3" xfId="30664" xr:uid="{00000000-0005-0000-0000-0000964F0000}"/>
    <cellStyle name="Normal 3 2 2 2 4 2 3 5" xfId="30666" xr:uid="{00000000-0005-0000-0000-0000974F0000}"/>
    <cellStyle name="Normal 3 2 2 2 4 2 3 6" xfId="30667" xr:uid="{00000000-0005-0000-0000-0000984F0000}"/>
    <cellStyle name="Normal 3 2 2 2 4 2 3 7" xfId="30659" xr:uid="{00000000-0005-0000-0000-0000994F0000}"/>
    <cellStyle name="Normal 3 2 2 2 4 2 4" xfId="2720" xr:uid="{00000000-0005-0000-0000-00009A4F0000}"/>
    <cellStyle name="Normal 3 2 2 2 4 2 4 2" xfId="2721" xr:uid="{00000000-0005-0000-0000-00009B4F0000}"/>
    <cellStyle name="Normal 3 2 2 2 4 2 4 2 2" xfId="30670" xr:uid="{00000000-0005-0000-0000-00009C4F0000}"/>
    <cellStyle name="Normal 3 2 2 2 4 2 4 2 3" xfId="30669" xr:uid="{00000000-0005-0000-0000-00009D4F0000}"/>
    <cellStyle name="Normal 3 2 2 2 4 2 4 3" xfId="2722" xr:uid="{00000000-0005-0000-0000-00009E4F0000}"/>
    <cellStyle name="Normal 3 2 2 2 4 2 4 3 2" xfId="30672" xr:uid="{00000000-0005-0000-0000-00009F4F0000}"/>
    <cellStyle name="Normal 3 2 2 2 4 2 4 3 3" xfId="30671" xr:uid="{00000000-0005-0000-0000-0000A04F0000}"/>
    <cellStyle name="Normal 3 2 2 2 4 2 4 4" xfId="30673" xr:uid="{00000000-0005-0000-0000-0000A14F0000}"/>
    <cellStyle name="Normal 3 2 2 2 4 2 4 4 2" xfId="30674" xr:uid="{00000000-0005-0000-0000-0000A24F0000}"/>
    <cellStyle name="Normal 3 2 2 2 4 2 4 5" xfId="30675" xr:uid="{00000000-0005-0000-0000-0000A34F0000}"/>
    <cellStyle name="Normal 3 2 2 2 4 2 4 6" xfId="30676" xr:uid="{00000000-0005-0000-0000-0000A44F0000}"/>
    <cellStyle name="Normal 3 2 2 2 4 2 4 7" xfId="30668" xr:uid="{00000000-0005-0000-0000-0000A54F0000}"/>
    <cellStyle name="Normal 3 2 2 2 4 2 5" xfId="2723" xr:uid="{00000000-0005-0000-0000-0000A64F0000}"/>
    <cellStyle name="Normal 3 2 2 2 4 2 5 2" xfId="2724" xr:uid="{00000000-0005-0000-0000-0000A74F0000}"/>
    <cellStyle name="Normal 3 2 2 2 4 2 5 2 2" xfId="30679" xr:uid="{00000000-0005-0000-0000-0000A84F0000}"/>
    <cellStyle name="Normal 3 2 2 2 4 2 5 2 3" xfId="30678" xr:uid="{00000000-0005-0000-0000-0000A94F0000}"/>
    <cellStyle name="Normal 3 2 2 2 4 2 5 3" xfId="30680" xr:uid="{00000000-0005-0000-0000-0000AA4F0000}"/>
    <cellStyle name="Normal 3 2 2 2 4 2 5 3 2" xfId="30681" xr:uid="{00000000-0005-0000-0000-0000AB4F0000}"/>
    <cellStyle name="Normal 3 2 2 2 4 2 5 4" xfId="30682" xr:uid="{00000000-0005-0000-0000-0000AC4F0000}"/>
    <cellStyle name="Normal 3 2 2 2 4 2 5 4 2" xfId="30683" xr:uid="{00000000-0005-0000-0000-0000AD4F0000}"/>
    <cellStyle name="Normal 3 2 2 2 4 2 5 5" xfId="30684" xr:uid="{00000000-0005-0000-0000-0000AE4F0000}"/>
    <cellStyle name="Normal 3 2 2 2 4 2 5 6" xfId="30685" xr:uid="{00000000-0005-0000-0000-0000AF4F0000}"/>
    <cellStyle name="Normal 3 2 2 2 4 2 5 7" xfId="30677" xr:uid="{00000000-0005-0000-0000-0000B04F0000}"/>
    <cellStyle name="Normal 3 2 2 2 4 2 6" xfId="2725" xr:uid="{00000000-0005-0000-0000-0000B14F0000}"/>
    <cellStyle name="Normal 3 2 2 2 4 2 6 2" xfId="2726" xr:uid="{00000000-0005-0000-0000-0000B24F0000}"/>
    <cellStyle name="Normal 3 2 2 2 4 2 6 2 2" xfId="30688" xr:uid="{00000000-0005-0000-0000-0000B34F0000}"/>
    <cellStyle name="Normal 3 2 2 2 4 2 6 2 3" xfId="30687" xr:uid="{00000000-0005-0000-0000-0000B44F0000}"/>
    <cellStyle name="Normal 3 2 2 2 4 2 6 3" xfId="30689" xr:uid="{00000000-0005-0000-0000-0000B54F0000}"/>
    <cellStyle name="Normal 3 2 2 2 4 2 6 3 2" xfId="30690" xr:uid="{00000000-0005-0000-0000-0000B64F0000}"/>
    <cellStyle name="Normal 3 2 2 2 4 2 6 4" xfId="30691" xr:uid="{00000000-0005-0000-0000-0000B74F0000}"/>
    <cellStyle name="Normal 3 2 2 2 4 2 6 5" xfId="30692" xr:uid="{00000000-0005-0000-0000-0000B84F0000}"/>
    <cellStyle name="Normal 3 2 2 2 4 2 6 6" xfId="30686" xr:uid="{00000000-0005-0000-0000-0000B94F0000}"/>
    <cellStyle name="Normal 3 2 2 2 4 2 7" xfId="2727" xr:uid="{00000000-0005-0000-0000-0000BA4F0000}"/>
    <cellStyle name="Normal 3 2 2 2 4 2 7 2" xfId="30694" xr:uid="{00000000-0005-0000-0000-0000BB4F0000}"/>
    <cellStyle name="Normal 3 2 2 2 4 2 7 3" xfId="30693" xr:uid="{00000000-0005-0000-0000-0000BC4F0000}"/>
    <cellStyle name="Normal 3 2 2 2 4 2 8" xfId="30695" xr:uid="{00000000-0005-0000-0000-0000BD4F0000}"/>
    <cellStyle name="Normal 3 2 2 2 4 2 8 2" xfId="30696" xr:uid="{00000000-0005-0000-0000-0000BE4F0000}"/>
    <cellStyle name="Normal 3 2 2 2 4 2 9" xfId="30697" xr:uid="{00000000-0005-0000-0000-0000BF4F0000}"/>
    <cellStyle name="Normal 3 2 2 2 4 2 9 2" xfId="30698" xr:uid="{00000000-0005-0000-0000-0000C04F0000}"/>
    <cellStyle name="Normal 3 2 2 2 4 3" xfId="2728" xr:uid="{00000000-0005-0000-0000-0000C14F0000}"/>
    <cellStyle name="Normal 3 2 2 2 4 3 10" xfId="30700" xr:uid="{00000000-0005-0000-0000-0000C24F0000}"/>
    <cellStyle name="Normal 3 2 2 2 4 3 11" xfId="30699" xr:uid="{00000000-0005-0000-0000-0000C34F0000}"/>
    <cellStyle name="Normal 3 2 2 2 4 3 2" xfId="2729" xr:uid="{00000000-0005-0000-0000-0000C44F0000}"/>
    <cellStyle name="Normal 3 2 2 2 4 3 2 2" xfId="2730" xr:uid="{00000000-0005-0000-0000-0000C54F0000}"/>
    <cellStyle name="Normal 3 2 2 2 4 3 2 2 2" xfId="30703" xr:uid="{00000000-0005-0000-0000-0000C64F0000}"/>
    <cellStyle name="Normal 3 2 2 2 4 3 2 2 3" xfId="30702" xr:uid="{00000000-0005-0000-0000-0000C74F0000}"/>
    <cellStyle name="Normal 3 2 2 2 4 3 2 3" xfId="2731" xr:uid="{00000000-0005-0000-0000-0000C84F0000}"/>
    <cellStyle name="Normal 3 2 2 2 4 3 2 3 2" xfId="30705" xr:uid="{00000000-0005-0000-0000-0000C94F0000}"/>
    <cellStyle name="Normal 3 2 2 2 4 3 2 3 3" xfId="30704" xr:uid="{00000000-0005-0000-0000-0000CA4F0000}"/>
    <cellStyle name="Normal 3 2 2 2 4 3 2 4" xfId="30706" xr:uid="{00000000-0005-0000-0000-0000CB4F0000}"/>
    <cellStyle name="Normal 3 2 2 2 4 3 2 4 2" xfId="30707" xr:uid="{00000000-0005-0000-0000-0000CC4F0000}"/>
    <cellStyle name="Normal 3 2 2 2 4 3 2 5" xfId="30708" xr:uid="{00000000-0005-0000-0000-0000CD4F0000}"/>
    <cellStyle name="Normal 3 2 2 2 4 3 2 6" xfId="30709" xr:uid="{00000000-0005-0000-0000-0000CE4F0000}"/>
    <cellStyle name="Normal 3 2 2 2 4 3 2 7" xfId="30701" xr:uid="{00000000-0005-0000-0000-0000CF4F0000}"/>
    <cellStyle name="Normal 3 2 2 2 4 3 3" xfId="2732" xr:uid="{00000000-0005-0000-0000-0000D04F0000}"/>
    <cellStyle name="Normal 3 2 2 2 4 3 3 2" xfId="2733" xr:uid="{00000000-0005-0000-0000-0000D14F0000}"/>
    <cellStyle name="Normal 3 2 2 2 4 3 3 2 2" xfId="30712" xr:uid="{00000000-0005-0000-0000-0000D24F0000}"/>
    <cellStyle name="Normal 3 2 2 2 4 3 3 2 3" xfId="30711" xr:uid="{00000000-0005-0000-0000-0000D34F0000}"/>
    <cellStyle name="Normal 3 2 2 2 4 3 3 3" xfId="30713" xr:uid="{00000000-0005-0000-0000-0000D44F0000}"/>
    <cellStyle name="Normal 3 2 2 2 4 3 3 3 2" xfId="30714" xr:uid="{00000000-0005-0000-0000-0000D54F0000}"/>
    <cellStyle name="Normal 3 2 2 2 4 3 3 4" xfId="30715" xr:uid="{00000000-0005-0000-0000-0000D64F0000}"/>
    <cellStyle name="Normal 3 2 2 2 4 3 3 4 2" xfId="30716" xr:uid="{00000000-0005-0000-0000-0000D74F0000}"/>
    <cellStyle name="Normal 3 2 2 2 4 3 3 5" xfId="30717" xr:uid="{00000000-0005-0000-0000-0000D84F0000}"/>
    <cellStyle name="Normal 3 2 2 2 4 3 3 6" xfId="30718" xr:uid="{00000000-0005-0000-0000-0000D94F0000}"/>
    <cellStyle name="Normal 3 2 2 2 4 3 3 7" xfId="30710" xr:uid="{00000000-0005-0000-0000-0000DA4F0000}"/>
    <cellStyle name="Normal 3 2 2 2 4 3 4" xfId="2734" xr:uid="{00000000-0005-0000-0000-0000DB4F0000}"/>
    <cellStyle name="Normal 3 2 2 2 4 3 4 2" xfId="2735" xr:uid="{00000000-0005-0000-0000-0000DC4F0000}"/>
    <cellStyle name="Normal 3 2 2 2 4 3 4 2 2" xfId="30721" xr:uid="{00000000-0005-0000-0000-0000DD4F0000}"/>
    <cellStyle name="Normal 3 2 2 2 4 3 4 2 3" xfId="30720" xr:uid="{00000000-0005-0000-0000-0000DE4F0000}"/>
    <cellStyle name="Normal 3 2 2 2 4 3 4 3" xfId="30722" xr:uid="{00000000-0005-0000-0000-0000DF4F0000}"/>
    <cellStyle name="Normal 3 2 2 2 4 3 4 3 2" xfId="30723" xr:uid="{00000000-0005-0000-0000-0000E04F0000}"/>
    <cellStyle name="Normal 3 2 2 2 4 3 4 4" xfId="30724" xr:uid="{00000000-0005-0000-0000-0000E14F0000}"/>
    <cellStyle name="Normal 3 2 2 2 4 3 4 4 2" xfId="30725" xr:uid="{00000000-0005-0000-0000-0000E24F0000}"/>
    <cellStyle name="Normal 3 2 2 2 4 3 4 5" xfId="30726" xr:uid="{00000000-0005-0000-0000-0000E34F0000}"/>
    <cellStyle name="Normal 3 2 2 2 4 3 4 6" xfId="30727" xr:uid="{00000000-0005-0000-0000-0000E44F0000}"/>
    <cellStyle name="Normal 3 2 2 2 4 3 4 7" xfId="30719" xr:uid="{00000000-0005-0000-0000-0000E54F0000}"/>
    <cellStyle name="Normal 3 2 2 2 4 3 5" xfId="2736" xr:uid="{00000000-0005-0000-0000-0000E64F0000}"/>
    <cellStyle name="Normal 3 2 2 2 4 3 5 2" xfId="30729" xr:uid="{00000000-0005-0000-0000-0000E74F0000}"/>
    <cellStyle name="Normal 3 2 2 2 4 3 5 2 2" xfId="30730" xr:uid="{00000000-0005-0000-0000-0000E84F0000}"/>
    <cellStyle name="Normal 3 2 2 2 4 3 5 3" xfId="30731" xr:uid="{00000000-0005-0000-0000-0000E94F0000}"/>
    <cellStyle name="Normal 3 2 2 2 4 3 5 3 2" xfId="30732" xr:uid="{00000000-0005-0000-0000-0000EA4F0000}"/>
    <cellStyle name="Normal 3 2 2 2 4 3 5 4" xfId="30733" xr:uid="{00000000-0005-0000-0000-0000EB4F0000}"/>
    <cellStyle name="Normal 3 2 2 2 4 3 5 5" xfId="30734" xr:uid="{00000000-0005-0000-0000-0000EC4F0000}"/>
    <cellStyle name="Normal 3 2 2 2 4 3 5 6" xfId="30728" xr:uid="{00000000-0005-0000-0000-0000ED4F0000}"/>
    <cellStyle name="Normal 3 2 2 2 4 3 6" xfId="30735" xr:uid="{00000000-0005-0000-0000-0000EE4F0000}"/>
    <cellStyle name="Normal 3 2 2 2 4 3 6 2" xfId="30736" xr:uid="{00000000-0005-0000-0000-0000EF4F0000}"/>
    <cellStyle name="Normal 3 2 2 2 4 3 7" xfId="30737" xr:uid="{00000000-0005-0000-0000-0000F04F0000}"/>
    <cellStyle name="Normal 3 2 2 2 4 3 7 2" xfId="30738" xr:uid="{00000000-0005-0000-0000-0000F14F0000}"/>
    <cellStyle name="Normal 3 2 2 2 4 3 8" xfId="30739" xr:uid="{00000000-0005-0000-0000-0000F24F0000}"/>
    <cellStyle name="Normal 3 2 2 2 4 3 8 2" xfId="30740" xr:uid="{00000000-0005-0000-0000-0000F34F0000}"/>
    <cellStyle name="Normal 3 2 2 2 4 3 9" xfId="30741" xr:uid="{00000000-0005-0000-0000-0000F44F0000}"/>
    <cellStyle name="Normal 3 2 2 2 4 4" xfId="2737" xr:uid="{00000000-0005-0000-0000-0000F54F0000}"/>
    <cellStyle name="Normal 3 2 2 2 4 4 10" xfId="30743" xr:uid="{00000000-0005-0000-0000-0000F64F0000}"/>
    <cellStyle name="Normal 3 2 2 2 4 4 11" xfId="30742" xr:uid="{00000000-0005-0000-0000-0000F74F0000}"/>
    <cellStyle name="Normal 3 2 2 2 4 4 2" xfId="2738" xr:uid="{00000000-0005-0000-0000-0000F84F0000}"/>
    <cellStyle name="Normal 3 2 2 2 4 4 2 2" xfId="2739" xr:uid="{00000000-0005-0000-0000-0000F94F0000}"/>
    <cellStyle name="Normal 3 2 2 2 4 4 2 2 2" xfId="30746" xr:uid="{00000000-0005-0000-0000-0000FA4F0000}"/>
    <cellStyle name="Normal 3 2 2 2 4 4 2 2 3" xfId="30745" xr:uid="{00000000-0005-0000-0000-0000FB4F0000}"/>
    <cellStyle name="Normal 3 2 2 2 4 4 2 3" xfId="30747" xr:uid="{00000000-0005-0000-0000-0000FC4F0000}"/>
    <cellStyle name="Normal 3 2 2 2 4 4 2 3 2" xfId="30748" xr:uid="{00000000-0005-0000-0000-0000FD4F0000}"/>
    <cellStyle name="Normal 3 2 2 2 4 4 2 4" xfId="30749" xr:uid="{00000000-0005-0000-0000-0000FE4F0000}"/>
    <cellStyle name="Normal 3 2 2 2 4 4 2 4 2" xfId="30750" xr:uid="{00000000-0005-0000-0000-0000FF4F0000}"/>
    <cellStyle name="Normal 3 2 2 2 4 4 2 5" xfId="30751" xr:uid="{00000000-0005-0000-0000-000000500000}"/>
    <cellStyle name="Normal 3 2 2 2 4 4 2 6" xfId="30752" xr:uid="{00000000-0005-0000-0000-000001500000}"/>
    <cellStyle name="Normal 3 2 2 2 4 4 2 7" xfId="30744" xr:uid="{00000000-0005-0000-0000-000002500000}"/>
    <cellStyle name="Normal 3 2 2 2 4 4 3" xfId="2740" xr:uid="{00000000-0005-0000-0000-000003500000}"/>
    <cellStyle name="Normal 3 2 2 2 4 4 3 2" xfId="2741" xr:uid="{00000000-0005-0000-0000-000004500000}"/>
    <cellStyle name="Normal 3 2 2 2 4 4 3 2 2" xfId="30755" xr:uid="{00000000-0005-0000-0000-000005500000}"/>
    <cellStyle name="Normal 3 2 2 2 4 4 3 2 3" xfId="30754" xr:uid="{00000000-0005-0000-0000-000006500000}"/>
    <cellStyle name="Normal 3 2 2 2 4 4 3 3" xfId="30756" xr:uid="{00000000-0005-0000-0000-000007500000}"/>
    <cellStyle name="Normal 3 2 2 2 4 4 3 3 2" xfId="30757" xr:uid="{00000000-0005-0000-0000-000008500000}"/>
    <cellStyle name="Normal 3 2 2 2 4 4 3 4" xfId="30758" xr:uid="{00000000-0005-0000-0000-000009500000}"/>
    <cellStyle name="Normal 3 2 2 2 4 4 3 4 2" xfId="30759" xr:uid="{00000000-0005-0000-0000-00000A500000}"/>
    <cellStyle name="Normal 3 2 2 2 4 4 3 5" xfId="30760" xr:uid="{00000000-0005-0000-0000-00000B500000}"/>
    <cellStyle name="Normal 3 2 2 2 4 4 3 6" xfId="30761" xr:uid="{00000000-0005-0000-0000-00000C500000}"/>
    <cellStyle name="Normal 3 2 2 2 4 4 3 7" xfId="30753" xr:uid="{00000000-0005-0000-0000-00000D500000}"/>
    <cellStyle name="Normal 3 2 2 2 4 4 4" xfId="2742" xr:uid="{00000000-0005-0000-0000-00000E500000}"/>
    <cellStyle name="Normal 3 2 2 2 4 4 4 2" xfId="30763" xr:uid="{00000000-0005-0000-0000-00000F500000}"/>
    <cellStyle name="Normal 3 2 2 2 4 4 4 2 2" xfId="30764" xr:uid="{00000000-0005-0000-0000-000010500000}"/>
    <cellStyle name="Normal 3 2 2 2 4 4 4 3" xfId="30765" xr:uid="{00000000-0005-0000-0000-000011500000}"/>
    <cellStyle name="Normal 3 2 2 2 4 4 4 3 2" xfId="30766" xr:uid="{00000000-0005-0000-0000-000012500000}"/>
    <cellStyle name="Normal 3 2 2 2 4 4 4 4" xfId="30767" xr:uid="{00000000-0005-0000-0000-000013500000}"/>
    <cellStyle name="Normal 3 2 2 2 4 4 4 4 2" xfId="30768" xr:uid="{00000000-0005-0000-0000-000014500000}"/>
    <cellStyle name="Normal 3 2 2 2 4 4 4 5" xfId="30769" xr:uid="{00000000-0005-0000-0000-000015500000}"/>
    <cellStyle name="Normal 3 2 2 2 4 4 4 6" xfId="30770" xr:uid="{00000000-0005-0000-0000-000016500000}"/>
    <cellStyle name="Normal 3 2 2 2 4 4 4 7" xfId="30762" xr:uid="{00000000-0005-0000-0000-000017500000}"/>
    <cellStyle name="Normal 3 2 2 2 4 4 5" xfId="30771" xr:uid="{00000000-0005-0000-0000-000018500000}"/>
    <cellStyle name="Normal 3 2 2 2 4 4 5 2" xfId="30772" xr:uid="{00000000-0005-0000-0000-000019500000}"/>
    <cellStyle name="Normal 3 2 2 2 4 4 5 2 2" xfId="30773" xr:uid="{00000000-0005-0000-0000-00001A500000}"/>
    <cellStyle name="Normal 3 2 2 2 4 4 5 3" xfId="30774" xr:uid="{00000000-0005-0000-0000-00001B500000}"/>
    <cellStyle name="Normal 3 2 2 2 4 4 5 3 2" xfId="30775" xr:uid="{00000000-0005-0000-0000-00001C500000}"/>
    <cellStyle name="Normal 3 2 2 2 4 4 5 4" xfId="30776" xr:uid="{00000000-0005-0000-0000-00001D500000}"/>
    <cellStyle name="Normal 3 2 2 2 4 4 5 5" xfId="30777" xr:uid="{00000000-0005-0000-0000-00001E500000}"/>
    <cellStyle name="Normal 3 2 2 2 4 4 6" xfId="30778" xr:uid="{00000000-0005-0000-0000-00001F500000}"/>
    <cellStyle name="Normal 3 2 2 2 4 4 6 2" xfId="30779" xr:uid="{00000000-0005-0000-0000-000020500000}"/>
    <cellStyle name="Normal 3 2 2 2 4 4 7" xfId="30780" xr:uid="{00000000-0005-0000-0000-000021500000}"/>
    <cellStyle name="Normal 3 2 2 2 4 4 7 2" xfId="30781" xr:uid="{00000000-0005-0000-0000-000022500000}"/>
    <cellStyle name="Normal 3 2 2 2 4 4 8" xfId="30782" xr:uid="{00000000-0005-0000-0000-000023500000}"/>
    <cellStyle name="Normal 3 2 2 2 4 4 8 2" xfId="30783" xr:uid="{00000000-0005-0000-0000-000024500000}"/>
    <cellStyle name="Normal 3 2 2 2 4 4 9" xfId="30784" xr:uid="{00000000-0005-0000-0000-000025500000}"/>
    <cellStyle name="Normal 3 2 2 2 4 5" xfId="2743" xr:uid="{00000000-0005-0000-0000-000026500000}"/>
    <cellStyle name="Normal 3 2 2 2 4 5 2" xfId="2744" xr:uid="{00000000-0005-0000-0000-000027500000}"/>
    <cellStyle name="Normal 3 2 2 2 4 5 2 2" xfId="30787" xr:uid="{00000000-0005-0000-0000-000028500000}"/>
    <cellStyle name="Normal 3 2 2 2 4 5 2 3" xfId="30786" xr:uid="{00000000-0005-0000-0000-000029500000}"/>
    <cellStyle name="Normal 3 2 2 2 4 5 3" xfId="2745" xr:uid="{00000000-0005-0000-0000-00002A500000}"/>
    <cellStyle name="Normal 3 2 2 2 4 5 3 2" xfId="30789" xr:uid="{00000000-0005-0000-0000-00002B500000}"/>
    <cellStyle name="Normal 3 2 2 2 4 5 3 3" xfId="30788" xr:uid="{00000000-0005-0000-0000-00002C500000}"/>
    <cellStyle name="Normal 3 2 2 2 4 5 4" xfId="30790" xr:uid="{00000000-0005-0000-0000-00002D500000}"/>
    <cellStyle name="Normal 3 2 2 2 4 5 4 2" xfId="30791" xr:uid="{00000000-0005-0000-0000-00002E500000}"/>
    <cellStyle name="Normal 3 2 2 2 4 5 5" xfId="30792" xr:uid="{00000000-0005-0000-0000-00002F500000}"/>
    <cellStyle name="Normal 3 2 2 2 4 5 6" xfId="30793" xr:uid="{00000000-0005-0000-0000-000030500000}"/>
    <cellStyle name="Normal 3 2 2 2 4 5 7" xfId="30785" xr:uid="{00000000-0005-0000-0000-000031500000}"/>
    <cellStyle name="Normal 3 2 2 2 4 6" xfId="2746" xr:uid="{00000000-0005-0000-0000-000032500000}"/>
    <cellStyle name="Normal 3 2 2 2 4 6 2" xfId="2747" xr:uid="{00000000-0005-0000-0000-000033500000}"/>
    <cellStyle name="Normal 3 2 2 2 4 6 2 2" xfId="30796" xr:uid="{00000000-0005-0000-0000-000034500000}"/>
    <cellStyle name="Normal 3 2 2 2 4 6 2 3" xfId="30795" xr:uid="{00000000-0005-0000-0000-000035500000}"/>
    <cellStyle name="Normal 3 2 2 2 4 6 3" xfId="30797" xr:uid="{00000000-0005-0000-0000-000036500000}"/>
    <cellStyle name="Normal 3 2 2 2 4 6 3 2" xfId="30798" xr:uid="{00000000-0005-0000-0000-000037500000}"/>
    <cellStyle name="Normal 3 2 2 2 4 6 4" xfId="30799" xr:uid="{00000000-0005-0000-0000-000038500000}"/>
    <cellStyle name="Normal 3 2 2 2 4 6 4 2" xfId="30800" xr:uid="{00000000-0005-0000-0000-000039500000}"/>
    <cellStyle name="Normal 3 2 2 2 4 6 5" xfId="30801" xr:uid="{00000000-0005-0000-0000-00003A500000}"/>
    <cellStyle name="Normal 3 2 2 2 4 6 6" xfId="30802" xr:uid="{00000000-0005-0000-0000-00003B500000}"/>
    <cellStyle name="Normal 3 2 2 2 4 6 7" xfId="30794" xr:uid="{00000000-0005-0000-0000-00003C500000}"/>
    <cellStyle name="Normal 3 2 2 2 4 7" xfId="2748" xr:uid="{00000000-0005-0000-0000-00003D500000}"/>
    <cellStyle name="Normal 3 2 2 2 4 7 2" xfId="2749" xr:uid="{00000000-0005-0000-0000-00003E500000}"/>
    <cellStyle name="Normal 3 2 2 2 4 7 2 2" xfId="30805" xr:uid="{00000000-0005-0000-0000-00003F500000}"/>
    <cellStyle name="Normal 3 2 2 2 4 7 2 3" xfId="30804" xr:uid="{00000000-0005-0000-0000-000040500000}"/>
    <cellStyle name="Normal 3 2 2 2 4 7 3" xfId="30806" xr:uid="{00000000-0005-0000-0000-000041500000}"/>
    <cellStyle name="Normal 3 2 2 2 4 7 3 2" xfId="30807" xr:uid="{00000000-0005-0000-0000-000042500000}"/>
    <cellStyle name="Normal 3 2 2 2 4 7 4" xfId="30808" xr:uid="{00000000-0005-0000-0000-000043500000}"/>
    <cellStyle name="Normal 3 2 2 2 4 7 4 2" xfId="30809" xr:uid="{00000000-0005-0000-0000-000044500000}"/>
    <cellStyle name="Normal 3 2 2 2 4 7 5" xfId="30810" xr:uid="{00000000-0005-0000-0000-000045500000}"/>
    <cellStyle name="Normal 3 2 2 2 4 7 6" xfId="30811" xr:uid="{00000000-0005-0000-0000-000046500000}"/>
    <cellStyle name="Normal 3 2 2 2 4 7 7" xfId="30803" xr:uid="{00000000-0005-0000-0000-000047500000}"/>
    <cellStyle name="Normal 3 2 2 2 4 8" xfId="2750" xr:uid="{00000000-0005-0000-0000-000048500000}"/>
    <cellStyle name="Normal 3 2 2 2 4 8 2" xfId="30813" xr:uid="{00000000-0005-0000-0000-000049500000}"/>
    <cellStyle name="Normal 3 2 2 2 4 8 2 2" xfId="30814" xr:uid="{00000000-0005-0000-0000-00004A500000}"/>
    <cellStyle name="Normal 3 2 2 2 4 8 3" xfId="30815" xr:uid="{00000000-0005-0000-0000-00004B500000}"/>
    <cellStyle name="Normal 3 2 2 2 4 8 3 2" xfId="30816" xr:uid="{00000000-0005-0000-0000-00004C500000}"/>
    <cellStyle name="Normal 3 2 2 2 4 8 4" xfId="30817" xr:uid="{00000000-0005-0000-0000-00004D500000}"/>
    <cellStyle name="Normal 3 2 2 2 4 8 5" xfId="30818" xr:uid="{00000000-0005-0000-0000-00004E500000}"/>
    <cellStyle name="Normal 3 2 2 2 4 8 6" xfId="30812" xr:uid="{00000000-0005-0000-0000-00004F500000}"/>
    <cellStyle name="Normal 3 2 2 2 4 9" xfId="30819" xr:uid="{00000000-0005-0000-0000-000050500000}"/>
    <cellStyle name="Normal 3 2 2 2 4 9 2" xfId="30820" xr:uid="{00000000-0005-0000-0000-000051500000}"/>
    <cellStyle name="Normal 3 2 2 2 5" xfId="2751" xr:uid="{00000000-0005-0000-0000-000052500000}"/>
    <cellStyle name="Normal 3 2 2 2 5 10" xfId="30822" xr:uid="{00000000-0005-0000-0000-000053500000}"/>
    <cellStyle name="Normal 3 2 2 2 5 10 2" xfId="30823" xr:uid="{00000000-0005-0000-0000-000054500000}"/>
    <cellStyle name="Normal 3 2 2 2 5 11" xfId="30824" xr:uid="{00000000-0005-0000-0000-000055500000}"/>
    <cellStyle name="Normal 3 2 2 2 5 12" xfId="30825" xr:uid="{00000000-0005-0000-0000-000056500000}"/>
    <cellStyle name="Normal 3 2 2 2 5 13" xfId="30821" xr:uid="{00000000-0005-0000-0000-000057500000}"/>
    <cellStyle name="Normal 3 2 2 2 5 2" xfId="2752" xr:uid="{00000000-0005-0000-0000-000058500000}"/>
    <cellStyle name="Normal 3 2 2 2 5 2 10" xfId="30827" xr:uid="{00000000-0005-0000-0000-000059500000}"/>
    <cellStyle name="Normal 3 2 2 2 5 2 11" xfId="30826" xr:uid="{00000000-0005-0000-0000-00005A500000}"/>
    <cellStyle name="Normal 3 2 2 2 5 2 2" xfId="2753" xr:uid="{00000000-0005-0000-0000-00005B500000}"/>
    <cellStyle name="Normal 3 2 2 2 5 2 2 2" xfId="2754" xr:uid="{00000000-0005-0000-0000-00005C500000}"/>
    <cellStyle name="Normal 3 2 2 2 5 2 2 2 2" xfId="30830" xr:uid="{00000000-0005-0000-0000-00005D500000}"/>
    <cellStyle name="Normal 3 2 2 2 5 2 2 2 3" xfId="30829" xr:uid="{00000000-0005-0000-0000-00005E500000}"/>
    <cellStyle name="Normal 3 2 2 2 5 2 2 3" xfId="2755" xr:uid="{00000000-0005-0000-0000-00005F500000}"/>
    <cellStyle name="Normal 3 2 2 2 5 2 2 3 2" xfId="30832" xr:uid="{00000000-0005-0000-0000-000060500000}"/>
    <cellStyle name="Normal 3 2 2 2 5 2 2 3 3" xfId="30831" xr:uid="{00000000-0005-0000-0000-000061500000}"/>
    <cellStyle name="Normal 3 2 2 2 5 2 2 4" xfId="30833" xr:uid="{00000000-0005-0000-0000-000062500000}"/>
    <cellStyle name="Normal 3 2 2 2 5 2 2 4 2" xfId="30834" xr:uid="{00000000-0005-0000-0000-000063500000}"/>
    <cellStyle name="Normal 3 2 2 2 5 2 2 5" xfId="30835" xr:uid="{00000000-0005-0000-0000-000064500000}"/>
    <cellStyle name="Normal 3 2 2 2 5 2 2 6" xfId="30836" xr:uid="{00000000-0005-0000-0000-000065500000}"/>
    <cellStyle name="Normal 3 2 2 2 5 2 2 7" xfId="30828" xr:uid="{00000000-0005-0000-0000-000066500000}"/>
    <cellStyle name="Normal 3 2 2 2 5 2 3" xfId="2756" xr:uid="{00000000-0005-0000-0000-000067500000}"/>
    <cellStyle name="Normal 3 2 2 2 5 2 3 2" xfId="2757" xr:uid="{00000000-0005-0000-0000-000068500000}"/>
    <cellStyle name="Normal 3 2 2 2 5 2 3 2 2" xfId="30839" xr:uid="{00000000-0005-0000-0000-000069500000}"/>
    <cellStyle name="Normal 3 2 2 2 5 2 3 2 3" xfId="30838" xr:uid="{00000000-0005-0000-0000-00006A500000}"/>
    <cellStyle name="Normal 3 2 2 2 5 2 3 3" xfId="30840" xr:uid="{00000000-0005-0000-0000-00006B500000}"/>
    <cellStyle name="Normal 3 2 2 2 5 2 3 3 2" xfId="30841" xr:uid="{00000000-0005-0000-0000-00006C500000}"/>
    <cellStyle name="Normal 3 2 2 2 5 2 3 4" xfId="30842" xr:uid="{00000000-0005-0000-0000-00006D500000}"/>
    <cellStyle name="Normal 3 2 2 2 5 2 3 4 2" xfId="30843" xr:uid="{00000000-0005-0000-0000-00006E500000}"/>
    <cellStyle name="Normal 3 2 2 2 5 2 3 5" xfId="30844" xr:uid="{00000000-0005-0000-0000-00006F500000}"/>
    <cellStyle name="Normal 3 2 2 2 5 2 3 6" xfId="30845" xr:uid="{00000000-0005-0000-0000-000070500000}"/>
    <cellStyle name="Normal 3 2 2 2 5 2 3 7" xfId="30837" xr:uid="{00000000-0005-0000-0000-000071500000}"/>
    <cellStyle name="Normal 3 2 2 2 5 2 4" xfId="2758" xr:uid="{00000000-0005-0000-0000-000072500000}"/>
    <cellStyle name="Normal 3 2 2 2 5 2 4 2" xfId="2759" xr:uid="{00000000-0005-0000-0000-000073500000}"/>
    <cellStyle name="Normal 3 2 2 2 5 2 4 2 2" xfId="30848" xr:uid="{00000000-0005-0000-0000-000074500000}"/>
    <cellStyle name="Normal 3 2 2 2 5 2 4 2 3" xfId="30847" xr:uid="{00000000-0005-0000-0000-000075500000}"/>
    <cellStyle name="Normal 3 2 2 2 5 2 4 3" xfId="30849" xr:uid="{00000000-0005-0000-0000-000076500000}"/>
    <cellStyle name="Normal 3 2 2 2 5 2 4 3 2" xfId="30850" xr:uid="{00000000-0005-0000-0000-000077500000}"/>
    <cellStyle name="Normal 3 2 2 2 5 2 4 4" xfId="30851" xr:uid="{00000000-0005-0000-0000-000078500000}"/>
    <cellStyle name="Normal 3 2 2 2 5 2 4 4 2" xfId="30852" xr:uid="{00000000-0005-0000-0000-000079500000}"/>
    <cellStyle name="Normal 3 2 2 2 5 2 4 5" xfId="30853" xr:uid="{00000000-0005-0000-0000-00007A500000}"/>
    <cellStyle name="Normal 3 2 2 2 5 2 4 6" xfId="30854" xr:uid="{00000000-0005-0000-0000-00007B500000}"/>
    <cellStyle name="Normal 3 2 2 2 5 2 4 7" xfId="30846" xr:uid="{00000000-0005-0000-0000-00007C500000}"/>
    <cellStyle name="Normal 3 2 2 2 5 2 5" xfId="2760" xr:uid="{00000000-0005-0000-0000-00007D500000}"/>
    <cellStyle name="Normal 3 2 2 2 5 2 5 2" xfId="30856" xr:uid="{00000000-0005-0000-0000-00007E500000}"/>
    <cellStyle name="Normal 3 2 2 2 5 2 5 2 2" xfId="30857" xr:uid="{00000000-0005-0000-0000-00007F500000}"/>
    <cellStyle name="Normal 3 2 2 2 5 2 5 3" xfId="30858" xr:uid="{00000000-0005-0000-0000-000080500000}"/>
    <cellStyle name="Normal 3 2 2 2 5 2 5 3 2" xfId="30859" xr:uid="{00000000-0005-0000-0000-000081500000}"/>
    <cellStyle name="Normal 3 2 2 2 5 2 5 4" xfId="30860" xr:uid="{00000000-0005-0000-0000-000082500000}"/>
    <cellStyle name="Normal 3 2 2 2 5 2 5 5" xfId="30861" xr:uid="{00000000-0005-0000-0000-000083500000}"/>
    <cellStyle name="Normal 3 2 2 2 5 2 5 6" xfId="30855" xr:uid="{00000000-0005-0000-0000-000084500000}"/>
    <cellStyle name="Normal 3 2 2 2 5 2 6" xfId="30862" xr:uid="{00000000-0005-0000-0000-000085500000}"/>
    <cellStyle name="Normal 3 2 2 2 5 2 6 2" xfId="30863" xr:uid="{00000000-0005-0000-0000-000086500000}"/>
    <cellStyle name="Normal 3 2 2 2 5 2 7" xfId="30864" xr:uid="{00000000-0005-0000-0000-000087500000}"/>
    <cellStyle name="Normal 3 2 2 2 5 2 7 2" xfId="30865" xr:uid="{00000000-0005-0000-0000-000088500000}"/>
    <cellStyle name="Normal 3 2 2 2 5 2 8" xfId="30866" xr:uid="{00000000-0005-0000-0000-000089500000}"/>
    <cellStyle name="Normal 3 2 2 2 5 2 8 2" xfId="30867" xr:uid="{00000000-0005-0000-0000-00008A500000}"/>
    <cellStyle name="Normal 3 2 2 2 5 2 9" xfId="30868" xr:uid="{00000000-0005-0000-0000-00008B500000}"/>
    <cellStyle name="Normal 3 2 2 2 5 3" xfId="2761" xr:uid="{00000000-0005-0000-0000-00008C500000}"/>
    <cellStyle name="Normal 3 2 2 2 5 3 10" xfId="30870" xr:uid="{00000000-0005-0000-0000-00008D500000}"/>
    <cellStyle name="Normal 3 2 2 2 5 3 11" xfId="30869" xr:uid="{00000000-0005-0000-0000-00008E500000}"/>
    <cellStyle name="Normal 3 2 2 2 5 3 2" xfId="2762" xr:uid="{00000000-0005-0000-0000-00008F500000}"/>
    <cellStyle name="Normal 3 2 2 2 5 3 2 2" xfId="2763" xr:uid="{00000000-0005-0000-0000-000090500000}"/>
    <cellStyle name="Normal 3 2 2 2 5 3 2 2 2" xfId="30873" xr:uid="{00000000-0005-0000-0000-000091500000}"/>
    <cellStyle name="Normal 3 2 2 2 5 3 2 2 3" xfId="30872" xr:uid="{00000000-0005-0000-0000-000092500000}"/>
    <cellStyle name="Normal 3 2 2 2 5 3 2 3" xfId="30874" xr:uid="{00000000-0005-0000-0000-000093500000}"/>
    <cellStyle name="Normal 3 2 2 2 5 3 2 3 2" xfId="30875" xr:uid="{00000000-0005-0000-0000-000094500000}"/>
    <cellStyle name="Normal 3 2 2 2 5 3 2 4" xfId="30876" xr:uid="{00000000-0005-0000-0000-000095500000}"/>
    <cellStyle name="Normal 3 2 2 2 5 3 2 4 2" xfId="30877" xr:uid="{00000000-0005-0000-0000-000096500000}"/>
    <cellStyle name="Normal 3 2 2 2 5 3 2 5" xfId="30878" xr:uid="{00000000-0005-0000-0000-000097500000}"/>
    <cellStyle name="Normal 3 2 2 2 5 3 2 6" xfId="30879" xr:uid="{00000000-0005-0000-0000-000098500000}"/>
    <cellStyle name="Normal 3 2 2 2 5 3 2 7" xfId="30871" xr:uid="{00000000-0005-0000-0000-000099500000}"/>
    <cellStyle name="Normal 3 2 2 2 5 3 3" xfId="2764" xr:uid="{00000000-0005-0000-0000-00009A500000}"/>
    <cellStyle name="Normal 3 2 2 2 5 3 3 2" xfId="2765" xr:uid="{00000000-0005-0000-0000-00009B500000}"/>
    <cellStyle name="Normal 3 2 2 2 5 3 3 2 2" xfId="30882" xr:uid="{00000000-0005-0000-0000-00009C500000}"/>
    <cellStyle name="Normal 3 2 2 2 5 3 3 2 3" xfId="30881" xr:uid="{00000000-0005-0000-0000-00009D500000}"/>
    <cellStyle name="Normal 3 2 2 2 5 3 3 3" xfId="30883" xr:uid="{00000000-0005-0000-0000-00009E500000}"/>
    <cellStyle name="Normal 3 2 2 2 5 3 3 3 2" xfId="30884" xr:uid="{00000000-0005-0000-0000-00009F500000}"/>
    <cellStyle name="Normal 3 2 2 2 5 3 3 4" xfId="30885" xr:uid="{00000000-0005-0000-0000-0000A0500000}"/>
    <cellStyle name="Normal 3 2 2 2 5 3 3 4 2" xfId="30886" xr:uid="{00000000-0005-0000-0000-0000A1500000}"/>
    <cellStyle name="Normal 3 2 2 2 5 3 3 5" xfId="30887" xr:uid="{00000000-0005-0000-0000-0000A2500000}"/>
    <cellStyle name="Normal 3 2 2 2 5 3 3 6" xfId="30888" xr:uid="{00000000-0005-0000-0000-0000A3500000}"/>
    <cellStyle name="Normal 3 2 2 2 5 3 3 7" xfId="30880" xr:uid="{00000000-0005-0000-0000-0000A4500000}"/>
    <cellStyle name="Normal 3 2 2 2 5 3 4" xfId="2766" xr:uid="{00000000-0005-0000-0000-0000A5500000}"/>
    <cellStyle name="Normal 3 2 2 2 5 3 4 2" xfId="30890" xr:uid="{00000000-0005-0000-0000-0000A6500000}"/>
    <cellStyle name="Normal 3 2 2 2 5 3 4 2 2" xfId="30891" xr:uid="{00000000-0005-0000-0000-0000A7500000}"/>
    <cellStyle name="Normal 3 2 2 2 5 3 4 3" xfId="30892" xr:uid="{00000000-0005-0000-0000-0000A8500000}"/>
    <cellStyle name="Normal 3 2 2 2 5 3 4 3 2" xfId="30893" xr:uid="{00000000-0005-0000-0000-0000A9500000}"/>
    <cellStyle name="Normal 3 2 2 2 5 3 4 4" xfId="30894" xr:uid="{00000000-0005-0000-0000-0000AA500000}"/>
    <cellStyle name="Normal 3 2 2 2 5 3 4 4 2" xfId="30895" xr:uid="{00000000-0005-0000-0000-0000AB500000}"/>
    <cellStyle name="Normal 3 2 2 2 5 3 4 5" xfId="30896" xr:uid="{00000000-0005-0000-0000-0000AC500000}"/>
    <cellStyle name="Normal 3 2 2 2 5 3 4 6" xfId="30897" xr:uid="{00000000-0005-0000-0000-0000AD500000}"/>
    <cellStyle name="Normal 3 2 2 2 5 3 4 7" xfId="30889" xr:uid="{00000000-0005-0000-0000-0000AE500000}"/>
    <cellStyle name="Normal 3 2 2 2 5 3 5" xfId="30898" xr:uid="{00000000-0005-0000-0000-0000AF500000}"/>
    <cellStyle name="Normal 3 2 2 2 5 3 5 2" xfId="30899" xr:uid="{00000000-0005-0000-0000-0000B0500000}"/>
    <cellStyle name="Normal 3 2 2 2 5 3 5 2 2" xfId="30900" xr:uid="{00000000-0005-0000-0000-0000B1500000}"/>
    <cellStyle name="Normal 3 2 2 2 5 3 5 3" xfId="30901" xr:uid="{00000000-0005-0000-0000-0000B2500000}"/>
    <cellStyle name="Normal 3 2 2 2 5 3 5 3 2" xfId="30902" xr:uid="{00000000-0005-0000-0000-0000B3500000}"/>
    <cellStyle name="Normal 3 2 2 2 5 3 5 4" xfId="30903" xr:uid="{00000000-0005-0000-0000-0000B4500000}"/>
    <cellStyle name="Normal 3 2 2 2 5 3 5 5" xfId="30904" xr:uid="{00000000-0005-0000-0000-0000B5500000}"/>
    <cellStyle name="Normal 3 2 2 2 5 3 6" xfId="30905" xr:uid="{00000000-0005-0000-0000-0000B6500000}"/>
    <cellStyle name="Normal 3 2 2 2 5 3 6 2" xfId="30906" xr:uid="{00000000-0005-0000-0000-0000B7500000}"/>
    <cellStyle name="Normal 3 2 2 2 5 3 7" xfId="30907" xr:uid="{00000000-0005-0000-0000-0000B8500000}"/>
    <cellStyle name="Normal 3 2 2 2 5 3 7 2" xfId="30908" xr:uid="{00000000-0005-0000-0000-0000B9500000}"/>
    <cellStyle name="Normal 3 2 2 2 5 3 8" xfId="30909" xr:uid="{00000000-0005-0000-0000-0000BA500000}"/>
    <cellStyle name="Normal 3 2 2 2 5 3 8 2" xfId="30910" xr:uid="{00000000-0005-0000-0000-0000BB500000}"/>
    <cellStyle name="Normal 3 2 2 2 5 3 9" xfId="30911" xr:uid="{00000000-0005-0000-0000-0000BC500000}"/>
    <cellStyle name="Normal 3 2 2 2 5 4" xfId="2767" xr:uid="{00000000-0005-0000-0000-0000BD500000}"/>
    <cellStyle name="Normal 3 2 2 2 5 4 2" xfId="2768" xr:uid="{00000000-0005-0000-0000-0000BE500000}"/>
    <cellStyle name="Normal 3 2 2 2 5 4 2 2" xfId="30914" xr:uid="{00000000-0005-0000-0000-0000BF500000}"/>
    <cellStyle name="Normal 3 2 2 2 5 4 2 3" xfId="30913" xr:uid="{00000000-0005-0000-0000-0000C0500000}"/>
    <cellStyle name="Normal 3 2 2 2 5 4 3" xfId="2769" xr:uid="{00000000-0005-0000-0000-0000C1500000}"/>
    <cellStyle name="Normal 3 2 2 2 5 4 3 2" xfId="30916" xr:uid="{00000000-0005-0000-0000-0000C2500000}"/>
    <cellStyle name="Normal 3 2 2 2 5 4 3 3" xfId="30915" xr:uid="{00000000-0005-0000-0000-0000C3500000}"/>
    <cellStyle name="Normal 3 2 2 2 5 4 4" xfId="30917" xr:uid="{00000000-0005-0000-0000-0000C4500000}"/>
    <cellStyle name="Normal 3 2 2 2 5 4 4 2" xfId="30918" xr:uid="{00000000-0005-0000-0000-0000C5500000}"/>
    <cellStyle name="Normal 3 2 2 2 5 4 5" xfId="30919" xr:uid="{00000000-0005-0000-0000-0000C6500000}"/>
    <cellStyle name="Normal 3 2 2 2 5 4 6" xfId="30920" xr:uid="{00000000-0005-0000-0000-0000C7500000}"/>
    <cellStyle name="Normal 3 2 2 2 5 4 7" xfId="30912" xr:uid="{00000000-0005-0000-0000-0000C8500000}"/>
    <cellStyle name="Normal 3 2 2 2 5 5" xfId="2770" xr:uid="{00000000-0005-0000-0000-0000C9500000}"/>
    <cellStyle name="Normal 3 2 2 2 5 5 2" xfId="2771" xr:uid="{00000000-0005-0000-0000-0000CA500000}"/>
    <cellStyle name="Normal 3 2 2 2 5 5 2 2" xfId="30923" xr:uid="{00000000-0005-0000-0000-0000CB500000}"/>
    <cellStyle name="Normal 3 2 2 2 5 5 2 3" xfId="30922" xr:uid="{00000000-0005-0000-0000-0000CC500000}"/>
    <cellStyle name="Normal 3 2 2 2 5 5 3" xfId="30924" xr:uid="{00000000-0005-0000-0000-0000CD500000}"/>
    <cellStyle name="Normal 3 2 2 2 5 5 3 2" xfId="30925" xr:uid="{00000000-0005-0000-0000-0000CE500000}"/>
    <cellStyle name="Normal 3 2 2 2 5 5 4" xfId="30926" xr:uid="{00000000-0005-0000-0000-0000CF500000}"/>
    <cellStyle name="Normal 3 2 2 2 5 5 4 2" xfId="30927" xr:uid="{00000000-0005-0000-0000-0000D0500000}"/>
    <cellStyle name="Normal 3 2 2 2 5 5 5" xfId="30928" xr:uid="{00000000-0005-0000-0000-0000D1500000}"/>
    <cellStyle name="Normal 3 2 2 2 5 5 6" xfId="30929" xr:uid="{00000000-0005-0000-0000-0000D2500000}"/>
    <cellStyle name="Normal 3 2 2 2 5 5 7" xfId="30921" xr:uid="{00000000-0005-0000-0000-0000D3500000}"/>
    <cellStyle name="Normal 3 2 2 2 5 6" xfId="2772" xr:uid="{00000000-0005-0000-0000-0000D4500000}"/>
    <cellStyle name="Normal 3 2 2 2 5 6 2" xfId="2773" xr:uid="{00000000-0005-0000-0000-0000D5500000}"/>
    <cellStyle name="Normal 3 2 2 2 5 6 2 2" xfId="30932" xr:uid="{00000000-0005-0000-0000-0000D6500000}"/>
    <cellStyle name="Normal 3 2 2 2 5 6 2 3" xfId="30931" xr:uid="{00000000-0005-0000-0000-0000D7500000}"/>
    <cellStyle name="Normal 3 2 2 2 5 6 3" xfId="30933" xr:uid="{00000000-0005-0000-0000-0000D8500000}"/>
    <cellStyle name="Normal 3 2 2 2 5 6 3 2" xfId="30934" xr:uid="{00000000-0005-0000-0000-0000D9500000}"/>
    <cellStyle name="Normal 3 2 2 2 5 6 4" xfId="30935" xr:uid="{00000000-0005-0000-0000-0000DA500000}"/>
    <cellStyle name="Normal 3 2 2 2 5 6 4 2" xfId="30936" xr:uid="{00000000-0005-0000-0000-0000DB500000}"/>
    <cellStyle name="Normal 3 2 2 2 5 6 5" xfId="30937" xr:uid="{00000000-0005-0000-0000-0000DC500000}"/>
    <cellStyle name="Normal 3 2 2 2 5 6 6" xfId="30938" xr:uid="{00000000-0005-0000-0000-0000DD500000}"/>
    <cellStyle name="Normal 3 2 2 2 5 6 7" xfId="30930" xr:uid="{00000000-0005-0000-0000-0000DE500000}"/>
    <cellStyle name="Normal 3 2 2 2 5 7" xfId="2774" xr:uid="{00000000-0005-0000-0000-0000DF500000}"/>
    <cellStyle name="Normal 3 2 2 2 5 7 2" xfId="30940" xr:uid="{00000000-0005-0000-0000-0000E0500000}"/>
    <cellStyle name="Normal 3 2 2 2 5 7 2 2" xfId="30941" xr:uid="{00000000-0005-0000-0000-0000E1500000}"/>
    <cellStyle name="Normal 3 2 2 2 5 7 3" xfId="30942" xr:uid="{00000000-0005-0000-0000-0000E2500000}"/>
    <cellStyle name="Normal 3 2 2 2 5 7 3 2" xfId="30943" xr:uid="{00000000-0005-0000-0000-0000E3500000}"/>
    <cellStyle name="Normal 3 2 2 2 5 7 4" xfId="30944" xr:uid="{00000000-0005-0000-0000-0000E4500000}"/>
    <cellStyle name="Normal 3 2 2 2 5 7 5" xfId="30945" xr:uid="{00000000-0005-0000-0000-0000E5500000}"/>
    <cellStyle name="Normal 3 2 2 2 5 7 6" xfId="30939" xr:uid="{00000000-0005-0000-0000-0000E6500000}"/>
    <cellStyle name="Normal 3 2 2 2 5 8" xfId="30946" xr:uid="{00000000-0005-0000-0000-0000E7500000}"/>
    <cellStyle name="Normal 3 2 2 2 5 8 2" xfId="30947" xr:uid="{00000000-0005-0000-0000-0000E8500000}"/>
    <cellStyle name="Normal 3 2 2 2 5 9" xfId="30948" xr:uid="{00000000-0005-0000-0000-0000E9500000}"/>
    <cellStyle name="Normal 3 2 2 2 5 9 2" xfId="30949" xr:uid="{00000000-0005-0000-0000-0000EA500000}"/>
    <cellStyle name="Normal 3 2 2 2 6" xfId="2775" xr:uid="{00000000-0005-0000-0000-0000EB500000}"/>
    <cellStyle name="Normal 3 2 2 2 6 10" xfId="30951" xr:uid="{00000000-0005-0000-0000-0000EC500000}"/>
    <cellStyle name="Normal 3 2 2 2 6 11" xfId="30952" xr:uid="{00000000-0005-0000-0000-0000ED500000}"/>
    <cellStyle name="Normal 3 2 2 2 6 12" xfId="30950" xr:uid="{00000000-0005-0000-0000-0000EE500000}"/>
    <cellStyle name="Normal 3 2 2 2 6 2" xfId="2776" xr:uid="{00000000-0005-0000-0000-0000EF500000}"/>
    <cellStyle name="Normal 3 2 2 2 6 2 2" xfId="2777" xr:uid="{00000000-0005-0000-0000-0000F0500000}"/>
    <cellStyle name="Normal 3 2 2 2 6 2 2 2" xfId="2778" xr:uid="{00000000-0005-0000-0000-0000F1500000}"/>
    <cellStyle name="Normal 3 2 2 2 6 2 2 2 2" xfId="30955" xr:uid="{00000000-0005-0000-0000-0000F2500000}"/>
    <cellStyle name="Normal 3 2 2 2 6 2 2 3" xfId="2779" xr:uid="{00000000-0005-0000-0000-0000F3500000}"/>
    <cellStyle name="Normal 3 2 2 2 6 2 2 4" xfId="30954" xr:uid="{00000000-0005-0000-0000-0000F4500000}"/>
    <cellStyle name="Normal 3 2 2 2 6 2 3" xfId="2780" xr:uid="{00000000-0005-0000-0000-0000F5500000}"/>
    <cellStyle name="Normal 3 2 2 2 6 2 3 2" xfId="2781" xr:uid="{00000000-0005-0000-0000-0000F6500000}"/>
    <cellStyle name="Normal 3 2 2 2 6 2 3 2 2" xfId="30957" xr:uid="{00000000-0005-0000-0000-0000F7500000}"/>
    <cellStyle name="Normal 3 2 2 2 6 2 3 3" xfId="30956" xr:uid="{00000000-0005-0000-0000-0000F8500000}"/>
    <cellStyle name="Normal 3 2 2 2 6 2 4" xfId="2782" xr:uid="{00000000-0005-0000-0000-0000F9500000}"/>
    <cellStyle name="Normal 3 2 2 2 6 2 4 2" xfId="2783" xr:uid="{00000000-0005-0000-0000-0000FA500000}"/>
    <cellStyle name="Normal 3 2 2 2 6 2 4 2 2" xfId="30959" xr:uid="{00000000-0005-0000-0000-0000FB500000}"/>
    <cellStyle name="Normal 3 2 2 2 6 2 4 3" xfId="30958" xr:uid="{00000000-0005-0000-0000-0000FC500000}"/>
    <cellStyle name="Normal 3 2 2 2 6 2 5" xfId="2784" xr:uid="{00000000-0005-0000-0000-0000FD500000}"/>
    <cellStyle name="Normal 3 2 2 2 6 2 5 2" xfId="30960" xr:uid="{00000000-0005-0000-0000-0000FE500000}"/>
    <cellStyle name="Normal 3 2 2 2 6 2 6" xfId="30961" xr:uid="{00000000-0005-0000-0000-0000FF500000}"/>
    <cellStyle name="Normal 3 2 2 2 6 2 7" xfId="30953" xr:uid="{00000000-0005-0000-0000-000000510000}"/>
    <cellStyle name="Normal 3 2 2 2 6 3" xfId="2785" xr:uid="{00000000-0005-0000-0000-000001510000}"/>
    <cellStyle name="Normal 3 2 2 2 6 3 2" xfId="2786" xr:uid="{00000000-0005-0000-0000-000002510000}"/>
    <cellStyle name="Normal 3 2 2 2 6 3 2 2" xfId="2787" xr:uid="{00000000-0005-0000-0000-000003510000}"/>
    <cellStyle name="Normal 3 2 2 2 6 3 2 2 2" xfId="30964" xr:uid="{00000000-0005-0000-0000-000004510000}"/>
    <cellStyle name="Normal 3 2 2 2 6 3 2 3" xfId="30963" xr:uid="{00000000-0005-0000-0000-000005510000}"/>
    <cellStyle name="Normal 3 2 2 2 6 3 3" xfId="2788" xr:uid="{00000000-0005-0000-0000-000006510000}"/>
    <cellStyle name="Normal 3 2 2 2 6 3 3 2" xfId="2789" xr:uid="{00000000-0005-0000-0000-000007510000}"/>
    <cellStyle name="Normal 3 2 2 2 6 3 3 2 2" xfId="30966" xr:uid="{00000000-0005-0000-0000-000008510000}"/>
    <cellStyle name="Normal 3 2 2 2 6 3 3 3" xfId="30965" xr:uid="{00000000-0005-0000-0000-000009510000}"/>
    <cellStyle name="Normal 3 2 2 2 6 3 4" xfId="2790" xr:uid="{00000000-0005-0000-0000-00000A510000}"/>
    <cellStyle name="Normal 3 2 2 2 6 3 4 2" xfId="30968" xr:uid="{00000000-0005-0000-0000-00000B510000}"/>
    <cellStyle name="Normal 3 2 2 2 6 3 4 3" xfId="30967" xr:uid="{00000000-0005-0000-0000-00000C510000}"/>
    <cellStyle name="Normal 3 2 2 2 6 3 5" xfId="30969" xr:uid="{00000000-0005-0000-0000-00000D510000}"/>
    <cellStyle name="Normal 3 2 2 2 6 3 6" xfId="30970" xr:uid="{00000000-0005-0000-0000-00000E510000}"/>
    <cellStyle name="Normal 3 2 2 2 6 3 7" xfId="30962" xr:uid="{00000000-0005-0000-0000-00000F510000}"/>
    <cellStyle name="Normal 3 2 2 2 6 4" xfId="2791" xr:uid="{00000000-0005-0000-0000-000010510000}"/>
    <cellStyle name="Normal 3 2 2 2 6 4 2" xfId="2792" xr:uid="{00000000-0005-0000-0000-000011510000}"/>
    <cellStyle name="Normal 3 2 2 2 6 4 2 2" xfId="30973" xr:uid="{00000000-0005-0000-0000-000012510000}"/>
    <cellStyle name="Normal 3 2 2 2 6 4 2 3" xfId="30972" xr:uid="{00000000-0005-0000-0000-000013510000}"/>
    <cellStyle name="Normal 3 2 2 2 6 4 3" xfId="2793" xr:uid="{00000000-0005-0000-0000-000014510000}"/>
    <cellStyle name="Normal 3 2 2 2 6 4 3 2" xfId="30975" xr:uid="{00000000-0005-0000-0000-000015510000}"/>
    <cellStyle name="Normal 3 2 2 2 6 4 3 3" xfId="30974" xr:uid="{00000000-0005-0000-0000-000016510000}"/>
    <cellStyle name="Normal 3 2 2 2 6 4 4" xfId="30976" xr:uid="{00000000-0005-0000-0000-000017510000}"/>
    <cellStyle name="Normal 3 2 2 2 6 4 4 2" xfId="30977" xr:uid="{00000000-0005-0000-0000-000018510000}"/>
    <cellStyle name="Normal 3 2 2 2 6 4 5" xfId="30978" xr:uid="{00000000-0005-0000-0000-000019510000}"/>
    <cellStyle name="Normal 3 2 2 2 6 4 6" xfId="30979" xr:uid="{00000000-0005-0000-0000-00001A510000}"/>
    <cellStyle name="Normal 3 2 2 2 6 4 7" xfId="30971" xr:uid="{00000000-0005-0000-0000-00001B510000}"/>
    <cellStyle name="Normal 3 2 2 2 6 5" xfId="2794" xr:uid="{00000000-0005-0000-0000-00001C510000}"/>
    <cellStyle name="Normal 3 2 2 2 6 5 2" xfId="2795" xr:uid="{00000000-0005-0000-0000-00001D510000}"/>
    <cellStyle name="Normal 3 2 2 2 6 5 2 2" xfId="30982" xr:uid="{00000000-0005-0000-0000-00001E510000}"/>
    <cellStyle name="Normal 3 2 2 2 6 5 2 3" xfId="30981" xr:uid="{00000000-0005-0000-0000-00001F510000}"/>
    <cellStyle name="Normal 3 2 2 2 6 5 3" xfId="30983" xr:uid="{00000000-0005-0000-0000-000020510000}"/>
    <cellStyle name="Normal 3 2 2 2 6 5 3 2" xfId="30984" xr:uid="{00000000-0005-0000-0000-000021510000}"/>
    <cellStyle name="Normal 3 2 2 2 6 5 4" xfId="30985" xr:uid="{00000000-0005-0000-0000-000022510000}"/>
    <cellStyle name="Normal 3 2 2 2 6 5 4 2" xfId="30986" xr:uid="{00000000-0005-0000-0000-000023510000}"/>
    <cellStyle name="Normal 3 2 2 2 6 5 5" xfId="30987" xr:uid="{00000000-0005-0000-0000-000024510000}"/>
    <cellStyle name="Normal 3 2 2 2 6 5 6" xfId="30988" xr:uid="{00000000-0005-0000-0000-000025510000}"/>
    <cellStyle name="Normal 3 2 2 2 6 5 7" xfId="30980" xr:uid="{00000000-0005-0000-0000-000026510000}"/>
    <cellStyle name="Normal 3 2 2 2 6 6" xfId="2796" xr:uid="{00000000-0005-0000-0000-000027510000}"/>
    <cellStyle name="Normal 3 2 2 2 6 6 2" xfId="2797" xr:uid="{00000000-0005-0000-0000-000028510000}"/>
    <cellStyle name="Normal 3 2 2 2 6 6 2 2" xfId="30991" xr:uid="{00000000-0005-0000-0000-000029510000}"/>
    <cellStyle name="Normal 3 2 2 2 6 6 2 3" xfId="30990" xr:uid="{00000000-0005-0000-0000-00002A510000}"/>
    <cellStyle name="Normal 3 2 2 2 6 6 3" xfId="30992" xr:uid="{00000000-0005-0000-0000-00002B510000}"/>
    <cellStyle name="Normal 3 2 2 2 6 6 3 2" xfId="30993" xr:uid="{00000000-0005-0000-0000-00002C510000}"/>
    <cellStyle name="Normal 3 2 2 2 6 6 4" xfId="30994" xr:uid="{00000000-0005-0000-0000-00002D510000}"/>
    <cellStyle name="Normal 3 2 2 2 6 6 5" xfId="30995" xr:uid="{00000000-0005-0000-0000-00002E510000}"/>
    <cellStyle name="Normal 3 2 2 2 6 6 6" xfId="30989" xr:uid="{00000000-0005-0000-0000-00002F510000}"/>
    <cellStyle name="Normal 3 2 2 2 6 7" xfId="2798" xr:uid="{00000000-0005-0000-0000-000030510000}"/>
    <cellStyle name="Normal 3 2 2 2 6 7 2" xfId="30997" xr:uid="{00000000-0005-0000-0000-000031510000}"/>
    <cellStyle name="Normal 3 2 2 2 6 7 3" xfId="30996" xr:uid="{00000000-0005-0000-0000-000032510000}"/>
    <cellStyle name="Normal 3 2 2 2 6 8" xfId="30998" xr:uid="{00000000-0005-0000-0000-000033510000}"/>
    <cellStyle name="Normal 3 2 2 2 6 8 2" xfId="30999" xr:uid="{00000000-0005-0000-0000-000034510000}"/>
    <cellStyle name="Normal 3 2 2 2 6 9" xfId="31000" xr:uid="{00000000-0005-0000-0000-000035510000}"/>
    <cellStyle name="Normal 3 2 2 2 6 9 2" xfId="31001" xr:uid="{00000000-0005-0000-0000-000036510000}"/>
    <cellStyle name="Normal 3 2 2 2 7" xfId="2799" xr:uid="{00000000-0005-0000-0000-000037510000}"/>
    <cellStyle name="Normal 3 2 2 2 7 10" xfId="31003" xr:uid="{00000000-0005-0000-0000-000038510000}"/>
    <cellStyle name="Normal 3 2 2 2 7 11" xfId="31002" xr:uid="{00000000-0005-0000-0000-000039510000}"/>
    <cellStyle name="Normal 3 2 2 2 7 2" xfId="2800" xr:uid="{00000000-0005-0000-0000-00003A510000}"/>
    <cellStyle name="Normal 3 2 2 2 7 2 2" xfId="2801" xr:uid="{00000000-0005-0000-0000-00003B510000}"/>
    <cellStyle name="Normal 3 2 2 2 7 2 2 2" xfId="2802" xr:uid="{00000000-0005-0000-0000-00003C510000}"/>
    <cellStyle name="Normal 3 2 2 2 7 2 2 2 2" xfId="31006" xr:uid="{00000000-0005-0000-0000-00003D510000}"/>
    <cellStyle name="Normal 3 2 2 2 7 2 2 3" xfId="31005" xr:uid="{00000000-0005-0000-0000-00003E510000}"/>
    <cellStyle name="Normal 3 2 2 2 7 2 3" xfId="2803" xr:uid="{00000000-0005-0000-0000-00003F510000}"/>
    <cellStyle name="Normal 3 2 2 2 7 2 3 2" xfId="2804" xr:uid="{00000000-0005-0000-0000-000040510000}"/>
    <cellStyle name="Normal 3 2 2 2 7 2 3 2 2" xfId="31008" xr:uid="{00000000-0005-0000-0000-000041510000}"/>
    <cellStyle name="Normal 3 2 2 2 7 2 3 3" xfId="31007" xr:uid="{00000000-0005-0000-0000-000042510000}"/>
    <cellStyle name="Normal 3 2 2 2 7 2 4" xfId="2805" xr:uid="{00000000-0005-0000-0000-000043510000}"/>
    <cellStyle name="Normal 3 2 2 2 7 2 4 2" xfId="31010" xr:uid="{00000000-0005-0000-0000-000044510000}"/>
    <cellStyle name="Normal 3 2 2 2 7 2 4 3" xfId="31009" xr:uid="{00000000-0005-0000-0000-000045510000}"/>
    <cellStyle name="Normal 3 2 2 2 7 2 5" xfId="31011" xr:uid="{00000000-0005-0000-0000-000046510000}"/>
    <cellStyle name="Normal 3 2 2 2 7 2 6" xfId="31012" xr:uid="{00000000-0005-0000-0000-000047510000}"/>
    <cellStyle name="Normal 3 2 2 2 7 2 7" xfId="31004" xr:uid="{00000000-0005-0000-0000-000048510000}"/>
    <cellStyle name="Normal 3 2 2 2 7 3" xfId="2806" xr:uid="{00000000-0005-0000-0000-000049510000}"/>
    <cellStyle name="Normal 3 2 2 2 7 3 2" xfId="2807" xr:uid="{00000000-0005-0000-0000-00004A510000}"/>
    <cellStyle name="Normal 3 2 2 2 7 3 2 2" xfId="31015" xr:uid="{00000000-0005-0000-0000-00004B510000}"/>
    <cellStyle name="Normal 3 2 2 2 7 3 2 3" xfId="31014" xr:uid="{00000000-0005-0000-0000-00004C510000}"/>
    <cellStyle name="Normal 3 2 2 2 7 3 3" xfId="2808" xr:uid="{00000000-0005-0000-0000-00004D510000}"/>
    <cellStyle name="Normal 3 2 2 2 7 3 3 2" xfId="31017" xr:uid="{00000000-0005-0000-0000-00004E510000}"/>
    <cellStyle name="Normal 3 2 2 2 7 3 3 3" xfId="31016" xr:uid="{00000000-0005-0000-0000-00004F510000}"/>
    <cellStyle name="Normal 3 2 2 2 7 3 4" xfId="31018" xr:uid="{00000000-0005-0000-0000-000050510000}"/>
    <cellStyle name="Normal 3 2 2 2 7 3 4 2" xfId="31019" xr:uid="{00000000-0005-0000-0000-000051510000}"/>
    <cellStyle name="Normal 3 2 2 2 7 3 5" xfId="31020" xr:uid="{00000000-0005-0000-0000-000052510000}"/>
    <cellStyle name="Normal 3 2 2 2 7 3 6" xfId="31021" xr:uid="{00000000-0005-0000-0000-000053510000}"/>
    <cellStyle name="Normal 3 2 2 2 7 3 7" xfId="31013" xr:uid="{00000000-0005-0000-0000-000054510000}"/>
    <cellStyle name="Normal 3 2 2 2 7 4" xfId="2809" xr:uid="{00000000-0005-0000-0000-000055510000}"/>
    <cellStyle name="Normal 3 2 2 2 7 4 2" xfId="2810" xr:uid="{00000000-0005-0000-0000-000056510000}"/>
    <cellStyle name="Normal 3 2 2 2 7 4 2 2" xfId="31024" xr:uid="{00000000-0005-0000-0000-000057510000}"/>
    <cellStyle name="Normal 3 2 2 2 7 4 2 3" xfId="31023" xr:uid="{00000000-0005-0000-0000-000058510000}"/>
    <cellStyle name="Normal 3 2 2 2 7 4 3" xfId="31025" xr:uid="{00000000-0005-0000-0000-000059510000}"/>
    <cellStyle name="Normal 3 2 2 2 7 4 3 2" xfId="31026" xr:uid="{00000000-0005-0000-0000-00005A510000}"/>
    <cellStyle name="Normal 3 2 2 2 7 4 4" xfId="31027" xr:uid="{00000000-0005-0000-0000-00005B510000}"/>
    <cellStyle name="Normal 3 2 2 2 7 4 4 2" xfId="31028" xr:uid="{00000000-0005-0000-0000-00005C510000}"/>
    <cellStyle name="Normal 3 2 2 2 7 4 5" xfId="31029" xr:uid="{00000000-0005-0000-0000-00005D510000}"/>
    <cellStyle name="Normal 3 2 2 2 7 4 6" xfId="31030" xr:uid="{00000000-0005-0000-0000-00005E510000}"/>
    <cellStyle name="Normal 3 2 2 2 7 4 7" xfId="31022" xr:uid="{00000000-0005-0000-0000-00005F510000}"/>
    <cellStyle name="Normal 3 2 2 2 7 5" xfId="2811" xr:uid="{00000000-0005-0000-0000-000060510000}"/>
    <cellStyle name="Normal 3 2 2 2 7 5 2" xfId="2812" xr:uid="{00000000-0005-0000-0000-000061510000}"/>
    <cellStyle name="Normal 3 2 2 2 7 5 2 2" xfId="31033" xr:uid="{00000000-0005-0000-0000-000062510000}"/>
    <cellStyle name="Normal 3 2 2 2 7 5 2 3" xfId="31032" xr:uid="{00000000-0005-0000-0000-000063510000}"/>
    <cellStyle name="Normal 3 2 2 2 7 5 3" xfId="31034" xr:uid="{00000000-0005-0000-0000-000064510000}"/>
    <cellStyle name="Normal 3 2 2 2 7 5 3 2" xfId="31035" xr:uid="{00000000-0005-0000-0000-000065510000}"/>
    <cellStyle name="Normal 3 2 2 2 7 5 4" xfId="31036" xr:uid="{00000000-0005-0000-0000-000066510000}"/>
    <cellStyle name="Normal 3 2 2 2 7 5 5" xfId="31037" xr:uid="{00000000-0005-0000-0000-000067510000}"/>
    <cellStyle name="Normal 3 2 2 2 7 5 6" xfId="31031" xr:uid="{00000000-0005-0000-0000-000068510000}"/>
    <cellStyle name="Normal 3 2 2 2 7 6" xfId="2813" xr:uid="{00000000-0005-0000-0000-000069510000}"/>
    <cellStyle name="Normal 3 2 2 2 7 6 2" xfId="31039" xr:uid="{00000000-0005-0000-0000-00006A510000}"/>
    <cellStyle name="Normal 3 2 2 2 7 6 3" xfId="31038" xr:uid="{00000000-0005-0000-0000-00006B510000}"/>
    <cellStyle name="Normal 3 2 2 2 7 7" xfId="31040" xr:uid="{00000000-0005-0000-0000-00006C510000}"/>
    <cellStyle name="Normal 3 2 2 2 7 7 2" xfId="31041" xr:uid="{00000000-0005-0000-0000-00006D510000}"/>
    <cellStyle name="Normal 3 2 2 2 7 8" xfId="31042" xr:uid="{00000000-0005-0000-0000-00006E510000}"/>
    <cellStyle name="Normal 3 2 2 2 7 8 2" xfId="31043" xr:uid="{00000000-0005-0000-0000-00006F510000}"/>
    <cellStyle name="Normal 3 2 2 2 7 9" xfId="31044" xr:uid="{00000000-0005-0000-0000-000070510000}"/>
    <cellStyle name="Normal 3 2 2 2 8" xfId="2814" xr:uid="{00000000-0005-0000-0000-000071510000}"/>
    <cellStyle name="Normal 3 2 2 2 8 10" xfId="31046" xr:uid="{00000000-0005-0000-0000-000072510000}"/>
    <cellStyle name="Normal 3 2 2 2 8 11" xfId="31045" xr:uid="{00000000-0005-0000-0000-000073510000}"/>
    <cellStyle name="Normal 3 2 2 2 8 2" xfId="2815" xr:uid="{00000000-0005-0000-0000-000074510000}"/>
    <cellStyle name="Normal 3 2 2 2 8 2 2" xfId="2816" xr:uid="{00000000-0005-0000-0000-000075510000}"/>
    <cellStyle name="Normal 3 2 2 2 8 2 2 2" xfId="31049" xr:uid="{00000000-0005-0000-0000-000076510000}"/>
    <cellStyle name="Normal 3 2 2 2 8 2 2 3" xfId="31048" xr:uid="{00000000-0005-0000-0000-000077510000}"/>
    <cellStyle name="Normal 3 2 2 2 8 2 3" xfId="31050" xr:uid="{00000000-0005-0000-0000-000078510000}"/>
    <cellStyle name="Normal 3 2 2 2 8 2 3 2" xfId="31051" xr:uid="{00000000-0005-0000-0000-000079510000}"/>
    <cellStyle name="Normal 3 2 2 2 8 2 4" xfId="31052" xr:uid="{00000000-0005-0000-0000-00007A510000}"/>
    <cellStyle name="Normal 3 2 2 2 8 2 4 2" xfId="31053" xr:uid="{00000000-0005-0000-0000-00007B510000}"/>
    <cellStyle name="Normal 3 2 2 2 8 2 5" xfId="31054" xr:uid="{00000000-0005-0000-0000-00007C510000}"/>
    <cellStyle name="Normal 3 2 2 2 8 2 6" xfId="31055" xr:uid="{00000000-0005-0000-0000-00007D510000}"/>
    <cellStyle name="Normal 3 2 2 2 8 2 7" xfId="31047" xr:uid="{00000000-0005-0000-0000-00007E510000}"/>
    <cellStyle name="Normal 3 2 2 2 8 3" xfId="2817" xr:uid="{00000000-0005-0000-0000-00007F510000}"/>
    <cellStyle name="Normal 3 2 2 2 8 3 2" xfId="2818" xr:uid="{00000000-0005-0000-0000-000080510000}"/>
    <cellStyle name="Normal 3 2 2 2 8 3 2 2" xfId="31058" xr:uid="{00000000-0005-0000-0000-000081510000}"/>
    <cellStyle name="Normal 3 2 2 2 8 3 2 3" xfId="31057" xr:uid="{00000000-0005-0000-0000-000082510000}"/>
    <cellStyle name="Normal 3 2 2 2 8 3 3" xfId="31059" xr:uid="{00000000-0005-0000-0000-000083510000}"/>
    <cellStyle name="Normal 3 2 2 2 8 3 3 2" xfId="31060" xr:uid="{00000000-0005-0000-0000-000084510000}"/>
    <cellStyle name="Normal 3 2 2 2 8 3 4" xfId="31061" xr:uid="{00000000-0005-0000-0000-000085510000}"/>
    <cellStyle name="Normal 3 2 2 2 8 3 4 2" xfId="31062" xr:uid="{00000000-0005-0000-0000-000086510000}"/>
    <cellStyle name="Normal 3 2 2 2 8 3 5" xfId="31063" xr:uid="{00000000-0005-0000-0000-000087510000}"/>
    <cellStyle name="Normal 3 2 2 2 8 3 6" xfId="31064" xr:uid="{00000000-0005-0000-0000-000088510000}"/>
    <cellStyle name="Normal 3 2 2 2 8 3 7" xfId="31056" xr:uid="{00000000-0005-0000-0000-000089510000}"/>
    <cellStyle name="Normal 3 2 2 2 8 4" xfId="2819" xr:uid="{00000000-0005-0000-0000-00008A510000}"/>
    <cellStyle name="Normal 3 2 2 2 8 4 2" xfId="31066" xr:uid="{00000000-0005-0000-0000-00008B510000}"/>
    <cellStyle name="Normal 3 2 2 2 8 4 2 2" xfId="31067" xr:uid="{00000000-0005-0000-0000-00008C510000}"/>
    <cellStyle name="Normal 3 2 2 2 8 4 3" xfId="31068" xr:uid="{00000000-0005-0000-0000-00008D510000}"/>
    <cellStyle name="Normal 3 2 2 2 8 4 3 2" xfId="31069" xr:uid="{00000000-0005-0000-0000-00008E510000}"/>
    <cellStyle name="Normal 3 2 2 2 8 4 4" xfId="31070" xr:uid="{00000000-0005-0000-0000-00008F510000}"/>
    <cellStyle name="Normal 3 2 2 2 8 4 4 2" xfId="31071" xr:uid="{00000000-0005-0000-0000-000090510000}"/>
    <cellStyle name="Normal 3 2 2 2 8 4 5" xfId="31072" xr:uid="{00000000-0005-0000-0000-000091510000}"/>
    <cellStyle name="Normal 3 2 2 2 8 4 6" xfId="31073" xr:uid="{00000000-0005-0000-0000-000092510000}"/>
    <cellStyle name="Normal 3 2 2 2 8 4 7" xfId="31065" xr:uid="{00000000-0005-0000-0000-000093510000}"/>
    <cellStyle name="Normal 3 2 2 2 8 5" xfId="31074" xr:uid="{00000000-0005-0000-0000-000094510000}"/>
    <cellStyle name="Normal 3 2 2 2 8 5 2" xfId="31075" xr:uid="{00000000-0005-0000-0000-000095510000}"/>
    <cellStyle name="Normal 3 2 2 2 8 5 2 2" xfId="31076" xr:uid="{00000000-0005-0000-0000-000096510000}"/>
    <cellStyle name="Normal 3 2 2 2 8 5 3" xfId="31077" xr:uid="{00000000-0005-0000-0000-000097510000}"/>
    <cellStyle name="Normal 3 2 2 2 8 5 3 2" xfId="31078" xr:uid="{00000000-0005-0000-0000-000098510000}"/>
    <cellStyle name="Normal 3 2 2 2 8 5 4" xfId="31079" xr:uid="{00000000-0005-0000-0000-000099510000}"/>
    <cellStyle name="Normal 3 2 2 2 8 5 5" xfId="31080" xr:uid="{00000000-0005-0000-0000-00009A510000}"/>
    <cellStyle name="Normal 3 2 2 2 8 6" xfId="31081" xr:uid="{00000000-0005-0000-0000-00009B510000}"/>
    <cellStyle name="Normal 3 2 2 2 8 6 2" xfId="31082" xr:uid="{00000000-0005-0000-0000-00009C510000}"/>
    <cellStyle name="Normal 3 2 2 2 8 7" xfId="31083" xr:uid="{00000000-0005-0000-0000-00009D510000}"/>
    <cellStyle name="Normal 3 2 2 2 8 7 2" xfId="31084" xr:uid="{00000000-0005-0000-0000-00009E510000}"/>
    <cellStyle name="Normal 3 2 2 2 8 8" xfId="31085" xr:uid="{00000000-0005-0000-0000-00009F510000}"/>
    <cellStyle name="Normal 3 2 2 2 8 8 2" xfId="31086" xr:uid="{00000000-0005-0000-0000-0000A0510000}"/>
    <cellStyle name="Normal 3 2 2 2 8 9" xfId="31087" xr:uid="{00000000-0005-0000-0000-0000A1510000}"/>
    <cellStyle name="Normal 3 2 2 2 9" xfId="2820" xr:uid="{00000000-0005-0000-0000-0000A2510000}"/>
    <cellStyle name="Normal 3 2 2 2 9 2" xfId="2821" xr:uid="{00000000-0005-0000-0000-0000A3510000}"/>
    <cellStyle name="Normal 3 2 2 2 9 2 2" xfId="2822" xr:uid="{00000000-0005-0000-0000-0000A4510000}"/>
    <cellStyle name="Normal 3 2 2 2 9 2 2 2" xfId="31090" xr:uid="{00000000-0005-0000-0000-0000A5510000}"/>
    <cellStyle name="Normal 3 2 2 2 9 2 3" xfId="31089" xr:uid="{00000000-0005-0000-0000-0000A6510000}"/>
    <cellStyle name="Normal 3 2 2 2 9 3" xfId="2823" xr:uid="{00000000-0005-0000-0000-0000A7510000}"/>
    <cellStyle name="Normal 3 2 2 2 9 3 2" xfId="2824" xr:uid="{00000000-0005-0000-0000-0000A8510000}"/>
    <cellStyle name="Normal 3 2 2 2 9 3 2 2" xfId="31092" xr:uid="{00000000-0005-0000-0000-0000A9510000}"/>
    <cellStyle name="Normal 3 2 2 2 9 3 3" xfId="31091" xr:uid="{00000000-0005-0000-0000-0000AA510000}"/>
    <cellStyle name="Normal 3 2 2 2 9 4" xfId="2825" xr:uid="{00000000-0005-0000-0000-0000AB510000}"/>
    <cellStyle name="Normal 3 2 2 2 9 4 2" xfId="31094" xr:uid="{00000000-0005-0000-0000-0000AC510000}"/>
    <cellStyle name="Normal 3 2 2 2 9 4 3" xfId="31093" xr:uid="{00000000-0005-0000-0000-0000AD510000}"/>
    <cellStyle name="Normal 3 2 2 2 9 5" xfId="31095" xr:uid="{00000000-0005-0000-0000-0000AE510000}"/>
    <cellStyle name="Normal 3 2 2 2 9 6" xfId="31096" xr:uid="{00000000-0005-0000-0000-0000AF510000}"/>
    <cellStyle name="Normal 3 2 2 2 9 7" xfId="31088" xr:uid="{00000000-0005-0000-0000-0000B0510000}"/>
    <cellStyle name="Normal 3 2 2 3" xfId="2826" xr:uid="{00000000-0005-0000-0000-0000B1510000}"/>
    <cellStyle name="Normal 3 2 2 3 10" xfId="2827" xr:uid="{00000000-0005-0000-0000-0000B2510000}"/>
    <cellStyle name="Normal 3 2 2 3 10 2" xfId="2828" xr:uid="{00000000-0005-0000-0000-0000B3510000}"/>
    <cellStyle name="Normal 3 2 2 3 10 2 2" xfId="31099" xr:uid="{00000000-0005-0000-0000-0000B4510000}"/>
    <cellStyle name="Normal 3 2 2 3 10 3" xfId="31098" xr:uid="{00000000-0005-0000-0000-0000B5510000}"/>
    <cellStyle name="Normal 3 2 2 3 11" xfId="2829" xr:uid="{00000000-0005-0000-0000-0000B6510000}"/>
    <cellStyle name="Normal 3 2 2 3 11 2" xfId="31101" xr:uid="{00000000-0005-0000-0000-0000B7510000}"/>
    <cellStyle name="Normal 3 2 2 3 11 3" xfId="31100" xr:uid="{00000000-0005-0000-0000-0000B8510000}"/>
    <cellStyle name="Normal 3 2 2 3 12" xfId="31102" xr:uid="{00000000-0005-0000-0000-0000B9510000}"/>
    <cellStyle name="Normal 3 2 2 3 13" xfId="31103" xr:uid="{00000000-0005-0000-0000-0000BA510000}"/>
    <cellStyle name="Normal 3 2 2 3 14" xfId="31097" xr:uid="{00000000-0005-0000-0000-0000BB510000}"/>
    <cellStyle name="Normal 3 2 2 3 2" xfId="2830" xr:uid="{00000000-0005-0000-0000-0000BC510000}"/>
    <cellStyle name="Normal 3 2 2 3 2 10" xfId="31105" xr:uid="{00000000-0005-0000-0000-0000BD510000}"/>
    <cellStyle name="Normal 3 2 2 3 2 11" xfId="31106" xr:uid="{00000000-0005-0000-0000-0000BE510000}"/>
    <cellStyle name="Normal 3 2 2 3 2 12" xfId="31104" xr:uid="{00000000-0005-0000-0000-0000BF510000}"/>
    <cellStyle name="Normal 3 2 2 3 2 2" xfId="2831" xr:uid="{00000000-0005-0000-0000-0000C0510000}"/>
    <cellStyle name="Normal 3 2 2 3 2 2 2" xfId="2832" xr:uid="{00000000-0005-0000-0000-0000C1510000}"/>
    <cellStyle name="Normal 3 2 2 3 2 2 2 2" xfId="2833" xr:uid="{00000000-0005-0000-0000-0000C2510000}"/>
    <cellStyle name="Normal 3 2 2 3 2 2 2 2 2" xfId="2834" xr:uid="{00000000-0005-0000-0000-0000C3510000}"/>
    <cellStyle name="Normal 3 2 2 3 2 2 2 2 3" xfId="2835" xr:uid="{00000000-0005-0000-0000-0000C4510000}"/>
    <cellStyle name="Normal 3 2 2 3 2 2 2 2 4" xfId="31109" xr:uid="{00000000-0005-0000-0000-0000C5510000}"/>
    <cellStyle name="Normal 3 2 2 3 2 2 2 3" xfId="2836" xr:uid="{00000000-0005-0000-0000-0000C6510000}"/>
    <cellStyle name="Normal 3 2 2 3 2 2 2 3 2" xfId="2837" xr:uid="{00000000-0005-0000-0000-0000C7510000}"/>
    <cellStyle name="Normal 3 2 2 3 2 2 2 4" xfId="2838" xr:uid="{00000000-0005-0000-0000-0000C8510000}"/>
    <cellStyle name="Normal 3 2 2 3 2 2 2 4 2" xfId="2839" xr:uid="{00000000-0005-0000-0000-0000C9510000}"/>
    <cellStyle name="Normal 3 2 2 3 2 2 2 5" xfId="2840" xr:uid="{00000000-0005-0000-0000-0000CA510000}"/>
    <cellStyle name="Normal 3 2 2 3 2 2 2 6" xfId="31108" xr:uid="{00000000-0005-0000-0000-0000CB510000}"/>
    <cellStyle name="Normal 3 2 2 3 2 2 3" xfId="2841" xr:uid="{00000000-0005-0000-0000-0000CC510000}"/>
    <cellStyle name="Normal 3 2 2 3 2 2 3 2" xfId="2842" xr:uid="{00000000-0005-0000-0000-0000CD510000}"/>
    <cellStyle name="Normal 3 2 2 3 2 2 3 2 2" xfId="2843" xr:uid="{00000000-0005-0000-0000-0000CE510000}"/>
    <cellStyle name="Normal 3 2 2 3 2 2 3 2 3" xfId="31111" xr:uid="{00000000-0005-0000-0000-0000CF510000}"/>
    <cellStyle name="Normal 3 2 2 3 2 2 3 3" xfId="2844" xr:uid="{00000000-0005-0000-0000-0000D0510000}"/>
    <cellStyle name="Normal 3 2 2 3 2 2 3 3 2" xfId="2845" xr:uid="{00000000-0005-0000-0000-0000D1510000}"/>
    <cellStyle name="Normal 3 2 2 3 2 2 3 4" xfId="2846" xr:uid="{00000000-0005-0000-0000-0000D2510000}"/>
    <cellStyle name="Normal 3 2 2 3 2 2 3 5" xfId="31110" xr:uid="{00000000-0005-0000-0000-0000D3510000}"/>
    <cellStyle name="Normal 3 2 2 3 2 2 4" xfId="2847" xr:uid="{00000000-0005-0000-0000-0000D4510000}"/>
    <cellStyle name="Normal 3 2 2 3 2 2 4 2" xfId="2848" xr:uid="{00000000-0005-0000-0000-0000D5510000}"/>
    <cellStyle name="Normal 3 2 2 3 2 2 4 2 2" xfId="31113" xr:uid="{00000000-0005-0000-0000-0000D6510000}"/>
    <cellStyle name="Normal 3 2 2 3 2 2 4 3" xfId="2849" xr:uid="{00000000-0005-0000-0000-0000D7510000}"/>
    <cellStyle name="Normal 3 2 2 3 2 2 4 4" xfId="31112" xr:uid="{00000000-0005-0000-0000-0000D8510000}"/>
    <cellStyle name="Normal 3 2 2 3 2 2 5" xfId="2850" xr:uid="{00000000-0005-0000-0000-0000D9510000}"/>
    <cellStyle name="Normal 3 2 2 3 2 2 5 2" xfId="2851" xr:uid="{00000000-0005-0000-0000-0000DA510000}"/>
    <cellStyle name="Normal 3 2 2 3 2 2 5 3" xfId="31114" xr:uid="{00000000-0005-0000-0000-0000DB510000}"/>
    <cellStyle name="Normal 3 2 2 3 2 2 6" xfId="2852" xr:uid="{00000000-0005-0000-0000-0000DC510000}"/>
    <cellStyle name="Normal 3 2 2 3 2 2 6 2" xfId="2853" xr:uid="{00000000-0005-0000-0000-0000DD510000}"/>
    <cellStyle name="Normal 3 2 2 3 2 2 6 3" xfId="31115" xr:uid="{00000000-0005-0000-0000-0000DE510000}"/>
    <cellStyle name="Normal 3 2 2 3 2 2 7" xfId="2854" xr:uid="{00000000-0005-0000-0000-0000DF510000}"/>
    <cellStyle name="Normal 3 2 2 3 2 2 8" xfId="31107" xr:uid="{00000000-0005-0000-0000-0000E0510000}"/>
    <cellStyle name="Normal 3 2 2 3 2 3" xfId="2855" xr:uid="{00000000-0005-0000-0000-0000E1510000}"/>
    <cellStyle name="Normal 3 2 2 3 2 3 2" xfId="2856" xr:uid="{00000000-0005-0000-0000-0000E2510000}"/>
    <cellStyle name="Normal 3 2 2 3 2 3 2 2" xfId="2857" xr:uid="{00000000-0005-0000-0000-0000E3510000}"/>
    <cellStyle name="Normal 3 2 2 3 2 3 2 2 2" xfId="31118" xr:uid="{00000000-0005-0000-0000-0000E4510000}"/>
    <cellStyle name="Normal 3 2 2 3 2 3 2 3" xfId="2858" xr:uid="{00000000-0005-0000-0000-0000E5510000}"/>
    <cellStyle name="Normal 3 2 2 3 2 3 2 4" xfId="31117" xr:uid="{00000000-0005-0000-0000-0000E6510000}"/>
    <cellStyle name="Normal 3 2 2 3 2 3 3" xfId="2859" xr:uid="{00000000-0005-0000-0000-0000E7510000}"/>
    <cellStyle name="Normal 3 2 2 3 2 3 3 2" xfId="2860" xr:uid="{00000000-0005-0000-0000-0000E8510000}"/>
    <cellStyle name="Normal 3 2 2 3 2 3 3 2 2" xfId="31120" xr:uid="{00000000-0005-0000-0000-0000E9510000}"/>
    <cellStyle name="Normal 3 2 2 3 2 3 3 3" xfId="31119" xr:uid="{00000000-0005-0000-0000-0000EA510000}"/>
    <cellStyle name="Normal 3 2 2 3 2 3 4" xfId="2861" xr:uid="{00000000-0005-0000-0000-0000EB510000}"/>
    <cellStyle name="Normal 3 2 2 3 2 3 4 2" xfId="2862" xr:uid="{00000000-0005-0000-0000-0000EC510000}"/>
    <cellStyle name="Normal 3 2 2 3 2 3 4 2 2" xfId="31122" xr:uid="{00000000-0005-0000-0000-0000ED510000}"/>
    <cellStyle name="Normal 3 2 2 3 2 3 4 3" xfId="31121" xr:uid="{00000000-0005-0000-0000-0000EE510000}"/>
    <cellStyle name="Normal 3 2 2 3 2 3 5" xfId="2863" xr:uid="{00000000-0005-0000-0000-0000EF510000}"/>
    <cellStyle name="Normal 3 2 2 3 2 3 5 2" xfId="31123" xr:uid="{00000000-0005-0000-0000-0000F0510000}"/>
    <cellStyle name="Normal 3 2 2 3 2 3 6" xfId="31124" xr:uid="{00000000-0005-0000-0000-0000F1510000}"/>
    <cellStyle name="Normal 3 2 2 3 2 3 7" xfId="31116" xr:uid="{00000000-0005-0000-0000-0000F2510000}"/>
    <cellStyle name="Normal 3 2 2 3 2 4" xfId="2864" xr:uid="{00000000-0005-0000-0000-0000F3510000}"/>
    <cellStyle name="Normal 3 2 2 3 2 4 2" xfId="2865" xr:uid="{00000000-0005-0000-0000-0000F4510000}"/>
    <cellStyle name="Normal 3 2 2 3 2 4 2 2" xfId="2866" xr:uid="{00000000-0005-0000-0000-0000F5510000}"/>
    <cellStyle name="Normal 3 2 2 3 2 4 2 2 2" xfId="31127" xr:uid="{00000000-0005-0000-0000-0000F6510000}"/>
    <cellStyle name="Normal 3 2 2 3 2 4 2 3" xfId="31126" xr:uid="{00000000-0005-0000-0000-0000F7510000}"/>
    <cellStyle name="Normal 3 2 2 3 2 4 3" xfId="2867" xr:uid="{00000000-0005-0000-0000-0000F8510000}"/>
    <cellStyle name="Normal 3 2 2 3 2 4 3 2" xfId="2868" xr:uid="{00000000-0005-0000-0000-0000F9510000}"/>
    <cellStyle name="Normal 3 2 2 3 2 4 3 2 2" xfId="31129" xr:uid="{00000000-0005-0000-0000-0000FA510000}"/>
    <cellStyle name="Normal 3 2 2 3 2 4 3 3" xfId="31128" xr:uid="{00000000-0005-0000-0000-0000FB510000}"/>
    <cellStyle name="Normal 3 2 2 3 2 4 4" xfId="2869" xr:uid="{00000000-0005-0000-0000-0000FC510000}"/>
    <cellStyle name="Normal 3 2 2 3 2 4 4 2" xfId="31131" xr:uid="{00000000-0005-0000-0000-0000FD510000}"/>
    <cellStyle name="Normal 3 2 2 3 2 4 4 3" xfId="31130" xr:uid="{00000000-0005-0000-0000-0000FE510000}"/>
    <cellStyle name="Normal 3 2 2 3 2 4 5" xfId="31132" xr:uid="{00000000-0005-0000-0000-0000FF510000}"/>
    <cellStyle name="Normal 3 2 2 3 2 4 6" xfId="31133" xr:uid="{00000000-0005-0000-0000-000000520000}"/>
    <cellStyle name="Normal 3 2 2 3 2 4 7" xfId="31125" xr:uid="{00000000-0005-0000-0000-000001520000}"/>
    <cellStyle name="Normal 3 2 2 3 2 5" xfId="2870" xr:uid="{00000000-0005-0000-0000-000002520000}"/>
    <cellStyle name="Normal 3 2 2 3 2 5 2" xfId="2871" xr:uid="{00000000-0005-0000-0000-000003520000}"/>
    <cellStyle name="Normal 3 2 2 3 2 5 2 2" xfId="31136" xr:uid="{00000000-0005-0000-0000-000004520000}"/>
    <cellStyle name="Normal 3 2 2 3 2 5 2 3" xfId="31135" xr:uid="{00000000-0005-0000-0000-000005520000}"/>
    <cellStyle name="Normal 3 2 2 3 2 5 3" xfId="2872" xr:uid="{00000000-0005-0000-0000-000006520000}"/>
    <cellStyle name="Normal 3 2 2 3 2 5 3 2" xfId="31138" xr:uid="{00000000-0005-0000-0000-000007520000}"/>
    <cellStyle name="Normal 3 2 2 3 2 5 3 3" xfId="31137" xr:uid="{00000000-0005-0000-0000-000008520000}"/>
    <cellStyle name="Normal 3 2 2 3 2 5 4" xfId="31139" xr:uid="{00000000-0005-0000-0000-000009520000}"/>
    <cellStyle name="Normal 3 2 2 3 2 5 4 2" xfId="31140" xr:uid="{00000000-0005-0000-0000-00000A520000}"/>
    <cellStyle name="Normal 3 2 2 3 2 5 5" xfId="31141" xr:uid="{00000000-0005-0000-0000-00000B520000}"/>
    <cellStyle name="Normal 3 2 2 3 2 5 6" xfId="31142" xr:uid="{00000000-0005-0000-0000-00000C520000}"/>
    <cellStyle name="Normal 3 2 2 3 2 5 7" xfId="31134" xr:uid="{00000000-0005-0000-0000-00000D520000}"/>
    <cellStyle name="Normal 3 2 2 3 2 6" xfId="2873" xr:uid="{00000000-0005-0000-0000-00000E520000}"/>
    <cellStyle name="Normal 3 2 2 3 2 6 2" xfId="2874" xr:uid="{00000000-0005-0000-0000-00000F520000}"/>
    <cellStyle name="Normal 3 2 2 3 2 6 2 2" xfId="31145" xr:uid="{00000000-0005-0000-0000-000010520000}"/>
    <cellStyle name="Normal 3 2 2 3 2 6 2 3" xfId="31144" xr:uid="{00000000-0005-0000-0000-000011520000}"/>
    <cellStyle name="Normal 3 2 2 3 2 6 3" xfId="31146" xr:uid="{00000000-0005-0000-0000-000012520000}"/>
    <cellStyle name="Normal 3 2 2 3 2 6 3 2" xfId="31147" xr:uid="{00000000-0005-0000-0000-000013520000}"/>
    <cellStyle name="Normal 3 2 2 3 2 6 4" xfId="31148" xr:uid="{00000000-0005-0000-0000-000014520000}"/>
    <cellStyle name="Normal 3 2 2 3 2 6 5" xfId="31149" xr:uid="{00000000-0005-0000-0000-000015520000}"/>
    <cellStyle name="Normal 3 2 2 3 2 6 6" xfId="31143" xr:uid="{00000000-0005-0000-0000-000016520000}"/>
    <cellStyle name="Normal 3 2 2 3 2 7" xfId="2875" xr:uid="{00000000-0005-0000-0000-000017520000}"/>
    <cellStyle name="Normal 3 2 2 3 2 7 2" xfId="2876" xr:uid="{00000000-0005-0000-0000-000018520000}"/>
    <cellStyle name="Normal 3 2 2 3 2 7 2 2" xfId="31151" xr:uid="{00000000-0005-0000-0000-000019520000}"/>
    <cellStyle name="Normal 3 2 2 3 2 7 3" xfId="31150" xr:uid="{00000000-0005-0000-0000-00001A520000}"/>
    <cellStyle name="Normal 3 2 2 3 2 8" xfId="2877" xr:uid="{00000000-0005-0000-0000-00001B520000}"/>
    <cellStyle name="Normal 3 2 2 3 2 8 2" xfId="31153" xr:uid="{00000000-0005-0000-0000-00001C520000}"/>
    <cellStyle name="Normal 3 2 2 3 2 8 3" xfId="31152" xr:uid="{00000000-0005-0000-0000-00001D520000}"/>
    <cellStyle name="Normal 3 2 2 3 2 9" xfId="31154" xr:uid="{00000000-0005-0000-0000-00001E520000}"/>
    <cellStyle name="Normal 3 2 2 3 2 9 2" xfId="31155" xr:uid="{00000000-0005-0000-0000-00001F520000}"/>
    <cellStyle name="Normal 3 2 2 3 3" xfId="2878" xr:uid="{00000000-0005-0000-0000-000020520000}"/>
    <cellStyle name="Normal 3 2 2 3 3 10" xfId="31157" xr:uid="{00000000-0005-0000-0000-000021520000}"/>
    <cellStyle name="Normal 3 2 2 3 3 11" xfId="31156" xr:uid="{00000000-0005-0000-0000-000022520000}"/>
    <cellStyle name="Normal 3 2 2 3 3 2" xfId="2879" xr:uid="{00000000-0005-0000-0000-000023520000}"/>
    <cellStyle name="Normal 3 2 2 3 3 2 2" xfId="2880" xr:uid="{00000000-0005-0000-0000-000024520000}"/>
    <cellStyle name="Normal 3 2 2 3 3 2 2 2" xfId="2881" xr:uid="{00000000-0005-0000-0000-000025520000}"/>
    <cellStyle name="Normal 3 2 2 3 3 2 2 2 2" xfId="31160" xr:uid="{00000000-0005-0000-0000-000026520000}"/>
    <cellStyle name="Normal 3 2 2 3 3 2 2 3" xfId="2882" xr:uid="{00000000-0005-0000-0000-000027520000}"/>
    <cellStyle name="Normal 3 2 2 3 3 2 2 4" xfId="31159" xr:uid="{00000000-0005-0000-0000-000028520000}"/>
    <cellStyle name="Normal 3 2 2 3 3 2 3" xfId="2883" xr:uid="{00000000-0005-0000-0000-000029520000}"/>
    <cellStyle name="Normal 3 2 2 3 3 2 3 2" xfId="2884" xr:uid="{00000000-0005-0000-0000-00002A520000}"/>
    <cellStyle name="Normal 3 2 2 3 3 2 3 2 2" xfId="31162" xr:uid="{00000000-0005-0000-0000-00002B520000}"/>
    <cellStyle name="Normal 3 2 2 3 3 2 3 3" xfId="31161" xr:uid="{00000000-0005-0000-0000-00002C520000}"/>
    <cellStyle name="Normal 3 2 2 3 3 2 4" xfId="2885" xr:uid="{00000000-0005-0000-0000-00002D520000}"/>
    <cellStyle name="Normal 3 2 2 3 3 2 4 2" xfId="2886" xr:uid="{00000000-0005-0000-0000-00002E520000}"/>
    <cellStyle name="Normal 3 2 2 3 3 2 4 2 2" xfId="31164" xr:uid="{00000000-0005-0000-0000-00002F520000}"/>
    <cellStyle name="Normal 3 2 2 3 3 2 4 3" xfId="31163" xr:uid="{00000000-0005-0000-0000-000030520000}"/>
    <cellStyle name="Normal 3 2 2 3 3 2 5" xfId="2887" xr:uid="{00000000-0005-0000-0000-000031520000}"/>
    <cellStyle name="Normal 3 2 2 3 3 2 5 2" xfId="31165" xr:uid="{00000000-0005-0000-0000-000032520000}"/>
    <cellStyle name="Normal 3 2 2 3 3 2 6" xfId="31166" xr:uid="{00000000-0005-0000-0000-000033520000}"/>
    <cellStyle name="Normal 3 2 2 3 3 2 7" xfId="31158" xr:uid="{00000000-0005-0000-0000-000034520000}"/>
    <cellStyle name="Normal 3 2 2 3 3 3" xfId="2888" xr:uid="{00000000-0005-0000-0000-000035520000}"/>
    <cellStyle name="Normal 3 2 2 3 3 3 2" xfId="2889" xr:uid="{00000000-0005-0000-0000-000036520000}"/>
    <cellStyle name="Normal 3 2 2 3 3 3 2 2" xfId="2890" xr:uid="{00000000-0005-0000-0000-000037520000}"/>
    <cellStyle name="Normal 3 2 2 3 3 3 2 2 2" xfId="31169" xr:uid="{00000000-0005-0000-0000-000038520000}"/>
    <cellStyle name="Normal 3 2 2 3 3 3 2 3" xfId="31168" xr:uid="{00000000-0005-0000-0000-000039520000}"/>
    <cellStyle name="Normal 3 2 2 3 3 3 3" xfId="2891" xr:uid="{00000000-0005-0000-0000-00003A520000}"/>
    <cellStyle name="Normal 3 2 2 3 3 3 3 2" xfId="2892" xr:uid="{00000000-0005-0000-0000-00003B520000}"/>
    <cellStyle name="Normal 3 2 2 3 3 3 3 2 2" xfId="31171" xr:uid="{00000000-0005-0000-0000-00003C520000}"/>
    <cellStyle name="Normal 3 2 2 3 3 3 3 3" xfId="31170" xr:uid="{00000000-0005-0000-0000-00003D520000}"/>
    <cellStyle name="Normal 3 2 2 3 3 3 4" xfId="2893" xr:uid="{00000000-0005-0000-0000-00003E520000}"/>
    <cellStyle name="Normal 3 2 2 3 3 3 4 2" xfId="31173" xr:uid="{00000000-0005-0000-0000-00003F520000}"/>
    <cellStyle name="Normal 3 2 2 3 3 3 4 3" xfId="31172" xr:uid="{00000000-0005-0000-0000-000040520000}"/>
    <cellStyle name="Normal 3 2 2 3 3 3 5" xfId="31174" xr:uid="{00000000-0005-0000-0000-000041520000}"/>
    <cellStyle name="Normal 3 2 2 3 3 3 6" xfId="31175" xr:uid="{00000000-0005-0000-0000-000042520000}"/>
    <cellStyle name="Normal 3 2 2 3 3 3 7" xfId="31167" xr:uid="{00000000-0005-0000-0000-000043520000}"/>
    <cellStyle name="Normal 3 2 2 3 3 4" xfId="2894" xr:uid="{00000000-0005-0000-0000-000044520000}"/>
    <cellStyle name="Normal 3 2 2 3 3 4 2" xfId="2895" xr:uid="{00000000-0005-0000-0000-000045520000}"/>
    <cellStyle name="Normal 3 2 2 3 3 4 2 2" xfId="31178" xr:uid="{00000000-0005-0000-0000-000046520000}"/>
    <cellStyle name="Normal 3 2 2 3 3 4 2 3" xfId="31177" xr:uid="{00000000-0005-0000-0000-000047520000}"/>
    <cellStyle name="Normal 3 2 2 3 3 4 3" xfId="2896" xr:uid="{00000000-0005-0000-0000-000048520000}"/>
    <cellStyle name="Normal 3 2 2 3 3 4 3 2" xfId="31180" xr:uid="{00000000-0005-0000-0000-000049520000}"/>
    <cellStyle name="Normal 3 2 2 3 3 4 3 3" xfId="31179" xr:uid="{00000000-0005-0000-0000-00004A520000}"/>
    <cellStyle name="Normal 3 2 2 3 3 4 4" xfId="31181" xr:uid="{00000000-0005-0000-0000-00004B520000}"/>
    <cellStyle name="Normal 3 2 2 3 3 4 4 2" xfId="31182" xr:uid="{00000000-0005-0000-0000-00004C520000}"/>
    <cellStyle name="Normal 3 2 2 3 3 4 5" xfId="31183" xr:uid="{00000000-0005-0000-0000-00004D520000}"/>
    <cellStyle name="Normal 3 2 2 3 3 4 6" xfId="31184" xr:uid="{00000000-0005-0000-0000-00004E520000}"/>
    <cellStyle name="Normal 3 2 2 3 3 4 7" xfId="31176" xr:uid="{00000000-0005-0000-0000-00004F520000}"/>
    <cellStyle name="Normal 3 2 2 3 3 5" xfId="2897" xr:uid="{00000000-0005-0000-0000-000050520000}"/>
    <cellStyle name="Normal 3 2 2 3 3 5 2" xfId="2898" xr:uid="{00000000-0005-0000-0000-000051520000}"/>
    <cellStyle name="Normal 3 2 2 3 3 5 2 2" xfId="31187" xr:uid="{00000000-0005-0000-0000-000052520000}"/>
    <cellStyle name="Normal 3 2 2 3 3 5 2 3" xfId="31186" xr:uid="{00000000-0005-0000-0000-000053520000}"/>
    <cellStyle name="Normal 3 2 2 3 3 5 3" xfId="31188" xr:uid="{00000000-0005-0000-0000-000054520000}"/>
    <cellStyle name="Normal 3 2 2 3 3 5 3 2" xfId="31189" xr:uid="{00000000-0005-0000-0000-000055520000}"/>
    <cellStyle name="Normal 3 2 2 3 3 5 4" xfId="31190" xr:uid="{00000000-0005-0000-0000-000056520000}"/>
    <cellStyle name="Normal 3 2 2 3 3 5 5" xfId="31191" xr:uid="{00000000-0005-0000-0000-000057520000}"/>
    <cellStyle name="Normal 3 2 2 3 3 5 6" xfId="31185" xr:uid="{00000000-0005-0000-0000-000058520000}"/>
    <cellStyle name="Normal 3 2 2 3 3 6" xfId="2899" xr:uid="{00000000-0005-0000-0000-000059520000}"/>
    <cellStyle name="Normal 3 2 2 3 3 6 2" xfId="2900" xr:uid="{00000000-0005-0000-0000-00005A520000}"/>
    <cellStyle name="Normal 3 2 2 3 3 6 2 2" xfId="31193" xr:uid="{00000000-0005-0000-0000-00005B520000}"/>
    <cellStyle name="Normal 3 2 2 3 3 6 3" xfId="31192" xr:uid="{00000000-0005-0000-0000-00005C520000}"/>
    <cellStyle name="Normal 3 2 2 3 3 7" xfId="2901" xr:uid="{00000000-0005-0000-0000-00005D520000}"/>
    <cellStyle name="Normal 3 2 2 3 3 7 2" xfId="31195" xr:uid="{00000000-0005-0000-0000-00005E520000}"/>
    <cellStyle name="Normal 3 2 2 3 3 7 3" xfId="31194" xr:uid="{00000000-0005-0000-0000-00005F520000}"/>
    <cellStyle name="Normal 3 2 2 3 3 8" xfId="31196" xr:uid="{00000000-0005-0000-0000-000060520000}"/>
    <cellStyle name="Normal 3 2 2 3 3 8 2" xfId="31197" xr:uid="{00000000-0005-0000-0000-000061520000}"/>
    <cellStyle name="Normal 3 2 2 3 3 9" xfId="31198" xr:uid="{00000000-0005-0000-0000-000062520000}"/>
    <cellStyle name="Normal 3 2 2 3 4" xfId="2902" xr:uid="{00000000-0005-0000-0000-000063520000}"/>
    <cellStyle name="Normal 3 2 2 3 4 10" xfId="31200" xr:uid="{00000000-0005-0000-0000-000064520000}"/>
    <cellStyle name="Normal 3 2 2 3 4 11" xfId="31199" xr:uid="{00000000-0005-0000-0000-000065520000}"/>
    <cellStyle name="Normal 3 2 2 3 4 2" xfId="2903" xr:uid="{00000000-0005-0000-0000-000066520000}"/>
    <cellStyle name="Normal 3 2 2 3 4 2 2" xfId="2904" xr:uid="{00000000-0005-0000-0000-000067520000}"/>
    <cellStyle name="Normal 3 2 2 3 4 2 2 2" xfId="2905" xr:uid="{00000000-0005-0000-0000-000068520000}"/>
    <cellStyle name="Normal 3 2 2 3 4 2 2 2 2" xfId="31203" xr:uid="{00000000-0005-0000-0000-000069520000}"/>
    <cellStyle name="Normal 3 2 2 3 4 2 2 3" xfId="2906" xr:uid="{00000000-0005-0000-0000-00006A520000}"/>
    <cellStyle name="Normal 3 2 2 3 4 2 2 4" xfId="31202" xr:uid="{00000000-0005-0000-0000-00006B520000}"/>
    <cellStyle name="Normal 3 2 2 3 4 2 3" xfId="2907" xr:uid="{00000000-0005-0000-0000-00006C520000}"/>
    <cellStyle name="Normal 3 2 2 3 4 2 3 2" xfId="2908" xr:uid="{00000000-0005-0000-0000-00006D520000}"/>
    <cellStyle name="Normal 3 2 2 3 4 2 3 2 2" xfId="31205" xr:uid="{00000000-0005-0000-0000-00006E520000}"/>
    <cellStyle name="Normal 3 2 2 3 4 2 3 3" xfId="31204" xr:uid="{00000000-0005-0000-0000-00006F520000}"/>
    <cellStyle name="Normal 3 2 2 3 4 2 4" xfId="2909" xr:uid="{00000000-0005-0000-0000-000070520000}"/>
    <cellStyle name="Normal 3 2 2 3 4 2 4 2" xfId="2910" xr:uid="{00000000-0005-0000-0000-000071520000}"/>
    <cellStyle name="Normal 3 2 2 3 4 2 4 2 2" xfId="31207" xr:uid="{00000000-0005-0000-0000-000072520000}"/>
    <cellStyle name="Normal 3 2 2 3 4 2 4 3" xfId="31206" xr:uid="{00000000-0005-0000-0000-000073520000}"/>
    <cellStyle name="Normal 3 2 2 3 4 2 5" xfId="2911" xr:uid="{00000000-0005-0000-0000-000074520000}"/>
    <cellStyle name="Normal 3 2 2 3 4 2 5 2" xfId="31208" xr:uid="{00000000-0005-0000-0000-000075520000}"/>
    <cellStyle name="Normal 3 2 2 3 4 2 6" xfId="31209" xr:uid="{00000000-0005-0000-0000-000076520000}"/>
    <cellStyle name="Normal 3 2 2 3 4 2 7" xfId="31201" xr:uid="{00000000-0005-0000-0000-000077520000}"/>
    <cellStyle name="Normal 3 2 2 3 4 3" xfId="2912" xr:uid="{00000000-0005-0000-0000-000078520000}"/>
    <cellStyle name="Normal 3 2 2 3 4 3 2" xfId="2913" xr:uid="{00000000-0005-0000-0000-000079520000}"/>
    <cellStyle name="Normal 3 2 2 3 4 3 2 2" xfId="2914" xr:uid="{00000000-0005-0000-0000-00007A520000}"/>
    <cellStyle name="Normal 3 2 2 3 4 3 2 2 2" xfId="31212" xr:uid="{00000000-0005-0000-0000-00007B520000}"/>
    <cellStyle name="Normal 3 2 2 3 4 3 2 3" xfId="31211" xr:uid="{00000000-0005-0000-0000-00007C520000}"/>
    <cellStyle name="Normal 3 2 2 3 4 3 3" xfId="2915" xr:uid="{00000000-0005-0000-0000-00007D520000}"/>
    <cellStyle name="Normal 3 2 2 3 4 3 3 2" xfId="2916" xr:uid="{00000000-0005-0000-0000-00007E520000}"/>
    <cellStyle name="Normal 3 2 2 3 4 3 3 2 2" xfId="31214" xr:uid="{00000000-0005-0000-0000-00007F520000}"/>
    <cellStyle name="Normal 3 2 2 3 4 3 3 3" xfId="31213" xr:uid="{00000000-0005-0000-0000-000080520000}"/>
    <cellStyle name="Normal 3 2 2 3 4 3 4" xfId="2917" xr:uid="{00000000-0005-0000-0000-000081520000}"/>
    <cellStyle name="Normal 3 2 2 3 4 3 4 2" xfId="31216" xr:uid="{00000000-0005-0000-0000-000082520000}"/>
    <cellStyle name="Normal 3 2 2 3 4 3 4 3" xfId="31215" xr:uid="{00000000-0005-0000-0000-000083520000}"/>
    <cellStyle name="Normal 3 2 2 3 4 3 5" xfId="31217" xr:uid="{00000000-0005-0000-0000-000084520000}"/>
    <cellStyle name="Normal 3 2 2 3 4 3 6" xfId="31218" xr:uid="{00000000-0005-0000-0000-000085520000}"/>
    <cellStyle name="Normal 3 2 2 3 4 3 7" xfId="31210" xr:uid="{00000000-0005-0000-0000-000086520000}"/>
    <cellStyle name="Normal 3 2 2 3 4 4" xfId="2918" xr:uid="{00000000-0005-0000-0000-000087520000}"/>
    <cellStyle name="Normal 3 2 2 3 4 4 2" xfId="2919" xr:uid="{00000000-0005-0000-0000-000088520000}"/>
    <cellStyle name="Normal 3 2 2 3 4 4 2 2" xfId="31221" xr:uid="{00000000-0005-0000-0000-000089520000}"/>
    <cellStyle name="Normal 3 2 2 3 4 4 2 3" xfId="31220" xr:uid="{00000000-0005-0000-0000-00008A520000}"/>
    <cellStyle name="Normal 3 2 2 3 4 4 3" xfId="2920" xr:uid="{00000000-0005-0000-0000-00008B520000}"/>
    <cellStyle name="Normal 3 2 2 3 4 4 3 2" xfId="31223" xr:uid="{00000000-0005-0000-0000-00008C520000}"/>
    <cellStyle name="Normal 3 2 2 3 4 4 3 3" xfId="31222" xr:uid="{00000000-0005-0000-0000-00008D520000}"/>
    <cellStyle name="Normal 3 2 2 3 4 4 4" xfId="31224" xr:uid="{00000000-0005-0000-0000-00008E520000}"/>
    <cellStyle name="Normal 3 2 2 3 4 4 4 2" xfId="31225" xr:uid="{00000000-0005-0000-0000-00008F520000}"/>
    <cellStyle name="Normal 3 2 2 3 4 4 5" xfId="31226" xr:uid="{00000000-0005-0000-0000-000090520000}"/>
    <cellStyle name="Normal 3 2 2 3 4 4 6" xfId="31227" xr:uid="{00000000-0005-0000-0000-000091520000}"/>
    <cellStyle name="Normal 3 2 2 3 4 4 7" xfId="31219" xr:uid="{00000000-0005-0000-0000-000092520000}"/>
    <cellStyle name="Normal 3 2 2 3 4 5" xfId="2921" xr:uid="{00000000-0005-0000-0000-000093520000}"/>
    <cellStyle name="Normal 3 2 2 3 4 5 2" xfId="2922" xr:uid="{00000000-0005-0000-0000-000094520000}"/>
    <cellStyle name="Normal 3 2 2 3 4 5 2 2" xfId="31230" xr:uid="{00000000-0005-0000-0000-000095520000}"/>
    <cellStyle name="Normal 3 2 2 3 4 5 2 3" xfId="31229" xr:uid="{00000000-0005-0000-0000-000096520000}"/>
    <cellStyle name="Normal 3 2 2 3 4 5 3" xfId="31231" xr:uid="{00000000-0005-0000-0000-000097520000}"/>
    <cellStyle name="Normal 3 2 2 3 4 5 3 2" xfId="31232" xr:uid="{00000000-0005-0000-0000-000098520000}"/>
    <cellStyle name="Normal 3 2 2 3 4 5 4" xfId="31233" xr:uid="{00000000-0005-0000-0000-000099520000}"/>
    <cellStyle name="Normal 3 2 2 3 4 5 5" xfId="31234" xr:uid="{00000000-0005-0000-0000-00009A520000}"/>
    <cellStyle name="Normal 3 2 2 3 4 5 6" xfId="31228" xr:uid="{00000000-0005-0000-0000-00009B520000}"/>
    <cellStyle name="Normal 3 2 2 3 4 6" xfId="2923" xr:uid="{00000000-0005-0000-0000-00009C520000}"/>
    <cellStyle name="Normal 3 2 2 3 4 6 2" xfId="2924" xr:uid="{00000000-0005-0000-0000-00009D520000}"/>
    <cellStyle name="Normal 3 2 2 3 4 6 2 2" xfId="31236" xr:uid="{00000000-0005-0000-0000-00009E520000}"/>
    <cellStyle name="Normal 3 2 2 3 4 6 3" xfId="31235" xr:uid="{00000000-0005-0000-0000-00009F520000}"/>
    <cellStyle name="Normal 3 2 2 3 4 7" xfId="2925" xr:uid="{00000000-0005-0000-0000-0000A0520000}"/>
    <cellStyle name="Normal 3 2 2 3 4 7 2" xfId="31238" xr:uid="{00000000-0005-0000-0000-0000A1520000}"/>
    <cellStyle name="Normal 3 2 2 3 4 7 3" xfId="31237" xr:uid="{00000000-0005-0000-0000-0000A2520000}"/>
    <cellStyle name="Normal 3 2 2 3 4 8" xfId="31239" xr:uid="{00000000-0005-0000-0000-0000A3520000}"/>
    <cellStyle name="Normal 3 2 2 3 4 8 2" xfId="31240" xr:uid="{00000000-0005-0000-0000-0000A4520000}"/>
    <cellStyle name="Normal 3 2 2 3 4 9" xfId="31241" xr:uid="{00000000-0005-0000-0000-0000A5520000}"/>
    <cellStyle name="Normal 3 2 2 3 5" xfId="2926" xr:uid="{00000000-0005-0000-0000-0000A6520000}"/>
    <cellStyle name="Normal 3 2 2 3 5 2" xfId="2927" xr:uid="{00000000-0005-0000-0000-0000A7520000}"/>
    <cellStyle name="Normal 3 2 2 3 5 2 2" xfId="2928" xr:uid="{00000000-0005-0000-0000-0000A8520000}"/>
    <cellStyle name="Normal 3 2 2 3 5 2 2 2" xfId="2929" xr:uid="{00000000-0005-0000-0000-0000A9520000}"/>
    <cellStyle name="Normal 3 2 2 3 5 2 2 3" xfId="31244" xr:uid="{00000000-0005-0000-0000-0000AA520000}"/>
    <cellStyle name="Normal 3 2 2 3 5 2 3" xfId="2930" xr:uid="{00000000-0005-0000-0000-0000AB520000}"/>
    <cellStyle name="Normal 3 2 2 3 5 2 3 2" xfId="2931" xr:uid="{00000000-0005-0000-0000-0000AC520000}"/>
    <cellStyle name="Normal 3 2 2 3 5 2 4" xfId="2932" xr:uid="{00000000-0005-0000-0000-0000AD520000}"/>
    <cellStyle name="Normal 3 2 2 3 5 2 5" xfId="31243" xr:uid="{00000000-0005-0000-0000-0000AE520000}"/>
    <cellStyle name="Normal 3 2 2 3 5 3" xfId="2933" xr:uid="{00000000-0005-0000-0000-0000AF520000}"/>
    <cellStyle name="Normal 3 2 2 3 5 3 2" xfId="2934" xr:uid="{00000000-0005-0000-0000-0000B0520000}"/>
    <cellStyle name="Normal 3 2 2 3 5 3 2 2" xfId="31246" xr:uid="{00000000-0005-0000-0000-0000B1520000}"/>
    <cellStyle name="Normal 3 2 2 3 5 3 3" xfId="2935" xr:uid="{00000000-0005-0000-0000-0000B2520000}"/>
    <cellStyle name="Normal 3 2 2 3 5 3 4" xfId="31245" xr:uid="{00000000-0005-0000-0000-0000B3520000}"/>
    <cellStyle name="Normal 3 2 2 3 5 4" xfId="2936" xr:uid="{00000000-0005-0000-0000-0000B4520000}"/>
    <cellStyle name="Normal 3 2 2 3 5 4 2" xfId="2937" xr:uid="{00000000-0005-0000-0000-0000B5520000}"/>
    <cellStyle name="Normal 3 2 2 3 5 4 2 2" xfId="31248" xr:uid="{00000000-0005-0000-0000-0000B6520000}"/>
    <cellStyle name="Normal 3 2 2 3 5 4 3" xfId="31247" xr:uid="{00000000-0005-0000-0000-0000B7520000}"/>
    <cellStyle name="Normal 3 2 2 3 5 5" xfId="2938" xr:uid="{00000000-0005-0000-0000-0000B8520000}"/>
    <cellStyle name="Normal 3 2 2 3 5 5 2" xfId="2939" xr:uid="{00000000-0005-0000-0000-0000B9520000}"/>
    <cellStyle name="Normal 3 2 2 3 5 5 3" xfId="31249" xr:uid="{00000000-0005-0000-0000-0000BA520000}"/>
    <cellStyle name="Normal 3 2 2 3 5 6" xfId="2940" xr:uid="{00000000-0005-0000-0000-0000BB520000}"/>
    <cellStyle name="Normal 3 2 2 3 5 6 2" xfId="31250" xr:uid="{00000000-0005-0000-0000-0000BC520000}"/>
    <cellStyle name="Normal 3 2 2 3 5 7" xfId="31242" xr:uid="{00000000-0005-0000-0000-0000BD520000}"/>
    <cellStyle name="Normal 3 2 2 3 6" xfId="2941" xr:uid="{00000000-0005-0000-0000-0000BE520000}"/>
    <cellStyle name="Normal 3 2 2 3 6 2" xfId="2942" xr:uid="{00000000-0005-0000-0000-0000BF520000}"/>
    <cellStyle name="Normal 3 2 2 3 6 2 2" xfId="2943" xr:uid="{00000000-0005-0000-0000-0000C0520000}"/>
    <cellStyle name="Normal 3 2 2 3 6 2 2 2" xfId="31253" xr:uid="{00000000-0005-0000-0000-0000C1520000}"/>
    <cellStyle name="Normal 3 2 2 3 6 2 3" xfId="31252" xr:uid="{00000000-0005-0000-0000-0000C2520000}"/>
    <cellStyle name="Normal 3 2 2 3 6 3" xfId="2944" xr:uid="{00000000-0005-0000-0000-0000C3520000}"/>
    <cellStyle name="Normal 3 2 2 3 6 3 2" xfId="2945" xr:uid="{00000000-0005-0000-0000-0000C4520000}"/>
    <cellStyle name="Normal 3 2 2 3 6 3 2 2" xfId="31255" xr:uid="{00000000-0005-0000-0000-0000C5520000}"/>
    <cellStyle name="Normal 3 2 2 3 6 3 3" xfId="31254" xr:uid="{00000000-0005-0000-0000-0000C6520000}"/>
    <cellStyle name="Normal 3 2 2 3 6 4" xfId="2946" xr:uid="{00000000-0005-0000-0000-0000C7520000}"/>
    <cellStyle name="Normal 3 2 2 3 6 4 2" xfId="31257" xr:uid="{00000000-0005-0000-0000-0000C8520000}"/>
    <cellStyle name="Normal 3 2 2 3 6 4 3" xfId="31256" xr:uid="{00000000-0005-0000-0000-0000C9520000}"/>
    <cellStyle name="Normal 3 2 2 3 6 5" xfId="31258" xr:uid="{00000000-0005-0000-0000-0000CA520000}"/>
    <cellStyle name="Normal 3 2 2 3 6 6" xfId="31259" xr:uid="{00000000-0005-0000-0000-0000CB520000}"/>
    <cellStyle name="Normal 3 2 2 3 6 7" xfId="31251" xr:uid="{00000000-0005-0000-0000-0000CC520000}"/>
    <cellStyle name="Normal 3 2 2 3 7" xfId="2947" xr:uid="{00000000-0005-0000-0000-0000CD520000}"/>
    <cellStyle name="Normal 3 2 2 3 7 2" xfId="2948" xr:uid="{00000000-0005-0000-0000-0000CE520000}"/>
    <cellStyle name="Normal 3 2 2 3 7 2 2" xfId="2949" xr:uid="{00000000-0005-0000-0000-0000CF520000}"/>
    <cellStyle name="Normal 3 2 2 3 7 2 2 2" xfId="31262" xr:uid="{00000000-0005-0000-0000-0000D0520000}"/>
    <cellStyle name="Normal 3 2 2 3 7 2 3" xfId="31261" xr:uid="{00000000-0005-0000-0000-0000D1520000}"/>
    <cellStyle name="Normal 3 2 2 3 7 3" xfId="2950" xr:uid="{00000000-0005-0000-0000-0000D2520000}"/>
    <cellStyle name="Normal 3 2 2 3 7 3 2" xfId="2951" xr:uid="{00000000-0005-0000-0000-0000D3520000}"/>
    <cellStyle name="Normal 3 2 2 3 7 3 2 2" xfId="31264" xr:uid="{00000000-0005-0000-0000-0000D4520000}"/>
    <cellStyle name="Normal 3 2 2 3 7 3 3" xfId="31263" xr:uid="{00000000-0005-0000-0000-0000D5520000}"/>
    <cellStyle name="Normal 3 2 2 3 7 4" xfId="2952" xr:uid="{00000000-0005-0000-0000-0000D6520000}"/>
    <cellStyle name="Normal 3 2 2 3 7 4 2" xfId="31266" xr:uid="{00000000-0005-0000-0000-0000D7520000}"/>
    <cellStyle name="Normal 3 2 2 3 7 4 3" xfId="31265" xr:uid="{00000000-0005-0000-0000-0000D8520000}"/>
    <cellStyle name="Normal 3 2 2 3 7 5" xfId="31267" xr:uid="{00000000-0005-0000-0000-0000D9520000}"/>
    <cellStyle name="Normal 3 2 2 3 7 6" xfId="31268" xr:uid="{00000000-0005-0000-0000-0000DA520000}"/>
    <cellStyle name="Normal 3 2 2 3 7 7" xfId="31260" xr:uid="{00000000-0005-0000-0000-0000DB520000}"/>
    <cellStyle name="Normal 3 2 2 3 8" xfId="2953" xr:uid="{00000000-0005-0000-0000-0000DC520000}"/>
    <cellStyle name="Normal 3 2 2 3 8 2" xfId="2954" xr:uid="{00000000-0005-0000-0000-0000DD520000}"/>
    <cellStyle name="Normal 3 2 2 3 8 2 2" xfId="31271" xr:uid="{00000000-0005-0000-0000-0000DE520000}"/>
    <cellStyle name="Normal 3 2 2 3 8 2 3" xfId="31270" xr:uid="{00000000-0005-0000-0000-0000DF520000}"/>
    <cellStyle name="Normal 3 2 2 3 8 3" xfId="2955" xr:uid="{00000000-0005-0000-0000-0000E0520000}"/>
    <cellStyle name="Normal 3 2 2 3 8 3 2" xfId="31273" xr:uid="{00000000-0005-0000-0000-0000E1520000}"/>
    <cellStyle name="Normal 3 2 2 3 8 3 3" xfId="31272" xr:uid="{00000000-0005-0000-0000-0000E2520000}"/>
    <cellStyle name="Normal 3 2 2 3 8 4" xfId="31274" xr:uid="{00000000-0005-0000-0000-0000E3520000}"/>
    <cellStyle name="Normal 3 2 2 3 8 5" xfId="31275" xr:uid="{00000000-0005-0000-0000-0000E4520000}"/>
    <cellStyle name="Normal 3 2 2 3 8 6" xfId="31269" xr:uid="{00000000-0005-0000-0000-0000E5520000}"/>
    <cellStyle name="Normal 3 2 2 3 9" xfId="2956" xr:uid="{00000000-0005-0000-0000-0000E6520000}"/>
    <cellStyle name="Normal 3 2 2 3 9 2" xfId="2957" xr:uid="{00000000-0005-0000-0000-0000E7520000}"/>
    <cellStyle name="Normal 3 2 2 3 9 2 2" xfId="31277" xr:uid="{00000000-0005-0000-0000-0000E8520000}"/>
    <cellStyle name="Normal 3 2 2 3 9 3" xfId="31276" xr:uid="{00000000-0005-0000-0000-0000E9520000}"/>
    <cellStyle name="Normal 3 2 2 4" xfId="2958" xr:uid="{00000000-0005-0000-0000-0000EA520000}"/>
    <cellStyle name="Normal 3 2 2 4 10" xfId="2959" xr:uid="{00000000-0005-0000-0000-0000EB520000}"/>
    <cellStyle name="Normal 3 2 2 4 10 2" xfId="2960" xr:uid="{00000000-0005-0000-0000-0000EC520000}"/>
    <cellStyle name="Normal 3 2 2 4 10 2 2" xfId="31280" xr:uid="{00000000-0005-0000-0000-0000ED520000}"/>
    <cellStyle name="Normal 3 2 2 4 10 3" xfId="31279" xr:uid="{00000000-0005-0000-0000-0000EE520000}"/>
    <cellStyle name="Normal 3 2 2 4 11" xfId="2961" xr:uid="{00000000-0005-0000-0000-0000EF520000}"/>
    <cellStyle name="Normal 3 2 2 4 11 2" xfId="31282" xr:uid="{00000000-0005-0000-0000-0000F0520000}"/>
    <cellStyle name="Normal 3 2 2 4 11 3" xfId="31281" xr:uid="{00000000-0005-0000-0000-0000F1520000}"/>
    <cellStyle name="Normal 3 2 2 4 12" xfId="31283" xr:uid="{00000000-0005-0000-0000-0000F2520000}"/>
    <cellStyle name="Normal 3 2 2 4 13" xfId="31284" xr:uid="{00000000-0005-0000-0000-0000F3520000}"/>
    <cellStyle name="Normal 3 2 2 4 14" xfId="31278" xr:uid="{00000000-0005-0000-0000-0000F4520000}"/>
    <cellStyle name="Normal 3 2 2 4 2" xfId="2962" xr:uid="{00000000-0005-0000-0000-0000F5520000}"/>
    <cellStyle name="Normal 3 2 2 4 2 10" xfId="31286" xr:uid="{00000000-0005-0000-0000-0000F6520000}"/>
    <cellStyle name="Normal 3 2 2 4 2 11" xfId="31287" xr:uid="{00000000-0005-0000-0000-0000F7520000}"/>
    <cellStyle name="Normal 3 2 2 4 2 12" xfId="31285" xr:uid="{00000000-0005-0000-0000-0000F8520000}"/>
    <cellStyle name="Normal 3 2 2 4 2 2" xfId="2963" xr:uid="{00000000-0005-0000-0000-0000F9520000}"/>
    <cellStyle name="Normal 3 2 2 4 2 2 2" xfId="2964" xr:uid="{00000000-0005-0000-0000-0000FA520000}"/>
    <cellStyle name="Normal 3 2 2 4 2 2 2 2" xfId="2965" xr:uid="{00000000-0005-0000-0000-0000FB520000}"/>
    <cellStyle name="Normal 3 2 2 4 2 2 2 2 2" xfId="2966" xr:uid="{00000000-0005-0000-0000-0000FC520000}"/>
    <cellStyle name="Normal 3 2 2 4 2 2 2 2 3" xfId="2967" xr:uid="{00000000-0005-0000-0000-0000FD520000}"/>
    <cellStyle name="Normal 3 2 2 4 2 2 2 2 4" xfId="31290" xr:uid="{00000000-0005-0000-0000-0000FE520000}"/>
    <cellStyle name="Normal 3 2 2 4 2 2 2 3" xfId="2968" xr:uid="{00000000-0005-0000-0000-0000FF520000}"/>
    <cellStyle name="Normal 3 2 2 4 2 2 2 3 2" xfId="2969" xr:uid="{00000000-0005-0000-0000-000000530000}"/>
    <cellStyle name="Normal 3 2 2 4 2 2 2 4" xfId="2970" xr:uid="{00000000-0005-0000-0000-000001530000}"/>
    <cellStyle name="Normal 3 2 2 4 2 2 2 4 2" xfId="2971" xr:uid="{00000000-0005-0000-0000-000002530000}"/>
    <cellStyle name="Normal 3 2 2 4 2 2 2 5" xfId="2972" xr:uid="{00000000-0005-0000-0000-000003530000}"/>
    <cellStyle name="Normal 3 2 2 4 2 2 2 6" xfId="31289" xr:uid="{00000000-0005-0000-0000-000004530000}"/>
    <cellStyle name="Normal 3 2 2 4 2 2 3" xfId="2973" xr:uid="{00000000-0005-0000-0000-000005530000}"/>
    <cellStyle name="Normal 3 2 2 4 2 2 3 2" xfId="2974" xr:uid="{00000000-0005-0000-0000-000006530000}"/>
    <cellStyle name="Normal 3 2 2 4 2 2 3 2 2" xfId="2975" xr:uid="{00000000-0005-0000-0000-000007530000}"/>
    <cellStyle name="Normal 3 2 2 4 2 2 3 2 3" xfId="31292" xr:uid="{00000000-0005-0000-0000-000008530000}"/>
    <cellStyle name="Normal 3 2 2 4 2 2 3 3" xfId="2976" xr:uid="{00000000-0005-0000-0000-000009530000}"/>
    <cellStyle name="Normal 3 2 2 4 2 2 3 3 2" xfId="2977" xr:uid="{00000000-0005-0000-0000-00000A530000}"/>
    <cellStyle name="Normal 3 2 2 4 2 2 3 4" xfId="2978" xr:uid="{00000000-0005-0000-0000-00000B530000}"/>
    <cellStyle name="Normal 3 2 2 4 2 2 3 5" xfId="31291" xr:uid="{00000000-0005-0000-0000-00000C530000}"/>
    <cellStyle name="Normal 3 2 2 4 2 2 4" xfId="2979" xr:uid="{00000000-0005-0000-0000-00000D530000}"/>
    <cellStyle name="Normal 3 2 2 4 2 2 4 2" xfId="2980" xr:uid="{00000000-0005-0000-0000-00000E530000}"/>
    <cellStyle name="Normal 3 2 2 4 2 2 4 2 2" xfId="31294" xr:uid="{00000000-0005-0000-0000-00000F530000}"/>
    <cellStyle name="Normal 3 2 2 4 2 2 4 3" xfId="2981" xr:uid="{00000000-0005-0000-0000-000010530000}"/>
    <cellStyle name="Normal 3 2 2 4 2 2 4 4" xfId="31293" xr:uid="{00000000-0005-0000-0000-000011530000}"/>
    <cellStyle name="Normal 3 2 2 4 2 2 5" xfId="2982" xr:uid="{00000000-0005-0000-0000-000012530000}"/>
    <cellStyle name="Normal 3 2 2 4 2 2 5 2" xfId="2983" xr:uid="{00000000-0005-0000-0000-000013530000}"/>
    <cellStyle name="Normal 3 2 2 4 2 2 5 3" xfId="31295" xr:uid="{00000000-0005-0000-0000-000014530000}"/>
    <cellStyle name="Normal 3 2 2 4 2 2 6" xfId="2984" xr:uid="{00000000-0005-0000-0000-000015530000}"/>
    <cellStyle name="Normal 3 2 2 4 2 2 6 2" xfId="2985" xr:uid="{00000000-0005-0000-0000-000016530000}"/>
    <cellStyle name="Normal 3 2 2 4 2 2 6 3" xfId="31296" xr:uid="{00000000-0005-0000-0000-000017530000}"/>
    <cellStyle name="Normal 3 2 2 4 2 2 7" xfId="2986" xr:uid="{00000000-0005-0000-0000-000018530000}"/>
    <cellStyle name="Normal 3 2 2 4 2 2 8" xfId="31288" xr:uid="{00000000-0005-0000-0000-000019530000}"/>
    <cellStyle name="Normal 3 2 2 4 2 3" xfId="2987" xr:uid="{00000000-0005-0000-0000-00001A530000}"/>
    <cellStyle name="Normal 3 2 2 4 2 3 2" xfId="2988" xr:uid="{00000000-0005-0000-0000-00001B530000}"/>
    <cellStyle name="Normal 3 2 2 4 2 3 2 2" xfId="2989" xr:uid="{00000000-0005-0000-0000-00001C530000}"/>
    <cellStyle name="Normal 3 2 2 4 2 3 2 2 2" xfId="31299" xr:uid="{00000000-0005-0000-0000-00001D530000}"/>
    <cellStyle name="Normal 3 2 2 4 2 3 2 3" xfId="2990" xr:uid="{00000000-0005-0000-0000-00001E530000}"/>
    <cellStyle name="Normal 3 2 2 4 2 3 2 4" xfId="31298" xr:uid="{00000000-0005-0000-0000-00001F530000}"/>
    <cellStyle name="Normal 3 2 2 4 2 3 3" xfId="2991" xr:uid="{00000000-0005-0000-0000-000020530000}"/>
    <cellStyle name="Normal 3 2 2 4 2 3 3 2" xfId="2992" xr:uid="{00000000-0005-0000-0000-000021530000}"/>
    <cellStyle name="Normal 3 2 2 4 2 3 3 2 2" xfId="31301" xr:uid="{00000000-0005-0000-0000-000022530000}"/>
    <cellStyle name="Normal 3 2 2 4 2 3 3 3" xfId="31300" xr:uid="{00000000-0005-0000-0000-000023530000}"/>
    <cellStyle name="Normal 3 2 2 4 2 3 4" xfId="2993" xr:uid="{00000000-0005-0000-0000-000024530000}"/>
    <cellStyle name="Normal 3 2 2 4 2 3 4 2" xfId="2994" xr:uid="{00000000-0005-0000-0000-000025530000}"/>
    <cellStyle name="Normal 3 2 2 4 2 3 4 2 2" xfId="31303" xr:uid="{00000000-0005-0000-0000-000026530000}"/>
    <cellStyle name="Normal 3 2 2 4 2 3 4 3" xfId="31302" xr:uid="{00000000-0005-0000-0000-000027530000}"/>
    <cellStyle name="Normal 3 2 2 4 2 3 5" xfId="2995" xr:uid="{00000000-0005-0000-0000-000028530000}"/>
    <cellStyle name="Normal 3 2 2 4 2 3 5 2" xfId="31304" xr:uid="{00000000-0005-0000-0000-000029530000}"/>
    <cellStyle name="Normal 3 2 2 4 2 3 6" xfId="31305" xr:uid="{00000000-0005-0000-0000-00002A530000}"/>
    <cellStyle name="Normal 3 2 2 4 2 3 7" xfId="31297" xr:uid="{00000000-0005-0000-0000-00002B530000}"/>
    <cellStyle name="Normal 3 2 2 4 2 4" xfId="2996" xr:uid="{00000000-0005-0000-0000-00002C530000}"/>
    <cellStyle name="Normal 3 2 2 4 2 4 2" xfId="2997" xr:uid="{00000000-0005-0000-0000-00002D530000}"/>
    <cellStyle name="Normal 3 2 2 4 2 4 2 2" xfId="2998" xr:uid="{00000000-0005-0000-0000-00002E530000}"/>
    <cellStyle name="Normal 3 2 2 4 2 4 2 2 2" xfId="31308" xr:uid="{00000000-0005-0000-0000-00002F530000}"/>
    <cellStyle name="Normal 3 2 2 4 2 4 2 3" xfId="31307" xr:uid="{00000000-0005-0000-0000-000030530000}"/>
    <cellStyle name="Normal 3 2 2 4 2 4 3" xfId="2999" xr:uid="{00000000-0005-0000-0000-000031530000}"/>
    <cellStyle name="Normal 3 2 2 4 2 4 3 2" xfId="3000" xr:uid="{00000000-0005-0000-0000-000032530000}"/>
    <cellStyle name="Normal 3 2 2 4 2 4 3 2 2" xfId="31310" xr:uid="{00000000-0005-0000-0000-000033530000}"/>
    <cellStyle name="Normal 3 2 2 4 2 4 3 3" xfId="31309" xr:uid="{00000000-0005-0000-0000-000034530000}"/>
    <cellStyle name="Normal 3 2 2 4 2 4 4" xfId="3001" xr:uid="{00000000-0005-0000-0000-000035530000}"/>
    <cellStyle name="Normal 3 2 2 4 2 4 4 2" xfId="31312" xr:uid="{00000000-0005-0000-0000-000036530000}"/>
    <cellStyle name="Normal 3 2 2 4 2 4 4 3" xfId="31311" xr:uid="{00000000-0005-0000-0000-000037530000}"/>
    <cellStyle name="Normal 3 2 2 4 2 4 5" xfId="31313" xr:uid="{00000000-0005-0000-0000-000038530000}"/>
    <cellStyle name="Normal 3 2 2 4 2 4 6" xfId="31314" xr:uid="{00000000-0005-0000-0000-000039530000}"/>
    <cellStyle name="Normal 3 2 2 4 2 4 7" xfId="31306" xr:uid="{00000000-0005-0000-0000-00003A530000}"/>
    <cellStyle name="Normal 3 2 2 4 2 5" xfId="3002" xr:uid="{00000000-0005-0000-0000-00003B530000}"/>
    <cellStyle name="Normal 3 2 2 4 2 5 2" xfId="3003" xr:uid="{00000000-0005-0000-0000-00003C530000}"/>
    <cellStyle name="Normal 3 2 2 4 2 5 2 2" xfId="31317" xr:uid="{00000000-0005-0000-0000-00003D530000}"/>
    <cellStyle name="Normal 3 2 2 4 2 5 2 3" xfId="31316" xr:uid="{00000000-0005-0000-0000-00003E530000}"/>
    <cellStyle name="Normal 3 2 2 4 2 5 3" xfId="3004" xr:uid="{00000000-0005-0000-0000-00003F530000}"/>
    <cellStyle name="Normal 3 2 2 4 2 5 3 2" xfId="31319" xr:uid="{00000000-0005-0000-0000-000040530000}"/>
    <cellStyle name="Normal 3 2 2 4 2 5 3 3" xfId="31318" xr:uid="{00000000-0005-0000-0000-000041530000}"/>
    <cellStyle name="Normal 3 2 2 4 2 5 4" xfId="31320" xr:uid="{00000000-0005-0000-0000-000042530000}"/>
    <cellStyle name="Normal 3 2 2 4 2 5 4 2" xfId="31321" xr:uid="{00000000-0005-0000-0000-000043530000}"/>
    <cellStyle name="Normal 3 2 2 4 2 5 5" xfId="31322" xr:uid="{00000000-0005-0000-0000-000044530000}"/>
    <cellStyle name="Normal 3 2 2 4 2 5 6" xfId="31323" xr:uid="{00000000-0005-0000-0000-000045530000}"/>
    <cellStyle name="Normal 3 2 2 4 2 5 7" xfId="31315" xr:uid="{00000000-0005-0000-0000-000046530000}"/>
    <cellStyle name="Normal 3 2 2 4 2 6" xfId="3005" xr:uid="{00000000-0005-0000-0000-000047530000}"/>
    <cellStyle name="Normal 3 2 2 4 2 6 2" xfId="3006" xr:uid="{00000000-0005-0000-0000-000048530000}"/>
    <cellStyle name="Normal 3 2 2 4 2 6 2 2" xfId="31326" xr:uid="{00000000-0005-0000-0000-000049530000}"/>
    <cellStyle name="Normal 3 2 2 4 2 6 2 3" xfId="31325" xr:uid="{00000000-0005-0000-0000-00004A530000}"/>
    <cellStyle name="Normal 3 2 2 4 2 6 3" xfId="31327" xr:uid="{00000000-0005-0000-0000-00004B530000}"/>
    <cellStyle name="Normal 3 2 2 4 2 6 3 2" xfId="31328" xr:uid="{00000000-0005-0000-0000-00004C530000}"/>
    <cellStyle name="Normal 3 2 2 4 2 6 4" xfId="31329" xr:uid="{00000000-0005-0000-0000-00004D530000}"/>
    <cellStyle name="Normal 3 2 2 4 2 6 5" xfId="31330" xr:uid="{00000000-0005-0000-0000-00004E530000}"/>
    <cellStyle name="Normal 3 2 2 4 2 6 6" xfId="31324" xr:uid="{00000000-0005-0000-0000-00004F530000}"/>
    <cellStyle name="Normal 3 2 2 4 2 7" xfId="3007" xr:uid="{00000000-0005-0000-0000-000050530000}"/>
    <cellStyle name="Normal 3 2 2 4 2 7 2" xfId="3008" xr:uid="{00000000-0005-0000-0000-000051530000}"/>
    <cellStyle name="Normal 3 2 2 4 2 7 2 2" xfId="31332" xr:uid="{00000000-0005-0000-0000-000052530000}"/>
    <cellStyle name="Normal 3 2 2 4 2 7 3" xfId="31331" xr:uid="{00000000-0005-0000-0000-000053530000}"/>
    <cellStyle name="Normal 3 2 2 4 2 8" xfId="3009" xr:uid="{00000000-0005-0000-0000-000054530000}"/>
    <cellStyle name="Normal 3 2 2 4 2 8 2" xfId="31334" xr:uid="{00000000-0005-0000-0000-000055530000}"/>
    <cellStyle name="Normal 3 2 2 4 2 8 3" xfId="31333" xr:uid="{00000000-0005-0000-0000-000056530000}"/>
    <cellStyle name="Normal 3 2 2 4 2 9" xfId="31335" xr:uid="{00000000-0005-0000-0000-000057530000}"/>
    <cellStyle name="Normal 3 2 2 4 2 9 2" xfId="31336" xr:uid="{00000000-0005-0000-0000-000058530000}"/>
    <cellStyle name="Normal 3 2 2 4 3" xfId="3010" xr:uid="{00000000-0005-0000-0000-000059530000}"/>
    <cellStyle name="Normal 3 2 2 4 3 10" xfId="31338" xr:uid="{00000000-0005-0000-0000-00005A530000}"/>
    <cellStyle name="Normal 3 2 2 4 3 11" xfId="31337" xr:uid="{00000000-0005-0000-0000-00005B530000}"/>
    <cellStyle name="Normal 3 2 2 4 3 2" xfId="3011" xr:uid="{00000000-0005-0000-0000-00005C530000}"/>
    <cellStyle name="Normal 3 2 2 4 3 2 2" xfId="3012" xr:uid="{00000000-0005-0000-0000-00005D530000}"/>
    <cellStyle name="Normal 3 2 2 4 3 2 2 2" xfId="3013" xr:uid="{00000000-0005-0000-0000-00005E530000}"/>
    <cellStyle name="Normal 3 2 2 4 3 2 2 2 2" xfId="31341" xr:uid="{00000000-0005-0000-0000-00005F530000}"/>
    <cellStyle name="Normal 3 2 2 4 3 2 2 3" xfId="3014" xr:uid="{00000000-0005-0000-0000-000060530000}"/>
    <cellStyle name="Normal 3 2 2 4 3 2 2 4" xfId="31340" xr:uid="{00000000-0005-0000-0000-000061530000}"/>
    <cellStyle name="Normal 3 2 2 4 3 2 3" xfId="3015" xr:uid="{00000000-0005-0000-0000-000062530000}"/>
    <cellStyle name="Normal 3 2 2 4 3 2 3 2" xfId="3016" xr:uid="{00000000-0005-0000-0000-000063530000}"/>
    <cellStyle name="Normal 3 2 2 4 3 2 3 2 2" xfId="31343" xr:uid="{00000000-0005-0000-0000-000064530000}"/>
    <cellStyle name="Normal 3 2 2 4 3 2 3 3" xfId="31342" xr:uid="{00000000-0005-0000-0000-000065530000}"/>
    <cellStyle name="Normal 3 2 2 4 3 2 4" xfId="3017" xr:uid="{00000000-0005-0000-0000-000066530000}"/>
    <cellStyle name="Normal 3 2 2 4 3 2 4 2" xfId="3018" xr:uid="{00000000-0005-0000-0000-000067530000}"/>
    <cellStyle name="Normal 3 2 2 4 3 2 4 2 2" xfId="31345" xr:uid="{00000000-0005-0000-0000-000068530000}"/>
    <cellStyle name="Normal 3 2 2 4 3 2 4 3" xfId="31344" xr:uid="{00000000-0005-0000-0000-000069530000}"/>
    <cellStyle name="Normal 3 2 2 4 3 2 5" xfId="3019" xr:uid="{00000000-0005-0000-0000-00006A530000}"/>
    <cellStyle name="Normal 3 2 2 4 3 2 5 2" xfId="31346" xr:uid="{00000000-0005-0000-0000-00006B530000}"/>
    <cellStyle name="Normal 3 2 2 4 3 2 6" xfId="31347" xr:uid="{00000000-0005-0000-0000-00006C530000}"/>
    <cellStyle name="Normal 3 2 2 4 3 2 7" xfId="31339" xr:uid="{00000000-0005-0000-0000-00006D530000}"/>
    <cellStyle name="Normal 3 2 2 4 3 3" xfId="3020" xr:uid="{00000000-0005-0000-0000-00006E530000}"/>
    <cellStyle name="Normal 3 2 2 4 3 3 2" xfId="3021" xr:uid="{00000000-0005-0000-0000-00006F530000}"/>
    <cellStyle name="Normal 3 2 2 4 3 3 2 2" xfId="3022" xr:uid="{00000000-0005-0000-0000-000070530000}"/>
    <cellStyle name="Normal 3 2 2 4 3 3 2 2 2" xfId="31350" xr:uid="{00000000-0005-0000-0000-000071530000}"/>
    <cellStyle name="Normal 3 2 2 4 3 3 2 3" xfId="31349" xr:uid="{00000000-0005-0000-0000-000072530000}"/>
    <cellStyle name="Normal 3 2 2 4 3 3 3" xfId="3023" xr:uid="{00000000-0005-0000-0000-000073530000}"/>
    <cellStyle name="Normal 3 2 2 4 3 3 3 2" xfId="3024" xr:uid="{00000000-0005-0000-0000-000074530000}"/>
    <cellStyle name="Normal 3 2 2 4 3 3 3 2 2" xfId="31352" xr:uid="{00000000-0005-0000-0000-000075530000}"/>
    <cellStyle name="Normal 3 2 2 4 3 3 3 3" xfId="31351" xr:uid="{00000000-0005-0000-0000-000076530000}"/>
    <cellStyle name="Normal 3 2 2 4 3 3 4" xfId="3025" xr:uid="{00000000-0005-0000-0000-000077530000}"/>
    <cellStyle name="Normal 3 2 2 4 3 3 4 2" xfId="31354" xr:uid="{00000000-0005-0000-0000-000078530000}"/>
    <cellStyle name="Normal 3 2 2 4 3 3 4 3" xfId="31353" xr:uid="{00000000-0005-0000-0000-000079530000}"/>
    <cellStyle name="Normal 3 2 2 4 3 3 5" xfId="31355" xr:uid="{00000000-0005-0000-0000-00007A530000}"/>
    <cellStyle name="Normal 3 2 2 4 3 3 6" xfId="31356" xr:uid="{00000000-0005-0000-0000-00007B530000}"/>
    <cellStyle name="Normal 3 2 2 4 3 3 7" xfId="31348" xr:uid="{00000000-0005-0000-0000-00007C530000}"/>
    <cellStyle name="Normal 3 2 2 4 3 4" xfId="3026" xr:uid="{00000000-0005-0000-0000-00007D530000}"/>
    <cellStyle name="Normal 3 2 2 4 3 4 2" xfId="3027" xr:uid="{00000000-0005-0000-0000-00007E530000}"/>
    <cellStyle name="Normal 3 2 2 4 3 4 2 2" xfId="31359" xr:uid="{00000000-0005-0000-0000-00007F530000}"/>
    <cellStyle name="Normal 3 2 2 4 3 4 2 3" xfId="31358" xr:uid="{00000000-0005-0000-0000-000080530000}"/>
    <cellStyle name="Normal 3 2 2 4 3 4 3" xfId="3028" xr:uid="{00000000-0005-0000-0000-000081530000}"/>
    <cellStyle name="Normal 3 2 2 4 3 4 3 2" xfId="31361" xr:uid="{00000000-0005-0000-0000-000082530000}"/>
    <cellStyle name="Normal 3 2 2 4 3 4 3 3" xfId="31360" xr:uid="{00000000-0005-0000-0000-000083530000}"/>
    <cellStyle name="Normal 3 2 2 4 3 4 4" xfId="31362" xr:uid="{00000000-0005-0000-0000-000084530000}"/>
    <cellStyle name="Normal 3 2 2 4 3 4 4 2" xfId="31363" xr:uid="{00000000-0005-0000-0000-000085530000}"/>
    <cellStyle name="Normal 3 2 2 4 3 4 5" xfId="31364" xr:uid="{00000000-0005-0000-0000-000086530000}"/>
    <cellStyle name="Normal 3 2 2 4 3 4 6" xfId="31365" xr:uid="{00000000-0005-0000-0000-000087530000}"/>
    <cellStyle name="Normal 3 2 2 4 3 4 7" xfId="31357" xr:uid="{00000000-0005-0000-0000-000088530000}"/>
    <cellStyle name="Normal 3 2 2 4 3 5" xfId="3029" xr:uid="{00000000-0005-0000-0000-000089530000}"/>
    <cellStyle name="Normal 3 2 2 4 3 5 2" xfId="3030" xr:uid="{00000000-0005-0000-0000-00008A530000}"/>
    <cellStyle name="Normal 3 2 2 4 3 5 2 2" xfId="31368" xr:uid="{00000000-0005-0000-0000-00008B530000}"/>
    <cellStyle name="Normal 3 2 2 4 3 5 2 3" xfId="31367" xr:uid="{00000000-0005-0000-0000-00008C530000}"/>
    <cellStyle name="Normal 3 2 2 4 3 5 3" xfId="31369" xr:uid="{00000000-0005-0000-0000-00008D530000}"/>
    <cellStyle name="Normal 3 2 2 4 3 5 3 2" xfId="31370" xr:uid="{00000000-0005-0000-0000-00008E530000}"/>
    <cellStyle name="Normal 3 2 2 4 3 5 4" xfId="31371" xr:uid="{00000000-0005-0000-0000-00008F530000}"/>
    <cellStyle name="Normal 3 2 2 4 3 5 5" xfId="31372" xr:uid="{00000000-0005-0000-0000-000090530000}"/>
    <cellStyle name="Normal 3 2 2 4 3 5 6" xfId="31366" xr:uid="{00000000-0005-0000-0000-000091530000}"/>
    <cellStyle name="Normal 3 2 2 4 3 6" xfId="3031" xr:uid="{00000000-0005-0000-0000-000092530000}"/>
    <cellStyle name="Normal 3 2 2 4 3 6 2" xfId="3032" xr:uid="{00000000-0005-0000-0000-000093530000}"/>
    <cellStyle name="Normal 3 2 2 4 3 6 2 2" xfId="31374" xr:uid="{00000000-0005-0000-0000-000094530000}"/>
    <cellStyle name="Normal 3 2 2 4 3 6 3" xfId="31373" xr:uid="{00000000-0005-0000-0000-000095530000}"/>
    <cellStyle name="Normal 3 2 2 4 3 7" xfId="3033" xr:uid="{00000000-0005-0000-0000-000096530000}"/>
    <cellStyle name="Normal 3 2 2 4 3 7 2" xfId="31376" xr:uid="{00000000-0005-0000-0000-000097530000}"/>
    <cellStyle name="Normal 3 2 2 4 3 7 3" xfId="31375" xr:uid="{00000000-0005-0000-0000-000098530000}"/>
    <cellStyle name="Normal 3 2 2 4 3 8" xfId="31377" xr:uid="{00000000-0005-0000-0000-000099530000}"/>
    <cellStyle name="Normal 3 2 2 4 3 8 2" xfId="31378" xr:uid="{00000000-0005-0000-0000-00009A530000}"/>
    <cellStyle name="Normal 3 2 2 4 3 9" xfId="31379" xr:uid="{00000000-0005-0000-0000-00009B530000}"/>
    <cellStyle name="Normal 3 2 2 4 4" xfId="3034" xr:uid="{00000000-0005-0000-0000-00009C530000}"/>
    <cellStyle name="Normal 3 2 2 4 4 10" xfId="31381" xr:uid="{00000000-0005-0000-0000-00009D530000}"/>
    <cellStyle name="Normal 3 2 2 4 4 11" xfId="31380" xr:uid="{00000000-0005-0000-0000-00009E530000}"/>
    <cellStyle name="Normal 3 2 2 4 4 2" xfId="3035" xr:uid="{00000000-0005-0000-0000-00009F530000}"/>
    <cellStyle name="Normal 3 2 2 4 4 2 2" xfId="3036" xr:uid="{00000000-0005-0000-0000-0000A0530000}"/>
    <cellStyle name="Normal 3 2 2 4 4 2 2 2" xfId="3037" xr:uid="{00000000-0005-0000-0000-0000A1530000}"/>
    <cellStyle name="Normal 3 2 2 4 4 2 2 2 2" xfId="31384" xr:uid="{00000000-0005-0000-0000-0000A2530000}"/>
    <cellStyle name="Normal 3 2 2 4 4 2 2 3" xfId="3038" xr:uid="{00000000-0005-0000-0000-0000A3530000}"/>
    <cellStyle name="Normal 3 2 2 4 4 2 2 4" xfId="31383" xr:uid="{00000000-0005-0000-0000-0000A4530000}"/>
    <cellStyle name="Normal 3 2 2 4 4 2 3" xfId="3039" xr:uid="{00000000-0005-0000-0000-0000A5530000}"/>
    <cellStyle name="Normal 3 2 2 4 4 2 3 2" xfId="3040" xr:uid="{00000000-0005-0000-0000-0000A6530000}"/>
    <cellStyle name="Normal 3 2 2 4 4 2 3 2 2" xfId="31386" xr:uid="{00000000-0005-0000-0000-0000A7530000}"/>
    <cellStyle name="Normal 3 2 2 4 4 2 3 3" xfId="31385" xr:uid="{00000000-0005-0000-0000-0000A8530000}"/>
    <cellStyle name="Normal 3 2 2 4 4 2 4" xfId="3041" xr:uid="{00000000-0005-0000-0000-0000A9530000}"/>
    <cellStyle name="Normal 3 2 2 4 4 2 4 2" xfId="3042" xr:uid="{00000000-0005-0000-0000-0000AA530000}"/>
    <cellStyle name="Normal 3 2 2 4 4 2 4 2 2" xfId="31388" xr:uid="{00000000-0005-0000-0000-0000AB530000}"/>
    <cellStyle name="Normal 3 2 2 4 4 2 4 3" xfId="31387" xr:uid="{00000000-0005-0000-0000-0000AC530000}"/>
    <cellStyle name="Normal 3 2 2 4 4 2 5" xfId="3043" xr:uid="{00000000-0005-0000-0000-0000AD530000}"/>
    <cellStyle name="Normal 3 2 2 4 4 2 5 2" xfId="31389" xr:uid="{00000000-0005-0000-0000-0000AE530000}"/>
    <cellStyle name="Normal 3 2 2 4 4 2 6" xfId="31390" xr:uid="{00000000-0005-0000-0000-0000AF530000}"/>
    <cellStyle name="Normal 3 2 2 4 4 2 7" xfId="31382" xr:uid="{00000000-0005-0000-0000-0000B0530000}"/>
    <cellStyle name="Normal 3 2 2 4 4 3" xfId="3044" xr:uid="{00000000-0005-0000-0000-0000B1530000}"/>
    <cellStyle name="Normal 3 2 2 4 4 3 2" xfId="3045" xr:uid="{00000000-0005-0000-0000-0000B2530000}"/>
    <cellStyle name="Normal 3 2 2 4 4 3 2 2" xfId="3046" xr:uid="{00000000-0005-0000-0000-0000B3530000}"/>
    <cellStyle name="Normal 3 2 2 4 4 3 2 2 2" xfId="31393" xr:uid="{00000000-0005-0000-0000-0000B4530000}"/>
    <cellStyle name="Normal 3 2 2 4 4 3 2 3" xfId="31392" xr:uid="{00000000-0005-0000-0000-0000B5530000}"/>
    <cellStyle name="Normal 3 2 2 4 4 3 3" xfId="3047" xr:uid="{00000000-0005-0000-0000-0000B6530000}"/>
    <cellStyle name="Normal 3 2 2 4 4 3 3 2" xfId="3048" xr:uid="{00000000-0005-0000-0000-0000B7530000}"/>
    <cellStyle name="Normal 3 2 2 4 4 3 3 2 2" xfId="31395" xr:uid="{00000000-0005-0000-0000-0000B8530000}"/>
    <cellStyle name="Normal 3 2 2 4 4 3 3 3" xfId="31394" xr:uid="{00000000-0005-0000-0000-0000B9530000}"/>
    <cellStyle name="Normal 3 2 2 4 4 3 4" xfId="3049" xr:uid="{00000000-0005-0000-0000-0000BA530000}"/>
    <cellStyle name="Normal 3 2 2 4 4 3 4 2" xfId="31397" xr:uid="{00000000-0005-0000-0000-0000BB530000}"/>
    <cellStyle name="Normal 3 2 2 4 4 3 4 3" xfId="31396" xr:uid="{00000000-0005-0000-0000-0000BC530000}"/>
    <cellStyle name="Normal 3 2 2 4 4 3 5" xfId="31398" xr:uid="{00000000-0005-0000-0000-0000BD530000}"/>
    <cellStyle name="Normal 3 2 2 4 4 3 6" xfId="31399" xr:uid="{00000000-0005-0000-0000-0000BE530000}"/>
    <cellStyle name="Normal 3 2 2 4 4 3 7" xfId="31391" xr:uid="{00000000-0005-0000-0000-0000BF530000}"/>
    <cellStyle name="Normal 3 2 2 4 4 4" xfId="3050" xr:uid="{00000000-0005-0000-0000-0000C0530000}"/>
    <cellStyle name="Normal 3 2 2 4 4 4 2" xfId="3051" xr:uid="{00000000-0005-0000-0000-0000C1530000}"/>
    <cellStyle name="Normal 3 2 2 4 4 4 2 2" xfId="31402" xr:uid="{00000000-0005-0000-0000-0000C2530000}"/>
    <cellStyle name="Normal 3 2 2 4 4 4 2 3" xfId="31401" xr:uid="{00000000-0005-0000-0000-0000C3530000}"/>
    <cellStyle name="Normal 3 2 2 4 4 4 3" xfId="3052" xr:uid="{00000000-0005-0000-0000-0000C4530000}"/>
    <cellStyle name="Normal 3 2 2 4 4 4 3 2" xfId="31404" xr:uid="{00000000-0005-0000-0000-0000C5530000}"/>
    <cellStyle name="Normal 3 2 2 4 4 4 3 3" xfId="31403" xr:uid="{00000000-0005-0000-0000-0000C6530000}"/>
    <cellStyle name="Normal 3 2 2 4 4 4 4" xfId="31405" xr:uid="{00000000-0005-0000-0000-0000C7530000}"/>
    <cellStyle name="Normal 3 2 2 4 4 4 4 2" xfId="31406" xr:uid="{00000000-0005-0000-0000-0000C8530000}"/>
    <cellStyle name="Normal 3 2 2 4 4 4 5" xfId="31407" xr:uid="{00000000-0005-0000-0000-0000C9530000}"/>
    <cellStyle name="Normal 3 2 2 4 4 4 6" xfId="31408" xr:uid="{00000000-0005-0000-0000-0000CA530000}"/>
    <cellStyle name="Normal 3 2 2 4 4 4 7" xfId="31400" xr:uid="{00000000-0005-0000-0000-0000CB530000}"/>
    <cellStyle name="Normal 3 2 2 4 4 5" xfId="3053" xr:uid="{00000000-0005-0000-0000-0000CC530000}"/>
    <cellStyle name="Normal 3 2 2 4 4 5 2" xfId="3054" xr:uid="{00000000-0005-0000-0000-0000CD530000}"/>
    <cellStyle name="Normal 3 2 2 4 4 5 2 2" xfId="31411" xr:uid="{00000000-0005-0000-0000-0000CE530000}"/>
    <cellStyle name="Normal 3 2 2 4 4 5 2 3" xfId="31410" xr:uid="{00000000-0005-0000-0000-0000CF530000}"/>
    <cellStyle name="Normal 3 2 2 4 4 5 3" xfId="31412" xr:uid="{00000000-0005-0000-0000-0000D0530000}"/>
    <cellStyle name="Normal 3 2 2 4 4 5 3 2" xfId="31413" xr:uid="{00000000-0005-0000-0000-0000D1530000}"/>
    <cellStyle name="Normal 3 2 2 4 4 5 4" xfId="31414" xr:uid="{00000000-0005-0000-0000-0000D2530000}"/>
    <cellStyle name="Normal 3 2 2 4 4 5 5" xfId="31415" xr:uid="{00000000-0005-0000-0000-0000D3530000}"/>
    <cellStyle name="Normal 3 2 2 4 4 5 6" xfId="31409" xr:uid="{00000000-0005-0000-0000-0000D4530000}"/>
    <cellStyle name="Normal 3 2 2 4 4 6" xfId="3055" xr:uid="{00000000-0005-0000-0000-0000D5530000}"/>
    <cellStyle name="Normal 3 2 2 4 4 6 2" xfId="3056" xr:uid="{00000000-0005-0000-0000-0000D6530000}"/>
    <cellStyle name="Normal 3 2 2 4 4 6 2 2" xfId="31417" xr:uid="{00000000-0005-0000-0000-0000D7530000}"/>
    <cellStyle name="Normal 3 2 2 4 4 6 3" xfId="31416" xr:uid="{00000000-0005-0000-0000-0000D8530000}"/>
    <cellStyle name="Normal 3 2 2 4 4 7" xfId="3057" xr:uid="{00000000-0005-0000-0000-0000D9530000}"/>
    <cellStyle name="Normal 3 2 2 4 4 7 2" xfId="31419" xr:uid="{00000000-0005-0000-0000-0000DA530000}"/>
    <cellStyle name="Normal 3 2 2 4 4 7 3" xfId="31418" xr:uid="{00000000-0005-0000-0000-0000DB530000}"/>
    <cellStyle name="Normal 3 2 2 4 4 8" xfId="31420" xr:uid="{00000000-0005-0000-0000-0000DC530000}"/>
    <cellStyle name="Normal 3 2 2 4 4 8 2" xfId="31421" xr:uid="{00000000-0005-0000-0000-0000DD530000}"/>
    <cellStyle name="Normal 3 2 2 4 4 9" xfId="31422" xr:uid="{00000000-0005-0000-0000-0000DE530000}"/>
    <cellStyle name="Normal 3 2 2 4 5" xfId="3058" xr:uid="{00000000-0005-0000-0000-0000DF530000}"/>
    <cellStyle name="Normal 3 2 2 4 5 2" xfId="3059" xr:uid="{00000000-0005-0000-0000-0000E0530000}"/>
    <cellStyle name="Normal 3 2 2 4 5 2 2" xfId="3060" xr:uid="{00000000-0005-0000-0000-0000E1530000}"/>
    <cellStyle name="Normal 3 2 2 4 5 2 2 2" xfId="3061" xr:uid="{00000000-0005-0000-0000-0000E2530000}"/>
    <cellStyle name="Normal 3 2 2 4 5 2 2 3" xfId="31425" xr:uid="{00000000-0005-0000-0000-0000E3530000}"/>
    <cellStyle name="Normal 3 2 2 4 5 2 3" xfId="3062" xr:uid="{00000000-0005-0000-0000-0000E4530000}"/>
    <cellStyle name="Normal 3 2 2 4 5 2 3 2" xfId="3063" xr:uid="{00000000-0005-0000-0000-0000E5530000}"/>
    <cellStyle name="Normal 3 2 2 4 5 2 4" xfId="3064" xr:uid="{00000000-0005-0000-0000-0000E6530000}"/>
    <cellStyle name="Normal 3 2 2 4 5 2 5" xfId="31424" xr:uid="{00000000-0005-0000-0000-0000E7530000}"/>
    <cellStyle name="Normal 3 2 2 4 5 3" xfId="3065" xr:uid="{00000000-0005-0000-0000-0000E8530000}"/>
    <cellStyle name="Normal 3 2 2 4 5 3 2" xfId="3066" xr:uid="{00000000-0005-0000-0000-0000E9530000}"/>
    <cellStyle name="Normal 3 2 2 4 5 3 2 2" xfId="31427" xr:uid="{00000000-0005-0000-0000-0000EA530000}"/>
    <cellStyle name="Normal 3 2 2 4 5 3 3" xfId="3067" xr:uid="{00000000-0005-0000-0000-0000EB530000}"/>
    <cellStyle name="Normal 3 2 2 4 5 3 4" xfId="31426" xr:uid="{00000000-0005-0000-0000-0000EC530000}"/>
    <cellStyle name="Normal 3 2 2 4 5 4" xfId="3068" xr:uid="{00000000-0005-0000-0000-0000ED530000}"/>
    <cellStyle name="Normal 3 2 2 4 5 4 2" xfId="3069" xr:uid="{00000000-0005-0000-0000-0000EE530000}"/>
    <cellStyle name="Normal 3 2 2 4 5 4 2 2" xfId="31429" xr:uid="{00000000-0005-0000-0000-0000EF530000}"/>
    <cellStyle name="Normal 3 2 2 4 5 4 3" xfId="31428" xr:uid="{00000000-0005-0000-0000-0000F0530000}"/>
    <cellStyle name="Normal 3 2 2 4 5 5" xfId="3070" xr:uid="{00000000-0005-0000-0000-0000F1530000}"/>
    <cellStyle name="Normal 3 2 2 4 5 5 2" xfId="3071" xr:uid="{00000000-0005-0000-0000-0000F2530000}"/>
    <cellStyle name="Normal 3 2 2 4 5 5 3" xfId="31430" xr:uid="{00000000-0005-0000-0000-0000F3530000}"/>
    <cellStyle name="Normal 3 2 2 4 5 6" xfId="3072" xr:uid="{00000000-0005-0000-0000-0000F4530000}"/>
    <cellStyle name="Normal 3 2 2 4 5 6 2" xfId="31431" xr:uid="{00000000-0005-0000-0000-0000F5530000}"/>
    <cellStyle name="Normal 3 2 2 4 5 7" xfId="31423" xr:uid="{00000000-0005-0000-0000-0000F6530000}"/>
    <cellStyle name="Normal 3 2 2 4 6" xfId="3073" xr:uid="{00000000-0005-0000-0000-0000F7530000}"/>
    <cellStyle name="Normal 3 2 2 4 6 2" xfId="3074" xr:uid="{00000000-0005-0000-0000-0000F8530000}"/>
    <cellStyle name="Normal 3 2 2 4 6 2 2" xfId="3075" xr:uid="{00000000-0005-0000-0000-0000F9530000}"/>
    <cellStyle name="Normal 3 2 2 4 6 2 2 2" xfId="31434" xr:uid="{00000000-0005-0000-0000-0000FA530000}"/>
    <cellStyle name="Normal 3 2 2 4 6 2 3" xfId="31433" xr:uid="{00000000-0005-0000-0000-0000FB530000}"/>
    <cellStyle name="Normal 3 2 2 4 6 3" xfId="3076" xr:uid="{00000000-0005-0000-0000-0000FC530000}"/>
    <cellStyle name="Normal 3 2 2 4 6 3 2" xfId="3077" xr:uid="{00000000-0005-0000-0000-0000FD530000}"/>
    <cellStyle name="Normal 3 2 2 4 6 3 2 2" xfId="31436" xr:uid="{00000000-0005-0000-0000-0000FE530000}"/>
    <cellStyle name="Normal 3 2 2 4 6 3 3" xfId="31435" xr:uid="{00000000-0005-0000-0000-0000FF530000}"/>
    <cellStyle name="Normal 3 2 2 4 6 4" xfId="3078" xr:uid="{00000000-0005-0000-0000-000000540000}"/>
    <cellStyle name="Normal 3 2 2 4 6 4 2" xfId="31438" xr:uid="{00000000-0005-0000-0000-000001540000}"/>
    <cellStyle name="Normal 3 2 2 4 6 4 3" xfId="31437" xr:uid="{00000000-0005-0000-0000-000002540000}"/>
    <cellStyle name="Normal 3 2 2 4 6 5" xfId="31439" xr:uid="{00000000-0005-0000-0000-000003540000}"/>
    <cellStyle name="Normal 3 2 2 4 6 6" xfId="31440" xr:uid="{00000000-0005-0000-0000-000004540000}"/>
    <cellStyle name="Normal 3 2 2 4 6 7" xfId="31432" xr:uid="{00000000-0005-0000-0000-000005540000}"/>
    <cellStyle name="Normal 3 2 2 4 7" xfId="3079" xr:uid="{00000000-0005-0000-0000-000006540000}"/>
    <cellStyle name="Normal 3 2 2 4 7 2" xfId="3080" xr:uid="{00000000-0005-0000-0000-000007540000}"/>
    <cellStyle name="Normal 3 2 2 4 7 2 2" xfId="3081" xr:uid="{00000000-0005-0000-0000-000008540000}"/>
    <cellStyle name="Normal 3 2 2 4 7 2 2 2" xfId="31443" xr:uid="{00000000-0005-0000-0000-000009540000}"/>
    <cellStyle name="Normal 3 2 2 4 7 2 3" xfId="31442" xr:uid="{00000000-0005-0000-0000-00000A540000}"/>
    <cellStyle name="Normal 3 2 2 4 7 3" xfId="3082" xr:uid="{00000000-0005-0000-0000-00000B540000}"/>
    <cellStyle name="Normal 3 2 2 4 7 3 2" xfId="3083" xr:uid="{00000000-0005-0000-0000-00000C540000}"/>
    <cellStyle name="Normal 3 2 2 4 7 3 2 2" xfId="31445" xr:uid="{00000000-0005-0000-0000-00000D540000}"/>
    <cellStyle name="Normal 3 2 2 4 7 3 3" xfId="31444" xr:uid="{00000000-0005-0000-0000-00000E540000}"/>
    <cellStyle name="Normal 3 2 2 4 7 4" xfId="3084" xr:uid="{00000000-0005-0000-0000-00000F540000}"/>
    <cellStyle name="Normal 3 2 2 4 7 4 2" xfId="31447" xr:uid="{00000000-0005-0000-0000-000010540000}"/>
    <cellStyle name="Normal 3 2 2 4 7 4 3" xfId="31446" xr:uid="{00000000-0005-0000-0000-000011540000}"/>
    <cellStyle name="Normal 3 2 2 4 7 5" xfId="31448" xr:uid="{00000000-0005-0000-0000-000012540000}"/>
    <cellStyle name="Normal 3 2 2 4 7 6" xfId="31449" xr:uid="{00000000-0005-0000-0000-000013540000}"/>
    <cellStyle name="Normal 3 2 2 4 7 7" xfId="31441" xr:uid="{00000000-0005-0000-0000-000014540000}"/>
    <cellStyle name="Normal 3 2 2 4 8" xfId="3085" xr:uid="{00000000-0005-0000-0000-000015540000}"/>
    <cellStyle name="Normal 3 2 2 4 8 2" xfId="3086" xr:uid="{00000000-0005-0000-0000-000016540000}"/>
    <cellStyle name="Normal 3 2 2 4 8 2 2" xfId="31452" xr:uid="{00000000-0005-0000-0000-000017540000}"/>
    <cellStyle name="Normal 3 2 2 4 8 2 3" xfId="31451" xr:uid="{00000000-0005-0000-0000-000018540000}"/>
    <cellStyle name="Normal 3 2 2 4 8 3" xfId="3087" xr:uid="{00000000-0005-0000-0000-000019540000}"/>
    <cellStyle name="Normal 3 2 2 4 8 3 2" xfId="31454" xr:uid="{00000000-0005-0000-0000-00001A540000}"/>
    <cellStyle name="Normal 3 2 2 4 8 3 3" xfId="31453" xr:uid="{00000000-0005-0000-0000-00001B540000}"/>
    <cellStyle name="Normal 3 2 2 4 8 4" xfId="31455" xr:uid="{00000000-0005-0000-0000-00001C540000}"/>
    <cellStyle name="Normal 3 2 2 4 8 5" xfId="31456" xr:uid="{00000000-0005-0000-0000-00001D540000}"/>
    <cellStyle name="Normal 3 2 2 4 8 6" xfId="31450" xr:uid="{00000000-0005-0000-0000-00001E540000}"/>
    <cellStyle name="Normal 3 2 2 4 9" xfId="3088" xr:uid="{00000000-0005-0000-0000-00001F540000}"/>
    <cellStyle name="Normal 3 2 2 4 9 2" xfId="3089" xr:uid="{00000000-0005-0000-0000-000020540000}"/>
    <cellStyle name="Normal 3 2 2 4 9 2 2" xfId="31458" xr:uid="{00000000-0005-0000-0000-000021540000}"/>
    <cellStyle name="Normal 3 2 2 4 9 3" xfId="31457" xr:uid="{00000000-0005-0000-0000-000022540000}"/>
    <cellStyle name="Normal 3 2 2 5" xfId="3090" xr:uid="{00000000-0005-0000-0000-000023540000}"/>
    <cellStyle name="Normal 3 2 2 5 10" xfId="3091" xr:uid="{00000000-0005-0000-0000-000024540000}"/>
    <cellStyle name="Normal 3 2 2 5 10 2" xfId="31461" xr:uid="{00000000-0005-0000-0000-000025540000}"/>
    <cellStyle name="Normal 3 2 2 5 10 3" xfId="31460" xr:uid="{00000000-0005-0000-0000-000026540000}"/>
    <cellStyle name="Normal 3 2 2 5 11" xfId="31462" xr:uid="{00000000-0005-0000-0000-000027540000}"/>
    <cellStyle name="Normal 3 2 2 5 12" xfId="31463" xr:uid="{00000000-0005-0000-0000-000028540000}"/>
    <cellStyle name="Normal 3 2 2 5 13" xfId="31459" xr:uid="{00000000-0005-0000-0000-000029540000}"/>
    <cellStyle name="Normal 3 2 2 5 2" xfId="3092" xr:uid="{00000000-0005-0000-0000-00002A540000}"/>
    <cellStyle name="Normal 3 2 2 5 2 10" xfId="31465" xr:uid="{00000000-0005-0000-0000-00002B540000}"/>
    <cellStyle name="Normal 3 2 2 5 2 11" xfId="31464" xr:uid="{00000000-0005-0000-0000-00002C540000}"/>
    <cellStyle name="Normal 3 2 2 5 2 2" xfId="3093" xr:uid="{00000000-0005-0000-0000-00002D540000}"/>
    <cellStyle name="Normal 3 2 2 5 2 2 2" xfId="3094" xr:uid="{00000000-0005-0000-0000-00002E540000}"/>
    <cellStyle name="Normal 3 2 2 5 2 2 2 2" xfId="3095" xr:uid="{00000000-0005-0000-0000-00002F540000}"/>
    <cellStyle name="Normal 3 2 2 5 2 2 2 2 2" xfId="31468" xr:uid="{00000000-0005-0000-0000-000030540000}"/>
    <cellStyle name="Normal 3 2 2 5 2 2 2 3" xfId="3096" xr:uid="{00000000-0005-0000-0000-000031540000}"/>
    <cellStyle name="Normal 3 2 2 5 2 2 2 4" xfId="31467" xr:uid="{00000000-0005-0000-0000-000032540000}"/>
    <cellStyle name="Normal 3 2 2 5 2 2 3" xfId="3097" xr:uid="{00000000-0005-0000-0000-000033540000}"/>
    <cellStyle name="Normal 3 2 2 5 2 2 3 2" xfId="3098" xr:uid="{00000000-0005-0000-0000-000034540000}"/>
    <cellStyle name="Normal 3 2 2 5 2 2 3 2 2" xfId="31470" xr:uid="{00000000-0005-0000-0000-000035540000}"/>
    <cellStyle name="Normal 3 2 2 5 2 2 3 3" xfId="31469" xr:uid="{00000000-0005-0000-0000-000036540000}"/>
    <cellStyle name="Normal 3 2 2 5 2 2 4" xfId="3099" xr:uid="{00000000-0005-0000-0000-000037540000}"/>
    <cellStyle name="Normal 3 2 2 5 2 2 4 2" xfId="3100" xr:uid="{00000000-0005-0000-0000-000038540000}"/>
    <cellStyle name="Normal 3 2 2 5 2 2 4 2 2" xfId="31472" xr:uid="{00000000-0005-0000-0000-000039540000}"/>
    <cellStyle name="Normal 3 2 2 5 2 2 4 3" xfId="31471" xr:uid="{00000000-0005-0000-0000-00003A540000}"/>
    <cellStyle name="Normal 3 2 2 5 2 2 5" xfId="3101" xr:uid="{00000000-0005-0000-0000-00003B540000}"/>
    <cellStyle name="Normal 3 2 2 5 2 2 5 2" xfId="31473" xr:uid="{00000000-0005-0000-0000-00003C540000}"/>
    <cellStyle name="Normal 3 2 2 5 2 2 6" xfId="31474" xr:uid="{00000000-0005-0000-0000-00003D540000}"/>
    <cellStyle name="Normal 3 2 2 5 2 2 7" xfId="31466" xr:uid="{00000000-0005-0000-0000-00003E540000}"/>
    <cellStyle name="Normal 3 2 2 5 2 3" xfId="3102" xr:uid="{00000000-0005-0000-0000-00003F540000}"/>
    <cellStyle name="Normal 3 2 2 5 2 3 2" xfId="3103" xr:uid="{00000000-0005-0000-0000-000040540000}"/>
    <cellStyle name="Normal 3 2 2 5 2 3 2 2" xfId="3104" xr:uid="{00000000-0005-0000-0000-000041540000}"/>
    <cellStyle name="Normal 3 2 2 5 2 3 2 2 2" xfId="31477" xr:uid="{00000000-0005-0000-0000-000042540000}"/>
    <cellStyle name="Normal 3 2 2 5 2 3 2 3" xfId="31476" xr:uid="{00000000-0005-0000-0000-000043540000}"/>
    <cellStyle name="Normal 3 2 2 5 2 3 3" xfId="3105" xr:uid="{00000000-0005-0000-0000-000044540000}"/>
    <cellStyle name="Normal 3 2 2 5 2 3 3 2" xfId="3106" xr:uid="{00000000-0005-0000-0000-000045540000}"/>
    <cellStyle name="Normal 3 2 2 5 2 3 3 2 2" xfId="31479" xr:uid="{00000000-0005-0000-0000-000046540000}"/>
    <cellStyle name="Normal 3 2 2 5 2 3 3 3" xfId="31478" xr:uid="{00000000-0005-0000-0000-000047540000}"/>
    <cellStyle name="Normal 3 2 2 5 2 3 4" xfId="3107" xr:uid="{00000000-0005-0000-0000-000048540000}"/>
    <cellStyle name="Normal 3 2 2 5 2 3 4 2" xfId="31481" xr:uid="{00000000-0005-0000-0000-000049540000}"/>
    <cellStyle name="Normal 3 2 2 5 2 3 4 3" xfId="31480" xr:uid="{00000000-0005-0000-0000-00004A540000}"/>
    <cellStyle name="Normal 3 2 2 5 2 3 5" xfId="31482" xr:uid="{00000000-0005-0000-0000-00004B540000}"/>
    <cellStyle name="Normal 3 2 2 5 2 3 6" xfId="31483" xr:uid="{00000000-0005-0000-0000-00004C540000}"/>
    <cellStyle name="Normal 3 2 2 5 2 3 7" xfId="31475" xr:uid="{00000000-0005-0000-0000-00004D540000}"/>
    <cellStyle name="Normal 3 2 2 5 2 4" xfId="3108" xr:uid="{00000000-0005-0000-0000-00004E540000}"/>
    <cellStyle name="Normal 3 2 2 5 2 4 2" xfId="3109" xr:uid="{00000000-0005-0000-0000-00004F540000}"/>
    <cellStyle name="Normal 3 2 2 5 2 4 2 2" xfId="31486" xr:uid="{00000000-0005-0000-0000-000050540000}"/>
    <cellStyle name="Normal 3 2 2 5 2 4 2 3" xfId="31485" xr:uid="{00000000-0005-0000-0000-000051540000}"/>
    <cellStyle name="Normal 3 2 2 5 2 4 3" xfId="3110" xr:uid="{00000000-0005-0000-0000-000052540000}"/>
    <cellStyle name="Normal 3 2 2 5 2 4 3 2" xfId="31488" xr:uid="{00000000-0005-0000-0000-000053540000}"/>
    <cellStyle name="Normal 3 2 2 5 2 4 3 3" xfId="31487" xr:uid="{00000000-0005-0000-0000-000054540000}"/>
    <cellStyle name="Normal 3 2 2 5 2 4 4" xfId="31489" xr:uid="{00000000-0005-0000-0000-000055540000}"/>
    <cellStyle name="Normal 3 2 2 5 2 4 4 2" xfId="31490" xr:uid="{00000000-0005-0000-0000-000056540000}"/>
    <cellStyle name="Normal 3 2 2 5 2 4 5" xfId="31491" xr:uid="{00000000-0005-0000-0000-000057540000}"/>
    <cellStyle name="Normal 3 2 2 5 2 4 6" xfId="31492" xr:uid="{00000000-0005-0000-0000-000058540000}"/>
    <cellStyle name="Normal 3 2 2 5 2 4 7" xfId="31484" xr:uid="{00000000-0005-0000-0000-000059540000}"/>
    <cellStyle name="Normal 3 2 2 5 2 5" xfId="3111" xr:uid="{00000000-0005-0000-0000-00005A540000}"/>
    <cellStyle name="Normal 3 2 2 5 2 5 2" xfId="3112" xr:uid="{00000000-0005-0000-0000-00005B540000}"/>
    <cellStyle name="Normal 3 2 2 5 2 5 2 2" xfId="31495" xr:uid="{00000000-0005-0000-0000-00005C540000}"/>
    <cellStyle name="Normal 3 2 2 5 2 5 2 3" xfId="31494" xr:uid="{00000000-0005-0000-0000-00005D540000}"/>
    <cellStyle name="Normal 3 2 2 5 2 5 3" xfId="31496" xr:uid="{00000000-0005-0000-0000-00005E540000}"/>
    <cellStyle name="Normal 3 2 2 5 2 5 3 2" xfId="31497" xr:uid="{00000000-0005-0000-0000-00005F540000}"/>
    <cellStyle name="Normal 3 2 2 5 2 5 4" xfId="31498" xr:uid="{00000000-0005-0000-0000-000060540000}"/>
    <cellStyle name="Normal 3 2 2 5 2 5 5" xfId="31499" xr:uid="{00000000-0005-0000-0000-000061540000}"/>
    <cellStyle name="Normal 3 2 2 5 2 5 6" xfId="31493" xr:uid="{00000000-0005-0000-0000-000062540000}"/>
    <cellStyle name="Normal 3 2 2 5 2 6" xfId="3113" xr:uid="{00000000-0005-0000-0000-000063540000}"/>
    <cellStyle name="Normal 3 2 2 5 2 6 2" xfId="3114" xr:uid="{00000000-0005-0000-0000-000064540000}"/>
    <cellStyle name="Normal 3 2 2 5 2 6 2 2" xfId="31501" xr:uid="{00000000-0005-0000-0000-000065540000}"/>
    <cellStyle name="Normal 3 2 2 5 2 6 3" xfId="31500" xr:uid="{00000000-0005-0000-0000-000066540000}"/>
    <cellStyle name="Normal 3 2 2 5 2 7" xfId="3115" xr:uid="{00000000-0005-0000-0000-000067540000}"/>
    <cellStyle name="Normal 3 2 2 5 2 7 2" xfId="31503" xr:uid="{00000000-0005-0000-0000-000068540000}"/>
    <cellStyle name="Normal 3 2 2 5 2 7 3" xfId="31502" xr:uid="{00000000-0005-0000-0000-000069540000}"/>
    <cellStyle name="Normal 3 2 2 5 2 8" xfId="31504" xr:uid="{00000000-0005-0000-0000-00006A540000}"/>
    <cellStyle name="Normal 3 2 2 5 2 8 2" xfId="31505" xr:uid="{00000000-0005-0000-0000-00006B540000}"/>
    <cellStyle name="Normal 3 2 2 5 2 9" xfId="31506" xr:uid="{00000000-0005-0000-0000-00006C540000}"/>
    <cellStyle name="Normal 3 2 2 5 3" xfId="3116" xr:uid="{00000000-0005-0000-0000-00006D540000}"/>
    <cellStyle name="Normal 3 2 2 5 3 10" xfId="31508" xr:uid="{00000000-0005-0000-0000-00006E540000}"/>
    <cellStyle name="Normal 3 2 2 5 3 11" xfId="31507" xr:uid="{00000000-0005-0000-0000-00006F540000}"/>
    <cellStyle name="Normal 3 2 2 5 3 2" xfId="3117" xr:uid="{00000000-0005-0000-0000-000070540000}"/>
    <cellStyle name="Normal 3 2 2 5 3 2 2" xfId="3118" xr:uid="{00000000-0005-0000-0000-000071540000}"/>
    <cellStyle name="Normal 3 2 2 5 3 2 2 2" xfId="3119" xr:uid="{00000000-0005-0000-0000-000072540000}"/>
    <cellStyle name="Normal 3 2 2 5 3 2 2 2 2" xfId="31511" xr:uid="{00000000-0005-0000-0000-000073540000}"/>
    <cellStyle name="Normal 3 2 2 5 3 2 2 3" xfId="3120" xr:uid="{00000000-0005-0000-0000-000074540000}"/>
    <cellStyle name="Normal 3 2 2 5 3 2 2 4" xfId="31510" xr:uid="{00000000-0005-0000-0000-000075540000}"/>
    <cellStyle name="Normal 3 2 2 5 3 2 3" xfId="3121" xr:uid="{00000000-0005-0000-0000-000076540000}"/>
    <cellStyle name="Normal 3 2 2 5 3 2 3 2" xfId="3122" xr:uid="{00000000-0005-0000-0000-000077540000}"/>
    <cellStyle name="Normal 3 2 2 5 3 2 3 2 2" xfId="31513" xr:uid="{00000000-0005-0000-0000-000078540000}"/>
    <cellStyle name="Normal 3 2 2 5 3 2 3 3" xfId="31512" xr:uid="{00000000-0005-0000-0000-000079540000}"/>
    <cellStyle name="Normal 3 2 2 5 3 2 4" xfId="3123" xr:uid="{00000000-0005-0000-0000-00007A540000}"/>
    <cellStyle name="Normal 3 2 2 5 3 2 4 2" xfId="3124" xr:uid="{00000000-0005-0000-0000-00007B540000}"/>
    <cellStyle name="Normal 3 2 2 5 3 2 4 2 2" xfId="31515" xr:uid="{00000000-0005-0000-0000-00007C540000}"/>
    <cellStyle name="Normal 3 2 2 5 3 2 4 3" xfId="31514" xr:uid="{00000000-0005-0000-0000-00007D540000}"/>
    <cellStyle name="Normal 3 2 2 5 3 2 5" xfId="3125" xr:uid="{00000000-0005-0000-0000-00007E540000}"/>
    <cellStyle name="Normal 3 2 2 5 3 2 5 2" xfId="31516" xr:uid="{00000000-0005-0000-0000-00007F540000}"/>
    <cellStyle name="Normal 3 2 2 5 3 2 6" xfId="31517" xr:uid="{00000000-0005-0000-0000-000080540000}"/>
    <cellStyle name="Normal 3 2 2 5 3 2 7" xfId="31509" xr:uid="{00000000-0005-0000-0000-000081540000}"/>
    <cellStyle name="Normal 3 2 2 5 3 3" xfId="3126" xr:uid="{00000000-0005-0000-0000-000082540000}"/>
    <cellStyle name="Normal 3 2 2 5 3 3 2" xfId="3127" xr:uid="{00000000-0005-0000-0000-000083540000}"/>
    <cellStyle name="Normal 3 2 2 5 3 3 2 2" xfId="3128" xr:uid="{00000000-0005-0000-0000-000084540000}"/>
    <cellStyle name="Normal 3 2 2 5 3 3 2 2 2" xfId="31520" xr:uid="{00000000-0005-0000-0000-000085540000}"/>
    <cellStyle name="Normal 3 2 2 5 3 3 2 3" xfId="31519" xr:uid="{00000000-0005-0000-0000-000086540000}"/>
    <cellStyle name="Normal 3 2 2 5 3 3 3" xfId="3129" xr:uid="{00000000-0005-0000-0000-000087540000}"/>
    <cellStyle name="Normal 3 2 2 5 3 3 3 2" xfId="3130" xr:uid="{00000000-0005-0000-0000-000088540000}"/>
    <cellStyle name="Normal 3 2 2 5 3 3 3 2 2" xfId="31522" xr:uid="{00000000-0005-0000-0000-000089540000}"/>
    <cellStyle name="Normal 3 2 2 5 3 3 3 3" xfId="31521" xr:uid="{00000000-0005-0000-0000-00008A540000}"/>
    <cellStyle name="Normal 3 2 2 5 3 3 4" xfId="3131" xr:uid="{00000000-0005-0000-0000-00008B540000}"/>
    <cellStyle name="Normal 3 2 2 5 3 3 4 2" xfId="31524" xr:uid="{00000000-0005-0000-0000-00008C540000}"/>
    <cellStyle name="Normal 3 2 2 5 3 3 4 3" xfId="31523" xr:uid="{00000000-0005-0000-0000-00008D540000}"/>
    <cellStyle name="Normal 3 2 2 5 3 3 5" xfId="31525" xr:uid="{00000000-0005-0000-0000-00008E540000}"/>
    <cellStyle name="Normal 3 2 2 5 3 3 6" xfId="31526" xr:uid="{00000000-0005-0000-0000-00008F540000}"/>
    <cellStyle name="Normal 3 2 2 5 3 3 7" xfId="31518" xr:uid="{00000000-0005-0000-0000-000090540000}"/>
    <cellStyle name="Normal 3 2 2 5 3 4" xfId="3132" xr:uid="{00000000-0005-0000-0000-000091540000}"/>
    <cellStyle name="Normal 3 2 2 5 3 4 2" xfId="3133" xr:uid="{00000000-0005-0000-0000-000092540000}"/>
    <cellStyle name="Normal 3 2 2 5 3 4 2 2" xfId="31529" xr:uid="{00000000-0005-0000-0000-000093540000}"/>
    <cellStyle name="Normal 3 2 2 5 3 4 2 3" xfId="31528" xr:uid="{00000000-0005-0000-0000-000094540000}"/>
    <cellStyle name="Normal 3 2 2 5 3 4 3" xfId="3134" xr:uid="{00000000-0005-0000-0000-000095540000}"/>
    <cellStyle name="Normal 3 2 2 5 3 4 3 2" xfId="31531" xr:uid="{00000000-0005-0000-0000-000096540000}"/>
    <cellStyle name="Normal 3 2 2 5 3 4 3 3" xfId="31530" xr:uid="{00000000-0005-0000-0000-000097540000}"/>
    <cellStyle name="Normal 3 2 2 5 3 4 4" xfId="31532" xr:uid="{00000000-0005-0000-0000-000098540000}"/>
    <cellStyle name="Normal 3 2 2 5 3 4 4 2" xfId="31533" xr:uid="{00000000-0005-0000-0000-000099540000}"/>
    <cellStyle name="Normal 3 2 2 5 3 4 5" xfId="31534" xr:uid="{00000000-0005-0000-0000-00009A540000}"/>
    <cellStyle name="Normal 3 2 2 5 3 4 6" xfId="31535" xr:uid="{00000000-0005-0000-0000-00009B540000}"/>
    <cellStyle name="Normal 3 2 2 5 3 4 7" xfId="31527" xr:uid="{00000000-0005-0000-0000-00009C540000}"/>
    <cellStyle name="Normal 3 2 2 5 3 5" xfId="3135" xr:uid="{00000000-0005-0000-0000-00009D540000}"/>
    <cellStyle name="Normal 3 2 2 5 3 5 2" xfId="3136" xr:uid="{00000000-0005-0000-0000-00009E540000}"/>
    <cellStyle name="Normal 3 2 2 5 3 5 2 2" xfId="31538" xr:uid="{00000000-0005-0000-0000-00009F540000}"/>
    <cellStyle name="Normal 3 2 2 5 3 5 2 3" xfId="31537" xr:uid="{00000000-0005-0000-0000-0000A0540000}"/>
    <cellStyle name="Normal 3 2 2 5 3 5 3" xfId="31539" xr:uid="{00000000-0005-0000-0000-0000A1540000}"/>
    <cellStyle name="Normal 3 2 2 5 3 5 3 2" xfId="31540" xr:uid="{00000000-0005-0000-0000-0000A2540000}"/>
    <cellStyle name="Normal 3 2 2 5 3 5 4" xfId="31541" xr:uid="{00000000-0005-0000-0000-0000A3540000}"/>
    <cellStyle name="Normal 3 2 2 5 3 5 5" xfId="31542" xr:uid="{00000000-0005-0000-0000-0000A4540000}"/>
    <cellStyle name="Normal 3 2 2 5 3 5 6" xfId="31536" xr:uid="{00000000-0005-0000-0000-0000A5540000}"/>
    <cellStyle name="Normal 3 2 2 5 3 6" xfId="3137" xr:uid="{00000000-0005-0000-0000-0000A6540000}"/>
    <cellStyle name="Normal 3 2 2 5 3 6 2" xfId="3138" xr:uid="{00000000-0005-0000-0000-0000A7540000}"/>
    <cellStyle name="Normal 3 2 2 5 3 6 2 2" xfId="31544" xr:uid="{00000000-0005-0000-0000-0000A8540000}"/>
    <cellStyle name="Normal 3 2 2 5 3 6 3" xfId="31543" xr:uid="{00000000-0005-0000-0000-0000A9540000}"/>
    <cellStyle name="Normal 3 2 2 5 3 7" xfId="3139" xr:uid="{00000000-0005-0000-0000-0000AA540000}"/>
    <cellStyle name="Normal 3 2 2 5 3 7 2" xfId="31546" xr:uid="{00000000-0005-0000-0000-0000AB540000}"/>
    <cellStyle name="Normal 3 2 2 5 3 7 3" xfId="31545" xr:uid="{00000000-0005-0000-0000-0000AC540000}"/>
    <cellStyle name="Normal 3 2 2 5 3 8" xfId="31547" xr:uid="{00000000-0005-0000-0000-0000AD540000}"/>
    <cellStyle name="Normal 3 2 2 5 3 8 2" xfId="31548" xr:uid="{00000000-0005-0000-0000-0000AE540000}"/>
    <cellStyle name="Normal 3 2 2 5 3 9" xfId="31549" xr:uid="{00000000-0005-0000-0000-0000AF540000}"/>
    <cellStyle name="Normal 3 2 2 5 4" xfId="3140" xr:uid="{00000000-0005-0000-0000-0000B0540000}"/>
    <cellStyle name="Normal 3 2 2 5 4 2" xfId="3141" xr:uid="{00000000-0005-0000-0000-0000B1540000}"/>
    <cellStyle name="Normal 3 2 2 5 4 2 2" xfId="3142" xr:uid="{00000000-0005-0000-0000-0000B2540000}"/>
    <cellStyle name="Normal 3 2 2 5 4 2 2 2" xfId="3143" xr:uid="{00000000-0005-0000-0000-0000B3540000}"/>
    <cellStyle name="Normal 3 2 2 5 4 2 2 3" xfId="31552" xr:uid="{00000000-0005-0000-0000-0000B4540000}"/>
    <cellStyle name="Normal 3 2 2 5 4 2 3" xfId="3144" xr:uid="{00000000-0005-0000-0000-0000B5540000}"/>
    <cellStyle name="Normal 3 2 2 5 4 2 3 2" xfId="3145" xr:uid="{00000000-0005-0000-0000-0000B6540000}"/>
    <cellStyle name="Normal 3 2 2 5 4 2 4" xfId="3146" xr:uid="{00000000-0005-0000-0000-0000B7540000}"/>
    <cellStyle name="Normal 3 2 2 5 4 2 5" xfId="31551" xr:uid="{00000000-0005-0000-0000-0000B8540000}"/>
    <cellStyle name="Normal 3 2 2 5 4 3" xfId="3147" xr:uid="{00000000-0005-0000-0000-0000B9540000}"/>
    <cellStyle name="Normal 3 2 2 5 4 3 2" xfId="3148" xr:uid="{00000000-0005-0000-0000-0000BA540000}"/>
    <cellStyle name="Normal 3 2 2 5 4 3 2 2" xfId="31554" xr:uid="{00000000-0005-0000-0000-0000BB540000}"/>
    <cellStyle name="Normal 3 2 2 5 4 3 3" xfId="3149" xr:uid="{00000000-0005-0000-0000-0000BC540000}"/>
    <cellStyle name="Normal 3 2 2 5 4 3 4" xfId="31553" xr:uid="{00000000-0005-0000-0000-0000BD540000}"/>
    <cellStyle name="Normal 3 2 2 5 4 4" xfId="3150" xr:uid="{00000000-0005-0000-0000-0000BE540000}"/>
    <cellStyle name="Normal 3 2 2 5 4 4 2" xfId="3151" xr:uid="{00000000-0005-0000-0000-0000BF540000}"/>
    <cellStyle name="Normal 3 2 2 5 4 4 2 2" xfId="31556" xr:uid="{00000000-0005-0000-0000-0000C0540000}"/>
    <cellStyle name="Normal 3 2 2 5 4 4 3" xfId="31555" xr:uid="{00000000-0005-0000-0000-0000C1540000}"/>
    <cellStyle name="Normal 3 2 2 5 4 5" xfId="3152" xr:uid="{00000000-0005-0000-0000-0000C2540000}"/>
    <cellStyle name="Normal 3 2 2 5 4 5 2" xfId="3153" xr:uid="{00000000-0005-0000-0000-0000C3540000}"/>
    <cellStyle name="Normal 3 2 2 5 4 5 3" xfId="31557" xr:uid="{00000000-0005-0000-0000-0000C4540000}"/>
    <cellStyle name="Normal 3 2 2 5 4 6" xfId="3154" xr:uid="{00000000-0005-0000-0000-0000C5540000}"/>
    <cellStyle name="Normal 3 2 2 5 4 6 2" xfId="31558" xr:uid="{00000000-0005-0000-0000-0000C6540000}"/>
    <cellStyle name="Normal 3 2 2 5 4 7" xfId="31550" xr:uid="{00000000-0005-0000-0000-0000C7540000}"/>
    <cellStyle name="Normal 3 2 2 5 5" xfId="3155" xr:uid="{00000000-0005-0000-0000-0000C8540000}"/>
    <cellStyle name="Normal 3 2 2 5 5 2" xfId="3156" xr:uid="{00000000-0005-0000-0000-0000C9540000}"/>
    <cellStyle name="Normal 3 2 2 5 5 2 2" xfId="3157" xr:uid="{00000000-0005-0000-0000-0000CA540000}"/>
    <cellStyle name="Normal 3 2 2 5 5 2 2 2" xfId="31561" xr:uid="{00000000-0005-0000-0000-0000CB540000}"/>
    <cellStyle name="Normal 3 2 2 5 5 2 3" xfId="31560" xr:uid="{00000000-0005-0000-0000-0000CC540000}"/>
    <cellStyle name="Normal 3 2 2 5 5 3" xfId="3158" xr:uid="{00000000-0005-0000-0000-0000CD540000}"/>
    <cellStyle name="Normal 3 2 2 5 5 3 2" xfId="3159" xr:uid="{00000000-0005-0000-0000-0000CE540000}"/>
    <cellStyle name="Normal 3 2 2 5 5 3 2 2" xfId="31563" xr:uid="{00000000-0005-0000-0000-0000CF540000}"/>
    <cellStyle name="Normal 3 2 2 5 5 3 3" xfId="31562" xr:uid="{00000000-0005-0000-0000-0000D0540000}"/>
    <cellStyle name="Normal 3 2 2 5 5 4" xfId="3160" xr:uid="{00000000-0005-0000-0000-0000D1540000}"/>
    <cellStyle name="Normal 3 2 2 5 5 4 2" xfId="31565" xr:uid="{00000000-0005-0000-0000-0000D2540000}"/>
    <cellStyle name="Normal 3 2 2 5 5 4 3" xfId="31564" xr:uid="{00000000-0005-0000-0000-0000D3540000}"/>
    <cellStyle name="Normal 3 2 2 5 5 5" xfId="31566" xr:uid="{00000000-0005-0000-0000-0000D4540000}"/>
    <cellStyle name="Normal 3 2 2 5 5 6" xfId="31567" xr:uid="{00000000-0005-0000-0000-0000D5540000}"/>
    <cellStyle name="Normal 3 2 2 5 5 7" xfId="31559" xr:uid="{00000000-0005-0000-0000-0000D6540000}"/>
    <cellStyle name="Normal 3 2 2 5 6" xfId="3161" xr:uid="{00000000-0005-0000-0000-0000D7540000}"/>
    <cellStyle name="Normal 3 2 2 5 6 2" xfId="3162" xr:uid="{00000000-0005-0000-0000-0000D8540000}"/>
    <cellStyle name="Normal 3 2 2 5 6 2 2" xfId="3163" xr:uid="{00000000-0005-0000-0000-0000D9540000}"/>
    <cellStyle name="Normal 3 2 2 5 6 2 2 2" xfId="31570" xr:uid="{00000000-0005-0000-0000-0000DA540000}"/>
    <cellStyle name="Normal 3 2 2 5 6 2 3" xfId="31569" xr:uid="{00000000-0005-0000-0000-0000DB540000}"/>
    <cellStyle name="Normal 3 2 2 5 6 3" xfId="3164" xr:uid="{00000000-0005-0000-0000-0000DC540000}"/>
    <cellStyle name="Normal 3 2 2 5 6 3 2" xfId="3165" xr:uid="{00000000-0005-0000-0000-0000DD540000}"/>
    <cellStyle name="Normal 3 2 2 5 6 3 2 2" xfId="31572" xr:uid="{00000000-0005-0000-0000-0000DE540000}"/>
    <cellStyle name="Normal 3 2 2 5 6 3 3" xfId="31571" xr:uid="{00000000-0005-0000-0000-0000DF540000}"/>
    <cellStyle name="Normal 3 2 2 5 6 4" xfId="3166" xr:uid="{00000000-0005-0000-0000-0000E0540000}"/>
    <cellStyle name="Normal 3 2 2 5 6 4 2" xfId="31574" xr:uid="{00000000-0005-0000-0000-0000E1540000}"/>
    <cellStyle name="Normal 3 2 2 5 6 4 3" xfId="31573" xr:uid="{00000000-0005-0000-0000-0000E2540000}"/>
    <cellStyle name="Normal 3 2 2 5 6 5" xfId="31575" xr:uid="{00000000-0005-0000-0000-0000E3540000}"/>
    <cellStyle name="Normal 3 2 2 5 6 6" xfId="31576" xr:uid="{00000000-0005-0000-0000-0000E4540000}"/>
    <cellStyle name="Normal 3 2 2 5 6 7" xfId="31568" xr:uid="{00000000-0005-0000-0000-0000E5540000}"/>
    <cellStyle name="Normal 3 2 2 5 7" xfId="3167" xr:uid="{00000000-0005-0000-0000-0000E6540000}"/>
    <cellStyle name="Normal 3 2 2 5 7 2" xfId="3168" xr:uid="{00000000-0005-0000-0000-0000E7540000}"/>
    <cellStyle name="Normal 3 2 2 5 7 2 2" xfId="31579" xr:uid="{00000000-0005-0000-0000-0000E8540000}"/>
    <cellStyle name="Normal 3 2 2 5 7 2 3" xfId="31578" xr:uid="{00000000-0005-0000-0000-0000E9540000}"/>
    <cellStyle name="Normal 3 2 2 5 7 3" xfId="3169" xr:uid="{00000000-0005-0000-0000-0000EA540000}"/>
    <cellStyle name="Normal 3 2 2 5 7 3 2" xfId="31581" xr:uid="{00000000-0005-0000-0000-0000EB540000}"/>
    <cellStyle name="Normal 3 2 2 5 7 3 3" xfId="31580" xr:uid="{00000000-0005-0000-0000-0000EC540000}"/>
    <cellStyle name="Normal 3 2 2 5 7 4" xfId="31582" xr:uid="{00000000-0005-0000-0000-0000ED540000}"/>
    <cellStyle name="Normal 3 2 2 5 7 5" xfId="31583" xr:uid="{00000000-0005-0000-0000-0000EE540000}"/>
    <cellStyle name="Normal 3 2 2 5 7 6" xfId="31577" xr:uid="{00000000-0005-0000-0000-0000EF540000}"/>
    <cellStyle name="Normal 3 2 2 5 8" xfId="3170" xr:uid="{00000000-0005-0000-0000-0000F0540000}"/>
    <cellStyle name="Normal 3 2 2 5 8 2" xfId="3171" xr:uid="{00000000-0005-0000-0000-0000F1540000}"/>
    <cellStyle name="Normal 3 2 2 5 8 2 2" xfId="31585" xr:uid="{00000000-0005-0000-0000-0000F2540000}"/>
    <cellStyle name="Normal 3 2 2 5 8 3" xfId="31584" xr:uid="{00000000-0005-0000-0000-0000F3540000}"/>
    <cellStyle name="Normal 3 2 2 5 9" xfId="3172" xr:uid="{00000000-0005-0000-0000-0000F4540000}"/>
    <cellStyle name="Normal 3 2 2 5 9 2" xfId="3173" xr:uid="{00000000-0005-0000-0000-0000F5540000}"/>
    <cellStyle name="Normal 3 2 2 5 9 2 2" xfId="31587" xr:uid="{00000000-0005-0000-0000-0000F6540000}"/>
    <cellStyle name="Normal 3 2 2 5 9 3" xfId="31586" xr:uid="{00000000-0005-0000-0000-0000F7540000}"/>
    <cellStyle name="Normal 3 2 2 6" xfId="3174" xr:uid="{00000000-0005-0000-0000-0000F8540000}"/>
    <cellStyle name="Normal 3 2 2 6 10" xfId="31589" xr:uid="{00000000-0005-0000-0000-0000F9540000}"/>
    <cellStyle name="Normal 3 2 2 6 11" xfId="31590" xr:uid="{00000000-0005-0000-0000-0000FA540000}"/>
    <cellStyle name="Normal 3 2 2 6 12" xfId="31588" xr:uid="{00000000-0005-0000-0000-0000FB540000}"/>
    <cellStyle name="Normal 3 2 2 6 2" xfId="3175" xr:uid="{00000000-0005-0000-0000-0000FC540000}"/>
    <cellStyle name="Normal 3 2 2 6 2 2" xfId="3176" xr:uid="{00000000-0005-0000-0000-0000FD540000}"/>
    <cellStyle name="Normal 3 2 2 6 2 2 2" xfId="3177" xr:uid="{00000000-0005-0000-0000-0000FE540000}"/>
    <cellStyle name="Normal 3 2 2 6 2 2 2 2" xfId="3178" xr:uid="{00000000-0005-0000-0000-0000FF540000}"/>
    <cellStyle name="Normal 3 2 2 6 2 2 2 3" xfId="3179" xr:uid="{00000000-0005-0000-0000-000000550000}"/>
    <cellStyle name="Normal 3 2 2 6 2 2 2 4" xfId="31593" xr:uid="{00000000-0005-0000-0000-000001550000}"/>
    <cellStyle name="Normal 3 2 2 6 2 2 3" xfId="3180" xr:uid="{00000000-0005-0000-0000-000002550000}"/>
    <cellStyle name="Normal 3 2 2 6 2 2 3 2" xfId="3181" xr:uid="{00000000-0005-0000-0000-000003550000}"/>
    <cellStyle name="Normal 3 2 2 6 2 2 4" xfId="3182" xr:uid="{00000000-0005-0000-0000-000004550000}"/>
    <cellStyle name="Normal 3 2 2 6 2 2 4 2" xfId="3183" xr:uid="{00000000-0005-0000-0000-000005550000}"/>
    <cellStyle name="Normal 3 2 2 6 2 2 5" xfId="3184" xr:uid="{00000000-0005-0000-0000-000006550000}"/>
    <cellStyle name="Normal 3 2 2 6 2 2 6" xfId="31592" xr:uid="{00000000-0005-0000-0000-000007550000}"/>
    <cellStyle name="Normal 3 2 2 6 2 3" xfId="3185" xr:uid="{00000000-0005-0000-0000-000008550000}"/>
    <cellStyle name="Normal 3 2 2 6 2 3 2" xfId="3186" xr:uid="{00000000-0005-0000-0000-000009550000}"/>
    <cellStyle name="Normal 3 2 2 6 2 3 2 2" xfId="3187" xr:uid="{00000000-0005-0000-0000-00000A550000}"/>
    <cellStyle name="Normal 3 2 2 6 2 3 2 3" xfId="31595" xr:uid="{00000000-0005-0000-0000-00000B550000}"/>
    <cellStyle name="Normal 3 2 2 6 2 3 3" xfId="3188" xr:uid="{00000000-0005-0000-0000-00000C550000}"/>
    <cellStyle name="Normal 3 2 2 6 2 3 3 2" xfId="3189" xr:uid="{00000000-0005-0000-0000-00000D550000}"/>
    <cellStyle name="Normal 3 2 2 6 2 3 4" xfId="3190" xr:uid="{00000000-0005-0000-0000-00000E550000}"/>
    <cellStyle name="Normal 3 2 2 6 2 3 5" xfId="31594" xr:uid="{00000000-0005-0000-0000-00000F550000}"/>
    <cellStyle name="Normal 3 2 2 6 2 4" xfId="3191" xr:uid="{00000000-0005-0000-0000-000010550000}"/>
    <cellStyle name="Normal 3 2 2 6 2 4 2" xfId="3192" xr:uid="{00000000-0005-0000-0000-000011550000}"/>
    <cellStyle name="Normal 3 2 2 6 2 4 2 2" xfId="31597" xr:uid="{00000000-0005-0000-0000-000012550000}"/>
    <cellStyle name="Normal 3 2 2 6 2 4 3" xfId="3193" xr:uid="{00000000-0005-0000-0000-000013550000}"/>
    <cellStyle name="Normal 3 2 2 6 2 4 4" xfId="31596" xr:uid="{00000000-0005-0000-0000-000014550000}"/>
    <cellStyle name="Normal 3 2 2 6 2 5" xfId="3194" xr:uid="{00000000-0005-0000-0000-000015550000}"/>
    <cellStyle name="Normal 3 2 2 6 2 5 2" xfId="3195" xr:uid="{00000000-0005-0000-0000-000016550000}"/>
    <cellStyle name="Normal 3 2 2 6 2 5 3" xfId="31598" xr:uid="{00000000-0005-0000-0000-000017550000}"/>
    <cellStyle name="Normal 3 2 2 6 2 6" xfId="3196" xr:uid="{00000000-0005-0000-0000-000018550000}"/>
    <cellStyle name="Normal 3 2 2 6 2 6 2" xfId="3197" xr:uid="{00000000-0005-0000-0000-000019550000}"/>
    <cellStyle name="Normal 3 2 2 6 2 6 3" xfId="31599" xr:uid="{00000000-0005-0000-0000-00001A550000}"/>
    <cellStyle name="Normal 3 2 2 6 2 7" xfId="3198" xr:uid="{00000000-0005-0000-0000-00001B550000}"/>
    <cellStyle name="Normal 3 2 2 6 2 8" xfId="31591" xr:uid="{00000000-0005-0000-0000-00001C550000}"/>
    <cellStyle name="Normal 3 2 2 6 3" xfId="3199" xr:uid="{00000000-0005-0000-0000-00001D550000}"/>
    <cellStyle name="Normal 3 2 2 6 3 2" xfId="3200" xr:uid="{00000000-0005-0000-0000-00001E550000}"/>
    <cellStyle name="Normal 3 2 2 6 3 2 2" xfId="3201" xr:uid="{00000000-0005-0000-0000-00001F550000}"/>
    <cellStyle name="Normal 3 2 2 6 3 2 2 2" xfId="31602" xr:uid="{00000000-0005-0000-0000-000020550000}"/>
    <cellStyle name="Normal 3 2 2 6 3 2 3" xfId="3202" xr:uid="{00000000-0005-0000-0000-000021550000}"/>
    <cellStyle name="Normal 3 2 2 6 3 2 4" xfId="31601" xr:uid="{00000000-0005-0000-0000-000022550000}"/>
    <cellStyle name="Normal 3 2 2 6 3 3" xfId="3203" xr:uid="{00000000-0005-0000-0000-000023550000}"/>
    <cellStyle name="Normal 3 2 2 6 3 3 2" xfId="3204" xr:uid="{00000000-0005-0000-0000-000024550000}"/>
    <cellStyle name="Normal 3 2 2 6 3 3 2 2" xfId="31604" xr:uid="{00000000-0005-0000-0000-000025550000}"/>
    <cellStyle name="Normal 3 2 2 6 3 3 3" xfId="31603" xr:uid="{00000000-0005-0000-0000-000026550000}"/>
    <cellStyle name="Normal 3 2 2 6 3 4" xfId="3205" xr:uid="{00000000-0005-0000-0000-000027550000}"/>
    <cellStyle name="Normal 3 2 2 6 3 4 2" xfId="3206" xr:uid="{00000000-0005-0000-0000-000028550000}"/>
    <cellStyle name="Normal 3 2 2 6 3 4 2 2" xfId="31606" xr:uid="{00000000-0005-0000-0000-000029550000}"/>
    <cellStyle name="Normal 3 2 2 6 3 4 3" xfId="31605" xr:uid="{00000000-0005-0000-0000-00002A550000}"/>
    <cellStyle name="Normal 3 2 2 6 3 5" xfId="3207" xr:uid="{00000000-0005-0000-0000-00002B550000}"/>
    <cellStyle name="Normal 3 2 2 6 3 5 2" xfId="31607" xr:uid="{00000000-0005-0000-0000-00002C550000}"/>
    <cellStyle name="Normal 3 2 2 6 3 6" xfId="31608" xr:uid="{00000000-0005-0000-0000-00002D550000}"/>
    <cellStyle name="Normal 3 2 2 6 3 7" xfId="31600" xr:uid="{00000000-0005-0000-0000-00002E550000}"/>
    <cellStyle name="Normal 3 2 2 6 4" xfId="3208" xr:uid="{00000000-0005-0000-0000-00002F550000}"/>
    <cellStyle name="Normal 3 2 2 6 4 2" xfId="3209" xr:uid="{00000000-0005-0000-0000-000030550000}"/>
    <cellStyle name="Normal 3 2 2 6 4 2 2" xfId="3210" xr:uid="{00000000-0005-0000-0000-000031550000}"/>
    <cellStyle name="Normal 3 2 2 6 4 2 2 2" xfId="31611" xr:uid="{00000000-0005-0000-0000-000032550000}"/>
    <cellStyle name="Normal 3 2 2 6 4 2 3" xfId="31610" xr:uid="{00000000-0005-0000-0000-000033550000}"/>
    <cellStyle name="Normal 3 2 2 6 4 3" xfId="3211" xr:uid="{00000000-0005-0000-0000-000034550000}"/>
    <cellStyle name="Normal 3 2 2 6 4 3 2" xfId="3212" xr:uid="{00000000-0005-0000-0000-000035550000}"/>
    <cellStyle name="Normal 3 2 2 6 4 3 2 2" xfId="31613" xr:uid="{00000000-0005-0000-0000-000036550000}"/>
    <cellStyle name="Normal 3 2 2 6 4 3 3" xfId="31612" xr:uid="{00000000-0005-0000-0000-000037550000}"/>
    <cellStyle name="Normal 3 2 2 6 4 4" xfId="3213" xr:uid="{00000000-0005-0000-0000-000038550000}"/>
    <cellStyle name="Normal 3 2 2 6 4 4 2" xfId="31615" xr:uid="{00000000-0005-0000-0000-000039550000}"/>
    <cellStyle name="Normal 3 2 2 6 4 4 3" xfId="31614" xr:uid="{00000000-0005-0000-0000-00003A550000}"/>
    <cellStyle name="Normal 3 2 2 6 4 5" xfId="31616" xr:uid="{00000000-0005-0000-0000-00003B550000}"/>
    <cellStyle name="Normal 3 2 2 6 4 6" xfId="31617" xr:uid="{00000000-0005-0000-0000-00003C550000}"/>
    <cellStyle name="Normal 3 2 2 6 4 7" xfId="31609" xr:uid="{00000000-0005-0000-0000-00003D550000}"/>
    <cellStyle name="Normal 3 2 2 6 5" xfId="3214" xr:uid="{00000000-0005-0000-0000-00003E550000}"/>
    <cellStyle name="Normal 3 2 2 6 5 2" xfId="3215" xr:uid="{00000000-0005-0000-0000-00003F550000}"/>
    <cellStyle name="Normal 3 2 2 6 5 2 2" xfId="31620" xr:uid="{00000000-0005-0000-0000-000040550000}"/>
    <cellStyle name="Normal 3 2 2 6 5 2 3" xfId="31619" xr:uid="{00000000-0005-0000-0000-000041550000}"/>
    <cellStyle name="Normal 3 2 2 6 5 3" xfId="3216" xr:uid="{00000000-0005-0000-0000-000042550000}"/>
    <cellStyle name="Normal 3 2 2 6 5 3 2" xfId="31622" xr:uid="{00000000-0005-0000-0000-000043550000}"/>
    <cellStyle name="Normal 3 2 2 6 5 3 3" xfId="31621" xr:uid="{00000000-0005-0000-0000-000044550000}"/>
    <cellStyle name="Normal 3 2 2 6 5 4" xfId="31623" xr:uid="{00000000-0005-0000-0000-000045550000}"/>
    <cellStyle name="Normal 3 2 2 6 5 4 2" xfId="31624" xr:uid="{00000000-0005-0000-0000-000046550000}"/>
    <cellStyle name="Normal 3 2 2 6 5 5" xfId="31625" xr:uid="{00000000-0005-0000-0000-000047550000}"/>
    <cellStyle name="Normal 3 2 2 6 5 6" xfId="31626" xr:uid="{00000000-0005-0000-0000-000048550000}"/>
    <cellStyle name="Normal 3 2 2 6 5 7" xfId="31618" xr:uid="{00000000-0005-0000-0000-000049550000}"/>
    <cellStyle name="Normal 3 2 2 6 6" xfId="3217" xr:uid="{00000000-0005-0000-0000-00004A550000}"/>
    <cellStyle name="Normal 3 2 2 6 6 2" xfId="3218" xr:uid="{00000000-0005-0000-0000-00004B550000}"/>
    <cellStyle name="Normal 3 2 2 6 6 2 2" xfId="31629" xr:uid="{00000000-0005-0000-0000-00004C550000}"/>
    <cellStyle name="Normal 3 2 2 6 6 2 3" xfId="31628" xr:uid="{00000000-0005-0000-0000-00004D550000}"/>
    <cellStyle name="Normal 3 2 2 6 6 3" xfId="31630" xr:uid="{00000000-0005-0000-0000-00004E550000}"/>
    <cellStyle name="Normal 3 2 2 6 6 3 2" xfId="31631" xr:uid="{00000000-0005-0000-0000-00004F550000}"/>
    <cellStyle name="Normal 3 2 2 6 6 4" xfId="31632" xr:uid="{00000000-0005-0000-0000-000050550000}"/>
    <cellStyle name="Normal 3 2 2 6 6 5" xfId="31633" xr:uid="{00000000-0005-0000-0000-000051550000}"/>
    <cellStyle name="Normal 3 2 2 6 6 6" xfId="31627" xr:uid="{00000000-0005-0000-0000-000052550000}"/>
    <cellStyle name="Normal 3 2 2 6 7" xfId="3219" xr:uid="{00000000-0005-0000-0000-000053550000}"/>
    <cellStyle name="Normal 3 2 2 6 7 2" xfId="3220" xr:uid="{00000000-0005-0000-0000-000054550000}"/>
    <cellStyle name="Normal 3 2 2 6 7 2 2" xfId="31635" xr:uid="{00000000-0005-0000-0000-000055550000}"/>
    <cellStyle name="Normal 3 2 2 6 7 3" xfId="31634" xr:uid="{00000000-0005-0000-0000-000056550000}"/>
    <cellStyle name="Normal 3 2 2 6 8" xfId="3221" xr:uid="{00000000-0005-0000-0000-000057550000}"/>
    <cellStyle name="Normal 3 2 2 6 8 2" xfId="31637" xr:uid="{00000000-0005-0000-0000-000058550000}"/>
    <cellStyle name="Normal 3 2 2 6 8 3" xfId="31636" xr:uid="{00000000-0005-0000-0000-000059550000}"/>
    <cellStyle name="Normal 3 2 2 6 9" xfId="31638" xr:uid="{00000000-0005-0000-0000-00005A550000}"/>
    <cellStyle name="Normal 3 2 2 6 9 2" xfId="31639" xr:uid="{00000000-0005-0000-0000-00005B550000}"/>
    <cellStyle name="Normal 3 2 2 7" xfId="3222" xr:uid="{00000000-0005-0000-0000-00005C550000}"/>
    <cellStyle name="Normal 3 2 2 7 10" xfId="31641" xr:uid="{00000000-0005-0000-0000-00005D550000}"/>
    <cellStyle name="Normal 3 2 2 7 11" xfId="31640" xr:uid="{00000000-0005-0000-0000-00005E550000}"/>
    <cellStyle name="Normal 3 2 2 7 2" xfId="3223" xr:uid="{00000000-0005-0000-0000-00005F550000}"/>
    <cellStyle name="Normal 3 2 2 7 2 2" xfId="3224" xr:uid="{00000000-0005-0000-0000-000060550000}"/>
    <cellStyle name="Normal 3 2 2 7 2 2 2" xfId="3225" xr:uid="{00000000-0005-0000-0000-000061550000}"/>
    <cellStyle name="Normal 3 2 2 7 2 2 2 2" xfId="31644" xr:uid="{00000000-0005-0000-0000-000062550000}"/>
    <cellStyle name="Normal 3 2 2 7 2 2 3" xfId="3226" xr:uid="{00000000-0005-0000-0000-000063550000}"/>
    <cellStyle name="Normal 3 2 2 7 2 2 4" xfId="31643" xr:uid="{00000000-0005-0000-0000-000064550000}"/>
    <cellStyle name="Normal 3 2 2 7 2 3" xfId="3227" xr:uid="{00000000-0005-0000-0000-000065550000}"/>
    <cellStyle name="Normal 3 2 2 7 2 3 2" xfId="3228" xr:uid="{00000000-0005-0000-0000-000066550000}"/>
    <cellStyle name="Normal 3 2 2 7 2 3 2 2" xfId="31646" xr:uid="{00000000-0005-0000-0000-000067550000}"/>
    <cellStyle name="Normal 3 2 2 7 2 3 3" xfId="31645" xr:uid="{00000000-0005-0000-0000-000068550000}"/>
    <cellStyle name="Normal 3 2 2 7 2 4" xfId="3229" xr:uid="{00000000-0005-0000-0000-000069550000}"/>
    <cellStyle name="Normal 3 2 2 7 2 4 2" xfId="3230" xr:uid="{00000000-0005-0000-0000-00006A550000}"/>
    <cellStyle name="Normal 3 2 2 7 2 4 2 2" xfId="31648" xr:uid="{00000000-0005-0000-0000-00006B550000}"/>
    <cellStyle name="Normal 3 2 2 7 2 4 3" xfId="31647" xr:uid="{00000000-0005-0000-0000-00006C550000}"/>
    <cellStyle name="Normal 3 2 2 7 2 5" xfId="3231" xr:uid="{00000000-0005-0000-0000-00006D550000}"/>
    <cellStyle name="Normal 3 2 2 7 2 5 2" xfId="31649" xr:uid="{00000000-0005-0000-0000-00006E550000}"/>
    <cellStyle name="Normal 3 2 2 7 2 6" xfId="31650" xr:uid="{00000000-0005-0000-0000-00006F550000}"/>
    <cellStyle name="Normal 3 2 2 7 2 7" xfId="31642" xr:uid="{00000000-0005-0000-0000-000070550000}"/>
    <cellStyle name="Normal 3 2 2 7 3" xfId="3232" xr:uid="{00000000-0005-0000-0000-000071550000}"/>
    <cellStyle name="Normal 3 2 2 7 3 2" xfId="3233" xr:uid="{00000000-0005-0000-0000-000072550000}"/>
    <cellStyle name="Normal 3 2 2 7 3 2 2" xfId="3234" xr:uid="{00000000-0005-0000-0000-000073550000}"/>
    <cellStyle name="Normal 3 2 2 7 3 2 2 2" xfId="31653" xr:uid="{00000000-0005-0000-0000-000074550000}"/>
    <cellStyle name="Normal 3 2 2 7 3 2 3" xfId="31652" xr:uid="{00000000-0005-0000-0000-000075550000}"/>
    <cellStyle name="Normal 3 2 2 7 3 3" xfId="3235" xr:uid="{00000000-0005-0000-0000-000076550000}"/>
    <cellStyle name="Normal 3 2 2 7 3 3 2" xfId="3236" xr:uid="{00000000-0005-0000-0000-000077550000}"/>
    <cellStyle name="Normal 3 2 2 7 3 3 2 2" xfId="31655" xr:uid="{00000000-0005-0000-0000-000078550000}"/>
    <cellStyle name="Normal 3 2 2 7 3 3 3" xfId="31654" xr:uid="{00000000-0005-0000-0000-000079550000}"/>
    <cellStyle name="Normal 3 2 2 7 3 4" xfId="3237" xr:uid="{00000000-0005-0000-0000-00007A550000}"/>
    <cellStyle name="Normal 3 2 2 7 3 4 2" xfId="31657" xr:uid="{00000000-0005-0000-0000-00007B550000}"/>
    <cellStyle name="Normal 3 2 2 7 3 4 3" xfId="31656" xr:uid="{00000000-0005-0000-0000-00007C550000}"/>
    <cellStyle name="Normal 3 2 2 7 3 5" xfId="31658" xr:uid="{00000000-0005-0000-0000-00007D550000}"/>
    <cellStyle name="Normal 3 2 2 7 3 6" xfId="31659" xr:uid="{00000000-0005-0000-0000-00007E550000}"/>
    <cellStyle name="Normal 3 2 2 7 3 7" xfId="31651" xr:uid="{00000000-0005-0000-0000-00007F550000}"/>
    <cellStyle name="Normal 3 2 2 7 4" xfId="3238" xr:uid="{00000000-0005-0000-0000-000080550000}"/>
    <cellStyle name="Normal 3 2 2 7 4 2" xfId="3239" xr:uid="{00000000-0005-0000-0000-000081550000}"/>
    <cellStyle name="Normal 3 2 2 7 4 2 2" xfId="31662" xr:uid="{00000000-0005-0000-0000-000082550000}"/>
    <cellStyle name="Normal 3 2 2 7 4 2 3" xfId="31661" xr:uid="{00000000-0005-0000-0000-000083550000}"/>
    <cellStyle name="Normal 3 2 2 7 4 3" xfId="3240" xr:uid="{00000000-0005-0000-0000-000084550000}"/>
    <cellStyle name="Normal 3 2 2 7 4 3 2" xfId="31664" xr:uid="{00000000-0005-0000-0000-000085550000}"/>
    <cellStyle name="Normal 3 2 2 7 4 3 3" xfId="31663" xr:uid="{00000000-0005-0000-0000-000086550000}"/>
    <cellStyle name="Normal 3 2 2 7 4 4" xfId="31665" xr:uid="{00000000-0005-0000-0000-000087550000}"/>
    <cellStyle name="Normal 3 2 2 7 4 4 2" xfId="31666" xr:uid="{00000000-0005-0000-0000-000088550000}"/>
    <cellStyle name="Normal 3 2 2 7 4 5" xfId="31667" xr:uid="{00000000-0005-0000-0000-000089550000}"/>
    <cellStyle name="Normal 3 2 2 7 4 6" xfId="31668" xr:uid="{00000000-0005-0000-0000-00008A550000}"/>
    <cellStyle name="Normal 3 2 2 7 4 7" xfId="31660" xr:uid="{00000000-0005-0000-0000-00008B550000}"/>
    <cellStyle name="Normal 3 2 2 7 5" xfId="3241" xr:uid="{00000000-0005-0000-0000-00008C550000}"/>
    <cellStyle name="Normal 3 2 2 7 5 2" xfId="3242" xr:uid="{00000000-0005-0000-0000-00008D550000}"/>
    <cellStyle name="Normal 3 2 2 7 5 2 2" xfId="31671" xr:uid="{00000000-0005-0000-0000-00008E550000}"/>
    <cellStyle name="Normal 3 2 2 7 5 2 3" xfId="31670" xr:uid="{00000000-0005-0000-0000-00008F550000}"/>
    <cellStyle name="Normal 3 2 2 7 5 3" xfId="31672" xr:uid="{00000000-0005-0000-0000-000090550000}"/>
    <cellStyle name="Normal 3 2 2 7 5 3 2" xfId="31673" xr:uid="{00000000-0005-0000-0000-000091550000}"/>
    <cellStyle name="Normal 3 2 2 7 5 4" xfId="31674" xr:uid="{00000000-0005-0000-0000-000092550000}"/>
    <cellStyle name="Normal 3 2 2 7 5 5" xfId="31675" xr:uid="{00000000-0005-0000-0000-000093550000}"/>
    <cellStyle name="Normal 3 2 2 7 5 6" xfId="31669" xr:uid="{00000000-0005-0000-0000-000094550000}"/>
    <cellStyle name="Normal 3 2 2 7 6" xfId="3243" xr:uid="{00000000-0005-0000-0000-000095550000}"/>
    <cellStyle name="Normal 3 2 2 7 6 2" xfId="3244" xr:uid="{00000000-0005-0000-0000-000096550000}"/>
    <cellStyle name="Normal 3 2 2 7 6 2 2" xfId="31677" xr:uid="{00000000-0005-0000-0000-000097550000}"/>
    <cellStyle name="Normal 3 2 2 7 6 3" xfId="31676" xr:uid="{00000000-0005-0000-0000-000098550000}"/>
    <cellStyle name="Normal 3 2 2 7 7" xfId="3245" xr:uid="{00000000-0005-0000-0000-000099550000}"/>
    <cellStyle name="Normal 3 2 2 7 7 2" xfId="31679" xr:uid="{00000000-0005-0000-0000-00009A550000}"/>
    <cellStyle name="Normal 3 2 2 7 7 3" xfId="31678" xr:uid="{00000000-0005-0000-0000-00009B550000}"/>
    <cellStyle name="Normal 3 2 2 7 8" xfId="31680" xr:uid="{00000000-0005-0000-0000-00009C550000}"/>
    <cellStyle name="Normal 3 2 2 7 8 2" xfId="31681" xr:uid="{00000000-0005-0000-0000-00009D550000}"/>
    <cellStyle name="Normal 3 2 2 7 9" xfId="31682" xr:uid="{00000000-0005-0000-0000-00009E550000}"/>
    <cellStyle name="Normal 3 2 2 8" xfId="3246" xr:uid="{00000000-0005-0000-0000-00009F550000}"/>
    <cellStyle name="Normal 3 2 2 8 10" xfId="31684" xr:uid="{00000000-0005-0000-0000-0000A0550000}"/>
    <cellStyle name="Normal 3 2 2 8 11" xfId="31683" xr:uid="{00000000-0005-0000-0000-0000A1550000}"/>
    <cellStyle name="Normal 3 2 2 8 2" xfId="3247" xr:uid="{00000000-0005-0000-0000-0000A2550000}"/>
    <cellStyle name="Normal 3 2 2 8 2 2" xfId="3248" xr:uid="{00000000-0005-0000-0000-0000A3550000}"/>
    <cellStyle name="Normal 3 2 2 8 2 2 2" xfId="3249" xr:uid="{00000000-0005-0000-0000-0000A4550000}"/>
    <cellStyle name="Normal 3 2 2 8 2 2 2 2" xfId="31687" xr:uid="{00000000-0005-0000-0000-0000A5550000}"/>
    <cellStyle name="Normal 3 2 2 8 2 2 3" xfId="3250" xr:uid="{00000000-0005-0000-0000-0000A6550000}"/>
    <cellStyle name="Normal 3 2 2 8 2 2 4" xfId="31686" xr:uid="{00000000-0005-0000-0000-0000A7550000}"/>
    <cellStyle name="Normal 3 2 2 8 2 3" xfId="3251" xr:uid="{00000000-0005-0000-0000-0000A8550000}"/>
    <cellStyle name="Normal 3 2 2 8 2 3 2" xfId="3252" xr:uid="{00000000-0005-0000-0000-0000A9550000}"/>
    <cellStyle name="Normal 3 2 2 8 2 3 2 2" xfId="31689" xr:uid="{00000000-0005-0000-0000-0000AA550000}"/>
    <cellStyle name="Normal 3 2 2 8 2 3 3" xfId="31688" xr:uid="{00000000-0005-0000-0000-0000AB550000}"/>
    <cellStyle name="Normal 3 2 2 8 2 4" xfId="3253" xr:uid="{00000000-0005-0000-0000-0000AC550000}"/>
    <cellStyle name="Normal 3 2 2 8 2 4 2" xfId="3254" xr:uid="{00000000-0005-0000-0000-0000AD550000}"/>
    <cellStyle name="Normal 3 2 2 8 2 4 2 2" xfId="31691" xr:uid="{00000000-0005-0000-0000-0000AE550000}"/>
    <cellStyle name="Normal 3 2 2 8 2 4 3" xfId="31690" xr:uid="{00000000-0005-0000-0000-0000AF550000}"/>
    <cellStyle name="Normal 3 2 2 8 2 5" xfId="3255" xr:uid="{00000000-0005-0000-0000-0000B0550000}"/>
    <cellStyle name="Normal 3 2 2 8 2 5 2" xfId="31692" xr:uid="{00000000-0005-0000-0000-0000B1550000}"/>
    <cellStyle name="Normal 3 2 2 8 2 6" xfId="31693" xr:uid="{00000000-0005-0000-0000-0000B2550000}"/>
    <cellStyle name="Normal 3 2 2 8 2 7" xfId="31685" xr:uid="{00000000-0005-0000-0000-0000B3550000}"/>
    <cellStyle name="Normal 3 2 2 8 3" xfId="3256" xr:uid="{00000000-0005-0000-0000-0000B4550000}"/>
    <cellStyle name="Normal 3 2 2 8 3 2" xfId="3257" xr:uid="{00000000-0005-0000-0000-0000B5550000}"/>
    <cellStyle name="Normal 3 2 2 8 3 2 2" xfId="3258" xr:uid="{00000000-0005-0000-0000-0000B6550000}"/>
    <cellStyle name="Normal 3 2 2 8 3 2 2 2" xfId="31696" xr:uid="{00000000-0005-0000-0000-0000B7550000}"/>
    <cellStyle name="Normal 3 2 2 8 3 2 3" xfId="31695" xr:uid="{00000000-0005-0000-0000-0000B8550000}"/>
    <cellStyle name="Normal 3 2 2 8 3 3" xfId="3259" xr:uid="{00000000-0005-0000-0000-0000B9550000}"/>
    <cellStyle name="Normal 3 2 2 8 3 3 2" xfId="3260" xr:uid="{00000000-0005-0000-0000-0000BA550000}"/>
    <cellStyle name="Normal 3 2 2 8 3 3 2 2" xfId="31698" xr:uid="{00000000-0005-0000-0000-0000BB550000}"/>
    <cellStyle name="Normal 3 2 2 8 3 3 3" xfId="31697" xr:uid="{00000000-0005-0000-0000-0000BC550000}"/>
    <cellStyle name="Normal 3 2 2 8 3 4" xfId="3261" xr:uid="{00000000-0005-0000-0000-0000BD550000}"/>
    <cellStyle name="Normal 3 2 2 8 3 4 2" xfId="31700" xr:uid="{00000000-0005-0000-0000-0000BE550000}"/>
    <cellStyle name="Normal 3 2 2 8 3 4 3" xfId="31699" xr:uid="{00000000-0005-0000-0000-0000BF550000}"/>
    <cellStyle name="Normal 3 2 2 8 3 5" xfId="31701" xr:uid="{00000000-0005-0000-0000-0000C0550000}"/>
    <cellStyle name="Normal 3 2 2 8 3 6" xfId="31702" xr:uid="{00000000-0005-0000-0000-0000C1550000}"/>
    <cellStyle name="Normal 3 2 2 8 3 7" xfId="31694" xr:uid="{00000000-0005-0000-0000-0000C2550000}"/>
    <cellStyle name="Normal 3 2 2 8 4" xfId="3262" xr:uid="{00000000-0005-0000-0000-0000C3550000}"/>
    <cellStyle name="Normal 3 2 2 8 4 2" xfId="3263" xr:uid="{00000000-0005-0000-0000-0000C4550000}"/>
    <cellStyle name="Normal 3 2 2 8 4 2 2" xfId="31705" xr:uid="{00000000-0005-0000-0000-0000C5550000}"/>
    <cellStyle name="Normal 3 2 2 8 4 2 3" xfId="31704" xr:uid="{00000000-0005-0000-0000-0000C6550000}"/>
    <cellStyle name="Normal 3 2 2 8 4 3" xfId="3264" xr:uid="{00000000-0005-0000-0000-0000C7550000}"/>
    <cellStyle name="Normal 3 2 2 8 4 3 2" xfId="31707" xr:uid="{00000000-0005-0000-0000-0000C8550000}"/>
    <cellStyle name="Normal 3 2 2 8 4 3 3" xfId="31706" xr:uid="{00000000-0005-0000-0000-0000C9550000}"/>
    <cellStyle name="Normal 3 2 2 8 4 4" xfId="31708" xr:uid="{00000000-0005-0000-0000-0000CA550000}"/>
    <cellStyle name="Normal 3 2 2 8 4 4 2" xfId="31709" xr:uid="{00000000-0005-0000-0000-0000CB550000}"/>
    <cellStyle name="Normal 3 2 2 8 4 5" xfId="31710" xr:uid="{00000000-0005-0000-0000-0000CC550000}"/>
    <cellStyle name="Normal 3 2 2 8 4 6" xfId="31711" xr:uid="{00000000-0005-0000-0000-0000CD550000}"/>
    <cellStyle name="Normal 3 2 2 8 4 7" xfId="31703" xr:uid="{00000000-0005-0000-0000-0000CE550000}"/>
    <cellStyle name="Normal 3 2 2 8 5" xfId="3265" xr:uid="{00000000-0005-0000-0000-0000CF550000}"/>
    <cellStyle name="Normal 3 2 2 8 5 2" xfId="3266" xr:uid="{00000000-0005-0000-0000-0000D0550000}"/>
    <cellStyle name="Normal 3 2 2 8 5 2 2" xfId="31714" xr:uid="{00000000-0005-0000-0000-0000D1550000}"/>
    <cellStyle name="Normal 3 2 2 8 5 2 3" xfId="31713" xr:uid="{00000000-0005-0000-0000-0000D2550000}"/>
    <cellStyle name="Normal 3 2 2 8 5 3" xfId="31715" xr:uid="{00000000-0005-0000-0000-0000D3550000}"/>
    <cellStyle name="Normal 3 2 2 8 5 3 2" xfId="31716" xr:uid="{00000000-0005-0000-0000-0000D4550000}"/>
    <cellStyle name="Normal 3 2 2 8 5 4" xfId="31717" xr:uid="{00000000-0005-0000-0000-0000D5550000}"/>
    <cellStyle name="Normal 3 2 2 8 5 5" xfId="31718" xr:uid="{00000000-0005-0000-0000-0000D6550000}"/>
    <cellStyle name="Normal 3 2 2 8 5 6" xfId="31712" xr:uid="{00000000-0005-0000-0000-0000D7550000}"/>
    <cellStyle name="Normal 3 2 2 8 6" xfId="3267" xr:uid="{00000000-0005-0000-0000-0000D8550000}"/>
    <cellStyle name="Normal 3 2 2 8 6 2" xfId="3268" xr:uid="{00000000-0005-0000-0000-0000D9550000}"/>
    <cellStyle name="Normal 3 2 2 8 6 2 2" xfId="31720" xr:uid="{00000000-0005-0000-0000-0000DA550000}"/>
    <cellStyle name="Normal 3 2 2 8 6 3" xfId="31719" xr:uid="{00000000-0005-0000-0000-0000DB550000}"/>
    <cellStyle name="Normal 3 2 2 8 7" xfId="3269" xr:uid="{00000000-0005-0000-0000-0000DC550000}"/>
    <cellStyle name="Normal 3 2 2 8 7 2" xfId="31722" xr:uid="{00000000-0005-0000-0000-0000DD550000}"/>
    <cellStyle name="Normal 3 2 2 8 7 3" xfId="31721" xr:uid="{00000000-0005-0000-0000-0000DE550000}"/>
    <cellStyle name="Normal 3 2 2 8 8" xfId="31723" xr:uid="{00000000-0005-0000-0000-0000DF550000}"/>
    <cellStyle name="Normal 3 2 2 8 8 2" xfId="31724" xr:uid="{00000000-0005-0000-0000-0000E0550000}"/>
    <cellStyle name="Normal 3 2 2 8 9" xfId="31725" xr:uid="{00000000-0005-0000-0000-0000E1550000}"/>
    <cellStyle name="Normal 3 2 2 9" xfId="3270" xr:uid="{00000000-0005-0000-0000-0000E2550000}"/>
    <cellStyle name="Normal 3 2 2 9 2" xfId="3271" xr:uid="{00000000-0005-0000-0000-0000E3550000}"/>
    <cellStyle name="Normal 3 2 2 9 2 2" xfId="3272" xr:uid="{00000000-0005-0000-0000-0000E4550000}"/>
    <cellStyle name="Normal 3 2 2 9 2 2 2" xfId="3273" xr:uid="{00000000-0005-0000-0000-0000E5550000}"/>
    <cellStyle name="Normal 3 2 2 9 2 2 3" xfId="31728" xr:uid="{00000000-0005-0000-0000-0000E6550000}"/>
    <cellStyle name="Normal 3 2 2 9 2 3" xfId="3274" xr:uid="{00000000-0005-0000-0000-0000E7550000}"/>
    <cellStyle name="Normal 3 2 2 9 2 3 2" xfId="3275" xr:uid="{00000000-0005-0000-0000-0000E8550000}"/>
    <cellStyle name="Normal 3 2 2 9 2 4" xfId="3276" xr:uid="{00000000-0005-0000-0000-0000E9550000}"/>
    <cellStyle name="Normal 3 2 2 9 2 5" xfId="31727" xr:uid="{00000000-0005-0000-0000-0000EA550000}"/>
    <cellStyle name="Normal 3 2 2 9 3" xfId="3277" xr:uid="{00000000-0005-0000-0000-0000EB550000}"/>
    <cellStyle name="Normal 3 2 2 9 3 2" xfId="3278" xr:uid="{00000000-0005-0000-0000-0000EC550000}"/>
    <cellStyle name="Normal 3 2 2 9 3 2 2" xfId="31730" xr:uid="{00000000-0005-0000-0000-0000ED550000}"/>
    <cellStyle name="Normal 3 2 2 9 3 3" xfId="3279" xr:uid="{00000000-0005-0000-0000-0000EE550000}"/>
    <cellStyle name="Normal 3 2 2 9 3 4" xfId="31729" xr:uid="{00000000-0005-0000-0000-0000EF550000}"/>
    <cellStyle name="Normal 3 2 2 9 4" xfId="3280" xr:uid="{00000000-0005-0000-0000-0000F0550000}"/>
    <cellStyle name="Normal 3 2 2 9 4 2" xfId="3281" xr:uid="{00000000-0005-0000-0000-0000F1550000}"/>
    <cellStyle name="Normal 3 2 2 9 4 2 2" xfId="31732" xr:uid="{00000000-0005-0000-0000-0000F2550000}"/>
    <cellStyle name="Normal 3 2 2 9 4 3" xfId="31731" xr:uid="{00000000-0005-0000-0000-0000F3550000}"/>
    <cellStyle name="Normal 3 2 2 9 5" xfId="3282" xr:uid="{00000000-0005-0000-0000-0000F4550000}"/>
    <cellStyle name="Normal 3 2 2 9 5 2" xfId="3283" xr:uid="{00000000-0005-0000-0000-0000F5550000}"/>
    <cellStyle name="Normal 3 2 2 9 5 3" xfId="31733" xr:uid="{00000000-0005-0000-0000-0000F6550000}"/>
    <cellStyle name="Normal 3 2 2 9 6" xfId="3284" xr:uid="{00000000-0005-0000-0000-0000F7550000}"/>
    <cellStyle name="Normal 3 2 2 9 6 2" xfId="31734" xr:uid="{00000000-0005-0000-0000-0000F8550000}"/>
    <cellStyle name="Normal 3 2 2 9 7" xfId="31726" xr:uid="{00000000-0005-0000-0000-0000F9550000}"/>
    <cellStyle name="Normal 3 2 20" xfId="17669" xr:uid="{00000000-0005-0000-0000-0000FA550000}"/>
    <cellStyle name="Normal 3 2 3" xfId="3285" xr:uid="{00000000-0005-0000-0000-0000FB550000}"/>
    <cellStyle name="Normal 3 2 3 10" xfId="3286" xr:uid="{00000000-0005-0000-0000-0000FC550000}"/>
    <cellStyle name="Normal 3 2 3 10 2" xfId="3287" xr:uid="{00000000-0005-0000-0000-0000FD550000}"/>
    <cellStyle name="Normal 3 2 3 10 2 2" xfId="3288" xr:uid="{00000000-0005-0000-0000-0000FE550000}"/>
    <cellStyle name="Normal 3 2 3 10 2 2 2" xfId="31738" xr:uid="{00000000-0005-0000-0000-0000FF550000}"/>
    <cellStyle name="Normal 3 2 3 10 2 3" xfId="31737" xr:uid="{00000000-0005-0000-0000-000000560000}"/>
    <cellStyle name="Normal 3 2 3 10 3" xfId="3289" xr:uid="{00000000-0005-0000-0000-000001560000}"/>
    <cellStyle name="Normal 3 2 3 10 3 2" xfId="3290" xr:uid="{00000000-0005-0000-0000-000002560000}"/>
    <cellStyle name="Normal 3 2 3 10 3 2 2" xfId="31740" xr:uid="{00000000-0005-0000-0000-000003560000}"/>
    <cellStyle name="Normal 3 2 3 10 3 3" xfId="31739" xr:uid="{00000000-0005-0000-0000-000004560000}"/>
    <cellStyle name="Normal 3 2 3 10 4" xfId="3291" xr:uid="{00000000-0005-0000-0000-000005560000}"/>
    <cellStyle name="Normal 3 2 3 10 4 2" xfId="31742" xr:uid="{00000000-0005-0000-0000-000006560000}"/>
    <cellStyle name="Normal 3 2 3 10 4 3" xfId="31741" xr:uid="{00000000-0005-0000-0000-000007560000}"/>
    <cellStyle name="Normal 3 2 3 10 5" xfId="31743" xr:uid="{00000000-0005-0000-0000-000008560000}"/>
    <cellStyle name="Normal 3 2 3 10 6" xfId="31744" xr:uid="{00000000-0005-0000-0000-000009560000}"/>
    <cellStyle name="Normal 3 2 3 10 7" xfId="31736" xr:uid="{00000000-0005-0000-0000-00000A560000}"/>
    <cellStyle name="Normal 3 2 3 11" xfId="3292" xr:uid="{00000000-0005-0000-0000-00000B560000}"/>
    <cellStyle name="Normal 3 2 3 11 2" xfId="3293" xr:uid="{00000000-0005-0000-0000-00000C560000}"/>
    <cellStyle name="Normal 3 2 3 11 2 2" xfId="31747" xr:uid="{00000000-0005-0000-0000-00000D560000}"/>
    <cellStyle name="Normal 3 2 3 11 2 3" xfId="31746" xr:uid="{00000000-0005-0000-0000-00000E560000}"/>
    <cellStyle name="Normal 3 2 3 11 3" xfId="3294" xr:uid="{00000000-0005-0000-0000-00000F560000}"/>
    <cellStyle name="Normal 3 2 3 11 3 2" xfId="31749" xr:uid="{00000000-0005-0000-0000-000010560000}"/>
    <cellStyle name="Normal 3 2 3 11 3 3" xfId="31748" xr:uid="{00000000-0005-0000-0000-000011560000}"/>
    <cellStyle name="Normal 3 2 3 11 4" xfId="31750" xr:uid="{00000000-0005-0000-0000-000012560000}"/>
    <cellStyle name="Normal 3 2 3 11 5" xfId="31751" xr:uid="{00000000-0005-0000-0000-000013560000}"/>
    <cellStyle name="Normal 3 2 3 11 6" xfId="31745" xr:uid="{00000000-0005-0000-0000-000014560000}"/>
    <cellStyle name="Normal 3 2 3 12" xfId="3295" xr:uid="{00000000-0005-0000-0000-000015560000}"/>
    <cellStyle name="Normal 3 2 3 12 2" xfId="3296" xr:uid="{00000000-0005-0000-0000-000016560000}"/>
    <cellStyle name="Normal 3 2 3 12 2 2" xfId="31753" xr:uid="{00000000-0005-0000-0000-000017560000}"/>
    <cellStyle name="Normal 3 2 3 12 3" xfId="31752" xr:uid="{00000000-0005-0000-0000-000018560000}"/>
    <cellStyle name="Normal 3 2 3 13" xfId="3297" xr:uid="{00000000-0005-0000-0000-000019560000}"/>
    <cellStyle name="Normal 3 2 3 13 2" xfId="3298" xr:uid="{00000000-0005-0000-0000-00001A560000}"/>
    <cellStyle name="Normal 3 2 3 13 2 2" xfId="31755" xr:uid="{00000000-0005-0000-0000-00001B560000}"/>
    <cellStyle name="Normal 3 2 3 13 3" xfId="31754" xr:uid="{00000000-0005-0000-0000-00001C560000}"/>
    <cellStyle name="Normal 3 2 3 14" xfId="3299" xr:uid="{00000000-0005-0000-0000-00001D560000}"/>
    <cellStyle name="Normal 3 2 3 14 2" xfId="31757" xr:uid="{00000000-0005-0000-0000-00001E560000}"/>
    <cellStyle name="Normal 3 2 3 14 3" xfId="31756" xr:uid="{00000000-0005-0000-0000-00001F560000}"/>
    <cellStyle name="Normal 3 2 3 15" xfId="31758" xr:uid="{00000000-0005-0000-0000-000020560000}"/>
    <cellStyle name="Normal 3 2 3 16" xfId="31759" xr:uid="{00000000-0005-0000-0000-000021560000}"/>
    <cellStyle name="Normal 3 2 3 17" xfId="31735" xr:uid="{00000000-0005-0000-0000-000022560000}"/>
    <cellStyle name="Normal 3 2 3 2" xfId="3300" xr:uid="{00000000-0005-0000-0000-000023560000}"/>
    <cellStyle name="Normal 3 2 3 2 10" xfId="3301" xr:uid="{00000000-0005-0000-0000-000024560000}"/>
    <cellStyle name="Normal 3 2 3 2 10 2" xfId="3302" xr:uid="{00000000-0005-0000-0000-000025560000}"/>
    <cellStyle name="Normal 3 2 3 2 10 2 2" xfId="31762" xr:uid="{00000000-0005-0000-0000-000026560000}"/>
    <cellStyle name="Normal 3 2 3 2 10 3" xfId="31761" xr:uid="{00000000-0005-0000-0000-000027560000}"/>
    <cellStyle name="Normal 3 2 3 2 11" xfId="3303" xr:uid="{00000000-0005-0000-0000-000028560000}"/>
    <cellStyle name="Normal 3 2 3 2 11 2" xfId="3304" xr:uid="{00000000-0005-0000-0000-000029560000}"/>
    <cellStyle name="Normal 3 2 3 2 11 2 2" xfId="31764" xr:uid="{00000000-0005-0000-0000-00002A560000}"/>
    <cellStyle name="Normal 3 2 3 2 11 3" xfId="31763" xr:uid="{00000000-0005-0000-0000-00002B560000}"/>
    <cellStyle name="Normal 3 2 3 2 12" xfId="3305" xr:uid="{00000000-0005-0000-0000-00002C560000}"/>
    <cellStyle name="Normal 3 2 3 2 12 2" xfId="31765" xr:uid="{00000000-0005-0000-0000-00002D560000}"/>
    <cellStyle name="Normal 3 2 3 2 13" xfId="31766" xr:uid="{00000000-0005-0000-0000-00002E560000}"/>
    <cellStyle name="Normal 3 2 3 2 14" xfId="31760" xr:uid="{00000000-0005-0000-0000-00002F560000}"/>
    <cellStyle name="Normal 3 2 3 2 2" xfId="3306" xr:uid="{00000000-0005-0000-0000-000030560000}"/>
    <cellStyle name="Normal 3 2 3 2 2 10" xfId="3307" xr:uid="{00000000-0005-0000-0000-000031560000}"/>
    <cellStyle name="Normal 3 2 3 2 2 10 2" xfId="31768" xr:uid="{00000000-0005-0000-0000-000032560000}"/>
    <cellStyle name="Normal 3 2 3 2 2 11" xfId="31769" xr:uid="{00000000-0005-0000-0000-000033560000}"/>
    <cellStyle name="Normal 3 2 3 2 2 12" xfId="31767" xr:uid="{00000000-0005-0000-0000-000034560000}"/>
    <cellStyle name="Normal 3 2 3 2 2 2" xfId="3308" xr:uid="{00000000-0005-0000-0000-000035560000}"/>
    <cellStyle name="Normal 3 2 3 2 2 2 2" xfId="3309" xr:uid="{00000000-0005-0000-0000-000036560000}"/>
    <cellStyle name="Normal 3 2 3 2 2 2 2 2" xfId="3310" xr:uid="{00000000-0005-0000-0000-000037560000}"/>
    <cellStyle name="Normal 3 2 3 2 2 2 2 2 2" xfId="3311" xr:uid="{00000000-0005-0000-0000-000038560000}"/>
    <cellStyle name="Normal 3 2 3 2 2 2 2 2 3" xfId="3312" xr:uid="{00000000-0005-0000-0000-000039560000}"/>
    <cellStyle name="Normal 3 2 3 2 2 2 2 2 4" xfId="31772" xr:uid="{00000000-0005-0000-0000-00003A560000}"/>
    <cellStyle name="Normal 3 2 3 2 2 2 2 3" xfId="3313" xr:uid="{00000000-0005-0000-0000-00003B560000}"/>
    <cellStyle name="Normal 3 2 3 2 2 2 2 3 2" xfId="3314" xr:uid="{00000000-0005-0000-0000-00003C560000}"/>
    <cellStyle name="Normal 3 2 3 2 2 2 2 4" xfId="3315" xr:uid="{00000000-0005-0000-0000-00003D560000}"/>
    <cellStyle name="Normal 3 2 3 2 2 2 2 4 2" xfId="3316" xr:uid="{00000000-0005-0000-0000-00003E560000}"/>
    <cellStyle name="Normal 3 2 3 2 2 2 2 5" xfId="3317" xr:uid="{00000000-0005-0000-0000-00003F560000}"/>
    <cellStyle name="Normal 3 2 3 2 2 2 2 6" xfId="31771" xr:uid="{00000000-0005-0000-0000-000040560000}"/>
    <cellStyle name="Normal 3 2 3 2 2 2 3" xfId="3318" xr:uid="{00000000-0005-0000-0000-000041560000}"/>
    <cellStyle name="Normal 3 2 3 2 2 2 3 2" xfId="3319" xr:uid="{00000000-0005-0000-0000-000042560000}"/>
    <cellStyle name="Normal 3 2 3 2 2 2 3 2 2" xfId="3320" xr:uid="{00000000-0005-0000-0000-000043560000}"/>
    <cellStyle name="Normal 3 2 3 2 2 2 3 2 3" xfId="31774" xr:uid="{00000000-0005-0000-0000-000044560000}"/>
    <cellStyle name="Normal 3 2 3 2 2 2 3 3" xfId="3321" xr:uid="{00000000-0005-0000-0000-000045560000}"/>
    <cellStyle name="Normal 3 2 3 2 2 2 3 3 2" xfId="3322" xr:uid="{00000000-0005-0000-0000-000046560000}"/>
    <cellStyle name="Normal 3 2 3 2 2 2 3 4" xfId="3323" xr:uid="{00000000-0005-0000-0000-000047560000}"/>
    <cellStyle name="Normal 3 2 3 2 2 2 3 5" xfId="31773" xr:uid="{00000000-0005-0000-0000-000048560000}"/>
    <cellStyle name="Normal 3 2 3 2 2 2 4" xfId="3324" xr:uid="{00000000-0005-0000-0000-000049560000}"/>
    <cellStyle name="Normal 3 2 3 2 2 2 4 2" xfId="3325" xr:uid="{00000000-0005-0000-0000-00004A560000}"/>
    <cellStyle name="Normal 3 2 3 2 2 2 4 2 2" xfId="31776" xr:uid="{00000000-0005-0000-0000-00004B560000}"/>
    <cellStyle name="Normal 3 2 3 2 2 2 4 3" xfId="3326" xr:uid="{00000000-0005-0000-0000-00004C560000}"/>
    <cellStyle name="Normal 3 2 3 2 2 2 4 4" xfId="31775" xr:uid="{00000000-0005-0000-0000-00004D560000}"/>
    <cellStyle name="Normal 3 2 3 2 2 2 5" xfId="3327" xr:uid="{00000000-0005-0000-0000-00004E560000}"/>
    <cellStyle name="Normal 3 2 3 2 2 2 5 2" xfId="3328" xr:uid="{00000000-0005-0000-0000-00004F560000}"/>
    <cellStyle name="Normal 3 2 3 2 2 2 5 3" xfId="31777" xr:uid="{00000000-0005-0000-0000-000050560000}"/>
    <cellStyle name="Normal 3 2 3 2 2 2 6" xfId="3329" xr:uid="{00000000-0005-0000-0000-000051560000}"/>
    <cellStyle name="Normal 3 2 3 2 2 2 6 2" xfId="3330" xr:uid="{00000000-0005-0000-0000-000052560000}"/>
    <cellStyle name="Normal 3 2 3 2 2 2 6 3" xfId="31778" xr:uid="{00000000-0005-0000-0000-000053560000}"/>
    <cellStyle name="Normal 3 2 3 2 2 2 7" xfId="3331" xr:uid="{00000000-0005-0000-0000-000054560000}"/>
    <cellStyle name="Normal 3 2 3 2 2 2 8" xfId="31770" xr:uid="{00000000-0005-0000-0000-000055560000}"/>
    <cellStyle name="Normal 3 2 3 2 2 3" xfId="3332" xr:uid="{00000000-0005-0000-0000-000056560000}"/>
    <cellStyle name="Normal 3 2 3 2 2 3 2" xfId="3333" xr:uid="{00000000-0005-0000-0000-000057560000}"/>
    <cellStyle name="Normal 3 2 3 2 2 3 2 2" xfId="3334" xr:uid="{00000000-0005-0000-0000-000058560000}"/>
    <cellStyle name="Normal 3 2 3 2 2 3 2 2 2" xfId="3335" xr:uid="{00000000-0005-0000-0000-000059560000}"/>
    <cellStyle name="Normal 3 2 3 2 2 3 2 2 3" xfId="3336" xr:uid="{00000000-0005-0000-0000-00005A560000}"/>
    <cellStyle name="Normal 3 2 3 2 2 3 2 2 4" xfId="31781" xr:uid="{00000000-0005-0000-0000-00005B560000}"/>
    <cellStyle name="Normal 3 2 3 2 2 3 2 3" xfId="3337" xr:uid="{00000000-0005-0000-0000-00005C560000}"/>
    <cellStyle name="Normal 3 2 3 2 2 3 2 3 2" xfId="3338" xr:uid="{00000000-0005-0000-0000-00005D560000}"/>
    <cellStyle name="Normal 3 2 3 2 2 3 2 4" xfId="3339" xr:uid="{00000000-0005-0000-0000-00005E560000}"/>
    <cellStyle name="Normal 3 2 3 2 2 3 2 4 2" xfId="3340" xr:uid="{00000000-0005-0000-0000-00005F560000}"/>
    <cellStyle name="Normal 3 2 3 2 2 3 2 5" xfId="3341" xr:uid="{00000000-0005-0000-0000-000060560000}"/>
    <cellStyle name="Normal 3 2 3 2 2 3 2 6" xfId="31780" xr:uid="{00000000-0005-0000-0000-000061560000}"/>
    <cellStyle name="Normal 3 2 3 2 2 3 3" xfId="3342" xr:uid="{00000000-0005-0000-0000-000062560000}"/>
    <cellStyle name="Normal 3 2 3 2 2 3 3 2" xfId="3343" xr:uid="{00000000-0005-0000-0000-000063560000}"/>
    <cellStyle name="Normal 3 2 3 2 2 3 3 2 2" xfId="3344" xr:uid="{00000000-0005-0000-0000-000064560000}"/>
    <cellStyle name="Normal 3 2 3 2 2 3 3 2 3" xfId="31783" xr:uid="{00000000-0005-0000-0000-000065560000}"/>
    <cellStyle name="Normal 3 2 3 2 2 3 3 3" xfId="3345" xr:uid="{00000000-0005-0000-0000-000066560000}"/>
    <cellStyle name="Normal 3 2 3 2 2 3 3 3 2" xfId="3346" xr:uid="{00000000-0005-0000-0000-000067560000}"/>
    <cellStyle name="Normal 3 2 3 2 2 3 3 4" xfId="3347" xr:uid="{00000000-0005-0000-0000-000068560000}"/>
    <cellStyle name="Normal 3 2 3 2 2 3 3 5" xfId="31782" xr:uid="{00000000-0005-0000-0000-000069560000}"/>
    <cellStyle name="Normal 3 2 3 2 2 3 4" xfId="3348" xr:uid="{00000000-0005-0000-0000-00006A560000}"/>
    <cellStyle name="Normal 3 2 3 2 2 3 4 2" xfId="3349" xr:uid="{00000000-0005-0000-0000-00006B560000}"/>
    <cellStyle name="Normal 3 2 3 2 2 3 4 2 2" xfId="31785" xr:uid="{00000000-0005-0000-0000-00006C560000}"/>
    <cellStyle name="Normal 3 2 3 2 2 3 4 3" xfId="3350" xr:uid="{00000000-0005-0000-0000-00006D560000}"/>
    <cellStyle name="Normal 3 2 3 2 2 3 4 4" xfId="31784" xr:uid="{00000000-0005-0000-0000-00006E560000}"/>
    <cellStyle name="Normal 3 2 3 2 2 3 5" xfId="3351" xr:uid="{00000000-0005-0000-0000-00006F560000}"/>
    <cellStyle name="Normal 3 2 3 2 2 3 5 2" xfId="3352" xr:uid="{00000000-0005-0000-0000-000070560000}"/>
    <cellStyle name="Normal 3 2 3 2 2 3 5 3" xfId="31786" xr:uid="{00000000-0005-0000-0000-000071560000}"/>
    <cellStyle name="Normal 3 2 3 2 2 3 6" xfId="3353" xr:uid="{00000000-0005-0000-0000-000072560000}"/>
    <cellStyle name="Normal 3 2 3 2 2 3 6 2" xfId="3354" xr:uid="{00000000-0005-0000-0000-000073560000}"/>
    <cellStyle name="Normal 3 2 3 2 2 3 6 3" xfId="31787" xr:uid="{00000000-0005-0000-0000-000074560000}"/>
    <cellStyle name="Normal 3 2 3 2 2 3 7" xfId="3355" xr:uid="{00000000-0005-0000-0000-000075560000}"/>
    <cellStyle name="Normal 3 2 3 2 2 3 8" xfId="31779" xr:uid="{00000000-0005-0000-0000-000076560000}"/>
    <cellStyle name="Normal 3 2 3 2 2 4" xfId="3356" xr:uid="{00000000-0005-0000-0000-000077560000}"/>
    <cellStyle name="Normal 3 2 3 2 2 4 2" xfId="3357" xr:uid="{00000000-0005-0000-0000-000078560000}"/>
    <cellStyle name="Normal 3 2 3 2 2 4 2 2" xfId="3358" xr:uid="{00000000-0005-0000-0000-000079560000}"/>
    <cellStyle name="Normal 3 2 3 2 2 4 2 2 2" xfId="3359" xr:uid="{00000000-0005-0000-0000-00007A560000}"/>
    <cellStyle name="Normal 3 2 3 2 2 4 2 2 3" xfId="31790" xr:uid="{00000000-0005-0000-0000-00007B560000}"/>
    <cellStyle name="Normal 3 2 3 2 2 4 2 3" xfId="3360" xr:uid="{00000000-0005-0000-0000-00007C560000}"/>
    <cellStyle name="Normal 3 2 3 2 2 4 2 3 2" xfId="3361" xr:uid="{00000000-0005-0000-0000-00007D560000}"/>
    <cellStyle name="Normal 3 2 3 2 2 4 2 4" xfId="3362" xr:uid="{00000000-0005-0000-0000-00007E560000}"/>
    <cellStyle name="Normal 3 2 3 2 2 4 2 5" xfId="31789" xr:uid="{00000000-0005-0000-0000-00007F560000}"/>
    <cellStyle name="Normal 3 2 3 2 2 4 3" xfId="3363" xr:uid="{00000000-0005-0000-0000-000080560000}"/>
    <cellStyle name="Normal 3 2 3 2 2 4 3 2" xfId="3364" xr:uid="{00000000-0005-0000-0000-000081560000}"/>
    <cellStyle name="Normal 3 2 3 2 2 4 3 2 2" xfId="31792" xr:uid="{00000000-0005-0000-0000-000082560000}"/>
    <cellStyle name="Normal 3 2 3 2 2 4 3 3" xfId="3365" xr:uid="{00000000-0005-0000-0000-000083560000}"/>
    <cellStyle name="Normal 3 2 3 2 2 4 3 4" xfId="31791" xr:uid="{00000000-0005-0000-0000-000084560000}"/>
    <cellStyle name="Normal 3 2 3 2 2 4 4" xfId="3366" xr:uid="{00000000-0005-0000-0000-000085560000}"/>
    <cellStyle name="Normal 3 2 3 2 2 4 4 2" xfId="3367" xr:uid="{00000000-0005-0000-0000-000086560000}"/>
    <cellStyle name="Normal 3 2 3 2 2 4 4 2 2" xfId="31794" xr:uid="{00000000-0005-0000-0000-000087560000}"/>
    <cellStyle name="Normal 3 2 3 2 2 4 4 3" xfId="31793" xr:uid="{00000000-0005-0000-0000-000088560000}"/>
    <cellStyle name="Normal 3 2 3 2 2 4 5" xfId="3368" xr:uid="{00000000-0005-0000-0000-000089560000}"/>
    <cellStyle name="Normal 3 2 3 2 2 4 5 2" xfId="3369" xr:uid="{00000000-0005-0000-0000-00008A560000}"/>
    <cellStyle name="Normal 3 2 3 2 2 4 5 3" xfId="31795" xr:uid="{00000000-0005-0000-0000-00008B560000}"/>
    <cellStyle name="Normal 3 2 3 2 2 4 6" xfId="3370" xr:uid="{00000000-0005-0000-0000-00008C560000}"/>
    <cellStyle name="Normal 3 2 3 2 2 4 6 2" xfId="31796" xr:uid="{00000000-0005-0000-0000-00008D560000}"/>
    <cellStyle name="Normal 3 2 3 2 2 4 7" xfId="31788" xr:uid="{00000000-0005-0000-0000-00008E560000}"/>
    <cellStyle name="Normal 3 2 3 2 2 5" xfId="3371" xr:uid="{00000000-0005-0000-0000-00008F560000}"/>
    <cellStyle name="Normal 3 2 3 2 2 5 2" xfId="3372" xr:uid="{00000000-0005-0000-0000-000090560000}"/>
    <cellStyle name="Normal 3 2 3 2 2 5 2 2" xfId="3373" xr:uid="{00000000-0005-0000-0000-000091560000}"/>
    <cellStyle name="Normal 3 2 3 2 2 5 2 2 2" xfId="31799" xr:uid="{00000000-0005-0000-0000-000092560000}"/>
    <cellStyle name="Normal 3 2 3 2 2 5 2 3" xfId="31798" xr:uid="{00000000-0005-0000-0000-000093560000}"/>
    <cellStyle name="Normal 3 2 3 2 2 5 3" xfId="3374" xr:uid="{00000000-0005-0000-0000-000094560000}"/>
    <cellStyle name="Normal 3 2 3 2 2 5 3 2" xfId="3375" xr:uid="{00000000-0005-0000-0000-000095560000}"/>
    <cellStyle name="Normal 3 2 3 2 2 5 3 2 2" xfId="31801" xr:uid="{00000000-0005-0000-0000-000096560000}"/>
    <cellStyle name="Normal 3 2 3 2 2 5 3 3" xfId="31800" xr:uid="{00000000-0005-0000-0000-000097560000}"/>
    <cellStyle name="Normal 3 2 3 2 2 5 4" xfId="3376" xr:uid="{00000000-0005-0000-0000-000098560000}"/>
    <cellStyle name="Normal 3 2 3 2 2 5 4 2" xfId="31803" xr:uid="{00000000-0005-0000-0000-000099560000}"/>
    <cellStyle name="Normal 3 2 3 2 2 5 4 3" xfId="31802" xr:uid="{00000000-0005-0000-0000-00009A560000}"/>
    <cellStyle name="Normal 3 2 3 2 2 5 5" xfId="31804" xr:uid="{00000000-0005-0000-0000-00009B560000}"/>
    <cellStyle name="Normal 3 2 3 2 2 5 6" xfId="31805" xr:uid="{00000000-0005-0000-0000-00009C560000}"/>
    <cellStyle name="Normal 3 2 3 2 2 5 7" xfId="31797" xr:uid="{00000000-0005-0000-0000-00009D560000}"/>
    <cellStyle name="Normal 3 2 3 2 2 6" xfId="3377" xr:uid="{00000000-0005-0000-0000-00009E560000}"/>
    <cellStyle name="Normal 3 2 3 2 2 6 2" xfId="3378" xr:uid="{00000000-0005-0000-0000-00009F560000}"/>
    <cellStyle name="Normal 3 2 3 2 2 6 2 2" xfId="3379" xr:uid="{00000000-0005-0000-0000-0000A0560000}"/>
    <cellStyle name="Normal 3 2 3 2 2 6 2 2 2" xfId="31808" xr:uid="{00000000-0005-0000-0000-0000A1560000}"/>
    <cellStyle name="Normal 3 2 3 2 2 6 2 3" xfId="31807" xr:uid="{00000000-0005-0000-0000-0000A2560000}"/>
    <cellStyle name="Normal 3 2 3 2 2 6 3" xfId="3380" xr:uid="{00000000-0005-0000-0000-0000A3560000}"/>
    <cellStyle name="Normal 3 2 3 2 2 6 3 2" xfId="3381" xr:uid="{00000000-0005-0000-0000-0000A4560000}"/>
    <cellStyle name="Normal 3 2 3 2 2 6 3 2 2" xfId="31810" xr:uid="{00000000-0005-0000-0000-0000A5560000}"/>
    <cellStyle name="Normal 3 2 3 2 2 6 3 3" xfId="31809" xr:uid="{00000000-0005-0000-0000-0000A6560000}"/>
    <cellStyle name="Normal 3 2 3 2 2 6 4" xfId="3382" xr:uid="{00000000-0005-0000-0000-0000A7560000}"/>
    <cellStyle name="Normal 3 2 3 2 2 6 4 2" xfId="31811" xr:uid="{00000000-0005-0000-0000-0000A8560000}"/>
    <cellStyle name="Normal 3 2 3 2 2 6 5" xfId="31812" xr:uid="{00000000-0005-0000-0000-0000A9560000}"/>
    <cellStyle name="Normal 3 2 3 2 2 6 6" xfId="31806" xr:uid="{00000000-0005-0000-0000-0000AA560000}"/>
    <cellStyle name="Normal 3 2 3 2 2 7" xfId="3383" xr:uid="{00000000-0005-0000-0000-0000AB560000}"/>
    <cellStyle name="Normal 3 2 3 2 2 7 2" xfId="3384" xr:uid="{00000000-0005-0000-0000-0000AC560000}"/>
    <cellStyle name="Normal 3 2 3 2 2 7 2 2" xfId="31814" xr:uid="{00000000-0005-0000-0000-0000AD560000}"/>
    <cellStyle name="Normal 3 2 3 2 2 7 3" xfId="3385" xr:uid="{00000000-0005-0000-0000-0000AE560000}"/>
    <cellStyle name="Normal 3 2 3 2 2 7 4" xfId="31813" xr:uid="{00000000-0005-0000-0000-0000AF560000}"/>
    <cellStyle name="Normal 3 2 3 2 2 8" xfId="3386" xr:uid="{00000000-0005-0000-0000-0000B0560000}"/>
    <cellStyle name="Normal 3 2 3 2 2 8 2" xfId="3387" xr:uid="{00000000-0005-0000-0000-0000B1560000}"/>
    <cellStyle name="Normal 3 2 3 2 2 8 2 2" xfId="31816" xr:uid="{00000000-0005-0000-0000-0000B2560000}"/>
    <cellStyle name="Normal 3 2 3 2 2 8 3" xfId="31815" xr:uid="{00000000-0005-0000-0000-0000B3560000}"/>
    <cellStyle name="Normal 3 2 3 2 2 9" xfId="3388" xr:uid="{00000000-0005-0000-0000-0000B4560000}"/>
    <cellStyle name="Normal 3 2 3 2 2 9 2" xfId="3389" xr:uid="{00000000-0005-0000-0000-0000B5560000}"/>
    <cellStyle name="Normal 3 2 3 2 2 9 2 2" xfId="31818" xr:uid="{00000000-0005-0000-0000-0000B6560000}"/>
    <cellStyle name="Normal 3 2 3 2 2 9 3" xfId="31817" xr:uid="{00000000-0005-0000-0000-0000B7560000}"/>
    <cellStyle name="Normal 3 2 3 2 3" xfId="3390" xr:uid="{00000000-0005-0000-0000-0000B8560000}"/>
    <cellStyle name="Normal 3 2 3 2 3 10" xfId="31820" xr:uid="{00000000-0005-0000-0000-0000B9560000}"/>
    <cellStyle name="Normal 3 2 3 2 3 11" xfId="31819" xr:uid="{00000000-0005-0000-0000-0000BA560000}"/>
    <cellStyle name="Normal 3 2 3 2 3 2" xfId="3391" xr:uid="{00000000-0005-0000-0000-0000BB560000}"/>
    <cellStyle name="Normal 3 2 3 2 3 2 2" xfId="3392" xr:uid="{00000000-0005-0000-0000-0000BC560000}"/>
    <cellStyle name="Normal 3 2 3 2 3 2 2 2" xfId="3393" xr:uid="{00000000-0005-0000-0000-0000BD560000}"/>
    <cellStyle name="Normal 3 2 3 2 3 2 2 2 2" xfId="3394" xr:uid="{00000000-0005-0000-0000-0000BE560000}"/>
    <cellStyle name="Normal 3 2 3 2 3 2 2 2 3" xfId="3395" xr:uid="{00000000-0005-0000-0000-0000BF560000}"/>
    <cellStyle name="Normal 3 2 3 2 3 2 2 2 4" xfId="31823" xr:uid="{00000000-0005-0000-0000-0000C0560000}"/>
    <cellStyle name="Normal 3 2 3 2 3 2 2 3" xfId="3396" xr:uid="{00000000-0005-0000-0000-0000C1560000}"/>
    <cellStyle name="Normal 3 2 3 2 3 2 2 3 2" xfId="3397" xr:uid="{00000000-0005-0000-0000-0000C2560000}"/>
    <cellStyle name="Normal 3 2 3 2 3 2 2 4" xfId="3398" xr:uid="{00000000-0005-0000-0000-0000C3560000}"/>
    <cellStyle name="Normal 3 2 3 2 3 2 2 4 2" xfId="3399" xr:uid="{00000000-0005-0000-0000-0000C4560000}"/>
    <cellStyle name="Normal 3 2 3 2 3 2 2 5" xfId="3400" xr:uid="{00000000-0005-0000-0000-0000C5560000}"/>
    <cellStyle name="Normal 3 2 3 2 3 2 2 6" xfId="31822" xr:uid="{00000000-0005-0000-0000-0000C6560000}"/>
    <cellStyle name="Normal 3 2 3 2 3 2 3" xfId="3401" xr:uid="{00000000-0005-0000-0000-0000C7560000}"/>
    <cellStyle name="Normal 3 2 3 2 3 2 3 2" xfId="3402" xr:uid="{00000000-0005-0000-0000-0000C8560000}"/>
    <cellStyle name="Normal 3 2 3 2 3 2 3 2 2" xfId="3403" xr:uid="{00000000-0005-0000-0000-0000C9560000}"/>
    <cellStyle name="Normal 3 2 3 2 3 2 3 2 3" xfId="31825" xr:uid="{00000000-0005-0000-0000-0000CA560000}"/>
    <cellStyle name="Normal 3 2 3 2 3 2 3 3" xfId="3404" xr:uid="{00000000-0005-0000-0000-0000CB560000}"/>
    <cellStyle name="Normal 3 2 3 2 3 2 3 3 2" xfId="3405" xr:uid="{00000000-0005-0000-0000-0000CC560000}"/>
    <cellStyle name="Normal 3 2 3 2 3 2 3 4" xfId="3406" xr:uid="{00000000-0005-0000-0000-0000CD560000}"/>
    <cellStyle name="Normal 3 2 3 2 3 2 3 5" xfId="31824" xr:uid="{00000000-0005-0000-0000-0000CE560000}"/>
    <cellStyle name="Normal 3 2 3 2 3 2 4" xfId="3407" xr:uid="{00000000-0005-0000-0000-0000CF560000}"/>
    <cellStyle name="Normal 3 2 3 2 3 2 4 2" xfId="3408" xr:uid="{00000000-0005-0000-0000-0000D0560000}"/>
    <cellStyle name="Normal 3 2 3 2 3 2 4 2 2" xfId="31827" xr:uid="{00000000-0005-0000-0000-0000D1560000}"/>
    <cellStyle name="Normal 3 2 3 2 3 2 4 3" xfId="3409" xr:uid="{00000000-0005-0000-0000-0000D2560000}"/>
    <cellStyle name="Normal 3 2 3 2 3 2 4 4" xfId="31826" xr:uid="{00000000-0005-0000-0000-0000D3560000}"/>
    <cellStyle name="Normal 3 2 3 2 3 2 5" xfId="3410" xr:uid="{00000000-0005-0000-0000-0000D4560000}"/>
    <cellStyle name="Normal 3 2 3 2 3 2 5 2" xfId="3411" xr:uid="{00000000-0005-0000-0000-0000D5560000}"/>
    <cellStyle name="Normal 3 2 3 2 3 2 5 3" xfId="31828" xr:uid="{00000000-0005-0000-0000-0000D6560000}"/>
    <cellStyle name="Normal 3 2 3 2 3 2 6" xfId="3412" xr:uid="{00000000-0005-0000-0000-0000D7560000}"/>
    <cellStyle name="Normal 3 2 3 2 3 2 6 2" xfId="3413" xr:uid="{00000000-0005-0000-0000-0000D8560000}"/>
    <cellStyle name="Normal 3 2 3 2 3 2 6 3" xfId="31829" xr:uid="{00000000-0005-0000-0000-0000D9560000}"/>
    <cellStyle name="Normal 3 2 3 2 3 2 7" xfId="3414" xr:uid="{00000000-0005-0000-0000-0000DA560000}"/>
    <cellStyle name="Normal 3 2 3 2 3 2 8" xfId="31821" xr:uid="{00000000-0005-0000-0000-0000DB560000}"/>
    <cellStyle name="Normal 3 2 3 2 3 3" xfId="3415" xr:uid="{00000000-0005-0000-0000-0000DC560000}"/>
    <cellStyle name="Normal 3 2 3 2 3 3 2" xfId="3416" xr:uid="{00000000-0005-0000-0000-0000DD560000}"/>
    <cellStyle name="Normal 3 2 3 2 3 3 2 2" xfId="3417" xr:uid="{00000000-0005-0000-0000-0000DE560000}"/>
    <cellStyle name="Normal 3 2 3 2 3 3 2 2 2" xfId="31832" xr:uid="{00000000-0005-0000-0000-0000DF560000}"/>
    <cellStyle name="Normal 3 2 3 2 3 3 2 3" xfId="3418" xr:uid="{00000000-0005-0000-0000-0000E0560000}"/>
    <cellStyle name="Normal 3 2 3 2 3 3 2 4" xfId="31831" xr:uid="{00000000-0005-0000-0000-0000E1560000}"/>
    <cellStyle name="Normal 3 2 3 2 3 3 3" xfId="3419" xr:uid="{00000000-0005-0000-0000-0000E2560000}"/>
    <cellStyle name="Normal 3 2 3 2 3 3 3 2" xfId="3420" xr:uid="{00000000-0005-0000-0000-0000E3560000}"/>
    <cellStyle name="Normal 3 2 3 2 3 3 3 2 2" xfId="31834" xr:uid="{00000000-0005-0000-0000-0000E4560000}"/>
    <cellStyle name="Normal 3 2 3 2 3 3 3 3" xfId="31833" xr:uid="{00000000-0005-0000-0000-0000E5560000}"/>
    <cellStyle name="Normal 3 2 3 2 3 3 4" xfId="3421" xr:uid="{00000000-0005-0000-0000-0000E6560000}"/>
    <cellStyle name="Normal 3 2 3 2 3 3 4 2" xfId="3422" xr:uid="{00000000-0005-0000-0000-0000E7560000}"/>
    <cellStyle name="Normal 3 2 3 2 3 3 4 2 2" xfId="31836" xr:uid="{00000000-0005-0000-0000-0000E8560000}"/>
    <cellStyle name="Normal 3 2 3 2 3 3 4 3" xfId="31835" xr:uid="{00000000-0005-0000-0000-0000E9560000}"/>
    <cellStyle name="Normal 3 2 3 2 3 3 5" xfId="3423" xr:uid="{00000000-0005-0000-0000-0000EA560000}"/>
    <cellStyle name="Normal 3 2 3 2 3 3 5 2" xfId="31837" xr:uid="{00000000-0005-0000-0000-0000EB560000}"/>
    <cellStyle name="Normal 3 2 3 2 3 3 6" xfId="31838" xr:uid="{00000000-0005-0000-0000-0000EC560000}"/>
    <cellStyle name="Normal 3 2 3 2 3 3 7" xfId="31830" xr:uid="{00000000-0005-0000-0000-0000ED560000}"/>
    <cellStyle name="Normal 3 2 3 2 3 4" xfId="3424" xr:uid="{00000000-0005-0000-0000-0000EE560000}"/>
    <cellStyle name="Normal 3 2 3 2 3 4 2" xfId="3425" xr:uid="{00000000-0005-0000-0000-0000EF560000}"/>
    <cellStyle name="Normal 3 2 3 2 3 4 2 2" xfId="3426" xr:uid="{00000000-0005-0000-0000-0000F0560000}"/>
    <cellStyle name="Normal 3 2 3 2 3 4 2 2 2" xfId="31841" xr:uid="{00000000-0005-0000-0000-0000F1560000}"/>
    <cellStyle name="Normal 3 2 3 2 3 4 2 3" xfId="31840" xr:uid="{00000000-0005-0000-0000-0000F2560000}"/>
    <cellStyle name="Normal 3 2 3 2 3 4 3" xfId="3427" xr:uid="{00000000-0005-0000-0000-0000F3560000}"/>
    <cellStyle name="Normal 3 2 3 2 3 4 3 2" xfId="3428" xr:uid="{00000000-0005-0000-0000-0000F4560000}"/>
    <cellStyle name="Normal 3 2 3 2 3 4 3 2 2" xfId="31843" xr:uid="{00000000-0005-0000-0000-0000F5560000}"/>
    <cellStyle name="Normal 3 2 3 2 3 4 3 3" xfId="31842" xr:uid="{00000000-0005-0000-0000-0000F6560000}"/>
    <cellStyle name="Normal 3 2 3 2 3 4 4" xfId="3429" xr:uid="{00000000-0005-0000-0000-0000F7560000}"/>
    <cellStyle name="Normal 3 2 3 2 3 4 4 2" xfId="31845" xr:uid="{00000000-0005-0000-0000-0000F8560000}"/>
    <cellStyle name="Normal 3 2 3 2 3 4 4 3" xfId="31844" xr:uid="{00000000-0005-0000-0000-0000F9560000}"/>
    <cellStyle name="Normal 3 2 3 2 3 4 5" xfId="31846" xr:uid="{00000000-0005-0000-0000-0000FA560000}"/>
    <cellStyle name="Normal 3 2 3 2 3 4 6" xfId="31847" xr:uid="{00000000-0005-0000-0000-0000FB560000}"/>
    <cellStyle name="Normal 3 2 3 2 3 4 7" xfId="31839" xr:uid="{00000000-0005-0000-0000-0000FC560000}"/>
    <cellStyle name="Normal 3 2 3 2 3 5" xfId="3430" xr:uid="{00000000-0005-0000-0000-0000FD560000}"/>
    <cellStyle name="Normal 3 2 3 2 3 5 2" xfId="3431" xr:uid="{00000000-0005-0000-0000-0000FE560000}"/>
    <cellStyle name="Normal 3 2 3 2 3 5 2 2" xfId="31850" xr:uid="{00000000-0005-0000-0000-0000FF560000}"/>
    <cellStyle name="Normal 3 2 3 2 3 5 2 3" xfId="31849" xr:uid="{00000000-0005-0000-0000-000000570000}"/>
    <cellStyle name="Normal 3 2 3 2 3 5 3" xfId="3432" xr:uid="{00000000-0005-0000-0000-000001570000}"/>
    <cellStyle name="Normal 3 2 3 2 3 5 3 2" xfId="31852" xr:uid="{00000000-0005-0000-0000-000002570000}"/>
    <cellStyle name="Normal 3 2 3 2 3 5 3 3" xfId="31851" xr:uid="{00000000-0005-0000-0000-000003570000}"/>
    <cellStyle name="Normal 3 2 3 2 3 5 4" xfId="31853" xr:uid="{00000000-0005-0000-0000-000004570000}"/>
    <cellStyle name="Normal 3 2 3 2 3 5 5" xfId="31854" xr:uid="{00000000-0005-0000-0000-000005570000}"/>
    <cellStyle name="Normal 3 2 3 2 3 5 6" xfId="31848" xr:uid="{00000000-0005-0000-0000-000006570000}"/>
    <cellStyle name="Normal 3 2 3 2 3 6" xfId="3433" xr:uid="{00000000-0005-0000-0000-000007570000}"/>
    <cellStyle name="Normal 3 2 3 2 3 6 2" xfId="3434" xr:uid="{00000000-0005-0000-0000-000008570000}"/>
    <cellStyle name="Normal 3 2 3 2 3 6 2 2" xfId="31856" xr:uid="{00000000-0005-0000-0000-000009570000}"/>
    <cellStyle name="Normal 3 2 3 2 3 6 3" xfId="31855" xr:uid="{00000000-0005-0000-0000-00000A570000}"/>
    <cellStyle name="Normal 3 2 3 2 3 7" xfId="3435" xr:uid="{00000000-0005-0000-0000-00000B570000}"/>
    <cellStyle name="Normal 3 2 3 2 3 7 2" xfId="3436" xr:uid="{00000000-0005-0000-0000-00000C570000}"/>
    <cellStyle name="Normal 3 2 3 2 3 7 2 2" xfId="31858" xr:uid="{00000000-0005-0000-0000-00000D570000}"/>
    <cellStyle name="Normal 3 2 3 2 3 7 3" xfId="31857" xr:uid="{00000000-0005-0000-0000-00000E570000}"/>
    <cellStyle name="Normal 3 2 3 2 3 8" xfId="3437" xr:uid="{00000000-0005-0000-0000-00000F570000}"/>
    <cellStyle name="Normal 3 2 3 2 3 8 2" xfId="31860" xr:uid="{00000000-0005-0000-0000-000010570000}"/>
    <cellStyle name="Normal 3 2 3 2 3 8 3" xfId="31859" xr:uid="{00000000-0005-0000-0000-000011570000}"/>
    <cellStyle name="Normal 3 2 3 2 3 9" xfId="31861" xr:uid="{00000000-0005-0000-0000-000012570000}"/>
    <cellStyle name="Normal 3 2 3 2 4" xfId="3438" xr:uid="{00000000-0005-0000-0000-000013570000}"/>
    <cellStyle name="Normal 3 2 3 2 4 10" xfId="31863" xr:uid="{00000000-0005-0000-0000-000014570000}"/>
    <cellStyle name="Normal 3 2 3 2 4 11" xfId="31862" xr:uid="{00000000-0005-0000-0000-000015570000}"/>
    <cellStyle name="Normal 3 2 3 2 4 2" xfId="3439" xr:uid="{00000000-0005-0000-0000-000016570000}"/>
    <cellStyle name="Normal 3 2 3 2 4 2 2" xfId="3440" xr:uid="{00000000-0005-0000-0000-000017570000}"/>
    <cellStyle name="Normal 3 2 3 2 4 2 2 2" xfId="3441" xr:uid="{00000000-0005-0000-0000-000018570000}"/>
    <cellStyle name="Normal 3 2 3 2 4 2 2 2 2" xfId="31866" xr:uid="{00000000-0005-0000-0000-000019570000}"/>
    <cellStyle name="Normal 3 2 3 2 4 2 2 3" xfId="3442" xr:uid="{00000000-0005-0000-0000-00001A570000}"/>
    <cellStyle name="Normal 3 2 3 2 4 2 2 4" xfId="31865" xr:uid="{00000000-0005-0000-0000-00001B570000}"/>
    <cellStyle name="Normal 3 2 3 2 4 2 3" xfId="3443" xr:uid="{00000000-0005-0000-0000-00001C570000}"/>
    <cellStyle name="Normal 3 2 3 2 4 2 3 2" xfId="3444" xr:uid="{00000000-0005-0000-0000-00001D570000}"/>
    <cellStyle name="Normal 3 2 3 2 4 2 3 2 2" xfId="31868" xr:uid="{00000000-0005-0000-0000-00001E570000}"/>
    <cellStyle name="Normal 3 2 3 2 4 2 3 3" xfId="31867" xr:uid="{00000000-0005-0000-0000-00001F570000}"/>
    <cellStyle name="Normal 3 2 3 2 4 2 4" xfId="3445" xr:uid="{00000000-0005-0000-0000-000020570000}"/>
    <cellStyle name="Normal 3 2 3 2 4 2 4 2" xfId="3446" xr:uid="{00000000-0005-0000-0000-000021570000}"/>
    <cellStyle name="Normal 3 2 3 2 4 2 4 2 2" xfId="31870" xr:uid="{00000000-0005-0000-0000-000022570000}"/>
    <cellStyle name="Normal 3 2 3 2 4 2 4 3" xfId="31869" xr:uid="{00000000-0005-0000-0000-000023570000}"/>
    <cellStyle name="Normal 3 2 3 2 4 2 5" xfId="3447" xr:uid="{00000000-0005-0000-0000-000024570000}"/>
    <cellStyle name="Normal 3 2 3 2 4 2 5 2" xfId="31871" xr:uid="{00000000-0005-0000-0000-000025570000}"/>
    <cellStyle name="Normal 3 2 3 2 4 2 6" xfId="31872" xr:uid="{00000000-0005-0000-0000-000026570000}"/>
    <cellStyle name="Normal 3 2 3 2 4 2 7" xfId="31864" xr:uid="{00000000-0005-0000-0000-000027570000}"/>
    <cellStyle name="Normal 3 2 3 2 4 3" xfId="3448" xr:uid="{00000000-0005-0000-0000-000028570000}"/>
    <cellStyle name="Normal 3 2 3 2 4 3 2" xfId="3449" xr:uid="{00000000-0005-0000-0000-000029570000}"/>
    <cellStyle name="Normal 3 2 3 2 4 3 2 2" xfId="3450" xr:uid="{00000000-0005-0000-0000-00002A570000}"/>
    <cellStyle name="Normal 3 2 3 2 4 3 2 2 2" xfId="31875" xr:uid="{00000000-0005-0000-0000-00002B570000}"/>
    <cellStyle name="Normal 3 2 3 2 4 3 2 3" xfId="31874" xr:uid="{00000000-0005-0000-0000-00002C570000}"/>
    <cellStyle name="Normal 3 2 3 2 4 3 3" xfId="3451" xr:uid="{00000000-0005-0000-0000-00002D570000}"/>
    <cellStyle name="Normal 3 2 3 2 4 3 3 2" xfId="3452" xr:uid="{00000000-0005-0000-0000-00002E570000}"/>
    <cellStyle name="Normal 3 2 3 2 4 3 3 2 2" xfId="31877" xr:uid="{00000000-0005-0000-0000-00002F570000}"/>
    <cellStyle name="Normal 3 2 3 2 4 3 3 3" xfId="31876" xr:uid="{00000000-0005-0000-0000-000030570000}"/>
    <cellStyle name="Normal 3 2 3 2 4 3 4" xfId="3453" xr:uid="{00000000-0005-0000-0000-000031570000}"/>
    <cellStyle name="Normal 3 2 3 2 4 3 4 2" xfId="31879" xr:uid="{00000000-0005-0000-0000-000032570000}"/>
    <cellStyle name="Normal 3 2 3 2 4 3 4 3" xfId="31878" xr:uid="{00000000-0005-0000-0000-000033570000}"/>
    <cellStyle name="Normal 3 2 3 2 4 3 5" xfId="31880" xr:uid="{00000000-0005-0000-0000-000034570000}"/>
    <cellStyle name="Normal 3 2 3 2 4 3 6" xfId="31881" xr:uid="{00000000-0005-0000-0000-000035570000}"/>
    <cellStyle name="Normal 3 2 3 2 4 3 7" xfId="31873" xr:uid="{00000000-0005-0000-0000-000036570000}"/>
    <cellStyle name="Normal 3 2 3 2 4 4" xfId="3454" xr:uid="{00000000-0005-0000-0000-000037570000}"/>
    <cellStyle name="Normal 3 2 3 2 4 4 2" xfId="3455" xr:uid="{00000000-0005-0000-0000-000038570000}"/>
    <cellStyle name="Normal 3 2 3 2 4 4 2 2" xfId="31884" xr:uid="{00000000-0005-0000-0000-000039570000}"/>
    <cellStyle name="Normal 3 2 3 2 4 4 2 3" xfId="31883" xr:uid="{00000000-0005-0000-0000-00003A570000}"/>
    <cellStyle name="Normal 3 2 3 2 4 4 3" xfId="3456" xr:uid="{00000000-0005-0000-0000-00003B570000}"/>
    <cellStyle name="Normal 3 2 3 2 4 4 3 2" xfId="31886" xr:uid="{00000000-0005-0000-0000-00003C570000}"/>
    <cellStyle name="Normal 3 2 3 2 4 4 3 3" xfId="31885" xr:uid="{00000000-0005-0000-0000-00003D570000}"/>
    <cellStyle name="Normal 3 2 3 2 4 4 4" xfId="31887" xr:uid="{00000000-0005-0000-0000-00003E570000}"/>
    <cellStyle name="Normal 3 2 3 2 4 4 4 2" xfId="31888" xr:uid="{00000000-0005-0000-0000-00003F570000}"/>
    <cellStyle name="Normal 3 2 3 2 4 4 5" xfId="31889" xr:uid="{00000000-0005-0000-0000-000040570000}"/>
    <cellStyle name="Normal 3 2 3 2 4 4 6" xfId="31890" xr:uid="{00000000-0005-0000-0000-000041570000}"/>
    <cellStyle name="Normal 3 2 3 2 4 4 7" xfId="31882" xr:uid="{00000000-0005-0000-0000-000042570000}"/>
    <cellStyle name="Normal 3 2 3 2 4 5" xfId="3457" xr:uid="{00000000-0005-0000-0000-000043570000}"/>
    <cellStyle name="Normal 3 2 3 2 4 5 2" xfId="3458" xr:uid="{00000000-0005-0000-0000-000044570000}"/>
    <cellStyle name="Normal 3 2 3 2 4 5 2 2" xfId="31893" xr:uid="{00000000-0005-0000-0000-000045570000}"/>
    <cellStyle name="Normal 3 2 3 2 4 5 2 3" xfId="31892" xr:uid="{00000000-0005-0000-0000-000046570000}"/>
    <cellStyle name="Normal 3 2 3 2 4 5 3" xfId="31894" xr:uid="{00000000-0005-0000-0000-000047570000}"/>
    <cellStyle name="Normal 3 2 3 2 4 5 3 2" xfId="31895" xr:uid="{00000000-0005-0000-0000-000048570000}"/>
    <cellStyle name="Normal 3 2 3 2 4 5 4" xfId="31896" xr:uid="{00000000-0005-0000-0000-000049570000}"/>
    <cellStyle name="Normal 3 2 3 2 4 5 5" xfId="31897" xr:uid="{00000000-0005-0000-0000-00004A570000}"/>
    <cellStyle name="Normal 3 2 3 2 4 5 6" xfId="31891" xr:uid="{00000000-0005-0000-0000-00004B570000}"/>
    <cellStyle name="Normal 3 2 3 2 4 6" xfId="3459" xr:uid="{00000000-0005-0000-0000-00004C570000}"/>
    <cellStyle name="Normal 3 2 3 2 4 6 2" xfId="3460" xr:uid="{00000000-0005-0000-0000-00004D570000}"/>
    <cellStyle name="Normal 3 2 3 2 4 6 2 2" xfId="31899" xr:uid="{00000000-0005-0000-0000-00004E570000}"/>
    <cellStyle name="Normal 3 2 3 2 4 6 3" xfId="31898" xr:uid="{00000000-0005-0000-0000-00004F570000}"/>
    <cellStyle name="Normal 3 2 3 2 4 7" xfId="3461" xr:uid="{00000000-0005-0000-0000-000050570000}"/>
    <cellStyle name="Normal 3 2 3 2 4 7 2" xfId="31901" xr:uid="{00000000-0005-0000-0000-000051570000}"/>
    <cellStyle name="Normal 3 2 3 2 4 7 3" xfId="31900" xr:uid="{00000000-0005-0000-0000-000052570000}"/>
    <cellStyle name="Normal 3 2 3 2 4 8" xfId="31902" xr:uid="{00000000-0005-0000-0000-000053570000}"/>
    <cellStyle name="Normal 3 2 3 2 4 8 2" xfId="31903" xr:uid="{00000000-0005-0000-0000-000054570000}"/>
    <cellStyle name="Normal 3 2 3 2 4 9" xfId="31904" xr:uid="{00000000-0005-0000-0000-000055570000}"/>
    <cellStyle name="Normal 3 2 3 2 5" xfId="3462" xr:uid="{00000000-0005-0000-0000-000056570000}"/>
    <cellStyle name="Normal 3 2 3 2 5 2" xfId="3463" xr:uid="{00000000-0005-0000-0000-000057570000}"/>
    <cellStyle name="Normal 3 2 3 2 5 2 2" xfId="3464" xr:uid="{00000000-0005-0000-0000-000058570000}"/>
    <cellStyle name="Normal 3 2 3 2 5 2 2 2" xfId="3465" xr:uid="{00000000-0005-0000-0000-000059570000}"/>
    <cellStyle name="Normal 3 2 3 2 5 2 2 3" xfId="3466" xr:uid="{00000000-0005-0000-0000-00005A570000}"/>
    <cellStyle name="Normal 3 2 3 2 5 2 2 4" xfId="31907" xr:uid="{00000000-0005-0000-0000-00005B570000}"/>
    <cellStyle name="Normal 3 2 3 2 5 2 3" xfId="3467" xr:uid="{00000000-0005-0000-0000-00005C570000}"/>
    <cellStyle name="Normal 3 2 3 2 5 2 3 2" xfId="3468" xr:uid="{00000000-0005-0000-0000-00005D570000}"/>
    <cellStyle name="Normal 3 2 3 2 5 2 4" xfId="3469" xr:uid="{00000000-0005-0000-0000-00005E570000}"/>
    <cellStyle name="Normal 3 2 3 2 5 2 4 2" xfId="3470" xr:uid="{00000000-0005-0000-0000-00005F570000}"/>
    <cellStyle name="Normal 3 2 3 2 5 2 5" xfId="3471" xr:uid="{00000000-0005-0000-0000-000060570000}"/>
    <cellStyle name="Normal 3 2 3 2 5 2 6" xfId="31906" xr:uid="{00000000-0005-0000-0000-000061570000}"/>
    <cellStyle name="Normal 3 2 3 2 5 3" xfId="3472" xr:uid="{00000000-0005-0000-0000-000062570000}"/>
    <cellStyle name="Normal 3 2 3 2 5 3 2" xfId="3473" xr:uid="{00000000-0005-0000-0000-000063570000}"/>
    <cellStyle name="Normal 3 2 3 2 5 3 2 2" xfId="3474" xr:uid="{00000000-0005-0000-0000-000064570000}"/>
    <cellStyle name="Normal 3 2 3 2 5 3 2 3" xfId="31909" xr:uid="{00000000-0005-0000-0000-000065570000}"/>
    <cellStyle name="Normal 3 2 3 2 5 3 3" xfId="3475" xr:uid="{00000000-0005-0000-0000-000066570000}"/>
    <cellStyle name="Normal 3 2 3 2 5 3 3 2" xfId="3476" xr:uid="{00000000-0005-0000-0000-000067570000}"/>
    <cellStyle name="Normal 3 2 3 2 5 3 4" xfId="3477" xr:uid="{00000000-0005-0000-0000-000068570000}"/>
    <cellStyle name="Normal 3 2 3 2 5 3 5" xfId="31908" xr:uid="{00000000-0005-0000-0000-000069570000}"/>
    <cellStyle name="Normal 3 2 3 2 5 4" xfId="3478" xr:uid="{00000000-0005-0000-0000-00006A570000}"/>
    <cellStyle name="Normal 3 2 3 2 5 4 2" xfId="3479" xr:uid="{00000000-0005-0000-0000-00006B570000}"/>
    <cellStyle name="Normal 3 2 3 2 5 4 2 2" xfId="31911" xr:uid="{00000000-0005-0000-0000-00006C570000}"/>
    <cellStyle name="Normal 3 2 3 2 5 4 3" xfId="3480" xr:uid="{00000000-0005-0000-0000-00006D570000}"/>
    <cellStyle name="Normal 3 2 3 2 5 4 4" xfId="31910" xr:uid="{00000000-0005-0000-0000-00006E570000}"/>
    <cellStyle name="Normal 3 2 3 2 5 5" xfId="3481" xr:uid="{00000000-0005-0000-0000-00006F570000}"/>
    <cellStyle name="Normal 3 2 3 2 5 5 2" xfId="3482" xr:uid="{00000000-0005-0000-0000-000070570000}"/>
    <cellStyle name="Normal 3 2 3 2 5 5 3" xfId="31912" xr:uid="{00000000-0005-0000-0000-000071570000}"/>
    <cellStyle name="Normal 3 2 3 2 5 6" xfId="3483" xr:uid="{00000000-0005-0000-0000-000072570000}"/>
    <cellStyle name="Normal 3 2 3 2 5 6 2" xfId="3484" xr:uid="{00000000-0005-0000-0000-000073570000}"/>
    <cellStyle name="Normal 3 2 3 2 5 6 3" xfId="31913" xr:uid="{00000000-0005-0000-0000-000074570000}"/>
    <cellStyle name="Normal 3 2 3 2 5 7" xfId="3485" xr:uid="{00000000-0005-0000-0000-000075570000}"/>
    <cellStyle name="Normal 3 2 3 2 5 8" xfId="31905" xr:uid="{00000000-0005-0000-0000-000076570000}"/>
    <cellStyle name="Normal 3 2 3 2 6" xfId="3486" xr:uid="{00000000-0005-0000-0000-000077570000}"/>
    <cellStyle name="Normal 3 2 3 2 6 2" xfId="3487" xr:uid="{00000000-0005-0000-0000-000078570000}"/>
    <cellStyle name="Normal 3 2 3 2 6 2 2" xfId="3488" xr:uid="{00000000-0005-0000-0000-000079570000}"/>
    <cellStyle name="Normal 3 2 3 2 6 2 2 2" xfId="3489" xr:uid="{00000000-0005-0000-0000-00007A570000}"/>
    <cellStyle name="Normal 3 2 3 2 6 2 2 3" xfId="31916" xr:uid="{00000000-0005-0000-0000-00007B570000}"/>
    <cellStyle name="Normal 3 2 3 2 6 2 3" xfId="3490" xr:uid="{00000000-0005-0000-0000-00007C570000}"/>
    <cellStyle name="Normal 3 2 3 2 6 2 3 2" xfId="3491" xr:uid="{00000000-0005-0000-0000-00007D570000}"/>
    <cellStyle name="Normal 3 2 3 2 6 2 4" xfId="3492" xr:uid="{00000000-0005-0000-0000-00007E570000}"/>
    <cellStyle name="Normal 3 2 3 2 6 2 5" xfId="31915" xr:uid="{00000000-0005-0000-0000-00007F570000}"/>
    <cellStyle name="Normal 3 2 3 2 6 3" xfId="3493" xr:uid="{00000000-0005-0000-0000-000080570000}"/>
    <cellStyle name="Normal 3 2 3 2 6 3 2" xfId="3494" xr:uid="{00000000-0005-0000-0000-000081570000}"/>
    <cellStyle name="Normal 3 2 3 2 6 3 2 2" xfId="31918" xr:uid="{00000000-0005-0000-0000-000082570000}"/>
    <cellStyle name="Normal 3 2 3 2 6 3 3" xfId="3495" xr:uid="{00000000-0005-0000-0000-000083570000}"/>
    <cellStyle name="Normal 3 2 3 2 6 3 4" xfId="31917" xr:uid="{00000000-0005-0000-0000-000084570000}"/>
    <cellStyle name="Normal 3 2 3 2 6 4" xfId="3496" xr:uid="{00000000-0005-0000-0000-000085570000}"/>
    <cellStyle name="Normal 3 2 3 2 6 4 2" xfId="3497" xr:uid="{00000000-0005-0000-0000-000086570000}"/>
    <cellStyle name="Normal 3 2 3 2 6 4 2 2" xfId="31920" xr:uid="{00000000-0005-0000-0000-000087570000}"/>
    <cellStyle name="Normal 3 2 3 2 6 4 3" xfId="31919" xr:uid="{00000000-0005-0000-0000-000088570000}"/>
    <cellStyle name="Normal 3 2 3 2 6 5" xfId="3498" xr:uid="{00000000-0005-0000-0000-000089570000}"/>
    <cellStyle name="Normal 3 2 3 2 6 5 2" xfId="3499" xr:uid="{00000000-0005-0000-0000-00008A570000}"/>
    <cellStyle name="Normal 3 2 3 2 6 5 3" xfId="31921" xr:uid="{00000000-0005-0000-0000-00008B570000}"/>
    <cellStyle name="Normal 3 2 3 2 6 6" xfId="3500" xr:uid="{00000000-0005-0000-0000-00008C570000}"/>
    <cellStyle name="Normal 3 2 3 2 6 6 2" xfId="31922" xr:uid="{00000000-0005-0000-0000-00008D570000}"/>
    <cellStyle name="Normal 3 2 3 2 6 7" xfId="31914" xr:uid="{00000000-0005-0000-0000-00008E570000}"/>
    <cellStyle name="Normal 3 2 3 2 7" xfId="3501" xr:uid="{00000000-0005-0000-0000-00008F570000}"/>
    <cellStyle name="Normal 3 2 3 2 7 2" xfId="3502" xr:uid="{00000000-0005-0000-0000-000090570000}"/>
    <cellStyle name="Normal 3 2 3 2 7 2 2" xfId="3503" xr:uid="{00000000-0005-0000-0000-000091570000}"/>
    <cellStyle name="Normal 3 2 3 2 7 2 2 2" xfId="31925" xr:uid="{00000000-0005-0000-0000-000092570000}"/>
    <cellStyle name="Normal 3 2 3 2 7 2 3" xfId="31924" xr:uid="{00000000-0005-0000-0000-000093570000}"/>
    <cellStyle name="Normal 3 2 3 2 7 3" xfId="3504" xr:uid="{00000000-0005-0000-0000-000094570000}"/>
    <cellStyle name="Normal 3 2 3 2 7 3 2" xfId="3505" xr:uid="{00000000-0005-0000-0000-000095570000}"/>
    <cellStyle name="Normal 3 2 3 2 7 3 2 2" xfId="31927" xr:uid="{00000000-0005-0000-0000-000096570000}"/>
    <cellStyle name="Normal 3 2 3 2 7 3 3" xfId="31926" xr:uid="{00000000-0005-0000-0000-000097570000}"/>
    <cellStyle name="Normal 3 2 3 2 7 4" xfId="3506" xr:uid="{00000000-0005-0000-0000-000098570000}"/>
    <cellStyle name="Normal 3 2 3 2 7 4 2" xfId="31929" xr:uid="{00000000-0005-0000-0000-000099570000}"/>
    <cellStyle name="Normal 3 2 3 2 7 4 3" xfId="31928" xr:uid="{00000000-0005-0000-0000-00009A570000}"/>
    <cellStyle name="Normal 3 2 3 2 7 5" xfId="31930" xr:uid="{00000000-0005-0000-0000-00009B570000}"/>
    <cellStyle name="Normal 3 2 3 2 7 6" xfId="31931" xr:uid="{00000000-0005-0000-0000-00009C570000}"/>
    <cellStyle name="Normal 3 2 3 2 7 7" xfId="31923" xr:uid="{00000000-0005-0000-0000-00009D570000}"/>
    <cellStyle name="Normal 3 2 3 2 8" xfId="3507" xr:uid="{00000000-0005-0000-0000-00009E570000}"/>
    <cellStyle name="Normal 3 2 3 2 8 2" xfId="3508" xr:uid="{00000000-0005-0000-0000-00009F570000}"/>
    <cellStyle name="Normal 3 2 3 2 8 2 2" xfId="3509" xr:uid="{00000000-0005-0000-0000-0000A0570000}"/>
    <cellStyle name="Normal 3 2 3 2 8 2 2 2" xfId="31934" xr:uid="{00000000-0005-0000-0000-0000A1570000}"/>
    <cellStyle name="Normal 3 2 3 2 8 2 3" xfId="31933" xr:uid="{00000000-0005-0000-0000-0000A2570000}"/>
    <cellStyle name="Normal 3 2 3 2 8 3" xfId="3510" xr:uid="{00000000-0005-0000-0000-0000A3570000}"/>
    <cellStyle name="Normal 3 2 3 2 8 3 2" xfId="3511" xr:uid="{00000000-0005-0000-0000-0000A4570000}"/>
    <cellStyle name="Normal 3 2 3 2 8 3 2 2" xfId="31936" xr:uid="{00000000-0005-0000-0000-0000A5570000}"/>
    <cellStyle name="Normal 3 2 3 2 8 3 3" xfId="31935" xr:uid="{00000000-0005-0000-0000-0000A6570000}"/>
    <cellStyle name="Normal 3 2 3 2 8 4" xfId="3512" xr:uid="{00000000-0005-0000-0000-0000A7570000}"/>
    <cellStyle name="Normal 3 2 3 2 8 4 2" xfId="31937" xr:uid="{00000000-0005-0000-0000-0000A8570000}"/>
    <cellStyle name="Normal 3 2 3 2 8 5" xfId="31938" xr:uid="{00000000-0005-0000-0000-0000A9570000}"/>
    <cellStyle name="Normal 3 2 3 2 8 6" xfId="31932" xr:uid="{00000000-0005-0000-0000-0000AA570000}"/>
    <cellStyle name="Normal 3 2 3 2 9" xfId="3513" xr:uid="{00000000-0005-0000-0000-0000AB570000}"/>
    <cellStyle name="Normal 3 2 3 2 9 2" xfId="3514" xr:uid="{00000000-0005-0000-0000-0000AC570000}"/>
    <cellStyle name="Normal 3 2 3 2 9 2 2" xfId="31940" xr:uid="{00000000-0005-0000-0000-0000AD570000}"/>
    <cellStyle name="Normal 3 2 3 2 9 3" xfId="3515" xr:uid="{00000000-0005-0000-0000-0000AE570000}"/>
    <cellStyle name="Normal 3 2 3 2 9 4" xfId="31939" xr:uid="{00000000-0005-0000-0000-0000AF570000}"/>
    <cellStyle name="Normal 3 2 3 3" xfId="3516" xr:uid="{00000000-0005-0000-0000-0000B0570000}"/>
    <cellStyle name="Normal 3 2 3 3 10" xfId="3517" xr:uid="{00000000-0005-0000-0000-0000B1570000}"/>
    <cellStyle name="Normal 3 2 3 3 10 2" xfId="3518" xr:uid="{00000000-0005-0000-0000-0000B2570000}"/>
    <cellStyle name="Normal 3 2 3 3 10 2 2" xfId="31943" xr:uid="{00000000-0005-0000-0000-0000B3570000}"/>
    <cellStyle name="Normal 3 2 3 3 10 3" xfId="31942" xr:uid="{00000000-0005-0000-0000-0000B4570000}"/>
    <cellStyle name="Normal 3 2 3 3 11" xfId="3519" xr:uid="{00000000-0005-0000-0000-0000B5570000}"/>
    <cellStyle name="Normal 3 2 3 3 11 2" xfId="31945" xr:uid="{00000000-0005-0000-0000-0000B6570000}"/>
    <cellStyle name="Normal 3 2 3 3 11 3" xfId="31944" xr:uid="{00000000-0005-0000-0000-0000B7570000}"/>
    <cellStyle name="Normal 3 2 3 3 12" xfId="31946" xr:uid="{00000000-0005-0000-0000-0000B8570000}"/>
    <cellStyle name="Normal 3 2 3 3 13" xfId="31947" xr:uid="{00000000-0005-0000-0000-0000B9570000}"/>
    <cellStyle name="Normal 3 2 3 3 14" xfId="31941" xr:uid="{00000000-0005-0000-0000-0000BA570000}"/>
    <cellStyle name="Normal 3 2 3 3 2" xfId="3520" xr:uid="{00000000-0005-0000-0000-0000BB570000}"/>
    <cellStyle name="Normal 3 2 3 3 2 10" xfId="31949" xr:uid="{00000000-0005-0000-0000-0000BC570000}"/>
    <cellStyle name="Normal 3 2 3 3 2 11" xfId="31950" xr:uid="{00000000-0005-0000-0000-0000BD570000}"/>
    <cellStyle name="Normal 3 2 3 3 2 12" xfId="31948" xr:uid="{00000000-0005-0000-0000-0000BE570000}"/>
    <cellStyle name="Normal 3 2 3 3 2 2" xfId="3521" xr:uid="{00000000-0005-0000-0000-0000BF570000}"/>
    <cellStyle name="Normal 3 2 3 3 2 2 2" xfId="3522" xr:uid="{00000000-0005-0000-0000-0000C0570000}"/>
    <cellStyle name="Normal 3 2 3 3 2 2 2 2" xfId="3523" xr:uid="{00000000-0005-0000-0000-0000C1570000}"/>
    <cellStyle name="Normal 3 2 3 3 2 2 2 2 2" xfId="3524" xr:uid="{00000000-0005-0000-0000-0000C2570000}"/>
    <cellStyle name="Normal 3 2 3 3 2 2 2 2 3" xfId="3525" xr:uid="{00000000-0005-0000-0000-0000C3570000}"/>
    <cellStyle name="Normal 3 2 3 3 2 2 2 2 4" xfId="31953" xr:uid="{00000000-0005-0000-0000-0000C4570000}"/>
    <cellStyle name="Normal 3 2 3 3 2 2 2 3" xfId="3526" xr:uid="{00000000-0005-0000-0000-0000C5570000}"/>
    <cellStyle name="Normal 3 2 3 3 2 2 2 3 2" xfId="3527" xr:uid="{00000000-0005-0000-0000-0000C6570000}"/>
    <cellStyle name="Normal 3 2 3 3 2 2 2 4" xfId="3528" xr:uid="{00000000-0005-0000-0000-0000C7570000}"/>
    <cellStyle name="Normal 3 2 3 3 2 2 2 4 2" xfId="3529" xr:uid="{00000000-0005-0000-0000-0000C8570000}"/>
    <cellStyle name="Normal 3 2 3 3 2 2 2 5" xfId="3530" xr:uid="{00000000-0005-0000-0000-0000C9570000}"/>
    <cellStyle name="Normal 3 2 3 3 2 2 2 6" xfId="31952" xr:uid="{00000000-0005-0000-0000-0000CA570000}"/>
    <cellStyle name="Normal 3 2 3 3 2 2 3" xfId="3531" xr:uid="{00000000-0005-0000-0000-0000CB570000}"/>
    <cellStyle name="Normal 3 2 3 3 2 2 3 2" xfId="3532" xr:uid="{00000000-0005-0000-0000-0000CC570000}"/>
    <cellStyle name="Normal 3 2 3 3 2 2 3 2 2" xfId="3533" xr:uid="{00000000-0005-0000-0000-0000CD570000}"/>
    <cellStyle name="Normal 3 2 3 3 2 2 3 2 3" xfId="31955" xr:uid="{00000000-0005-0000-0000-0000CE570000}"/>
    <cellStyle name="Normal 3 2 3 3 2 2 3 3" xfId="3534" xr:uid="{00000000-0005-0000-0000-0000CF570000}"/>
    <cellStyle name="Normal 3 2 3 3 2 2 3 3 2" xfId="3535" xr:uid="{00000000-0005-0000-0000-0000D0570000}"/>
    <cellStyle name="Normal 3 2 3 3 2 2 3 4" xfId="3536" xr:uid="{00000000-0005-0000-0000-0000D1570000}"/>
    <cellStyle name="Normal 3 2 3 3 2 2 3 5" xfId="31954" xr:uid="{00000000-0005-0000-0000-0000D2570000}"/>
    <cellStyle name="Normal 3 2 3 3 2 2 4" xfId="3537" xr:uid="{00000000-0005-0000-0000-0000D3570000}"/>
    <cellStyle name="Normal 3 2 3 3 2 2 4 2" xfId="3538" xr:uid="{00000000-0005-0000-0000-0000D4570000}"/>
    <cellStyle name="Normal 3 2 3 3 2 2 4 2 2" xfId="31957" xr:uid="{00000000-0005-0000-0000-0000D5570000}"/>
    <cellStyle name="Normal 3 2 3 3 2 2 4 3" xfId="3539" xr:uid="{00000000-0005-0000-0000-0000D6570000}"/>
    <cellStyle name="Normal 3 2 3 3 2 2 4 4" xfId="31956" xr:uid="{00000000-0005-0000-0000-0000D7570000}"/>
    <cellStyle name="Normal 3 2 3 3 2 2 5" xfId="3540" xr:uid="{00000000-0005-0000-0000-0000D8570000}"/>
    <cellStyle name="Normal 3 2 3 3 2 2 5 2" xfId="3541" xr:uid="{00000000-0005-0000-0000-0000D9570000}"/>
    <cellStyle name="Normal 3 2 3 3 2 2 5 3" xfId="31958" xr:uid="{00000000-0005-0000-0000-0000DA570000}"/>
    <cellStyle name="Normal 3 2 3 3 2 2 6" xfId="3542" xr:uid="{00000000-0005-0000-0000-0000DB570000}"/>
    <cellStyle name="Normal 3 2 3 3 2 2 6 2" xfId="3543" xr:uid="{00000000-0005-0000-0000-0000DC570000}"/>
    <cellStyle name="Normal 3 2 3 3 2 2 6 3" xfId="31959" xr:uid="{00000000-0005-0000-0000-0000DD570000}"/>
    <cellStyle name="Normal 3 2 3 3 2 2 7" xfId="3544" xr:uid="{00000000-0005-0000-0000-0000DE570000}"/>
    <cellStyle name="Normal 3 2 3 3 2 2 8" xfId="31951" xr:uid="{00000000-0005-0000-0000-0000DF570000}"/>
    <cellStyle name="Normal 3 2 3 3 2 3" xfId="3545" xr:uid="{00000000-0005-0000-0000-0000E0570000}"/>
    <cellStyle name="Normal 3 2 3 3 2 3 2" xfId="3546" xr:uid="{00000000-0005-0000-0000-0000E1570000}"/>
    <cellStyle name="Normal 3 2 3 3 2 3 2 2" xfId="3547" xr:uid="{00000000-0005-0000-0000-0000E2570000}"/>
    <cellStyle name="Normal 3 2 3 3 2 3 2 2 2" xfId="31962" xr:uid="{00000000-0005-0000-0000-0000E3570000}"/>
    <cellStyle name="Normal 3 2 3 3 2 3 2 3" xfId="3548" xr:uid="{00000000-0005-0000-0000-0000E4570000}"/>
    <cellStyle name="Normal 3 2 3 3 2 3 2 4" xfId="31961" xr:uid="{00000000-0005-0000-0000-0000E5570000}"/>
    <cellStyle name="Normal 3 2 3 3 2 3 3" xfId="3549" xr:uid="{00000000-0005-0000-0000-0000E6570000}"/>
    <cellStyle name="Normal 3 2 3 3 2 3 3 2" xfId="3550" xr:uid="{00000000-0005-0000-0000-0000E7570000}"/>
    <cellStyle name="Normal 3 2 3 3 2 3 3 2 2" xfId="31964" xr:uid="{00000000-0005-0000-0000-0000E8570000}"/>
    <cellStyle name="Normal 3 2 3 3 2 3 3 3" xfId="31963" xr:uid="{00000000-0005-0000-0000-0000E9570000}"/>
    <cellStyle name="Normal 3 2 3 3 2 3 4" xfId="3551" xr:uid="{00000000-0005-0000-0000-0000EA570000}"/>
    <cellStyle name="Normal 3 2 3 3 2 3 4 2" xfId="3552" xr:uid="{00000000-0005-0000-0000-0000EB570000}"/>
    <cellStyle name="Normal 3 2 3 3 2 3 4 2 2" xfId="31966" xr:uid="{00000000-0005-0000-0000-0000EC570000}"/>
    <cellStyle name="Normal 3 2 3 3 2 3 4 3" xfId="31965" xr:uid="{00000000-0005-0000-0000-0000ED570000}"/>
    <cellStyle name="Normal 3 2 3 3 2 3 5" xfId="3553" xr:uid="{00000000-0005-0000-0000-0000EE570000}"/>
    <cellStyle name="Normal 3 2 3 3 2 3 5 2" xfId="31967" xr:uid="{00000000-0005-0000-0000-0000EF570000}"/>
    <cellStyle name="Normal 3 2 3 3 2 3 6" xfId="31968" xr:uid="{00000000-0005-0000-0000-0000F0570000}"/>
    <cellStyle name="Normal 3 2 3 3 2 3 7" xfId="31960" xr:uid="{00000000-0005-0000-0000-0000F1570000}"/>
    <cellStyle name="Normal 3 2 3 3 2 4" xfId="3554" xr:uid="{00000000-0005-0000-0000-0000F2570000}"/>
    <cellStyle name="Normal 3 2 3 3 2 4 2" xfId="3555" xr:uid="{00000000-0005-0000-0000-0000F3570000}"/>
    <cellStyle name="Normal 3 2 3 3 2 4 2 2" xfId="3556" xr:uid="{00000000-0005-0000-0000-0000F4570000}"/>
    <cellStyle name="Normal 3 2 3 3 2 4 2 2 2" xfId="31971" xr:uid="{00000000-0005-0000-0000-0000F5570000}"/>
    <cellStyle name="Normal 3 2 3 3 2 4 2 3" xfId="31970" xr:uid="{00000000-0005-0000-0000-0000F6570000}"/>
    <cellStyle name="Normal 3 2 3 3 2 4 3" xfId="3557" xr:uid="{00000000-0005-0000-0000-0000F7570000}"/>
    <cellStyle name="Normal 3 2 3 3 2 4 3 2" xfId="3558" xr:uid="{00000000-0005-0000-0000-0000F8570000}"/>
    <cellStyle name="Normal 3 2 3 3 2 4 3 2 2" xfId="31973" xr:uid="{00000000-0005-0000-0000-0000F9570000}"/>
    <cellStyle name="Normal 3 2 3 3 2 4 3 3" xfId="31972" xr:uid="{00000000-0005-0000-0000-0000FA570000}"/>
    <cellStyle name="Normal 3 2 3 3 2 4 4" xfId="3559" xr:uid="{00000000-0005-0000-0000-0000FB570000}"/>
    <cellStyle name="Normal 3 2 3 3 2 4 4 2" xfId="31975" xr:uid="{00000000-0005-0000-0000-0000FC570000}"/>
    <cellStyle name="Normal 3 2 3 3 2 4 4 3" xfId="31974" xr:uid="{00000000-0005-0000-0000-0000FD570000}"/>
    <cellStyle name="Normal 3 2 3 3 2 4 5" xfId="31976" xr:uid="{00000000-0005-0000-0000-0000FE570000}"/>
    <cellStyle name="Normal 3 2 3 3 2 4 6" xfId="31977" xr:uid="{00000000-0005-0000-0000-0000FF570000}"/>
    <cellStyle name="Normal 3 2 3 3 2 4 7" xfId="31969" xr:uid="{00000000-0005-0000-0000-000000580000}"/>
    <cellStyle name="Normal 3 2 3 3 2 5" xfId="3560" xr:uid="{00000000-0005-0000-0000-000001580000}"/>
    <cellStyle name="Normal 3 2 3 3 2 5 2" xfId="3561" xr:uid="{00000000-0005-0000-0000-000002580000}"/>
    <cellStyle name="Normal 3 2 3 3 2 5 2 2" xfId="31980" xr:uid="{00000000-0005-0000-0000-000003580000}"/>
    <cellStyle name="Normal 3 2 3 3 2 5 2 3" xfId="31979" xr:uid="{00000000-0005-0000-0000-000004580000}"/>
    <cellStyle name="Normal 3 2 3 3 2 5 3" xfId="3562" xr:uid="{00000000-0005-0000-0000-000005580000}"/>
    <cellStyle name="Normal 3 2 3 3 2 5 3 2" xfId="31982" xr:uid="{00000000-0005-0000-0000-000006580000}"/>
    <cellStyle name="Normal 3 2 3 3 2 5 3 3" xfId="31981" xr:uid="{00000000-0005-0000-0000-000007580000}"/>
    <cellStyle name="Normal 3 2 3 3 2 5 4" xfId="31983" xr:uid="{00000000-0005-0000-0000-000008580000}"/>
    <cellStyle name="Normal 3 2 3 3 2 5 4 2" xfId="31984" xr:uid="{00000000-0005-0000-0000-000009580000}"/>
    <cellStyle name="Normal 3 2 3 3 2 5 5" xfId="31985" xr:uid="{00000000-0005-0000-0000-00000A580000}"/>
    <cellStyle name="Normal 3 2 3 3 2 5 6" xfId="31986" xr:uid="{00000000-0005-0000-0000-00000B580000}"/>
    <cellStyle name="Normal 3 2 3 3 2 5 7" xfId="31978" xr:uid="{00000000-0005-0000-0000-00000C580000}"/>
    <cellStyle name="Normal 3 2 3 3 2 6" xfId="3563" xr:uid="{00000000-0005-0000-0000-00000D580000}"/>
    <cellStyle name="Normal 3 2 3 3 2 6 2" xfId="3564" xr:uid="{00000000-0005-0000-0000-00000E580000}"/>
    <cellStyle name="Normal 3 2 3 3 2 6 2 2" xfId="31989" xr:uid="{00000000-0005-0000-0000-00000F580000}"/>
    <cellStyle name="Normal 3 2 3 3 2 6 2 3" xfId="31988" xr:uid="{00000000-0005-0000-0000-000010580000}"/>
    <cellStyle name="Normal 3 2 3 3 2 6 3" xfId="31990" xr:uid="{00000000-0005-0000-0000-000011580000}"/>
    <cellStyle name="Normal 3 2 3 3 2 6 3 2" xfId="31991" xr:uid="{00000000-0005-0000-0000-000012580000}"/>
    <cellStyle name="Normal 3 2 3 3 2 6 4" xfId="31992" xr:uid="{00000000-0005-0000-0000-000013580000}"/>
    <cellStyle name="Normal 3 2 3 3 2 6 5" xfId="31993" xr:uid="{00000000-0005-0000-0000-000014580000}"/>
    <cellStyle name="Normal 3 2 3 3 2 6 6" xfId="31987" xr:uid="{00000000-0005-0000-0000-000015580000}"/>
    <cellStyle name="Normal 3 2 3 3 2 7" xfId="3565" xr:uid="{00000000-0005-0000-0000-000016580000}"/>
    <cellStyle name="Normal 3 2 3 3 2 7 2" xfId="3566" xr:uid="{00000000-0005-0000-0000-000017580000}"/>
    <cellStyle name="Normal 3 2 3 3 2 7 2 2" xfId="31995" xr:uid="{00000000-0005-0000-0000-000018580000}"/>
    <cellStyle name="Normal 3 2 3 3 2 7 3" xfId="31994" xr:uid="{00000000-0005-0000-0000-000019580000}"/>
    <cellStyle name="Normal 3 2 3 3 2 8" xfId="3567" xr:uid="{00000000-0005-0000-0000-00001A580000}"/>
    <cellStyle name="Normal 3 2 3 3 2 8 2" xfId="31997" xr:uid="{00000000-0005-0000-0000-00001B580000}"/>
    <cellStyle name="Normal 3 2 3 3 2 8 3" xfId="31996" xr:uid="{00000000-0005-0000-0000-00001C580000}"/>
    <cellStyle name="Normal 3 2 3 3 2 9" xfId="31998" xr:uid="{00000000-0005-0000-0000-00001D580000}"/>
    <cellStyle name="Normal 3 2 3 3 2 9 2" xfId="31999" xr:uid="{00000000-0005-0000-0000-00001E580000}"/>
    <cellStyle name="Normal 3 2 3 3 3" xfId="3568" xr:uid="{00000000-0005-0000-0000-00001F580000}"/>
    <cellStyle name="Normal 3 2 3 3 3 10" xfId="32001" xr:uid="{00000000-0005-0000-0000-000020580000}"/>
    <cellStyle name="Normal 3 2 3 3 3 11" xfId="32000" xr:uid="{00000000-0005-0000-0000-000021580000}"/>
    <cellStyle name="Normal 3 2 3 3 3 2" xfId="3569" xr:uid="{00000000-0005-0000-0000-000022580000}"/>
    <cellStyle name="Normal 3 2 3 3 3 2 2" xfId="3570" xr:uid="{00000000-0005-0000-0000-000023580000}"/>
    <cellStyle name="Normal 3 2 3 3 3 2 2 2" xfId="3571" xr:uid="{00000000-0005-0000-0000-000024580000}"/>
    <cellStyle name="Normal 3 2 3 3 3 2 2 2 2" xfId="32004" xr:uid="{00000000-0005-0000-0000-000025580000}"/>
    <cellStyle name="Normal 3 2 3 3 3 2 2 3" xfId="3572" xr:uid="{00000000-0005-0000-0000-000026580000}"/>
    <cellStyle name="Normal 3 2 3 3 3 2 2 4" xfId="32003" xr:uid="{00000000-0005-0000-0000-000027580000}"/>
    <cellStyle name="Normal 3 2 3 3 3 2 3" xfId="3573" xr:uid="{00000000-0005-0000-0000-000028580000}"/>
    <cellStyle name="Normal 3 2 3 3 3 2 3 2" xfId="3574" xr:uid="{00000000-0005-0000-0000-000029580000}"/>
    <cellStyle name="Normal 3 2 3 3 3 2 3 2 2" xfId="32006" xr:uid="{00000000-0005-0000-0000-00002A580000}"/>
    <cellStyle name="Normal 3 2 3 3 3 2 3 3" xfId="32005" xr:uid="{00000000-0005-0000-0000-00002B580000}"/>
    <cellStyle name="Normal 3 2 3 3 3 2 4" xfId="3575" xr:uid="{00000000-0005-0000-0000-00002C580000}"/>
    <cellStyle name="Normal 3 2 3 3 3 2 4 2" xfId="3576" xr:uid="{00000000-0005-0000-0000-00002D580000}"/>
    <cellStyle name="Normal 3 2 3 3 3 2 4 2 2" xfId="32008" xr:uid="{00000000-0005-0000-0000-00002E580000}"/>
    <cellStyle name="Normal 3 2 3 3 3 2 4 3" xfId="32007" xr:uid="{00000000-0005-0000-0000-00002F580000}"/>
    <cellStyle name="Normal 3 2 3 3 3 2 5" xfId="3577" xr:uid="{00000000-0005-0000-0000-000030580000}"/>
    <cellStyle name="Normal 3 2 3 3 3 2 5 2" xfId="32009" xr:uid="{00000000-0005-0000-0000-000031580000}"/>
    <cellStyle name="Normal 3 2 3 3 3 2 6" xfId="32010" xr:uid="{00000000-0005-0000-0000-000032580000}"/>
    <cellStyle name="Normal 3 2 3 3 3 2 7" xfId="32002" xr:uid="{00000000-0005-0000-0000-000033580000}"/>
    <cellStyle name="Normal 3 2 3 3 3 3" xfId="3578" xr:uid="{00000000-0005-0000-0000-000034580000}"/>
    <cellStyle name="Normal 3 2 3 3 3 3 2" xfId="3579" xr:uid="{00000000-0005-0000-0000-000035580000}"/>
    <cellStyle name="Normal 3 2 3 3 3 3 2 2" xfId="3580" xr:uid="{00000000-0005-0000-0000-000036580000}"/>
    <cellStyle name="Normal 3 2 3 3 3 3 2 2 2" xfId="32013" xr:uid="{00000000-0005-0000-0000-000037580000}"/>
    <cellStyle name="Normal 3 2 3 3 3 3 2 3" xfId="32012" xr:uid="{00000000-0005-0000-0000-000038580000}"/>
    <cellStyle name="Normal 3 2 3 3 3 3 3" xfId="3581" xr:uid="{00000000-0005-0000-0000-000039580000}"/>
    <cellStyle name="Normal 3 2 3 3 3 3 3 2" xfId="3582" xr:uid="{00000000-0005-0000-0000-00003A580000}"/>
    <cellStyle name="Normal 3 2 3 3 3 3 3 2 2" xfId="32015" xr:uid="{00000000-0005-0000-0000-00003B580000}"/>
    <cellStyle name="Normal 3 2 3 3 3 3 3 3" xfId="32014" xr:uid="{00000000-0005-0000-0000-00003C580000}"/>
    <cellStyle name="Normal 3 2 3 3 3 3 4" xfId="3583" xr:uid="{00000000-0005-0000-0000-00003D580000}"/>
    <cellStyle name="Normal 3 2 3 3 3 3 4 2" xfId="32017" xr:uid="{00000000-0005-0000-0000-00003E580000}"/>
    <cellStyle name="Normal 3 2 3 3 3 3 4 3" xfId="32016" xr:uid="{00000000-0005-0000-0000-00003F580000}"/>
    <cellStyle name="Normal 3 2 3 3 3 3 5" xfId="32018" xr:uid="{00000000-0005-0000-0000-000040580000}"/>
    <cellStyle name="Normal 3 2 3 3 3 3 6" xfId="32019" xr:uid="{00000000-0005-0000-0000-000041580000}"/>
    <cellStyle name="Normal 3 2 3 3 3 3 7" xfId="32011" xr:uid="{00000000-0005-0000-0000-000042580000}"/>
    <cellStyle name="Normal 3 2 3 3 3 4" xfId="3584" xr:uid="{00000000-0005-0000-0000-000043580000}"/>
    <cellStyle name="Normal 3 2 3 3 3 4 2" xfId="3585" xr:uid="{00000000-0005-0000-0000-000044580000}"/>
    <cellStyle name="Normal 3 2 3 3 3 4 2 2" xfId="32022" xr:uid="{00000000-0005-0000-0000-000045580000}"/>
    <cellStyle name="Normal 3 2 3 3 3 4 2 3" xfId="32021" xr:uid="{00000000-0005-0000-0000-000046580000}"/>
    <cellStyle name="Normal 3 2 3 3 3 4 3" xfId="3586" xr:uid="{00000000-0005-0000-0000-000047580000}"/>
    <cellStyle name="Normal 3 2 3 3 3 4 3 2" xfId="32024" xr:uid="{00000000-0005-0000-0000-000048580000}"/>
    <cellStyle name="Normal 3 2 3 3 3 4 3 3" xfId="32023" xr:uid="{00000000-0005-0000-0000-000049580000}"/>
    <cellStyle name="Normal 3 2 3 3 3 4 4" xfId="32025" xr:uid="{00000000-0005-0000-0000-00004A580000}"/>
    <cellStyle name="Normal 3 2 3 3 3 4 4 2" xfId="32026" xr:uid="{00000000-0005-0000-0000-00004B580000}"/>
    <cellStyle name="Normal 3 2 3 3 3 4 5" xfId="32027" xr:uid="{00000000-0005-0000-0000-00004C580000}"/>
    <cellStyle name="Normal 3 2 3 3 3 4 6" xfId="32028" xr:uid="{00000000-0005-0000-0000-00004D580000}"/>
    <cellStyle name="Normal 3 2 3 3 3 4 7" xfId="32020" xr:uid="{00000000-0005-0000-0000-00004E580000}"/>
    <cellStyle name="Normal 3 2 3 3 3 5" xfId="3587" xr:uid="{00000000-0005-0000-0000-00004F580000}"/>
    <cellStyle name="Normal 3 2 3 3 3 5 2" xfId="3588" xr:uid="{00000000-0005-0000-0000-000050580000}"/>
    <cellStyle name="Normal 3 2 3 3 3 5 2 2" xfId="32031" xr:uid="{00000000-0005-0000-0000-000051580000}"/>
    <cellStyle name="Normal 3 2 3 3 3 5 2 3" xfId="32030" xr:uid="{00000000-0005-0000-0000-000052580000}"/>
    <cellStyle name="Normal 3 2 3 3 3 5 3" xfId="32032" xr:uid="{00000000-0005-0000-0000-000053580000}"/>
    <cellStyle name="Normal 3 2 3 3 3 5 3 2" xfId="32033" xr:uid="{00000000-0005-0000-0000-000054580000}"/>
    <cellStyle name="Normal 3 2 3 3 3 5 4" xfId="32034" xr:uid="{00000000-0005-0000-0000-000055580000}"/>
    <cellStyle name="Normal 3 2 3 3 3 5 5" xfId="32035" xr:uid="{00000000-0005-0000-0000-000056580000}"/>
    <cellStyle name="Normal 3 2 3 3 3 5 6" xfId="32029" xr:uid="{00000000-0005-0000-0000-000057580000}"/>
    <cellStyle name="Normal 3 2 3 3 3 6" xfId="3589" xr:uid="{00000000-0005-0000-0000-000058580000}"/>
    <cellStyle name="Normal 3 2 3 3 3 6 2" xfId="3590" xr:uid="{00000000-0005-0000-0000-000059580000}"/>
    <cellStyle name="Normal 3 2 3 3 3 6 2 2" xfId="32037" xr:uid="{00000000-0005-0000-0000-00005A580000}"/>
    <cellStyle name="Normal 3 2 3 3 3 6 3" xfId="32036" xr:uid="{00000000-0005-0000-0000-00005B580000}"/>
    <cellStyle name="Normal 3 2 3 3 3 7" xfId="3591" xr:uid="{00000000-0005-0000-0000-00005C580000}"/>
    <cellStyle name="Normal 3 2 3 3 3 7 2" xfId="32039" xr:uid="{00000000-0005-0000-0000-00005D580000}"/>
    <cellStyle name="Normal 3 2 3 3 3 7 3" xfId="32038" xr:uid="{00000000-0005-0000-0000-00005E580000}"/>
    <cellStyle name="Normal 3 2 3 3 3 8" xfId="32040" xr:uid="{00000000-0005-0000-0000-00005F580000}"/>
    <cellStyle name="Normal 3 2 3 3 3 8 2" xfId="32041" xr:uid="{00000000-0005-0000-0000-000060580000}"/>
    <cellStyle name="Normal 3 2 3 3 3 9" xfId="32042" xr:uid="{00000000-0005-0000-0000-000061580000}"/>
    <cellStyle name="Normal 3 2 3 3 4" xfId="3592" xr:uid="{00000000-0005-0000-0000-000062580000}"/>
    <cellStyle name="Normal 3 2 3 3 4 10" xfId="32044" xr:uid="{00000000-0005-0000-0000-000063580000}"/>
    <cellStyle name="Normal 3 2 3 3 4 11" xfId="32043" xr:uid="{00000000-0005-0000-0000-000064580000}"/>
    <cellStyle name="Normal 3 2 3 3 4 2" xfId="3593" xr:uid="{00000000-0005-0000-0000-000065580000}"/>
    <cellStyle name="Normal 3 2 3 3 4 2 2" xfId="3594" xr:uid="{00000000-0005-0000-0000-000066580000}"/>
    <cellStyle name="Normal 3 2 3 3 4 2 2 2" xfId="3595" xr:uid="{00000000-0005-0000-0000-000067580000}"/>
    <cellStyle name="Normal 3 2 3 3 4 2 2 2 2" xfId="32047" xr:uid="{00000000-0005-0000-0000-000068580000}"/>
    <cellStyle name="Normal 3 2 3 3 4 2 2 3" xfId="3596" xr:uid="{00000000-0005-0000-0000-000069580000}"/>
    <cellStyle name="Normal 3 2 3 3 4 2 2 4" xfId="32046" xr:uid="{00000000-0005-0000-0000-00006A580000}"/>
    <cellStyle name="Normal 3 2 3 3 4 2 3" xfId="3597" xr:uid="{00000000-0005-0000-0000-00006B580000}"/>
    <cellStyle name="Normal 3 2 3 3 4 2 3 2" xfId="3598" xr:uid="{00000000-0005-0000-0000-00006C580000}"/>
    <cellStyle name="Normal 3 2 3 3 4 2 3 2 2" xfId="32049" xr:uid="{00000000-0005-0000-0000-00006D580000}"/>
    <cellStyle name="Normal 3 2 3 3 4 2 3 3" xfId="32048" xr:uid="{00000000-0005-0000-0000-00006E580000}"/>
    <cellStyle name="Normal 3 2 3 3 4 2 4" xfId="3599" xr:uid="{00000000-0005-0000-0000-00006F580000}"/>
    <cellStyle name="Normal 3 2 3 3 4 2 4 2" xfId="3600" xr:uid="{00000000-0005-0000-0000-000070580000}"/>
    <cellStyle name="Normal 3 2 3 3 4 2 4 2 2" xfId="32051" xr:uid="{00000000-0005-0000-0000-000071580000}"/>
    <cellStyle name="Normal 3 2 3 3 4 2 4 3" xfId="32050" xr:uid="{00000000-0005-0000-0000-000072580000}"/>
    <cellStyle name="Normal 3 2 3 3 4 2 5" xfId="3601" xr:uid="{00000000-0005-0000-0000-000073580000}"/>
    <cellStyle name="Normal 3 2 3 3 4 2 5 2" xfId="32052" xr:uid="{00000000-0005-0000-0000-000074580000}"/>
    <cellStyle name="Normal 3 2 3 3 4 2 6" xfId="32053" xr:uid="{00000000-0005-0000-0000-000075580000}"/>
    <cellStyle name="Normal 3 2 3 3 4 2 7" xfId="32045" xr:uid="{00000000-0005-0000-0000-000076580000}"/>
    <cellStyle name="Normal 3 2 3 3 4 3" xfId="3602" xr:uid="{00000000-0005-0000-0000-000077580000}"/>
    <cellStyle name="Normal 3 2 3 3 4 3 2" xfId="3603" xr:uid="{00000000-0005-0000-0000-000078580000}"/>
    <cellStyle name="Normal 3 2 3 3 4 3 2 2" xfId="3604" xr:uid="{00000000-0005-0000-0000-000079580000}"/>
    <cellStyle name="Normal 3 2 3 3 4 3 2 2 2" xfId="32056" xr:uid="{00000000-0005-0000-0000-00007A580000}"/>
    <cellStyle name="Normal 3 2 3 3 4 3 2 3" xfId="32055" xr:uid="{00000000-0005-0000-0000-00007B580000}"/>
    <cellStyle name="Normal 3 2 3 3 4 3 3" xfId="3605" xr:uid="{00000000-0005-0000-0000-00007C580000}"/>
    <cellStyle name="Normal 3 2 3 3 4 3 3 2" xfId="3606" xr:uid="{00000000-0005-0000-0000-00007D580000}"/>
    <cellStyle name="Normal 3 2 3 3 4 3 3 2 2" xfId="32058" xr:uid="{00000000-0005-0000-0000-00007E580000}"/>
    <cellStyle name="Normal 3 2 3 3 4 3 3 3" xfId="32057" xr:uid="{00000000-0005-0000-0000-00007F580000}"/>
    <cellStyle name="Normal 3 2 3 3 4 3 4" xfId="3607" xr:uid="{00000000-0005-0000-0000-000080580000}"/>
    <cellStyle name="Normal 3 2 3 3 4 3 4 2" xfId="32060" xr:uid="{00000000-0005-0000-0000-000081580000}"/>
    <cellStyle name="Normal 3 2 3 3 4 3 4 3" xfId="32059" xr:uid="{00000000-0005-0000-0000-000082580000}"/>
    <cellStyle name="Normal 3 2 3 3 4 3 5" xfId="32061" xr:uid="{00000000-0005-0000-0000-000083580000}"/>
    <cellStyle name="Normal 3 2 3 3 4 3 6" xfId="32062" xr:uid="{00000000-0005-0000-0000-000084580000}"/>
    <cellStyle name="Normal 3 2 3 3 4 3 7" xfId="32054" xr:uid="{00000000-0005-0000-0000-000085580000}"/>
    <cellStyle name="Normal 3 2 3 3 4 4" xfId="3608" xr:uid="{00000000-0005-0000-0000-000086580000}"/>
    <cellStyle name="Normal 3 2 3 3 4 4 2" xfId="3609" xr:uid="{00000000-0005-0000-0000-000087580000}"/>
    <cellStyle name="Normal 3 2 3 3 4 4 2 2" xfId="32065" xr:uid="{00000000-0005-0000-0000-000088580000}"/>
    <cellStyle name="Normal 3 2 3 3 4 4 2 3" xfId="32064" xr:uid="{00000000-0005-0000-0000-000089580000}"/>
    <cellStyle name="Normal 3 2 3 3 4 4 3" xfId="3610" xr:uid="{00000000-0005-0000-0000-00008A580000}"/>
    <cellStyle name="Normal 3 2 3 3 4 4 3 2" xfId="32067" xr:uid="{00000000-0005-0000-0000-00008B580000}"/>
    <cellStyle name="Normal 3 2 3 3 4 4 3 3" xfId="32066" xr:uid="{00000000-0005-0000-0000-00008C580000}"/>
    <cellStyle name="Normal 3 2 3 3 4 4 4" xfId="32068" xr:uid="{00000000-0005-0000-0000-00008D580000}"/>
    <cellStyle name="Normal 3 2 3 3 4 4 4 2" xfId="32069" xr:uid="{00000000-0005-0000-0000-00008E580000}"/>
    <cellStyle name="Normal 3 2 3 3 4 4 5" xfId="32070" xr:uid="{00000000-0005-0000-0000-00008F580000}"/>
    <cellStyle name="Normal 3 2 3 3 4 4 6" xfId="32071" xr:uid="{00000000-0005-0000-0000-000090580000}"/>
    <cellStyle name="Normal 3 2 3 3 4 4 7" xfId="32063" xr:uid="{00000000-0005-0000-0000-000091580000}"/>
    <cellStyle name="Normal 3 2 3 3 4 5" xfId="3611" xr:uid="{00000000-0005-0000-0000-000092580000}"/>
    <cellStyle name="Normal 3 2 3 3 4 5 2" xfId="3612" xr:uid="{00000000-0005-0000-0000-000093580000}"/>
    <cellStyle name="Normal 3 2 3 3 4 5 2 2" xfId="32074" xr:uid="{00000000-0005-0000-0000-000094580000}"/>
    <cellStyle name="Normal 3 2 3 3 4 5 2 3" xfId="32073" xr:uid="{00000000-0005-0000-0000-000095580000}"/>
    <cellStyle name="Normal 3 2 3 3 4 5 3" xfId="32075" xr:uid="{00000000-0005-0000-0000-000096580000}"/>
    <cellStyle name="Normal 3 2 3 3 4 5 3 2" xfId="32076" xr:uid="{00000000-0005-0000-0000-000097580000}"/>
    <cellStyle name="Normal 3 2 3 3 4 5 4" xfId="32077" xr:uid="{00000000-0005-0000-0000-000098580000}"/>
    <cellStyle name="Normal 3 2 3 3 4 5 5" xfId="32078" xr:uid="{00000000-0005-0000-0000-000099580000}"/>
    <cellStyle name="Normal 3 2 3 3 4 5 6" xfId="32072" xr:uid="{00000000-0005-0000-0000-00009A580000}"/>
    <cellStyle name="Normal 3 2 3 3 4 6" xfId="3613" xr:uid="{00000000-0005-0000-0000-00009B580000}"/>
    <cellStyle name="Normal 3 2 3 3 4 6 2" xfId="3614" xr:uid="{00000000-0005-0000-0000-00009C580000}"/>
    <cellStyle name="Normal 3 2 3 3 4 6 2 2" xfId="32080" xr:uid="{00000000-0005-0000-0000-00009D580000}"/>
    <cellStyle name="Normal 3 2 3 3 4 6 3" xfId="32079" xr:uid="{00000000-0005-0000-0000-00009E580000}"/>
    <cellStyle name="Normal 3 2 3 3 4 7" xfId="3615" xr:uid="{00000000-0005-0000-0000-00009F580000}"/>
    <cellStyle name="Normal 3 2 3 3 4 7 2" xfId="32082" xr:uid="{00000000-0005-0000-0000-0000A0580000}"/>
    <cellStyle name="Normal 3 2 3 3 4 7 3" xfId="32081" xr:uid="{00000000-0005-0000-0000-0000A1580000}"/>
    <cellStyle name="Normal 3 2 3 3 4 8" xfId="32083" xr:uid="{00000000-0005-0000-0000-0000A2580000}"/>
    <cellStyle name="Normal 3 2 3 3 4 8 2" xfId="32084" xr:uid="{00000000-0005-0000-0000-0000A3580000}"/>
    <cellStyle name="Normal 3 2 3 3 4 9" xfId="32085" xr:uid="{00000000-0005-0000-0000-0000A4580000}"/>
    <cellStyle name="Normal 3 2 3 3 5" xfId="3616" xr:uid="{00000000-0005-0000-0000-0000A5580000}"/>
    <cellStyle name="Normal 3 2 3 3 5 2" xfId="3617" xr:uid="{00000000-0005-0000-0000-0000A6580000}"/>
    <cellStyle name="Normal 3 2 3 3 5 2 2" xfId="3618" xr:uid="{00000000-0005-0000-0000-0000A7580000}"/>
    <cellStyle name="Normal 3 2 3 3 5 2 2 2" xfId="3619" xr:uid="{00000000-0005-0000-0000-0000A8580000}"/>
    <cellStyle name="Normal 3 2 3 3 5 2 2 3" xfId="32088" xr:uid="{00000000-0005-0000-0000-0000A9580000}"/>
    <cellStyle name="Normal 3 2 3 3 5 2 3" xfId="3620" xr:uid="{00000000-0005-0000-0000-0000AA580000}"/>
    <cellStyle name="Normal 3 2 3 3 5 2 3 2" xfId="3621" xr:uid="{00000000-0005-0000-0000-0000AB580000}"/>
    <cellStyle name="Normal 3 2 3 3 5 2 4" xfId="3622" xr:uid="{00000000-0005-0000-0000-0000AC580000}"/>
    <cellStyle name="Normal 3 2 3 3 5 2 5" xfId="32087" xr:uid="{00000000-0005-0000-0000-0000AD580000}"/>
    <cellStyle name="Normal 3 2 3 3 5 3" xfId="3623" xr:uid="{00000000-0005-0000-0000-0000AE580000}"/>
    <cellStyle name="Normal 3 2 3 3 5 3 2" xfId="3624" xr:uid="{00000000-0005-0000-0000-0000AF580000}"/>
    <cellStyle name="Normal 3 2 3 3 5 3 2 2" xfId="32090" xr:uid="{00000000-0005-0000-0000-0000B0580000}"/>
    <cellStyle name="Normal 3 2 3 3 5 3 3" xfId="3625" xr:uid="{00000000-0005-0000-0000-0000B1580000}"/>
    <cellStyle name="Normal 3 2 3 3 5 3 4" xfId="32089" xr:uid="{00000000-0005-0000-0000-0000B2580000}"/>
    <cellStyle name="Normal 3 2 3 3 5 4" xfId="3626" xr:uid="{00000000-0005-0000-0000-0000B3580000}"/>
    <cellStyle name="Normal 3 2 3 3 5 4 2" xfId="3627" xr:uid="{00000000-0005-0000-0000-0000B4580000}"/>
    <cellStyle name="Normal 3 2 3 3 5 4 2 2" xfId="32092" xr:uid="{00000000-0005-0000-0000-0000B5580000}"/>
    <cellStyle name="Normal 3 2 3 3 5 4 3" xfId="32091" xr:uid="{00000000-0005-0000-0000-0000B6580000}"/>
    <cellStyle name="Normal 3 2 3 3 5 5" xfId="3628" xr:uid="{00000000-0005-0000-0000-0000B7580000}"/>
    <cellStyle name="Normal 3 2 3 3 5 5 2" xfId="3629" xr:uid="{00000000-0005-0000-0000-0000B8580000}"/>
    <cellStyle name="Normal 3 2 3 3 5 5 3" xfId="32093" xr:uid="{00000000-0005-0000-0000-0000B9580000}"/>
    <cellStyle name="Normal 3 2 3 3 5 6" xfId="3630" xr:uid="{00000000-0005-0000-0000-0000BA580000}"/>
    <cellStyle name="Normal 3 2 3 3 5 6 2" xfId="32094" xr:uid="{00000000-0005-0000-0000-0000BB580000}"/>
    <cellStyle name="Normal 3 2 3 3 5 7" xfId="32086" xr:uid="{00000000-0005-0000-0000-0000BC580000}"/>
    <cellStyle name="Normal 3 2 3 3 6" xfId="3631" xr:uid="{00000000-0005-0000-0000-0000BD580000}"/>
    <cellStyle name="Normal 3 2 3 3 6 2" xfId="3632" xr:uid="{00000000-0005-0000-0000-0000BE580000}"/>
    <cellStyle name="Normal 3 2 3 3 6 2 2" xfId="3633" xr:uid="{00000000-0005-0000-0000-0000BF580000}"/>
    <cellStyle name="Normal 3 2 3 3 6 2 2 2" xfId="32097" xr:uid="{00000000-0005-0000-0000-0000C0580000}"/>
    <cellStyle name="Normal 3 2 3 3 6 2 3" xfId="32096" xr:uid="{00000000-0005-0000-0000-0000C1580000}"/>
    <cellStyle name="Normal 3 2 3 3 6 3" xfId="3634" xr:uid="{00000000-0005-0000-0000-0000C2580000}"/>
    <cellStyle name="Normal 3 2 3 3 6 3 2" xfId="3635" xr:uid="{00000000-0005-0000-0000-0000C3580000}"/>
    <cellStyle name="Normal 3 2 3 3 6 3 2 2" xfId="32099" xr:uid="{00000000-0005-0000-0000-0000C4580000}"/>
    <cellStyle name="Normal 3 2 3 3 6 3 3" xfId="32098" xr:uid="{00000000-0005-0000-0000-0000C5580000}"/>
    <cellStyle name="Normal 3 2 3 3 6 4" xfId="3636" xr:uid="{00000000-0005-0000-0000-0000C6580000}"/>
    <cellStyle name="Normal 3 2 3 3 6 4 2" xfId="32101" xr:uid="{00000000-0005-0000-0000-0000C7580000}"/>
    <cellStyle name="Normal 3 2 3 3 6 4 3" xfId="32100" xr:uid="{00000000-0005-0000-0000-0000C8580000}"/>
    <cellStyle name="Normal 3 2 3 3 6 5" xfId="32102" xr:uid="{00000000-0005-0000-0000-0000C9580000}"/>
    <cellStyle name="Normal 3 2 3 3 6 6" xfId="32103" xr:uid="{00000000-0005-0000-0000-0000CA580000}"/>
    <cellStyle name="Normal 3 2 3 3 6 7" xfId="32095" xr:uid="{00000000-0005-0000-0000-0000CB580000}"/>
    <cellStyle name="Normal 3 2 3 3 7" xfId="3637" xr:uid="{00000000-0005-0000-0000-0000CC580000}"/>
    <cellStyle name="Normal 3 2 3 3 7 2" xfId="3638" xr:uid="{00000000-0005-0000-0000-0000CD580000}"/>
    <cellStyle name="Normal 3 2 3 3 7 2 2" xfId="3639" xr:uid="{00000000-0005-0000-0000-0000CE580000}"/>
    <cellStyle name="Normal 3 2 3 3 7 2 2 2" xfId="32106" xr:uid="{00000000-0005-0000-0000-0000CF580000}"/>
    <cellStyle name="Normal 3 2 3 3 7 2 3" xfId="32105" xr:uid="{00000000-0005-0000-0000-0000D0580000}"/>
    <cellStyle name="Normal 3 2 3 3 7 3" xfId="3640" xr:uid="{00000000-0005-0000-0000-0000D1580000}"/>
    <cellStyle name="Normal 3 2 3 3 7 3 2" xfId="3641" xr:uid="{00000000-0005-0000-0000-0000D2580000}"/>
    <cellStyle name="Normal 3 2 3 3 7 3 2 2" xfId="32108" xr:uid="{00000000-0005-0000-0000-0000D3580000}"/>
    <cellStyle name="Normal 3 2 3 3 7 3 3" xfId="32107" xr:uid="{00000000-0005-0000-0000-0000D4580000}"/>
    <cellStyle name="Normal 3 2 3 3 7 4" xfId="3642" xr:uid="{00000000-0005-0000-0000-0000D5580000}"/>
    <cellStyle name="Normal 3 2 3 3 7 4 2" xfId="32110" xr:uid="{00000000-0005-0000-0000-0000D6580000}"/>
    <cellStyle name="Normal 3 2 3 3 7 4 3" xfId="32109" xr:uid="{00000000-0005-0000-0000-0000D7580000}"/>
    <cellStyle name="Normal 3 2 3 3 7 5" xfId="32111" xr:uid="{00000000-0005-0000-0000-0000D8580000}"/>
    <cellStyle name="Normal 3 2 3 3 7 6" xfId="32112" xr:uid="{00000000-0005-0000-0000-0000D9580000}"/>
    <cellStyle name="Normal 3 2 3 3 7 7" xfId="32104" xr:uid="{00000000-0005-0000-0000-0000DA580000}"/>
    <cellStyle name="Normal 3 2 3 3 8" xfId="3643" xr:uid="{00000000-0005-0000-0000-0000DB580000}"/>
    <cellStyle name="Normal 3 2 3 3 8 2" xfId="3644" xr:uid="{00000000-0005-0000-0000-0000DC580000}"/>
    <cellStyle name="Normal 3 2 3 3 8 2 2" xfId="32115" xr:uid="{00000000-0005-0000-0000-0000DD580000}"/>
    <cellStyle name="Normal 3 2 3 3 8 2 3" xfId="32114" xr:uid="{00000000-0005-0000-0000-0000DE580000}"/>
    <cellStyle name="Normal 3 2 3 3 8 3" xfId="3645" xr:uid="{00000000-0005-0000-0000-0000DF580000}"/>
    <cellStyle name="Normal 3 2 3 3 8 3 2" xfId="32117" xr:uid="{00000000-0005-0000-0000-0000E0580000}"/>
    <cellStyle name="Normal 3 2 3 3 8 3 3" xfId="32116" xr:uid="{00000000-0005-0000-0000-0000E1580000}"/>
    <cellStyle name="Normal 3 2 3 3 8 4" xfId="32118" xr:uid="{00000000-0005-0000-0000-0000E2580000}"/>
    <cellStyle name="Normal 3 2 3 3 8 5" xfId="32119" xr:uid="{00000000-0005-0000-0000-0000E3580000}"/>
    <cellStyle name="Normal 3 2 3 3 8 6" xfId="32113" xr:uid="{00000000-0005-0000-0000-0000E4580000}"/>
    <cellStyle name="Normal 3 2 3 3 9" xfId="3646" xr:uid="{00000000-0005-0000-0000-0000E5580000}"/>
    <cellStyle name="Normal 3 2 3 3 9 2" xfId="3647" xr:uid="{00000000-0005-0000-0000-0000E6580000}"/>
    <cellStyle name="Normal 3 2 3 3 9 2 2" xfId="32121" xr:uid="{00000000-0005-0000-0000-0000E7580000}"/>
    <cellStyle name="Normal 3 2 3 3 9 3" xfId="32120" xr:uid="{00000000-0005-0000-0000-0000E8580000}"/>
    <cellStyle name="Normal 3 2 3 4" xfId="3648" xr:uid="{00000000-0005-0000-0000-0000E9580000}"/>
    <cellStyle name="Normal 3 2 3 4 10" xfId="3649" xr:uid="{00000000-0005-0000-0000-0000EA580000}"/>
    <cellStyle name="Normal 3 2 3 4 10 2" xfId="32124" xr:uid="{00000000-0005-0000-0000-0000EB580000}"/>
    <cellStyle name="Normal 3 2 3 4 10 3" xfId="32123" xr:uid="{00000000-0005-0000-0000-0000EC580000}"/>
    <cellStyle name="Normal 3 2 3 4 11" xfId="32125" xr:uid="{00000000-0005-0000-0000-0000ED580000}"/>
    <cellStyle name="Normal 3 2 3 4 12" xfId="32126" xr:uid="{00000000-0005-0000-0000-0000EE580000}"/>
    <cellStyle name="Normal 3 2 3 4 13" xfId="32122" xr:uid="{00000000-0005-0000-0000-0000EF580000}"/>
    <cellStyle name="Normal 3 2 3 4 2" xfId="3650" xr:uid="{00000000-0005-0000-0000-0000F0580000}"/>
    <cellStyle name="Normal 3 2 3 4 2 10" xfId="32128" xr:uid="{00000000-0005-0000-0000-0000F1580000}"/>
    <cellStyle name="Normal 3 2 3 4 2 11" xfId="32127" xr:uid="{00000000-0005-0000-0000-0000F2580000}"/>
    <cellStyle name="Normal 3 2 3 4 2 2" xfId="3651" xr:uid="{00000000-0005-0000-0000-0000F3580000}"/>
    <cellStyle name="Normal 3 2 3 4 2 2 2" xfId="3652" xr:uid="{00000000-0005-0000-0000-0000F4580000}"/>
    <cellStyle name="Normal 3 2 3 4 2 2 2 2" xfId="3653" xr:uid="{00000000-0005-0000-0000-0000F5580000}"/>
    <cellStyle name="Normal 3 2 3 4 2 2 2 2 2" xfId="32131" xr:uid="{00000000-0005-0000-0000-0000F6580000}"/>
    <cellStyle name="Normal 3 2 3 4 2 2 2 3" xfId="3654" xr:uid="{00000000-0005-0000-0000-0000F7580000}"/>
    <cellStyle name="Normal 3 2 3 4 2 2 2 4" xfId="32130" xr:uid="{00000000-0005-0000-0000-0000F8580000}"/>
    <cellStyle name="Normal 3 2 3 4 2 2 3" xfId="3655" xr:uid="{00000000-0005-0000-0000-0000F9580000}"/>
    <cellStyle name="Normal 3 2 3 4 2 2 3 2" xfId="3656" xr:uid="{00000000-0005-0000-0000-0000FA580000}"/>
    <cellStyle name="Normal 3 2 3 4 2 2 3 2 2" xfId="32133" xr:uid="{00000000-0005-0000-0000-0000FB580000}"/>
    <cellStyle name="Normal 3 2 3 4 2 2 3 3" xfId="32132" xr:uid="{00000000-0005-0000-0000-0000FC580000}"/>
    <cellStyle name="Normal 3 2 3 4 2 2 4" xfId="3657" xr:uid="{00000000-0005-0000-0000-0000FD580000}"/>
    <cellStyle name="Normal 3 2 3 4 2 2 4 2" xfId="3658" xr:uid="{00000000-0005-0000-0000-0000FE580000}"/>
    <cellStyle name="Normal 3 2 3 4 2 2 4 2 2" xfId="32135" xr:uid="{00000000-0005-0000-0000-0000FF580000}"/>
    <cellStyle name="Normal 3 2 3 4 2 2 4 3" xfId="32134" xr:uid="{00000000-0005-0000-0000-000000590000}"/>
    <cellStyle name="Normal 3 2 3 4 2 2 5" xfId="3659" xr:uid="{00000000-0005-0000-0000-000001590000}"/>
    <cellStyle name="Normal 3 2 3 4 2 2 5 2" xfId="32136" xr:uid="{00000000-0005-0000-0000-000002590000}"/>
    <cellStyle name="Normal 3 2 3 4 2 2 6" xfId="32137" xr:uid="{00000000-0005-0000-0000-000003590000}"/>
    <cellStyle name="Normal 3 2 3 4 2 2 7" xfId="32129" xr:uid="{00000000-0005-0000-0000-000004590000}"/>
    <cellStyle name="Normal 3 2 3 4 2 3" xfId="3660" xr:uid="{00000000-0005-0000-0000-000005590000}"/>
    <cellStyle name="Normal 3 2 3 4 2 3 2" xfId="3661" xr:uid="{00000000-0005-0000-0000-000006590000}"/>
    <cellStyle name="Normal 3 2 3 4 2 3 2 2" xfId="3662" xr:uid="{00000000-0005-0000-0000-000007590000}"/>
    <cellStyle name="Normal 3 2 3 4 2 3 2 2 2" xfId="32140" xr:uid="{00000000-0005-0000-0000-000008590000}"/>
    <cellStyle name="Normal 3 2 3 4 2 3 2 3" xfId="32139" xr:uid="{00000000-0005-0000-0000-000009590000}"/>
    <cellStyle name="Normal 3 2 3 4 2 3 3" xfId="3663" xr:uid="{00000000-0005-0000-0000-00000A590000}"/>
    <cellStyle name="Normal 3 2 3 4 2 3 3 2" xfId="3664" xr:uid="{00000000-0005-0000-0000-00000B590000}"/>
    <cellStyle name="Normal 3 2 3 4 2 3 3 2 2" xfId="32142" xr:uid="{00000000-0005-0000-0000-00000C590000}"/>
    <cellStyle name="Normal 3 2 3 4 2 3 3 3" xfId="32141" xr:uid="{00000000-0005-0000-0000-00000D590000}"/>
    <cellStyle name="Normal 3 2 3 4 2 3 4" xfId="3665" xr:uid="{00000000-0005-0000-0000-00000E590000}"/>
    <cellStyle name="Normal 3 2 3 4 2 3 4 2" xfId="32144" xr:uid="{00000000-0005-0000-0000-00000F590000}"/>
    <cellStyle name="Normal 3 2 3 4 2 3 4 3" xfId="32143" xr:uid="{00000000-0005-0000-0000-000010590000}"/>
    <cellStyle name="Normal 3 2 3 4 2 3 5" xfId="32145" xr:uid="{00000000-0005-0000-0000-000011590000}"/>
    <cellStyle name="Normal 3 2 3 4 2 3 6" xfId="32146" xr:uid="{00000000-0005-0000-0000-000012590000}"/>
    <cellStyle name="Normal 3 2 3 4 2 3 7" xfId="32138" xr:uid="{00000000-0005-0000-0000-000013590000}"/>
    <cellStyle name="Normal 3 2 3 4 2 4" xfId="3666" xr:uid="{00000000-0005-0000-0000-000014590000}"/>
    <cellStyle name="Normal 3 2 3 4 2 4 2" xfId="3667" xr:uid="{00000000-0005-0000-0000-000015590000}"/>
    <cellStyle name="Normal 3 2 3 4 2 4 2 2" xfId="32149" xr:uid="{00000000-0005-0000-0000-000016590000}"/>
    <cellStyle name="Normal 3 2 3 4 2 4 2 3" xfId="32148" xr:uid="{00000000-0005-0000-0000-000017590000}"/>
    <cellStyle name="Normal 3 2 3 4 2 4 3" xfId="3668" xr:uid="{00000000-0005-0000-0000-000018590000}"/>
    <cellStyle name="Normal 3 2 3 4 2 4 3 2" xfId="32151" xr:uid="{00000000-0005-0000-0000-000019590000}"/>
    <cellStyle name="Normal 3 2 3 4 2 4 3 3" xfId="32150" xr:uid="{00000000-0005-0000-0000-00001A590000}"/>
    <cellStyle name="Normal 3 2 3 4 2 4 4" xfId="32152" xr:uid="{00000000-0005-0000-0000-00001B590000}"/>
    <cellStyle name="Normal 3 2 3 4 2 4 4 2" xfId="32153" xr:uid="{00000000-0005-0000-0000-00001C590000}"/>
    <cellStyle name="Normal 3 2 3 4 2 4 5" xfId="32154" xr:uid="{00000000-0005-0000-0000-00001D590000}"/>
    <cellStyle name="Normal 3 2 3 4 2 4 6" xfId="32155" xr:uid="{00000000-0005-0000-0000-00001E590000}"/>
    <cellStyle name="Normal 3 2 3 4 2 4 7" xfId="32147" xr:uid="{00000000-0005-0000-0000-00001F590000}"/>
    <cellStyle name="Normal 3 2 3 4 2 5" xfId="3669" xr:uid="{00000000-0005-0000-0000-000020590000}"/>
    <cellStyle name="Normal 3 2 3 4 2 5 2" xfId="3670" xr:uid="{00000000-0005-0000-0000-000021590000}"/>
    <cellStyle name="Normal 3 2 3 4 2 5 2 2" xfId="32158" xr:uid="{00000000-0005-0000-0000-000022590000}"/>
    <cellStyle name="Normal 3 2 3 4 2 5 2 3" xfId="32157" xr:uid="{00000000-0005-0000-0000-000023590000}"/>
    <cellStyle name="Normal 3 2 3 4 2 5 3" xfId="32159" xr:uid="{00000000-0005-0000-0000-000024590000}"/>
    <cellStyle name="Normal 3 2 3 4 2 5 3 2" xfId="32160" xr:uid="{00000000-0005-0000-0000-000025590000}"/>
    <cellStyle name="Normal 3 2 3 4 2 5 4" xfId="32161" xr:uid="{00000000-0005-0000-0000-000026590000}"/>
    <cellStyle name="Normal 3 2 3 4 2 5 5" xfId="32162" xr:uid="{00000000-0005-0000-0000-000027590000}"/>
    <cellStyle name="Normal 3 2 3 4 2 5 6" xfId="32156" xr:uid="{00000000-0005-0000-0000-000028590000}"/>
    <cellStyle name="Normal 3 2 3 4 2 6" xfId="3671" xr:uid="{00000000-0005-0000-0000-000029590000}"/>
    <cellStyle name="Normal 3 2 3 4 2 6 2" xfId="3672" xr:uid="{00000000-0005-0000-0000-00002A590000}"/>
    <cellStyle name="Normal 3 2 3 4 2 6 2 2" xfId="32164" xr:uid="{00000000-0005-0000-0000-00002B590000}"/>
    <cellStyle name="Normal 3 2 3 4 2 6 3" xfId="32163" xr:uid="{00000000-0005-0000-0000-00002C590000}"/>
    <cellStyle name="Normal 3 2 3 4 2 7" xfId="3673" xr:uid="{00000000-0005-0000-0000-00002D590000}"/>
    <cellStyle name="Normal 3 2 3 4 2 7 2" xfId="32166" xr:uid="{00000000-0005-0000-0000-00002E590000}"/>
    <cellStyle name="Normal 3 2 3 4 2 7 3" xfId="32165" xr:uid="{00000000-0005-0000-0000-00002F590000}"/>
    <cellStyle name="Normal 3 2 3 4 2 8" xfId="32167" xr:uid="{00000000-0005-0000-0000-000030590000}"/>
    <cellStyle name="Normal 3 2 3 4 2 8 2" xfId="32168" xr:uid="{00000000-0005-0000-0000-000031590000}"/>
    <cellStyle name="Normal 3 2 3 4 2 9" xfId="32169" xr:uid="{00000000-0005-0000-0000-000032590000}"/>
    <cellStyle name="Normal 3 2 3 4 3" xfId="3674" xr:uid="{00000000-0005-0000-0000-000033590000}"/>
    <cellStyle name="Normal 3 2 3 4 3 10" xfId="32171" xr:uid="{00000000-0005-0000-0000-000034590000}"/>
    <cellStyle name="Normal 3 2 3 4 3 11" xfId="32170" xr:uid="{00000000-0005-0000-0000-000035590000}"/>
    <cellStyle name="Normal 3 2 3 4 3 2" xfId="3675" xr:uid="{00000000-0005-0000-0000-000036590000}"/>
    <cellStyle name="Normal 3 2 3 4 3 2 2" xfId="3676" xr:uid="{00000000-0005-0000-0000-000037590000}"/>
    <cellStyle name="Normal 3 2 3 4 3 2 2 2" xfId="3677" xr:uid="{00000000-0005-0000-0000-000038590000}"/>
    <cellStyle name="Normal 3 2 3 4 3 2 2 2 2" xfId="32174" xr:uid="{00000000-0005-0000-0000-000039590000}"/>
    <cellStyle name="Normal 3 2 3 4 3 2 2 3" xfId="3678" xr:uid="{00000000-0005-0000-0000-00003A590000}"/>
    <cellStyle name="Normal 3 2 3 4 3 2 2 4" xfId="32173" xr:uid="{00000000-0005-0000-0000-00003B590000}"/>
    <cellStyle name="Normal 3 2 3 4 3 2 3" xfId="3679" xr:uid="{00000000-0005-0000-0000-00003C590000}"/>
    <cellStyle name="Normal 3 2 3 4 3 2 3 2" xfId="3680" xr:uid="{00000000-0005-0000-0000-00003D590000}"/>
    <cellStyle name="Normal 3 2 3 4 3 2 3 2 2" xfId="32176" xr:uid="{00000000-0005-0000-0000-00003E590000}"/>
    <cellStyle name="Normal 3 2 3 4 3 2 3 3" xfId="32175" xr:uid="{00000000-0005-0000-0000-00003F590000}"/>
    <cellStyle name="Normal 3 2 3 4 3 2 4" xfId="3681" xr:uid="{00000000-0005-0000-0000-000040590000}"/>
    <cellStyle name="Normal 3 2 3 4 3 2 4 2" xfId="3682" xr:uid="{00000000-0005-0000-0000-000041590000}"/>
    <cellStyle name="Normal 3 2 3 4 3 2 4 2 2" xfId="32178" xr:uid="{00000000-0005-0000-0000-000042590000}"/>
    <cellStyle name="Normal 3 2 3 4 3 2 4 3" xfId="32177" xr:uid="{00000000-0005-0000-0000-000043590000}"/>
    <cellStyle name="Normal 3 2 3 4 3 2 5" xfId="3683" xr:uid="{00000000-0005-0000-0000-000044590000}"/>
    <cellStyle name="Normal 3 2 3 4 3 2 5 2" xfId="32179" xr:uid="{00000000-0005-0000-0000-000045590000}"/>
    <cellStyle name="Normal 3 2 3 4 3 2 6" xfId="32180" xr:uid="{00000000-0005-0000-0000-000046590000}"/>
    <cellStyle name="Normal 3 2 3 4 3 2 7" xfId="32172" xr:uid="{00000000-0005-0000-0000-000047590000}"/>
    <cellStyle name="Normal 3 2 3 4 3 3" xfId="3684" xr:uid="{00000000-0005-0000-0000-000048590000}"/>
    <cellStyle name="Normal 3 2 3 4 3 3 2" xfId="3685" xr:uid="{00000000-0005-0000-0000-000049590000}"/>
    <cellStyle name="Normal 3 2 3 4 3 3 2 2" xfId="3686" xr:uid="{00000000-0005-0000-0000-00004A590000}"/>
    <cellStyle name="Normal 3 2 3 4 3 3 2 2 2" xfId="32183" xr:uid="{00000000-0005-0000-0000-00004B590000}"/>
    <cellStyle name="Normal 3 2 3 4 3 3 2 3" xfId="32182" xr:uid="{00000000-0005-0000-0000-00004C590000}"/>
    <cellStyle name="Normal 3 2 3 4 3 3 3" xfId="3687" xr:uid="{00000000-0005-0000-0000-00004D590000}"/>
    <cellStyle name="Normal 3 2 3 4 3 3 3 2" xfId="3688" xr:uid="{00000000-0005-0000-0000-00004E590000}"/>
    <cellStyle name="Normal 3 2 3 4 3 3 3 2 2" xfId="32185" xr:uid="{00000000-0005-0000-0000-00004F590000}"/>
    <cellStyle name="Normal 3 2 3 4 3 3 3 3" xfId="32184" xr:uid="{00000000-0005-0000-0000-000050590000}"/>
    <cellStyle name="Normal 3 2 3 4 3 3 4" xfId="3689" xr:uid="{00000000-0005-0000-0000-000051590000}"/>
    <cellStyle name="Normal 3 2 3 4 3 3 4 2" xfId="32187" xr:uid="{00000000-0005-0000-0000-000052590000}"/>
    <cellStyle name="Normal 3 2 3 4 3 3 4 3" xfId="32186" xr:uid="{00000000-0005-0000-0000-000053590000}"/>
    <cellStyle name="Normal 3 2 3 4 3 3 5" xfId="32188" xr:uid="{00000000-0005-0000-0000-000054590000}"/>
    <cellStyle name="Normal 3 2 3 4 3 3 6" xfId="32189" xr:uid="{00000000-0005-0000-0000-000055590000}"/>
    <cellStyle name="Normal 3 2 3 4 3 3 7" xfId="32181" xr:uid="{00000000-0005-0000-0000-000056590000}"/>
    <cellStyle name="Normal 3 2 3 4 3 4" xfId="3690" xr:uid="{00000000-0005-0000-0000-000057590000}"/>
    <cellStyle name="Normal 3 2 3 4 3 4 2" xfId="3691" xr:uid="{00000000-0005-0000-0000-000058590000}"/>
    <cellStyle name="Normal 3 2 3 4 3 4 2 2" xfId="32192" xr:uid="{00000000-0005-0000-0000-000059590000}"/>
    <cellStyle name="Normal 3 2 3 4 3 4 2 3" xfId="32191" xr:uid="{00000000-0005-0000-0000-00005A590000}"/>
    <cellStyle name="Normal 3 2 3 4 3 4 3" xfId="3692" xr:uid="{00000000-0005-0000-0000-00005B590000}"/>
    <cellStyle name="Normal 3 2 3 4 3 4 3 2" xfId="32194" xr:uid="{00000000-0005-0000-0000-00005C590000}"/>
    <cellStyle name="Normal 3 2 3 4 3 4 3 3" xfId="32193" xr:uid="{00000000-0005-0000-0000-00005D590000}"/>
    <cellStyle name="Normal 3 2 3 4 3 4 4" xfId="32195" xr:uid="{00000000-0005-0000-0000-00005E590000}"/>
    <cellStyle name="Normal 3 2 3 4 3 4 4 2" xfId="32196" xr:uid="{00000000-0005-0000-0000-00005F590000}"/>
    <cellStyle name="Normal 3 2 3 4 3 4 5" xfId="32197" xr:uid="{00000000-0005-0000-0000-000060590000}"/>
    <cellStyle name="Normal 3 2 3 4 3 4 6" xfId="32198" xr:uid="{00000000-0005-0000-0000-000061590000}"/>
    <cellStyle name="Normal 3 2 3 4 3 4 7" xfId="32190" xr:uid="{00000000-0005-0000-0000-000062590000}"/>
    <cellStyle name="Normal 3 2 3 4 3 5" xfId="3693" xr:uid="{00000000-0005-0000-0000-000063590000}"/>
    <cellStyle name="Normal 3 2 3 4 3 5 2" xfId="3694" xr:uid="{00000000-0005-0000-0000-000064590000}"/>
    <cellStyle name="Normal 3 2 3 4 3 5 2 2" xfId="32201" xr:uid="{00000000-0005-0000-0000-000065590000}"/>
    <cellStyle name="Normal 3 2 3 4 3 5 2 3" xfId="32200" xr:uid="{00000000-0005-0000-0000-000066590000}"/>
    <cellStyle name="Normal 3 2 3 4 3 5 3" xfId="32202" xr:uid="{00000000-0005-0000-0000-000067590000}"/>
    <cellStyle name="Normal 3 2 3 4 3 5 3 2" xfId="32203" xr:uid="{00000000-0005-0000-0000-000068590000}"/>
    <cellStyle name="Normal 3 2 3 4 3 5 4" xfId="32204" xr:uid="{00000000-0005-0000-0000-000069590000}"/>
    <cellStyle name="Normal 3 2 3 4 3 5 5" xfId="32205" xr:uid="{00000000-0005-0000-0000-00006A590000}"/>
    <cellStyle name="Normal 3 2 3 4 3 5 6" xfId="32199" xr:uid="{00000000-0005-0000-0000-00006B590000}"/>
    <cellStyle name="Normal 3 2 3 4 3 6" xfId="3695" xr:uid="{00000000-0005-0000-0000-00006C590000}"/>
    <cellStyle name="Normal 3 2 3 4 3 6 2" xfId="3696" xr:uid="{00000000-0005-0000-0000-00006D590000}"/>
    <cellStyle name="Normal 3 2 3 4 3 6 2 2" xfId="32207" xr:uid="{00000000-0005-0000-0000-00006E590000}"/>
    <cellStyle name="Normal 3 2 3 4 3 6 3" xfId="32206" xr:uid="{00000000-0005-0000-0000-00006F590000}"/>
    <cellStyle name="Normal 3 2 3 4 3 7" xfId="3697" xr:uid="{00000000-0005-0000-0000-000070590000}"/>
    <cellStyle name="Normal 3 2 3 4 3 7 2" xfId="32209" xr:uid="{00000000-0005-0000-0000-000071590000}"/>
    <cellStyle name="Normal 3 2 3 4 3 7 3" xfId="32208" xr:uid="{00000000-0005-0000-0000-000072590000}"/>
    <cellStyle name="Normal 3 2 3 4 3 8" xfId="32210" xr:uid="{00000000-0005-0000-0000-000073590000}"/>
    <cellStyle name="Normal 3 2 3 4 3 8 2" xfId="32211" xr:uid="{00000000-0005-0000-0000-000074590000}"/>
    <cellStyle name="Normal 3 2 3 4 3 9" xfId="32212" xr:uid="{00000000-0005-0000-0000-000075590000}"/>
    <cellStyle name="Normal 3 2 3 4 4" xfId="3698" xr:uid="{00000000-0005-0000-0000-000076590000}"/>
    <cellStyle name="Normal 3 2 3 4 4 2" xfId="3699" xr:uid="{00000000-0005-0000-0000-000077590000}"/>
    <cellStyle name="Normal 3 2 3 4 4 2 2" xfId="3700" xr:uid="{00000000-0005-0000-0000-000078590000}"/>
    <cellStyle name="Normal 3 2 3 4 4 2 2 2" xfId="3701" xr:uid="{00000000-0005-0000-0000-000079590000}"/>
    <cellStyle name="Normal 3 2 3 4 4 2 2 3" xfId="32215" xr:uid="{00000000-0005-0000-0000-00007A590000}"/>
    <cellStyle name="Normal 3 2 3 4 4 2 3" xfId="3702" xr:uid="{00000000-0005-0000-0000-00007B590000}"/>
    <cellStyle name="Normal 3 2 3 4 4 2 3 2" xfId="3703" xr:uid="{00000000-0005-0000-0000-00007C590000}"/>
    <cellStyle name="Normal 3 2 3 4 4 2 4" xfId="3704" xr:uid="{00000000-0005-0000-0000-00007D590000}"/>
    <cellStyle name="Normal 3 2 3 4 4 2 5" xfId="32214" xr:uid="{00000000-0005-0000-0000-00007E590000}"/>
    <cellStyle name="Normal 3 2 3 4 4 3" xfId="3705" xr:uid="{00000000-0005-0000-0000-00007F590000}"/>
    <cellStyle name="Normal 3 2 3 4 4 3 2" xfId="3706" xr:uid="{00000000-0005-0000-0000-000080590000}"/>
    <cellStyle name="Normal 3 2 3 4 4 3 2 2" xfId="32217" xr:uid="{00000000-0005-0000-0000-000081590000}"/>
    <cellStyle name="Normal 3 2 3 4 4 3 3" xfId="3707" xr:uid="{00000000-0005-0000-0000-000082590000}"/>
    <cellStyle name="Normal 3 2 3 4 4 3 4" xfId="32216" xr:uid="{00000000-0005-0000-0000-000083590000}"/>
    <cellStyle name="Normal 3 2 3 4 4 4" xfId="3708" xr:uid="{00000000-0005-0000-0000-000084590000}"/>
    <cellStyle name="Normal 3 2 3 4 4 4 2" xfId="3709" xr:uid="{00000000-0005-0000-0000-000085590000}"/>
    <cellStyle name="Normal 3 2 3 4 4 4 2 2" xfId="32219" xr:uid="{00000000-0005-0000-0000-000086590000}"/>
    <cellStyle name="Normal 3 2 3 4 4 4 3" xfId="32218" xr:uid="{00000000-0005-0000-0000-000087590000}"/>
    <cellStyle name="Normal 3 2 3 4 4 5" xfId="3710" xr:uid="{00000000-0005-0000-0000-000088590000}"/>
    <cellStyle name="Normal 3 2 3 4 4 5 2" xfId="3711" xr:uid="{00000000-0005-0000-0000-000089590000}"/>
    <cellStyle name="Normal 3 2 3 4 4 5 3" xfId="32220" xr:uid="{00000000-0005-0000-0000-00008A590000}"/>
    <cellStyle name="Normal 3 2 3 4 4 6" xfId="3712" xr:uid="{00000000-0005-0000-0000-00008B590000}"/>
    <cellStyle name="Normal 3 2 3 4 4 6 2" xfId="32221" xr:uid="{00000000-0005-0000-0000-00008C590000}"/>
    <cellStyle name="Normal 3 2 3 4 4 7" xfId="32213" xr:uid="{00000000-0005-0000-0000-00008D590000}"/>
    <cellStyle name="Normal 3 2 3 4 5" xfId="3713" xr:uid="{00000000-0005-0000-0000-00008E590000}"/>
    <cellStyle name="Normal 3 2 3 4 5 2" xfId="3714" xr:uid="{00000000-0005-0000-0000-00008F590000}"/>
    <cellStyle name="Normal 3 2 3 4 5 2 2" xfId="3715" xr:uid="{00000000-0005-0000-0000-000090590000}"/>
    <cellStyle name="Normal 3 2 3 4 5 2 2 2" xfId="32224" xr:uid="{00000000-0005-0000-0000-000091590000}"/>
    <cellStyle name="Normal 3 2 3 4 5 2 3" xfId="32223" xr:uid="{00000000-0005-0000-0000-000092590000}"/>
    <cellStyle name="Normal 3 2 3 4 5 3" xfId="3716" xr:uid="{00000000-0005-0000-0000-000093590000}"/>
    <cellStyle name="Normal 3 2 3 4 5 3 2" xfId="3717" xr:uid="{00000000-0005-0000-0000-000094590000}"/>
    <cellStyle name="Normal 3 2 3 4 5 3 2 2" xfId="32226" xr:uid="{00000000-0005-0000-0000-000095590000}"/>
    <cellStyle name="Normal 3 2 3 4 5 3 3" xfId="32225" xr:uid="{00000000-0005-0000-0000-000096590000}"/>
    <cellStyle name="Normal 3 2 3 4 5 4" xfId="3718" xr:uid="{00000000-0005-0000-0000-000097590000}"/>
    <cellStyle name="Normal 3 2 3 4 5 4 2" xfId="32228" xr:uid="{00000000-0005-0000-0000-000098590000}"/>
    <cellStyle name="Normal 3 2 3 4 5 4 3" xfId="32227" xr:uid="{00000000-0005-0000-0000-000099590000}"/>
    <cellStyle name="Normal 3 2 3 4 5 5" xfId="32229" xr:uid="{00000000-0005-0000-0000-00009A590000}"/>
    <cellStyle name="Normal 3 2 3 4 5 6" xfId="32230" xr:uid="{00000000-0005-0000-0000-00009B590000}"/>
    <cellStyle name="Normal 3 2 3 4 5 7" xfId="32222" xr:uid="{00000000-0005-0000-0000-00009C590000}"/>
    <cellStyle name="Normal 3 2 3 4 6" xfId="3719" xr:uid="{00000000-0005-0000-0000-00009D590000}"/>
    <cellStyle name="Normal 3 2 3 4 6 2" xfId="3720" xr:uid="{00000000-0005-0000-0000-00009E590000}"/>
    <cellStyle name="Normal 3 2 3 4 6 2 2" xfId="3721" xr:uid="{00000000-0005-0000-0000-00009F590000}"/>
    <cellStyle name="Normal 3 2 3 4 6 2 2 2" xfId="32233" xr:uid="{00000000-0005-0000-0000-0000A0590000}"/>
    <cellStyle name="Normal 3 2 3 4 6 2 3" xfId="32232" xr:uid="{00000000-0005-0000-0000-0000A1590000}"/>
    <cellStyle name="Normal 3 2 3 4 6 3" xfId="3722" xr:uid="{00000000-0005-0000-0000-0000A2590000}"/>
    <cellStyle name="Normal 3 2 3 4 6 3 2" xfId="3723" xr:uid="{00000000-0005-0000-0000-0000A3590000}"/>
    <cellStyle name="Normal 3 2 3 4 6 3 2 2" xfId="32235" xr:uid="{00000000-0005-0000-0000-0000A4590000}"/>
    <cellStyle name="Normal 3 2 3 4 6 3 3" xfId="32234" xr:uid="{00000000-0005-0000-0000-0000A5590000}"/>
    <cellStyle name="Normal 3 2 3 4 6 4" xfId="3724" xr:uid="{00000000-0005-0000-0000-0000A6590000}"/>
    <cellStyle name="Normal 3 2 3 4 6 4 2" xfId="32237" xr:uid="{00000000-0005-0000-0000-0000A7590000}"/>
    <cellStyle name="Normal 3 2 3 4 6 4 3" xfId="32236" xr:uid="{00000000-0005-0000-0000-0000A8590000}"/>
    <cellStyle name="Normal 3 2 3 4 6 5" xfId="32238" xr:uid="{00000000-0005-0000-0000-0000A9590000}"/>
    <cellStyle name="Normal 3 2 3 4 6 6" xfId="32239" xr:uid="{00000000-0005-0000-0000-0000AA590000}"/>
    <cellStyle name="Normal 3 2 3 4 6 7" xfId="32231" xr:uid="{00000000-0005-0000-0000-0000AB590000}"/>
    <cellStyle name="Normal 3 2 3 4 7" xfId="3725" xr:uid="{00000000-0005-0000-0000-0000AC590000}"/>
    <cellStyle name="Normal 3 2 3 4 7 2" xfId="3726" xr:uid="{00000000-0005-0000-0000-0000AD590000}"/>
    <cellStyle name="Normal 3 2 3 4 7 2 2" xfId="32242" xr:uid="{00000000-0005-0000-0000-0000AE590000}"/>
    <cellStyle name="Normal 3 2 3 4 7 2 3" xfId="32241" xr:uid="{00000000-0005-0000-0000-0000AF590000}"/>
    <cellStyle name="Normal 3 2 3 4 7 3" xfId="3727" xr:uid="{00000000-0005-0000-0000-0000B0590000}"/>
    <cellStyle name="Normal 3 2 3 4 7 3 2" xfId="32244" xr:uid="{00000000-0005-0000-0000-0000B1590000}"/>
    <cellStyle name="Normal 3 2 3 4 7 3 3" xfId="32243" xr:uid="{00000000-0005-0000-0000-0000B2590000}"/>
    <cellStyle name="Normal 3 2 3 4 7 4" xfId="32245" xr:uid="{00000000-0005-0000-0000-0000B3590000}"/>
    <cellStyle name="Normal 3 2 3 4 7 5" xfId="32246" xr:uid="{00000000-0005-0000-0000-0000B4590000}"/>
    <cellStyle name="Normal 3 2 3 4 7 6" xfId="32240" xr:uid="{00000000-0005-0000-0000-0000B5590000}"/>
    <cellStyle name="Normal 3 2 3 4 8" xfId="3728" xr:uid="{00000000-0005-0000-0000-0000B6590000}"/>
    <cellStyle name="Normal 3 2 3 4 8 2" xfId="3729" xr:uid="{00000000-0005-0000-0000-0000B7590000}"/>
    <cellStyle name="Normal 3 2 3 4 8 2 2" xfId="32248" xr:uid="{00000000-0005-0000-0000-0000B8590000}"/>
    <cellStyle name="Normal 3 2 3 4 8 3" xfId="32247" xr:uid="{00000000-0005-0000-0000-0000B9590000}"/>
    <cellStyle name="Normal 3 2 3 4 9" xfId="3730" xr:uid="{00000000-0005-0000-0000-0000BA590000}"/>
    <cellStyle name="Normal 3 2 3 4 9 2" xfId="3731" xr:uid="{00000000-0005-0000-0000-0000BB590000}"/>
    <cellStyle name="Normal 3 2 3 4 9 2 2" xfId="32250" xr:uid="{00000000-0005-0000-0000-0000BC590000}"/>
    <cellStyle name="Normal 3 2 3 4 9 3" xfId="32249" xr:uid="{00000000-0005-0000-0000-0000BD590000}"/>
    <cellStyle name="Normal 3 2 3 5" xfId="3732" xr:uid="{00000000-0005-0000-0000-0000BE590000}"/>
    <cellStyle name="Normal 3 2 3 5 10" xfId="32252" xr:uid="{00000000-0005-0000-0000-0000BF590000}"/>
    <cellStyle name="Normal 3 2 3 5 11" xfId="32253" xr:uid="{00000000-0005-0000-0000-0000C0590000}"/>
    <cellStyle name="Normal 3 2 3 5 12" xfId="32251" xr:uid="{00000000-0005-0000-0000-0000C1590000}"/>
    <cellStyle name="Normal 3 2 3 5 2" xfId="3733" xr:uid="{00000000-0005-0000-0000-0000C2590000}"/>
    <cellStyle name="Normal 3 2 3 5 2 2" xfId="3734" xr:uid="{00000000-0005-0000-0000-0000C3590000}"/>
    <cellStyle name="Normal 3 2 3 5 2 2 2" xfId="3735" xr:uid="{00000000-0005-0000-0000-0000C4590000}"/>
    <cellStyle name="Normal 3 2 3 5 2 2 2 2" xfId="3736" xr:uid="{00000000-0005-0000-0000-0000C5590000}"/>
    <cellStyle name="Normal 3 2 3 5 2 2 2 3" xfId="3737" xr:uid="{00000000-0005-0000-0000-0000C6590000}"/>
    <cellStyle name="Normal 3 2 3 5 2 2 2 4" xfId="32256" xr:uid="{00000000-0005-0000-0000-0000C7590000}"/>
    <cellStyle name="Normal 3 2 3 5 2 2 3" xfId="3738" xr:uid="{00000000-0005-0000-0000-0000C8590000}"/>
    <cellStyle name="Normal 3 2 3 5 2 2 3 2" xfId="3739" xr:uid="{00000000-0005-0000-0000-0000C9590000}"/>
    <cellStyle name="Normal 3 2 3 5 2 2 4" xfId="3740" xr:uid="{00000000-0005-0000-0000-0000CA590000}"/>
    <cellStyle name="Normal 3 2 3 5 2 2 4 2" xfId="3741" xr:uid="{00000000-0005-0000-0000-0000CB590000}"/>
    <cellStyle name="Normal 3 2 3 5 2 2 5" xfId="3742" xr:uid="{00000000-0005-0000-0000-0000CC590000}"/>
    <cellStyle name="Normal 3 2 3 5 2 2 6" xfId="32255" xr:uid="{00000000-0005-0000-0000-0000CD590000}"/>
    <cellStyle name="Normal 3 2 3 5 2 3" xfId="3743" xr:uid="{00000000-0005-0000-0000-0000CE590000}"/>
    <cellStyle name="Normal 3 2 3 5 2 3 2" xfId="3744" xr:uid="{00000000-0005-0000-0000-0000CF590000}"/>
    <cellStyle name="Normal 3 2 3 5 2 3 2 2" xfId="3745" xr:uid="{00000000-0005-0000-0000-0000D0590000}"/>
    <cellStyle name="Normal 3 2 3 5 2 3 2 3" xfId="32258" xr:uid="{00000000-0005-0000-0000-0000D1590000}"/>
    <cellStyle name="Normal 3 2 3 5 2 3 3" xfId="3746" xr:uid="{00000000-0005-0000-0000-0000D2590000}"/>
    <cellStyle name="Normal 3 2 3 5 2 3 3 2" xfId="3747" xr:uid="{00000000-0005-0000-0000-0000D3590000}"/>
    <cellStyle name="Normal 3 2 3 5 2 3 4" xfId="3748" xr:uid="{00000000-0005-0000-0000-0000D4590000}"/>
    <cellStyle name="Normal 3 2 3 5 2 3 5" xfId="32257" xr:uid="{00000000-0005-0000-0000-0000D5590000}"/>
    <cellStyle name="Normal 3 2 3 5 2 4" xfId="3749" xr:uid="{00000000-0005-0000-0000-0000D6590000}"/>
    <cellStyle name="Normal 3 2 3 5 2 4 2" xfId="3750" xr:uid="{00000000-0005-0000-0000-0000D7590000}"/>
    <cellStyle name="Normal 3 2 3 5 2 4 2 2" xfId="32260" xr:uid="{00000000-0005-0000-0000-0000D8590000}"/>
    <cellStyle name="Normal 3 2 3 5 2 4 3" xfId="3751" xr:uid="{00000000-0005-0000-0000-0000D9590000}"/>
    <cellStyle name="Normal 3 2 3 5 2 4 4" xfId="32259" xr:uid="{00000000-0005-0000-0000-0000DA590000}"/>
    <cellStyle name="Normal 3 2 3 5 2 5" xfId="3752" xr:uid="{00000000-0005-0000-0000-0000DB590000}"/>
    <cellStyle name="Normal 3 2 3 5 2 5 2" xfId="3753" xr:uid="{00000000-0005-0000-0000-0000DC590000}"/>
    <cellStyle name="Normal 3 2 3 5 2 5 3" xfId="32261" xr:uid="{00000000-0005-0000-0000-0000DD590000}"/>
    <cellStyle name="Normal 3 2 3 5 2 6" xfId="3754" xr:uid="{00000000-0005-0000-0000-0000DE590000}"/>
    <cellStyle name="Normal 3 2 3 5 2 6 2" xfId="3755" xr:uid="{00000000-0005-0000-0000-0000DF590000}"/>
    <cellStyle name="Normal 3 2 3 5 2 6 3" xfId="32262" xr:uid="{00000000-0005-0000-0000-0000E0590000}"/>
    <cellStyle name="Normal 3 2 3 5 2 7" xfId="3756" xr:uid="{00000000-0005-0000-0000-0000E1590000}"/>
    <cellStyle name="Normal 3 2 3 5 2 8" xfId="32254" xr:uid="{00000000-0005-0000-0000-0000E2590000}"/>
    <cellStyle name="Normal 3 2 3 5 3" xfId="3757" xr:uid="{00000000-0005-0000-0000-0000E3590000}"/>
    <cellStyle name="Normal 3 2 3 5 3 2" xfId="3758" xr:uid="{00000000-0005-0000-0000-0000E4590000}"/>
    <cellStyle name="Normal 3 2 3 5 3 2 2" xfId="3759" xr:uid="{00000000-0005-0000-0000-0000E5590000}"/>
    <cellStyle name="Normal 3 2 3 5 3 2 2 2" xfId="32265" xr:uid="{00000000-0005-0000-0000-0000E6590000}"/>
    <cellStyle name="Normal 3 2 3 5 3 2 3" xfId="3760" xr:uid="{00000000-0005-0000-0000-0000E7590000}"/>
    <cellStyle name="Normal 3 2 3 5 3 2 4" xfId="32264" xr:uid="{00000000-0005-0000-0000-0000E8590000}"/>
    <cellStyle name="Normal 3 2 3 5 3 3" xfId="3761" xr:uid="{00000000-0005-0000-0000-0000E9590000}"/>
    <cellStyle name="Normal 3 2 3 5 3 3 2" xfId="3762" xr:uid="{00000000-0005-0000-0000-0000EA590000}"/>
    <cellStyle name="Normal 3 2 3 5 3 3 2 2" xfId="32267" xr:uid="{00000000-0005-0000-0000-0000EB590000}"/>
    <cellStyle name="Normal 3 2 3 5 3 3 3" xfId="32266" xr:uid="{00000000-0005-0000-0000-0000EC590000}"/>
    <cellStyle name="Normal 3 2 3 5 3 4" xfId="3763" xr:uid="{00000000-0005-0000-0000-0000ED590000}"/>
    <cellStyle name="Normal 3 2 3 5 3 4 2" xfId="3764" xr:uid="{00000000-0005-0000-0000-0000EE590000}"/>
    <cellStyle name="Normal 3 2 3 5 3 4 2 2" xfId="32269" xr:uid="{00000000-0005-0000-0000-0000EF590000}"/>
    <cellStyle name="Normal 3 2 3 5 3 4 3" xfId="32268" xr:uid="{00000000-0005-0000-0000-0000F0590000}"/>
    <cellStyle name="Normal 3 2 3 5 3 5" xfId="3765" xr:uid="{00000000-0005-0000-0000-0000F1590000}"/>
    <cellStyle name="Normal 3 2 3 5 3 5 2" xfId="32270" xr:uid="{00000000-0005-0000-0000-0000F2590000}"/>
    <cellStyle name="Normal 3 2 3 5 3 6" xfId="32271" xr:uid="{00000000-0005-0000-0000-0000F3590000}"/>
    <cellStyle name="Normal 3 2 3 5 3 7" xfId="32263" xr:uid="{00000000-0005-0000-0000-0000F4590000}"/>
    <cellStyle name="Normal 3 2 3 5 4" xfId="3766" xr:uid="{00000000-0005-0000-0000-0000F5590000}"/>
    <cellStyle name="Normal 3 2 3 5 4 2" xfId="3767" xr:uid="{00000000-0005-0000-0000-0000F6590000}"/>
    <cellStyle name="Normal 3 2 3 5 4 2 2" xfId="3768" xr:uid="{00000000-0005-0000-0000-0000F7590000}"/>
    <cellStyle name="Normal 3 2 3 5 4 2 2 2" xfId="32274" xr:uid="{00000000-0005-0000-0000-0000F8590000}"/>
    <cellStyle name="Normal 3 2 3 5 4 2 3" xfId="32273" xr:uid="{00000000-0005-0000-0000-0000F9590000}"/>
    <cellStyle name="Normal 3 2 3 5 4 3" xfId="3769" xr:uid="{00000000-0005-0000-0000-0000FA590000}"/>
    <cellStyle name="Normal 3 2 3 5 4 3 2" xfId="3770" xr:uid="{00000000-0005-0000-0000-0000FB590000}"/>
    <cellStyle name="Normal 3 2 3 5 4 3 2 2" xfId="32276" xr:uid="{00000000-0005-0000-0000-0000FC590000}"/>
    <cellStyle name="Normal 3 2 3 5 4 3 3" xfId="32275" xr:uid="{00000000-0005-0000-0000-0000FD590000}"/>
    <cellStyle name="Normal 3 2 3 5 4 4" xfId="3771" xr:uid="{00000000-0005-0000-0000-0000FE590000}"/>
    <cellStyle name="Normal 3 2 3 5 4 4 2" xfId="32278" xr:uid="{00000000-0005-0000-0000-0000FF590000}"/>
    <cellStyle name="Normal 3 2 3 5 4 4 3" xfId="32277" xr:uid="{00000000-0005-0000-0000-0000005A0000}"/>
    <cellStyle name="Normal 3 2 3 5 4 5" xfId="32279" xr:uid="{00000000-0005-0000-0000-0000015A0000}"/>
    <cellStyle name="Normal 3 2 3 5 4 6" xfId="32280" xr:uid="{00000000-0005-0000-0000-0000025A0000}"/>
    <cellStyle name="Normal 3 2 3 5 4 7" xfId="32272" xr:uid="{00000000-0005-0000-0000-0000035A0000}"/>
    <cellStyle name="Normal 3 2 3 5 5" xfId="3772" xr:uid="{00000000-0005-0000-0000-0000045A0000}"/>
    <cellStyle name="Normal 3 2 3 5 5 2" xfId="3773" xr:uid="{00000000-0005-0000-0000-0000055A0000}"/>
    <cellStyle name="Normal 3 2 3 5 5 2 2" xfId="32283" xr:uid="{00000000-0005-0000-0000-0000065A0000}"/>
    <cellStyle name="Normal 3 2 3 5 5 2 3" xfId="32282" xr:uid="{00000000-0005-0000-0000-0000075A0000}"/>
    <cellStyle name="Normal 3 2 3 5 5 3" xfId="3774" xr:uid="{00000000-0005-0000-0000-0000085A0000}"/>
    <cellStyle name="Normal 3 2 3 5 5 3 2" xfId="32285" xr:uid="{00000000-0005-0000-0000-0000095A0000}"/>
    <cellStyle name="Normal 3 2 3 5 5 3 3" xfId="32284" xr:uid="{00000000-0005-0000-0000-00000A5A0000}"/>
    <cellStyle name="Normal 3 2 3 5 5 4" xfId="32286" xr:uid="{00000000-0005-0000-0000-00000B5A0000}"/>
    <cellStyle name="Normal 3 2 3 5 5 4 2" xfId="32287" xr:uid="{00000000-0005-0000-0000-00000C5A0000}"/>
    <cellStyle name="Normal 3 2 3 5 5 5" xfId="32288" xr:uid="{00000000-0005-0000-0000-00000D5A0000}"/>
    <cellStyle name="Normal 3 2 3 5 5 6" xfId="32289" xr:uid="{00000000-0005-0000-0000-00000E5A0000}"/>
    <cellStyle name="Normal 3 2 3 5 5 7" xfId="32281" xr:uid="{00000000-0005-0000-0000-00000F5A0000}"/>
    <cellStyle name="Normal 3 2 3 5 6" xfId="3775" xr:uid="{00000000-0005-0000-0000-0000105A0000}"/>
    <cellStyle name="Normal 3 2 3 5 6 2" xfId="3776" xr:uid="{00000000-0005-0000-0000-0000115A0000}"/>
    <cellStyle name="Normal 3 2 3 5 6 2 2" xfId="32292" xr:uid="{00000000-0005-0000-0000-0000125A0000}"/>
    <cellStyle name="Normal 3 2 3 5 6 2 3" xfId="32291" xr:uid="{00000000-0005-0000-0000-0000135A0000}"/>
    <cellStyle name="Normal 3 2 3 5 6 3" xfId="32293" xr:uid="{00000000-0005-0000-0000-0000145A0000}"/>
    <cellStyle name="Normal 3 2 3 5 6 3 2" xfId="32294" xr:uid="{00000000-0005-0000-0000-0000155A0000}"/>
    <cellStyle name="Normal 3 2 3 5 6 4" xfId="32295" xr:uid="{00000000-0005-0000-0000-0000165A0000}"/>
    <cellStyle name="Normal 3 2 3 5 6 5" xfId="32296" xr:uid="{00000000-0005-0000-0000-0000175A0000}"/>
    <cellStyle name="Normal 3 2 3 5 6 6" xfId="32290" xr:uid="{00000000-0005-0000-0000-0000185A0000}"/>
    <cellStyle name="Normal 3 2 3 5 7" xfId="3777" xr:uid="{00000000-0005-0000-0000-0000195A0000}"/>
    <cellStyle name="Normal 3 2 3 5 7 2" xfId="3778" xr:uid="{00000000-0005-0000-0000-00001A5A0000}"/>
    <cellStyle name="Normal 3 2 3 5 7 2 2" xfId="32298" xr:uid="{00000000-0005-0000-0000-00001B5A0000}"/>
    <cellStyle name="Normal 3 2 3 5 7 3" xfId="32297" xr:uid="{00000000-0005-0000-0000-00001C5A0000}"/>
    <cellStyle name="Normal 3 2 3 5 8" xfId="3779" xr:uid="{00000000-0005-0000-0000-00001D5A0000}"/>
    <cellStyle name="Normal 3 2 3 5 8 2" xfId="32300" xr:uid="{00000000-0005-0000-0000-00001E5A0000}"/>
    <cellStyle name="Normal 3 2 3 5 8 3" xfId="32299" xr:uid="{00000000-0005-0000-0000-00001F5A0000}"/>
    <cellStyle name="Normal 3 2 3 5 9" xfId="32301" xr:uid="{00000000-0005-0000-0000-0000205A0000}"/>
    <cellStyle name="Normal 3 2 3 5 9 2" xfId="32302" xr:uid="{00000000-0005-0000-0000-0000215A0000}"/>
    <cellStyle name="Normal 3 2 3 6" xfId="3780" xr:uid="{00000000-0005-0000-0000-0000225A0000}"/>
    <cellStyle name="Normal 3 2 3 6 10" xfId="32304" xr:uid="{00000000-0005-0000-0000-0000235A0000}"/>
    <cellStyle name="Normal 3 2 3 6 11" xfId="32303" xr:uid="{00000000-0005-0000-0000-0000245A0000}"/>
    <cellStyle name="Normal 3 2 3 6 2" xfId="3781" xr:uid="{00000000-0005-0000-0000-0000255A0000}"/>
    <cellStyle name="Normal 3 2 3 6 2 2" xfId="3782" xr:uid="{00000000-0005-0000-0000-0000265A0000}"/>
    <cellStyle name="Normal 3 2 3 6 2 2 2" xfId="3783" xr:uid="{00000000-0005-0000-0000-0000275A0000}"/>
    <cellStyle name="Normal 3 2 3 6 2 2 2 2" xfId="32307" xr:uid="{00000000-0005-0000-0000-0000285A0000}"/>
    <cellStyle name="Normal 3 2 3 6 2 2 3" xfId="3784" xr:uid="{00000000-0005-0000-0000-0000295A0000}"/>
    <cellStyle name="Normal 3 2 3 6 2 2 4" xfId="32306" xr:uid="{00000000-0005-0000-0000-00002A5A0000}"/>
    <cellStyle name="Normal 3 2 3 6 2 3" xfId="3785" xr:uid="{00000000-0005-0000-0000-00002B5A0000}"/>
    <cellStyle name="Normal 3 2 3 6 2 3 2" xfId="3786" xr:uid="{00000000-0005-0000-0000-00002C5A0000}"/>
    <cellStyle name="Normal 3 2 3 6 2 3 2 2" xfId="32309" xr:uid="{00000000-0005-0000-0000-00002D5A0000}"/>
    <cellStyle name="Normal 3 2 3 6 2 3 3" xfId="32308" xr:uid="{00000000-0005-0000-0000-00002E5A0000}"/>
    <cellStyle name="Normal 3 2 3 6 2 4" xfId="3787" xr:uid="{00000000-0005-0000-0000-00002F5A0000}"/>
    <cellStyle name="Normal 3 2 3 6 2 4 2" xfId="3788" xr:uid="{00000000-0005-0000-0000-0000305A0000}"/>
    <cellStyle name="Normal 3 2 3 6 2 4 2 2" xfId="32311" xr:uid="{00000000-0005-0000-0000-0000315A0000}"/>
    <cellStyle name="Normal 3 2 3 6 2 4 3" xfId="32310" xr:uid="{00000000-0005-0000-0000-0000325A0000}"/>
    <cellStyle name="Normal 3 2 3 6 2 5" xfId="3789" xr:uid="{00000000-0005-0000-0000-0000335A0000}"/>
    <cellStyle name="Normal 3 2 3 6 2 5 2" xfId="32312" xr:uid="{00000000-0005-0000-0000-0000345A0000}"/>
    <cellStyle name="Normal 3 2 3 6 2 6" xfId="32313" xr:uid="{00000000-0005-0000-0000-0000355A0000}"/>
    <cellStyle name="Normal 3 2 3 6 2 7" xfId="32305" xr:uid="{00000000-0005-0000-0000-0000365A0000}"/>
    <cellStyle name="Normal 3 2 3 6 3" xfId="3790" xr:uid="{00000000-0005-0000-0000-0000375A0000}"/>
    <cellStyle name="Normal 3 2 3 6 3 2" xfId="3791" xr:uid="{00000000-0005-0000-0000-0000385A0000}"/>
    <cellStyle name="Normal 3 2 3 6 3 2 2" xfId="3792" xr:uid="{00000000-0005-0000-0000-0000395A0000}"/>
    <cellStyle name="Normal 3 2 3 6 3 2 2 2" xfId="32316" xr:uid="{00000000-0005-0000-0000-00003A5A0000}"/>
    <cellStyle name="Normal 3 2 3 6 3 2 3" xfId="32315" xr:uid="{00000000-0005-0000-0000-00003B5A0000}"/>
    <cellStyle name="Normal 3 2 3 6 3 3" xfId="3793" xr:uid="{00000000-0005-0000-0000-00003C5A0000}"/>
    <cellStyle name="Normal 3 2 3 6 3 3 2" xfId="3794" xr:uid="{00000000-0005-0000-0000-00003D5A0000}"/>
    <cellStyle name="Normal 3 2 3 6 3 3 2 2" xfId="32318" xr:uid="{00000000-0005-0000-0000-00003E5A0000}"/>
    <cellStyle name="Normal 3 2 3 6 3 3 3" xfId="32317" xr:uid="{00000000-0005-0000-0000-00003F5A0000}"/>
    <cellStyle name="Normal 3 2 3 6 3 4" xfId="3795" xr:uid="{00000000-0005-0000-0000-0000405A0000}"/>
    <cellStyle name="Normal 3 2 3 6 3 4 2" xfId="32320" xr:uid="{00000000-0005-0000-0000-0000415A0000}"/>
    <cellStyle name="Normal 3 2 3 6 3 4 3" xfId="32319" xr:uid="{00000000-0005-0000-0000-0000425A0000}"/>
    <cellStyle name="Normal 3 2 3 6 3 5" xfId="32321" xr:uid="{00000000-0005-0000-0000-0000435A0000}"/>
    <cellStyle name="Normal 3 2 3 6 3 6" xfId="32322" xr:uid="{00000000-0005-0000-0000-0000445A0000}"/>
    <cellStyle name="Normal 3 2 3 6 3 7" xfId="32314" xr:uid="{00000000-0005-0000-0000-0000455A0000}"/>
    <cellStyle name="Normal 3 2 3 6 4" xfId="3796" xr:uid="{00000000-0005-0000-0000-0000465A0000}"/>
    <cellStyle name="Normal 3 2 3 6 4 2" xfId="3797" xr:uid="{00000000-0005-0000-0000-0000475A0000}"/>
    <cellStyle name="Normal 3 2 3 6 4 2 2" xfId="32325" xr:uid="{00000000-0005-0000-0000-0000485A0000}"/>
    <cellStyle name="Normal 3 2 3 6 4 2 3" xfId="32324" xr:uid="{00000000-0005-0000-0000-0000495A0000}"/>
    <cellStyle name="Normal 3 2 3 6 4 3" xfId="3798" xr:uid="{00000000-0005-0000-0000-00004A5A0000}"/>
    <cellStyle name="Normal 3 2 3 6 4 3 2" xfId="32327" xr:uid="{00000000-0005-0000-0000-00004B5A0000}"/>
    <cellStyle name="Normal 3 2 3 6 4 3 3" xfId="32326" xr:uid="{00000000-0005-0000-0000-00004C5A0000}"/>
    <cellStyle name="Normal 3 2 3 6 4 4" xfId="32328" xr:uid="{00000000-0005-0000-0000-00004D5A0000}"/>
    <cellStyle name="Normal 3 2 3 6 4 4 2" xfId="32329" xr:uid="{00000000-0005-0000-0000-00004E5A0000}"/>
    <cellStyle name="Normal 3 2 3 6 4 5" xfId="32330" xr:uid="{00000000-0005-0000-0000-00004F5A0000}"/>
    <cellStyle name="Normal 3 2 3 6 4 6" xfId="32331" xr:uid="{00000000-0005-0000-0000-0000505A0000}"/>
    <cellStyle name="Normal 3 2 3 6 4 7" xfId="32323" xr:uid="{00000000-0005-0000-0000-0000515A0000}"/>
    <cellStyle name="Normal 3 2 3 6 5" xfId="3799" xr:uid="{00000000-0005-0000-0000-0000525A0000}"/>
    <cellStyle name="Normal 3 2 3 6 5 2" xfId="3800" xr:uid="{00000000-0005-0000-0000-0000535A0000}"/>
    <cellStyle name="Normal 3 2 3 6 5 2 2" xfId="32334" xr:uid="{00000000-0005-0000-0000-0000545A0000}"/>
    <cellStyle name="Normal 3 2 3 6 5 2 3" xfId="32333" xr:uid="{00000000-0005-0000-0000-0000555A0000}"/>
    <cellStyle name="Normal 3 2 3 6 5 3" xfId="32335" xr:uid="{00000000-0005-0000-0000-0000565A0000}"/>
    <cellStyle name="Normal 3 2 3 6 5 3 2" xfId="32336" xr:uid="{00000000-0005-0000-0000-0000575A0000}"/>
    <cellStyle name="Normal 3 2 3 6 5 4" xfId="32337" xr:uid="{00000000-0005-0000-0000-0000585A0000}"/>
    <cellStyle name="Normal 3 2 3 6 5 5" xfId="32338" xr:uid="{00000000-0005-0000-0000-0000595A0000}"/>
    <cellStyle name="Normal 3 2 3 6 5 6" xfId="32332" xr:uid="{00000000-0005-0000-0000-00005A5A0000}"/>
    <cellStyle name="Normal 3 2 3 6 6" xfId="3801" xr:uid="{00000000-0005-0000-0000-00005B5A0000}"/>
    <cellStyle name="Normal 3 2 3 6 6 2" xfId="3802" xr:uid="{00000000-0005-0000-0000-00005C5A0000}"/>
    <cellStyle name="Normal 3 2 3 6 6 2 2" xfId="32340" xr:uid="{00000000-0005-0000-0000-00005D5A0000}"/>
    <cellStyle name="Normal 3 2 3 6 6 3" xfId="32339" xr:uid="{00000000-0005-0000-0000-00005E5A0000}"/>
    <cellStyle name="Normal 3 2 3 6 7" xfId="3803" xr:uid="{00000000-0005-0000-0000-00005F5A0000}"/>
    <cellStyle name="Normal 3 2 3 6 7 2" xfId="32342" xr:uid="{00000000-0005-0000-0000-0000605A0000}"/>
    <cellStyle name="Normal 3 2 3 6 7 3" xfId="32341" xr:uid="{00000000-0005-0000-0000-0000615A0000}"/>
    <cellStyle name="Normal 3 2 3 6 8" xfId="32343" xr:uid="{00000000-0005-0000-0000-0000625A0000}"/>
    <cellStyle name="Normal 3 2 3 6 8 2" xfId="32344" xr:uid="{00000000-0005-0000-0000-0000635A0000}"/>
    <cellStyle name="Normal 3 2 3 6 9" xfId="32345" xr:uid="{00000000-0005-0000-0000-0000645A0000}"/>
    <cellStyle name="Normal 3 2 3 7" xfId="3804" xr:uid="{00000000-0005-0000-0000-0000655A0000}"/>
    <cellStyle name="Normal 3 2 3 7 10" xfId="32347" xr:uid="{00000000-0005-0000-0000-0000665A0000}"/>
    <cellStyle name="Normal 3 2 3 7 11" xfId="32346" xr:uid="{00000000-0005-0000-0000-0000675A0000}"/>
    <cellStyle name="Normal 3 2 3 7 2" xfId="3805" xr:uid="{00000000-0005-0000-0000-0000685A0000}"/>
    <cellStyle name="Normal 3 2 3 7 2 2" xfId="3806" xr:uid="{00000000-0005-0000-0000-0000695A0000}"/>
    <cellStyle name="Normal 3 2 3 7 2 2 2" xfId="3807" xr:uid="{00000000-0005-0000-0000-00006A5A0000}"/>
    <cellStyle name="Normal 3 2 3 7 2 2 2 2" xfId="32350" xr:uid="{00000000-0005-0000-0000-00006B5A0000}"/>
    <cellStyle name="Normal 3 2 3 7 2 2 3" xfId="3808" xr:uid="{00000000-0005-0000-0000-00006C5A0000}"/>
    <cellStyle name="Normal 3 2 3 7 2 2 4" xfId="32349" xr:uid="{00000000-0005-0000-0000-00006D5A0000}"/>
    <cellStyle name="Normal 3 2 3 7 2 3" xfId="3809" xr:uid="{00000000-0005-0000-0000-00006E5A0000}"/>
    <cellStyle name="Normal 3 2 3 7 2 3 2" xfId="3810" xr:uid="{00000000-0005-0000-0000-00006F5A0000}"/>
    <cellStyle name="Normal 3 2 3 7 2 3 2 2" xfId="32352" xr:uid="{00000000-0005-0000-0000-0000705A0000}"/>
    <cellStyle name="Normal 3 2 3 7 2 3 3" xfId="32351" xr:uid="{00000000-0005-0000-0000-0000715A0000}"/>
    <cellStyle name="Normal 3 2 3 7 2 4" xfId="3811" xr:uid="{00000000-0005-0000-0000-0000725A0000}"/>
    <cellStyle name="Normal 3 2 3 7 2 4 2" xfId="3812" xr:uid="{00000000-0005-0000-0000-0000735A0000}"/>
    <cellStyle name="Normal 3 2 3 7 2 4 2 2" xfId="32354" xr:uid="{00000000-0005-0000-0000-0000745A0000}"/>
    <cellStyle name="Normal 3 2 3 7 2 4 3" xfId="32353" xr:uid="{00000000-0005-0000-0000-0000755A0000}"/>
    <cellStyle name="Normal 3 2 3 7 2 5" xfId="3813" xr:uid="{00000000-0005-0000-0000-0000765A0000}"/>
    <cellStyle name="Normal 3 2 3 7 2 5 2" xfId="32355" xr:uid="{00000000-0005-0000-0000-0000775A0000}"/>
    <cellStyle name="Normal 3 2 3 7 2 6" xfId="32356" xr:uid="{00000000-0005-0000-0000-0000785A0000}"/>
    <cellStyle name="Normal 3 2 3 7 2 7" xfId="32348" xr:uid="{00000000-0005-0000-0000-0000795A0000}"/>
    <cellStyle name="Normal 3 2 3 7 3" xfId="3814" xr:uid="{00000000-0005-0000-0000-00007A5A0000}"/>
    <cellStyle name="Normal 3 2 3 7 3 2" xfId="3815" xr:uid="{00000000-0005-0000-0000-00007B5A0000}"/>
    <cellStyle name="Normal 3 2 3 7 3 2 2" xfId="3816" xr:uid="{00000000-0005-0000-0000-00007C5A0000}"/>
    <cellStyle name="Normal 3 2 3 7 3 2 2 2" xfId="32359" xr:uid="{00000000-0005-0000-0000-00007D5A0000}"/>
    <cellStyle name="Normal 3 2 3 7 3 2 3" xfId="32358" xr:uid="{00000000-0005-0000-0000-00007E5A0000}"/>
    <cellStyle name="Normal 3 2 3 7 3 3" xfId="3817" xr:uid="{00000000-0005-0000-0000-00007F5A0000}"/>
    <cellStyle name="Normal 3 2 3 7 3 3 2" xfId="3818" xr:uid="{00000000-0005-0000-0000-0000805A0000}"/>
    <cellStyle name="Normal 3 2 3 7 3 3 2 2" xfId="32361" xr:uid="{00000000-0005-0000-0000-0000815A0000}"/>
    <cellStyle name="Normal 3 2 3 7 3 3 3" xfId="32360" xr:uid="{00000000-0005-0000-0000-0000825A0000}"/>
    <cellStyle name="Normal 3 2 3 7 3 4" xfId="3819" xr:uid="{00000000-0005-0000-0000-0000835A0000}"/>
    <cellStyle name="Normal 3 2 3 7 3 4 2" xfId="32363" xr:uid="{00000000-0005-0000-0000-0000845A0000}"/>
    <cellStyle name="Normal 3 2 3 7 3 4 3" xfId="32362" xr:uid="{00000000-0005-0000-0000-0000855A0000}"/>
    <cellStyle name="Normal 3 2 3 7 3 5" xfId="32364" xr:uid="{00000000-0005-0000-0000-0000865A0000}"/>
    <cellStyle name="Normal 3 2 3 7 3 6" xfId="32365" xr:uid="{00000000-0005-0000-0000-0000875A0000}"/>
    <cellStyle name="Normal 3 2 3 7 3 7" xfId="32357" xr:uid="{00000000-0005-0000-0000-0000885A0000}"/>
    <cellStyle name="Normal 3 2 3 7 4" xfId="3820" xr:uid="{00000000-0005-0000-0000-0000895A0000}"/>
    <cellStyle name="Normal 3 2 3 7 4 2" xfId="3821" xr:uid="{00000000-0005-0000-0000-00008A5A0000}"/>
    <cellStyle name="Normal 3 2 3 7 4 2 2" xfId="32368" xr:uid="{00000000-0005-0000-0000-00008B5A0000}"/>
    <cellStyle name="Normal 3 2 3 7 4 2 3" xfId="32367" xr:uid="{00000000-0005-0000-0000-00008C5A0000}"/>
    <cellStyle name="Normal 3 2 3 7 4 3" xfId="3822" xr:uid="{00000000-0005-0000-0000-00008D5A0000}"/>
    <cellStyle name="Normal 3 2 3 7 4 3 2" xfId="32370" xr:uid="{00000000-0005-0000-0000-00008E5A0000}"/>
    <cellStyle name="Normal 3 2 3 7 4 3 3" xfId="32369" xr:uid="{00000000-0005-0000-0000-00008F5A0000}"/>
    <cellStyle name="Normal 3 2 3 7 4 4" xfId="32371" xr:uid="{00000000-0005-0000-0000-0000905A0000}"/>
    <cellStyle name="Normal 3 2 3 7 4 4 2" xfId="32372" xr:uid="{00000000-0005-0000-0000-0000915A0000}"/>
    <cellStyle name="Normal 3 2 3 7 4 5" xfId="32373" xr:uid="{00000000-0005-0000-0000-0000925A0000}"/>
    <cellStyle name="Normal 3 2 3 7 4 6" xfId="32374" xr:uid="{00000000-0005-0000-0000-0000935A0000}"/>
    <cellStyle name="Normal 3 2 3 7 4 7" xfId="32366" xr:uid="{00000000-0005-0000-0000-0000945A0000}"/>
    <cellStyle name="Normal 3 2 3 7 5" xfId="3823" xr:uid="{00000000-0005-0000-0000-0000955A0000}"/>
    <cellStyle name="Normal 3 2 3 7 5 2" xfId="3824" xr:uid="{00000000-0005-0000-0000-0000965A0000}"/>
    <cellStyle name="Normal 3 2 3 7 5 2 2" xfId="32377" xr:uid="{00000000-0005-0000-0000-0000975A0000}"/>
    <cellStyle name="Normal 3 2 3 7 5 2 3" xfId="32376" xr:uid="{00000000-0005-0000-0000-0000985A0000}"/>
    <cellStyle name="Normal 3 2 3 7 5 3" xfId="32378" xr:uid="{00000000-0005-0000-0000-0000995A0000}"/>
    <cellStyle name="Normal 3 2 3 7 5 3 2" xfId="32379" xr:uid="{00000000-0005-0000-0000-00009A5A0000}"/>
    <cellStyle name="Normal 3 2 3 7 5 4" xfId="32380" xr:uid="{00000000-0005-0000-0000-00009B5A0000}"/>
    <cellStyle name="Normal 3 2 3 7 5 5" xfId="32381" xr:uid="{00000000-0005-0000-0000-00009C5A0000}"/>
    <cellStyle name="Normal 3 2 3 7 5 6" xfId="32375" xr:uid="{00000000-0005-0000-0000-00009D5A0000}"/>
    <cellStyle name="Normal 3 2 3 7 6" xfId="3825" xr:uid="{00000000-0005-0000-0000-00009E5A0000}"/>
    <cellStyle name="Normal 3 2 3 7 6 2" xfId="3826" xr:uid="{00000000-0005-0000-0000-00009F5A0000}"/>
    <cellStyle name="Normal 3 2 3 7 6 2 2" xfId="32383" xr:uid="{00000000-0005-0000-0000-0000A05A0000}"/>
    <cellStyle name="Normal 3 2 3 7 6 3" xfId="32382" xr:uid="{00000000-0005-0000-0000-0000A15A0000}"/>
    <cellStyle name="Normal 3 2 3 7 7" xfId="3827" xr:uid="{00000000-0005-0000-0000-0000A25A0000}"/>
    <cellStyle name="Normal 3 2 3 7 7 2" xfId="32385" xr:uid="{00000000-0005-0000-0000-0000A35A0000}"/>
    <cellStyle name="Normal 3 2 3 7 7 3" xfId="32384" xr:uid="{00000000-0005-0000-0000-0000A45A0000}"/>
    <cellStyle name="Normal 3 2 3 7 8" xfId="32386" xr:uid="{00000000-0005-0000-0000-0000A55A0000}"/>
    <cellStyle name="Normal 3 2 3 7 8 2" xfId="32387" xr:uid="{00000000-0005-0000-0000-0000A65A0000}"/>
    <cellStyle name="Normal 3 2 3 7 9" xfId="32388" xr:uid="{00000000-0005-0000-0000-0000A75A0000}"/>
    <cellStyle name="Normal 3 2 3 8" xfId="3828" xr:uid="{00000000-0005-0000-0000-0000A85A0000}"/>
    <cellStyle name="Normal 3 2 3 8 2" xfId="3829" xr:uid="{00000000-0005-0000-0000-0000A95A0000}"/>
    <cellStyle name="Normal 3 2 3 8 2 2" xfId="3830" xr:uid="{00000000-0005-0000-0000-0000AA5A0000}"/>
    <cellStyle name="Normal 3 2 3 8 2 2 2" xfId="3831" xr:uid="{00000000-0005-0000-0000-0000AB5A0000}"/>
    <cellStyle name="Normal 3 2 3 8 2 2 3" xfId="32391" xr:uid="{00000000-0005-0000-0000-0000AC5A0000}"/>
    <cellStyle name="Normal 3 2 3 8 2 3" xfId="3832" xr:uid="{00000000-0005-0000-0000-0000AD5A0000}"/>
    <cellStyle name="Normal 3 2 3 8 2 3 2" xfId="3833" xr:uid="{00000000-0005-0000-0000-0000AE5A0000}"/>
    <cellStyle name="Normal 3 2 3 8 2 4" xfId="3834" xr:uid="{00000000-0005-0000-0000-0000AF5A0000}"/>
    <cellStyle name="Normal 3 2 3 8 2 5" xfId="32390" xr:uid="{00000000-0005-0000-0000-0000B05A0000}"/>
    <cellStyle name="Normal 3 2 3 8 3" xfId="3835" xr:uid="{00000000-0005-0000-0000-0000B15A0000}"/>
    <cellStyle name="Normal 3 2 3 8 3 2" xfId="3836" xr:uid="{00000000-0005-0000-0000-0000B25A0000}"/>
    <cellStyle name="Normal 3 2 3 8 3 2 2" xfId="32393" xr:uid="{00000000-0005-0000-0000-0000B35A0000}"/>
    <cellStyle name="Normal 3 2 3 8 3 3" xfId="3837" xr:uid="{00000000-0005-0000-0000-0000B45A0000}"/>
    <cellStyle name="Normal 3 2 3 8 3 4" xfId="32392" xr:uid="{00000000-0005-0000-0000-0000B55A0000}"/>
    <cellStyle name="Normal 3 2 3 8 4" xfId="3838" xr:uid="{00000000-0005-0000-0000-0000B65A0000}"/>
    <cellStyle name="Normal 3 2 3 8 4 2" xfId="3839" xr:uid="{00000000-0005-0000-0000-0000B75A0000}"/>
    <cellStyle name="Normal 3 2 3 8 4 2 2" xfId="32395" xr:uid="{00000000-0005-0000-0000-0000B85A0000}"/>
    <cellStyle name="Normal 3 2 3 8 4 3" xfId="32394" xr:uid="{00000000-0005-0000-0000-0000B95A0000}"/>
    <cellStyle name="Normal 3 2 3 8 5" xfId="3840" xr:uid="{00000000-0005-0000-0000-0000BA5A0000}"/>
    <cellStyle name="Normal 3 2 3 8 5 2" xfId="3841" xr:uid="{00000000-0005-0000-0000-0000BB5A0000}"/>
    <cellStyle name="Normal 3 2 3 8 5 3" xfId="32396" xr:uid="{00000000-0005-0000-0000-0000BC5A0000}"/>
    <cellStyle name="Normal 3 2 3 8 6" xfId="3842" xr:uid="{00000000-0005-0000-0000-0000BD5A0000}"/>
    <cellStyle name="Normal 3 2 3 8 6 2" xfId="32397" xr:uid="{00000000-0005-0000-0000-0000BE5A0000}"/>
    <cellStyle name="Normal 3 2 3 8 7" xfId="32389" xr:uid="{00000000-0005-0000-0000-0000BF5A0000}"/>
    <cellStyle name="Normal 3 2 3 9" xfId="3843" xr:uid="{00000000-0005-0000-0000-0000C05A0000}"/>
    <cellStyle name="Normal 3 2 3 9 2" xfId="3844" xr:uid="{00000000-0005-0000-0000-0000C15A0000}"/>
    <cellStyle name="Normal 3 2 3 9 2 2" xfId="3845" xr:uid="{00000000-0005-0000-0000-0000C25A0000}"/>
    <cellStyle name="Normal 3 2 3 9 2 2 2" xfId="32400" xr:uid="{00000000-0005-0000-0000-0000C35A0000}"/>
    <cellStyle name="Normal 3 2 3 9 2 3" xfId="32399" xr:uid="{00000000-0005-0000-0000-0000C45A0000}"/>
    <cellStyle name="Normal 3 2 3 9 3" xfId="3846" xr:uid="{00000000-0005-0000-0000-0000C55A0000}"/>
    <cellStyle name="Normal 3 2 3 9 3 2" xfId="3847" xr:uid="{00000000-0005-0000-0000-0000C65A0000}"/>
    <cellStyle name="Normal 3 2 3 9 3 2 2" xfId="32402" xr:uid="{00000000-0005-0000-0000-0000C75A0000}"/>
    <cellStyle name="Normal 3 2 3 9 3 3" xfId="32401" xr:uid="{00000000-0005-0000-0000-0000C85A0000}"/>
    <cellStyle name="Normal 3 2 3 9 4" xfId="3848" xr:uid="{00000000-0005-0000-0000-0000C95A0000}"/>
    <cellStyle name="Normal 3 2 3 9 4 2" xfId="32404" xr:uid="{00000000-0005-0000-0000-0000CA5A0000}"/>
    <cellStyle name="Normal 3 2 3 9 4 3" xfId="32403" xr:uid="{00000000-0005-0000-0000-0000CB5A0000}"/>
    <cellStyle name="Normal 3 2 3 9 5" xfId="32405" xr:uid="{00000000-0005-0000-0000-0000CC5A0000}"/>
    <cellStyle name="Normal 3 2 3 9 6" xfId="32406" xr:uid="{00000000-0005-0000-0000-0000CD5A0000}"/>
    <cellStyle name="Normal 3 2 3 9 7" xfId="32398" xr:uid="{00000000-0005-0000-0000-0000CE5A0000}"/>
    <cellStyle name="Normal 3 2 4" xfId="3849" xr:uid="{00000000-0005-0000-0000-0000CF5A0000}"/>
    <cellStyle name="Normal 3 2 4 10" xfId="3850" xr:uid="{00000000-0005-0000-0000-0000D05A0000}"/>
    <cellStyle name="Normal 3 2 4 10 2" xfId="3851" xr:uid="{00000000-0005-0000-0000-0000D15A0000}"/>
    <cellStyle name="Normal 3 2 4 10 2 2" xfId="32409" xr:uid="{00000000-0005-0000-0000-0000D25A0000}"/>
    <cellStyle name="Normal 3 2 4 10 3" xfId="3852" xr:uid="{00000000-0005-0000-0000-0000D35A0000}"/>
    <cellStyle name="Normal 3 2 4 10 4" xfId="32408" xr:uid="{00000000-0005-0000-0000-0000D45A0000}"/>
    <cellStyle name="Normal 3 2 4 11" xfId="3853" xr:uid="{00000000-0005-0000-0000-0000D55A0000}"/>
    <cellStyle name="Normal 3 2 4 11 2" xfId="3854" xr:uid="{00000000-0005-0000-0000-0000D65A0000}"/>
    <cellStyle name="Normal 3 2 4 11 2 2" xfId="32411" xr:uid="{00000000-0005-0000-0000-0000D75A0000}"/>
    <cellStyle name="Normal 3 2 4 11 3" xfId="32410" xr:uid="{00000000-0005-0000-0000-0000D85A0000}"/>
    <cellStyle name="Normal 3 2 4 12" xfId="3855" xr:uid="{00000000-0005-0000-0000-0000D95A0000}"/>
    <cellStyle name="Normal 3 2 4 12 2" xfId="3856" xr:uid="{00000000-0005-0000-0000-0000DA5A0000}"/>
    <cellStyle name="Normal 3 2 4 12 3" xfId="32412" xr:uid="{00000000-0005-0000-0000-0000DB5A0000}"/>
    <cellStyle name="Normal 3 2 4 13" xfId="3857" xr:uid="{00000000-0005-0000-0000-0000DC5A0000}"/>
    <cellStyle name="Normal 3 2 4 13 2" xfId="32413" xr:uid="{00000000-0005-0000-0000-0000DD5A0000}"/>
    <cellStyle name="Normal 3 2 4 14" xfId="32407" xr:uid="{00000000-0005-0000-0000-0000DE5A0000}"/>
    <cellStyle name="Normal 3 2 4 2" xfId="3858" xr:uid="{00000000-0005-0000-0000-0000DF5A0000}"/>
    <cellStyle name="Normal 3 2 4 2 10" xfId="3859" xr:uid="{00000000-0005-0000-0000-0000E05A0000}"/>
    <cellStyle name="Normal 3 2 4 2 10 2" xfId="3860" xr:uid="{00000000-0005-0000-0000-0000E15A0000}"/>
    <cellStyle name="Normal 3 2 4 2 10 3" xfId="32415" xr:uid="{00000000-0005-0000-0000-0000E25A0000}"/>
    <cellStyle name="Normal 3 2 4 2 11" xfId="3861" xr:uid="{00000000-0005-0000-0000-0000E35A0000}"/>
    <cellStyle name="Normal 3 2 4 2 11 2" xfId="32416" xr:uid="{00000000-0005-0000-0000-0000E45A0000}"/>
    <cellStyle name="Normal 3 2 4 2 12" xfId="32414" xr:uid="{00000000-0005-0000-0000-0000E55A0000}"/>
    <cellStyle name="Normal 3 2 4 2 2" xfId="3862" xr:uid="{00000000-0005-0000-0000-0000E65A0000}"/>
    <cellStyle name="Normal 3 2 4 2 2 2" xfId="3863" xr:uid="{00000000-0005-0000-0000-0000E75A0000}"/>
    <cellStyle name="Normal 3 2 4 2 2 2 2" xfId="3864" xr:uid="{00000000-0005-0000-0000-0000E85A0000}"/>
    <cellStyle name="Normal 3 2 4 2 2 2 2 2" xfId="3865" xr:uid="{00000000-0005-0000-0000-0000E95A0000}"/>
    <cellStyle name="Normal 3 2 4 2 2 2 2 2 2" xfId="3866" xr:uid="{00000000-0005-0000-0000-0000EA5A0000}"/>
    <cellStyle name="Normal 3 2 4 2 2 2 2 2 3" xfId="3867" xr:uid="{00000000-0005-0000-0000-0000EB5A0000}"/>
    <cellStyle name="Normal 3 2 4 2 2 2 2 3" xfId="3868" xr:uid="{00000000-0005-0000-0000-0000EC5A0000}"/>
    <cellStyle name="Normal 3 2 4 2 2 2 2 3 2" xfId="3869" xr:uid="{00000000-0005-0000-0000-0000ED5A0000}"/>
    <cellStyle name="Normal 3 2 4 2 2 2 2 4" xfId="3870" xr:uid="{00000000-0005-0000-0000-0000EE5A0000}"/>
    <cellStyle name="Normal 3 2 4 2 2 2 2 4 2" xfId="3871" xr:uid="{00000000-0005-0000-0000-0000EF5A0000}"/>
    <cellStyle name="Normal 3 2 4 2 2 2 2 5" xfId="3872" xr:uid="{00000000-0005-0000-0000-0000F05A0000}"/>
    <cellStyle name="Normal 3 2 4 2 2 2 2 6" xfId="32419" xr:uid="{00000000-0005-0000-0000-0000F15A0000}"/>
    <cellStyle name="Normal 3 2 4 2 2 2 3" xfId="3873" xr:uid="{00000000-0005-0000-0000-0000F25A0000}"/>
    <cellStyle name="Normal 3 2 4 2 2 2 3 2" xfId="3874" xr:uid="{00000000-0005-0000-0000-0000F35A0000}"/>
    <cellStyle name="Normal 3 2 4 2 2 2 3 2 2" xfId="3875" xr:uid="{00000000-0005-0000-0000-0000F45A0000}"/>
    <cellStyle name="Normal 3 2 4 2 2 2 3 3" xfId="3876" xr:uid="{00000000-0005-0000-0000-0000F55A0000}"/>
    <cellStyle name="Normal 3 2 4 2 2 2 3 3 2" xfId="3877" xr:uid="{00000000-0005-0000-0000-0000F65A0000}"/>
    <cellStyle name="Normal 3 2 4 2 2 2 3 4" xfId="3878" xr:uid="{00000000-0005-0000-0000-0000F75A0000}"/>
    <cellStyle name="Normal 3 2 4 2 2 2 4" xfId="3879" xr:uid="{00000000-0005-0000-0000-0000F85A0000}"/>
    <cellStyle name="Normal 3 2 4 2 2 2 4 2" xfId="3880" xr:uid="{00000000-0005-0000-0000-0000F95A0000}"/>
    <cellStyle name="Normal 3 2 4 2 2 2 4 3" xfId="3881" xr:uid="{00000000-0005-0000-0000-0000FA5A0000}"/>
    <cellStyle name="Normal 3 2 4 2 2 2 5" xfId="3882" xr:uid="{00000000-0005-0000-0000-0000FB5A0000}"/>
    <cellStyle name="Normal 3 2 4 2 2 2 5 2" xfId="3883" xr:uid="{00000000-0005-0000-0000-0000FC5A0000}"/>
    <cellStyle name="Normal 3 2 4 2 2 2 6" xfId="3884" xr:uid="{00000000-0005-0000-0000-0000FD5A0000}"/>
    <cellStyle name="Normal 3 2 4 2 2 2 6 2" xfId="3885" xr:uid="{00000000-0005-0000-0000-0000FE5A0000}"/>
    <cellStyle name="Normal 3 2 4 2 2 2 7" xfId="3886" xr:uid="{00000000-0005-0000-0000-0000FF5A0000}"/>
    <cellStyle name="Normal 3 2 4 2 2 2 8" xfId="32418" xr:uid="{00000000-0005-0000-0000-0000005B0000}"/>
    <cellStyle name="Normal 3 2 4 2 2 3" xfId="3887" xr:uid="{00000000-0005-0000-0000-0000015B0000}"/>
    <cellStyle name="Normal 3 2 4 2 2 3 2" xfId="3888" xr:uid="{00000000-0005-0000-0000-0000025B0000}"/>
    <cellStyle name="Normal 3 2 4 2 2 3 2 2" xfId="3889" xr:uid="{00000000-0005-0000-0000-0000035B0000}"/>
    <cellStyle name="Normal 3 2 4 2 2 3 2 3" xfId="3890" xr:uid="{00000000-0005-0000-0000-0000045B0000}"/>
    <cellStyle name="Normal 3 2 4 2 2 3 2 4" xfId="32421" xr:uid="{00000000-0005-0000-0000-0000055B0000}"/>
    <cellStyle name="Normal 3 2 4 2 2 3 3" xfId="3891" xr:uid="{00000000-0005-0000-0000-0000065B0000}"/>
    <cellStyle name="Normal 3 2 4 2 2 3 3 2" xfId="3892" xr:uid="{00000000-0005-0000-0000-0000075B0000}"/>
    <cellStyle name="Normal 3 2 4 2 2 3 4" xfId="3893" xr:uid="{00000000-0005-0000-0000-0000085B0000}"/>
    <cellStyle name="Normal 3 2 4 2 2 3 4 2" xfId="3894" xr:uid="{00000000-0005-0000-0000-0000095B0000}"/>
    <cellStyle name="Normal 3 2 4 2 2 3 5" xfId="3895" xr:uid="{00000000-0005-0000-0000-00000A5B0000}"/>
    <cellStyle name="Normal 3 2 4 2 2 3 6" xfId="32420" xr:uid="{00000000-0005-0000-0000-00000B5B0000}"/>
    <cellStyle name="Normal 3 2 4 2 2 4" xfId="3896" xr:uid="{00000000-0005-0000-0000-00000C5B0000}"/>
    <cellStyle name="Normal 3 2 4 2 2 4 2" xfId="3897" xr:uid="{00000000-0005-0000-0000-00000D5B0000}"/>
    <cellStyle name="Normal 3 2 4 2 2 4 2 2" xfId="3898" xr:uid="{00000000-0005-0000-0000-00000E5B0000}"/>
    <cellStyle name="Normal 3 2 4 2 2 4 2 3" xfId="32423" xr:uid="{00000000-0005-0000-0000-00000F5B0000}"/>
    <cellStyle name="Normal 3 2 4 2 2 4 3" xfId="3899" xr:uid="{00000000-0005-0000-0000-0000105B0000}"/>
    <cellStyle name="Normal 3 2 4 2 2 4 3 2" xfId="3900" xr:uid="{00000000-0005-0000-0000-0000115B0000}"/>
    <cellStyle name="Normal 3 2 4 2 2 4 4" xfId="3901" xr:uid="{00000000-0005-0000-0000-0000125B0000}"/>
    <cellStyle name="Normal 3 2 4 2 2 4 5" xfId="32422" xr:uid="{00000000-0005-0000-0000-0000135B0000}"/>
    <cellStyle name="Normal 3 2 4 2 2 5" xfId="3902" xr:uid="{00000000-0005-0000-0000-0000145B0000}"/>
    <cellStyle name="Normal 3 2 4 2 2 5 2" xfId="3903" xr:uid="{00000000-0005-0000-0000-0000155B0000}"/>
    <cellStyle name="Normal 3 2 4 2 2 5 3" xfId="3904" xr:uid="{00000000-0005-0000-0000-0000165B0000}"/>
    <cellStyle name="Normal 3 2 4 2 2 5 4" xfId="32424" xr:uid="{00000000-0005-0000-0000-0000175B0000}"/>
    <cellStyle name="Normal 3 2 4 2 2 6" xfId="3905" xr:uid="{00000000-0005-0000-0000-0000185B0000}"/>
    <cellStyle name="Normal 3 2 4 2 2 6 2" xfId="3906" xr:uid="{00000000-0005-0000-0000-0000195B0000}"/>
    <cellStyle name="Normal 3 2 4 2 2 6 3" xfId="32425" xr:uid="{00000000-0005-0000-0000-00001A5B0000}"/>
    <cellStyle name="Normal 3 2 4 2 2 7" xfId="3907" xr:uid="{00000000-0005-0000-0000-00001B5B0000}"/>
    <cellStyle name="Normal 3 2 4 2 2 7 2" xfId="3908" xr:uid="{00000000-0005-0000-0000-00001C5B0000}"/>
    <cellStyle name="Normal 3 2 4 2 2 8" xfId="3909" xr:uid="{00000000-0005-0000-0000-00001D5B0000}"/>
    <cellStyle name="Normal 3 2 4 2 2 9" xfId="32417" xr:uid="{00000000-0005-0000-0000-00001E5B0000}"/>
    <cellStyle name="Normal 3 2 4 2 3" xfId="3910" xr:uid="{00000000-0005-0000-0000-00001F5B0000}"/>
    <cellStyle name="Normal 3 2 4 2 3 2" xfId="3911" xr:uid="{00000000-0005-0000-0000-0000205B0000}"/>
    <cellStyle name="Normal 3 2 4 2 3 2 2" xfId="3912" xr:uid="{00000000-0005-0000-0000-0000215B0000}"/>
    <cellStyle name="Normal 3 2 4 2 3 2 2 2" xfId="3913" xr:uid="{00000000-0005-0000-0000-0000225B0000}"/>
    <cellStyle name="Normal 3 2 4 2 3 2 2 3" xfId="3914" xr:uid="{00000000-0005-0000-0000-0000235B0000}"/>
    <cellStyle name="Normal 3 2 4 2 3 2 2 4" xfId="32428" xr:uid="{00000000-0005-0000-0000-0000245B0000}"/>
    <cellStyle name="Normal 3 2 4 2 3 2 3" xfId="3915" xr:uid="{00000000-0005-0000-0000-0000255B0000}"/>
    <cellStyle name="Normal 3 2 4 2 3 2 3 2" xfId="3916" xr:uid="{00000000-0005-0000-0000-0000265B0000}"/>
    <cellStyle name="Normal 3 2 4 2 3 2 4" xfId="3917" xr:uid="{00000000-0005-0000-0000-0000275B0000}"/>
    <cellStyle name="Normal 3 2 4 2 3 2 4 2" xfId="3918" xr:uid="{00000000-0005-0000-0000-0000285B0000}"/>
    <cellStyle name="Normal 3 2 4 2 3 2 5" xfId="3919" xr:uid="{00000000-0005-0000-0000-0000295B0000}"/>
    <cellStyle name="Normal 3 2 4 2 3 2 6" xfId="32427" xr:uid="{00000000-0005-0000-0000-00002A5B0000}"/>
    <cellStyle name="Normal 3 2 4 2 3 3" xfId="3920" xr:uid="{00000000-0005-0000-0000-00002B5B0000}"/>
    <cellStyle name="Normal 3 2 4 2 3 3 2" xfId="3921" xr:uid="{00000000-0005-0000-0000-00002C5B0000}"/>
    <cellStyle name="Normal 3 2 4 2 3 3 2 2" xfId="3922" xr:uid="{00000000-0005-0000-0000-00002D5B0000}"/>
    <cellStyle name="Normal 3 2 4 2 3 3 2 3" xfId="32430" xr:uid="{00000000-0005-0000-0000-00002E5B0000}"/>
    <cellStyle name="Normal 3 2 4 2 3 3 3" xfId="3923" xr:uid="{00000000-0005-0000-0000-00002F5B0000}"/>
    <cellStyle name="Normal 3 2 4 2 3 3 3 2" xfId="3924" xr:uid="{00000000-0005-0000-0000-0000305B0000}"/>
    <cellStyle name="Normal 3 2 4 2 3 3 4" xfId="3925" xr:uid="{00000000-0005-0000-0000-0000315B0000}"/>
    <cellStyle name="Normal 3 2 4 2 3 3 5" xfId="32429" xr:uid="{00000000-0005-0000-0000-0000325B0000}"/>
    <cellStyle name="Normal 3 2 4 2 3 4" xfId="3926" xr:uid="{00000000-0005-0000-0000-0000335B0000}"/>
    <cellStyle name="Normal 3 2 4 2 3 4 2" xfId="3927" xr:uid="{00000000-0005-0000-0000-0000345B0000}"/>
    <cellStyle name="Normal 3 2 4 2 3 4 2 2" xfId="32432" xr:uid="{00000000-0005-0000-0000-0000355B0000}"/>
    <cellStyle name="Normal 3 2 4 2 3 4 3" xfId="3928" xr:uid="{00000000-0005-0000-0000-0000365B0000}"/>
    <cellStyle name="Normal 3 2 4 2 3 4 4" xfId="32431" xr:uid="{00000000-0005-0000-0000-0000375B0000}"/>
    <cellStyle name="Normal 3 2 4 2 3 5" xfId="3929" xr:uid="{00000000-0005-0000-0000-0000385B0000}"/>
    <cellStyle name="Normal 3 2 4 2 3 5 2" xfId="3930" xr:uid="{00000000-0005-0000-0000-0000395B0000}"/>
    <cellStyle name="Normal 3 2 4 2 3 5 3" xfId="32433" xr:uid="{00000000-0005-0000-0000-00003A5B0000}"/>
    <cellStyle name="Normal 3 2 4 2 3 6" xfId="3931" xr:uid="{00000000-0005-0000-0000-00003B5B0000}"/>
    <cellStyle name="Normal 3 2 4 2 3 6 2" xfId="3932" xr:uid="{00000000-0005-0000-0000-00003C5B0000}"/>
    <cellStyle name="Normal 3 2 4 2 3 6 3" xfId="32434" xr:uid="{00000000-0005-0000-0000-00003D5B0000}"/>
    <cellStyle name="Normal 3 2 4 2 3 7" xfId="3933" xr:uid="{00000000-0005-0000-0000-00003E5B0000}"/>
    <cellStyle name="Normal 3 2 4 2 3 8" xfId="32426" xr:uid="{00000000-0005-0000-0000-00003F5B0000}"/>
    <cellStyle name="Normal 3 2 4 2 4" xfId="3934" xr:uid="{00000000-0005-0000-0000-0000405B0000}"/>
    <cellStyle name="Normal 3 2 4 2 4 2" xfId="3935" xr:uid="{00000000-0005-0000-0000-0000415B0000}"/>
    <cellStyle name="Normal 3 2 4 2 4 2 2" xfId="3936" xr:uid="{00000000-0005-0000-0000-0000425B0000}"/>
    <cellStyle name="Normal 3 2 4 2 4 2 2 2" xfId="3937" xr:uid="{00000000-0005-0000-0000-0000435B0000}"/>
    <cellStyle name="Normal 3 2 4 2 4 2 2 3" xfId="3938" xr:uid="{00000000-0005-0000-0000-0000445B0000}"/>
    <cellStyle name="Normal 3 2 4 2 4 2 2 4" xfId="32437" xr:uid="{00000000-0005-0000-0000-0000455B0000}"/>
    <cellStyle name="Normal 3 2 4 2 4 2 3" xfId="3939" xr:uid="{00000000-0005-0000-0000-0000465B0000}"/>
    <cellStyle name="Normal 3 2 4 2 4 2 3 2" xfId="3940" xr:uid="{00000000-0005-0000-0000-0000475B0000}"/>
    <cellStyle name="Normal 3 2 4 2 4 2 4" xfId="3941" xr:uid="{00000000-0005-0000-0000-0000485B0000}"/>
    <cellStyle name="Normal 3 2 4 2 4 2 4 2" xfId="3942" xr:uid="{00000000-0005-0000-0000-0000495B0000}"/>
    <cellStyle name="Normal 3 2 4 2 4 2 5" xfId="3943" xr:uid="{00000000-0005-0000-0000-00004A5B0000}"/>
    <cellStyle name="Normal 3 2 4 2 4 2 6" xfId="32436" xr:uid="{00000000-0005-0000-0000-00004B5B0000}"/>
    <cellStyle name="Normal 3 2 4 2 4 3" xfId="3944" xr:uid="{00000000-0005-0000-0000-00004C5B0000}"/>
    <cellStyle name="Normal 3 2 4 2 4 3 2" xfId="3945" xr:uid="{00000000-0005-0000-0000-00004D5B0000}"/>
    <cellStyle name="Normal 3 2 4 2 4 3 2 2" xfId="3946" xr:uid="{00000000-0005-0000-0000-00004E5B0000}"/>
    <cellStyle name="Normal 3 2 4 2 4 3 2 3" xfId="32439" xr:uid="{00000000-0005-0000-0000-00004F5B0000}"/>
    <cellStyle name="Normal 3 2 4 2 4 3 3" xfId="3947" xr:uid="{00000000-0005-0000-0000-0000505B0000}"/>
    <cellStyle name="Normal 3 2 4 2 4 3 3 2" xfId="3948" xr:uid="{00000000-0005-0000-0000-0000515B0000}"/>
    <cellStyle name="Normal 3 2 4 2 4 3 4" xfId="3949" xr:uid="{00000000-0005-0000-0000-0000525B0000}"/>
    <cellStyle name="Normal 3 2 4 2 4 3 5" xfId="32438" xr:uid="{00000000-0005-0000-0000-0000535B0000}"/>
    <cellStyle name="Normal 3 2 4 2 4 4" xfId="3950" xr:uid="{00000000-0005-0000-0000-0000545B0000}"/>
    <cellStyle name="Normal 3 2 4 2 4 4 2" xfId="3951" xr:uid="{00000000-0005-0000-0000-0000555B0000}"/>
    <cellStyle name="Normal 3 2 4 2 4 4 2 2" xfId="32441" xr:uid="{00000000-0005-0000-0000-0000565B0000}"/>
    <cellStyle name="Normal 3 2 4 2 4 4 3" xfId="3952" xr:uid="{00000000-0005-0000-0000-0000575B0000}"/>
    <cellStyle name="Normal 3 2 4 2 4 4 4" xfId="32440" xr:uid="{00000000-0005-0000-0000-0000585B0000}"/>
    <cellStyle name="Normal 3 2 4 2 4 5" xfId="3953" xr:uid="{00000000-0005-0000-0000-0000595B0000}"/>
    <cellStyle name="Normal 3 2 4 2 4 5 2" xfId="3954" xr:uid="{00000000-0005-0000-0000-00005A5B0000}"/>
    <cellStyle name="Normal 3 2 4 2 4 5 3" xfId="32442" xr:uid="{00000000-0005-0000-0000-00005B5B0000}"/>
    <cellStyle name="Normal 3 2 4 2 4 6" xfId="3955" xr:uid="{00000000-0005-0000-0000-00005C5B0000}"/>
    <cellStyle name="Normal 3 2 4 2 4 6 2" xfId="3956" xr:uid="{00000000-0005-0000-0000-00005D5B0000}"/>
    <cellStyle name="Normal 3 2 4 2 4 6 3" xfId="32443" xr:uid="{00000000-0005-0000-0000-00005E5B0000}"/>
    <cellStyle name="Normal 3 2 4 2 4 7" xfId="3957" xr:uid="{00000000-0005-0000-0000-00005F5B0000}"/>
    <cellStyle name="Normal 3 2 4 2 4 8" xfId="32435" xr:uid="{00000000-0005-0000-0000-0000605B0000}"/>
    <cellStyle name="Normal 3 2 4 2 5" xfId="3958" xr:uid="{00000000-0005-0000-0000-0000615B0000}"/>
    <cellStyle name="Normal 3 2 4 2 5 2" xfId="3959" xr:uid="{00000000-0005-0000-0000-0000625B0000}"/>
    <cellStyle name="Normal 3 2 4 2 5 2 2" xfId="3960" xr:uid="{00000000-0005-0000-0000-0000635B0000}"/>
    <cellStyle name="Normal 3 2 4 2 5 2 2 2" xfId="3961" xr:uid="{00000000-0005-0000-0000-0000645B0000}"/>
    <cellStyle name="Normal 3 2 4 2 5 2 2 3" xfId="32446" xr:uid="{00000000-0005-0000-0000-0000655B0000}"/>
    <cellStyle name="Normal 3 2 4 2 5 2 3" xfId="3962" xr:uid="{00000000-0005-0000-0000-0000665B0000}"/>
    <cellStyle name="Normal 3 2 4 2 5 2 3 2" xfId="3963" xr:uid="{00000000-0005-0000-0000-0000675B0000}"/>
    <cellStyle name="Normal 3 2 4 2 5 2 4" xfId="3964" xr:uid="{00000000-0005-0000-0000-0000685B0000}"/>
    <cellStyle name="Normal 3 2 4 2 5 2 5" xfId="32445" xr:uid="{00000000-0005-0000-0000-0000695B0000}"/>
    <cellStyle name="Normal 3 2 4 2 5 3" xfId="3965" xr:uid="{00000000-0005-0000-0000-00006A5B0000}"/>
    <cellStyle name="Normal 3 2 4 2 5 3 2" xfId="3966" xr:uid="{00000000-0005-0000-0000-00006B5B0000}"/>
    <cellStyle name="Normal 3 2 4 2 5 3 2 2" xfId="32448" xr:uid="{00000000-0005-0000-0000-00006C5B0000}"/>
    <cellStyle name="Normal 3 2 4 2 5 3 3" xfId="3967" xr:uid="{00000000-0005-0000-0000-00006D5B0000}"/>
    <cellStyle name="Normal 3 2 4 2 5 3 4" xfId="32447" xr:uid="{00000000-0005-0000-0000-00006E5B0000}"/>
    <cellStyle name="Normal 3 2 4 2 5 4" xfId="3968" xr:uid="{00000000-0005-0000-0000-00006F5B0000}"/>
    <cellStyle name="Normal 3 2 4 2 5 4 2" xfId="3969" xr:uid="{00000000-0005-0000-0000-0000705B0000}"/>
    <cellStyle name="Normal 3 2 4 2 5 4 2 2" xfId="32450" xr:uid="{00000000-0005-0000-0000-0000715B0000}"/>
    <cellStyle name="Normal 3 2 4 2 5 4 3" xfId="32449" xr:uid="{00000000-0005-0000-0000-0000725B0000}"/>
    <cellStyle name="Normal 3 2 4 2 5 5" xfId="3970" xr:uid="{00000000-0005-0000-0000-0000735B0000}"/>
    <cellStyle name="Normal 3 2 4 2 5 5 2" xfId="3971" xr:uid="{00000000-0005-0000-0000-0000745B0000}"/>
    <cellStyle name="Normal 3 2 4 2 5 5 3" xfId="32451" xr:uid="{00000000-0005-0000-0000-0000755B0000}"/>
    <cellStyle name="Normal 3 2 4 2 5 6" xfId="3972" xr:uid="{00000000-0005-0000-0000-0000765B0000}"/>
    <cellStyle name="Normal 3 2 4 2 5 6 2" xfId="32452" xr:uid="{00000000-0005-0000-0000-0000775B0000}"/>
    <cellStyle name="Normal 3 2 4 2 5 7" xfId="32444" xr:uid="{00000000-0005-0000-0000-0000785B0000}"/>
    <cellStyle name="Normal 3 2 4 2 6" xfId="3973" xr:uid="{00000000-0005-0000-0000-0000795B0000}"/>
    <cellStyle name="Normal 3 2 4 2 6 2" xfId="3974" xr:uid="{00000000-0005-0000-0000-00007A5B0000}"/>
    <cellStyle name="Normal 3 2 4 2 6 2 2" xfId="3975" xr:uid="{00000000-0005-0000-0000-00007B5B0000}"/>
    <cellStyle name="Normal 3 2 4 2 6 2 2 2" xfId="32455" xr:uid="{00000000-0005-0000-0000-00007C5B0000}"/>
    <cellStyle name="Normal 3 2 4 2 6 2 3" xfId="32454" xr:uid="{00000000-0005-0000-0000-00007D5B0000}"/>
    <cellStyle name="Normal 3 2 4 2 6 3" xfId="3976" xr:uid="{00000000-0005-0000-0000-00007E5B0000}"/>
    <cellStyle name="Normal 3 2 4 2 6 3 2" xfId="3977" xr:uid="{00000000-0005-0000-0000-00007F5B0000}"/>
    <cellStyle name="Normal 3 2 4 2 6 3 2 2" xfId="32457" xr:uid="{00000000-0005-0000-0000-0000805B0000}"/>
    <cellStyle name="Normal 3 2 4 2 6 3 3" xfId="32456" xr:uid="{00000000-0005-0000-0000-0000815B0000}"/>
    <cellStyle name="Normal 3 2 4 2 6 4" xfId="3978" xr:uid="{00000000-0005-0000-0000-0000825B0000}"/>
    <cellStyle name="Normal 3 2 4 2 6 4 2" xfId="32458" xr:uid="{00000000-0005-0000-0000-0000835B0000}"/>
    <cellStyle name="Normal 3 2 4 2 6 5" xfId="32459" xr:uid="{00000000-0005-0000-0000-0000845B0000}"/>
    <cellStyle name="Normal 3 2 4 2 6 6" xfId="32453" xr:uid="{00000000-0005-0000-0000-0000855B0000}"/>
    <cellStyle name="Normal 3 2 4 2 7" xfId="3979" xr:uid="{00000000-0005-0000-0000-0000865B0000}"/>
    <cellStyle name="Normal 3 2 4 2 7 2" xfId="3980" xr:uid="{00000000-0005-0000-0000-0000875B0000}"/>
    <cellStyle name="Normal 3 2 4 2 7 2 2" xfId="3981" xr:uid="{00000000-0005-0000-0000-0000885B0000}"/>
    <cellStyle name="Normal 3 2 4 2 7 2 3" xfId="32461" xr:uid="{00000000-0005-0000-0000-0000895B0000}"/>
    <cellStyle name="Normal 3 2 4 2 7 3" xfId="3982" xr:uid="{00000000-0005-0000-0000-00008A5B0000}"/>
    <cellStyle name="Normal 3 2 4 2 7 3 2" xfId="3983" xr:uid="{00000000-0005-0000-0000-00008B5B0000}"/>
    <cellStyle name="Normal 3 2 4 2 7 4" xfId="3984" xr:uid="{00000000-0005-0000-0000-00008C5B0000}"/>
    <cellStyle name="Normal 3 2 4 2 7 5" xfId="32460" xr:uid="{00000000-0005-0000-0000-00008D5B0000}"/>
    <cellStyle name="Normal 3 2 4 2 8" xfId="3985" xr:uid="{00000000-0005-0000-0000-00008E5B0000}"/>
    <cellStyle name="Normal 3 2 4 2 8 2" xfId="3986" xr:uid="{00000000-0005-0000-0000-00008F5B0000}"/>
    <cellStyle name="Normal 3 2 4 2 8 2 2" xfId="32463" xr:uid="{00000000-0005-0000-0000-0000905B0000}"/>
    <cellStyle name="Normal 3 2 4 2 8 3" xfId="3987" xr:uid="{00000000-0005-0000-0000-0000915B0000}"/>
    <cellStyle name="Normal 3 2 4 2 8 4" xfId="32462" xr:uid="{00000000-0005-0000-0000-0000925B0000}"/>
    <cellStyle name="Normal 3 2 4 2 9" xfId="3988" xr:uid="{00000000-0005-0000-0000-0000935B0000}"/>
    <cellStyle name="Normal 3 2 4 2 9 2" xfId="3989" xr:uid="{00000000-0005-0000-0000-0000945B0000}"/>
    <cellStyle name="Normal 3 2 4 2 9 2 2" xfId="32465" xr:uid="{00000000-0005-0000-0000-0000955B0000}"/>
    <cellStyle name="Normal 3 2 4 2 9 3" xfId="32464" xr:uid="{00000000-0005-0000-0000-0000965B0000}"/>
    <cellStyle name="Normal 3 2 4 3" xfId="3990" xr:uid="{00000000-0005-0000-0000-0000975B0000}"/>
    <cellStyle name="Normal 3 2 4 3 10" xfId="3991" xr:uid="{00000000-0005-0000-0000-0000985B0000}"/>
    <cellStyle name="Normal 3 2 4 3 10 2" xfId="32467" xr:uid="{00000000-0005-0000-0000-0000995B0000}"/>
    <cellStyle name="Normal 3 2 4 3 11" xfId="32466" xr:uid="{00000000-0005-0000-0000-00009A5B0000}"/>
    <cellStyle name="Normal 3 2 4 3 2" xfId="3992" xr:uid="{00000000-0005-0000-0000-00009B5B0000}"/>
    <cellStyle name="Normal 3 2 4 3 2 2" xfId="3993" xr:uid="{00000000-0005-0000-0000-00009C5B0000}"/>
    <cellStyle name="Normal 3 2 4 3 2 2 2" xfId="3994" xr:uid="{00000000-0005-0000-0000-00009D5B0000}"/>
    <cellStyle name="Normal 3 2 4 3 2 2 2 2" xfId="3995" xr:uid="{00000000-0005-0000-0000-00009E5B0000}"/>
    <cellStyle name="Normal 3 2 4 3 2 2 2 3" xfId="3996" xr:uid="{00000000-0005-0000-0000-00009F5B0000}"/>
    <cellStyle name="Normal 3 2 4 3 2 2 2 4" xfId="32470" xr:uid="{00000000-0005-0000-0000-0000A05B0000}"/>
    <cellStyle name="Normal 3 2 4 3 2 2 3" xfId="3997" xr:uid="{00000000-0005-0000-0000-0000A15B0000}"/>
    <cellStyle name="Normal 3 2 4 3 2 2 3 2" xfId="3998" xr:uid="{00000000-0005-0000-0000-0000A25B0000}"/>
    <cellStyle name="Normal 3 2 4 3 2 2 4" xfId="3999" xr:uid="{00000000-0005-0000-0000-0000A35B0000}"/>
    <cellStyle name="Normal 3 2 4 3 2 2 4 2" xfId="4000" xr:uid="{00000000-0005-0000-0000-0000A45B0000}"/>
    <cellStyle name="Normal 3 2 4 3 2 2 5" xfId="4001" xr:uid="{00000000-0005-0000-0000-0000A55B0000}"/>
    <cellStyle name="Normal 3 2 4 3 2 2 6" xfId="32469" xr:uid="{00000000-0005-0000-0000-0000A65B0000}"/>
    <cellStyle name="Normal 3 2 4 3 2 3" xfId="4002" xr:uid="{00000000-0005-0000-0000-0000A75B0000}"/>
    <cellStyle name="Normal 3 2 4 3 2 3 2" xfId="4003" xr:uid="{00000000-0005-0000-0000-0000A85B0000}"/>
    <cellStyle name="Normal 3 2 4 3 2 3 2 2" xfId="4004" xr:uid="{00000000-0005-0000-0000-0000A95B0000}"/>
    <cellStyle name="Normal 3 2 4 3 2 3 2 3" xfId="32472" xr:uid="{00000000-0005-0000-0000-0000AA5B0000}"/>
    <cellStyle name="Normal 3 2 4 3 2 3 3" xfId="4005" xr:uid="{00000000-0005-0000-0000-0000AB5B0000}"/>
    <cellStyle name="Normal 3 2 4 3 2 3 3 2" xfId="4006" xr:uid="{00000000-0005-0000-0000-0000AC5B0000}"/>
    <cellStyle name="Normal 3 2 4 3 2 3 4" xfId="4007" xr:uid="{00000000-0005-0000-0000-0000AD5B0000}"/>
    <cellStyle name="Normal 3 2 4 3 2 3 5" xfId="32471" xr:uid="{00000000-0005-0000-0000-0000AE5B0000}"/>
    <cellStyle name="Normal 3 2 4 3 2 4" xfId="4008" xr:uid="{00000000-0005-0000-0000-0000AF5B0000}"/>
    <cellStyle name="Normal 3 2 4 3 2 4 2" xfId="4009" xr:uid="{00000000-0005-0000-0000-0000B05B0000}"/>
    <cellStyle name="Normal 3 2 4 3 2 4 2 2" xfId="32474" xr:uid="{00000000-0005-0000-0000-0000B15B0000}"/>
    <cellStyle name="Normal 3 2 4 3 2 4 3" xfId="4010" xr:uid="{00000000-0005-0000-0000-0000B25B0000}"/>
    <cellStyle name="Normal 3 2 4 3 2 4 4" xfId="32473" xr:uid="{00000000-0005-0000-0000-0000B35B0000}"/>
    <cellStyle name="Normal 3 2 4 3 2 5" xfId="4011" xr:uid="{00000000-0005-0000-0000-0000B45B0000}"/>
    <cellStyle name="Normal 3 2 4 3 2 5 2" xfId="4012" xr:uid="{00000000-0005-0000-0000-0000B55B0000}"/>
    <cellStyle name="Normal 3 2 4 3 2 5 3" xfId="32475" xr:uid="{00000000-0005-0000-0000-0000B65B0000}"/>
    <cellStyle name="Normal 3 2 4 3 2 6" xfId="4013" xr:uid="{00000000-0005-0000-0000-0000B75B0000}"/>
    <cellStyle name="Normal 3 2 4 3 2 6 2" xfId="4014" xr:uid="{00000000-0005-0000-0000-0000B85B0000}"/>
    <cellStyle name="Normal 3 2 4 3 2 6 3" xfId="32476" xr:uid="{00000000-0005-0000-0000-0000B95B0000}"/>
    <cellStyle name="Normal 3 2 4 3 2 7" xfId="4015" xr:uid="{00000000-0005-0000-0000-0000BA5B0000}"/>
    <cellStyle name="Normal 3 2 4 3 2 8" xfId="32468" xr:uid="{00000000-0005-0000-0000-0000BB5B0000}"/>
    <cellStyle name="Normal 3 2 4 3 3" xfId="4016" xr:uid="{00000000-0005-0000-0000-0000BC5B0000}"/>
    <cellStyle name="Normal 3 2 4 3 3 2" xfId="4017" xr:uid="{00000000-0005-0000-0000-0000BD5B0000}"/>
    <cellStyle name="Normal 3 2 4 3 3 2 2" xfId="4018" xr:uid="{00000000-0005-0000-0000-0000BE5B0000}"/>
    <cellStyle name="Normal 3 2 4 3 3 2 2 2" xfId="4019" xr:uid="{00000000-0005-0000-0000-0000BF5B0000}"/>
    <cellStyle name="Normal 3 2 4 3 3 2 2 3" xfId="4020" xr:uid="{00000000-0005-0000-0000-0000C05B0000}"/>
    <cellStyle name="Normal 3 2 4 3 3 2 2 4" xfId="32479" xr:uid="{00000000-0005-0000-0000-0000C15B0000}"/>
    <cellStyle name="Normal 3 2 4 3 3 2 3" xfId="4021" xr:uid="{00000000-0005-0000-0000-0000C25B0000}"/>
    <cellStyle name="Normal 3 2 4 3 3 2 3 2" xfId="4022" xr:uid="{00000000-0005-0000-0000-0000C35B0000}"/>
    <cellStyle name="Normal 3 2 4 3 3 2 4" xfId="4023" xr:uid="{00000000-0005-0000-0000-0000C45B0000}"/>
    <cellStyle name="Normal 3 2 4 3 3 2 4 2" xfId="4024" xr:uid="{00000000-0005-0000-0000-0000C55B0000}"/>
    <cellStyle name="Normal 3 2 4 3 3 2 5" xfId="4025" xr:uid="{00000000-0005-0000-0000-0000C65B0000}"/>
    <cellStyle name="Normal 3 2 4 3 3 2 6" xfId="32478" xr:uid="{00000000-0005-0000-0000-0000C75B0000}"/>
    <cellStyle name="Normal 3 2 4 3 3 3" xfId="4026" xr:uid="{00000000-0005-0000-0000-0000C85B0000}"/>
    <cellStyle name="Normal 3 2 4 3 3 3 2" xfId="4027" xr:uid="{00000000-0005-0000-0000-0000C95B0000}"/>
    <cellStyle name="Normal 3 2 4 3 3 3 2 2" xfId="4028" xr:uid="{00000000-0005-0000-0000-0000CA5B0000}"/>
    <cellStyle name="Normal 3 2 4 3 3 3 2 3" xfId="32481" xr:uid="{00000000-0005-0000-0000-0000CB5B0000}"/>
    <cellStyle name="Normal 3 2 4 3 3 3 3" xfId="4029" xr:uid="{00000000-0005-0000-0000-0000CC5B0000}"/>
    <cellStyle name="Normal 3 2 4 3 3 3 3 2" xfId="4030" xr:uid="{00000000-0005-0000-0000-0000CD5B0000}"/>
    <cellStyle name="Normal 3 2 4 3 3 3 4" xfId="4031" xr:uid="{00000000-0005-0000-0000-0000CE5B0000}"/>
    <cellStyle name="Normal 3 2 4 3 3 3 5" xfId="32480" xr:uid="{00000000-0005-0000-0000-0000CF5B0000}"/>
    <cellStyle name="Normal 3 2 4 3 3 4" xfId="4032" xr:uid="{00000000-0005-0000-0000-0000D05B0000}"/>
    <cellStyle name="Normal 3 2 4 3 3 4 2" xfId="4033" xr:uid="{00000000-0005-0000-0000-0000D15B0000}"/>
    <cellStyle name="Normal 3 2 4 3 3 4 2 2" xfId="32483" xr:uid="{00000000-0005-0000-0000-0000D25B0000}"/>
    <cellStyle name="Normal 3 2 4 3 3 4 3" xfId="4034" xr:uid="{00000000-0005-0000-0000-0000D35B0000}"/>
    <cellStyle name="Normal 3 2 4 3 3 4 4" xfId="32482" xr:uid="{00000000-0005-0000-0000-0000D45B0000}"/>
    <cellStyle name="Normal 3 2 4 3 3 5" xfId="4035" xr:uid="{00000000-0005-0000-0000-0000D55B0000}"/>
    <cellStyle name="Normal 3 2 4 3 3 5 2" xfId="4036" xr:uid="{00000000-0005-0000-0000-0000D65B0000}"/>
    <cellStyle name="Normal 3 2 4 3 3 5 3" xfId="32484" xr:uid="{00000000-0005-0000-0000-0000D75B0000}"/>
    <cellStyle name="Normal 3 2 4 3 3 6" xfId="4037" xr:uid="{00000000-0005-0000-0000-0000D85B0000}"/>
    <cellStyle name="Normal 3 2 4 3 3 6 2" xfId="4038" xr:uid="{00000000-0005-0000-0000-0000D95B0000}"/>
    <cellStyle name="Normal 3 2 4 3 3 6 3" xfId="32485" xr:uid="{00000000-0005-0000-0000-0000DA5B0000}"/>
    <cellStyle name="Normal 3 2 4 3 3 7" xfId="4039" xr:uid="{00000000-0005-0000-0000-0000DB5B0000}"/>
    <cellStyle name="Normal 3 2 4 3 3 8" xfId="32477" xr:uid="{00000000-0005-0000-0000-0000DC5B0000}"/>
    <cellStyle name="Normal 3 2 4 3 4" xfId="4040" xr:uid="{00000000-0005-0000-0000-0000DD5B0000}"/>
    <cellStyle name="Normal 3 2 4 3 4 2" xfId="4041" xr:uid="{00000000-0005-0000-0000-0000DE5B0000}"/>
    <cellStyle name="Normal 3 2 4 3 4 2 2" xfId="4042" xr:uid="{00000000-0005-0000-0000-0000DF5B0000}"/>
    <cellStyle name="Normal 3 2 4 3 4 2 2 2" xfId="4043" xr:uid="{00000000-0005-0000-0000-0000E05B0000}"/>
    <cellStyle name="Normal 3 2 4 3 4 2 2 3" xfId="32488" xr:uid="{00000000-0005-0000-0000-0000E15B0000}"/>
    <cellStyle name="Normal 3 2 4 3 4 2 3" xfId="4044" xr:uid="{00000000-0005-0000-0000-0000E25B0000}"/>
    <cellStyle name="Normal 3 2 4 3 4 2 3 2" xfId="4045" xr:uid="{00000000-0005-0000-0000-0000E35B0000}"/>
    <cellStyle name="Normal 3 2 4 3 4 2 4" xfId="4046" xr:uid="{00000000-0005-0000-0000-0000E45B0000}"/>
    <cellStyle name="Normal 3 2 4 3 4 2 5" xfId="32487" xr:uid="{00000000-0005-0000-0000-0000E55B0000}"/>
    <cellStyle name="Normal 3 2 4 3 4 3" xfId="4047" xr:uid="{00000000-0005-0000-0000-0000E65B0000}"/>
    <cellStyle name="Normal 3 2 4 3 4 3 2" xfId="4048" xr:uid="{00000000-0005-0000-0000-0000E75B0000}"/>
    <cellStyle name="Normal 3 2 4 3 4 3 2 2" xfId="32490" xr:uid="{00000000-0005-0000-0000-0000E85B0000}"/>
    <cellStyle name="Normal 3 2 4 3 4 3 3" xfId="4049" xr:uid="{00000000-0005-0000-0000-0000E95B0000}"/>
    <cellStyle name="Normal 3 2 4 3 4 3 4" xfId="32489" xr:uid="{00000000-0005-0000-0000-0000EA5B0000}"/>
    <cellStyle name="Normal 3 2 4 3 4 4" xfId="4050" xr:uid="{00000000-0005-0000-0000-0000EB5B0000}"/>
    <cellStyle name="Normal 3 2 4 3 4 4 2" xfId="4051" xr:uid="{00000000-0005-0000-0000-0000EC5B0000}"/>
    <cellStyle name="Normal 3 2 4 3 4 4 2 2" xfId="32492" xr:uid="{00000000-0005-0000-0000-0000ED5B0000}"/>
    <cellStyle name="Normal 3 2 4 3 4 4 3" xfId="32491" xr:uid="{00000000-0005-0000-0000-0000EE5B0000}"/>
    <cellStyle name="Normal 3 2 4 3 4 5" xfId="4052" xr:uid="{00000000-0005-0000-0000-0000EF5B0000}"/>
    <cellStyle name="Normal 3 2 4 3 4 5 2" xfId="4053" xr:uid="{00000000-0005-0000-0000-0000F05B0000}"/>
    <cellStyle name="Normal 3 2 4 3 4 5 3" xfId="32493" xr:uid="{00000000-0005-0000-0000-0000F15B0000}"/>
    <cellStyle name="Normal 3 2 4 3 4 6" xfId="4054" xr:uid="{00000000-0005-0000-0000-0000F25B0000}"/>
    <cellStyle name="Normal 3 2 4 3 4 6 2" xfId="32494" xr:uid="{00000000-0005-0000-0000-0000F35B0000}"/>
    <cellStyle name="Normal 3 2 4 3 4 7" xfId="32486" xr:uid="{00000000-0005-0000-0000-0000F45B0000}"/>
    <cellStyle name="Normal 3 2 4 3 5" xfId="4055" xr:uid="{00000000-0005-0000-0000-0000F55B0000}"/>
    <cellStyle name="Normal 3 2 4 3 5 2" xfId="4056" xr:uid="{00000000-0005-0000-0000-0000F65B0000}"/>
    <cellStyle name="Normal 3 2 4 3 5 2 2" xfId="4057" xr:uid="{00000000-0005-0000-0000-0000F75B0000}"/>
    <cellStyle name="Normal 3 2 4 3 5 2 2 2" xfId="32497" xr:uid="{00000000-0005-0000-0000-0000F85B0000}"/>
    <cellStyle name="Normal 3 2 4 3 5 2 3" xfId="32496" xr:uid="{00000000-0005-0000-0000-0000F95B0000}"/>
    <cellStyle name="Normal 3 2 4 3 5 3" xfId="4058" xr:uid="{00000000-0005-0000-0000-0000FA5B0000}"/>
    <cellStyle name="Normal 3 2 4 3 5 3 2" xfId="4059" xr:uid="{00000000-0005-0000-0000-0000FB5B0000}"/>
    <cellStyle name="Normal 3 2 4 3 5 3 2 2" xfId="32499" xr:uid="{00000000-0005-0000-0000-0000FC5B0000}"/>
    <cellStyle name="Normal 3 2 4 3 5 3 3" xfId="32498" xr:uid="{00000000-0005-0000-0000-0000FD5B0000}"/>
    <cellStyle name="Normal 3 2 4 3 5 4" xfId="4060" xr:uid="{00000000-0005-0000-0000-0000FE5B0000}"/>
    <cellStyle name="Normal 3 2 4 3 5 4 2" xfId="32500" xr:uid="{00000000-0005-0000-0000-0000FF5B0000}"/>
    <cellStyle name="Normal 3 2 4 3 5 5" xfId="32501" xr:uid="{00000000-0005-0000-0000-0000005C0000}"/>
    <cellStyle name="Normal 3 2 4 3 5 6" xfId="32495" xr:uid="{00000000-0005-0000-0000-0000015C0000}"/>
    <cellStyle name="Normal 3 2 4 3 6" xfId="4061" xr:uid="{00000000-0005-0000-0000-0000025C0000}"/>
    <cellStyle name="Normal 3 2 4 3 6 2" xfId="4062" xr:uid="{00000000-0005-0000-0000-0000035C0000}"/>
    <cellStyle name="Normal 3 2 4 3 6 2 2" xfId="4063" xr:uid="{00000000-0005-0000-0000-0000045C0000}"/>
    <cellStyle name="Normal 3 2 4 3 6 2 3" xfId="32503" xr:uid="{00000000-0005-0000-0000-0000055C0000}"/>
    <cellStyle name="Normal 3 2 4 3 6 3" xfId="4064" xr:uid="{00000000-0005-0000-0000-0000065C0000}"/>
    <cellStyle name="Normal 3 2 4 3 6 3 2" xfId="4065" xr:uid="{00000000-0005-0000-0000-0000075C0000}"/>
    <cellStyle name="Normal 3 2 4 3 6 4" xfId="4066" xr:uid="{00000000-0005-0000-0000-0000085C0000}"/>
    <cellStyle name="Normal 3 2 4 3 6 5" xfId="32502" xr:uid="{00000000-0005-0000-0000-0000095C0000}"/>
    <cellStyle name="Normal 3 2 4 3 7" xfId="4067" xr:uid="{00000000-0005-0000-0000-00000A5C0000}"/>
    <cellStyle name="Normal 3 2 4 3 7 2" xfId="4068" xr:uid="{00000000-0005-0000-0000-00000B5C0000}"/>
    <cellStyle name="Normal 3 2 4 3 7 2 2" xfId="32505" xr:uid="{00000000-0005-0000-0000-00000C5C0000}"/>
    <cellStyle name="Normal 3 2 4 3 7 3" xfId="4069" xr:uid="{00000000-0005-0000-0000-00000D5C0000}"/>
    <cellStyle name="Normal 3 2 4 3 7 4" xfId="32504" xr:uid="{00000000-0005-0000-0000-00000E5C0000}"/>
    <cellStyle name="Normal 3 2 4 3 8" xfId="4070" xr:uid="{00000000-0005-0000-0000-00000F5C0000}"/>
    <cellStyle name="Normal 3 2 4 3 8 2" xfId="4071" xr:uid="{00000000-0005-0000-0000-0000105C0000}"/>
    <cellStyle name="Normal 3 2 4 3 8 2 2" xfId="32507" xr:uid="{00000000-0005-0000-0000-0000115C0000}"/>
    <cellStyle name="Normal 3 2 4 3 8 3" xfId="32506" xr:uid="{00000000-0005-0000-0000-0000125C0000}"/>
    <cellStyle name="Normal 3 2 4 3 9" xfId="4072" xr:uid="{00000000-0005-0000-0000-0000135C0000}"/>
    <cellStyle name="Normal 3 2 4 3 9 2" xfId="4073" xr:uid="{00000000-0005-0000-0000-0000145C0000}"/>
    <cellStyle name="Normal 3 2 4 3 9 3" xfId="32508" xr:uid="{00000000-0005-0000-0000-0000155C0000}"/>
    <cellStyle name="Normal 3 2 4 4" xfId="4074" xr:uid="{00000000-0005-0000-0000-0000165C0000}"/>
    <cellStyle name="Normal 3 2 4 4 10" xfId="32510" xr:uid="{00000000-0005-0000-0000-0000175C0000}"/>
    <cellStyle name="Normal 3 2 4 4 11" xfId="32509" xr:uid="{00000000-0005-0000-0000-0000185C0000}"/>
    <cellStyle name="Normal 3 2 4 4 2" xfId="4075" xr:uid="{00000000-0005-0000-0000-0000195C0000}"/>
    <cellStyle name="Normal 3 2 4 4 2 2" xfId="4076" xr:uid="{00000000-0005-0000-0000-00001A5C0000}"/>
    <cellStyle name="Normal 3 2 4 4 2 2 2" xfId="4077" xr:uid="{00000000-0005-0000-0000-00001B5C0000}"/>
    <cellStyle name="Normal 3 2 4 4 2 2 2 2" xfId="4078" xr:uid="{00000000-0005-0000-0000-00001C5C0000}"/>
    <cellStyle name="Normal 3 2 4 4 2 2 2 3" xfId="4079" xr:uid="{00000000-0005-0000-0000-00001D5C0000}"/>
    <cellStyle name="Normal 3 2 4 4 2 2 2 4" xfId="32513" xr:uid="{00000000-0005-0000-0000-00001E5C0000}"/>
    <cellStyle name="Normal 3 2 4 4 2 2 3" xfId="4080" xr:uid="{00000000-0005-0000-0000-00001F5C0000}"/>
    <cellStyle name="Normal 3 2 4 4 2 2 3 2" xfId="4081" xr:uid="{00000000-0005-0000-0000-0000205C0000}"/>
    <cellStyle name="Normal 3 2 4 4 2 2 4" xfId="4082" xr:uid="{00000000-0005-0000-0000-0000215C0000}"/>
    <cellStyle name="Normal 3 2 4 4 2 2 4 2" xfId="4083" xr:uid="{00000000-0005-0000-0000-0000225C0000}"/>
    <cellStyle name="Normal 3 2 4 4 2 2 5" xfId="4084" xr:uid="{00000000-0005-0000-0000-0000235C0000}"/>
    <cellStyle name="Normal 3 2 4 4 2 2 6" xfId="32512" xr:uid="{00000000-0005-0000-0000-0000245C0000}"/>
    <cellStyle name="Normal 3 2 4 4 2 3" xfId="4085" xr:uid="{00000000-0005-0000-0000-0000255C0000}"/>
    <cellStyle name="Normal 3 2 4 4 2 3 2" xfId="4086" xr:uid="{00000000-0005-0000-0000-0000265C0000}"/>
    <cellStyle name="Normal 3 2 4 4 2 3 2 2" xfId="4087" xr:uid="{00000000-0005-0000-0000-0000275C0000}"/>
    <cellStyle name="Normal 3 2 4 4 2 3 2 3" xfId="32515" xr:uid="{00000000-0005-0000-0000-0000285C0000}"/>
    <cellStyle name="Normal 3 2 4 4 2 3 3" xfId="4088" xr:uid="{00000000-0005-0000-0000-0000295C0000}"/>
    <cellStyle name="Normal 3 2 4 4 2 3 3 2" xfId="4089" xr:uid="{00000000-0005-0000-0000-00002A5C0000}"/>
    <cellStyle name="Normal 3 2 4 4 2 3 4" xfId="4090" xr:uid="{00000000-0005-0000-0000-00002B5C0000}"/>
    <cellStyle name="Normal 3 2 4 4 2 3 5" xfId="32514" xr:uid="{00000000-0005-0000-0000-00002C5C0000}"/>
    <cellStyle name="Normal 3 2 4 4 2 4" xfId="4091" xr:uid="{00000000-0005-0000-0000-00002D5C0000}"/>
    <cellStyle name="Normal 3 2 4 4 2 4 2" xfId="4092" xr:uid="{00000000-0005-0000-0000-00002E5C0000}"/>
    <cellStyle name="Normal 3 2 4 4 2 4 2 2" xfId="32517" xr:uid="{00000000-0005-0000-0000-00002F5C0000}"/>
    <cellStyle name="Normal 3 2 4 4 2 4 3" xfId="4093" xr:uid="{00000000-0005-0000-0000-0000305C0000}"/>
    <cellStyle name="Normal 3 2 4 4 2 4 4" xfId="32516" xr:uid="{00000000-0005-0000-0000-0000315C0000}"/>
    <cellStyle name="Normal 3 2 4 4 2 5" xfId="4094" xr:uid="{00000000-0005-0000-0000-0000325C0000}"/>
    <cellStyle name="Normal 3 2 4 4 2 5 2" xfId="4095" xr:uid="{00000000-0005-0000-0000-0000335C0000}"/>
    <cellStyle name="Normal 3 2 4 4 2 5 3" xfId="32518" xr:uid="{00000000-0005-0000-0000-0000345C0000}"/>
    <cellStyle name="Normal 3 2 4 4 2 6" xfId="4096" xr:uid="{00000000-0005-0000-0000-0000355C0000}"/>
    <cellStyle name="Normal 3 2 4 4 2 6 2" xfId="4097" xr:uid="{00000000-0005-0000-0000-0000365C0000}"/>
    <cellStyle name="Normal 3 2 4 4 2 6 3" xfId="32519" xr:uid="{00000000-0005-0000-0000-0000375C0000}"/>
    <cellStyle name="Normal 3 2 4 4 2 7" xfId="4098" xr:uid="{00000000-0005-0000-0000-0000385C0000}"/>
    <cellStyle name="Normal 3 2 4 4 2 8" xfId="32511" xr:uid="{00000000-0005-0000-0000-0000395C0000}"/>
    <cellStyle name="Normal 3 2 4 4 3" xfId="4099" xr:uid="{00000000-0005-0000-0000-00003A5C0000}"/>
    <cellStyle name="Normal 3 2 4 4 3 2" xfId="4100" xr:uid="{00000000-0005-0000-0000-00003B5C0000}"/>
    <cellStyle name="Normal 3 2 4 4 3 2 2" xfId="4101" xr:uid="{00000000-0005-0000-0000-00003C5C0000}"/>
    <cellStyle name="Normal 3 2 4 4 3 2 2 2" xfId="32522" xr:uid="{00000000-0005-0000-0000-00003D5C0000}"/>
    <cellStyle name="Normal 3 2 4 4 3 2 3" xfId="4102" xr:uid="{00000000-0005-0000-0000-00003E5C0000}"/>
    <cellStyle name="Normal 3 2 4 4 3 2 4" xfId="32521" xr:uid="{00000000-0005-0000-0000-00003F5C0000}"/>
    <cellStyle name="Normal 3 2 4 4 3 3" xfId="4103" xr:uid="{00000000-0005-0000-0000-0000405C0000}"/>
    <cellStyle name="Normal 3 2 4 4 3 3 2" xfId="4104" xr:uid="{00000000-0005-0000-0000-0000415C0000}"/>
    <cellStyle name="Normal 3 2 4 4 3 3 2 2" xfId="32524" xr:uid="{00000000-0005-0000-0000-0000425C0000}"/>
    <cellStyle name="Normal 3 2 4 4 3 3 3" xfId="32523" xr:uid="{00000000-0005-0000-0000-0000435C0000}"/>
    <cellStyle name="Normal 3 2 4 4 3 4" xfId="4105" xr:uid="{00000000-0005-0000-0000-0000445C0000}"/>
    <cellStyle name="Normal 3 2 4 4 3 4 2" xfId="4106" xr:uid="{00000000-0005-0000-0000-0000455C0000}"/>
    <cellStyle name="Normal 3 2 4 4 3 4 2 2" xfId="32526" xr:uid="{00000000-0005-0000-0000-0000465C0000}"/>
    <cellStyle name="Normal 3 2 4 4 3 4 3" xfId="32525" xr:uid="{00000000-0005-0000-0000-0000475C0000}"/>
    <cellStyle name="Normal 3 2 4 4 3 5" xfId="4107" xr:uid="{00000000-0005-0000-0000-0000485C0000}"/>
    <cellStyle name="Normal 3 2 4 4 3 5 2" xfId="32527" xr:uid="{00000000-0005-0000-0000-0000495C0000}"/>
    <cellStyle name="Normal 3 2 4 4 3 6" xfId="32528" xr:uid="{00000000-0005-0000-0000-00004A5C0000}"/>
    <cellStyle name="Normal 3 2 4 4 3 7" xfId="32520" xr:uid="{00000000-0005-0000-0000-00004B5C0000}"/>
    <cellStyle name="Normal 3 2 4 4 4" xfId="4108" xr:uid="{00000000-0005-0000-0000-00004C5C0000}"/>
    <cellStyle name="Normal 3 2 4 4 4 2" xfId="4109" xr:uid="{00000000-0005-0000-0000-00004D5C0000}"/>
    <cellStyle name="Normal 3 2 4 4 4 2 2" xfId="4110" xr:uid="{00000000-0005-0000-0000-00004E5C0000}"/>
    <cellStyle name="Normal 3 2 4 4 4 2 2 2" xfId="32531" xr:uid="{00000000-0005-0000-0000-00004F5C0000}"/>
    <cellStyle name="Normal 3 2 4 4 4 2 3" xfId="32530" xr:uid="{00000000-0005-0000-0000-0000505C0000}"/>
    <cellStyle name="Normal 3 2 4 4 4 3" xfId="4111" xr:uid="{00000000-0005-0000-0000-0000515C0000}"/>
    <cellStyle name="Normal 3 2 4 4 4 3 2" xfId="4112" xr:uid="{00000000-0005-0000-0000-0000525C0000}"/>
    <cellStyle name="Normal 3 2 4 4 4 3 2 2" xfId="32533" xr:uid="{00000000-0005-0000-0000-0000535C0000}"/>
    <cellStyle name="Normal 3 2 4 4 4 3 3" xfId="32532" xr:uid="{00000000-0005-0000-0000-0000545C0000}"/>
    <cellStyle name="Normal 3 2 4 4 4 4" xfId="4113" xr:uid="{00000000-0005-0000-0000-0000555C0000}"/>
    <cellStyle name="Normal 3 2 4 4 4 4 2" xfId="32535" xr:uid="{00000000-0005-0000-0000-0000565C0000}"/>
    <cellStyle name="Normal 3 2 4 4 4 4 3" xfId="32534" xr:uid="{00000000-0005-0000-0000-0000575C0000}"/>
    <cellStyle name="Normal 3 2 4 4 4 5" xfId="32536" xr:uid="{00000000-0005-0000-0000-0000585C0000}"/>
    <cellStyle name="Normal 3 2 4 4 4 6" xfId="32537" xr:uid="{00000000-0005-0000-0000-0000595C0000}"/>
    <cellStyle name="Normal 3 2 4 4 4 7" xfId="32529" xr:uid="{00000000-0005-0000-0000-00005A5C0000}"/>
    <cellStyle name="Normal 3 2 4 4 5" xfId="4114" xr:uid="{00000000-0005-0000-0000-00005B5C0000}"/>
    <cellStyle name="Normal 3 2 4 4 5 2" xfId="4115" xr:uid="{00000000-0005-0000-0000-00005C5C0000}"/>
    <cellStyle name="Normal 3 2 4 4 5 2 2" xfId="32540" xr:uid="{00000000-0005-0000-0000-00005D5C0000}"/>
    <cellStyle name="Normal 3 2 4 4 5 2 3" xfId="32539" xr:uid="{00000000-0005-0000-0000-00005E5C0000}"/>
    <cellStyle name="Normal 3 2 4 4 5 3" xfId="4116" xr:uid="{00000000-0005-0000-0000-00005F5C0000}"/>
    <cellStyle name="Normal 3 2 4 4 5 3 2" xfId="32542" xr:uid="{00000000-0005-0000-0000-0000605C0000}"/>
    <cellStyle name="Normal 3 2 4 4 5 3 3" xfId="32541" xr:uid="{00000000-0005-0000-0000-0000615C0000}"/>
    <cellStyle name="Normal 3 2 4 4 5 4" xfId="32543" xr:uid="{00000000-0005-0000-0000-0000625C0000}"/>
    <cellStyle name="Normal 3 2 4 4 5 5" xfId="32544" xr:uid="{00000000-0005-0000-0000-0000635C0000}"/>
    <cellStyle name="Normal 3 2 4 4 5 6" xfId="32538" xr:uid="{00000000-0005-0000-0000-0000645C0000}"/>
    <cellStyle name="Normal 3 2 4 4 6" xfId="4117" xr:uid="{00000000-0005-0000-0000-0000655C0000}"/>
    <cellStyle name="Normal 3 2 4 4 6 2" xfId="4118" xr:uid="{00000000-0005-0000-0000-0000665C0000}"/>
    <cellStyle name="Normal 3 2 4 4 6 2 2" xfId="32546" xr:uid="{00000000-0005-0000-0000-0000675C0000}"/>
    <cellStyle name="Normal 3 2 4 4 6 3" xfId="32545" xr:uid="{00000000-0005-0000-0000-0000685C0000}"/>
    <cellStyle name="Normal 3 2 4 4 7" xfId="4119" xr:uid="{00000000-0005-0000-0000-0000695C0000}"/>
    <cellStyle name="Normal 3 2 4 4 7 2" xfId="4120" xr:uid="{00000000-0005-0000-0000-00006A5C0000}"/>
    <cellStyle name="Normal 3 2 4 4 7 2 2" xfId="32548" xr:uid="{00000000-0005-0000-0000-00006B5C0000}"/>
    <cellStyle name="Normal 3 2 4 4 7 3" xfId="32547" xr:uid="{00000000-0005-0000-0000-00006C5C0000}"/>
    <cellStyle name="Normal 3 2 4 4 8" xfId="4121" xr:uid="{00000000-0005-0000-0000-00006D5C0000}"/>
    <cellStyle name="Normal 3 2 4 4 8 2" xfId="32550" xr:uid="{00000000-0005-0000-0000-00006E5C0000}"/>
    <cellStyle name="Normal 3 2 4 4 8 3" xfId="32549" xr:uid="{00000000-0005-0000-0000-00006F5C0000}"/>
    <cellStyle name="Normal 3 2 4 4 9" xfId="32551" xr:uid="{00000000-0005-0000-0000-0000705C0000}"/>
    <cellStyle name="Normal 3 2 4 5" xfId="4122" xr:uid="{00000000-0005-0000-0000-0000715C0000}"/>
    <cellStyle name="Normal 3 2 4 5 2" xfId="4123" xr:uid="{00000000-0005-0000-0000-0000725C0000}"/>
    <cellStyle name="Normal 3 2 4 5 2 2" xfId="4124" xr:uid="{00000000-0005-0000-0000-0000735C0000}"/>
    <cellStyle name="Normal 3 2 4 5 2 2 2" xfId="4125" xr:uid="{00000000-0005-0000-0000-0000745C0000}"/>
    <cellStyle name="Normal 3 2 4 5 2 2 3" xfId="4126" xr:uid="{00000000-0005-0000-0000-0000755C0000}"/>
    <cellStyle name="Normal 3 2 4 5 2 2 4" xfId="32554" xr:uid="{00000000-0005-0000-0000-0000765C0000}"/>
    <cellStyle name="Normal 3 2 4 5 2 3" xfId="4127" xr:uid="{00000000-0005-0000-0000-0000775C0000}"/>
    <cellStyle name="Normal 3 2 4 5 2 3 2" xfId="4128" xr:uid="{00000000-0005-0000-0000-0000785C0000}"/>
    <cellStyle name="Normal 3 2 4 5 2 4" xfId="4129" xr:uid="{00000000-0005-0000-0000-0000795C0000}"/>
    <cellStyle name="Normal 3 2 4 5 2 4 2" xfId="4130" xr:uid="{00000000-0005-0000-0000-00007A5C0000}"/>
    <cellStyle name="Normal 3 2 4 5 2 5" xfId="4131" xr:uid="{00000000-0005-0000-0000-00007B5C0000}"/>
    <cellStyle name="Normal 3 2 4 5 2 6" xfId="32553" xr:uid="{00000000-0005-0000-0000-00007C5C0000}"/>
    <cellStyle name="Normal 3 2 4 5 3" xfId="4132" xr:uid="{00000000-0005-0000-0000-00007D5C0000}"/>
    <cellStyle name="Normal 3 2 4 5 3 2" xfId="4133" xr:uid="{00000000-0005-0000-0000-00007E5C0000}"/>
    <cellStyle name="Normal 3 2 4 5 3 2 2" xfId="4134" xr:uid="{00000000-0005-0000-0000-00007F5C0000}"/>
    <cellStyle name="Normal 3 2 4 5 3 2 3" xfId="32556" xr:uid="{00000000-0005-0000-0000-0000805C0000}"/>
    <cellStyle name="Normal 3 2 4 5 3 3" xfId="4135" xr:uid="{00000000-0005-0000-0000-0000815C0000}"/>
    <cellStyle name="Normal 3 2 4 5 3 3 2" xfId="4136" xr:uid="{00000000-0005-0000-0000-0000825C0000}"/>
    <cellStyle name="Normal 3 2 4 5 3 4" xfId="4137" xr:uid="{00000000-0005-0000-0000-0000835C0000}"/>
    <cellStyle name="Normal 3 2 4 5 3 5" xfId="32555" xr:uid="{00000000-0005-0000-0000-0000845C0000}"/>
    <cellStyle name="Normal 3 2 4 5 4" xfId="4138" xr:uid="{00000000-0005-0000-0000-0000855C0000}"/>
    <cellStyle name="Normal 3 2 4 5 4 2" xfId="4139" xr:uid="{00000000-0005-0000-0000-0000865C0000}"/>
    <cellStyle name="Normal 3 2 4 5 4 2 2" xfId="32558" xr:uid="{00000000-0005-0000-0000-0000875C0000}"/>
    <cellStyle name="Normal 3 2 4 5 4 3" xfId="4140" xr:uid="{00000000-0005-0000-0000-0000885C0000}"/>
    <cellStyle name="Normal 3 2 4 5 4 4" xfId="32557" xr:uid="{00000000-0005-0000-0000-0000895C0000}"/>
    <cellStyle name="Normal 3 2 4 5 5" xfId="4141" xr:uid="{00000000-0005-0000-0000-00008A5C0000}"/>
    <cellStyle name="Normal 3 2 4 5 5 2" xfId="4142" xr:uid="{00000000-0005-0000-0000-00008B5C0000}"/>
    <cellStyle name="Normal 3 2 4 5 5 3" xfId="32559" xr:uid="{00000000-0005-0000-0000-00008C5C0000}"/>
    <cellStyle name="Normal 3 2 4 5 6" xfId="4143" xr:uid="{00000000-0005-0000-0000-00008D5C0000}"/>
    <cellStyle name="Normal 3 2 4 5 6 2" xfId="4144" xr:uid="{00000000-0005-0000-0000-00008E5C0000}"/>
    <cellStyle name="Normal 3 2 4 5 6 3" xfId="32560" xr:uid="{00000000-0005-0000-0000-00008F5C0000}"/>
    <cellStyle name="Normal 3 2 4 5 7" xfId="4145" xr:uid="{00000000-0005-0000-0000-0000905C0000}"/>
    <cellStyle name="Normal 3 2 4 5 8" xfId="32552" xr:uid="{00000000-0005-0000-0000-0000915C0000}"/>
    <cellStyle name="Normal 3 2 4 6" xfId="4146" xr:uid="{00000000-0005-0000-0000-0000925C0000}"/>
    <cellStyle name="Normal 3 2 4 6 2" xfId="4147" xr:uid="{00000000-0005-0000-0000-0000935C0000}"/>
    <cellStyle name="Normal 3 2 4 6 2 2" xfId="4148" xr:uid="{00000000-0005-0000-0000-0000945C0000}"/>
    <cellStyle name="Normal 3 2 4 6 2 2 2" xfId="4149" xr:uid="{00000000-0005-0000-0000-0000955C0000}"/>
    <cellStyle name="Normal 3 2 4 6 2 2 3" xfId="4150" xr:uid="{00000000-0005-0000-0000-0000965C0000}"/>
    <cellStyle name="Normal 3 2 4 6 2 2 4" xfId="32563" xr:uid="{00000000-0005-0000-0000-0000975C0000}"/>
    <cellStyle name="Normal 3 2 4 6 2 3" xfId="4151" xr:uid="{00000000-0005-0000-0000-0000985C0000}"/>
    <cellStyle name="Normal 3 2 4 6 2 3 2" xfId="4152" xr:uid="{00000000-0005-0000-0000-0000995C0000}"/>
    <cellStyle name="Normal 3 2 4 6 2 4" xfId="4153" xr:uid="{00000000-0005-0000-0000-00009A5C0000}"/>
    <cellStyle name="Normal 3 2 4 6 2 4 2" xfId="4154" xr:uid="{00000000-0005-0000-0000-00009B5C0000}"/>
    <cellStyle name="Normal 3 2 4 6 2 5" xfId="4155" xr:uid="{00000000-0005-0000-0000-00009C5C0000}"/>
    <cellStyle name="Normal 3 2 4 6 2 6" xfId="32562" xr:uid="{00000000-0005-0000-0000-00009D5C0000}"/>
    <cellStyle name="Normal 3 2 4 6 3" xfId="4156" xr:uid="{00000000-0005-0000-0000-00009E5C0000}"/>
    <cellStyle name="Normal 3 2 4 6 3 2" xfId="4157" xr:uid="{00000000-0005-0000-0000-00009F5C0000}"/>
    <cellStyle name="Normal 3 2 4 6 3 2 2" xfId="4158" xr:uid="{00000000-0005-0000-0000-0000A05C0000}"/>
    <cellStyle name="Normal 3 2 4 6 3 2 3" xfId="32565" xr:uid="{00000000-0005-0000-0000-0000A15C0000}"/>
    <cellStyle name="Normal 3 2 4 6 3 3" xfId="4159" xr:uid="{00000000-0005-0000-0000-0000A25C0000}"/>
    <cellStyle name="Normal 3 2 4 6 3 3 2" xfId="4160" xr:uid="{00000000-0005-0000-0000-0000A35C0000}"/>
    <cellStyle name="Normal 3 2 4 6 3 4" xfId="4161" xr:uid="{00000000-0005-0000-0000-0000A45C0000}"/>
    <cellStyle name="Normal 3 2 4 6 3 5" xfId="32564" xr:uid="{00000000-0005-0000-0000-0000A55C0000}"/>
    <cellStyle name="Normal 3 2 4 6 4" xfId="4162" xr:uid="{00000000-0005-0000-0000-0000A65C0000}"/>
    <cellStyle name="Normal 3 2 4 6 4 2" xfId="4163" xr:uid="{00000000-0005-0000-0000-0000A75C0000}"/>
    <cellStyle name="Normal 3 2 4 6 4 2 2" xfId="32567" xr:uid="{00000000-0005-0000-0000-0000A85C0000}"/>
    <cellStyle name="Normal 3 2 4 6 4 3" xfId="4164" xr:uid="{00000000-0005-0000-0000-0000A95C0000}"/>
    <cellStyle name="Normal 3 2 4 6 4 4" xfId="32566" xr:uid="{00000000-0005-0000-0000-0000AA5C0000}"/>
    <cellStyle name="Normal 3 2 4 6 5" xfId="4165" xr:uid="{00000000-0005-0000-0000-0000AB5C0000}"/>
    <cellStyle name="Normal 3 2 4 6 5 2" xfId="4166" xr:uid="{00000000-0005-0000-0000-0000AC5C0000}"/>
    <cellStyle name="Normal 3 2 4 6 5 3" xfId="32568" xr:uid="{00000000-0005-0000-0000-0000AD5C0000}"/>
    <cellStyle name="Normal 3 2 4 6 6" xfId="4167" xr:uid="{00000000-0005-0000-0000-0000AE5C0000}"/>
    <cellStyle name="Normal 3 2 4 6 6 2" xfId="4168" xr:uid="{00000000-0005-0000-0000-0000AF5C0000}"/>
    <cellStyle name="Normal 3 2 4 6 6 3" xfId="32569" xr:uid="{00000000-0005-0000-0000-0000B05C0000}"/>
    <cellStyle name="Normal 3 2 4 6 7" xfId="4169" xr:uid="{00000000-0005-0000-0000-0000B15C0000}"/>
    <cellStyle name="Normal 3 2 4 6 8" xfId="32561" xr:uid="{00000000-0005-0000-0000-0000B25C0000}"/>
    <cellStyle name="Normal 3 2 4 7" xfId="4170" xr:uid="{00000000-0005-0000-0000-0000B35C0000}"/>
    <cellStyle name="Normal 3 2 4 7 2" xfId="4171" xr:uid="{00000000-0005-0000-0000-0000B45C0000}"/>
    <cellStyle name="Normal 3 2 4 7 2 2" xfId="4172" xr:uid="{00000000-0005-0000-0000-0000B55C0000}"/>
    <cellStyle name="Normal 3 2 4 7 2 2 2" xfId="4173" xr:uid="{00000000-0005-0000-0000-0000B65C0000}"/>
    <cellStyle name="Normal 3 2 4 7 2 2 3" xfId="32572" xr:uid="{00000000-0005-0000-0000-0000B75C0000}"/>
    <cellStyle name="Normal 3 2 4 7 2 3" xfId="4174" xr:uid="{00000000-0005-0000-0000-0000B85C0000}"/>
    <cellStyle name="Normal 3 2 4 7 2 3 2" xfId="4175" xr:uid="{00000000-0005-0000-0000-0000B95C0000}"/>
    <cellStyle name="Normal 3 2 4 7 2 4" xfId="4176" xr:uid="{00000000-0005-0000-0000-0000BA5C0000}"/>
    <cellStyle name="Normal 3 2 4 7 2 5" xfId="32571" xr:uid="{00000000-0005-0000-0000-0000BB5C0000}"/>
    <cellStyle name="Normal 3 2 4 7 3" xfId="4177" xr:uid="{00000000-0005-0000-0000-0000BC5C0000}"/>
    <cellStyle name="Normal 3 2 4 7 3 2" xfId="4178" xr:uid="{00000000-0005-0000-0000-0000BD5C0000}"/>
    <cellStyle name="Normal 3 2 4 7 3 2 2" xfId="32574" xr:uid="{00000000-0005-0000-0000-0000BE5C0000}"/>
    <cellStyle name="Normal 3 2 4 7 3 3" xfId="4179" xr:uid="{00000000-0005-0000-0000-0000BF5C0000}"/>
    <cellStyle name="Normal 3 2 4 7 3 4" xfId="32573" xr:uid="{00000000-0005-0000-0000-0000C05C0000}"/>
    <cellStyle name="Normal 3 2 4 7 4" xfId="4180" xr:uid="{00000000-0005-0000-0000-0000C15C0000}"/>
    <cellStyle name="Normal 3 2 4 7 4 2" xfId="4181" xr:uid="{00000000-0005-0000-0000-0000C25C0000}"/>
    <cellStyle name="Normal 3 2 4 7 4 2 2" xfId="32576" xr:uid="{00000000-0005-0000-0000-0000C35C0000}"/>
    <cellStyle name="Normal 3 2 4 7 4 3" xfId="32575" xr:uid="{00000000-0005-0000-0000-0000C45C0000}"/>
    <cellStyle name="Normal 3 2 4 7 5" xfId="4182" xr:uid="{00000000-0005-0000-0000-0000C55C0000}"/>
    <cellStyle name="Normal 3 2 4 7 5 2" xfId="4183" xr:uid="{00000000-0005-0000-0000-0000C65C0000}"/>
    <cellStyle name="Normal 3 2 4 7 5 3" xfId="32577" xr:uid="{00000000-0005-0000-0000-0000C75C0000}"/>
    <cellStyle name="Normal 3 2 4 7 6" xfId="4184" xr:uid="{00000000-0005-0000-0000-0000C85C0000}"/>
    <cellStyle name="Normal 3 2 4 7 6 2" xfId="32578" xr:uid="{00000000-0005-0000-0000-0000C95C0000}"/>
    <cellStyle name="Normal 3 2 4 7 7" xfId="32570" xr:uid="{00000000-0005-0000-0000-0000CA5C0000}"/>
    <cellStyle name="Normal 3 2 4 8" xfId="4185" xr:uid="{00000000-0005-0000-0000-0000CB5C0000}"/>
    <cellStyle name="Normal 3 2 4 8 2" xfId="4186" xr:uid="{00000000-0005-0000-0000-0000CC5C0000}"/>
    <cellStyle name="Normal 3 2 4 8 2 2" xfId="4187" xr:uid="{00000000-0005-0000-0000-0000CD5C0000}"/>
    <cellStyle name="Normal 3 2 4 8 2 2 2" xfId="32581" xr:uid="{00000000-0005-0000-0000-0000CE5C0000}"/>
    <cellStyle name="Normal 3 2 4 8 2 3" xfId="32580" xr:uid="{00000000-0005-0000-0000-0000CF5C0000}"/>
    <cellStyle name="Normal 3 2 4 8 3" xfId="4188" xr:uid="{00000000-0005-0000-0000-0000D05C0000}"/>
    <cellStyle name="Normal 3 2 4 8 3 2" xfId="4189" xr:uid="{00000000-0005-0000-0000-0000D15C0000}"/>
    <cellStyle name="Normal 3 2 4 8 3 2 2" xfId="32583" xr:uid="{00000000-0005-0000-0000-0000D25C0000}"/>
    <cellStyle name="Normal 3 2 4 8 3 3" xfId="32582" xr:uid="{00000000-0005-0000-0000-0000D35C0000}"/>
    <cellStyle name="Normal 3 2 4 8 4" xfId="4190" xr:uid="{00000000-0005-0000-0000-0000D45C0000}"/>
    <cellStyle name="Normal 3 2 4 8 4 2" xfId="32584" xr:uid="{00000000-0005-0000-0000-0000D55C0000}"/>
    <cellStyle name="Normal 3 2 4 8 5" xfId="32585" xr:uid="{00000000-0005-0000-0000-0000D65C0000}"/>
    <cellStyle name="Normal 3 2 4 8 6" xfId="32579" xr:uid="{00000000-0005-0000-0000-0000D75C0000}"/>
    <cellStyle name="Normal 3 2 4 9" xfId="4191" xr:uid="{00000000-0005-0000-0000-0000D85C0000}"/>
    <cellStyle name="Normal 3 2 4 9 2" xfId="4192" xr:uid="{00000000-0005-0000-0000-0000D95C0000}"/>
    <cellStyle name="Normal 3 2 4 9 2 2" xfId="4193" xr:uid="{00000000-0005-0000-0000-0000DA5C0000}"/>
    <cellStyle name="Normal 3 2 4 9 2 3" xfId="32587" xr:uid="{00000000-0005-0000-0000-0000DB5C0000}"/>
    <cellStyle name="Normal 3 2 4 9 3" xfId="4194" xr:uid="{00000000-0005-0000-0000-0000DC5C0000}"/>
    <cellStyle name="Normal 3 2 4 9 3 2" xfId="4195" xr:uid="{00000000-0005-0000-0000-0000DD5C0000}"/>
    <cellStyle name="Normal 3 2 4 9 4" xfId="4196" xr:uid="{00000000-0005-0000-0000-0000DE5C0000}"/>
    <cellStyle name="Normal 3 2 4 9 5" xfId="32586" xr:uid="{00000000-0005-0000-0000-0000DF5C0000}"/>
    <cellStyle name="Normal 3 2 5" xfId="4197" xr:uid="{00000000-0005-0000-0000-0000E05C0000}"/>
    <cellStyle name="Normal 3 2 5 10" xfId="4198" xr:uid="{00000000-0005-0000-0000-0000E15C0000}"/>
    <cellStyle name="Normal 3 2 5 10 2" xfId="4199" xr:uid="{00000000-0005-0000-0000-0000E25C0000}"/>
    <cellStyle name="Normal 3 2 5 10 2 2" xfId="32590" xr:uid="{00000000-0005-0000-0000-0000E35C0000}"/>
    <cellStyle name="Normal 3 2 5 10 3" xfId="32589" xr:uid="{00000000-0005-0000-0000-0000E45C0000}"/>
    <cellStyle name="Normal 3 2 5 11" xfId="4200" xr:uid="{00000000-0005-0000-0000-0000E55C0000}"/>
    <cellStyle name="Normal 3 2 5 11 2" xfId="32592" xr:uid="{00000000-0005-0000-0000-0000E65C0000}"/>
    <cellStyle name="Normal 3 2 5 11 3" xfId="32591" xr:uid="{00000000-0005-0000-0000-0000E75C0000}"/>
    <cellStyle name="Normal 3 2 5 12" xfId="32593" xr:uid="{00000000-0005-0000-0000-0000E85C0000}"/>
    <cellStyle name="Normal 3 2 5 13" xfId="32594" xr:uid="{00000000-0005-0000-0000-0000E95C0000}"/>
    <cellStyle name="Normal 3 2 5 14" xfId="32588" xr:uid="{00000000-0005-0000-0000-0000EA5C0000}"/>
    <cellStyle name="Normal 3 2 5 2" xfId="4201" xr:uid="{00000000-0005-0000-0000-0000EB5C0000}"/>
    <cellStyle name="Normal 3 2 5 2 10" xfId="32596" xr:uid="{00000000-0005-0000-0000-0000EC5C0000}"/>
    <cellStyle name="Normal 3 2 5 2 11" xfId="32597" xr:uid="{00000000-0005-0000-0000-0000ED5C0000}"/>
    <cellStyle name="Normal 3 2 5 2 12" xfId="32595" xr:uid="{00000000-0005-0000-0000-0000EE5C0000}"/>
    <cellStyle name="Normal 3 2 5 2 2" xfId="4202" xr:uid="{00000000-0005-0000-0000-0000EF5C0000}"/>
    <cellStyle name="Normal 3 2 5 2 2 2" xfId="4203" xr:uid="{00000000-0005-0000-0000-0000F05C0000}"/>
    <cellStyle name="Normal 3 2 5 2 2 2 2" xfId="4204" xr:uid="{00000000-0005-0000-0000-0000F15C0000}"/>
    <cellStyle name="Normal 3 2 5 2 2 2 2 2" xfId="4205" xr:uid="{00000000-0005-0000-0000-0000F25C0000}"/>
    <cellStyle name="Normal 3 2 5 2 2 2 2 3" xfId="4206" xr:uid="{00000000-0005-0000-0000-0000F35C0000}"/>
    <cellStyle name="Normal 3 2 5 2 2 2 2 4" xfId="32600" xr:uid="{00000000-0005-0000-0000-0000F45C0000}"/>
    <cellStyle name="Normal 3 2 5 2 2 2 3" xfId="4207" xr:uid="{00000000-0005-0000-0000-0000F55C0000}"/>
    <cellStyle name="Normal 3 2 5 2 2 2 3 2" xfId="4208" xr:uid="{00000000-0005-0000-0000-0000F65C0000}"/>
    <cellStyle name="Normal 3 2 5 2 2 2 4" xfId="4209" xr:uid="{00000000-0005-0000-0000-0000F75C0000}"/>
    <cellStyle name="Normal 3 2 5 2 2 2 4 2" xfId="4210" xr:uid="{00000000-0005-0000-0000-0000F85C0000}"/>
    <cellStyle name="Normal 3 2 5 2 2 2 5" xfId="4211" xr:uid="{00000000-0005-0000-0000-0000F95C0000}"/>
    <cellStyle name="Normal 3 2 5 2 2 2 6" xfId="32599" xr:uid="{00000000-0005-0000-0000-0000FA5C0000}"/>
    <cellStyle name="Normal 3 2 5 2 2 3" xfId="4212" xr:uid="{00000000-0005-0000-0000-0000FB5C0000}"/>
    <cellStyle name="Normal 3 2 5 2 2 3 2" xfId="4213" xr:uid="{00000000-0005-0000-0000-0000FC5C0000}"/>
    <cellStyle name="Normal 3 2 5 2 2 3 2 2" xfId="4214" xr:uid="{00000000-0005-0000-0000-0000FD5C0000}"/>
    <cellStyle name="Normal 3 2 5 2 2 3 2 3" xfId="32602" xr:uid="{00000000-0005-0000-0000-0000FE5C0000}"/>
    <cellStyle name="Normal 3 2 5 2 2 3 3" xfId="4215" xr:uid="{00000000-0005-0000-0000-0000FF5C0000}"/>
    <cellStyle name="Normal 3 2 5 2 2 3 3 2" xfId="4216" xr:uid="{00000000-0005-0000-0000-0000005D0000}"/>
    <cellStyle name="Normal 3 2 5 2 2 3 4" xfId="4217" xr:uid="{00000000-0005-0000-0000-0000015D0000}"/>
    <cellStyle name="Normal 3 2 5 2 2 3 5" xfId="32601" xr:uid="{00000000-0005-0000-0000-0000025D0000}"/>
    <cellStyle name="Normal 3 2 5 2 2 4" xfId="4218" xr:uid="{00000000-0005-0000-0000-0000035D0000}"/>
    <cellStyle name="Normal 3 2 5 2 2 4 2" xfId="4219" xr:uid="{00000000-0005-0000-0000-0000045D0000}"/>
    <cellStyle name="Normal 3 2 5 2 2 4 2 2" xfId="32604" xr:uid="{00000000-0005-0000-0000-0000055D0000}"/>
    <cellStyle name="Normal 3 2 5 2 2 4 3" xfId="4220" xr:uid="{00000000-0005-0000-0000-0000065D0000}"/>
    <cellStyle name="Normal 3 2 5 2 2 4 4" xfId="32603" xr:uid="{00000000-0005-0000-0000-0000075D0000}"/>
    <cellStyle name="Normal 3 2 5 2 2 5" xfId="4221" xr:uid="{00000000-0005-0000-0000-0000085D0000}"/>
    <cellStyle name="Normal 3 2 5 2 2 5 2" xfId="4222" xr:uid="{00000000-0005-0000-0000-0000095D0000}"/>
    <cellStyle name="Normal 3 2 5 2 2 5 3" xfId="32605" xr:uid="{00000000-0005-0000-0000-00000A5D0000}"/>
    <cellStyle name="Normal 3 2 5 2 2 6" xfId="4223" xr:uid="{00000000-0005-0000-0000-00000B5D0000}"/>
    <cellStyle name="Normal 3 2 5 2 2 6 2" xfId="4224" xr:uid="{00000000-0005-0000-0000-00000C5D0000}"/>
    <cellStyle name="Normal 3 2 5 2 2 6 3" xfId="32606" xr:uid="{00000000-0005-0000-0000-00000D5D0000}"/>
    <cellStyle name="Normal 3 2 5 2 2 7" xfId="4225" xr:uid="{00000000-0005-0000-0000-00000E5D0000}"/>
    <cellStyle name="Normal 3 2 5 2 2 8" xfId="32598" xr:uid="{00000000-0005-0000-0000-00000F5D0000}"/>
    <cellStyle name="Normal 3 2 5 2 3" xfId="4226" xr:uid="{00000000-0005-0000-0000-0000105D0000}"/>
    <cellStyle name="Normal 3 2 5 2 3 2" xfId="4227" xr:uid="{00000000-0005-0000-0000-0000115D0000}"/>
    <cellStyle name="Normal 3 2 5 2 3 2 2" xfId="4228" xr:uid="{00000000-0005-0000-0000-0000125D0000}"/>
    <cellStyle name="Normal 3 2 5 2 3 2 2 2" xfId="32609" xr:uid="{00000000-0005-0000-0000-0000135D0000}"/>
    <cellStyle name="Normal 3 2 5 2 3 2 3" xfId="4229" xr:uid="{00000000-0005-0000-0000-0000145D0000}"/>
    <cellStyle name="Normal 3 2 5 2 3 2 4" xfId="32608" xr:uid="{00000000-0005-0000-0000-0000155D0000}"/>
    <cellStyle name="Normal 3 2 5 2 3 3" xfId="4230" xr:uid="{00000000-0005-0000-0000-0000165D0000}"/>
    <cellStyle name="Normal 3 2 5 2 3 3 2" xfId="4231" xr:uid="{00000000-0005-0000-0000-0000175D0000}"/>
    <cellStyle name="Normal 3 2 5 2 3 3 2 2" xfId="32611" xr:uid="{00000000-0005-0000-0000-0000185D0000}"/>
    <cellStyle name="Normal 3 2 5 2 3 3 3" xfId="32610" xr:uid="{00000000-0005-0000-0000-0000195D0000}"/>
    <cellStyle name="Normal 3 2 5 2 3 4" xfId="4232" xr:uid="{00000000-0005-0000-0000-00001A5D0000}"/>
    <cellStyle name="Normal 3 2 5 2 3 4 2" xfId="4233" xr:uid="{00000000-0005-0000-0000-00001B5D0000}"/>
    <cellStyle name="Normal 3 2 5 2 3 4 2 2" xfId="32613" xr:uid="{00000000-0005-0000-0000-00001C5D0000}"/>
    <cellStyle name="Normal 3 2 5 2 3 4 3" xfId="32612" xr:uid="{00000000-0005-0000-0000-00001D5D0000}"/>
    <cellStyle name="Normal 3 2 5 2 3 5" xfId="4234" xr:uid="{00000000-0005-0000-0000-00001E5D0000}"/>
    <cellStyle name="Normal 3 2 5 2 3 5 2" xfId="32614" xr:uid="{00000000-0005-0000-0000-00001F5D0000}"/>
    <cellStyle name="Normal 3 2 5 2 3 6" xfId="32615" xr:uid="{00000000-0005-0000-0000-0000205D0000}"/>
    <cellStyle name="Normal 3 2 5 2 3 7" xfId="32607" xr:uid="{00000000-0005-0000-0000-0000215D0000}"/>
    <cellStyle name="Normal 3 2 5 2 4" xfId="4235" xr:uid="{00000000-0005-0000-0000-0000225D0000}"/>
    <cellStyle name="Normal 3 2 5 2 4 2" xfId="4236" xr:uid="{00000000-0005-0000-0000-0000235D0000}"/>
    <cellStyle name="Normal 3 2 5 2 4 2 2" xfId="4237" xr:uid="{00000000-0005-0000-0000-0000245D0000}"/>
    <cellStyle name="Normal 3 2 5 2 4 2 2 2" xfId="32618" xr:uid="{00000000-0005-0000-0000-0000255D0000}"/>
    <cellStyle name="Normal 3 2 5 2 4 2 3" xfId="32617" xr:uid="{00000000-0005-0000-0000-0000265D0000}"/>
    <cellStyle name="Normal 3 2 5 2 4 3" xfId="4238" xr:uid="{00000000-0005-0000-0000-0000275D0000}"/>
    <cellStyle name="Normal 3 2 5 2 4 3 2" xfId="4239" xr:uid="{00000000-0005-0000-0000-0000285D0000}"/>
    <cellStyle name="Normal 3 2 5 2 4 3 2 2" xfId="32620" xr:uid="{00000000-0005-0000-0000-0000295D0000}"/>
    <cellStyle name="Normal 3 2 5 2 4 3 3" xfId="32619" xr:uid="{00000000-0005-0000-0000-00002A5D0000}"/>
    <cellStyle name="Normal 3 2 5 2 4 4" xfId="4240" xr:uid="{00000000-0005-0000-0000-00002B5D0000}"/>
    <cellStyle name="Normal 3 2 5 2 4 4 2" xfId="32622" xr:uid="{00000000-0005-0000-0000-00002C5D0000}"/>
    <cellStyle name="Normal 3 2 5 2 4 4 3" xfId="32621" xr:uid="{00000000-0005-0000-0000-00002D5D0000}"/>
    <cellStyle name="Normal 3 2 5 2 4 5" xfId="32623" xr:uid="{00000000-0005-0000-0000-00002E5D0000}"/>
    <cellStyle name="Normal 3 2 5 2 4 6" xfId="32624" xr:uid="{00000000-0005-0000-0000-00002F5D0000}"/>
    <cellStyle name="Normal 3 2 5 2 4 7" xfId="32616" xr:uid="{00000000-0005-0000-0000-0000305D0000}"/>
    <cellStyle name="Normal 3 2 5 2 5" xfId="4241" xr:uid="{00000000-0005-0000-0000-0000315D0000}"/>
    <cellStyle name="Normal 3 2 5 2 5 2" xfId="4242" xr:uid="{00000000-0005-0000-0000-0000325D0000}"/>
    <cellStyle name="Normal 3 2 5 2 5 2 2" xfId="32627" xr:uid="{00000000-0005-0000-0000-0000335D0000}"/>
    <cellStyle name="Normal 3 2 5 2 5 2 3" xfId="32626" xr:uid="{00000000-0005-0000-0000-0000345D0000}"/>
    <cellStyle name="Normal 3 2 5 2 5 3" xfId="4243" xr:uid="{00000000-0005-0000-0000-0000355D0000}"/>
    <cellStyle name="Normal 3 2 5 2 5 3 2" xfId="32629" xr:uid="{00000000-0005-0000-0000-0000365D0000}"/>
    <cellStyle name="Normal 3 2 5 2 5 3 3" xfId="32628" xr:uid="{00000000-0005-0000-0000-0000375D0000}"/>
    <cellStyle name="Normal 3 2 5 2 5 4" xfId="32630" xr:uid="{00000000-0005-0000-0000-0000385D0000}"/>
    <cellStyle name="Normal 3 2 5 2 5 4 2" xfId="32631" xr:uid="{00000000-0005-0000-0000-0000395D0000}"/>
    <cellStyle name="Normal 3 2 5 2 5 5" xfId="32632" xr:uid="{00000000-0005-0000-0000-00003A5D0000}"/>
    <cellStyle name="Normal 3 2 5 2 5 6" xfId="32633" xr:uid="{00000000-0005-0000-0000-00003B5D0000}"/>
    <cellStyle name="Normal 3 2 5 2 5 7" xfId="32625" xr:uid="{00000000-0005-0000-0000-00003C5D0000}"/>
    <cellStyle name="Normal 3 2 5 2 6" xfId="4244" xr:uid="{00000000-0005-0000-0000-00003D5D0000}"/>
    <cellStyle name="Normal 3 2 5 2 6 2" xfId="4245" xr:uid="{00000000-0005-0000-0000-00003E5D0000}"/>
    <cellStyle name="Normal 3 2 5 2 6 2 2" xfId="32636" xr:uid="{00000000-0005-0000-0000-00003F5D0000}"/>
    <cellStyle name="Normal 3 2 5 2 6 2 3" xfId="32635" xr:uid="{00000000-0005-0000-0000-0000405D0000}"/>
    <cellStyle name="Normal 3 2 5 2 6 3" xfId="32637" xr:uid="{00000000-0005-0000-0000-0000415D0000}"/>
    <cellStyle name="Normal 3 2 5 2 6 3 2" xfId="32638" xr:uid="{00000000-0005-0000-0000-0000425D0000}"/>
    <cellStyle name="Normal 3 2 5 2 6 4" xfId="32639" xr:uid="{00000000-0005-0000-0000-0000435D0000}"/>
    <cellStyle name="Normal 3 2 5 2 6 5" xfId="32640" xr:uid="{00000000-0005-0000-0000-0000445D0000}"/>
    <cellStyle name="Normal 3 2 5 2 6 6" xfId="32634" xr:uid="{00000000-0005-0000-0000-0000455D0000}"/>
    <cellStyle name="Normal 3 2 5 2 7" xfId="4246" xr:uid="{00000000-0005-0000-0000-0000465D0000}"/>
    <cellStyle name="Normal 3 2 5 2 7 2" xfId="4247" xr:uid="{00000000-0005-0000-0000-0000475D0000}"/>
    <cellStyle name="Normal 3 2 5 2 7 2 2" xfId="32642" xr:uid="{00000000-0005-0000-0000-0000485D0000}"/>
    <cellStyle name="Normal 3 2 5 2 7 3" xfId="32641" xr:uid="{00000000-0005-0000-0000-0000495D0000}"/>
    <cellStyle name="Normal 3 2 5 2 8" xfId="4248" xr:uid="{00000000-0005-0000-0000-00004A5D0000}"/>
    <cellStyle name="Normal 3 2 5 2 8 2" xfId="32644" xr:uid="{00000000-0005-0000-0000-00004B5D0000}"/>
    <cellStyle name="Normal 3 2 5 2 8 3" xfId="32643" xr:uid="{00000000-0005-0000-0000-00004C5D0000}"/>
    <cellStyle name="Normal 3 2 5 2 9" xfId="32645" xr:uid="{00000000-0005-0000-0000-00004D5D0000}"/>
    <cellStyle name="Normal 3 2 5 2 9 2" xfId="32646" xr:uid="{00000000-0005-0000-0000-00004E5D0000}"/>
    <cellStyle name="Normal 3 2 5 3" xfId="4249" xr:uid="{00000000-0005-0000-0000-00004F5D0000}"/>
    <cellStyle name="Normal 3 2 5 3 10" xfId="32648" xr:uid="{00000000-0005-0000-0000-0000505D0000}"/>
    <cellStyle name="Normal 3 2 5 3 11" xfId="32647" xr:uid="{00000000-0005-0000-0000-0000515D0000}"/>
    <cellStyle name="Normal 3 2 5 3 2" xfId="4250" xr:uid="{00000000-0005-0000-0000-0000525D0000}"/>
    <cellStyle name="Normal 3 2 5 3 2 2" xfId="4251" xr:uid="{00000000-0005-0000-0000-0000535D0000}"/>
    <cellStyle name="Normal 3 2 5 3 2 2 2" xfId="4252" xr:uid="{00000000-0005-0000-0000-0000545D0000}"/>
    <cellStyle name="Normal 3 2 5 3 2 2 2 2" xfId="32651" xr:uid="{00000000-0005-0000-0000-0000555D0000}"/>
    <cellStyle name="Normal 3 2 5 3 2 2 3" xfId="4253" xr:uid="{00000000-0005-0000-0000-0000565D0000}"/>
    <cellStyle name="Normal 3 2 5 3 2 2 4" xfId="32650" xr:uid="{00000000-0005-0000-0000-0000575D0000}"/>
    <cellStyle name="Normal 3 2 5 3 2 3" xfId="4254" xr:uid="{00000000-0005-0000-0000-0000585D0000}"/>
    <cellStyle name="Normal 3 2 5 3 2 3 2" xfId="4255" xr:uid="{00000000-0005-0000-0000-0000595D0000}"/>
    <cellStyle name="Normal 3 2 5 3 2 3 2 2" xfId="32653" xr:uid="{00000000-0005-0000-0000-00005A5D0000}"/>
    <cellStyle name="Normal 3 2 5 3 2 3 3" xfId="32652" xr:uid="{00000000-0005-0000-0000-00005B5D0000}"/>
    <cellStyle name="Normal 3 2 5 3 2 4" xfId="4256" xr:uid="{00000000-0005-0000-0000-00005C5D0000}"/>
    <cellStyle name="Normal 3 2 5 3 2 4 2" xfId="4257" xr:uid="{00000000-0005-0000-0000-00005D5D0000}"/>
    <cellStyle name="Normal 3 2 5 3 2 4 2 2" xfId="32655" xr:uid="{00000000-0005-0000-0000-00005E5D0000}"/>
    <cellStyle name="Normal 3 2 5 3 2 4 3" xfId="32654" xr:uid="{00000000-0005-0000-0000-00005F5D0000}"/>
    <cellStyle name="Normal 3 2 5 3 2 5" xfId="4258" xr:uid="{00000000-0005-0000-0000-0000605D0000}"/>
    <cellStyle name="Normal 3 2 5 3 2 5 2" xfId="32656" xr:uid="{00000000-0005-0000-0000-0000615D0000}"/>
    <cellStyle name="Normal 3 2 5 3 2 6" xfId="32657" xr:uid="{00000000-0005-0000-0000-0000625D0000}"/>
    <cellStyle name="Normal 3 2 5 3 2 7" xfId="32649" xr:uid="{00000000-0005-0000-0000-0000635D0000}"/>
    <cellStyle name="Normal 3 2 5 3 3" xfId="4259" xr:uid="{00000000-0005-0000-0000-0000645D0000}"/>
    <cellStyle name="Normal 3 2 5 3 3 2" xfId="4260" xr:uid="{00000000-0005-0000-0000-0000655D0000}"/>
    <cellStyle name="Normal 3 2 5 3 3 2 2" xfId="4261" xr:uid="{00000000-0005-0000-0000-0000665D0000}"/>
    <cellStyle name="Normal 3 2 5 3 3 2 2 2" xfId="32660" xr:uid="{00000000-0005-0000-0000-0000675D0000}"/>
    <cellStyle name="Normal 3 2 5 3 3 2 3" xfId="32659" xr:uid="{00000000-0005-0000-0000-0000685D0000}"/>
    <cellStyle name="Normal 3 2 5 3 3 3" xfId="4262" xr:uid="{00000000-0005-0000-0000-0000695D0000}"/>
    <cellStyle name="Normal 3 2 5 3 3 3 2" xfId="4263" xr:uid="{00000000-0005-0000-0000-00006A5D0000}"/>
    <cellStyle name="Normal 3 2 5 3 3 3 2 2" xfId="32662" xr:uid="{00000000-0005-0000-0000-00006B5D0000}"/>
    <cellStyle name="Normal 3 2 5 3 3 3 3" xfId="32661" xr:uid="{00000000-0005-0000-0000-00006C5D0000}"/>
    <cellStyle name="Normal 3 2 5 3 3 4" xfId="4264" xr:uid="{00000000-0005-0000-0000-00006D5D0000}"/>
    <cellStyle name="Normal 3 2 5 3 3 4 2" xfId="32664" xr:uid="{00000000-0005-0000-0000-00006E5D0000}"/>
    <cellStyle name="Normal 3 2 5 3 3 4 3" xfId="32663" xr:uid="{00000000-0005-0000-0000-00006F5D0000}"/>
    <cellStyle name="Normal 3 2 5 3 3 5" xfId="32665" xr:uid="{00000000-0005-0000-0000-0000705D0000}"/>
    <cellStyle name="Normal 3 2 5 3 3 6" xfId="32666" xr:uid="{00000000-0005-0000-0000-0000715D0000}"/>
    <cellStyle name="Normal 3 2 5 3 3 7" xfId="32658" xr:uid="{00000000-0005-0000-0000-0000725D0000}"/>
    <cellStyle name="Normal 3 2 5 3 4" xfId="4265" xr:uid="{00000000-0005-0000-0000-0000735D0000}"/>
    <cellStyle name="Normal 3 2 5 3 4 2" xfId="4266" xr:uid="{00000000-0005-0000-0000-0000745D0000}"/>
    <cellStyle name="Normal 3 2 5 3 4 2 2" xfId="32669" xr:uid="{00000000-0005-0000-0000-0000755D0000}"/>
    <cellStyle name="Normal 3 2 5 3 4 2 3" xfId="32668" xr:uid="{00000000-0005-0000-0000-0000765D0000}"/>
    <cellStyle name="Normal 3 2 5 3 4 3" xfId="4267" xr:uid="{00000000-0005-0000-0000-0000775D0000}"/>
    <cellStyle name="Normal 3 2 5 3 4 3 2" xfId="32671" xr:uid="{00000000-0005-0000-0000-0000785D0000}"/>
    <cellStyle name="Normal 3 2 5 3 4 3 3" xfId="32670" xr:uid="{00000000-0005-0000-0000-0000795D0000}"/>
    <cellStyle name="Normal 3 2 5 3 4 4" xfId="32672" xr:uid="{00000000-0005-0000-0000-00007A5D0000}"/>
    <cellStyle name="Normal 3 2 5 3 4 4 2" xfId="32673" xr:uid="{00000000-0005-0000-0000-00007B5D0000}"/>
    <cellStyle name="Normal 3 2 5 3 4 5" xfId="32674" xr:uid="{00000000-0005-0000-0000-00007C5D0000}"/>
    <cellStyle name="Normal 3 2 5 3 4 6" xfId="32675" xr:uid="{00000000-0005-0000-0000-00007D5D0000}"/>
    <cellStyle name="Normal 3 2 5 3 4 7" xfId="32667" xr:uid="{00000000-0005-0000-0000-00007E5D0000}"/>
    <cellStyle name="Normal 3 2 5 3 5" xfId="4268" xr:uid="{00000000-0005-0000-0000-00007F5D0000}"/>
    <cellStyle name="Normal 3 2 5 3 5 2" xfId="4269" xr:uid="{00000000-0005-0000-0000-0000805D0000}"/>
    <cellStyle name="Normal 3 2 5 3 5 2 2" xfId="32678" xr:uid="{00000000-0005-0000-0000-0000815D0000}"/>
    <cellStyle name="Normal 3 2 5 3 5 2 3" xfId="32677" xr:uid="{00000000-0005-0000-0000-0000825D0000}"/>
    <cellStyle name="Normal 3 2 5 3 5 3" xfId="32679" xr:uid="{00000000-0005-0000-0000-0000835D0000}"/>
    <cellStyle name="Normal 3 2 5 3 5 3 2" xfId="32680" xr:uid="{00000000-0005-0000-0000-0000845D0000}"/>
    <cellStyle name="Normal 3 2 5 3 5 4" xfId="32681" xr:uid="{00000000-0005-0000-0000-0000855D0000}"/>
    <cellStyle name="Normal 3 2 5 3 5 5" xfId="32682" xr:uid="{00000000-0005-0000-0000-0000865D0000}"/>
    <cellStyle name="Normal 3 2 5 3 5 6" xfId="32676" xr:uid="{00000000-0005-0000-0000-0000875D0000}"/>
    <cellStyle name="Normal 3 2 5 3 6" xfId="4270" xr:uid="{00000000-0005-0000-0000-0000885D0000}"/>
    <cellStyle name="Normal 3 2 5 3 6 2" xfId="4271" xr:uid="{00000000-0005-0000-0000-0000895D0000}"/>
    <cellStyle name="Normal 3 2 5 3 6 2 2" xfId="32684" xr:uid="{00000000-0005-0000-0000-00008A5D0000}"/>
    <cellStyle name="Normal 3 2 5 3 6 3" xfId="32683" xr:uid="{00000000-0005-0000-0000-00008B5D0000}"/>
    <cellStyle name="Normal 3 2 5 3 7" xfId="4272" xr:uid="{00000000-0005-0000-0000-00008C5D0000}"/>
    <cellStyle name="Normal 3 2 5 3 7 2" xfId="32686" xr:uid="{00000000-0005-0000-0000-00008D5D0000}"/>
    <cellStyle name="Normal 3 2 5 3 7 3" xfId="32685" xr:uid="{00000000-0005-0000-0000-00008E5D0000}"/>
    <cellStyle name="Normal 3 2 5 3 8" xfId="32687" xr:uid="{00000000-0005-0000-0000-00008F5D0000}"/>
    <cellStyle name="Normal 3 2 5 3 8 2" xfId="32688" xr:uid="{00000000-0005-0000-0000-0000905D0000}"/>
    <cellStyle name="Normal 3 2 5 3 9" xfId="32689" xr:uid="{00000000-0005-0000-0000-0000915D0000}"/>
    <cellStyle name="Normal 3 2 5 4" xfId="4273" xr:uid="{00000000-0005-0000-0000-0000925D0000}"/>
    <cellStyle name="Normal 3 2 5 4 10" xfId="32691" xr:uid="{00000000-0005-0000-0000-0000935D0000}"/>
    <cellStyle name="Normal 3 2 5 4 11" xfId="32690" xr:uid="{00000000-0005-0000-0000-0000945D0000}"/>
    <cellStyle name="Normal 3 2 5 4 2" xfId="4274" xr:uid="{00000000-0005-0000-0000-0000955D0000}"/>
    <cellStyle name="Normal 3 2 5 4 2 2" xfId="4275" xr:uid="{00000000-0005-0000-0000-0000965D0000}"/>
    <cellStyle name="Normal 3 2 5 4 2 2 2" xfId="4276" xr:uid="{00000000-0005-0000-0000-0000975D0000}"/>
    <cellStyle name="Normal 3 2 5 4 2 2 2 2" xfId="32694" xr:uid="{00000000-0005-0000-0000-0000985D0000}"/>
    <cellStyle name="Normal 3 2 5 4 2 2 3" xfId="4277" xr:uid="{00000000-0005-0000-0000-0000995D0000}"/>
    <cellStyle name="Normal 3 2 5 4 2 2 4" xfId="32693" xr:uid="{00000000-0005-0000-0000-00009A5D0000}"/>
    <cellStyle name="Normal 3 2 5 4 2 3" xfId="4278" xr:uid="{00000000-0005-0000-0000-00009B5D0000}"/>
    <cellStyle name="Normal 3 2 5 4 2 3 2" xfId="4279" xr:uid="{00000000-0005-0000-0000-00009C5D0000}"/>
    <cellStyle name="Normal 3 2 5 4 2 3 2 2" xfId="32696" xr:uid="{00000000-0005-0000-0000-00009D5D0000}"/>
    <cellStyle name="Normal 3 2 5 4 2 3 3" xfId="32695" xr:uid="{00000000-0005-0000-0000-00009E5D0000}"/>
    <cellStyle name="Normal 3 2 5 4 2 4" xfId="4280" xr:uid="{00000000-0005-0000-0000-00009F5D0000}"/>
    <cellStyle name="Normal 3 2 5 4 2 4 2" xfId="4281" xr:uid="{00000000-0005-0000-0000-0000A05D0000}"/>
    <cellStyle name="Normal 3 2 5 4 2 4 2 2" xfId="32698" xr:uid="{00000000-0005-0000-0000-0000A15D0000}"/>
    <cellStyle name="Normal 3 2 5 4 2 4 3" xfId="32697" xr:uid="{00000000-0005-0000-0000-0000A25D0000}"/>
    <cellStyle name="Normal 3 2 5 4 2 5" xfId="4282" xr:uid="{00000000-0005-0000-0000-0000A35D0000}"/>
    <cellStyle name="Normal 3 2 5 4 2 5 2" xfId="32699" xr:uid="{00000000-0005-0000-0000-0000A45D0000}"/>
    <cellStyle name="Normal 3 2 5 4 2 6" xfId="32700" xr:uid="{00000000-0005-0000-0000-0000A55D0000}"/>
    <cellStyle name="Normal 3 2 5 4 2 7" xfId="32692" xr:uid="{00000000-0005-0000-0000-0000A65D0000}"/>
    <cellStyle name="Normal 3 2 5 4 3" xfId="4283" xr:uid="{00000000-0005-0000-0000-0000A75D0000}"/>
    <cellStyle name="Normal 3 2 5 4 3 2" xfId="4284" xr:uid="{00000000-0005-0000-0000-0000A85D0000}"/>
    <cellStyle name="Normal 3 2 5 4 3 2 2" xfId="4285" xr:uid="{00000000-0005-0000-0000-0000A95D0000}"/>
    <cellStyle name="Normal 3 2 5 4 3 2 2 2" xfId="32703" xr:uid="{00000000-0005-0000-0000-0000AA5D0000}"/>
    <cellStyle name="Normal 3 2 5 4 3 2 3" xfId="32702" xr:uid="{00000000-0005-0000-0000-0000AB5D0000}"/>
    <cellStyle name="Normal 3 2 5 4 3 3" xfId="4286" xr:uid="{00000000-0005-0000-0000-0000AC5D0000}"/>
    <cellStyle name="Normal 3 2 5 4 3 3 2" xfId="4287" xr:uid="{00000000-0005-0000-0000-0000AD5D0000}"/>
    <cellStyle name="Normal 3 2 5 4 3 3 2 2" xfId="32705" xr:uid="{00000000-0005-0000-0000-0000AE5D0000}"/>
    <cellStyle name="Normal 3 2 5 4 3 3 3" xfId="32704" xr:uid="{00000000-0005-0000-0000-0000AF5D0000}"/>
    <cellStyle name="Normal 3 2 5 4 3 4" xfId="4288" xr:uid="{00000000-0005-0000-0000-0000B05D0000}"/>
    <cellStyle name="Normal 3 2 5 4 3 4 2" xfId="32707" xr:uid="{00000000-0005-0000-0000-0000B15D0000}"/>
    <cellStyle name="Normal 3 2 5 4 3 4 3" xfId="32706" xr:uid="{00000000-0005-0000-0000-0000B25D0000}"/>
    <cellStyle name="Normal 3 2 5 4 3 5" xfId="32708" xr:uid="{00000000-0005-0000-0000-0000B35D0000}"/>
    <cellStyle name="Normal 3 2 5 4 3 6" xfId="32709" xr:uid="{00000000-0005-0000-0000-0000B45D0000}"/>
    <cellStyle name="Normal 3 2 5 4 3 7" xfId="32701" xr:uid="{00000000-0005-0000-0000-0000B55D0000}"/>
    <cellStyle name="Normal 3 2 5 4 4" xfId="4289" xr:uid="{00000000-0005-0000-0000-0000B65D0000}"/>
    <cellStyle name="Normal 3 2 5 4 4 2" xfId="4290" xr:uid="{00000000-0005-0000-0000-0000B75D0000}"/>
    <cellStyle name="Normal 3 2 5 4 4 2 2" xfId="32712" xr:uid="{00000000-0005-0000-0000-0000B85D0000}"/>
    <cellStyle name="Normal 3 2 5 4 4 2 3" xfId="32711" xr:uid="{00000000-0005-0000-0000-0000B95D0000}"/>
    <cellStyle name="Normal 3 2 5 4 4 3" xfId="4291" xr:uid="{00000000-0005-0000-0000-0000BA5D0000}"/>
    <cellStyle name="Normal 3 2 5 4 4 3 2" xfId="32714" xr:uid="{00000000-0005-0000-0000-0000BB5D0000}"/>
    <cellStyle name="Normal 3 2 5 4 4 3 3" xfId="32713" xr:uid="{00000000-0005-0000-0000-0000BC5D0000}"/>
    <cellStyle name="Normal 3 2 5 4 4 4" xfId="32715" xr:uid="{00000000-0005-0000-0000-0000BD5D0000}"/>
    <cellStyle name="Normal 3 2 5 4 4 4 2" xfId="32716" xr:uid="{00000000-0005-0000-0000-0000BE5D0000}"/>
    <cellStyle name="Normal 3 2 5 4 4 5" xfId="32717" xr:uid="{00000000-0005-0000-0000-0000BF5D0000}"/>
    <cellStyle name="Normal 3 2 5 4 4 6" xfId="32718" xr:uid="{00000000-0005-0000-0000-0000C05D0000}"/>
    <cellStyle name="Normal 3 2 5 4 4 7" xfId="32710" xr:uid="{00000000-0005-0000-0000-0000C15D0000}"/>
    <cellStyle name="Normal 3 2 5 4 5" xfId="4292" xr:uid="{00000000-0005-0000-0000-0000C25D0000}"/>
    <cellStyle name="Normal 3 2 5 4 5 2" xfId="4293" xr:uid="{00000000-0005-0000-0000-0000C35D0000}"/>
    <cellStyle name="Normal 3 2 5 4 5 2 2" xfId="32721" xr:uid="{00000000-0005-0000-0000-0000C45D0000}"/>
    <cellStyle name="Normal 3 2 5 4 5 2 3" xfId="32720" xr:uid="{00000000-0005-0000-0000-0000C55D0000}"/>
    <cellStyle name="Normal 3 2 5 4 5 3" xfId="32722" xr:uid="{00000000-0005-0000-0000-0000C65D0000}"/>
    <cellStyle name="Normal 3 2 5 4 5 3 2" xfId="32723" xr:uid="{00000000-0005-0000-0000-0000C75D0000}"/>
    <cellStyle name="Normal 3 2 5 4 5 4" xfId="32724" xr:uid="{00000000-0005-0000-0000-0000C85D0000}"/>
    <cellStyle name="Normal 3 2 5 4 5 5" xfId="32725" xr:uid="{00000000-0005-0000-0000-0000C95D0000}"/>
    <cellStyle name="Normal 3 2 5 4 5 6" xfId="32719" xr:uid="{00000000-0005-0000-0000-0000CA5D0000}"/>
    <cellStyle name="Normal 3 2 5 4 6" xfId="4294" xr:uid="{00000000-0005-0000-0000-0000CB5D0000}"/>
    <cellStyle name="Normal 3 2 5 4 6 2" xfId="4295" xr:uid="{00000000-0005-0000-0000-0000CC5D0000}"/>
    <cellStyle name="Normal 3 2 5 4 6 2 2" xfId="32727" xr:uid="{00000000-0005-0000-0000-0000CD5D0000}"/>
    <cellStyle name="Normal 3 2 5 4 6 3" xfId="32726" xr:uid="{00000000-0005-0000-0000-0000CE5D0000}"/>
    <cellStyle name="Normal 3 2 5 4 7" xfId="4296" xr:uid="{00000000-0005-0000-0000-0000CF5D0000}"/>
    <cellStyle name="Normal 3 2 5 4 7 2" xfId="32729" xr:uid="{00000000-0005-0000-0000-0000D05D0000}"/>
    <cellStyle name="Normal 3 2 5 4 7 3" xfId="32728" xr:uid="{00000000-0005-0000-0000-0000D15D0000}"/>
    <cellStyle name="Normal 3 2 5 4 8" xfId="32730" xr:uid="{00000000-0005-0000-0000-0000D25D0000}"/>
    <cellStyle name="Normal 3 2 5 4 8 2" xfId="32731" xr:uid="{00000000-0005-0000-0000-0000D35D0000}"/>
    <cellStyle name="Normal 3 2 5 4 9" xfId="32732" xr:uid="{00000000-0005-0000-0000-0000D45D0000}"/>
    <cellStyle name="Normal 3 2 5 5" xfId="4297" xr:uid="{00000000-0005-0000-0000-0000D55D0000}"/>
    <cellStyle name="Normal 3 2 5 5 2" xfId="4298" xr:uid="{00000000-0005-0000-0000-0000D65D0000}"/>
    <cellStyle name="Normal 3 2 5 5 2 2" xfId="4299" xr:uid="{00000000-0005-0000-0000-0000D75D0000}"/>
    <cellStyle name="Normal 3 2 5 5 2 2 2" xfId="4300" xr:uid="{00000000-0005-0000-0000-0000D85D0000}"/>
    <cellStyle name="Normal 3 2 5 5 2 2 3" xfId="32735" xr:uid="{00000000-0005-0000-0000-0000D95D0000}"/>
    <cellStyle name="Normal 3 2 5 5 2 3" xfId="4301" xr:uid="{00000000-0005-0000-0000-0000DA5D0000}"/>
    <cellStyle name="Normal 3 2 5 5 2 3 2" xfId="4302" xr:uid="{00000000-0005-0000-0000-0000DB5D0000}"/>
    <cellStyle name="Normal 3 2 5 5 2 4" xfId="4303" xr:uid="{00000000-0005-0000-0000-0000DC5D0000}"/>
    <cellStyle name="Normal 3 2 5 5 2 5" xfId="32734" xr:uid="{00000000-0005-0000-0000-0000DD5D0000}"/>
    <cellStyle name="Normal 3 2 5 5 3" xfId="4304" xr:uid="{00000000-0005-0000-0000-0000DE5D0000}"/>
    <cellStyle name="Normal 3 2 5 5 3 2" xfId="4305" xr:uid="{00000000-0005-0000-0000-0000DF5D0000}"/>
    <cellStyle name="Normal 3 2 5 5 3 2 2" xfId="32737" xr:uid="{00000000-0005-0000-0000-0000E05D0000}"/>
    <cellStyle name="Normal 3 2 5 5 3 3" xfId="4306" xr:uid="{00000000-0005-0000-0000-0000E15D0000}"/>
    <cellStyle name="Normal 3 2 5 5 3 4" xfId="32736" xr:uid="{00000000-0005-0000-0000-0000E25D0000}"/>
    <cellStyle name="Normal 3 2 5 5 4" xfId="4307" xr:uid="{00000000-0005-0000-0000-0000E35D0000}"/>
    <cellStyle name="Normal 3 2 5 5 4 2" xfId="4308" xr:uid="{00000000-0005-0000-0000-0000E45D0000}"/>
    <cellStyle name="Normal 3 2 5 5 4 2 2" xfId="32739" xr:uid="{00000000-0005-0000-0000-0000E55D0000}"/>
    <cellStyle name="Normal 3 2 5 5 4 3" xfId="32738" xr:uid="{00000000-0005-0000-0000-0000E65D0000}"/>
    <cellStyle name="Normal 3 2 5 5 5" xfId="4309" xr:uid="{00000000-0005-0000-0000-0000E75D0000}"/>
    <cellStyle name="Normal 3 2 5 5 5 2" xfId="4310" xr:uid="{00000000-0005-0000-0000-0000E85D0000}"/>
    <cellStyle name="Normal 3 2 5 5 5 3" xfId="32740" xr:uid="{00000000-0005-0000-0000-0000E95D0000}"/>
    <cellStyle name="Normal 3 2 5 5 6" xfId="4311" xr:uid="{00000000-0005-0000-0000-0000EA5D0000}"/>
    <cellStyle name="Normal 3 2 5 5 6 2" xfId="32741" xr:uid="{00000000-0005-0000-0000-0000EB5D0000}"/>
    <cellStyle name="Normal 3 2 5 5 7" xfId="32733" xr:uid="{00000000-0005-0000-0000-0000EC5D0000}"/>
    <cellStyle name="Normal 3 2 5 6" xfId="4312" xr:uid="{00000000-0005-0000-0000-0000ED5D0000}"/>
    <cellStyle name="Normal 3 2 5 6 2" xfId="4313" xr:uid="{00000000-0005-0000-0000-0000EE5D0000}"/>
    <cellStyle name="Normal 3 2 5 6 2 2" xfId="4314" xr:uid="{00000000-0005-0000-0000-0000EF5D0000}"/>
    <cellStyle name="Normal 3 2 5 6 2 2 2" xfId="32744" xr:uid="{00000000-0005-0000-0000-0000F05D0000}"/>
    <cellStyle name="Normal 3 2 5 6 2 3" xfId="32743" xr:uid="{00000000-0005-0000-0000-0000F15D0000}"/>
    <cellStyle name="Normal 3 2 5 6 3" xfId="4315" xr:uid="{00000000-0005-0000-0000-0000F25D0000}"/>
    <cellStyle name="Normal 3 2 5 6 3 2" xfId="4316" xr:uid="{00000000-0005-0000-0000-0000F35D0000}"/>
    <cellStyle name="Normal 3 2 5 6 3 2 2" xfId="32746" xr:uid="{00000000-0005-0000-0000-0000F45D0000}"/>
    <cellStyle name="Normal 3 2 5 6 3 3" xfId="32745" xr:uid="{00000000-0005-0000-0000-0000F55D0000}"/>
    <cellStyle name="Normal 3 2 5 6 4" xfId="4317" xr:uid="{00000000-0005-0000-0000-0000F65D0000}"/>
    <cellStyle name="Normal 3 2 5 6 4 2" xfId="32748" xr:uid="{00000000-0005-0000-0000-0000F75D0000}"/>
    <cellStyle name="Normal 3 2 5 6 4 3" xfId="32747" xr:uid="{00000000-0005-0000-0000-0000F85D0000}"/>
    <cellStyle name="Normal 3 2 5 6 5" xfId="32749" xr:uid="{00000000-0005-0000-0000-0000F95D0000}"/>
    <cellStyle name="Normal 3 2 5 6 6" xfId="32750" xr:uid="{00000000-0005-0000-0000-0000FA5D0000}"/>
    <cellStyle name="Normal 3 2 5 6 7" xfId="32742" xr:uid="{00000000-0005-0000-0000-0000FB5D0000}"/>
    <cellStyle name="Normal 3 2 5 7" xfId="4318" xr:uid="{00000000-0005-0000-0000-0000FC5D0000}"/>
    <cellStyle name="Normal 3 2 5 7 2" xfId="4319" xr:uid="{00000000-0005-0000-0000-0000FD5D0000}"/>
    <cellStyle name="Normal 3 2 5 7 2 2" xfId="4320" xr:uid="{00000000-0005-0000-0000-0000FE5D0000}"/>
    <cellStyle name="Normal 3 2 5 7 2 2 2" xfId="32753" xr:uid="{00000000-0005-0000-0000-0000FF5D0000}"/>
    <cellStyle name="Normal 3 2 5 7 2 3" xfId="32752" xr:uid="{00000000-0005-0000-0000-0000005E0000}"/>
    <cellStyle name="Normal 3 2 5 7 3" xfId="4321" xr:uid="{00000000-0005-0000-0000-0000015E0000}"/>
    <cellStyle name="Normal 3 2 5 7 3 2" xfId="4322" xr:uid="{00000000-0005-0000-0000-0000025E0000}"/>
    <cellStyle name="Normal 3 2 5 7 3 2 2" xfId="32755" xr:uid="{00000000-0005-0000-0000-0000035E0000}"/>
    <cellStyle name="Normal 3 2 5 7 3 3" xfId="32754" xr:uid="{00000000-0005-0000-0000-0000045E0000}"/>
    <cellStyle name="Normal 3 2 5 7 4" xfId="4323" xr:uid="{00000000-0005-0000-0000-0000055E0000}"/>
    <cellStyle name="Normal 3 2 5 7 4 2" xfId="32757" xr:uid="{00000000-0005-0000-0000-0000065E0000}"/>
    <cellStyle name="Normal 3 2 5 7 4 3" xfId="32756" xr:uid="{00000000-0005-0000-0000-0000075E0000}"/>
    <cellStyle name="Normal 3 2 5 7 5" xfId="32758" xr:uid="{00000000-0005-0000-0000-0000085E0000}"/>
    <cellStyle name="Normal 3 2 5 7 6" xfId="32759" xr:uid="{00000000-0005-0000-0000-0000095E0000}"/>
    <cellStyle name="Normal 3 2 5 7 7" xfId="32751" xr:uid="{00000000-0005-0000-0000-00000A5E0000}"/>
    <cellStyle name="Normal 3 2 5 8" xfId="4324" xr:uid="{00000000-0005-0000-0000-00000B5E0000}"/>
    <cellStyle name="Normal 3 2 5 8 2" xfId="4325" xr:uid="{00000000-0005-0000-0000-00000C5E0000}"/>
    <cellStyle name="Normal 3 2 5 8 2 2" xfId="32762" xr:uid="{00000000-0005-0000-0000-00000D5E0000}"/>
    <cellStyle name="Normal 3 2 5 8 2 3" xfId="32761" xr:uid="{00000000-0005-0000-0000-00000E5E0000}"/>
    <cellStyle name="Normal 3 2 5 8 3" xfId="4326" xr:uid="{00000000-0005-0000-0000-00000F5E0000}"/>
    <cellStyle name="Normal 3 2 5 8 3 2" xfId="32764" xr:uid="{00000000-0005-0000-0000-0000105E0000}"/>
    <cellStyle name="Normal 3 2 5 8 3 3" xfId="32763" xr:uid="{00000000-0005-0000-0000-0000115E0000}"/>
    <cellStyle name="Normal 3 2 5 8 4" xfId="32765" xr:uid="{00000000-0005-0000-0000-0000125E0000}"/>
    <cellStyle name="Normal 3 2 5 8 5" xfId="32766" xr:uid="{00000000-0005-0000-0000-0000135E0000}"/>
    <cellStyle name="Normal 3 2 5 8 6" xfId="32760" xr:uid="{00000000-0005-0000-0000-0000145E0000}"/>
    <cellStyle name="Normal 3 2 5 9" xfId="4327" xr:uid="{00000000-0005-0000-0000-0000155E0000}"/>
    <cellStyle name="Normal 3 2 5 9 2" xfId="4328" xr:uid="{00000000-0005-0000-0000-0000165E0000}"/>
    <cellStyle name="Normal 3 2 5 9 2 2" xfId="32768" xr:uid="{00000000-0005-0000-0000-0000175E0000}"/>
    <cellStyle name="Normal 3 2 5 9 3" xfId="32767" xr:uid="{00000000-0005-0000-0000-0000185E0000}"/>
    <cellStyle name="Normal 3 2 6" xfId="4329" xr:uid="{00000000-0005-0000-0000-0000195E0000}"/>
    <cellStyle name="Normal 3 2 6 10" xfId="4330" xr:uid="{00000000-0005-0000-0000-00001A5E0000}"/>
    <cellStyle name="Normal 3 2 6 10 2" xfId="4331" xr:uid="{00000000-0005-0000-0000-00001B5E0000}"/>
    <cellStyle name="Normal 3 2 6 10 2 2" xfId="32771" xr:uid="{00000000-0005-0000-0000-00001C5E0000}"/>
    <cellStyle name="Normal 3 2 6 10 3" xfId="32770" xr:uid="{00000000-0005-0000-0000-00001D5E0000}"/>
    <cellStyle name="Normal 3 2 6 11" xfId="4332" xr:uid="{00000000-0005-0000-0000-00001E5E0000}"/>
    <cellStyle name="Normal 3 2 6 11 2" xfId="32772" xr:uid="{00000000-0005-0000-0000-00001F5E0000}"/>
    <cellStyle name="Normal 3 2 6 12" xfId="32773" xr:uid="{00000000-0005-0000-0000-0000205E0000}"/>
    <cellStyle name="Normal 3 2 6 13" xfId="32769" xr:uid="{00000000-0005-0000-0000-0000215E0000}"/>
    <cellStyle name="Normal 3 2 6 2" xfId="4333" xr:uid="{00000000-0005-0000-0000-0000225E0000}"/>
    <cellStyle name="Normal 3 2 6 2 10" xfId="32775" xr:uid="{00000000-0005-0000-0000-0000235E0000}"/>
    <cellStyle name="Normal 3 2 6 2 11" xfId="32774" xr:uid="{00000000-0005-0000-0000-0000245E0000}"/>
    <cellStyle name="Normal 3 2 6 2 2" xfId="4334" xr:uid="{00000000-0005-0000-0000-0000255E0000}"/>
    <cellStyle name="Normal 3 2 6 2 2 2" xfId="4335" xr:uid="{00000000-0005-0000-0000-0000265E0000}"/>
    <cellStyle name="Normal 3 2 6 2 2 2 2" xfId="4336" xr:uid="{00000000-0005-0000-0000-0000275E0000}"/>
    <cellStyle name="Normal 3 2 6 2 2 2 2 2" xfId="4337" xr:uid="{00000000-0005-0000-0000-0000285E0000}"/>
    <cellStyle name="Normal 3 2 6 2 2 2 2 3" xfId="4338" xr:uid="{00000000-0005-0000-0000-0000295E0000}"/>
    <cellStyle name="Normal 3 2 6 2 2 2 2 4" xfId="32778" xr:uid="{00000000-0005-0000-0000-00002A5E0000}"/>
    <cellStyle name="Normal 3 2 6 2 2 2 3" xfId="4339" xr:uid="{00000000-0005-0000-0000-00002B5E0000}"/>
    <cellStyle name="Normal 3 2 6 2 2 2 3 2" xfId="4340" xr:uid="{00000000-0005-0000-0000-00002C5E0000}"/>
    <cellStyle name="Normal 3 2 6 2 2 2 4" xfId="4341" xr:uid="{00000000-0005-0000-0000-00002D5E0000}"/>
    <cellStyle name="Normal 3 2 6 2 2 2 4 2" xfId="4342" xr:uid="{00000000-0005-0000-0000-00002E5E0000}"/>
    <cellStyle name="Normal 3 2 6 2 2 2 5" xfId="4343" xr:uid="{00000000-0005-0000-0000-00002F5E0000}"/>
    <cellStyle name="Normal 3 2 6 2 2 2 6" xfId="32777" xr:uid="{00000000-0005-0000-0000-0000305E0000}"/>
    <cellStyle name="Normal 3 2 6 2 2 3" xfId="4344" xr:uid="{00000000-0005-0000-0000-0000315E0000}"/>
    <cellStyle name="Normal 3 2 6 2 2 3 2" xfId="4345" xr:uid="{00000000-0005-0000-0000-0000325E0000}"/>
    <cellStyle name="Normal 3 2 6 2 2 3 2 2" xfId="4346" xr:uid="{00000000-0005-0000-0000-0000335E0000}"/>
    <cellStyle name="Normal 3 2 6 2 2 3 2 3" xfId="32780" xr:uid="{00000000-0005-0000-0000-0000345E0000}"/>
    <cellStyle name="Normal 3 2 6 2 2 3 3" xfId="4347" xr:uid="{00000000-0005-0000-0000-0000355E0000}"/>
    <cellStyle name="Normal 3 2 6 2 2 3 3 2" xfId="4348" xr:uid="{00000000-0005-0000-0000-0000365E0000}"/>
    <cellStyle name="Normal 3 2 6 2 2 3 4" xfId="4349" xr:uid="{00000000-0005-0000-0000-0000375E0000}"/>
    <cellStyle name="Normal 3 2 6 2 2 3 5" xfId="32779" xr:uid="{00000000-0005-0000-0000-0000385E0000}"/>
    <cellStyle name="Normal 3 2 6 2 2 4" xfId="4350" xr:uid="{00000000-0005-0000-0000-0000395E0000}"/>
    <cellStyle name="Normal 3 2 6 2 2 4 2" xfId="4351" xr:uid="{00000000-0005-0000-0000-00003A5E0000}"/>
    <cellStyle name="Normal 3 2 6 2 2 4 2 2" xfId="32782" xr:uid="{00000000-0005-0000-0000-00003B5E0000}"/>
    <cellStyle name="Normal 3 2 6 2 2 4 3" xfId="4352" xr:uid="{00000000-0005-0000-0000-00003C5E0000}"/>
    <cellStyle name="Normal 3 2 6 2 2 4 4" xfId="32781" xr:uid="{00000000-0005-0000-0000-00003D5E0000}"/>
    <cellStyle name="Normal 3 2 6 2 2 5" xfId="4353" xr:uid="{00000000-0005-0000-0000-00003E5E0000}"/>
    <cellStyle name="Normal 3 2 6 2 2 5 2" xfId="4354" xr:uid="{00000000-0005-0000-0000-00003F5E0000}"/>
    <cellStyle name="Normal 3 2 6 2 2 5 3" xfId="32783" xr:uid="{00000000-0005-0000-0000-0000405E0000}"/>
    <cellStyle name="Normal 3 2 6 2 2 6" xfId="4355" xr:uid="{00000000-0005-0000-0000-0000415E0000}"/>
    <cellStyle name="Normal 3 2 6 2 2 6 2" xfId="4356" xr:uid="{00000000-0005-0000-0000-0000425E0000}"/>
    <cellStyle name="Normal 3 2 6 2 2 6 3" xfId="32784" xr:uid="{00000000-0005-0000-0000-0000435E0000}"/>
    <cellStyle name="Normal 3 2 6 2 2 7" xfId="4357" xr:uid="{00000000-0005-0000-0000-0000445E0000}"/>
    <cellStyle name="Normal 3 2 6 2 2 8" xfId="32776" xr:uid="{00000000-0005-0000-0000-0000455E0000}"/>
    <cellStyle name="Normal 3 2 6 2 3" xfId="4358" xr:uid="{00000000-0005-0000-0000-0000465E0000}"/>
    <cellStyle name="Normal 3 2 6 2 3 2" xfId="4359" xr:uid="{00000000-0005-0000-0000-0000475E0000}"/>
    <cellStyle name="Normal 3 2 6 2 3 2 2" xfId="4360" xr:uid="{00000000-0005-0000-0000-0000485E0000}"/>
    <cellStyle name="Normal 3 2 6 2 3 2 2 2" xfId="32787" xr:uid="{00000000-0005-0000-0000-0000495E0000}"/>
    <cellStyle name="Normal 3 2 6 2 3 2 3" xfId="4361" xr:uid="{00000000-0005-0000-0000-00004A5E0000}"/>
    <cellStyle name="Normal 3 2 6 2 3 2 4" xfId="32786" xr:uid="{00000000-0005-0000-0000-00004B5E0000}"/>
    <cellStyle name="Normal 3 2 6 2 3 3" xfId="4362" xr:uid="{00000000-0005-0000-0000-00004C5E0000}"/>
    <cellStyle name="Normal 3 2 6 2 3 3 2" xfId="4363" xr:uid="{00000000-0005-0000-0000-00004D5E0000}"/>
    <cellStyle name="Normal 3 2 6 2 3 3 2 2" xfId="32789" xr:uid="{00000000-0005-0000-0000-00004E5E0000}"/>
    <cellStyle name="Normal 3 2 6 2 3 3 3" xfId="32788" xr:uid="{00000000-0005-0000-0000-00004F5E0000}"/>
    <cellStyle name="Normal 3 2 6 2 3 4" xfId="4364" xr:uid="{00000000-0005-0000-0000-0000505E0000}"/>
    <cellStyle name="Normal 3 2 6 2 3 4 2" xfId="4365" xr:uid="{00000000-0005-0000-0000-0000515E0000}"/>
    <cellStyle name="Normal 3 2 6 2 3 4 2 2" xfId="32791" xr:uid="{00000000-0005-0000-0000-0000525E0000}"/>
    <cellStyle name="Normal 3 2 6 2 3 4 3" xfId="32790" xr:uid="{00000000-0005-0000-0000-0000535E0000}"/>
    <cellStyle name="Normal 3 2 6 2 3 5" xfId="4366" xr:uid="{00000000-0005-0000-0000-0000545E0000}"/>
    <cellStyle name="Normal 3 2 6 2 3 5 2" xfId="32792" xr:uid="{00000000-0005-0000-0000-0000555E0000}"/>
    <cellStyle name="Normal 3 2 6 2 3 6" xfId="32793" xr:uid="{00000000-0005-0000-0000-0000565E0000}"/>
    <cellStyle name="Normal 3 2 6 2 3 7" xfId="32785" xr:uid="{00000000-0005-0000-0000-0000575E0000}"/>
    <cellStyle name="Normal 3 2 6 2 4" xfId="4367" xr:uid="{00000000-0005-0000-0000-0000585E0000}"/>
    <cellStyle name="Normal 3 2 6 2 4 2" xfId="4368" xr:uid="{00000000-0005-0000-0000-0000595E0000}"/>
    <cellStyle name="Normal 3 2 6 2 4 2 2" xfId="4369" xr:uid="{00000000-0005-0000-0000-00005A5E0000}"/>
    <cellStyle name="Normal 3 2 6 2 4 2 2 2" xfId="32796" xr:uid="{00000000-0005-0000-0000-00005B5E0000}"/>
    <cellStyle name="Normal 3 2 6 2 4 2 3" xfId="32795" xr:uid="{00000000-0005-0000-0000-00005C5E0000}"/>
    <cellStyle name="Normal 3 2 6 2 4 3" xfId="4370" xr:uid="{00000000-0005-0000-0000-00005D5E0000}"/>
    <cellStyle name="Normal 3 2 6 2 4 3 2" xfId="4371" xr:uid="{00000000-0005-0000-0000-00005E5E0000}"/>
    <cellStyle name="Normal 3 2 6 2 4 3 2 2" xfId="32798" xr:uid="{00000000-0005-0000-0000-00005F5E0000}"/>
    <cellStyle name="Normal 3 2 6 2 4 3 3" xfId="32797" xr:uid="{00000000-0005-0000-0000-0000605E0000}"/>
    <cellStyle name="Normal 3 2 6 2 4 4" xfId="4372" xr:uid="{00000000-0005-0000-0000-0000615E0000}"/>
    <cellStyle name="Normal 3 2 6 2 4 4 2" xfId="32800" xr:uid="{00000000-0005-0000-0000-0000625E0000}"/>
    <cellStyle name="Normal 3 2 6 2 4 4 3" xfId="32799" xr:uid="{00000000-0005-0000-0000-0000635E0000}"/>
    <cellStyle name="Normal 3 2 6 2 4 5" xfId="32801" xr:uid="{00000000-0005-0000-0000-0000645E0000}"/>
    <cellStyle name="Normal 3 2 6 2 4 6" xfId="32802" xr:uid="{00000000-0005-0000-0000-0000655E0000}"/>
    <cellStyle name="Normal 3 2 6 2 4 7" xfId="32794" xr:uid="{00000000-0005-0000-0000-0000665E0000}"/>
    <cellStyle name="Normal 3 2 6 2 5" xfId="4373" xr:uid="{00000000-0005-0000-0000-0000675E0000}"/>
    <cellStyle name="Normal 3 2 6 2 5 2" xfId="4374" xr:uid="{00000000-0005-0000-0000-0000685E0000}"/>
    <cellStyle name="Normal 3 2 6 2 5 2 2" xfId="32805" xr:uid="{00000000-0005-0000-0000-0000695E0000}"/>
    <cellStyle name="Normal 3 2 6 2 5 2 3" xfId="32804" xr:uid="{00000000-0005-0000-0000-00006A5E0000}"/>
    <cellStyle name="Normal 3 2 6 2 5 3" xfId="4375" xr:uid="{00000000-0005-0000-0000-00006B5E0000}"/>
    <cellStyle name="Normal 3 2 6 2 5 3 2" xfId="32807" xr:uid="{00000000-0005-0000-0000-00006C5E0000}"/>
    <cellStyle name="Normal 3 2 6 2 5 3 3" xfId="32806" xr:uid="{00000000-0005-0000-0000-00006D5E0000}"/>
    <cellStyle name="Normal 3 2 6 2 5 4" xfId="32808" xr:uid="{00000000-0005-0000-0000-00006E5E0000}"/>
    <cellStyle name="Normal 3 2 6 2 5 5" xfId="32809" xr:uid="{00000000-0005-0000-0000-00006F5E0000}"/>
    <cellStyle name="Normal 3 2 6 2 5 6" xfId="32803" xr:uid="{00000000-0005-0000-0000-0000705E0000}"/>
    <cellStyle name="Normal 3 2 6 2 6" xfId="4376" xr:uid="{00000000-0005-0000-0000-0000715E0000}"/>
    <cellStyle name="Normal 3 2 6 2 6 2" xfId="4377" xr:uid="{00000000-0005-0000-0000-0000725E0000}"/>
    <cellStyle name="Normal 3 2 6 2 6 2 2" xfId="32811" xr:uid="{00000000-0005-0000-0000-0000735E0000}"/>
    <cellStyle name="Normal 3 2 6 2 6 3" xfId="32810" xr:uid="{00000000-0005-0000-0000-0000745E0000}"/>
    <cellStyle name="Normal 3 2 6 2 7" xfId="4378" xr:uid="{00000000-0005-0000-0000-0000755E0000}"/>
    <cellStyle name="Normal 3 2 6 2 7 2" xfId="4379" xr:uid="{00000000-0005-0000-0000-0000765E0000}"/>
    <cellStyle name="Normal 3 2 6 2 7 2 2" xfId="32813" xr:uid="{00000000-0005-0000-0000-0000775E0000}"/>
    <cellStyle name="Normal 3 2 6 2 7 3" xfId="32812" xr:uid="{00000000-0005-0000-0000-0000785E0000}"/>
    <cellStyle name="Normal 3 2 6 2 8" xfId="4380" xr:uid="{00000000-0005-0000-0000-0000795E0000}"/>
    <cellStyle name="Normal 3 2 6 2 8 2" xfId="32815" xr:uid="{00000000-0005-0000-0000-00007A5E0000}"/>
    <cellStyle name="Normal 3 2 6 2 8 3" xfId="32814" xr:uid="{00000000-0005-0000-0000-00007B5E0000}"/>
    <cellStyle name="Normal 3 2 6 2 9" xfId="32816" xr:uid="{00000000-0005-0000-0000-00007C5E0000}"/>
    <cellStyle name="Normal 3 2 6 3" xfId="4381" xr:uid="{00000000-0005-0000-0000-00007D5E0000}"/>
    <cellStyle name="Normal 3 2 6 3 10" xfId="32818" xr:uid="{00000000-0005-0000-0000-00007E5E0000}"/>
    <cellStyle name="Normal 3 2 6 3 11" xfId="32817" xr:uid="{00000000-0005-0000-0000-00007F5E0000}"/>
    <cellStyle name="Normal 3 2 6 3 2" xfId="4382" xr:uid="{00000000-0005-0000-0000-0000805E0000}"/>
    <cellStyle name="Normal 3 2 6 3 2 2" xfId="4383" xr:uid="{00000000-0005-0000-0000-0000815E0000}"/>
    <cellStyle name="Normal 3 2 6 3 2 2 2" xfId="4384" xr:uid="{00000000-0005-0000-0000-0000825E0000}"/>
    <cellStyle name="Normal 3 2 6 3 2 2 2 2" xfId="32821" xr:uid="{00000000-0005-0000-0000-0000835E0000}"/>
    <cellStyle name="Normal 3 2 6 3 2 2 3" xfId="4385" xr:uid="{00000000-0005-0000-0000-0000845E0000}"/>
    <cellStyle name="Normal 3 2 6 3 2 2 4" xfId="32820" xr:uid="{00000000-0005-0000-0000-0000855E0000}"/>
    <cellStyle name="Normal 3 2 6 3 2 3" xfId="4386" xr:uid="{00000000-0005-0000-0000-0000865E0000}"/>
    <cellStyle name="Normal 3 2 6 3 2 3 2" xfId="4387" xr:uid="{00000000-0005-0000-0000-0000875E0000}"/>
    <cellStyle name="Normal 3 2 6 3 2 3 2 2" xfId="32823" xr:uid="{00000000-0005-0000-0000-0000885E0000}"/>
    <cellStyle name="Normal 3 2 6 3 2 3 3" xfId="32822" xr:uid="{00000000-0005-0000-0000-0000895E0000}"/>
    <cellStyle name="Normal 3 2 6 3 2 4" xfId="4388" xr:uid="{00000000-0005-0000-0000-00008A5E0000}"/>
    <cellStyle name="Normal 3 2 6 3 2 4 2" xfId="4389" xr:uid="{00000000-0005-0000-0000-00008B5E0000}"/>
    <cellStyle name="Normal 3 2 6 3 2 4 2 2" xfId="32825" xr:uid="{00000000-0005-0000-0000-00008C5E0000}"/>
    <cellStyle name="Normal 3 2 6 3 2 4 3" xfId="32824" xr:uid="{00000000-0005-0000-0000-00008D5E0000}"/>
    <cellStyle name="Normal 3 2 6 3 2 5" xfId="4390" xr:uid="{00000000-0005-0000-0000-00008E5E0000}"/>
    <cellStyle name="Normal 3 2 6 3 2 5 2" xfId="32826" xr:uid="{00000000-0005-0000-0000-00008F5E0000}"/>
    <cellStyle name="Normal 3 2 6 3 2 6" xfId="32827" xr:uid="{00000000-0005-0000-0000-0000905E0000}"/>
    <cellStyle name="Normal 3 2 6 3 2 7" xfId="32819" xr:uid="{00000000-0005-0000-0000-0000915E0000}"/>
    <cellStyle name="Normal 3 2 6 3 3" xfId="4391" xr:uid="{00000000-0005-0000-0000-0000925E0000}"/>
    <cellStyle name="Normal 3 2 6 3 3 2" xfId="4392" xr:uid="{00000000-0005-0000-0000-0000935E0000}"/>
    <cellStyle name="Normal 3 2 6 3 3 2 2" xfId="4393" xr:uid="{00000000-0005-0000-0000-0000945E0000}"/>
    <cellStyle name="Normal 3 2 6 3 3 2 2 2" xfId="32830" xr:uid="{00000000-0005-0000-0000-0000955E0000}"/>
    <cellStyle name="Normal 3 2 6 3 3 2 3" xfId="32829" xr:uid="{00000000-0005-0000-0000-0000965E0000}"/>
    <cellStyle name="Normal 3 2 6 3 3 3" xfId="4394" xr:uid="{00000000-0005-0000-0000-0000975E0000}"/>
    <cellStyle name="Normal 3 2 6 3 3 3 2" xfId="4395" xr:uid="{00000000-0005-0000-0000-0000985E0000}"/>
    <cellStyle name="Normal 3 2 6 3 3 3 2 2" xfId="32832" xr:uid="{00000000-0005-0000-0000-0000995E0000}"/>
    <cellStyle name="Normal 3 2 6 3 3 3 3" xfId="32831" xr:uid="{00000000-0005-0000-0000-00009A5E0000}"/>
    <cellStyle name="Normal 3 2 6 3 3 4" xfId="4396" xr:uid="{00000000-0005-0000-0000-00009B5E0000}"/>
    <cellStyle name="Normal 3 2 6 3 3 4 2" xfId="32834" xr:uid="{00000000-0005-0000-0000-00009C5E0000}"/>
    <cellStyle name="Normal 3 2 6 3 3 4 3" xfId="32833" xr:uid="{00000000-0005-0000-0000-00009D5E0000}"/>
    <cellStyle name="Normal 3 2 6 3 3 5" xfId="32835" xr:uid="{00000000-0005-0000-0000-00009E5E0000}"/>
    <cellStyle name="Normal 3 2 6 3 3 6" xfId="32836" xr:uid="{00000000-0005-0000-0000-00009F5E0000}"/>
    <cellStyle name="Normal 3 2 6 3 3 7" xfId="32828" xr:uid="{00000000-0005-0000-0000-0000A05E0000}"/>
    <cellStyle name="Normal 3 2 6 3 4" xfId="4397" xr:uid="{00000000-0005-0000-0000-0000A15E0000}"/>
    <cellStyle name="Normal 3 2 6 3 4 2" xfId="4398" xr:uid="{00000000-0005-0000-0000-0000A25E0000}"/>
    <cellStyle name="Normal 3 2 6 3 4 2 2" xfId="32839" xr:uid="{00000000-0005-0000-0000-0000A35E0000}"/>
    <cellStyle name="Normal 3 2 6 3 4 2 3" xfId="32838" xr:uid="{00000000-0005-0000-0000-0000A45E0000}"/>
    <cellStyle name="Normal 3 2 6 3 4 3" xfId="4399" xr:uid="{00000000-0005-0000-0000-0000A55E0000}"/>
    <cellStyle name="Normal 3 2 6 3 4 3 2" xfId="32841" xr:uid="{00000000-0005-0000-0000-0000A65E0000}"/>
    <cellStyle name="Normal 3 2 6 3 4 3 3" xfId="32840" xr:uid="{00000000-0005-0000-0000-0000A75E0000}"/>
    <cellStyle name="Normal 3 2 6 3 4 4" xfId="32842" xr:uid="{00000000-0005-0000-0000-0000A85E0000}"/>
    <cellStyle name="Normal 3 2 6 3 4 4 2" xfId="32843" xr:uid="{00000000-0005-0000-0000-0000A95E0000}"/>
    <cellStyle name="Normal 3 2 6 3 4 5" xfId="32844" xr:uid="{00000000-0005-0000-0000-0000AA5E0000}"/>
    <cellStyle name="Normal 3 2 6 3 4 6" xfId="32845" xr:uid="{00000000-0005-0000-0000-0000AB5E0000}"/>
    <cellStyle name="Normal 3 2 6 3 4 7" xfId="32837" xr:uid="{00000000-0005-0000-0000-0000AC5E0000}"/>
    <cellStyle name="Normal 3 2 6 3 5" xfId="4400" xr:uid="{00000000-0005-0000-0000-0000AD5E0000}"/>
    <cellStyle name="Normal 3 2 6 3 5 2" xfId="4401" xr:uid="{00000000-0005-0000-0000-0000AE5E0000}"/>
    <cellStyle name="Normal 3 2 6 3 5 2 2" xfId="32848" xr:uid="{00000000-0005-0000-0000-0000AF5E0000}"/>
    <cellStyle name="Normal 3 2 6 3 5 2 3" xfId="32847" xr:uid="{00000000-0005-0000-0000-0000B05E0000}"/>
    <cellStyle name="Normal 3 2 6 3 5 3" xfId="32849" xr:uid="{00000000-0005-0000-0000-0000B15E0000}"/>
    <cellStyle name="Normal 3 2 6 3 5 3 2" xfId="32850" xr:uid="{00000000-0005-0000-0000-0000B25E0000}"/>
    <cellStyle name="Normal 3 2 6 3 5 4" xfId="32851" xr:uid="{00000000-0005-0000-0000-0000B35E0000}"/>
    <cellStyle name="Normal 3 2 6 3 5 5" xfId="32852" xr:uid="{00000000-0005-0000-0000-0000B45E0000}"/>
    <cellStyle name="Normal 3 2 6 3 5 6" xfId="32846" xr:uid="{00000000-0005-0000-0000-0000B55E0000}"/>
    <cellStyle name="Normal 3 2 6 3 6" xfId="4402" xr:uid="{00000000-0005-0000-0000-0000B65E0000}"/>
    <cellStyle name="Normal 3 2 6 3 6 2" xfId="4403" xr:uid="{00000000-0005-0000-0000-0000B75E0000}"/>
    <cellStyle name="Normal 3 2 6 3 6 2 2" xfId="32854" xr:uid="{00000000-0005-0000-0000-0000B85E0000}"/>
    <cellStyle name="Normal 3 2 6 3 6 3" xfId="32853" xr:uid="{00000000-0005-0000-0000-0000B95E0000}"/>
    <cellStyle name="Normal 3 2 6 3 7" xfId="4404" xr:uid="{00000000-0005-0000-0000-0000BA5E0000}"/>
    <cellStyle name="Normal 3 2 6 3 7 2" xfId="32856" xr:uid="{00000000-0005-0000-0000-0000BB5E0000}"/>
    <cellStyle name="Normal 3 2 6 3 7 3" xfId="32855" xr:uid="{00000000-0005-0000-0000-0000BC5E0000}"/>
    <cellStyle name="Normal 3 2 6 3 8" xfId="32857" xr:uid="{00000000-0005-0000-0000-0000BD5E0000}"/>
    <cellStyle name="Normal 3 2 6 3 8 2" xfId="32858" xr:uid="{00000000-0005-0000-0000-0000BE5E0000}"/>
    <cellStyle name="Normal 3 2 6 3 9" xfId="32859" xr:uid="{00000000-0005-0000-0000-0000BF5E0000}"/>
    <cellStyle name="Normal 3 2 6 4" xfId="4405" xr:uid="{00000000-0005-0000-0000-0000C05E0000}"/>
    <cellStyle name="Normal 3 2 6 4 2" xfId="4406" xr:uid="{00000000-0005-0000-0000-0000C15E0000}"/>
    <cellStyle name="Normal 3 2 6 4 2 2" xfId="4407" xr:uid="{00000000-0005-0000-0000-0000C25E0000}"/>
    <cellStyle name="Normal 3 2 6 4 2 2 2" xfId="4408" xr:uid="{00000000-0005-0000-0000-0000C35E0000}"/>
    <cellStyle name="Normal 3 2 6 4 2 2 3" xfId="4409" xr:uid="{00000000-0005-0000-0000-0000C45E0000}"/>
    <cellStyle name="Normal 3 2 6 4 2 2 4" xfId="32862" xr:uid="{00000000-0005-0000-0000-0000C55E0000}"/>
    <cellStyle name="Normal 3 2 6 4 2 3" xfId="4410" xr:uid="{00000000-0005-0000-0000-0000C65E0000}"/>
    <cellStyle name="Normal 3 2 6 4 2 3 2" xfId="4411" xr:uid="{00000000-0005-0000-0000-0000C75E0000}"/>
    <cellStyle name="Normal 3 2 6 4 2 4" xfId="4412" xr:uid="{00000000-0005-0000-0000-0000C85E0000}"/>
    <cellStyle name="Normal 3 2 6 4 2 4 2" xfId="4413" xr:uid="{00000000-0005-0000-0000-0000C95E0000}"/>
    <cellStyle name="Normal 3 2 6 4 2 5" xfId="4414" xr:uid="{00000000-0005-0000-0000-0000CA5E0000}"/>
    <cellStyle name="Normal 3 2 6 4 2 6" xfId="32861" xr:uid="{00000000-0005-0000-0000-0000CB5E0000}"/>
    <cellStyle name="Normal 3 2 6 4 3" xfId="4415" xr:uid="{00000000-0005-0000-0000-0000CC5E0000}"/>
    <cellStyle name="Normal 3 2 6 4 3 2" xfId="4416" xr:uid="{00000000-0005-0000-0000-0000CD5E0000}"/>
    <cellStyle name="Normal 3 2 6 4 3 2 2" xfId="4417" xr:uid="{00000000-0005-0000-0000-0000CE5E0000}"/>
    <cellStyle name="Normal 3 2 6 4 3 2 3" xfId="32864" xr:uid="{00000000-0005-0000-0000-0000CF5E0000}"/>
    <cellStyle name="Normal 3 2 6 4 3 3" xfId="4418" xr:uid="{00000000-0005-0000-0000-0000D05E0000}"/>
    <cellStyle name="Normal 3 2 6 4 3 3 2" xfId="4419" xr:uid="{00000000-0005-0000-0000-0000D15E0000}"/>
    <cellStyle name="Normal 3 2 6 4 3 4" xfId="4420" xr:uid="{00000000-0005-0000-0000-0000D25E0000}"/>
    <cellStyle name="Normal 3 2 6 4 3 5" xfId="32863" xr:uid="{00000000-0005-0000-0000-0000D35E0000}"/>
    <cellStyle name="Normal 3 2 6 4 4" xfId="4421" xr:uid="{00000000-0005-0000-0000-0000D45E0000}"/>
    <cellStyle name="Normal 3 2 6 4 4 2" xfId="4422" xr:uid="{00000000-0005-0000-0000-0000D55E0000}"/>
    <cellStyle name="Normal 3 2 6 4 4 2 2" xfId="32866" xr:uid="{00000000-0005-0000-0000-0000D65E0000}"/>
    <cellStyle name="Normal 3 2 6 4 4 3" xfId="4423" xr:uid="{00000000-0005-0000-0000-0000D75E0000}"/>
    <cellStyle name="Normal 3 2 6 4 4 4" xfId="32865" xr:uid="{00000000-0005-0000-0000-0000D85E0000}"/>
    <cellStyle name="Normal 3 2 6 4 5" xfId="4424" xr:uid="{00000000-0005-0000-0000-0000D95E0000}"/>
    <cellStyle name="Normal 3 2 6 4 5 2" xfId="4425" xr:uid="{00000000-0005-0000-0000-0000DA5E0000}"/>
    <cellStyle name="Normal 3 2 6 4 5 3" xfId="32867" xr:uid="{00000000-0005-0000-0000-0000DB5E0000}"/>
    <cellStyle name="Normal 3 2 6 4 6" xfId="4426" xr:uid="{00000000-0005-0000-0000-0000DC5E0000}"/>
    <cellStyle name="Normal 3 2 6 4 6 2" xfId="4427" xr:uid="{00000000-0005-0000-0000-0000DD5E0000}"/>
    <cellStyle name="Normal 3 2 6 4 6 3" xfId="32868" xr:uid="{00000000-0005-0000-0000-0000DE5E0000}"/>
    <cellStyle name="Normal 3 2 6 4 7" xfId="4428" xr:uid="{00000000-0005-0000-0000-0000DF5E0000}"/>
    <cellStyle name="Normal 3 2 6 4 8" xfId="32860" xr:uid="{00000000-0005-0000-0000-0000E05E0000}"/>
    <cellStyle name="Normal 3 2 6 5" xfId="4429" xr:uid="{00000000-0005-0000-0000-0000E15E0000}"/>
    <cellStyle name="Normal 3 2 6 5 2" xfId="4430" xr:uid="{00000000-0005-0000-0000-0000E25E0000}"/>
    <cellStyle name="Normal 3 2 6 5 2 2" xfId="4431" xr:uid="{00000000-0005-0000-0000-0000E35E0000}"/>
    <cellStyle name="Normal 3 2 6 5 2 2 2" xfId="4432" xr:uid="{00000000-0005-0000-0000-0000E45E0000}"/>
    <cellStyle name="Normal 3 2 6 5 2 2 3" xfId="32871" xr:uid="{00000000-0005-0000-0000-0000E55E0000}"/>
    <cellStyle name="Normal 3 2 6 5 2 3" xfId="4433" xr:uid="{00000000-0005-0000-0000-0000E65E0000}"/>
    <cellStyle name="Normal 3 2 6 5 2 3 2" xfId="4434" xr:uid="{00000000-0005-0000-0000-0000E75E0000}"/>
    <cellStyle name="Normal 3 2 6 5 2 4" xfId="4435" xr:uid="{00000000-0005-0000-0000-0000E85E0000}"/>
    <cellStyle name="Normal 3 2 6 5 2 5" xfId="32870" xr:uid="{00000000-0005-0000-0000-0000E95E0000}"/>
    <cellStyle name="Normal 3 2 6 5 3" xfId="4436" xr:uid="{00000000-0005-0000-0000-0000EA5E0000}"/>
    <cellStyle name="Normal 3 2 6 5 3 2" xfId="4437" xr:uid="{00000000-0005-0000-0000-0000EB5E0000}"/>
    <cellStyle name="Normal 3 2 6 5 3 2 2" xfId="32873" xr:uid="{00000000-0005-0000-0000-0000EC5E0000}"/>
    <cellStyle name="Normal 3 2 6 5 3 3" xfId="4438" xr:uid="{00000000-0005-0000-0000-0000ED5E0000}"/>
    <cellStyle name="Normal 3 2 6 5 3 4" xfId="32872" xr:uid="{00000000-0005-0000-0000-0000EE5E0000}"/>
    <cellStyle name="Normal 3 2 6 5 4" xfId="4439" xr:uid="{00000000-0005-0000-0000-0000EF5E0000}"/>
    <cellStyle name="Normal 3 2 6 5 4 2" xfId="4440" xr:uid="{00000000-0005-0000-0000-0000F05E0000}"/>
    <cellStyle name="Normal 3 2 6 5 4 2 2" xfId="32875" xr:uid="{00000000-0005-0000-0000-0000F15E0000}"/>
    <cellStyle name="Normal 3 2 6 5 4 3" xfId="32874" xr:uid="{00000000-0005-0000-0000-0000F25E0000}"/>
    <cellStyle name="Normal 3 2 6 5 5" xfId="4441" xr:uid="{00000000-0005-0000-0000-0000F35E0000}"/>
    <cellStyle name="Normal 3 2 6 5 5 2" xfId="4442" xr:uid="{00000000-0005-0000-0000-0000F45E0000}"/>
    <cellStyle name="Normal 3 2 6 5 5 3" xfId="32876" xr:uid="{00000000-0005-0000-0000-0000F55E0000}"/>
    <cellStyle name="Normal 3 2 6 5 6" xfId="4443" xr:uid="{00000000-0005-0000-0000-0000F65E0000}"/>
    <cellStyle name="Normal 3 2 6 5 6 2" xfId="32877" xr:uid="{00000000-0005-0000-0000-0000F75E0000}"/>
    <cellStyle name="Normal 3 2 6 5 7" xfId="32869" xr:uid="{00000000-0005-0000-0000-0000F85E0000}"/>
    <cellStyle name="Normal 3 2 6 6" xfId="4444" xr:uid="{00000000-0005-0000-0000-0000F95E0000}"/>
    <cellStyle name="Normal 3 2 6 6 2" xfId="4445" xr:uid="{00000000-0005-0000-0000-0000FA5E0000}"/>
    <cellStyle name="Normal 3 2 6 6 2 2" xfId="4446" xr:uid="{00000000-0005-0000-0000-0000FB5E0000}"/>
    <cellStyle name="Normal 3 2 6 6 2 2 2" xfId="32880" xr:uid="{00000000-0005-0000-0000-0000FC5E0000}"/>
    <cellStyle name="Normal 3 2 6 6 2 3" xfId="32879" xr:uid="{00000000-0005-0000-0000-0000FD5E0000}"/>
    <cellStyle name="Normal 3 2 6 6 3" xfId="4447" xr:uid="{00000000-0005-0000-0000-0000FE5E0000}"/>
    <cellStyle name="Normal 3 2 6 6 3 2" xfId="4448" xr:uid="{00000000-0005-0000-0000-0000FF5E0000}"/>
    <cellStyle name="Normal 3 2 6 6 3 2 2" xfId="32882" xr:uid="{00000000-0005-0000-0000-0000005F0000}"/>
    <cellStyle name="Normal 3 2 6 6 3 3" xfId="32881" xr:uid="{00000000-0005-0000-0000-0000015F0000}"/>
    <cellStyle name="Normal 3 2 6 6 4" xfId="4449" xr:uid="{00000000-0005-0000-0000-0000025F0000}"/>
    <cellStyle name="Normal 3 2 6 6 4 2" xfId="32884" xr:uid="{00000000-0005-0000-0000-0000035F0000}"/>
    <cellStyle name="Normal 3 2 6 6 4 3" xfId="32883" xr:uid="{00000000-0005-0000-0000-0000045F0000}"/>
    <cellStyle name="Normal 3 2 6 6 5" xfId="32885" xr:uid="{00000000-0005-0000-0000-0000055F0000}"/>
    <cellStyle name="Normal 3 2 6 6 6" xfId="32886" xr:uid="{00000000-0005-0000-0000-0000065F0000}"/>
    <cellStyle name="Normal 3 2 6 6 7" xfId="32878" xr:uid="{00000000-0005-0000-0000-0000075F0000}"/>
    <cellStyle name="Normal 3 2 6 7" xfId="4450" xr:uid="{00000000-0005-0000-0000-0000085F0000}"/>
    <cellStyle name="Normal 3 2 6 7 2" xfId="4451" xr:uid="{00000000-0005-0000-0000-0000095F0000}"/>
    <cellStyle name="Normal 3 2 6 7 2 2" xfId="4452" xr:uid="{00000000-0005-0000-0000-00000A5F0000}"/>
    <cellStyle name="Normal 3 2 6 7 2 2 2" xfId="32889" xr:uid="{00000000-0005-0000-0000-00000B5F0000}"/>
    <cellStyle name="Normal 3 2 6 7 2 3" xfId="32888" xr:uid="{00000000-0005-0000-0000-00000C5F0000}"/>
    <cellStyle name="Normal 3 2 6 7 3" xfId="4453" xr:uid="{00000000-0005-0000-0000-00000D5F0000}"/>
    <cellStyle name="Normal 3 2 6 7 3 2" xfId="4454" xr:uid="{00000000-0005-0000-0000-00000E5F0000}"/>
    <cellStyle name="Normal 3 2 6 7 3 2 2" xfId="32891" xr:uid="{00000000-0005-0000-0000-00000F5F0000}"/>
    <cellStyle name="Normal 3 2 6 7 3 3" xfId="32890" xr:uid="{00000000-0005-0000-0000-0000105F0000}"/>
    <cellStyle name="Normal 3 2 6 7 4" xfId="4455" xr:uid="{00000000-0005-0000-0000-0000115F0000}"/>
    <cellStyle name="Normal 3 2 6 7 4 2" xfId="32892" xr:uid="{00000000-0005-0000-0000-0000125F0000}"/>
    <cellStyle name="Normal 3 2 6 7 5" xfId="32893" xr:uid="{00000000-0005-0000-0000-0000135F0000}"/>
    <cellStyle name="Normal 3 2 6 7 6" xfId="32887" xr:uid="{00000000-0005-0000-0000-0000145F0000}"/>
    <cellStyle name="Normal 3 2 6 8" xfId="4456" xr:uid="{00000000-0005-0000-0000-0000155F0000}"/>
    <cellStyle name="Normal 3 2 6 8 2" xfId="4457" xr:uid="{00000000-0005-0000-0000-0000165F0000}"/>
    <cellStyle name="Normal 3 2 6 8 2 2" xfId="32895" xr:uid="{00000000-0005-0000-0000-0000175F0000}"/>
    <cellStyle name="Normal 3 2 6 8 3" xfId="4458" xr:uid="{00000000-0005-0000-0000-0000185F0000}"/>
    <cellStyle name="Normal 3 2 6 8 4" xfId="32894" xr:uid="{00000000-0005-0000-0000-0000195F0000}"/>
    <cellStyle name="Normal 3 2 6 9" xfId="4459" xr:uid="{00000000-0005-0000-0000-00001A5F0000}"/>
    <cellStyle name="Normal 3 2 6 9 2" xfId="4460" xr:uid="{00000000-0005-0000-0000-00001B5F0000}"/>
    <cellStyle name="Normal 3 2 6 9 2 2" xfId="32897" xr:uid="{00000000-0005-0000-0000-00001C5F0000}"/>
    <cellStyle name="Normal 3 2 6 9 3" xfId="32896" xr:uid="{00000000-0005-0000-0000-00001D5F0000}"/>
    <cellStyle name="Normal 3 2 7" xfId="4461" xr:uid="{00000000-0005-0000-0000-00001E5F0000}"/>
    <cellStyle name="Normal 3 2 7 10" xfId="4462" xr:uid="{00000000-0005-0000-0000-00001F5F0000}"/>
    <cellStyle name="Normal 3 2 7 10 2" xfId="32899" xr:uid="{00000000-0005-0000-0000-0000205F0000}"/>
    <cellStyle name="Normal 3 2 7 11" xfId="32900" xr:uid="{00000000-0005-0000-0000-0000215F0000}"/>
    <cellStyle name="Normal 3 2 7 12" xfId="32898" xr:uid="{00000000-0005-0000-0000-0000225F0000}"/>
    <cellStyle name="Normal 3 2 7 2" xfId="4463" xr:uid="{00000000-0005-0000-0000-0000235F0000}"/>
    <cellStyle name="Normal 3 2 7 2 2" xfId="4464" xr:uid="{00000000-0005-0000-0000-0000245F0000}"/>
    <cellStyle name="Normal 3 2 7 2 2 2" xfId="4465" xr:uid="{00000000-0005-0000-0000-0000255F0000}"/>
    <cellStyle name="Normal 3 2 7 2 2 2 2" xfId="4466" xr:uid="{00000000-0005-0000-0000-0000265F0000}"/>
    <cellStyle name="Normal 3 2 7 2 2 2 3" xfId="4467" xr:uid="{00000000-0005-0000-0000-0000275F0000}"/>
    <cellStyle name="Normal 3 2 7 2 2 2 4" xfId="32903" xr:uid="{00000000-0005-0000-0000-0000285F0000}"/>
    <cellStyle name="Normal 3 2 7 2 2 3" xfId="4468" xr:uid="{00000000-0005-0000-0000-0000295F0000}"/>
    <cellStyle name="Normal 3 2 7 2 2 3 2" xfId="4469" xr:uid="{00000000-0005-0000-0000-00002A5F0000}"/>
    <cellStyle name="Normal 3 2 7 2 2 4" xfId="4470" xr:uid="{00000000-0005-0000-0000-00002B5F0000}"/>
    <cellStyle name="Normal 3 2 7 2 2 4 2" xfId="4471" xr:uid="{00000000-0005-0000-0000-00002C5F0000}"/>
    <cellStyle name="Normal 3 2 7 2 2 5" xfId="4472" xr:uid="{00000000-0005-0000-0000-00002D5F0000}"/>
    <cellStyle name="Normal 3 2 7 2 2 6" xfId="32902" xr:uid="{00000000-0005-0000-0000-00002E5F0000}"/>
    <cellStyle name="Normal 3 2 7 2 3" xfId="4473" xr:uid="{00000000-0005-0000-0000-00002F5F0000}"/>
    <cellStyle name="Normal 3 2 7 2 3 2" xfId="4474" xr:uid="{00000000-0005-0000-0000-0000305F0000}"/>
    <cellStyle name="Normal 3 2 7 2 3 2 2" xfId="4475" xr:uid="{00000000-0005-0000-0000-0000315F0000}"/>
    <cellStyle name="Normal 3 2 7 2 3 2 3" xfId="32905" xr:uid="{00000000-0005-0000-0000-0000325F0000}"/>
    <cellStyle name="Normal 3 2 7 2 3 3" xfId="4476" xr:uid="{00000000-0005-0000-0000-0000335F0000}"/>
    <cellStyle name="Normal 3 2 7 2 3 3 2" xfId="4477" xr:uid="{00000000-0005-0000-0000-0000345F0000}"/>
    <cellStyle name="Normal 3 2 7 2 3 4" xfId="4478" xr:uid="{00000000-0005-0000-0000-0000355F0000}"/>
    <cellStyle name="Normal 3 2 7 2 3 5" xfId="32904" xr:uid="{00000000-0005-0000-0000-0000365F0000}"/>
    <cellStyle name="Normal 3 2 7 2 4" xfId="4479" xr:uid="{00000000-0005-0000-0000-0000375F0000}"/>
    <cellStyle name="Normal 3 2 7 2 4 2" xfId="4480" xr:uid="{00000000-0005-0000-0000-0000385F0000}"/>
    <cellStyle name="Normal 3 2 7 2 4 2 2" xfId="32907" xr:uid="{00000000-0005-0000-0000-0000395F0000}"/>
    <cellStyle name="Normal 3 2 7 2 4 3" xfId="4481" xr:uid="{00000000-0005-0000-0000-00003A5F0000}"/>
    <cellStyle name="Normal 3 2 7 2 4 4" xfId="32906" xr:uid="{00000000-0005-0000-0000-00003B5F0000}"/>
    <cellStyle name="Normal 3 2 7 2 5" xfId="4482" xr:uid="{00000000-0005-0000-0000-00003C5F0000}"/>
    <cellStyle name="Normal 3 2 7 2 5 2" xfId="4483" xr:uid="{00000000-0005-0000-0000-00003D5F0000}"/>
    <cellStyle name="Normal 3 2 7 2 5 3" xfId="32908" xr:uid="{00000000-0005-0000-0000-00003E5F0000}"/>
    <cellStyle name="Normal 3 2 7 2 6" xfId="4484" xr:uid="{00000000-0005-0000-0000-00003F5F0000}"/>
    <cellStyle name="Normal 3 2 7 2 6 2" xfId="4485" xr:uid="{00000000-0005-0000-0000-0000405F0000}"/>
    <cellStyle name="Normal 3 2 7 2 6 3" xfId="32909" xr:uid="{00000000-0005-0000-0000-0000415F0000}"/>
    <cellStyle name="Normal 3 2 7 2 7" xfId="4486" xr:uid="{00000000-0005-0000-0000-0000425F0000}"/>
    <cellStyle name="Normal 3 2 7 2 8" xfId="32901" xr:uid="{00000000-0005-0000-0000-0000435F0000}"/>
    <cellStyle name="Normal 3 2 7 3" xfId="4487" xr:uid="{00000000-0005-0000-0000-0000445F0000}"/>
    <cellStyle name="Normal 3 2 7 3 2" xfId="4488" xr:uid="{00000000-0005-0000-0000-0000455F0000}"/>
    <cellStyle name="Normal 3 2 7 3 2 2" xfId="4489" xr:uid="{00000000-0005-0000-0000-0000465F0000}"/>
    <cellStyle name="Normal 3 2 7 3 2 2 2" xfId="4490" xr:uid="{00000000-0005-0000-0000-0000475F0000}"/>
    <cellStyle name="Normal 3 2 7 3 2 2 3" xfId="4491" xr:uid="{00000000-0005-0000-0000-0000485F0000}"/>
    <cellStyle name="Normal 3 2 7 3 2 2 4" xfId="32912" xr:uid="{00000000-0005-0000-0000-0000495F0000}"/>
    <cellStyle name="Normal 3 2 7 3 2 3" xfId="4492" xr:uid="{00000000-0005-0000-0000-00004A5F0000}"/>
    <cellStyle name="Normal 3 2 7 3 2 3 2" xfId="4493" xr:uid="{00000000-0005-0000-0000-00004B5F0000}"/>
    <cellStyle name="Normal 3 2 7 3 2 4" xfId="4494" xr:uid="{00000000-0005-0000-0000-00004C5F0000}"/>
    <cellStyle name="Normal 3 2 7 3 2 4 2" xfId="4495" xr:uid="{00000000-0005-0000-0000-00004D5F0000}"/>
    <cellStyle name="Normal 3 2 7 3 2 5" xfId="4496" xr:uid="{00000000-0005-0000-0000-00004E5F0000}"/>
    <cellStyle name="Normal 3 2 7 3 2 6" xfId="32911" xr:uid="{00000000-0005-0000-0000-00004F5F0000}"/>
    <cellStyle name="Normal 3 2 7 3 3" xfId="4497" xr:uid="{00000000-0005-0000-0000-0000505F0000}"/>
    <cellStyle name="Normal 3 2 7 3 3 2" xfId="4498" xr:uid="{00000000-0005-0000-0000-0000515F0000}"/>
    <cellStyle name="Normal 3 2 7 3 3 2 2" xfId="4499" xr:uid="{00000000-0005-0000-0000-0000525F0000}"/>
    <cellStyle name="Normal 3 2 7 3 3 2 3" xfId="32914" xr:uid="{00000000-0005-0000-0000-0000535F0000}"/>
    <cellStyle name="Normal 3 2 7 3 3 3" xfId="4500" xr:uid="{00000000-0005-0000-0000-0000545F0000}"/>
    <cellStyle name="Normal 3 2 7 3 3 3 2" xfId="4501" xr:uid="{00000000-0005-0000-0000-0000555F0000}"/>
    <cellStyle name="Normal 3 2 7 3 3 4" xfId="4502" xr:uid="{00000000-0005-0000-0000-0000565F0000}"/>
    <cellStyle name="Normal 3 2 7 3 3 5" xfId="32913" xr:uid="{00000000-0005-0000-0000-0000575F0000}"/>
    <cellStyle name="Normal 3 2 7 3 4" xfId="4503" xr:uid="{00000000-0005-0000-0000-0000585F0000}"/>
    <cellStyle name="Normal 3 2 7 3 4 2" xfId="4504" xr:uid="{00000000-0005-0000-0000-0000595F0000}"/>
    <cellStyle name="Normal 3 2 7 3 4 2 2" xfId="32916" xr:uid="{00000000-0005-0000-0000-00005A5F0000}"/>
    <cellStyle name="Normal 3 2 7 3 4 3" xfId="4505" xr:uid="{00000000-0005-0000-0000-00005B5F0000}"/>
    <cellStyle name="Normal 3 2 7 3 4 4" xfId="32915" xr:uid="{00000000-0005-0000-0000-00005C5F0000}"/>
    <cellStyle name="Normal 3 2 7 3 5" xfId="4506" xr:uid="{00000000-0005-0000-0000-00005D5F0000}"/>
    <cellStyle name="Normal 3 2 7 3 5 2" xfId="4507" xr:uid="{00000000-0005-0000-0000-00005E5F0000}"/>
    <cellStyle name="Normal 3 2 7 3 5 3" xfId="32917" xr:uid="{00000000-0005-0000-0000-00005F5F0000}"/>
    <cellStyle name="Normal 3 2 7 3 6" xfId="4508" xr:uid="{00000000-0005-0000-0000-0000605F0000}"/>
    <cellStyle name="Normal 3 2 7 3 6 2" xfId="4509" xr:uid="{00000000-0005-0000-0000-0000615F0000}"/>
    <cellStyle name="Normal 3 2 7 3 6 3" xfId="32918" xr:uid="{00000000-0005-0000-0000-0000625F0000}"/>
    <cellStyle name="Normal 3 2 7 3 7" xfId="4510" xr:uid="{00000000-0005-0000-0000-0000635F0000}"/>
    <cellStyle name="Normal 3 2 7 3 8" xfId="32910" xr:uid="{00000000-0005-0000-0000-0000645F0000}"/>
    <cellStyle name="Normal 3 2 7 4" xfId="4511" xr:uid="{00000000-0005-0000-0000-0000655F0000}"/>
    <cellStyle name="Normal 3 2 7 4 2" xfId="4512" xr:uid="{00000000-0005-0000-0000-0000665F0000}"/>
    <cellStyle name="Normal 3 2 7 4 2 2" xfId="4513" xr:uid="{00000000-0005-0000-0000-0000675F0000}"/>
    <cellStyle name="Normal 3 2 7 4 2 2 2" xfId="4514" xr:uid="{00000000-0005-0000-0000-0000685F0000}"/>
    <cellStyle name="Normal 3 2 7 4 2 2 3" xfId="32921" xr:uid="{00000000-0005-0000-0000-0000695F0000}"/>
    <cellStyle name="Normal 3 2 7 4 2 3" xfId="4515" xr:uid="{00000000-0005-0000-0000-00006A5F0000}"/>
    <cellStyle name="Normal 3 2 7 4 2 3 2" xfId="4516" xr:uid="{00000000-0005-0000-0000-00006B5F0000}"/>
    <cellStyle name="Normal 3 2 7 4 2 4" xfId="4517" xr:uid="{00000000-0005-0000-0000-00006C5F0000}"/>
    <cellStyle name="Normal 3 2 7 4 2 5" xfId="32920" xr:uid="{00000000-0005-0000-0000-00006D5F0000}"/>
    <cellStyle name="Normal 3 2 7 4 3" xfId="4518" xr:uid="{00000000-0005-0000-0000-00006E5F0000}"/>
    <cellStyle name="Normal 3 2 7 4 3 2" xfId="4519" xr:uid="{00000000-0005-0000-0000-00006F5F0000}"/>
    <cellStyle name="Normal 3 2 7 4 3 2 2" xfId="32923" xr:uid="{00000000-0005-0000-0000-0000705F0000}"/>
    <cellStyle name="Normal 3 2 7 4 3 3" xfId="4520" xr:uid="{00000000-0005-0000-0000-0000715F0000}"/>
    <cellStyle name="Normal 3 2 7 4 3 4" xfId="32922" xr:uid="{00000000-0005-0000-0000-0000725F0000}"/>
    <cellStyle name="Normal 3 2 7 4 4" xfId="4521" xr:uid="{00000000-0005-0000-0000-0000735F0000}"/>
    <cellStyle name="Normal 3 2 7 4 4 2" xfId="4522" xr:uid="{00000000-0005-0000-0000-0000745F0000}"/>
    <cellStyle name="Normal 3 2 7 4 4 2 2" xfId="32925" xr:uid="{00000000-0005-0000-0000-0000755F0000}"/>
    <cellStyle name="Normal 3 2 7 4 4 3" xfId="32924" xr:uid="{00000000-0005-0000-0000-0000765F0000}"/>
    <cellStyle name="Normal 3 2 7 4 5" xfId="4523" xr:uid="{00000000-0005-0000-0000-0000775F0000}"/>
    <cellStyle name="Normal 3 2 7 4 5 2" xfId="4524" xr:uid="{00000000-0005-0000-0000-0000785F0000}"/>
    <cellStyle name="Normal 3 2 7 4 5 3" xfId="32926" xr:uid="{00000000-0005-0000-0000-0000795F0000}"/>
    <cellStyle name="Normal 3 2 7 4 6" xfId="4525" xr:uid="{00000000-0005-0000-0000-00007A5F0000}"/>
    <cellStyle name="Normal 3 2 7 4 6 2" xfId="32927" xr:uid="{00000000-0005-0000-0000-00007B5F0000}"/>
    <cellStyle name="Normal 3 2 7 4 7" xfId="32919" xr:uid="{00000000-0005-0000-0000-00007C5F0000}"/>
    <cellStyle name="Normal 3 2 7 5" xfId="4526" xr:uid="{00000000-0005-0000-0000-00007D5F0000}"/>
    <cellStyle name="Normal 3 2 7 5 2" xfId="4527" xr:uid="{00000000-0005-0000-0000-00007E5F0000}"/>
    <cellStyle name="Normal 3 2 7 5 2 2" xfId="4528" xr:uid="{00000000-0005-0000-0000-00007F5F0000}"/>
    <cellStyle name="Normal 3 2 7 5 2 2 2" xfId="32930" xr:uid="{00000000-0005-0000-0000-0000805F0000}"/>
    <cellStyle name="Normal 3 2 7 5 2 3" xfId="32929" xr:uid="{00000000-0005-0000-0000-0000815F0000}"/>
    <cellStyle name="Normal 3 2 7 5 3" xfId="4529" xr:uid="{00000000-0005-0000-0000-0000825F0000}"/>
    <cellStyle name="Normal 3 2 7 5 3 2" xfId="4530" xr:uid="{00000000-0005-0000-0000-0000835F0000}"/>
    <cellStyle name="Normal 3 2 7 5 3 2 2" xfId="32932" xr:uid="{00000000-0005-0000-0000-0000845F0000}"/>
    <cellStyle name="Normal 3 2 7 5 3 3" xfId="32931" xr:uid="{00000000-0005-0000-0000-0000855F0000}"/>
    <cellStyle name="Normal 3 2 7 5 4" xfId="4531" xr:uid="{00000000-0005-0000-0000-0000865F0000}"/>
    <cellStyle name="Normal 3 2 7 5 4 2" xfId="32934" xr:uid="{00000000-0005-0000-0000-0000875F0000}"/>
    <cellStyle name="Normal 3 2 7 5 4 3" xfId="32933" xr:uid="{00000000-0005-0000-0000-0000885F0000}"/>
    <cellStyle name="Normal 3 2 7 5 5" xfId="32935" xr:uid="{00000000-0005-0000-0000-0000895F0000}"/>
    <cellStyle name="Normal 3 2 7 5 6" xfId="32936" xr:uid="{00000000-0005-0000-0000-00008A5F0000}"/>
    <cellStyle name="Normal 3 2 7 5 7" xfId="32928" xr:uid="{00000000-0005-0000-0000-00008B5F0000}"/>
    <cellStyle name="Normal 3 2 7 6" xfId="4532" xr:uid="{00000000-0005-0000-0000-00008C5F0000}"/>
    <cellStyle name="Normal 3 2 7 6 2" xfId="4533" xr:uid="{00000000-0005-0000-0000-00008D5F0000}"/>
    <cellStyle name="Normal 3 2 7 6 2 2" xfId="4534" xr:uid="{00000000-0005-0000-0000-00008E5F0000}"/>
    <cellStyle name="Normal 3 2 7 6 2 2 2" xfId="32939" xr:uid="{00000000-0005-0000-0000-00008F5F0000}"/>
    <cellStyle name="Normal 3 2 7 6 2 3" xfId="32938" xr:uid="{00000000-0005-0000-0000-0000905F0000}"/>
    <cellStyle name="Normal 3 2 7 6 3" xfId="4535" xr:uid="{00000000-0005-0000-0000-0000915F0000}"/>
    <cellStyle name="Normal 3 2 7 6 3 2" xfId="4536" xr:uid="{00000000-0005-0000-0000-0000925F0000}"/>
    <cellStyle name="Normal 3 2 7 6 3 2 2" xfId="32941" xr:uid="{00000000-0005-0000-0000-0000935F0000}"/>
    <cellStyle name="Normal 3 2 7 6 3 3" xfId="32940" xr:uid="{00000000-0005-0000-0000-0000945F0000}"/>
    <cellStyle name="Normal 3 2 7 6 4" xfId="4537" xr:uid="{00000000-0005-0000-0000-0000955F0000}"/>
    <cellStyle name="Normal 3 2 7 6 4 2" xfId="32942" xr:uid="{00000000-0005-0000-0000-0000965F0000}"/>
    <cellStyle name="Normal 3 2 7 6 5" xfId="32943" xr:uid="{00000000-0005-0000-0000-0000975F0000}"/>
    <cellStyle name="Normal 3 2 7 6 6" xfId="32937" xr:uid="{00000000-0005-0000-0000-0000985F0000}"/>
    <cellStyle name="Normal 3 2 7 7" xfId="4538" xr:uid="{00000000-0005-0000-0000-0000995F0000}"/>
    <cellStyle name="Normal 3 2 7 7 2" xfId="4539" xr:uid="{00000000-0005-0000-0000-00009A5F0000}"/>
    <cellStyle name="Normal 3 2 7 7 2 2" xfId="32945" xr:uid="{00000000-0005-0000-0000-00009B5F0000}"/>
    <cellStyle name="Normal 3 2 7 7 3" xfId="4540" xr:uid="{00000000-0005-0000-0000-00009C5F0000}"/>
    <cellStyle name="Normal 3 2 7 7 4" xfId="32944" xr:uid="{00000000-0005-0000-0000-00009D5F0000}"/>
    <cellStyle name="Normal 3 2 7 8" xfId="4541" xr:uid="{00000000-0005-0000-0000-00009E5F0000}"/>
    <cellStyle name="Normal 3 2 7 8 2" xfId="4542" xr:uid="{00000000-0005-0000-0000-00009F5F0000}"/>
    <cellStyle name="Normal 3 2 7 8 2 2" xfId="32947" xr:uid="{00000000-0005-0000-0000-0000A05F0000}"/>
    <cellStyle name="Normal 3 2 7 8 3" xfId="32946" xr:uid="{00000000-0005-0000-0000-0000A15F0000}"/>
    <cellStyle name="Normal 3 2 7 9" xfId="4543" xr:uid="{00000000-0005-0000-0000-0000A25F0000}"/>
    <cellStyle name="Normal 3 2 7 9 2" xfId="4544" xr:uid="{00000000-0005-0000-0000-0000A35F0000}"/>
    <cellStyle name="Normal 3 2 7 9 2 2" xfId="32949" xr:uid="{00000000-0005-0000-0000-0000A45F0000}"/>
    <cellStyle name="Normal 3 2 7 9 3" xfId="32948" xr:uid="{00000000-0005-0000-0000-0000A55F0000}"/>
    <cellStyle name="Normal 3 2 8" xfId="4545" xr:uid="{00000000-0005-0000-0000-0000A65F0000}"/>
    <cellStyle name="Normal 3 2 8 10" xfId="32951" xr:uid="{00000000-0005-0000-0000-0000A75F0000}"/>
    <cellStyle name="Normal 3 2 8 11" xfId="32950" xr:uid="{00000000-0005-0000-0000-0000A85F0000}"/>
    <cellStyle name="Normal 3 2 8 2" xfId="4546" xr:uid="{00000000-0005-0000-0000-0000A95F0000}"/>
    <cellStyle name="Normal 3 2 8 2 2" xfId="4547" xr:uid="{00000000-0005-0000-0000-0000AA5F0000}"/>
    <cellStyle name="Normal 3 2 8 2 2 2" xfId="4548" xr:uid="{00000000-0005-0000-0000-0000AB5F0000}"/>
    <cellStyle name="Normal 3 2 8 2 2 2 2" xfId="4549" xr:uid="{00000000-0005-0000-0000-0000AC5F0000}"/>
    <cellStyle name="Normal 3 2 8 2 2 2 3" xfId="4550" xr:uid="{00000000-0005-0000-0000-0000AD5F0000}"/>
    <cellStyle name="Normal 3 2 8 2 2 2 4" xfId="32954" xr:uid="{00000000-0005-0000-0000-0000AE5F0000}"/>
    <cellStyle name="Normal 3 2 8 2 2 3" xfId="4551" xr:uid="{00000000-0005-0000-0000-0000AF5F0000}"/>
    <cellStyle name="Normal 3 2 8 2 2 3 2" xfId="4552" xr:uid="{00000000-0005-0000-0000-0000B05F0000}"/>
    <cellStyle name="Normal 3 2 8 2 2 4" xfId="4553" xr:uid="{00000000-0005-0000-0000-0000B15F0000}"/>
    <cellStyle name="Normal 3 2 8 2 2 4 2" xfId="4554" xr:uid="{00000000-0005-0000-0000-0000B25F0000}"/>
    <cellStyle name="Normal 3 2 8 2 2 5" xfId="4555" xr:uid="{00000000-0005-0000-0000-0000B35F0000}"/>
    <cellStyle name="Normal 3 2 8 2 2 6" xfId="32953" xr:uid="{00000000-0005-0000-0000-0000B45F0000}"/>
    <cellStyle name="Normal 3 2 8 2 3" xfId="4556" xr:uid="{00000000-0005-0000-0000-0000B55F0000}"/>
    <cellStyle name="Normal 3 2 8 2 3 2" xfId="4557" xr:uid="{00000000-0005-0000-0000-0000B65F0000}"/>
    <cellStyle name="Normal 3 2 8 2 3 2 2" xfId="4558" xr:uid="{00000000-0005-0000-0000-0000B75F0000}"/>
    <cellStyle name="Normal 3 2 8 2 3 2 3" xfId="32956" xr:uid="{00000000-0005-0000-0000-0000B85F0000}"/>
    <cellStyle name="Normal 3 2 8 2 3 3" xfId="4559" xr:uid="{00000000-0005-0000-0000-0000B95F0000}"/>
    <cellStyle name="Normal 3 2 8 2 3 3 2" xfId="4560" xr:uid="{00000000-0005-0000-0000-0000BA5F0000}"/>
    <cellStyle name="Normal 3 2 8 2 3 4" xfId="4561" xr:uid="{00000000-0005-0000-0000-0000BB5F0000}"/>
    <cellStyle name="Normal 3 2 8 2 3 5" xfId="32955" xr:uid="{00000000-0005-0000-0000-0000BC5F0000}"/>
    <cellStyle name="Normal 3 2 8 2 4" xfId="4562" xr:uid="{00000000-0005-0000-0000-0000BD5F0000}"/>
    <cellStyle name="Normal 3 2 8 2 4 2" xfId="4563" xr:uid="{00000000-0005-0000-0000-0000BE5F0000}"/>
    <cellStyle name="Normal 3 2 8 2 4 2 2" xfId="32958" xr:uid="{00000000-0005-0000-0000-0000BF5F0000}"/>
    <cellStyle name="Normal 3 2 8 2 4 3" xfId="4564" xr:uid="{00000000-0005-0000-0000-0000C05F0000}"/>
    <cellStyle name="Normal 3 2 8 2 4 4" xfId="32957" xr:uid="{00000000-0005-0000-0000-0000C15F0000}"/>
    <cellStyle name="Normal 3 2 8 2 5" xfId="4565" xr:uid="{00000000-0005-0000-0000-0000C25F0000}"/>
    <cellStyle name="Normal 3 2 8 2 5 2" xfId="4566" xr:uid="{00000000-0005-0000-0000-0000C35F0000}"/>
    <cellStyle name="Normal 3 2 8 2 5 3" xfId="32959" xr:uid="{00000000-0005-0000-0000-0000C45F0000}"/>
    <cellStyle name="Normal 3 2 8 2 6" xfId="4567" xr:uid="{00000000-0005-0000-0000-0000C55F0000}"/>
    <cellStyle name="Normal 3 2 8 2 6 2" xfId="4568" xr:uid="{00000000-0005-0000-0000-0000C65F0000}"/>
    <cellStyle name="Normal 3 2 8 2 6 3" xfId="32960" xr:uid="{00000000-0005-0000-0000-0000C75F0000}"/>
    <cellStyle name="Normal 3 2 8 2 7" xfId="4569" xr:uid="{00000000-0005-0000-0000-0000C85F0000}"/>
    <cellStyle name="Normal 3 2 8 2 8" xfId="32952" xr:uid="{00000000-0005-0000-0000-0000C95F0000}"/>
    <cellStyle name="Normal 3 2 8 3" xfId="4570" xr:uid="{00000000-0005-0000-0000-0000CA5F0000}"/>
    <cellStyle name="Normal 3 2 8 3 2" xfId="4571" xr:uid="{00000000-0005-0000-0000-0000CB5F0000}"/>
    <cellStyle name="Normal 3 2 8 3 2 2" xfId="4572" xr:uid="{00000000-0005-0000-0000-0000CC5F0000}"/>
    <cellStyle name="Normal 3 2 8 3 2 2 2" xfId="32963" xr:uid="{00000000-0005-0000-0000-0000CD5F0000}"/>
    <cellStyle name="Normal 3 2 8 3 2 3" xfId="4573" xr:uid="{00000000-0005-0000-0000-0000CE5F0000}"/>
    <cellStyle name="Normal 3 2 8 3 2 4" xfId="32962" xr:uid="{00000000-0005-0000-0000-0000CF5F0000}"/>
    <cellStyle name="Normal 3 2 8 3 3" xfId="4574" xr:uid="{00000000-0005-0000-0000-0000D05F0000}"/>
    <cellStyle name="Normal 3 2 8 3 3 2" xfId="4575" xr:uid="{00000000-0005-0000-0000-0000D15F0000}"/>
    <cellStyle name="Normal 3 2 8 3 3 2 2" xfId="32965" xr:uid="{00000000-0005-0000-0000-0000D25F0000}"/>
    <cellStyle name="Normal 3 2 8 3 3 3" xfId="32964" xr:uid="{00000000-0005-0000-0000-0000D35F0000}"/>
    <cellStyle name="Normal 3 2 8 3 4" xfId="4576" xr:uid="{00000000-0005-0000-0000-0000D45F0000}"/>
    <cellStyle name="Normal 3 2 8 3 4 2" xfId="4577" xr:uid="{00000000-0005-0000-0000-0000D55F0000}"/>
    <cellStyle name="Normal 3 2 8 3 4 2 2" xfId="32967" xr:uid="{00000000-0005-0000-0000-0000D65F0000}"/>
    <cellStyle name="Normal 3 2 8 3 4 3" xfId="32966" xr:uid="{00000000-0005-0000-0000-0000D75F0000}"/>
    <cellStyle name="Normal 3 2 8 3 5" xfId="4578" xr:uid="{00000000-0005-0000-0000-0000D85F0000}"/>
    <cellStyle name="Normal 3 2 8 3 5 2" xfId="32968" xr:uid="{00000000-0005-0000-0000-0000D95F0000}"/>
    <cellStyle name="Normal 3 2 8 3 6" xfId="32969" xr:uid="{00000000-0005-0000-0000-0000DA5F0000}"/>
    <cellStyle name="Normal 3 2 8 3 7" xfId="32961" xr:uid="{00000000-0005-0000-0000-0000DB5F0000}"/>
    <cellStyle name="Normal 3 2 8 4" xfId="4579" xr:uid="{00000000-0005-0000-0000-0000DC5F0000}"/>
    <cellStyle name="Normal 3 2 8 4 2" xfId="4580" xr:uid="{00000000-0005-0000-0000-0000DD5F0000}"/>
    <cellStyle name="Normal 3 2 8 4 2 2" xfId="4581" xr:uid="{00000000-0005-0000-0000-0000DE5F0000}"/>
    <cellStyle name="Normal 3 2 8 4 2 2 2" xfId="32972" xr:uid="{00000000-0005-0000-0000-0000DF5F0000}"/>
    <cellStyle name="Normal 3 2 8 4 2 3" xfId="32971" xr:uid="{00000000-0005-0000-0000-0000E05F0000}"/>
    <cellStyle name="Normal 3 2 8 4 3" xfId="4582" xr:uid="{00000000-0005-0000-0000-0000E15F0000}"/>
    <cellStyle name="Normal 3 2 8 4 3 2" xfId="4583" xr:uid="{00000000-0005-0000-0000-0000E25F0000}"/>
    <cellStyle name="Normal 3 2 8 4 3 2 2" xfId="32974" xr:uid="{00000000-0005-0000-0000-0000E35F0000}"/>
    <cellStyle name="Normal 3 2 8 4 3 3" xfId="32973" xr:uid="{00000000-0005-0000-0000-0000E45F0000}"/>
    <cellStyle name="Normal 3 2 8 4 4" xfId="4584" xr:uid="{00000000-0005-0000-0000-0000E55F0000}"/>
    <cellStyle name="Normal 3 2 8 4 4 2" xfId="32976" xr:uid="{00000000-0005-0000-0000-0000E65F0000}"/>
    <cellStyle name="Normal 3 2 8 4 4 3" xfId="32975" xr:uid="{00000000-0005-0000-0000-0000E75F0000}"/>
    <cellStyle name="Normal 3 2 8 4 5" xfId="32977" xr:uid="{00000000-0005-0000-0000-0000E85F0000}"/>
    <cellStyle name="Normal 3 2 8 4 6" xfId="32978" xr:uid="{00000000-0005-0000-0000-0000E95F0000}"/>
    <cellStyle name="Normal 3 2 8 4 7" xfId="32970" xr:uid="{00000000-0005-0000-0000-0000EA5F0000}"/>
    <cellStyle name="Normal 3 2 8 5" xfId="4585" xr:uid="{00000000-0005-0000-0000-0000EB5F0000}"/>
    <cellStyle name="Normal 3 2 8 5 2" xfId="4586" xr:uid="{00000000-0005-0000-0000-0000EC5F0000}"/>
    <cellStyle name="Normal 3 2 8 5 2 2" xfId="32981" xr:uid="{00000000-0005-0000-0000-0000ED5F0000}"/>
    <cellStyle name="Normal 3 2 8 5 2 3" xfId="32980" xr:uid="{00000000-0005-0000-0000-0000EE5F0000}"/>
    <cellStyle name="Normal 3 2 8 5 3" xfId="4587" xr:uid="{00000000-0005-0000-0000-0000EF5F0000}"/>
    <cellStyle name="Normal 3 2 8 5 3 2" xfId="32983" xr:uid="{00000000-0005-0000-0000-0000F05F0000}"/>
    <cellStyle name="Normal 3 2 8 5 3 3" xfId="32982" xr:uid="{00000000-0005-0000-0000-0000F15F0000}"/>
    <cellStyle name="Normal 3 2 8 5 4" xfId="32984" xr:uid="{00000000-0005-0000-0000-0000F25F0000}"/>
    <cellStyle name="Normal 3 2 8 5 5" xfId="32985" xr:uid="{00000000-0005-0000-0000-0000F35F0000}"/>
    <cellStyle name="Normal 3 2 8 5 6" xfId="32979" xr:uid="{00000000-0005-0000-0000-0000F45F0000}"/>
    <cellStyle name="Normal 3 2 8 6" xfId="4588" xr:uid="{00000000-0005-0000-0000-0000F55F0000}"/>
    <cellStyle name="Normal 3 2 8 6 2" xfId="4589" xr:uid="{00000000-0005-0000-0000-0000F65F0000}"/>
    <cellStyle name="Normal 3 2 8 6 2 2" xfId="32987" xr:uid="{00000000-0005-0000-0000-0000F75F0000}"/>
    <cellStyle name="Normal 3 2 8 6 3" xfId="32986" xr:uid="{00000000-0005-0000-0000-0000F85F0000}"/>
    <cellStyle name="Normal 3 2 8 7" xfId="4590" xr:uid="{00000000-0005-0000-0000-0000F95F0000}"/>
    <cellStyle name="Normal 3 2 8 7 2" xfId="4591" xr:uid="{00000000-0005-0000-0000-0000FA5F0000}"/>
    <cellStyle name="Normal 3 2 8 7 2 2" xfId="32989" xr:uid="{00000000-0005-0000-0000-0000FB5F0000}"/>
    <cellStyle name="Normal 3 2 8 7 3" xfId="32988" xr:uid="{00000000-0005-0000-0000-0000FC5F0000}"/>
    <cellStyle name="Normal 3 2 8 8" xfId="4592" xr:uid="{00000000-0005-0000-0000-0000FD5F0000}"/>
    <cellStyle name="Normal 3 2 8 8 2" xfId="32991" xr:uid="{00000000-0005-0000-0000-0000FE5F0000}"/>
    <cellStyle name="Normal 3 2 8 8 3" xfId="32990" xr:uid="{00000000-0005-0000-0000-0000FF5F0000}"/>
    <cellStyle name="Normal 3 2 8 9" xfId="32992" xr:uid="{00000000-0005-0000-0000-000000600000}"/>
    <cellStyle name="Normal 3 2 9" xfId="4593" xr:uid="{00000000-0005-0000-0000-000001600000}"/>
    <cellStyle name="Normal 3 2 9 10" xfId="32994" xr:uid="{00000000-0005-0000-0000-000002600000}"/>
    <cellStyle name="Normal 3 2 9 11" xfId="32993" xr:uid="{00000000-0005-0000-0000-000003600000}"/>
    <cellStyle name="Normal 3 2 9 2" xfId="4594" xr:uid="{00000000-0005-0000-0000-000004600000}"/>
    <cellStyle name="Normal 3 2 9 2 2" xfId="4595" xr:uid="{00000000-0005-0000-0000-000005600000}"/>
    <cellStyle name="Normal 3 2 9 2 2 2" xfId="4596" xr:uid="{00000000-0005-0000-0000-000006600000}"/>
    <cellStyle name="Normal 3 2 9 2 2 2 2" xfId="32997" xr:uid="{00000000-0005-0000-0000-000007600000}"/>
    <cellStyle name="Normal 3 2 9 2 2 3" xfId="4597" xr:uid="{00000000-0005-0000-0000-000008600000}"/>
    <cellStyle name="Normal 3 2 9 2 2 4" xfId="32996" xr:uid="{00000000-0005-0000-0000-000009600000}"/>
    <cellStyle name="Normal 3 2 9 2 3" xfId="4598" xr:uid="{00000000-0005-0000-0000-00000A600000}"/>
    <cellStyle name="Normal 3 2 9 2 3 2" xfId="4599" xr:uid="{00000000-0005-0000-0000-00000B600000}"/>
    <cellStyle name="Normal 3 2 9 2 3 2 2" xfId="32999" xr:uid="{00000000-0005-0000-0000-00000C600000}"/>
    <cellStyle name="Normal 3 2 9 2 3 3" xfId="32998" xr:uid="{00000000-0005-0000-0000-00000D600000}"/>
    <cellStyle name="Normal 3 2 9 2 4" xfId="4600" xr:uid="{00000000-0005-0000-0000-00000E600000}"/>
    <cellStyle name="Normal 3 2 9 2 4 2" xfId="4601" xr:uid="{00000000-0005-0000-0000-00000F600000}"/>
    <cellStyle name="Normal 3 2 9 2 4 2 2" xfId="33001" xr:uid="{00000000-0005-0000-0000-000010600000}"/>
    <cellStyle name="Normal 3 2 9 2 4 3" xfId="33000" xr:uid="{00000000-0005-0000-0000-000011600000}"/>
    <cellStyle name="Normal 3 2 9 2 5" xfId="4602" xr:uid="{00000000-0005-0000-0000-000012600000}"/>
    <cellStyle name="Normal 3 2 9 2 5 2" xfId="33002" xr:uid="{00000000-0005-0000-0000-000013600000}"/>
    <cellStyle name="Normal 3 2 9 2 6" xfId="33003" xr:uid="{00000000-0005-0000-0000-000014600000}"/>
    <cellStyle name="Normal 3 2 9 2 7" xfId="32995" xr:uid="{00000000-0005-0000-0000-000015600000}"/>
    <cellStyle name="Normal 3 2 9 3" xfId="4603" xr:uid="{00000000-0005-0000-0000-000016600000}"/>
    <cellStyle name="Normal 3 2 9 3 2" xfId="4604" xr:uid="{00000000-0005-0000-0000-000017600000}"/>
    <cellStyle name="Normal 3 2 9 3 2 2" xfId="4605" xr:uid="{00000000-0005-0000-0000-000018600000}"/>
    <cellStyle name="Normal 3 2 9 3 2 2 2" xfId="33006" xr:uid="{00000000-0005-0000-0000-000019600000}"/>
    <cellStyle name="Normal 3 2 9 3 2 3" xfId="33005" xr:uid="{00000000-0005-0000-0000-00001A600000}"/>
    <cellStyle name="Normal 3 2 9 3 3" xfId="4606" xr:uid="{00000000-0005-0000-0000-00001B600000}"/>
    <cellStyle name="Normal 3 2 9 3 3 2" xfId="4607" xr:uid="{00000000-0005-0000-0000-00001C600000}"/>
    <cellStyle name="Normal 3 2 9 3 3 2 2" xfId="33008" xr:uid="{00000000-0005-0000-0000-00001D600000}"/>
    <cellStyle name="Normal 3 2 9 3 3 3" xfId="33007" xr:uid="{00000000-0005-0000-0000-00001E600000}"/>
    <cellStyle name="Normal 3 2 9 3 4" xfId="4608" xr:uid="{00000000-0005-0000-0000-00001F600000}"/>
    <cellStyle name="Normal 3 2 9 3 4 2" xfId="33010" xr:uid="{00000000-0005-0000-0000-000020600000}"/>
    <cellStyle name="Normal 3 2 9 3 4 3" xfId="33009" xr:uid="{00000000-0005-0000-0000-000021600000}"/>
    <cellStyle name="Normal 3 2 9 3 5" xfId="33011" xr:uid="{00000000-0005-0000-0000-000022600000}"/>
    <cellStyle name="Normal 3 2 9 3 6" xfId="33012" xr:uid="{00000000-0005-0000-0000-000023600000}"/>
    <cellStyle name="Normal 3 2 9 3 7" xfId="33004" xr:uid="{00000000-0005-0000-0000-000024600000}"/>
    <cellStyle name="Normal 3 2 9 4" xfId="4609" xr:uid="{00000000-0005-0000-0000-000025600000}"/>
    <cellStyle name="Normal 3 2 9 4 2" xfId="4610" xr:uid="{00000000-0005-0000-0000-000026600000}"/>
    <cellStyle name="Normal 3 2 9 4 2 2" xfId="33015" xr:uid="{00000000-0005-0000-0000-000027600000}"/>
    <cellStyle name="Normal 3 2 9 4 2 3" xfId="33014" xr:uid="{00000000-0005-0000-0000-000028600000}"/>
    <cellStyle name="Normal 3 2 9 4 3" xfId="4611" xr:uid="{00000000-0005-0000-0000-000029600000}"/>
    <cellStyle name="Normal 3 2 9 4 3 2" xfId="33017" xr:uid="{00000000-0005-0000-0000-00002A600000}"/>
    <cellStyle name="Normal 3 2 9 4 3 3" xfId="33016" xr:uid="{00000000-0005-0000-0000-00002B600000}"/>
    <cellStyle name="Normal 3 2 9 4 4" xfId="33018" xr:uid="{00000000-0005-0000-0000-00002C600000}"/>
    <cellStyle name="Normal 3 2 9 4 4 2" xfId="33019" xr:uid="{00000000-0005-0000-0000-00002D600000}"/>
    <cellStyle name="Normal 3 2 9 4 5" xfId="33020" xr:uid="{00000000-0005-0000-0000-00002E600000}"/>
    <cellStyle name="Normal 3 2 9 4 6" xfId="33021" xr:uid="{00000000-0005-0000-0000-00002F600000}"/>
    <cellStyle name="Normal 3 2 9 4 7" xfId="33013" xr:uid="{00000000-0005-0000-0000-000030600000}"/>
    <cellStyle name="Normal 3 2 9 5" xfId="4612" xr:uid="{00000000-0005-0000-0000-000031600000}"/>
    <cellStyle name="Normal 3 2 9 5 2" xfId="4613" xr:uid="{00000000-0005-0000-0000-000032600000}"/>
    <cellStyle name="Normal 3 2 9 5 2 2" xfId="33024" xr:uid="{00000000-0005-0000-0000-000033600000}"/>
    <cellStyle name="Normal 3 2 9 5 2 3" xfId="33023" xr:uid="{00000000-0005-0000-0000-000034600000}"/>
    <cellStyle name="Normal 3 2 9 5 3" xfId="33025" xr:uid="{00000000-0005-0000-0000-000035600000}"/>
    <cellStyle name="Normal 3 2 9 5 3 2" xfId="33026" xr:uid="{00000000-0005-0000-0000-000036600000}"/>
    <cellStyle name="Normal 3 2 9 5 4" xfId="33027" xr:uid="{00000000-0005-0000-0000-000037600000}"/>
    <cellStyle name="Normal 3 2 9 5 5" xfId="33028" xr:uid="{00000000-0005-0000-0000-000038600000}"/>
    <cellStyle name="Normal 3 2 9 5 6" xfId="33022" xr:uid="{00000000-0005-0000-0000-000039600000}"/>
    <cellStyle name="Normal 3 2 9 6" xfId="4614" xr:uid="{00000000-0005-0000-0000-00003A600000}"/>
    <cellStyle name="Normal 3 2 9 6 2" xfId="4615" xr:uid="{00000000-0005-0000-0000-00003B600000}"/>
    <cellStyle name="Normal 3 2 9 6 2 2" xfId="33030" xr:uid="{00000000-0005-0000-0000-00003C600000}"/>
    <cellStyle name="Normal 3 2 9 6 3" xfId="33029" xr:uid="{00000000-0005-0000-0000-00003D600000}"/>
    <cellStyle name="Normal 3 2 9 7" xfId="4616" xr:uid="{00000000-0005-0000-0000-00003E600000}"/>
    <cellStyle name="Normal 3 2 9 7 2" xfId="33032" xr:uid="{00000000-0005-0000-0000-00003F600000}"/>
    <cellStyle name="Normal 3 2 9 7 3" xfId="33031" xr:uid="{00000000-0005-0000-0000-000040600000}"/>
    <cellStyle name="Normal 3 2 9 8" xfId="33033" xr:uid="{00000000-0005-0000-0000-000041600000}"/>
    <cellStyle name="Normal 3 2 9 8 2" xfId="33034" xr:uid="{00000000-0005-0000-0000-000042600000}"/>
    <cellStyle name="Normal 3 2 9 9" xfId="33035" xr:uid="{00000000-0005-0000-0000-000043600000}"/>
    <cellStyle name="Normal 3 3" xfId="4617" xr:uid="{00000000-0005-0000-0000-000044600000}"/>
    <cellStyle name="Normal 3 3 10" xfId="4618" xr:uid="{00000000-0005-0000-0000-000045600000}"/>
    <cellStyle name="Normal 3 3 10 2" xfId="4619" xr:uid="{00000000-0005-0000-0000-000046600000}"/>
    <cellStyle name="Normal 3 3 10 2 2" xfId="4620" xr:uid="{00000000-0005-0000-0000-000047600000}"/>
    <cellStyle name="Normal 3 3 10 2 2 2" xfId="4621" xr:uid="{00000000-0005-0000-0000-000048600000}"/>
    <cellStyle name="Normal 3 3 10 2 2 3" xfId="33038" xr:uid="{00000000-0005-0000-0000-000049600000}"/>
    <cellStyle name="Normal 3 3 10 2 3" xfId="4622" xr:uid="{00000000-0005-0000-0000-00004A600000}"/>
    <cellStyle name="Normal 3 3 10 2 3 2" xfId="4623" xr:uid="{00000000-0005-0000-0000-00004B600000}"/>
    <cellStyle name="Normal 3 3 10 2 4" xfId="4624" xr:uid="{00000000-0005-0000-0000-00004C600000}"/>
    <cellStyle name="Normal 3 3 10 2 5" xfId="33037" xr:uid="{00000000-0005-0000-0000-00004D600000}"/>
    <cellStyle name="Normal 3 3 10 3" xfId="4625" xr:uid="{00000000-0005-0000-0000-00004E600000}"/>
    <cellStyle name="Normal 3 3 10 3 2" xfId="4626" xr:uid="{00000000-0005-0000-0000-00004F600000}"/>
    <cellStyle name="Normal 3 3 10 3 2 2" xfId="33040" xr:uid="{00000000-0005-0000-0000-000050600000}"/>
    <cellStyle name="Normal 3 3 10 3 3" xfId="4627" xr:uid="{00000000-0005-0000-0000-000051600000}"/>
    <cellStyle name="Normal 3 3 10 3 4" xfId="33039" xr:uid="{00000000-0005-0000-0000-000052600000}"/>
    <cellStyle name="Normal 3 3 10 4" xfId="4628" xr:uid="{00000000-0005-0000-0000-000053600000}"/>
    <cellStyle name="Normal 3 3 10 4 2" xfId="4629" xr:uid="{00000000-0005-0000-0000-000054600000}"/>
    <cellStyle name="Normal 3 3 10 4 2 2" xfId="33042" xr:uid="{00000000-0005-0000-0000-000055600000}"/>
    <cellStyle name="Normal 3 3 10 4 3" xfId="33041" xr:uid="{00000000-0005-0000-0000-000056600000}"/>
    <cellStyle name="Normal 3 3 10 5" xfId="4630" xr:uid="{00000000-0005-0000-0000-000057600000}"/>
    <cellStyle name="Normal 3 3 10 5 2" xfId="4631" xr:uid="{00000000-0005-0000-0000-000058600000}"/>
    <cellStyle name="Normal 3 3 10 5 3" xfId="33043" xr:uid="{00000000-0005-0000-0000-000059600000}"/>
    <cellStyle name="Normal 3 3 10 6" xfId="4632" xr:uid="{00000000-0005-0000-0000-00005A600000}"/>
    <cellStyle name="Normal 3 3 10 6 2" xfId="33044" xr:uid="{00000000-0005-0000-0000-00005B600000}"/>
    <cellStyle name="Normal 3 3 10 7" xfId="33036" xr:uid="{00000000-0005-0000-0000-00005C600000}"/>
    <cellStyle name="Normal 3 3 11" xfId="4633" xr:uid="{00000000-0005-0000-0000-00005D600000}"/>
    <cellStyle name="Normal 3 3 11 2" xfId="4634" xr:uid="{00000000-0005-0000-0000-00005E600000}"/>
    <cellStyle name="Normal 3 3 11 2 2" xfId="4635" xr:uid="{00000000-0005-0000-0000-00005F600000}"/>
    <cellStyle name="Normal 3 3 11 2 2 2" xfId="33047" xr:uid="{00000000-0005-0000-0000-000060600000}"/>
    <cellStyle name="Normal 3 3 11 2 3" xfId="33046" xr:uid="{00000000-0005-0000-0000-000061600000}"/>
    <cellStyle name="Normal 3 3 11 3" xfId="4636" xr:uid="{00000000-0005-0000-0000-000062600000}"/>
    <cellStyle name="Normal 3 3 11 3 2" xfId="4637" xr:uid="{00000000-0005-0000-0000-000063600000}"/>
    <cellStyle name="Normal 3 3 11 3 2 2" xfId="33049" xr:uid="{00000000-0005-0000-0000-000064600000}"/>
    <cellStyle name="Normal 3 3 11 3 3" xfId="33048" xr:uid="{00000000-0005-0000-0000-000065600000}"/>
    <cellStyle name="Normal 3 3 11 4" xfId="4638" xr:uid="{00000000-0005-0000-0000-000066600000}"/>
    <cellStyle name="Normal 3 3 11 4 2" xfId="33051" xr:uid="{00000000-0005-0000-0000-000067600000}"/>
    <cellStyle name="Normal 3 3 11 4 3" xfId="33050" xr:uid="{00000000-0005-0000-0000-000068600000}"/>
    <cellStyle name="Normal 3 3 11 5" xfId="33052" xr:uid="{00000000-0005-0000-0000-000069600000}"/>
    <cellStyle name="Normal 3 3 11 6" xfId="33053" xr:uid="{00000000-0005-0000-0000-00006A600000}"/>
    <cellStyle name="Normal 3 3 11 7" xfId="33045" xr:uid="{00000000-0005-0000-0000-00006B600000}"/>
    <cellStyle name="Normal 3 3 12" xfId="4639" xr:uid="{00000000-0005-0000-0000-00006C600000}"/>
    <cellStyle name="Normal 3 3 12 2" xfId="4640" xr:uid="{00000000-0005-0000-0000-00006D600000}"/>
    <cellStyle name="Normal 3 3 12 2 2" xfId="4641" xr:uid="{00000000-0005-0000-0000-00006E600000}"/>
    <cellStyle name="Normal 3 3 12 2 2 2" xfId="33056" xr:uid="{00000000-0005-0000-0000-00006F600000}"/>
    <cellStyle name="Normal 3 3 12 2 3" xfId="33055" xr:uid="{00000000-0005-0000-0000-000070600000}"/>
    <cellStyle name="Normal 3 3 12 3" xfId="4642" xr:uid="{00000000-0005-0000-0000-000071600000}"/>
    <cellStyle name="Normal 3 3 12 3 2" xfId="4643" xr:uid="{00000000-0005-0000-0000-000072600000}"/>
    <cellStyle name="Normal 3 3 12 3 2 2" xfId="33058" xr:uid="{00000000-0005-0000-0000-000073600000}"/>
    <cellStyle name="Normal 3 3 12 3 3" xfId="33057" xr:uid="{00000000-0005-0000-0000-000074600000}"/>
    <cellStyle name="Normal 3 3 12 4" xfId="4644" xr:uid="{00000000-0005-0000-0000-000075600000}"/>
    <cellStyle name="Normal 3 3 12 4 2" xfId="33059" xr:uid="{00000000-0005-0000-0000-000076600000}"/>
    <cellStyle name="Normal 3 3 12 5" xfId="33060" xr:uid="{00000000-0005-0000-0000-000077600000}"/>
    <cellStyle name="Normal 3 3 12 6" xfId="33054" xr:uid="{00000000-0005-0000-0000-000078600000}"/>
    <cellStyle name="Normal 3 3 13" xfId="4645" xr:uid="{00000000-0005-0000-0000-000079600000}"/>
    <cellStyle name="Normal 3 3 13 2" xfId="4646" xr:uid="{00000000-0005-0000-0000-00007A600000}"/>
    <cellStyle name="Normal 3 3 13 2 2" xfId="33062" xr:uid="{00000000-0005-0000-0000-00007B600000}"/>
    <cellStyle name="Normal 3 3 13 3" xfId="4647" xr:uid="{00000000-0005-0000-0000-00007C600000}"/>
    <cellStyle name="Normal 3 3 13 4" xfId="33061" xr:uid="{00000000-0005-0000-0000-00007D600000}"/>
    <cellStyle name="Normal 3 3 14" xfId="4648" xr:uid="{00000000-0005-0000-0000-00007E600000}"/>
    <cellStyle name="Normal 3 3 14 2" xfId="4649" xr:uid="{00000000-0005-0000-0000-00007F600000}"/>
    <cellStyle name="Normal 3 3 14 2 2" xfId="33064" xr:uid="{00000000-0005-0000-0000-000080600000}"/>
    <cellStyle name="Normal 3 3 14 3" xfId="33063" xr:uid="{00000000-0005-0000-0000-000081600000}"/>
    <cellStyle name="Normal 3 3 15" xfId="4650" xr:uid="{00000000-0005-0000-0000-000082600000}"/>
    <cellStyle name="Normal 3 3 15 2" xfId="4651" xr:uid="{00000000-0005-0000-0000-000083600000}"/>
    <cellStyle name="Normal 3 3 15 2 2" xfId="33066" xr:uid="{00000000-0005-0000-0000-000084600000}"/>
    <cellStyle name="Normal 3 3 15 3" xfId="33065" xr:uid="{00000000-0005-0000-0000-000085600000}"/>
    <cellStyle name="Normal 3 3 16" xfId="4652" xr:uid="{00000000-0005-0000-0000-000086600000}"/>
    <cellStyle name="Normal 3 3 16 2" xfId="33067" xr:uid="{00000000-0005-0000-0000-000087600000}"/>
    <cellStyle name="Normal 3 3 17" xfId="33068" xr:uid="{00000000-0005-0000-0000-000088600000}"/>
    <cellStyle name="Normal 3 3 18" xfId="33069" xr:uid="{00000000-0005-0000-0000-000089600000}"/>
    <cellStyle name="Normal 3 3 19" xfId="17672" xr:uid="{00000000-0005-0000-0000-00008A600000}"/>
    <cellStyle name="Normal 3 3 2" xfId="4653" xr:uid="{00000000-0005-0000-0000-00008B600000}"/>
    <cellStyle name="Normal 3 3 2 10" xfId="4654" xr:uid="{00000000-0005-0000-0000-00008C600000}"/>
    <cellStyle name="Normal 3 3 2 10 2" xfId="4655" xr:uid="{00000000-0005-0000-0000-00008D600000}"/>
    <cellStyle name="Normal 3 3 2 10 2 2" xfId="4656" xr:uid="{00000000-0005-0000-0000-00008E600000}"/>
    <cellStyle name="Normal 3 3 2 10 2 2 2" xfId="33073" xr:uid="{00000000-0005-0000-0000-00008F600000}"/>
    <cellStyle name="Normal 3 3 2 10 2 3" xfId="33072" xr:uid="{00000000-0005-0000-0000-000090600000}"/>
    <cellStyle name="Normal 3 3 2 10 3" xfId="4657" xr:uid="{00000000-0005-0000-0000-000091600000}"/>
    <cellStyle name="Normal 3 3 2 10 3 2" xfId="4658" xr:uid="{00000000-0005-0000-0000-000092600000}"/>
    <cellStyle name="Normal 3 3 2 10 3 2 2" xfId="33075" xr:uid="{00000000-0005-0000-0000-000093600000}"/>
    <cellStyle name="Normal 3 3 2 10 3 3" xfId="33074" xr:uid="{00000000-0005-0000-0000-000094600000}"/>
    <cellStyle name="Normal 3 3 2 10 4" xfId="4659" xr:uid="{00000000-0005-0000-0000-000095600000}"/>
    <cellStyle name="Normal 3 3 2 10 4 2" xfId="33077" xr:uid="{00000000-0005-0000-0000-000096600000}"/>
    <cellStyle name="Normal 3 3 2 10 4 3" xfId="33076" xr:uid="{00000000-0005-0000-0000-000097600000}"/>
    <cellStyle name="Normal 3 3 2 10 5" xfId="33078" xr:uid="{00000000-0005-0000-0000-000098600000}"/>
    <cellStyle name="Normal 3 3 2 10 6" xfId="33079" xr:uid="{00000000-0005-0000-0000-000099600000}"/>
    <cellStyle name="Normal 3 3 2 10 7" xfId="33071" xr:uid="{00000000-0005-0000-0000-00009A600000}"/>
    <cellStyle name="Normal 3 3 2 11" xfId="4660" xr:uid="{00000000-0005-0000-0000-00009B600000}"/>
    <cellStyle name="Normal 3 3 2 11 2" xfId="4661" xr:uid="{00000000-0005-0000-0000-00009C600000}"/>
    <cellStyle name="Normal 3 3 2 11 2 2" xfId="33082" xr:uid="{00000000-0005-0000-0000-00009D600000}"/>
    <cellStyle name="Normal 3 3 2 11 2 3" xfId="33081" xr:uid="{00000000-0005-0000-0000-00009E600000}"/>
    <cellStyle name="Normal 3 3 2 11 3" xfId="4662" xr:uid="{00000000-0005-0000-0000-00009F600000}"/>
    <cellStyle name="Normal 3 3 2 11 3 2" xfId="33084" xr:uid="{00000000-0005-0000-0000-0000A0600000}"/>
    <cellStyle name="Normal 3 3 2 11 3 3" xfId="33083" xr:uid="{00000000-0005-0000-0000-0000A1600000}"/>
    <cellStyle name="Normal 3 3 2 11 4" xfId="33085" xr:uid="{00000000-0005-0000-0000-0000A2600000}"/>
    <cellStyle name="Normal 3 3 2 11 4 2" xfId="33086" xr:uid="{00000000-0005-0000-0000-0000A3600000}"/>
    <cellStyle name="Normal 3 3 2 11 5" xfId="33087" xr:uid="{00000000-0005-0000-0000-0000A4600000}"/>
    <cellStyle name="Normal 3 3 2 11 6" xfId="33088" xr:uid="{00000000-0005-0000-0000-0000A5600000}"/>
    <cellStyle name="Normal 3 3 2 11 7" xfId="33080" xr:uid="{00000000-0005-0000-0000-0000A6600000}"/>
    <cellStyle name="Normal 3 3 2 12" xfId="4663" xr:uid="{00000000-0005-0000-0000-0000A7600000}"/>
    <cellStyle name="Normal 3 3 2 12 2" xfId="4664" xr:uid="{00000000-0005-0000-0000-0000A8600000}"/>
    <cellStyle name="Normal 3 3 2 12 2 2" xfId="33091" xr:uid="{00000000-0005-0000-0000-0000A9600000}"/>
    <cellStyle name="Normal 3 3 2 12 2 3" xfId="33090" xr:uid="{00000000-0005-0000-0000-0000AA600000}"/>
    <cellStyle name="Normal 3 3 2 12 3" xfId="33092" xr:uid="{00000000-0005-0000-0000-0000AB600000}"/>
    <cellStyle name="Normal 3 3 2 12 3 2" xfId="33093" xr:uid="{00000000-0005-0000-0000-0000AC600000}"/>
    <cellStyle name="Normal 3 3 2 12 4" xfId="33094" xr:uid="{00000000-0005-0000-0000-0000AD600000}"/>
    <cellStyle name="Normal 3 3 2 12 5" xfId="33095" xr:uid="{00000000-0005-0000-0000-0000AE600000}"/>
    <cellStyle name="Normal 3 3 2 12 6" xfId="33089" xr:uid="{00000000-0005-0000-0000-0000AF600000}"/>
    <cellStyle name="Normal 3 3 2 13" xfId="4665" xr:uid="{00000000-0005-0000-0000-0000B0600000}"/>
    <cellStyle name="Normal 3 3 2 13 2" xfId="4666" xr:uid="{00000000-0005-0000-0000-0000B1600000}"/>
    <cellStyle name="Normal 3 3 2 13 2 2" xfId="33097" xr:uid="{00000000-0005-0000-0000-0000B2600000}"/>
    <cellStyle name="Normal 3 3 2 13 3" xfId="33096" xr:uid="{00000000-0005-0000-0000-0000B3600000}"/>
    <cellStyle name="Normal 3 3 2 14" xfId="4667" xr:uid="{00000000-0005-0000-0000-0000B4600000}"/>
    <cellStyle name="Normal 3 3 2 14 2" xfId="33099" xr:uid="{00000000-0005-0000-0000-0000B5600000}"/>
    <cellStyle name="Normal 3 3 2 14 3" xfId="33098" xr:uid="{00000000-0005-0000-0000-0000B6600000}"/>
    <cellStyle name="Normal 3 3 2 15" xfId="33100" xr:uid="{00000000-0005-0000-0000-0000B7600000}"/>
    <cellStyle name="Normal 3 3 2 15 2" xfId="33101" xr:uid="{00000000-0005-0000-0000-0000B8600000}"/>
    <cellStyle name="Normal 3 3 2 16" xfId="33102" xr:uid="{00000000-0005-0000-0000-0000B9600000}"/>
    <cellStyle name="Normal 3 3 2 17" xfId="33103" xr:uid="{00000000-0005-0000-0000-0000BA600000}"/>
    <cellStyle name="Normal 3 3 2 18" xfId="33104" xr:uid="{00000000-0005-0000-0000-0000BB600000}"/>
    <cellStyle name="Normal 3 3 2 19" xfId="33070" xr:uid="{00000000-0005-0000-0000-0000BC600000}"/>
    <cellStyle name="Normal 3 3 2 2" xfId="4668" xr:uid="{00000000-0005-0000-0000-0000BD600000}"/>
    <cellStyle name="Normal 3 3 2 2 10" xfId="4669" xr:uid="{00000000-0005-0000-0000-0000BE600000}"/>
    <cellStyle name="Normal 3 3 2 2 10 2" xfId="4670" xr:uid="{00000000-0005-0000-0000-0000BF600000}"/>
    <cellStyle name="Normal 3 3 2 2 10 2 2" xfId="33108" xr:uid="{00000000-0005-0000-0000-0000C0600000}"/>
    <cellStyle name="Normal 3 3 2 2 10 2 3" xfId="33107" xr:uid="{00000000-0005-0000-0000-0000C1600000}"/>
    <cellStyle name="Normal 3 3 2 2 10 3" xfId="33109" xr:uid="{00000000-0005-0000-0000-0000C2600000}"/>
    <cellStyle name="Normal 3 3 2 2 10 3 2" xfId="33110" xr:uid="{00000000-0005-0000-0000-0000C3600000}"/>
    <cellStyle name="Normal 3 3 2 2 10 4" xfId="33111" xr:uid="{00000000-0005-0000-0000-0000C4600000}"/>
    <cellStyle name="Normal 3 3 2 2 10 4 2" xfId="33112" xr:uid="{00000000-0005-0000-0000-0000C5600000}"/>
    <cellStyle name="Normal 3 3 2 2 10 5" xfId="33113" xr:uid="{00000000-0005-0000-0000-0000C6600000}"/>
    <cellStyle name="Normal 3 3 2 2 10 6" xfId="33114" xr:uid="{00000000-0005-0000-0000-0000C7600000}"/>
    <cellStyle name="Normal 3 3 2 2 10 7" xfId="33106" xr:uid="{00000000-0005-0000-0000-0000C8600000}"/>
    <cellStyle name="Normal 3 3 2 2 11" xfId="4671" xr:uid="{00000000-0005-0000-0000-0000C9600000}"/>
    <cellStyle name="Normal 3 3 2 2 11 2" xfId="4672" xr:uid="{00000000-0005-0000-0000-0000CA600000}"/>
    <cellStyle name="Normal 3 3 2 2 11 2 2" xfId="33117" xr:uid="{00000000-0005-0000-0000-0000CB600000}"/>
    <cellStyle name="Normal 3 3 2 2 11 2 3" xfId="33116" xr:uid="{00000000-0005-0000-0000-0000CC600000}"/>
    <cellStyle name="Normal 3 3 2 2 11 3" xfId="33118" xr:uid="{00000000-0005-0000-0000-0000CD600000}"/>
    <cellStyle name="Normal 3 3 2 2 11 3 2" xfId="33119" xr:uid="{00000000-0005-0000-0000-0000CE600000}"/>
    <cellStyle name="Normal 3 3 2 2 11 4" xfId="33120" xr:uid="{00000000-0005-0000-0000-0000CF600000}"/>
    <cellStyle name="Normal 3 3 2 2 11 5" xfId="33121" xr:uid="{00000000-0005-0000-0000-0000D0600000}"/>
    <cellStyle name="Normal 3 3 2 2 11 6" xfId="33115" xr:uid="{00000000-0005-0000-0000-0000D1600000}"/>
    <cellStyle name="Normal 3 3 2 2 12" xfId="4673" xr:uid="{00000000-0005-0000-0000-0000D2600000}"/>
    <cellStyle name="Normal 3 3 2 2 12 2" xfId="33123" xr:uid="{00000000-0005-0000-0000-0000D3600000}"/>
    <cellStyle name="Normal 3 3 2 2 12 3" xfId="33122" xr:uid="{00000000-0005-0000-0000-0000D4600000}"/>
    <cellStyle name="Normal 3 3 2 2 13" xfId="33124" xr:uid="{00000000-0005-0000-0000-0000D5600000}"/>
    <cellStyle name="Normal 3 3 2 2 13 2" xfId="33125" xr:uid="{00000000-0005-0000-0000-0000D6600000}"/>
    <cellStyle name="Normal 3 3 2 2 14" xfId="33126" xr:uid="{00000000-0005-0000-0000-0000D7600000}"/>
    <cellStyle name="Normal 3 3 2 2 14 2" xfId="33127" xr:uid="{00000000-0005-0000-0000-0000D8600000}"/>
    <cellStyle name="Normal 3 3 2 2 15" xfId="33128" xr:uid="{00000000-0005-0000-0000-0000D9600000}"/>
    <cellStyle name="Normal 3 3 2 2 16" xfId="33129" xr:uid="{00000000-0005-0000-0000-0000DA600000}"/>
    <cellStyle name="Normal 3 3 2 2 17" xfId="33105" xr:uid="{00000000-0005-0000-0000-0000DB600000}"/>
    <cellStyle name="Normal 3 3 2 2 2" xfId="4674" xr:uid="{00000000-0005-0000-0000-0000DC600000}"/>
    <cellStyle name="Normal 3 3 2 2 2 10" xfId="4675" xr:uid="{00000000-0005-0000-0000-0000DD600000}"/>
    <cellStyle name="Normal 3 3 2 2 2 10 2" xfId="33132" xr:uid="{00000000-0005-0000-0000-0000DE600000}"/>
    <cellStyle name="Normal 3 3 2 2 2 10 3" xfId="33131" xr:uid="{00000000-0005-0000-0000-0000DF600000}"/>
    <cellStyle name="Normal 3 3 2 2 2 11" xfId="33133" xr:uid="{00000000-0005-0000-0000-0000E0600000}"/>
    <cellStyle name="Normal 3 3 2 2 2 11 2" xfId="33134" xr:uid="{00000000-0005-0000-0000-0000E1600000}"/>
    <cellStyle name="Normal 3 3 2 2 2 12" xfId="33135" xr:uid="{00000000-0005-0000-0000-0000E2600000}"/>
    <cellStyle name="Normal 3 3 2 2 2 13" xfId="33136" xr:uid="{00000000-0005-0000-0000-0000E3600000}"/>
    <cellStyle name="Normal 3 3 2 2 2 14" xfId="33130" xr:uid="{00000000-0005-0000-0000-0000E4600000}"/>
    <cellStyle name="Normal 3 3 2 2 2 2" xfId="4676" xr:uid="{00000000-0005-0000-0000-0000E5600000}"/>
    <cellStyle name="Normal 3 3 2 2 2 2 10" xfId="33138" xr:uid="{00000000-0005-0000-0000-0000E6600000}"/>
    <cellStyle name="Normal 3 3 2 2 2 2 11" xfId="33139" xr:uid="{00000000-0005-0000-0000-0000E7600000}"/>
    <cellStyle name="Normal 3 3 2 2 2 2 12" xfId="33137" xr:uid="{00000000-0005-0000-0000-0000E8600000}"/>
    <cellStyle name="Normal 3 3 2 2 2 2 2" xfId="4677" xr:uid="{00000000-0005-0000-0000-0000E9600000}"/>
    <cellStyle name="Normal 3 3 2 2 2 2 2 2" xfId="4678" xr:uid="{00000000-0005-0000-0000-0000EA600000}"/>
    <cellStyle name="Normal 3 3 2 2 2 2 2 2 2" xfId="4679" xr:uid="{00000000-0005-0000-0000-0000EB600000}"/>
    <cellStyle name="Normal 3 3 2 2 2 2 2 2 2 2" xfId="33142" xr:uid="{00000000-0005-0000-0000-0000EC600000}"/>
    <cellStyle name="Normal 3 3 2 2 2 2 2 2 3" xfId="4680" xr:uid="{00000000-0005-0000-0000-0000ED600000}"/>
    <cellStyle name="Normal 3 3 2 2 2 2 2 2 4" xfId="33141" xr:uid="{00000000-0005-0000-0000-0000EE600000}"/>
    <cellStyle name="Normal 3 3 2 2 2 2 2 3" xfId="4681" xr:uid="{00000000-0005-0000-0000-0000EF600000}"/>
    <cellStyle name="Normal 3 3 2 2 2 2 2 3 2" xfId="4682" xr:uid="{00000000-0005-0000-0000-0000F0600000}"/>
    <cellStyle name="Normal 3 3 2 2 2 2 2 3 2 2" xfId="33144" xr:uid="{00000000-0005-0000-0000-0000F1600000}"/>
    <cellStyle name="Normal 3 3 2 2 2 2 2 3 3" xfId="33143" xr:uid="{00000000-0005-0000-0000-0000F2600000}"/>
    <cellStyle name="Normal 3 3 2 2 2 2 2 4" xfId="4683" xr:uid="{00000000-0005-0000-0000-0000F3600000}"/>
    <cellStyle name="Normal 3 3 2 2 2 2 2 4 2" xfId="4684" xr:uid="{00000000-0005-0000-0000-0000F4600000}"/>
    <cellStyle name="Normal 3 3 2 2 2 2 2 4 2 2" xfId="33146" xr:uid="{00000000-0005-0000-0000-0000F5600000}"/>
    <cellStyle name="Normal 3 3 2 2 2 2 2 4 3" xfId="33145" xr:uid="{00000000-0005-0000-0000-0000F6600000}"/>
    <cellStyle name="Normal 3 3 2 2 2 2 2 5" xfId="4685" xr:uid="{00000000-0005-0000-0000-0000F7600000}"/>
    <cellStyle name="Normal 3 3 2 2 2 2 2 5 2" xfId="33147" xr:uid="{00000000-0005-0000-0000-0000F8600000}"/>
    <cellStyle name="Normal 3 3 2 2 2 2 2 6" xfId="33148" xr:uid="{00000000-0005-0000-0000-0000F9600000}"/>
    <cellStyle name="Normal 3 3 2 2 2 2 2 7" xfId="33140" xr:uid="{00000000-0005-0000-0000-0000FA600000}"/>
    <cellStyle name="Normal 3 3 2 2 2 2 3" xfId="4686" xr:uid="{00000000-0005-0000-0000-0000FB600000}"/>
    <cellStyle name="Normal 3 3 2 2 2 2 3 2" xfId="4687" xr:uid="{00000000-0005-0000-0000-0000FC600000}"/>
    <cellStyle name="Normal 3 3 2 2 2 2 3 2 2" xfId="4688" xr:uid="{00000000-0005-0000-0000-0000FD600000}"/>
    <cellStyle name="Normal 3 3 2 2 2 2 3 2 2 2" xfId="33151" xr:uid="{00000000-0005-0000-0000-0000FE600000}"/>
    <cellStyle name="Normal 3 3 2 2 2 2 3 2 3" xfId="33150" xr:uid="{00000000-0005-0000-0000-0000FF600000}"/>
    <cellStyle name="Normal 3 3 2 2 2 2 3 3" xfId="4689" xr:uid="{00000000-0005-0000-0000-000000610000}"/>
    <cellStyle name="Normal 3 3 2 2 2 2 3 3 2" xfId="4690" xr:uid="{00000000-0005-0000-0000-000001610000}"/>
    <cellStyle name="Normal 3 3 2 2 2 2 3 3 2 2" xfId="33153" xr:uid="{00000000-0005-0000-0000-000002610000}"/>
    <cellStyle name="Normal 3 3 2 2 2 2 3 3 3" xfId="33152" xr:uid="{00000000-0005-0000-0000-000003610000}"/>
    <cellStyle name="Normal 3 3 2 2 2 2 3 4" xfId="4691" xr:uid="{00000000-0005-0000-0000-000004610000}"/>
    <cellStyle name="Normal 3 3 2 2 2 2 3 4 2" xfId="33155" xr:uid="{00000000-0005-0000-0000-000005610000}"/>
    <cellStyle name="Normal 3 3 2 2 2 2 3 4 3" xfId="33154" xr:uid="{00000000-0005-0000-0000-000006610000}"/>
    <cellStyle name="Normal 3 3 2 2 2 2 3 5" xfId="33156" xr:uid="{00000000-0005-0000-0000-000007610000}"/>
    <cellStyle name="Normal 3 3 2 2 2 2 3 6" xfId="33157" xr:uid="{00000000-0005-0000-0000-000008610000}"/>
    <cellStyle name="Normal 3 3 2 2 2 2 3 7" xfId="33149" xr:uid="{00000000-0005-0000-0000-000009610000}"/>
    <cellStyle name="Normal 3 3 2 2 2 2 4" xfId="4692" xr:uid="{00000000-0005-0000-0000-00000A610000}"/>
    <cellStyle name="Normal 3 3 2 2 2 2 4 2" xfId="4693" xr:uid="{00000000-0005-0000-0000-00000B610000}"/>
    <cellStyle name="Normal 3 3 2 2 2 2 4 2 2" xfId="33160" xr:uid="{00000000-0005-0000-0000-00000C610000}"/>
    <cellStyle name="Normal 3 3 2 2 2 2 4 2 3" xfId="33159" xr:uid="{00000000-0005-0000-0000-00000D610000}"/>
    <cellStyle name="Normal 3 3 2 2 2 2 4 3" xfId="4694" xr:uid="{00000000-0005-0000-0000-00000E610000}"/>
    <cellStyle name="Normal 3 3 2 2 2 2 4 3 2" xfId="33162" xr:uid="{00000000-0005-0000-0000-00000F610000}"/>
    <cellStyle name="Normal 3 3 2 2 2 2 4 3 3" xfId="33161" xr:uid="{00000000-0005-0000-0000-000010610000}"/>
    <cellStyle name="Normal 3 3 2 2 2 2 4 4" xfId="33163" xr:uid="{00000000-0005-0000-0000-000011610000}"/>
    <cellStyle name="Normal 3 3 2 2 2 2 4 4 2" xfId="33164" xr:uid="{00000000-0005-0000-0000-000012610000}"/>
    <cellStyle name="Normal 3 3 2 2 2 2 4 5" xfId="33165" xr:uid="{00000000-0005-0000-0000-000013610000}"/>
    <cellStyle name="Normal 3 3 2 2 2 2 4 6" xfId="33166" xr:uid="{00000000-0005-0000-0000-000014610000}"/>
    <cellStyle name="Normal 3 3 2 2 2 2 4 7" xfId="33158" xr:uid="{00000000-0005-0000-0000-000015610000}"/>
    <cellStyle name="Normal 3 3 2 2 2 2 5" xfId="4695" xr:uid="{00000000-0005-0000-0000-000016610000}"/>
    <cellStyle name="Normal 3 3 2 2 2 2 5 2" xfId="4696" xr:uid="{00000000-0005-0000-0000-000017610000}"/>
    <cellStyle name="Normal 3 3 2 2 2 2 5 2 2" xfId="33169" xr:uid="{00000000-0005-0000-0000-000018610000}"/>
    <cellStyle name="Normal 3 3 2 2 2 2 5 2 3" xfId="33168" xr:uid="{00000000-0005-0000-0000-000019610000}"/>
    <cellStyle name="Normal 3 3 2 2 2 2 5 3" xfId="33170" xr:uid="{00000000-0005-0000-0000-00001A610000}"/>
    <cellStyle name="Normal 3 3 2 2 2 2 5 3 2" xfId="33171" xr:uid="{00000000-0005-0000-0000-00001B610000}"/>
    <cellStyle name="Normal 3 3 2 2 2 2 5 4" xfId="33172" xr:uid="{00000000-0005-0000-0000-00001C610000}"/>
    <cellStyle name="Normal 3 3 2 2 2 2 5 4 2" xfId="33173" xr:uid="{00000000-0005-0000-0000-00001D610000}"/>
    <cellStyle name="Normal 3 3 2 2 2 2 5 5" xfId="33174" xr:uid="{00000000-0005-0000-0000-00001E610000}"/>
    <cellStyle name="Normal 3 3 2 2 2 2 5 6" xfId="33175" xr:uid="{00000000-0005-0000-0000-00001F610000}"/>
    <cellStyle name="Normal 3 3 2 2 2 2 5 7" xfId="33167" xr:uid="{00000000-0005-0000-0000-000020610000}"/>
    <cellStyle name="Normal 3 3 2 2 2 2 6" xfId="4697" xr:uid="{00000000-0005-0000-0000-000021610000}"/>
    <cellStyle name="Normal 3 3 2 2 2 2 6 2" xfId="4698" xr:uid="{00000000-0005-0000-0000-000022610000}"/>
    <cellStyle name="Normal 3 3 2 2 2 2 6 2 2" xfId="33178" xr:uid="{00000000-0005-0000-0000-000023610000}"/>
    <cellStyle name="Normal 3 3 2 2 2 2 6 2 3" xfId="33177" xr:uid="{00000000-0005-0000-0000-000024610000}"/>
    <cellStyle name="Normal 3 3 2 2 2 2 6 3" xfId="33179" xr:uid="{00000000-0005-0000-0000-000025610000}"/>
    <cellStyle name="Normal 3 3 2 2 2 2 6 3 2" xfId="33180" xr:uid="{00000000-0005-0000-0000-000026610000}"/>
    <cellStyle name="Normal 3 3 2 2 2 2 6 4" xfId="33181" xr:uid="{00000000-0005-0000-0000-000027610000}"/>
    <cellStyle name="Normal 3 3 2 2 2 2 6 5" xfId="33182" xr:uid="{00000000-0005-0000-0000-000028610000}"/>
    <cellStyle name="Normal 3 3 2 2 2 2 6 6" xfId="33176" xr:uid="{00000000-0005-0000-0000-000029610000}"/>
    <cellStyle name="Normal 3 3 2 2 2 2 7" xfId="4699" xr:uid="{00000000-0005-0000-0000-00002A610000}"/>
    <cellStyle name="Normal 3 3 2 2 2 2 7 2" xfId="33184" xr:uid="{00000000-0005-0000-0000-00002B610000}"/>
    <cellStyle name="Normal 3 3 2 2 2 2 7 3" xfId="33183" xr:uid="{00000000-0005-0000-0000-00002C610000}"/>
    <cellStyle name="Normal 3 3 2 2 2 2 8" xfId="33185" xr:uid="{00000000-0005-0000-0000-00002D610000}"/>
    <cellStyle name="Normal 3 3 2 2 2 2 8 2" xfId="33186" xr:uid="{00000000-0005-0000-0000-00002E610000}"/>
    <cellStyle name="Normal 3 3 2 2 2 2 9" xfId="33187" xr:uid="{00000000-0005-0000-0000-00002F610000}"/>
    <cellStyle name="Normal 3 3 2 2 2 2 9 2" xfId="33188" xr:uid="{00000000-0005-0000-0000-000030610000}"/>
    <cellStyle name="Normal 3 3 2 2 2 3" xfId="4700" xr:uid="{00000000-0005-0000-0000-000031610000}"/>
    <cellStyle name="Normal 3 3 2 2 2 3 10" xfId="33190" xr:uid="{00000000-0005-0000-0000-000032610000}"/>
    <cellStyle name="Normal 3 3 2 2 2 3 11" xfId="33189" xr:uid="{00000000-0005-0000-0000-000033610000}"/>
    <cellStyle name="Normal 3 3 2 2 2 3 2" xfId="4701" xr:uid="{00000000-0005-0000-0000-000034610000}"/>
    <cellStyle name="Normal 3 3 2 2 2 3 2 2" xfId="4702" xr:uid="{00000000-0005-0000-0000-000035610000}"/>
    <cellStyle name="Normal 3 3 2 2 2 3 2 2 2" xfId="4703" xr:uid="{00000000-0005-0000-0000-000036610000}"/>
    <cellStyle name="Normal 3 3 2 2 2 3 2 2 2 2" xfId="33193" xr:uid="{00000000-0005-0000-0000-000037610000}"/>
    <cellStyle name="Normal 3 3 2 2 2 3 2 2 3" xfId="4704" xr:uid="{00000000-0005-0000-0000-000038610000}"/>
    <cellStyle name="Normal 3 3 2 2 2 3 2 2 4" xfId="33192" xr:uid="{00000000-0005-0000-0000-000039610000}"/>
    <cellStyle name="Normal 3 3 2 2 2 3 2 3" xfId="4705" xr:uid="{00000000-0005-0000-0000-00003A610000}"/>
    <cellStyle name="Normal 3 3 2 2 2 3 2 3 2" xfId="4706" xr:uid="{00000000-0005-0000-0000-00003B610000}"/>
    <cellStyle name="Normal 3 3 2 2 2 3 2 3 2 2" xfId="33195" xr:uid="{00000000-0005-0000-0000-00003C610000}"/>
    <cellStyle name="Normal 3 3 2 2 2 3 2 3 3" xfId="33194" xr:uid="{00000000-0005-0000-0000-00003D610000}"/>
    <cellStyle name="Normal 3 3 2 2 2 3 2 4" xfId="4707" xr:uid="{00000000-0005-0000-0000-00003E610000}"/>
    <cellStyle name="Normal 3 3 2 2 2 3 2 4 2" xfId="4708" xr:uid="{00000000-0005-0000-0000-00003F610000}"/>
    <cellStyle name="Normal 3 3 2 2 2 3 2 4 2 2" xfId="33197" xr:uid="{00000000-0005-0000-0000-000040610000}"/>
    <cellStyle name="Normal 3 3 2 2 2 3 2 4 3" xfId="33196" xr:uid="{00000000-0005-0000-0000-000041610000}"/>
    <cellStyle name="Normal 3 3 2 2 2 3 2 5" xfId="4709" xr:uid="{00000000-0005-0000-0000-000042610000}"/>
    <cellStyle name="Normal 3 3 2 2 2 3 2 5 2" xfId="33198" xr:uid="{00000000-0005-0000-0000-000043610000}"/>
    <cellStyle name="Normal 3 3 2 2 2 3 2 6" xfId="33199" xr:uid="{00000000-0005-0000-0000-000044610000}"/>
    <cellStyle name="Normal 3 3 2 2 2 3 2 7" xfId="33191" xr:uid="{00000000-0005-0000-0000-000045610000}"/>
    <cellStyle name="Normal 3 3 2 2 2 3 3" xfId="4710" xr:uid="{00000000-0005-0000-0000-000046610000}"/>
    <cellStyle name="Normal 3 3 2 2 2 3 3 2" xfId="4711" xr:uid="{00000000-0005-0000-0000-000047610000}"/>
    <cellStyle name="Normal 3 3 2 2 2 3 3 2 2" xfId="4712" xr:uid="{00000000-0005-0000-0000-000048610000}"/>
    <cellStyle name="Normal 3 3 2 2 2 3 3 2 2 2" xfId="33202" xr:uid="{00000000-0005-0000-0000-000049610000}"/>
    <cellStyle name="Normal 3 3 2 2 2 3 3 2 3" xfId="33201" xr:uid="{00000000-0005-0000-0000-00004A610000}"/>
    <cellStyle name="Normal 3 3 2 2 2 3 3 3" xfId="4713" xr:uid="{00000000-0005-0000-0000-00004B610000}"/>
    <cellStyle name="Normal 3 3 2 2 2 3 3 3 2" xfId="4714" xr:uid="{00000000-0005-0000-0000-00004C610000}"/>
    <cellStyle name="Normal 3 3 2 2 2 3 3 3 2 2" xfId="33204" xr:uid="{00000000-0005-0000-0000-00004D610000}"/>
    <cellStyle name="Normal 3 3 2 2 2 3 3 3 3" xfId="33203" xr:uid="{00000000-0005-0000-0000-00004E610000}"/>
    <cellStyle name="Normal 3 3 2 2 2 3 3 4" xfId="4715" xr:uid="{00000000-0005-0000-0000-00004F610000}"/>
    <cellStyle name="Normal 3 3 2 2 2 3 3 4 2" xfId="33206" xr:uid="{00000000-0005-0000-0000-000050610000}"/>
    <cellStyle name="Normal 3 3 2 2 2 3 3 4 3" xfId="33205" xr:uid="{00000000-0005-0000-0000-000051610000}"/>
    <cellStyle name="Normal 3 3 2 2 2 3 3 5" xfId="33207" xr:uid="{00000000-0005-0000-0000-000052610000}"/>
    <cellStyle name="Normal 3 3 2 2 2 3 3 6" xfId="33208" xr:uid="{00000000-0005-0000-0000-000053610000}"/>
    <cellStyle name="Normal 3 3 2 2 2 3 3 7" xfId="33200" xr:uid="{00000000-0005-0000-0000-000054610000}"/>
    <cellStyle name="Normal 3 3 2 2 2 3 4" xfId="4716" xr:uid="{00000000-0005-0000-0000-000055610000}"/>
    <cellStyle name="Normal 3 3 2 2 2 3 4 2" xfId="4717" xr:uid="{00000000-0005-0000-0000-000056610000}"/>
    <cellStyle name="Normal 3 3 2 2 2 3 4 2 2" xfId="33211" xr:uid="{00000000-0005-0000-0000-000057610000}"/>
    <cellStyle name="Normal 3 3 2 2 2 3 4 2 3" xfId="33210" xr:uid="{00000000-0005-0000-0000-000058610000}"/>
    <cellStyle name="Normal 3 3 2 2 2 3 4 3" xfId="4718" xr:uid="{00000000-0005-0000-0000-000059610000}"/>
    <cellStyle name="Normal 3 3 2 2 2 3 4 3 2" xfId="33213" xr:uid="{00000000-0005-0000-0000-00005A610000}"/>
    <cellStyle name="Normal 3 3 2 2 2 3 4 3 3" xfId="33212" xr:uid="{00000000-0005-0000-0000-00005B610000}"/>
    <cellStyle name="Normal 3 3 2 2 2 3 4 4" xfId="33214" xr:uid="{00000000-0005-0000-0000-00005C610000}"/>
    <cellStyle name="Normal 3 3 2 2 2 3 4 4 2" xfId="33215" xr:uid="{00000000-0005-0000-0000-00005D610000}"/>
    <cellStyle name="Normal 3 3 2 2 2 3 4 5" xfId="33216" xr:uid="{00000000-0005-0000-0000-00005E610000}"/>
    <cellStyle name="Normal 3 3 2 2 2 3 4 6" xfId="33217" xr:uid="{00000000-0005-0000-0000-00005F610000}"/>
    <cellStyle name="Normal 3 3 2 2 2 3 4 7" xfId="33209" xr:uid="{00000000-0005-0000-0000-000060610000}"/>
    <cellStyle name="Normal 3 3 2 2 2 3 5" xfId="4719" xr:uid="{00000000-0005-0000-0000-000061610000}"/>
    <cellStyle name="Normal 3 3 2 2 2 3 5 2" xfId="4720" xr:uid="{00000000-0005-0000-0000-000062610000}"/>
    <cellStyle name="Normal 3 3 2 2 2 3 5 2 2" xfId="33220" xr:uid="{00000000-0005-0000-0000-000063610000}"/>
    <cellStyle name="Normal 3 3 2 2 2 3 5 2 3" xfId="33219" xr:uid="{00000000-0005-0000-0000-000064610000}"/>
    <cellStyle name="Normal 3 3 2 2 2 3 5 3" xfId="33221" xr:uid="{00000000-0005-0000-0000-000065610000}"/>
    <cellStyle name="Normal 3 3 2 2 2 3 5 3 2" xfId="33222" xr:uid="{00000000-0005-0000-0000-000066610000}"/>
    <cellStyle name="Normal 3 3 2 2 2 3 5 4" xfId="33223" xr:uid="{00000000-0005-0000-0000-000067610000}"/>
    <cellStyle name="Normal 3 3 2 2 2 3 5 5" xfId="33224" xr:uid="{00000000-0005-0000-0000-000068610000}"/>
    <cellStyle name="Normal 3 3 2 2 2 3 5 6" xfId="33218" xr:uid="{00000000-0005-0000-0000-000069610000}"/>
    <cellStyle name="Normal 3 3 2 2 2 3 6" xfId="4721" xr:uid="{00000000-0005-0000-0000-00006A610000}"/>
    <cellStyle name="Normal 3 3 2 2 2 3 6 2" xfId="4722" xr:uid="{00000000-0005-0000-0000-00006B610000}"/>
    <cellStyle name="Normal 3 3 2 2 2 3 6 2 2" xfId="33226" xr:uid="{00000000-0005-0000-0000-00006C610000}"/>
    <cellStyle name="Normal 3 3 2 2 2 3 6 3" xfId="33225" xr:uid="{00000000-0005-0000-0000-00006D610000}"/>
    <cellStyle name="Normal 3 3 2 2 2 3 7" xfId="4723" xr:uid="{00000000-0005-0000-0000-00006E610000}"/>
    <cellStyle name="Normal 3 3 2 2 2 3 7 2" xfId="33228" xr:uid="{00000000-0005-0000-0000-00006F610000}"/>
    <cellStyle name="Normal 3 3 2 2 2 3 7 3" xfId="33227" xr:uid="{00000000-0005-0000-0000-000070610000}"/>
    <cellStyle name="Normal 3 3 2 2 2 3 8" xfId="33229" xr:uid="{00000000-0005-0000-0000-000071610000}"/>
    <cellStyle name="Normal 3 3 2 2 2 3 8 2" xfId="33230" xr:uid="{00000000-0005-0000-0000-000072610000}"/>
    <cellStyle name="Normal 3 3 2 2 2 3 9" xfId="33231" xr:uid="{00000000-0005-0000-0000-000073610000}"/>
    <cellStyle name="Normal 3 3 2 2 2 4" xfId="4724" xr:uid="{00000000-0005-0000-0000-000074610000}"/>
    <cellStyle name="Normal 3 3 2 2 2 4 10" xfId="33233" xr:uid="{00000000-0005-0000-0000-000075610000}"/>
    <cellStyle name="Normal 3 3 2 2 2 4 11" xfId="33232" xr:uid="{00000000-0005-0000-0000-000076610000}"/>
    <cellStyle name="Normal 3 3 2 2 2 4 2" xfId="4725" xr:uid="{00000000-0005-0000-0000-000077610000}"/>
    <cellStyle name="Normal 3 3 2 2 2 4 2 2" xfId="4726" xr:uid="{00000000-0005-0000-0000-000078610000}"/>
    <cellStyle name="Normal 3 3 2 2 2 4 2 2 2" xfId="4727" xr:uid="{00000000-0005-0000-0000-000079610000}"/>
    <cellStyle name="Normal 3 3 2 2 2 4 2 2 2 2" xfId="33236" xr:uid="{00000000-0005-0000-0000-00007A610000}"/>
    <cellStyle name="Normal 3 3 2 2 2 4 2 2 3" xfId="33235" xr:uid="{00000000-0005-0000-0000-00007B610000}"/>
    <cellStyle name="Normal 3 3 2 2 2 4 2 3" xfId="4728" xr:uid="{00000000-0005-0000-0000-00007C610000}"/>
    <cellStyle name="Normal 3 3 2 2 2 4 2 3 2" xfId="4729" xr:uid="{00000000-0005-0000-0000-00007D610000}"/>
    <cellStyle name="Normal 3 3 2 2 2 4 2 3 2 2" xfId="33238" xr:uid="{00000000-0005-0000-0000-00007E610000}"/>
    <cellStyle name="Normal 3 3 2 2 2 4 2 3 3" xfId="33237" xr:uid="{00000000-0005-0000-0000-00007F610000}"/>
    <cellStyle name="Normal 3 3 2 2 2 4 2 4" xfId="4730" xr:uid="{00000000-0005-0000-0000-000080610000}"/>
    <cellStyle name="Normal 3 3 2 2 2 4 2 4 2" xfId="33240" xr:uid="{00000000-0005-0000-0000-000081610000}"/>
    <cellStyle name="Normal 3 3 2 2 2 4 2 4 3" xfId="33239" xr:uid="{00000000-0005-0000-0000-000082610000}"/>
    <cellStyle name="Normal 3 3 2 2 2 4 2 5" xfId="33241" xr:uid="{00000000-0005-0000-0000-000083610000}"/>
    <cellStyle name="Normal 3 3 2 2 2 4 2 6" xfId="33242" xr:uid="{00000000-0005-0000-0000-000084610000}"/>
    <cellStyle name="Normal 3 3 2 2 2 4 2 7" xfId="33234" xr:uid="{00000000-0005-0000-0000-000085610000}"/>
    <cellStyle name="Normal 3 3 2 2 2 4 3" xfId="4731" xr:uid="{00000000-0005-0000-0000-000086610000}"/>
    <cellStyle name="Normal 3 3 2 2 2 4 3 2" xfId="4732" xr:uid="{00000000-0005-0000-0000-000087610000}"/>
    <cellStyle name="Normal 3 3 2 2 2 4 3 2 2" xfId="33245" xr:uid="{00000000-0005-0000-0000-000088610000}"/>
    <cellStyle name="Normal 3 3 2 2 2 4 3 2 3" xfId="33244" xr:uid="{00000000-0005-0000-0000-000089610000}"/>
    <cellStyle name="Normal 3 3 2 2 2 4 3 3" xfId="4733" xr:uid="{00000000-0005-0000-0000-00008A610000}"/>
    <cellStyle name="Normal 3 3 2 2 2 4 3 3 2" xfId="33247" xr:uid="{00000000-0005-0000-0000-00008B610000}"/>
    <cellStyle name="Normal 3 3 2 2 2 4 3 3 3" xfId="33246" xr:uid="{00000000-0005-0000-0000-00008C610000}"/>
    <cellStyle name="Normal 3 3 2 2 2 4 3 4" xfId="33248" xr:uid="{00000000-0005-0000-0000-00008D610000}"/>
    <cellStyle name="Normal 3 3 2 2 2 4 3 4 2" xfId="33249" xr:uid="{00000000-0005-0000-0000-00008E610000}"/>
    <cellStyle name="Normal 3 3 2 2 2 4 3 5" xfId="33250" xr:uid="{00000000-0005-0000-0000-00008F610000}"/>
    <cellStyle name="Normal 3 3 2 2 2 4 3 6" xfId="33251" xr:uid="{00000000-0005-0000-0000-000090610000}"/>
    <cellStyle name="Normal 3 3 2 2 2 4 3 7" xfId="33243" xr:uid="{00000000-0005-0000-0000-000091610000}"/>
    <cellStyle name="Normal 3 3 2 2 2 4 4" xfId="4734" xr:uid="{00000000-0005-0000-0000-000092610000}"/>
    <cellStyle name="Normal 3 3 2 2 2 4 4 2" xfId="4735" xr:uid="{00000000-0005-0000-0000-000093610000}"/>
    <cellStyle name="Normal 3 3 2 2 2 4 4 2 2" xfId="33254" xr:uid="{00000000-0005-0000-0000-000094610000}"/>
    <cellStyle name="Normal 3 3 2 2 2 4 4 2 3" xfId="33253" xr:uid="{00000000-0005-0000-0000-000095610000}"/>
    <cellStyle name="Normal 3 3 2 2 2 4 4 3" xfId="33255" xr:uid="{00000000-0005-0000-0000-000096610000}"/>
    <cellStyle name="Normal 3 3 2 2 2 4 4 3 2" xfId="33256" xr:uid="{00000000-0005-0000-0000-000097610000}"/>
    <cellStyle name="Normal 3 3 2 2 2 4 4 4" xfId="33257" xr:uid="{00000000-0005-0000-0000-000098610000}"/>
    <cellStyle name="Normal 3 3 2 2 2 4 4 4 2" xfId="33258" xr:uid="{00000000-0005-0000-0000-000099610000}"/>
    <cellStyle name="Normal 3 3 2 2 2 4 4 5" xfId="33259" xr:uid="{00000000-0005-0000-0000-00009A610000}"/>
    <cellStyle name="Normal 3 3 2 2 2 4 4 6" xfId="33260" xr:uid="{00000000-0005-0000-0000-00009B610000}"/>
    <cellStyle name="Normal 3 3 2 2 2 4 4 7" xfId="33252" xr:uid="{00000000-0005-0000-0000-00009C610000}"/>
    <cellStyle name="Normal 3 3 2 2 2 4 5" xfId="4736" xr:uid="{00000000-0005-0000-0000-00009D610000}"/>
    <cellStyle name="Normal 3 3 2 2 2 4 5 2" xfId="4737" xr:uid="{00000000-0005-0000-0000-00009E610000}"/>
    <cellStyle name="Normal 3 3 2 2 2 4 5 2 2" xfId="33263" xr:uid="{00000000-0005-0000-0000-00009F610000}"/>
    <cellStyle name="Normal 3 3 2 2 2 4 5 2 3" xfId="33262" xr:uid="{00000000-0005-0000-0000-0000A0610000}"/>
    <cellStyle name="Normal 3 3 2 2 2 4 5 3" xfId="33264" xr:uid="{00000000-0005-0000-0000-0000A1610000}"/>
    <cellStyle name="Normal 3 3 2 2 2 4 5 3 2" xfId="33265" xr:uid="{00000000-0005-0000-0000-0000A2610000}"/>
    <cellStyle name="Normal 3 3 2 2 2 4 5 4" xfId="33266" xr:uid="{00000000-0005-0000-0000-0000A3610000}"/>
    <cellStyle name="Normal 3 3 2 2 2 4 5 5" xfId="33267" xr:uid="{00000000-0005-0000-0000-0000A4610000}"/>
    <cellStyle name="Normal 3 3 2 2 2 4 5 6" xfId="33261" xr:uid="{00000000-0005-0000-0000-0000A5610000}"/>
    <cellStyle name="Normal 3 3 2 2 2 4 6" xfId="4738" xr:uid="{00000000-0005-0000-0000-0000A6610000}"/>
    <cellStyle name="Normal 3 3 2 2 2 4 6 2" xfId="33269" xr:uid="{00000000-0005-0000-0000-0000A7610000}"/>
    <cellStyle name="Normal 3 3 2 2 2 4 6 3" xfId="33268" xr:uid="{00000000-0005-0000-0000-0000A8610000}"/>
    <cellStyle name="Normal 3 3 2 2 2 4 7" xfId="33270" xr:uid="{00000000-0005-0000-0000-0000A9610000}"/>
    <cellStyle name="Normal 3 3 2 2 2 4 7 2" xfId="33271" xr:uid="{00000000-0005-0000-0000-0000AA610000}"/>
    <cellStyle name="Normal 3 3 2 2 2 4 8" xfId="33272" xr:uid="{00000000-0005-0000-0000-0000AB610000}"/>
    <cellStyle name="Normal 3 3 2 2 2 4 8 2" xfId="33273" xr:uid="{00000000-0005-0000-0000-0000AC610000}"/>
    <cellStyle name="Normal 3 3 2 2 2 4 9" xfId="33274" xr:uid="{00000000-0005-0000-0000-0000AD610000}"/>
    <cellStyle name="Normal 3 3 2 2 2 5" xfId="4739" xr:uid="{00000000-0005-0000-0000-0000AE610000}"/>
    <cellStyle name="Normal 3 3 2 2 2 5 2" xfId="4740" xr:uid="{00000000-0005-0000-0000-0000AF610000}"/>
    <cellStyle name="Normal 3 3 2 2 2 5 2 2" xfId="4741" xr:uid="{00000000-0005-0000-0000-0000B0610000}"/>
    <cellStyle name="Normal 3 3 2 2 2 5 2 2 2" xfId="33277" xr:uid="{00000000-0005-0000-0000-0000B1610000}"/>
    <cellStyle name="Normal 3 3 2 2 2 5 2 3" xfId="33276" xr:uid="{00000000-0005-0000-0000-0000B2610000}"/>
    <cellStyle name="Normal 3 3 2 2 2 5 3" xfId="4742" xr:uid="{00000000-0005-0000-0000-0000B3610000}"/>
    <cellStyle name="Normal 3 3 2 2 2 5 3 2" xfId="4743" xr:uid="{00000000-0005-0000-0000-0000B4610000}"/>
    <cellStyle name="Normal 3 3 2 2 2 5 3 2 2" xfId="33279" xr:uid="{00000000-0005-0000-0000-0000B5610000}"/>
    <cellStyle name="Normal 3 3 2 2 2 5 3 3" xfId="33278" xr:uid="{00000000-0005-0000-0000-0000B6610000}"/>
    <cellStyle name="Normal 3 3 2 2 2 5 4" xfId="4744" xr:uid="{00000000-0005-0000-0000-0000B7610000}"/>
    <cellStyle name="Normal 3 3 2 2 2 5 4 2" xfId="33281" xr:uid="{00000000-0005-0000-0000-0000B8610000}"/>
    <cellStyle name="Normal 3 3 2 2 2 5 4 3" xfId="33280" xr:uid="{00000000-0005-0000-0000-0000B9610000}"/>
    <cellStyle name="Normal 3 3 2 2 2 5 5" xfId="33282" xr:uid="{00000000-0005-0000-0000-0000BA610000}"/>
    <cellStyle name="Normal 3 3 2 2 2 5 6" xfId="33283" xr:uid="{00000000-0005-0000-0000-0000BB610000}"/>
    <cellStyle name="Normal 3 3 2 2 2 5 7" xfId="33275" xr:uid="{00000000-0005-0000-0000-0000BC610000}"/>
    <cellStyle name="Normal 3 3 2 2 2 6" xfId="4745" xr:uid="{00000000-0005-0000-0000-0000BD610000}"/>
    <cellStyle name="Normal 3 3 2 2 2 6 2" xfId="4746" xr:uid="{00000000-0005-0000-0000-0000BE610000}"/>
    <cellStyle name="Normal 3 3 2 2 2 6 2 2" xfId="4747" xr:uid="{00000000-0005-0000-0000-0000BF610000}"/>
    <cellStyle name="Normal 3 3 2 2 2 6 2 2 2" xfId="33286" xr:uid="{00000000-0005-0000-0000-0000C0610000}"/>
    <cellStyle name="Normal 3 3 2 2 2 6 2 3" xfId="33285" xr:uid="{00000000-0005-0000-0000-0000C1610000}"/>
    <cellStyle name="Normal 3 3 2 2 2 6 3" xfId="4748" xr:uid="{00000000-0005-0000-0000-0000C2610000}"/>
    <cellStyle name="Normal 3 3 2 2 2 6 3 2" xfId="4749" xr:uid="{00000000-0005-0000-0000-0000C3610000}"/>
    <cellStyle name="Normal 3 3 2 2 2 6 3 2 2" xfId="33288" xr:uid="{00000000-0005-0000-0000-0000C4610000}"/>
    <cellStyle name="Normal 3 3 2 2 2 6 3 3" xfId="33287" xr:uid="{00000000-0005-0000-0000-0000C5610000}"/>
    <cellStyle name="Normal 3 3 2 2 2 6 4" xfId="4750" xr:uid="{00000000-0005-0000-0000-0000C6610000}"/>
    <cellStyle name="Normal 3 3 2 2 2 6 4 2" xfId="33290" xr:uid="{00000000-0005-0000-0000-0000C7610000}"/>
    <cellStyle name="Normal 3 3 2 2 2 6 4 3" xfId="33289" xr:uid="{00000000-0005-0000-0000-0000C8610000}"/>
    <cellStyle name="Normal 3 3 2 2 2 6 5" xfId="33291" xr:uid="{00000000-0005-0000-0000-0000C9610000}"/>
    <cellStyle name="Normal 3 3 2 2 2 6 6" xfId="33292" xr:uid="{00000000-0005-0000-0000-0000CA610000}"/>
    <cellStyle name="Normal 3 3 2 2 2 6 7" xfId="33284" xr:uid="{00000000-0005-0000-0000-0000CB610000}"/>
    <cellStyle name="Normal 3 3 2 2 2 7" xfId="4751" xr:uid="{00000000-0005-0000-0000-0000CC610000}"/>
    <cellStyle name="Normal 3 3 2 2 2 7 2" xfId="4752" xr:uid="{00000000-0005-0000-0000-0000CD610000}"/>
    <cellStyle name="Normal 3 3 2 2 2 7 2 2" xfId="33295" xr:uid="{00000000-0005-0000-0000-0000CE610000}"/>
    <cellStyle name="Normal 3 3 2 2 2 7 2 3" xfId="33294" xr:uid="{00000000-0005-0000-0000-0000CF610000}"/>
    <cellStyle name="Normal 3 3 2 2 2 7 3" xfId="4753" xr:uid="{00000000-0005-0000-0000-0000D0610000}"/>
    <cellStyle name="Normal 3 3 2 2 2 7 3 2" xfId="33297" xr:uid="{00000000-0005-0000-0000-0000D1610000}"/>
    <cellStyle name="Normal 3 3 2 2 2 7 3 3" xfId="33296" xr:uid="{00000000-0005-0000-0000-0000D2610000}"/>
    <cellStyle name="Normal 3 3 2 2 2 7 4" xfId="33298" xr:uid="{00000000-0005-0000-0000-0000D3610000}"/>
    <cellStyle name="Normal 3 3 2 2 2 7 4 2" xfId="33299" xr:uid="{00000000-0005-0000-0000-0000D4610000}"/>
    <cellStyle name="Normal 3 3 2 2 2 7 5" xfId="33300" xr:uid="{00000000-0005-0000-0000-0000D5610000}"/>
    <cellStyle name="Normal 3 3 2 2 2 7 6" xfId="33301" xr:uid="{00000000-0005-0000-0000-0000D6610000}"/>
    <cellStyle name="Normal 3 3 2 2 2 7 7" xfId="33293" xr:uid="{00000000-0005-0000-0000-0000D7610000}"/>
    <cellStyle name="Normal 3 3 2 2 2 8" xfId="4754" xr:uid="{00000000-0005-0000-0000-0000D8610000}"/>
    <cellStyle name="Normal 3 3 2 2 2 8 2" xfId="4755" xr:uid="{00000000-0005-0000-0000-0000D9610000}"/>
    <cellStyle name="Normal 3 3 2 2 2 8 2 2" xfId="33304" xr:uid="{00000000-0005-0000-0000-0000DA610000}"/>
    <cellStyle name="Normal 3 3 2 2 2 8 2 3" xfId="33303" xr:uid="{00000000-0005-0000-0000-0000DB610000}"/>
    <cellStyle name="Normal 3 3 2 2 2 8 3" xfId="33305" xr:uid="{00000000-0005-0000-0000-0000DC610000}"/>
    <cellStyle name="Normal 3 3 2 2 2 8 3 2" xfId="33306" xr:uid="{00000000-0005-0000-0000-0000DD610000}"/>
    <cellStyle name="Normal 3 3 2 2 2 8 4" xfId="33307" xr:uid="{00000000-0005-0000-0000-0000DE610000}"/>
    <cellStyle name="Normal 3 3 2 2 2 8 5" xfId="33308" xr:uid="{00000000-0005-0000-0000-0000DF610000}"/>
    <cellStyle name="Normal 3 3 2 2 2 8 6" xfId="33302" xr:uid="{00000000-0005-0000-0000-0000E0610000}"/>
    <cellStyle name="Normal 3 3 2 2 2 9" xfId="4756" xr:uid="{00000000-0005-0000-0000-0000E1610000}"/>
    <cellStyle name="Normal 3 3 2 2 2 9 2" xfId="4757" xr:uid="{00000000-0005-0000-0000-0000E2610000}"/>
    <cellStyle name="Normal 3 3 2 2 2 9 2 2" xfId="33310" xr:uid="{00000000-0005-0000-0000-0000E3610000}"/>
    <cellStyle name="Normal 3 3 2 2 2 9 3" xfId="33309" xr:uid="{00000000-0005-0000-0000-0000E4610000}"/>
    <cellStyle name="Normal 3 3 2 2 3" xfId="4758" xr:uid="{00000000-0005-0000-0000-0000E5610000}"/>
    <cellStyle name="Normal 3 3 2 2 3 10" xfId="33312" xr:uid="{00000000-0005-0000-0000-0000E6610000}"/>
    <cellStyle name="Normal 3 3 2 2 3 10 2" xfId="33313" xr:uid="{00000000-0005-0000-0000-0000E7610000}"/>
    <cellStyle name="Normal 3 3 2 2 3 11" xfId="33314" xr:uid="{00000000-0005-0000-0000-0000E8610000}"/>
    <cellStyle name="Normal 3 3 2 2 3 11 2" xfId="33315" xr:uid="{00000000-0005-0000-0000-0000E9610000}"/>
    <cellStyle name="Normal 3 3 2 2 3 12" xfId="33316" xr:uid="{00000000-0005-0000-0000-0000EA610000}"/>
    <cellStyle name="Normal 3 3 2 2 3 13" xfId="33317" xr:uid="{00000000-0005-0000-0000-0000EB610000}"/>
    <cellStyle name="Normal 3 3 2 2 3 14" xfId="33311" xr:uid="{00000000-0005-0000-0000-0000EC610000}"/>
    <cellStyle name="Normal 3 3 2 2 3 2" xfId="4759" xr:uid="{00000000-0005-0000-0000-0000ED610000}"/>
    <cellStyle name="Normal 3 3 2 2 3 2 10" xfId="33319" xr:uid="{00000000-0005-0000-0000-0000EE610000}"/>
    <cellStyle name="Normal 3 3 2 2 3 2 11" xfId="33320" xr:uid="{00000000-0005-0000-0000-0000EF610000}"/>
    <cellStyle name="Normal 3 3 2 2 3 2 12" xfId="33318" xr:uid="{00000000-0005-0000-0000-0000F0610000}"/>
    <cellStyle name="Normal 3 3 2 2 3 2 2" xfId="4760" xr:uid="{00000000-0005-0000-0000-0000F1610000}"/>
    <cellStyle name="Normal 3 3 2 2 3 2 2 2" xfId="4761" xr:uid="{00000000-0005-0000-0000-0000F2610000}"/>
    <cellStyle name="Normal 3 3 2 2 3 2 2 2 2" xfId="4762" xr:uid="{00000000-0005-0000-0000-0000F3610000}"/>
    <cellStyle name="Normal 3 3 2 2 3 2 2 2 2 2" xfId="33323" xr:uid="{00000000-0005-0000-0000-0000F4610000}"/>
    <cellStyle name="Normal 3 3 2 2 3 2 2 2 3" xfId="4763" xr:uid="{00000000-0005-0000-0000-0000F5610000}"/>
    <cellStyle name="Normal 3 3 2 2 3 2 2 2 4" xfId="33322" xr:uid="{00000000-0005-0000-0000-0000F6610000}"/>
    <cellStyle name="Normal 3 3 2 2 3 2 2 3" xfId="4764" xr:uid="{00000000-0005-0000-0000-0000F7610000}"/>
    <cellStyle name="Normal 3 3 2 2 3 2 2 3 2" xfId="4765" xr:uid="{00000000-0005-0000-0000-0000F8610000}"/>
    <cellStyle name="Normal 3 3 2 2 3 2 2 3 2 2" xfId="33325" xr:uid="{00000000-0005-0000-0000-0000F9610000}"/>
    <cellStyle name="Normal 3 3 2 2 3 2 2 3 3" xfId="33324" xr:uid="{00000000-0005-0000-0000-0000FA610000}"/>
    <cellStyle name="Normal 3 3 2 2 3 2 2 4" xfId="4766" xr:uid="{00000000-0005-0000-0000-0000FB610000}"/>
    <cellStyle name="Normal 3 3 2 2 3 2 2 4 2" xfId="4767" xr:uid="{00000000-0005-0000-0000-0000FC610000}"/>
    <cellStyle name="Normal 3 3 2 2 3 2 2 4 2 2" xfId="33327" xr:uid="{00000000-0005-0000-0000-0000FD610000}"/>
    <cellStyle name="Normal 3 3 2 2 3 2 2 4 3" xfId="33326" xr:uid="{00000000-0005-0000-0000-0000FE610000}"/>
    <cellStyle name="Normal 3 3 2 2 3 2 2 5" xfId="4768" xr:uid="{00000000-0005-0000-0000-0000FF610000}"/>
    <cellStyle name="Normal 3 3 2 2 3 2 2 5 2" xfId="33328" xr:uid="{00000000-0005-0000-0000-000000620000}"/>
    <cellStyle name="Normal 3 3 2 2 3 2 2 6" xfId="33329" xr:uid="{00000000-0005-0000-0000-000001620000}"/>
    <cellStyle name="Normal 3 3 2 2 3 2 2 7" xfId="33321" xr:uid="{00000000-0005-0000-0000-000002620000}"/>
    <cellStyle name="Normal 3 3 2 2 3 2 3" xfId="4769" xr:uid="{00000000-0005-0000-0000-000003620000}"/>
    <cellStyle name="Normal 3 3 2 2 3 2 3 2" xfId="4770" xr:uid="{00000000-0005-0000-0000-000004620000}"/>
    <cellStyle name="Normal 3 3 2 2 3 2 3 2 2" xfId="4771" xr:uid="{00000000-0005-0000-0000-000005620000}"/>
    <cellStyle name="Normal 3 3 2 2 3 2 3 2 2 2" xfId="33332" xr:uid="{00000000-0005-0000-0000-000006620000}"/>
    <cellStyle name="Normal 3 3 2 2 3 2 3 2 3" xfId="33331" xr:uid="{00000000-0005-0000-0000-000007620000}"/>
    <cellStyle name="Normal 3 3 2 2 3 2 3 3" xfId="4772" xr:uid="{00000000-0005-0000-0000-000008620000}"/>
    <cellStyle name="Normal 3 3 2 2 3 2 3 3 2" xfId="4773" xr:uid="{00000000-0005-0000-0000-000009620000}"/>
    <cellStyle name="Normal 3 3 2 2 3 2 3 3 2 2" xfId="33334" xr:uid="{00000000-0005-0000-0000-00000A620000}"/>
    <cellStyle name="Normal 3 3 2 2 3 2 3 3 3" xfId="33333" xr:uid="{00000000-0005-0000-0000-00000B620000}"/>
    <cellStyle name="Normal 3 3 2 2 3 2 3 4" xfId="4774" xr:uid="{00000000-0005-0000-0000-00000C620000}"/>
    <cellStyle name="Normal 3 3 2 2 3 2 3 4 2" xfId="33336" xr:uid="{00000000-0005-0000-0000-00000D620000}"/>
    <cellStyle name="Normal 3 3 2 2 3 2 3 4 3" xfId="33335" xr:uid="{00000000-0005-0000-0000-00000E620000}"/>
    <cellStyle name="Normal 3 3 2 2 3 2 3 5" xfId="33337" xr:uid="{00000000-0005-0000-0000-00000F620000}"/>
    <cellStyle name="Normal 3 3 2 2 3 2 3 6" xfId="33338" xr:uid="{00000000-0005-0000-0000-000010620000}"/>
    <cellStyle name="Normal 3 3 2 2 3 2 3 7" xfId="33330" xr:uid="{00000000-0005-0000-0000-000011620000}"/>
    <cellStyle name="Normal 3 3 2 2 3 2 4" xfId="4775" xr:uid="{00000000-0005-0000-0000-000012620000}"/>
    <cellStyle name="Normal 3 3 2 2 3 2 4 2" xfId="4776" xr:uid="{00000000-0005-0000-0000-000013620000}"/>
    <cellStyle name="Normal 3 3 2 2 3 2 4 2 2" xfId="33341" xr:uid="{00000000-0005-0000-0000-000014620000}"/>
    <cellStyle name="Normal 3 3 2 2 3 2 4 2 3" xfId="33340" xr:uid="{00000000-0005-0000-0000-000015620000}"/>
    <cellStyle name="Normal 3 3 2 2 3 2 4 3" xfId="4777" xr:uid="{00000000-0005-0000-0000-000016620000}"/>
    <cellStyle name="Normal 3 3 2 2 3 2 4 3 2" xfId="33343" xr:uid="{00000000-0005-0000-0000-000017620000}"/>
    <cellStyle name="Normal 3 3 2 2 3 2 4 3 3" xfId="33342" xr:uid="{00000000-0005-0000-0000-000018620000}"/>
    <cellStyle name="Normal 3 3 2 2 3 2 4 4" xfId="33344" xr:uid="{00000000-0005-0000-0000-000019620000}"/>
    <cellStyle name="Normal 3 3 2 2 3 2 4 4 2" xfId="33345" xr:uid="{00000000-0005-0000-0000-00001A620000}"/>
    <cellStyle name="Normal 3 3 2 2 3 2 4 5" xfId="33346" xr:uid="{00000000-0005-0000-0000-00001B620000}"/>
    <cellStyle name="Normal 3 3 2 2 3 2 4 6" xfId="33347" xr:uid="{00000000-0005-0000-0000-00001C620000}"/>
    <cellStyle name="Normal 3 3 2 2 3 2 4 7" xfId="33339" xr:uid="{00000000-0005-0000-0000-00001D620000}"/>
    <cellStyle name="Normal 3 3 2 2 3 2 5" xfId="4778" xr:uid="{00000000-0005-0000-0000-00001E620000}"/>
    <cellStyle name="Normal 3 3 2 2 3 2 5 2" xfId="4779" xr:uid="{00000000-0005-0000-0000-00001F620000}"/>
    <cellStyle name="Normal 3 3 2 2 3 2 5 2 2" xfId="33350" xr:uid="{00000000-0005-0000-0000-000020620000}"/>
    <cellStyle name="Normal 3 3 2 2 3 2 5 2 3" xfId="33349" xr:uid="{00000000-0005-0000-0000-000021620000}"/>
    <cellStyle name="Normal 3 3 2 2 3 2 5 3" xfId="33351" xr:uid="{00000000-0005-0000-0000-000022620000}"/>
    <cellStyle name="Normal 3 3 2 2 3 2 5 3 2" xfId="33352" xr:uid="{00000000-0005-0000-0000-000023620000}"/>
    <cellStyle name="Normal 3 3 2 2 3 2 5 4" xfId="33353" xr:uid="{00000000-0005-0000-0000-000024620000}"/>
    <cellStyle name="Normal 3 3 2 2 3 2 5 4 2" xfId="33354" xr:uid="{00000000-0005-0000-0000-000025620000}"/>
    <cellStyle name="Normal 3 3 2 2 3 2 5 5" xfId="33355" xr:uid="{00000000-0005-0000-0000-000026620000}"/>
    <cellStyle name="Normal 3 3 2 2 3 2 5 6" xfId="33356" xr:uid="{00000000-0005-0000-0000-000027620000}"/>
    <cellStyle name="Normal 3 3 2 2 3 2 5 7" xfId="33348" xr:uid="{00000000-0005-0000-0000-000028620000}"/>
    <cellStyle name="Normal 3 3 2 2 3 2 6" xfId="4780" xr:uid="{00000000-0005-0000-0000-000029620000}"/>
    <cellStyle name="Normal 3 3 2 2 3 2 6 2" xfId="4781" xr:uid="{00000000-0005-0000-0000-00002A620000}"/>
    <cellStyle name="Normal 3 3 2 2 3 2 6 2 2" xfId="33359" xr:uid="{00000000-0005-0000-0000-00002B620000}"/>
    <cellStyle name="Normal 3 3 2 2 3 2 6 2 3" xfId="33358" xr:uid="{00000000-0005-0000-0000-00002C620000}"/>
    <cellStyle name="Normal 3 3 2 2 3 2 6 3" xfId="33360" xr:uid="{00000000-0005-0000-0000-00002D620000}"/>
    <cellStyle name="Normal 3 3 2 2 3 2 6 3 2" xfId="33361" xr:uid="{00000000-0005-0000-0000-00002E620000}"/>
    <cellStyle name="Normal 3 3 2 2 3 2 6 4" xfId="33362" xr:uid="{00000000-0005-0000-0000-00002F620000}"/>
    <cellStyle name="Normal 3 3 2 2 3 2 6 5" xfId="33363" xr:uid="{00000000-0005-0000-0000-000030620000}"/>
    <cellStyle name="Normal 3 3 2 2 3 2 6 6" xfId="33357" xr:uid="{00000000-0005-0000-0000-000031620000}"/>
    <cellStyle name="Normal 3 3 2 2 3 2 7" xfId="4782" xr:uid="{00000000-0005-0000-0000-000032620000}"/>
    <cellStyle name="Normal 3 3 2 2 3 2 7 2" xfId="33365" xr:uid="{00000000-0005-0000-0000-000033620000}"/>
    <cellStyle name="Normal 3 3 2 2 3 2 7 3" xfId="33364" xr:uid="{00000000-0005-0000-0000-000034620000}"/>
    <cellStyle name="Normal 3 3 2 2 3 2 8" xfId="33366" xr:uid="{00000000-0005-0000-0000-000035620000}"/>
    <cellStyle name="Normal 3 3 2 2 3 2 8 2" xfId="33367" xr:uid="{00000000-0005-0000-0000-000036620000}"/>
    <cellStyle name="Normal 3 3 2 2 3 2 9" xfId="33368" xr:uid="{00000000-0005-0000-0000-000037620000}"/>
    <cellStyle name="Normal 3 3 2 2 3 2 9 2" xfId="33369" xr:uid="{00000000-0005-0000-0000-000038620000}"/>
    <cellStyle name="Normal 3 3 2 2 3 3" xfId="4783" xr:uid="{00000000-0005-0000-0000-000039620000}"/>
    <cellStyle name="Normal 3 3 2 2 3 3 10" xfId="33371" xr:uid="{00000000-0005-0000-0000-00003A620000}"/>
    <cellStyle name="Normal 3 3 2 2 3 3 11" xfId="33370" xr:uid="{00000000-0005-0000-0000-00003B620000}"/>
    <cellStyle name="Normal 3 3 2 2 3 3 2" xfId="4784" xr:uid="{00000000-0005-0000-0000-00003C620000}"/>
    <cellStyle name="Normal 3 3 2 2 3 3 2 2" xfId="4785" xr:uid="{00000000-0005-0000-0000-00003D620000}"/>
    <cellStyle name="Normal 3 3 2 2 3 3 2 2 2" xfId="33374" xr:uid="{00000000-0005-0000-0000-00003E620000}"/>
    <cellStyle name="Normal 3 3 2 2 3 3 2 2 3" xfId="33373" xr:uid="{00000000-0005-0000-0000-00003F620000}"/>
    <cellStyle name="Normal 3 3 2 2 3 3 2 3" xfId="4786" xr:uid="{00000000-0005-0000-0000-000040620000}"/>
    <cellStyle name="Normal 3 3 2 2 3 3 2 3 2" xfId="33376" xr:uid="{00000000-0005-0000-0000-000041620000}"/>
    <cellStyle name="Normal 3 3 2 2 3 3 2 3 3" xfId="33375" xr:uid="{00000000-0005-0000-0000-000042620000}"/>
    <cellStyle name="Normal 3 3 2 2 3 3 2 4" xfId="33377" xr:uid="{00000000-0005-0000-0000-000043620000}"/>
    <cellStyle name="Normal 3 3 2 2 3 3 2 4 2" xfId="33378" xr:uid="{00000000-0005-0000-0000-000044620000}"/>
    <cellStyle name="Normal 3 3 2 2 3 3 2 5" xfId="33379" xr:uid="{00000000-0005-0000-0000-000045620000}"/>
    <cellStyle name="Normal 3 3 2 2 3 3 2 6" xfId="33380" xr:uid="{00000000-0005-0000-0000-000046620000}"/>
    <cellStyle name="Normal 3 3 2 2 3 3 2 7" xfId="33372" xr:uid="{00000000-0005-0000-0000-000047620000}"/>
    <cellStyle name="Normal 3 3 2 2 3 3 3" xfId="4787" xr:uid="{00000000-0005-0000-0000-000048620000}"/>
    <cellStyle name="Normal 3 3 2 2 3 3 3 2" xfId="4788" xr:uid="{00000000-0005-0000-0000-000049620000}"/>
    <cellStyle name="Normal 3 3 2 2 3 3 3 2 2" xfId="33383" xr:uid="{00000000-0005-0000-0000-00004A620000}"/>
    <cellStyle name="Normal 3 3 2 2 3 3 3 2 3" xfId="33382" xr:uid="{00000000-0005-0000-0000-00004B620000}"/>
    <cellStyle name="Normal 3 3 2 2 3 3 3 3" xfId="33384" xr:uid="{00000000-0005-0000-0000-00004C620000}"/>
    <cellStyle name="Normal 3 3 2 2 3 3 3 3 2" xfId="33385" xr:uid="{00000000-0005-0000-0000-00004D620000}"/>
    <cellStyle name="Normal 3 3 2 2 3 3 3 4" xfId="33386" xr:uid="{00000000-0005-0000-0000-00004E620000}"/>
    <cellStyle name="Normal 3 3 2 2 3 3 3 4 2" xfId="33387" xr:uid="{00000000-0005-0000-0000-00004F620000}"/>
    <cellStyle name="Normal 3 3 2 2 3 3 3 5" xfId="33388" xr:uid="{00000000-0005-0000-0000-000050620000}"/>
    <cellStyle name="Normal 3 3 2 2 3 3 3 6" xfId="33389" xr:uid="{00000000-0005-0000-0000-000051620000}"/>
    <cellStyle name="Normal 3 3 2 2 3 3 3 7" xfId="33381" xr:uid="{00000000-0005-0000-0000-000052620000}"/>
    <cellStyle name="Normal 3 3 2 2 3 3 4" xfId="4789" xr:uid="{00000000-0005-0000-0000-000053620000}"/>
    <cellStyle name="Normal 3 3 2 2 3 3 4 2" xfId="4790" xr:uid="{00000000-0005-0000-0000-000054620000}"/>
    <cellStyle name="Normal 3 3 2 2 3 3 4 2 2" xfId="33392" xr:uid="{00000000-0005-0000-0000-000055620000}"/>
    <cellStyle name="Normal 3 3 2 2 3 3 4 2 3" xfId="33391" xr:uid="{00000000-0005-0000-0000-000056620000}"/>
    <cellStyle name="Normal 3 3 2 2 3 3 4 3" xfId="33393" xr:uid="{00000000-0005-0000-0000-000057620000}"/>
    <cellStyle name="Normal 3 3 2 2 3 3 4 3 2" xfId="33394" xr:uid="{00000000-0005-0000-0000-000058620000}"/>
    <cellStyle name="Normal 3 3 2 2 3 3 4 4" xfId="33395" xr:uid="{00000000-0005-0000-0000-000059620000}"/>
    <cellStyle name="Normal 3 3 2 2 3 3 4 4 2" xfId="33396" xr:uid="{00000000-0005-0000-0000-00005A620000}"/>
    <cellStyle name="Normal 3 3 2 2 3 3 4 5" xfId="33397" xr:uid="{00000000-0005-0000-0000-00005B620000}"/>
    <cellStyle name="Normal 3 3 2 2 3 3 4 6" xfId="33398" xr:uid="{00000000-0005-0000-0000-00005C620000}"/>
    <cellStyle name="Normal 3 3 2 2 3 3 4 7" xfId="33390" xr:uid="{00000000-0005-0000-0000-00005D620000}"/>
    <cellStyle name="Normal 3 3 2 2 3 3 5" xfId="4791" xr:uid="{00000000-0005-0000-0000-00005E620000}"/>
    <cellStyle name="Normal 3 3 2 2 3 3 5 2" xfId="33400" xr:uid="{00000000-0005-0000-0000-00005F620000}"/>
    <cellStyle name="Normal 3 3 2 2 3 3 5 2 2" xfId="33401" xr:uid="{00000000-0005-0000-0000-000060620000}"/>
    <cellStyle name="Normal 3 3 2 2 3 3 5 3" xfId="33402" xr:uid="{00000000-0005-0000-0000-000061620000}"/>
    <cellStyle name="Normal 3 3 2 2 3 3 5 3 2" xfId="33403" xr:uid="{00000000-0005-0000-0000-000062620000}"/>
    <cellStyle name="Normal 3 3 2 2 3 3 5 4" xfId="33404" xr:uid="{00000000-0005-0000-0000-000063620000}"/>
    <cellStyle name="Normal 3 3 2 2 3 3 5 5" xfId="33405" xr:uid="{00000000-0005-0000-0000-000064620000}"/>
    <cellStyle name="Normal 3 3 2 2 3 3 5 6" xfId="33399" xr:uid="{00000000-0005-0000-0000-000065620000}"/>
    <cellStyle name="Normal 3 3 2 2 3 3 6" xfId="33406" xr:uid="{00000000-0005-0000-0000-000066620000}"/>
    <cellStyle name="Normal 3 3 2 2 3 3 6 2" xfId="33407" xr:uid="{00000000-0005-0000-0000-000067620000}"/>
    <cellStyle name="Normal 3 3 2 2 3 3 7" xfId="33408" xr:uid="{00000000-0005-0000-0000-000068620000}"/>
    <cellStyle name="Normal 3 3 2 2 3 3 7 2" xfId="33409" xr:uid="{00000000-0005-0000-0000-000069620000}"/>
    <cellStyle name="Normal 3 3 2 2 3 3 8" xfId="33410" xr:uid="{00000000-0005-0000-0000-00006A620000}"/>
    <cellStyle name="Normal 3 3 2 2 3 3 8 2" xfId="33411" xr:uid="{00000000-0005-0000-0000-00006B620000}"/>
    <cellStyle name="Normal 3 3 2 2 3 3 9" xfId="33412" xr:uid="{00000000-0005-0000-0000-00006C620000}"/>
    <cellStyle name="Normal 3 3 2 2 3 4" xfId="4792" xr:uid="{00000000-0005-0000-0000-00006D620000}"/>
    <cellStyle name="Normal 3 3 2 2 3 4 10" xfId="33414" xr:uid="{00000000-0005-0000-0000-00006E620000}"/>
    <cellStyle name="Normal 3 3 2 2 3 4 11" xfId="33413" xr:uid="{00000000-0005-0000-0000-00006F620000}"/>
    <cellStyle name="Normal 3 3 2 2 3 4 2" xfId="4793" xr:uid="{00000000-0005-0000-0000-000070620000}"/>
    <cellStyle name="Normal 3 3 2 2 3 4 2 2" xfId="4794" xr:uid="{00000000-0005-0000-0000-000071620000}"/>
    <cellStyle name="Normal 3 3 2 2 3 4 2 2 2" xfId="33417" xr:uid="{00000000-0005-0000-0000-000072620000}"/>
    <cellStyle name="Normal 3 3 2 2 3 4 2 2 3" xfId="33416" xr:uid="{00000000-0005-0000-0000-000073620000}"/>
    <cellStyle name="Normal 3 3 2 2 3 4 2 3" xfId="33418" xr:uid="{00000000-0005-0000-0000-000074620000}"/>
    <cellStyle name="Normal 3 3 2 2 3 4 2 3 2" xfId="33419" xr:uid="{00000000-0005-0000-0000-000075620000}"/>
    <cellStyle name="Normal 3 3 2 2 3 4 2 4" xfId="33420" xr:uid="{00000000-0005-0000-0000-000076620000}"/>
    <cellStyle name="Normal 3 3 2 2 3 4 2 4 2" xfId="33421" xr:uid="{00000000-0005-0000-0000-000077620000}"/>
    <cellStyle name="Normal 3 3 2 2 3 4 2 5" xfId="33422" xr:uid="{00000000-0005-0000-0000-000078620000}"/>
    <cellStyle name="Normal 3 3 2 2 3 4 2 6" xfId="33423" xr:uid="{00000000-0005-0000-0000-000079620000}"/>
    <cellStyle name="Normal 3 3 2 2 3 4 2 7" xfId="33415" xr:uid="{00000000-0005-0000-0000-00007A620000}"/>
    <cellStyle name="Normal 3 3 2 2 3 4 3" xfId="4795" xr:uid="{00000000-0005-0000-0000-00007B620000}"/>
    <cellStyle name="Normal 3 3 2 2 3 4 3 2" xfId="4796" xr:uid="{00000000-0005-0000-0000-00007C620000}"/>
    <cellStyle name="Normal 3 3 2 2 3 4 3 2 2" xfId="33426" xr:uid="{00000000-0005-0000-0000-00007D620000}"/>
    <cellStyle name="Normal 3 3 2 2 3 4 3 2 3" xfId="33425" xr:uid="{00000000-0005-0000-0000-00007E620000}"/>
    <cellStyle name="Normal 3 3 2 2 3 4 3 3" xfId="33427" xr:uid="{00000000-0005-0000-0000-00007F620000}"/>
    <cellStyle name="Normal 3 3 2 2 3 4 3 3 2" xfId="33428" xr:uid="{00000000-0005-0000-0000-000080620000}"/>
    <cellStyle name="Normal 3 3 2 2 3 4 3 4" xfId="33429" xr:uid="{00000000-0005-0000-0000-000081620000}"/>
    <cellStyle name="Normal 3 3 2 2 3 4 3 4 2" xfId="33430" xr:uid="{00000000-0005-0000-0000-000082620000}"/>
    <cellStyle name="Normal 3 3 2 2 3 4 3 5" xfId="33431" xr:uid="{00000000-0005-0000-0000-000083620000}"/>
    <cellStyle name="Normal 3 3 2 2 3 4 3 6" xfId="33432" xr:uid="{00000000-0005-0000-0000-000084620000}"/>
    <cellStyle name="Normal 3 3 2 2 3 4 3 7" xfId="33424" xr:uid="{00000000-0005-0000-0000-000085620000}"/>
    <cellStyle name="Normal 3 3 2 2 3 4 4" xfId="4797" xr:uid="{00000000-0005-0000-0000-000086620000}"/>
    <cellStyle name="Normal 3 3 2 2 3 4 4 2" xfId="33434" xr:uid="{00000000-0005-0000-0000-000087620000}"/>
    <cellStyle name="Normal 3 3 2 2 3 4 4 2 2" xfId="33435" xr:uid="{00000000-0005-0000-0000-000088620000}"/>
    <cellStyle name="Normal 3 3 2 2 3 4 4 3" xfId="33436" xr:uid="{00000000-0005-0000-0000-000089620000}"/>
    <cellStyle name="Normal 3 3 2 2 3 4 4 3 2" xfId="33437" xr:uid="{00000000-0005-0000-0000-00008A620000}"/>
    <cellStyle name="Normal 3 3 2 2 3 4 4 4" xfId="33438" xr:uid="{00000000-0005-0000-0000-00008B620000}"/>
    <cellStyle name="Normal 3 3 2 2 3 4 4 4 2" xfId="33439" xr:uid="{00000000-0005-0000-0000-00008C620000}"/>
    <cellStyle name="Normal 3 3 2 2 3 4 4 5" xfId="33440" xr:uid="{00000000-0005-0000-0000-00008D620000}"/>
    <cellStyle name="Normal 3 3 2 2 3 4 4 6" xfId="33441" xr:uid="{00000000-0005-0000-0000-00008E620000}"/>
    <cellStyle name="Normal 3 3 2 2 3 4 4 7" xfId="33433" xr:uid="{00000000-0005-0000-0000-00008F620000}"/>
    <cellStyle name="Normal 3 3 2 2 3 4 5" xfId="33442" xr:uid="{00000000-0005-0000-0000-000090620000}"/>
    <cellStyle name="Normal 3 3 2 2 3 4 5 2" xfId="33443" xr:uid="{00000000-0005-0000-0000-000091620000}"/>
    <cellStyle name="Normal 3 3 2 2 3 4 5 2 2" xfId="33444" xr:uid="{00000000-0005-0000-0000-000092620000}"/>
    <cellStyle name="Normal 3 3 2 2 3 4 5 3" xfId="33445" xr:uid="{00000000-0005-0000-0000-000093620000}"/>
    <cellStyle name="Normal 3 3 2 2 3 4 5 3 2" xfId="33446" xr:uid="{00000000-0005-0000-0000-000094620000}"/>
    <cellStyle name="Normal 3 3 2 2 3 4 5 4" xfId="33447" xr:uid="{00000000-0005-0000-0000-000095620000}"/>
    <cellStyle name="Normal 3 3 2 2 3 4 5 5" xfId="33448" xr:uid="{00000000-0005-0000-0000-000096620000}"/>
    <cellStyle name="Normal 3 3 2 2 3 4 6" xfId="33449" xr:uid="{00000000-0005-0000-0000-000097620000}"/>
    <cellStyle name="Normal 3 3 2 2 3 4 6 2" xfId="33450" xr:uid="{00000000-0005-0000-0000-000098620000}"/>
    <cellStyle name="Normal 3 3 2 2 3 4 7" xfId="33451" xr:uid="{00000000-0005-0000-0000-000099620000}"/>
    <cellStyle name="Normal 3 3 2 2 3 4 7 2" xfId="33452" xr:uid="{00000000-0005-0000-0000-00009A620000}"/>
    <cellStyle name="Normal 3 3 2 2 3 4 8" xfId="33453" xr:uid="{00000000-0005-0000-0000-00009B620000}"/>
    <cellStyle name="Normal 3 3 2 2 3 4 8 2" xfId="33454" xr:uid="{00000000-0005-0000-0000-00009C620000}"/>
    <cellStyle name="Normal 3 3 2 2 3 4 9" xfId="33455" xr:uid="{00000000-0005-0000-0000-00009D620000}"/>
    <cellStyle name="Normal 3 3 2 2 3 5" xfId="4798" xr:uid="{00000000-0005-0000-0000-00009E620000}"/>
    <cellStyle name="Normal 3 3 2 2 3 5 2" xfId="4799" xr:uid="{00000000-0005-0000-0000-00009F620000}"/>
    <cellStyle name="Normal 3 3 2 2 3 5 2 2" xfId="33458" xr:uid="{00000000-0005-0000-0000-0000A0620000}"/>
    <cellStyle name="Normal 3 3 2 2 3 5 2 3" xfId="33457" xr:uid="{00000000-0005-0000-0000-0000A1620000}"/>
    <cellStyle name="Normal 3 3 2 2 3 5 3" xfId="4800" xr:uid="{00000000-0005-0000-0000-0000A2620000}"/>
    <cellStyle name="Normal 3 3 2 2 3 5 3 2" xfId="33460" xr:uid="{00000000-0005-0000-0000-0000A3620000}"/>
    <cellStyle name="Normal 3 3 2 2 3 5 3 3" xfId="33459" xr:uid="{00000000-0005-0000-0000-0000A4620000}"/>
    <cellStyle name="Normal 3 3 2 2 3 5 4" xfId="33461" xr:uid="{00000000-0005-0000-0000-0000A5620000}"/>
    <cellStyle name="Normal 3 3 2 2 3 5 4 2" xfId="33462" xr:uid="{00000000-0005-0000-0000-0000A6620000}"/>
    <cellStyle name="Normal 3 3 2 2 3 5 5" xfId="33463" xr:uid="{00000000-0005-0000-0000-0000A7620000}"/>
    <cellStyle name="Normal 3 3 2 2 3 5 6" xfId="33464" xr:uid="{00000000-0005-0000-0000-0000A8620000}"/>
    <cellStyle name="Normal 3 3 2 2 3 5 7" xfId="33456" xr:uid="{00000000-0005-0000-0000-0000A9620000}"/>
    <cellStyle name="Normal 3 3 2 2 3 6" xfId="4801" xr:uid="{00000000-0005-0000-0000-0000AA620000}"/>
    <cellStyle name="Normal 3 3 2 2 3 6 2" xfId="4802" xr:uid="{00000000-0005-0000-0000-0000AB620000}"/>
    <cellStyle name="Normal 3 3 2 2 3 6 2 2" xfId="33467" xr:uid="{00000000-0005-0000-0000-0000AC620000}"/>
    <cellStyle name="Normal 3 3 2 2 3 6 2 3" xfId="33466" xr:uid="{00000000-0005-0000-0000-0000AD620000}"/>
    <cellStyle name="Normal 3 3 2 2 3 6 3" xfId="33468" xr:uid="{00000000-0005-0000-0000-0000AE620000}"/>
    <cellStyle name="Normal 3 3 2 2 3 6 3 2" xfId="33469" xr:uid="{00000000-0005-0000-0000-0000AF620000}"/>
    <cellStyle name="Normal 3 3 2 2 3 6 4" xfId="33470" xr:uid="{00000000-0005-0000-0000-0000B0620000}"/>
    <cellStyle name="Normal 3 3 2 2 3 6 4 2" xfId="33471" xr:uid="{00000000-0005-0000-0000-0000B1620000}"/>
    <cellStyle name="Normal 3 3 2 2 3 6 5" xfId="33472" xr:uid="{00000000-0005-0000-0000-0000B2620000}"/>
    <cellStyle name="Normal 3 3 2 2 3 6 6" xfId="33473" xr:uid="{00000000-0005-0000-0000-0000B3620000}"/>
    <cellStyle name="Normal 3 3 2 2 3 6 7" xfId="33465" xr:uid="{00000000-0005-0000-0000-0000B4620000}"/>
    <cellStyle name="Normal 3 3 2 2 3 7" xfId="4803" xr:uid="{00000000-0005-0000-0000-0000B5620000}"/>
    <cellStyle name="Normal 3 3 2 2 3 7 2" xfId="4804" xr:uid="{00000000-0005-0000-0000-0000B6620000}"/>
    <cellStyle name="Normal 3 3 2 2 3 7 2 2" xfId="33476" xr:uid="{00000000-0005-0000-0000-0000B7620000}"/>
    <cellStyle name="Normal 3 3 2 2 3 7 2 3" xfId="33475" xr:uid="{00000000-0005-0000-0000-0000B8620000}"/>
    <cellStyle name="Normal 3 3 2 2 3 7 3" xfId="33477" xr:uid="{00000000-0005-0000-0000-0000B9620000}"/>
    <cellStyle name="Normal 3 3 2 2 3 7 3 2" xfId="33478" xr:uid="{00000000-0005-0000-0000-0000BA620000}"/>
    <cellStyle name="Normal 3 3 2 2 3 7 4" xfId="33479" xr:uid="{00000000-0005-0000-0000-0000BB620000}"/>
    <cellStyle name="Normal 3 3 2 2 3 7 4 2" xfId="33480" xr:uid="{00000000-0005-0000-0000-0000BC620000}"/>
    <cellStyle name="Normal 3 3 2 2 3 7 5" xfId="33481" xr:uid="{00000000-0005-0000-0000-0000BD620000}"/>
    <cellStyle name="Normal 3 3 2 2 3 7 6" xfId="33482" xr:uid="{00000000-0005-0000-0000-0000BE620000}"/>
    <cellStyle name="Normal 3 3 2 2 3 7 7" xfId="33474" xr:uid="{00000000-0005-0000-0000-0000BF620000}"/>
    <cellStyle name="Normal 3 3 2 2 3 8" xfId="4805" xr:uid="{00000000-0005-0000-0000-0000C0620000}"/>
    <cellStyle name="Normal 3 3 2 2 3 8 2" xfId="33484" xr:uid="{00000000-0005-0000-0000-0000C1620000}"/>
    <cellStyle name="Normal 3 3 2 2 3 8 2 2" xfId="33485" xr:uid="{00000000-0005-0000-0000-0000C2620000}"/>
    <cellStyle name="Normal 3 3 2 2 3 8 3" xfId="33486" xr:uid="{00000000-0005-0000-0000-0000C3620000}"/>
    <cellStyle name="Normal 3 3 2 2 3 8 3 2" xfId="33487" xr:uid="{00000000-0005-0000-0000-0000C4620000}"/>
    <cellStyle name="Normal 3 3 2 2 3 8 4" xfId="33488" xr:uid="{00000000-0005-0000-0000-0000C5620000}"/>
    <cellStyle name="Normal 3 3 2 2 3 8 5" xfId="33489" xr:uid="{00000000-0005-0000-0000-0000C6620000}"/>
    <cellStyle name="Normal 3 3 2 2 3 8 6" xfId="33483" xr:uid="{00000000-0005-0000-0000-0000C7620000}"/>
    <cellStyle name="Normal 3 3 2 2 3 9" xfId="33490" xr:uid="{00000000-0005-0000-0000-0000C8620000}"/>
    <cellStyle name="Normal 3 3 2 2 3 9 2" xfId="33491" xr:uid="{00000000-0005-0000-0000-0000C9620000}"/>
    <cellStyle name="Normal 3 3 2 2 4" xfId="4806" xr:uid="{00000000-0005-0000-0000-0000CA620000}"/>
    <cellStyle name="Normal 3 3 2 2 4 10" xfId="33493" xr:uid="{00000000-0005-0000-0000-0000CB620000}"/>
    <cellStyle name="Normal 3 3 2 2 4 10 2" xfId="33494" xr:uid="{00000000-0005-0000-0000-0000CC620000}"/>
    <cellStyle name="Normal 3 3 2 2 4 11" xfId="33495" xr:uid="{00000000-0005-0000-0000-0000CD620000}"/>
    <cellStyle name="Normal 3 3 2 2 4 12" xfId="33496" xr:uid="{00000000-0005-0000-0000-0000CE620000}"/>
    <cellStyle name="Normal 3 3 2 2 4 13" xfId="33492" xr:uid="{00000000-0005-0000-0000-0000CF620000}"/>
    <cellStyle name="Normal 3 3 2 2 4 2" xfId="4807" xr:uid="{00000000-0005-0000-0000-0000D0620000}"/>
    <cellStyle name="Normal 3 3 2 2 4 2 10" xfId="33498" xr:uid="{00000000-0005-0000-0000-0000D1620000}"/>
    <cellStyle name="Normal 3 3 2 2 4 2 11" xfId="33497" xr:uid="{00000000-0005-0000-0000-0000D2620000}"/>
    <cellStyle name="Normal 3 3 2 2 4 2 2" xfId="4808" xr:uid="{00000000-0005-0000-0000-0000D3620000}"/>
    <cellStyle name="Normal 3 3 2 2 4 2 2 2" xfId="4809" xr:uid="{00000000-0005-0000-0000-0000D4620000}"/>
    <cellStyle name="Normal 3 3 2 2 4 2 2 2 2" xfId="33501" xr:uid="{00000000-0005-0000-0000-0000D5620000}"/>
    <cellStyle name="Normal 3 3 2 2 4 2 2 2 3" xfId="33500" xr:uid="{00000000-0005-0000-0000-0000D6620000}"/>
    <cellStyle name="Normal 3 3 2 2 4 2 2 3" xfId="4810" xr:uid="{00000000-0005-0000-0000-0000D7620000}"/>
    <cellStyle name="Normal 3 3 2 2 4 2 2 3 2" xfId="33503" xr:uid="{00000000-0005-0000-0000-0000D8620000}"/>
    <cellStyle name="Normal 3 3 2 2 4 2 2 3 3" xfId="33502" xr:uid="{00000000-0005-0000-0000-0000D9620000}"/>
    <cellStyle name="Normal 3 3 2 2 4 2 2 4" xfId="33504" xr:uid="{00000000-0005-0000-0000-0000DA620000}"/>
    <cellStyle name="Normal 3 3 2 2 4 2 2 4 2" xfId="33505" xr:uid="{00000000-0005-0000-0000-0000DB620000}"/>
    <cellStyle name="Normal 3 3 2 2 4 2 2 5" xfId="33506" xr:uid="{00000000-0005-0000-0000-0000DC620000}"/>
    <cellStyle name="Normal 3 3 2 2 4 2 2 6" xfId="33507" xr:uid="{00000000-0005-0000-0000-0000DD620000}"/>
    <cellStyle name="Normal 3 3 2 2 4 2 2 7" xfId="33499" xr:uid="{00000000-0005-0000-0000-0000DE620000}"/>
    <cellStyle name="Normal 3 3 2 2 4 2 3" xfId="4811" xr:uid="{00000000-0005-0000-0000-0000DF620000}"/>
    <cellStyle name="Normal 3 3 2 2 4 2 3 2" xfId="4812" xr:uid="{00000000-0005-0000-0000-0000E0620000}"/>
    <cellStyle name="Normal 3 3 2 2 4 2 3 2 2" xfId="33510" xr:uid="{00000000-0005-0000-0000-0000E1620000}"/>
    <cellStyle name="Normal 3 3 2 2 4 2 3 2 3" xfId="33509" xr:uid="{00000000-0005-0000-0000-0000E2620000}"/>
    <cellStyle name="Normal 3 3 2 2 4 2 3 3" xfId="33511" xr:uid="{00000000-0005-0000-0000-0000E3620000}"/>
    <cellStyle name="Normal 3 3 2 2 4 2 3 3 2" xfId="33512" xr:uid="{00000000-0005-0000-0000-0000E4620000}"/>
    <cellStyle name="Normal 3 3 2 2 4 2 3 4" xfId="33513" xr:uid="{00000000-0005-0000-0000-0000E5620000}"/>
    <cellStyle name="Normal 3 3 2 2 4 2 3 4 2" xfId="33514" xr:uid="{00000000-0005-0000-0000-0000E6620000}"/>
    <cellStyle name="Normal 3 3 2 2 4 2 3 5" xfId="33515" xr:uid="{00000000-0005-0000-0000-0000E7620000}"/>
    <cellStyle name="Normal 3 3 2 2 4 2 3 6" xfId="33516" xr:uid="{00000000-0005-0000-0000-0000E8620000}"/>
    <cellStyle name="Normal 3 3 2 2 4 2 3 7" xfId="33508" xr:uid="{00000000-0005-0000-0000-0000E9620000}"/>
    <cellStyle name="Normal 3 3 2 2 4 2 4" xfId="4813" xr:uid="{00000000-0005-0000-0000-0000EA620000}"/>
    <cellStyle name="Normal 3 3 2 2 4 2 4 2" xfId="4814" xr:uid="{00000000-0005-0000-0000-0000EB620000}"/>
    <cellStyle name="Normal 3 3 2 2 4 2 4 2 2" xfId="33519" xr:uid="{00000000-0005-0000-0000-0000EC620000}"/>
    <cellStyle name="Normal 3 3 2 2 4 2 4 2 3" xfId="33518" xr:uid="{00000000-0005-0000-0000-0000ED620000}"/>
    <cellStyle name="Normal 3 3 2 2 4 2 4 3" xfId="33520" xr:uid="{00000000-0005-0000-0000-0000EE620000}"/>
    <cellStyle name="Normal 3 3 2 2 4 2 4 3 2" xfId="33521" xr:uid="{00000000-0005-0000-0000-0000EF620000}"/>
    <cellStyle name="Normal 3 3 2 2 4 2 4 4" xfId="33522" xr:uid="{00000000-0005-0000-0000-0000F0620000}"/>
    <cellStyle name="Normal 3 3 2 2 4 2 4 4 2" xfId="33523" xr:uid="{00000000-0005-0000-0000-0000F1620000}"/>
    <cellStyle name="Normal 3 3 2 2 4 2 4 5" xfId="33524" xr:uid="{00000000-0005-0000-0000-0000F2620000}"/>
    <cellStyle name="Normal 3 3 2 2 4 2 4 6" xfId="33525" xr:uid="{00000000-0005-0000-0000-0000F3620000}"/>
    <cellStyle name="Normal 3 3 2 2 4 2 4 7" xfId="33517" xr:uid="{00000000-0005-0000-0000-0000F4620000}"/>
    <cellStyle name="Normal 3 3 2 2 4 2 5" xfId="4815" xr:uid="{00000000-0005-0000-0000-0000F5620000}"/>
    <cellStyle name="Normal 3 3 2 2 4 2 5 2" xfId="33527" xr:uid="{00000000-0005-0000-0000-0000F6620000}"/>
    <cellStyle name="Normal 3 3 2 2 4 2 5 2 2" xfId="33528" xr:uid="{00000000-0005-0000-0000-0000F7620000}"/>
    <cellStyle name="Normal 3 3 2 2 4 2 5 3" xfId="33529" xr:uid="{00000000-0005-0000-0000-0000F8620000}"/>
    <cellStyle name="Normal 3 3 2 2 4 2 5 3 2" xfId="33530" xr:uid="{00000000-0005-0000-0000-0000F9620000}"/>
    <cellStyle name="Normal 3 3 2 2 4 2 5 4" xfId="33531" xr:uid="{00000000-0005-0000-0000-0000FA620000}"/>
    <cellStyle name="Normal 3 3 2 2 4 2 5 5" xfId="33532" xr:uid="{00000000-0005-0000-0000-0000FB620000}"/>
    <cellStyle name="Normal 3 3 2 2 4 2 5 6" xfId="33526" xr:uid="{00000000-0005-0000-0000-0000FC620000}"/>
    <cellStyle name="Normal 3 3 2 2 4 2 6" xfId="33533" xr:uid="{00000000-0005-0000-0000-0000FD620000}"/>
    <cellStyle name="Normal 3 3 2 2 4 2 6 2" xfId="33534" xr:uid="{00000000-0005-0000-0000-0000FE620000}"/>
    <cellStyle name="Normal 3 3 2 2 4 2 7" xfId="33535" xr:uid="{00000000-0005-0000-0000-0000FF620000}"/>
    <cellStyle name="Normal 3 3 2 2 4 2 7 2" xfId="33536" xr:uid="{00000000-0005-0000-0000-000000630000}"/>
    <cellStyle name="Normal 3 3 2 2 4 2 8" xfId="33537" xr:uid="{00000000-0005-0000-0000-000001630000}"/>
    <cellStyle name="Normal 3 3 2 2 4 2 8 2" xfId="33538" xr:uid="{00000000-0005-0000-0000-000002630000}"/>
    <cellStyle name="Normal 3 3 2 2 4 2 9" xfId="33539" xr:uid="{00000000-0005-0000-0000-000003630000}"/>
    <cellStyle name="Normal 3 3 2 2 4 3" xfId="4816" xr:uid="{00000000-0005-0000-0000-000004630000}"/>
    <cellStyle name="Normal 3 3 2 2 4 3 10" xfId="33541" xr:uid="{00000000-0005-0000-0000-000005630000}"/>
    <cellStyle name="Normal 3 3 2 2 4 3 11" xfId="33540" xr:uid="{00000000-0005-0000-0000-000006630000}"/>
    <cellStyle name="Normal 3 3 2 2 4 3 2" xfId="4817" xr:uid="{00000000-0005-0000-0000-000007630000}"/>
    <cellStyle name="Normal 3 3 2 2 4 3 2 2" xfId="4818" xr:uid="{00000000-0005-0000-0000-000008630000}"/>
    <cellStyle name="Normal 3 3 2 2 4 3 2 2 2" xfId="33544" xr:uid="{00000000-0005-0000-0000-000009630000}"/>
    <cellStyle name="Normal 3 3 2 2 4 3 2 2 3" xfId="33543" xr:uid="{00000000-0005-0000-0000-00000A630000}"/>
    <cellStyle name="Normal 3 3 2 2 4 3 2 3" xfId="33545" xr:uid="{00000000-0005-0000-0000-00000B630000}"/>
    <cellStyle name="Normal 3 3 2 2 4 3 2 3 2" xfId="33546" xr:uid="{00000000-0005-0000-0000-00000C630000}"/>
    <cellStyle name="Normal 3 3 2 2 4 3 2 4" xfId="33547" xr:uid="{00000000-0005-0000-0000-00000D630000}"/>
    <cellStyle name="Normal 3 3 2 2 4 3 2 4 2" xfId="33548" xr:uid="{00000000-0005-0000-0000-00000E630000}"/>
    <cellStyle name="Normal 3 3 2 2 4 3 2 5" xfId="33549" xr:uid="{00000000-0005-0000-0000-00000F630000}"/>
    <cellStyle name="Normal 3 3 2 2 4 3 2 6" xfId="33550" xr:uid="{00000000-0005-0000-0000-000010630000}"/>
    <cellStyle name="Normal 3 3 2 2 4 3 2 7" xfId="33542" xr:uid="{00000000-0005-0000-0000-000011630000}"/>
    <cellStyle name="Normal 3 3 2 2 4 3 3" xfId="4819" xr:uid="{00000000-0005-0000-0000-000012630000}"/>
    <cellStyle name="Normal 3 3 2 2 4 3 3 2" xfId="4820" xr:uid="{00000000-0005-0000-0000-000013630000}"/>
    <cellStyle name="Normal 3 3 2 2 4 3 3 2 2" xfId="33553" xr:uid="{00000000-0005-0000-0000-000014630000}"/>
    <cellStyle name="Normal 3 3 2 2 4 3 3 2 3" xfId="33552" xr:uid="{00000000-0005-0000-0000-000015630000}"/>
    <cellStyle name="Normal 3 3 2 2 4 3 3 3" xfId="33554" xr:uid="{00000000-0005-0000-0000-000016630000}"/>
    <cellStyle name="Normal 3 3 2 2 4 3 3 3 2" xfId="33555" xr:uid="{00000000-0005-0000-0000-000017630000}"/>
    <cellStyle name="Normal 3 3 2 2 4 3 3 4" xfId="33556" xr:uid="{00000000-0005-0000-0000-000018630000}"/>
    <cellStyle name="Normal 3 3 2 2 4 3 3 4 2" xfId="33557" xr:uid="{00000000-0005-0000-0000-000019630000}"/>
    <cellStyle name="Normal 3 3 2 2 4 3 3 5" xfId="33558" xr:uid="{00000000-0005-0000-0000-00001A630000}"/>
    <cellStyle name="Normal 3 3 2 2 4 3 3 6" xfId="33559" xr:uid="{00000000-0005-0000-0000-00001B630000}"/>
    <cellStyle name="Normal 3 3 2 2 4 3 3 7" xfId="33551" xr:uid="{00000000-0005-0000-0000-00001C630000}"/>
    <cellStyle name="Normal 3 3 2 2 4 3 4" xfId="4821" xr:uid="{00000000-0005-0000-0000-00001D630000}"/>
    <cellStyle name="Normal 3 3 2 2 4 3 4 2" xfId="33561" xr:uid="{00000000-0005-0000-0000-00001E630000}"/>
    <cellStyle name="Normal 3 3 2 2 4 3 4 2 2" xfId="33562" xr:uid="{00000000-0005-0000-0000-00001F630000}"/>
    <cellStyle name="Normal 3 3 2 2 4 3 4 3" xfId="33563" xr:uid="{00000000-0005-0000-0000-000020630000}"/>
    <cellStyle name="Normal 3 3 2 2 4 3 4 3 2" xfId="33564" xr:uid="{00000000-0005-0000-0000-000021630000}"/>
    <cellStyle name="Normal 3 3 2 2 4 3 4 4" xfId="33565" xr:uid="{00000000-0005-0000-0000-000022630000}"/>
    <cellStyle name="Normal 3 3 2 2 4 3 4 4 2" xfId="33566" xr:uid="{00000000-0005-0000-0000-000023630000}"/>
    <cellStyle name="Normal 3 3 2 2 4 3 4 5" xfId="33567" xr:uid="{00000000-0005-0000-0000-000024630000}"/>
    <cellStyle name="Normal 3 3 2 2 4 3 4 6" xfId="33568" xr:uid="{00000000-0005-0000-0000-000025630000}"/>
    <cellStyle name="Normal 3 3 2 2 4 3 4 7" xfId="33560" xr:uid="{00000000-0005-0000-0000-000026630000}"/>
    <cellStyle name="Normal 3 3 2 2 4 3 5" xfId="33569" xr:uid="{00000000-0005-0000-0000-000027630000}"/>
    <cellStyle name="Normal 3 3 2 2 4 3 5 2" xfId="33570" xr:uid="{00000000-0005-0000-0000-000028630000}"/>
    <cellStyle name="Normal 3 3 2 2 4 3 5 2 2" xfId="33571" xr:uid="{00000000-0005-0000-0000-000029630000}"/>
    <cellStyle name="Normal 3 3 2 2 4 3 5 3" xfId="33572" xr:uid="{00000000-0005-0000-0000-00002A630000}"/>
    <cellStyle name="Normal 3 3 2 2 4 3 5 3 2" xfId="33573" xr:uid="{00000000-0005-0000-0000-00002B630000}"/>
    <cellStyle name="Normal 3 3 2 2 4 3 5 4" xfId="33574" xr:uid="{00000000-0005-0000-0000-00002C630000}"/>
    <cellStyle name="Normal 3 3 2 2 4 3 5 5" xfId="33575" xr:uid="{00000000-0005-0000-0000-00002D630000}"/>
    <cellStyle name="Normal 3 3 2 2 4 3 6" xfId="33576" xr:uid="{00000000-0005-0000-0000-00002E630000}"/>
    <cellStyle name="Normal 3 3 2 2 4 3 6 2" xfId="33577" xr:uid="{00000000-0005-0000-0000-00002F630000}"/>
    <cellStyle name="Normal 3 3 2 2 4 3 7" xfId="33578" xr:uid="{00000000-0005-0000-0000-000030630000}"/>
    <cellStyle name="Normal 3 3 2 2 4 3 7 2" xfId="33579" xr:uid="{00000000-0005-0000-0000-000031630000}"/>
    <cellStyle name="Normal 3 3 2 2 4 3 8" xfId="33580" xr:uid="{00000000-0005-0000-0000-000032630000}"/>
    <cellStyle name="Normal 3 3 2 2 4 3 8 2" xfId="33581" xr:uid="{00000000-0005-0000-0000-000033630000}"/>
    <cellStyle name="Normal 3 3 2 2 4 3 9" xfId="33582" xr:uid="{00000000-0005-0000-0000-000034630000}"/>
    <cellStyle name="Normal 3 3 2 2 4 4" xfId="4822" xr:uid="{00000000-0005-0000-0000-000035630000}"/>
    <cellStyle name="Normal 3 3 2 2 4 4 2" xfId="4823" xr:uid="{00000000-0005-0000-0000-000036630000}"/>
    <cellStyle name="Normal 3 3 2 2 4 4 2 2" xfId="33585" xr:uid="{00000000-0005-0000-0000-000037630000}"/>
    <cellStyle name="Normal 3 3 2 2 4 4 2 3" xfId="33584" xr:uid="{00000000-0005-0000-0000-000038630000}"/>
    <cellStyle name="Normal 3 3 2 2 4 4 3" xfId="4824" xr:uid="{00000000-0005-0000-0000-000039630000}"/>
    <cellStyle name="Normal 3 3 2 2 4 4 3 2" xfId="33587" xr:uid="{00000000-0005-0000-0000-00003A630000}"/>
    <cellStyle name="Normal 3 3 2 2 4 4 3 3" xfId="33586" xr:uid="{00000000-0005-0000-0000-00003B630000}"/>
    <cellStyle name="Normal 3 3 2 2 4 4 4" xfId="33588" xr:uid="{00000000-0005-0000-0000-00003C630000}"/>
    <cellStyle name="Normal 3 3 2 2 4 4 4 2" xfId="33589" xr:uid="{00000000-0005-0000-0000-00003D630000}"/>
    <cellStyle name="Normal 3 3 2 2 4 4 5" xfId="33590" xr:uid="{00000000-0005-0000-0000-00003E630000}"/>
    <cellStyle name="Normal 3 3 2 2 4 4 6" xfId="33591" xr:uid="{00000000-0005-0000-0000-00003F630000}"/>
    <cellStyle name="Normal 3 3 2 2 4 4 7" xfId="33583" xr:uid="{00000000-0005-0000-0000-000040630000}"/>
    <cellStyle name="Normal 3 3 2 2 4 5" xfId="4825" xr:uid="{00000000-0005-0000-0000-000041630000}"/>
    <cellStyle name="Normal 3 3 2 2 4 5 2" xfId="4826" xr:uid="{00000000-0005-0000-0000-000042630000}"/>
    <cellStyle name="Normal 3 3 2 2 4 5 2 2" xfId="33594" xr:uid="{00000000-0005-0000-0000-000043630000}"/>
    <cellStyle name="Normal 3 3 2 2 4 5 2 3" xfId="33593" xr:uid="{00000000-0005-0000-0000-000044630000}"/>
    <cellStyle name="Normal 3 3 2 2 4 5 3" xfId="33595" xr:uid="{00000000-0005-0000-0000-000045630000}"/>
    <cellStyle name="Normal 3 3 2 2 4 5 3 2" xfId="33596" xr:uid="{00000000-0005-0000-0000-000046630000}"/>
    <cellStyle name="Normal 3 3 2 2 4 5 4" xfId="33597" xr:uid="{00000000-0005-0000-0000-000047630000}"/>
    <cellStyle name="Normal 3 3 2 2 4 5 4 2" xfId="33598" xr:uid="{00000000-0005-0000-0000-000048630000}"/>
    <cellStyle name="Normal 3 3 2 2 4 5 5" xfId="33599" xr:uid="{00000000-0005-0000-0000-000049630000}"/>
    <cellStyle name="Normal 3 3 2 2 4 5 6" xfId="33600" xr:uid="{00000000-0005-0000-0000-00004A630000}"/>
    <cellStyle name="Normal 3 3 2 2 4 5 7" xfId="33592" xr:uid="{00000000-0005-0000-0000-00004B630000}"/>
    <cellStyle name="Normal 3 3 2 2 4 6" xfId="4827" xr:uid="{00000000-0005-0000-0000-00004C630000}"/>
    <cellStyle name="Normal 3 3 2 2 4 6 2" xfId="4828" xr:uid="{00000000-0005-0000-0000-00004D630000}"/>
    <cellStyle name="Normal 3 3 2 2 4 6 2 2" xfId="33603" xr:uid="{00000000-0005-0000-0000-00004E630000}"/>
    <cellStyle name="Normal 3 3 2 2 4 6 2 3" xfId="33602" xr:uid="{00000000-0005-0000-0000-00004F630000}"/>
    <cellStyle name="Normal 3 3 2 2 4 6 3" xfId="33604" xr:uid="{00000000-0005-0000-0000-000050630000}"/>
    <cellStyle name="Normal 3 3 2 2 4 6 3 2" xfId="33605" xr:uid="{00000000-0005-0000-0000-000051630000}"/>
    <cellStyle name="Normal 3 3 2 2 4 6 4" xfId="33606" xr:uid="{00000000-0005-0000-0000-000052630000}"/>
    <cellStyle name="Normal 3 3 2 2 4 6 4 2" xfId="33607" xr:uid="{00000000-0005-0000-0000-000053630000}"/>
    <cellStyle name="Normal 3 3 2 2 4 6 5" xfId="33608" xr:uid="{00000000-0005-0000-0000-000054630000}"/>
    <cellStyle name="Normal 3 3 2 2 4 6 6" xfId="33609" xr:uid="{00000000-0005-0000-0000-000055630000}"/>
    <cellStyle name="Normal 3 3 2 2 4 6 7" xfId="33601" xr:uid="{00000000-0005-0000-0000-000056630000}"/>
    <cellStyle name="Normal 3 3 2 2 4 7" xfId="4829" xr:uid="{00000000-0005-0000-0000-000057630000}"/>
    <cellStyle name="Normal 3 3 2 2 4 7 2" xfId="33611" xr:uid="{00000000-0005-0000-0000-000058630000}"/>
    <cellStyle name="Normal 3 3 2 2 4 7 2 2" xfId="33612" xr:uid="{00000000-0005-0000-0000-000059630000}"/>
    <cellStyle name="Normal 3 3 2 2 4 7 3" xfId="33613" xr:uid="{00000000-0005-0000-0000-00005A630000}"/>
    <cellStyle name="Normal 3 3 2 2 4 7 3 2" xfId="33614" xr:uid="{00000000-0005-0000-0000-00005B630000}"/>
    <cellStyle name="Normal 3 3 2 2 4 7 4" xfId="33615" xr:uid="{00000000-0005-0000-0000-00005C630000}"/>
    <cellStyle name="Normal 3 3 2 2 4 7 5" xfId="33616" xr:uid="{00000000-0005-0000-0000-00005D630000}"/>
    <cellStyle name="Normal 3 3 2 2 4 7 6" xfId="33610" xr:uid="{00000000-0005-0000-0000-00005E630000}"/>
    <cellStyle name="Normal 3 3 2 2 4 8" xfId="33617" xr:uid="{00000000-0005-0000-0000-00005F630000}"/>
    <cellStyle name="Normal 3 3 2 2 4 8 2" xfId="33618" xr:uid="{00000000-0005-0000-0000-000060630000}"/>
    <cellStyle name="Normal 3 3 2 2 4 9" xfId="33619" xr:uid="{00000000-0005-0000-0000-000061630000}"/>
    <cellStyle name="Normal 3 3 2 2 4 9 2" xfId="33620" xr:uid="{00000000-0005-0000-0000-000062630000}"/>
    <cellStyle name="Normal 3 3 2 2 5" xfId="4830" xr:uid="{00000000-0005-0000-0000-000063630000}"/>
    <cellStyle name="Normal 3 3 2 2 5 10" xfId="33622" xr:uid="{00000000-0005-0000-0000-000064630000}"/>
    <cellStyle name="Normal 3 3 2 2 5 11" xfId="33623" xr:uid="{00000000-0005-0000-0000-000065630000}"/>
    <cellStyle name="Normal 3 3 2 2 5 12" xfId="33621" xr:uid="{00000000-0005-0000-0000-000066630000}"/>
    <cellStyle name="Normal 3 3 2 2 5 2" xfId="4831" xr:uid="{00000000-0005-0000-0000-000067630000}"/>
    <cellStyle name="Normal 3 3 2 2 5 2 2" xfId="4832" xr:uid="{00000000-0005-0000-0000-000068630000}"/>
    <cellStyle name="Normal 3 3 2 2 5 2 2 2" xfId="4833" xr:uid="{00000000-0005-0000-0000-000069630000}"/>
    <cellStyle name="Normal 3 3 2 2 5 2 2 2 2" xfId="33626" xr:uid="{00000000-0005-0000-0000-00006A630000}"/>
    <cellStyle name="Normal 3 3 2 2 5 2 2 3" xfId="4834" xr:uid="{00000000-0005-0000-0000-00006B630000}"/>
    <cellStyle name="Normal 3 3 2 2 5 2 2 4" xfId="33625" xr:uid="{00000000-0005-0000-0000-00006C630000}"/>
    <cellStyle name="Normal 3 3 2 2 5 2 3" xfId="4835" xr:uid="{00000000-0005-0000-0000-00006D630000}"/>
    <cellStyle name="Normal 3 3 2 2 5 2 3 2" xfId="4836" xr:uid="{00000000-0005-0000-0000-00006E630000}"/>
    <cellStyle name="Normal 3 3 2 2 5 2 3 2 2" xfId="33628" xr:uid="{00000000-0005-0000-0000-00006F630000}"/>
    <cellStyle name="Normal 3 3 2 2 5 2 3 3" xfId="33627" xr:uid="{00000000-0005-0000-0000-000070630000}"/>
    <cellStyle name="Normal 3 3 2 2 5 2 4" xfId="4837" xr:uid="{00000000-0005-0000-0000-000071630000}"/>
    <cellStyle name="Normal 3 3 2 2 5 2 4 2" xfId="4838" xr:uid="{00000000-0005-0000-0000-000072630000}"/>
    <cellStyle name="Normal 3 3 2 2 5 2 4 2 2" xfId="33630" xr:uid="{00000000-0005-0000-0000-000073630000}"/>
    <cellStyle name="Normal 3 3 2 2 5 2 4 3" xfId="33629" xr:uid="{00000000-0005-0000-0000-000074630000}"/>
    <cellStyle name="Normal 3 3 2 2 5 2 5" xfId="4839" xr:uid="{00000000-0005-0000-0000-000075630000}"/>
    <cellStyle name="Normal 3 3 2 2 5 2 5 2" xfId="33631" xr:uid="{00000000-0005-0000-0000-000076630000}"/>
    <cellStyle name="Normal 3 3 2 2 5 2 6" xfId="33632" xr:uid="{00000000-0005-0000-0000-000077630000}"/>
    <cellStyle name="Normal 3 3 2 2 5 2 7" xfId="33624" xr:uid="{00000000-0005-0000-0000-000078630000}"/>
    <cellStyle name="Normal 3 3 2 2 5 3" xfId="4840" xr:uid="{00000000-0005-0000-0000-000079630000}"/>
    <cellStyle name="Normal 3 3 2 2 5 3 2" xfId="4841" xr:uid="{00000000-0005-0000-0000-00007A630000}"/>
    <cellStyle name="Normal 3 3 2 2 5 3 2 2" xfId="4842" xr:uid="{00000000-0005-0000-0000-00007B630000}"/>
    <cellStyle name="Normal 3 3 2 2 5 3 2 2 2" xfId="33635" xr:uid="{00000000-0005-0000-0000-00007C630000}"/>
    <cellStyle name="Normal 3 3 2 2 5 3 2 3" xfId="33634" xr:uid="{00000000-0005-0000-0000-00007D630000}"/>
    <cellStyle name="Normal 3 3 2 2 5 3 3" xfId="4843" xr:uid="{00000000-0005-0000-0000-00007E630000}"/>
    <cellStyle name="Normal 3 3 2 2 5 3 3 2" xfId="4844" xr:uid="{00000000-0005-0000-0000-00007F630000}"/>
    <cellStyle name="Normal 3 3 2 2 5 3 3 2 2" xfId="33637" xr:uid="{00000000-0005-0000-0000-000080630000}"/>
    <cellStyle name="Normal 3 3 2 2 5 3 3 3" xfId="33636" xr:uid="{00000000-0005-0000-0000-000081630000}"/>
    <cellStyle name="Normal 3 3 2 2 5 3 4" xfId="4845" xr:uid="{00000000-0005-0000-0000-000082630000}"/>
    <cellStyle name="Normal 3 3 2 2 5 3 4 2" xfId="33639" xr:uid="{00000000-0005-0000-0000-000083630000}"/>
    <cellStyle name="Normal 3 3 2 2 5 3 4 3" xfId="33638" xr:uid="{00000000-0005-0000-0000-000084630000}"/>
    <cellStyle name="Normal 3 3 2 2 5 3 5" xfId="33640" xr:uid="{00000000-0005-0000-0000-000085630000}"/>
    <cellStyle name="Normal 3 3 2 2 5 3 6" xfId="33641" xr:uid="{00000000-0005-0000-0000-000086630000}"/>
    <cellStyle name="Normal 3 3 2 2 5 3 7" xfId="33633" xr:uid="{00000000-0005-0000-0000-000087630000}"/>
    <cellStyle name="Normal 3 3 2 2 5 4" xfId="4846" xr:uid="{00000000-0005-0000-0000-000088630000}"/>
    <cellStyle name="Normal 3 3 2 2 5 4 2" xfId="4847" xr:uid="{00000000-0005-0000-0000-000089630000}"/>
    <cellStyle name="Normal 3 3 2 2 5 4 2 2" xfId="33644" xr:uid="{00000000-0005-0000-0000-00008A630000}"/>
    <cellStyle name="Normal 3 3 2 2 5 4 2 3" xfId="33643" xr:uid="{00000000-0005-0000-0000-00008B630000}"/>
    <cellStyle name="Normal 3 3 2 2 5 4 3" xfId="4848" xr:uid="{00000000-0005-0000-0000-00008C630000}"/>
    <cellStyle name="Normal 3 3 2 2 5 4 3 2" xfId="33646" xr:uid="{00000000-0005-0000-0000-00008D630000}"/>
    <cellStyle name="Normal 3 3 2 2 5 4 3 3" xfId="33645" xr:uid="{00000000-0005-0000-0000-00008E630000}"/>
    <cellStyle name="Normal 3 3 2 2 5 4 4" xfId="33647" xr:uid="{00000000-0005-0000-0000-00008F630000}"/>
    <cellStyle name="Normal 3 3 2 2 5 4 4 2" xfId="33648" xr:uid="{00000000-0005-0000-0000-000090630000}"/>
    <cellStyle name="Normal 3 3 2 2 5 4 5" xfId="33649" xr:uid="{00000000-0005-0000-0000-000091630000}"/>
    <cellStyle name="Normal 3 3 2 2 5 4 6" xfId="33650" xr:uid="{00000000-0005-0000-0000-000092630000}"/>
    <cellStyle name="Normal 3 3 2 2 5 4 7" xfId="33642" xr:uid="{00000000-0005-0000-0000-000093630000}"/>
    <cellStyle name="Normal 3 3 2 2 5 5" xfId="4849" xr:uid="{00000000-0005-0000-0000-000094630000}"/>
    <cellStyle name="Normal 3 3 2 2 5 5 2" xfId="4850" xr:uid="{00000000-0005-0000-0000-000095630000}"/>
    <cellStyle name="Normal 3 3 2 2 5 5 2 2" xfId="33653" xr:uid="{00000000-0005-0000-0000-000096630000}"/>
    <cellStyle name="Normal 3 3 2 2 5 5 2 3" xfId="33652" xr:uid="{00000000-0005-0000-0000-000097630000}"/>
    <cellStyle name="Normal 3 3 2 2 5 5 3" xfId="33654" xr:uid="{00000000-0005-0000-0000-000098630000}"/>
    <cellStyle name="Normal 3 3 2 2 5 5 3 2" xfId="33655" xr:uid="{00000000-0005-0000-0000-000099630000}"/>
    <cellStyle name="Normal 3 3 2 2 5 5 4" xfId="33656" xr:uid="{00000000-0005-0000-0000-00009A630000}"/>
    <cellStyle name="Normal 3 3 2 2 5 5 4 2" xfId="33657" xr:uid="{00000000-0005-0000-0000-00009B630000}"/>
    <cellStyle name="Normal 3 3 2 2 5 5 5" xfId="33658" xr:uid="{00000000-0005-0000-0000-00009C630000}"/>
    <cellStyle name="Normal 3 3 2 2 5 5 6" xfId="33659" xr:uid="{00000000-0005-0000-0000-00009D630000}"/>
    <cellStyle name="Normal 3 3 2 2 5 5 7" xfId="33651" xr:uid="{00000000-0005-0000-0000-00009E630000}"/>
    <cellStyle name="Normal 3 3 2 2 5 6" xfId="4851" xr:uid="{00000000-0005-0000-0000-00009F630000}"/>
    <cellStyle name="Normal 3 3 2 2 5 6 2" xfId="4852" xr:uid="{00000000-0005-0000-0000-0000A0630000}"/>
    <cellStyle name="Normal 3 3 2 2 5 6 2 2" xfId="33662" xr:uid="{00000000-0005-0000-0000-0000A1630000}"/>
    <cellStyle name="Normal 3 3 2 2 5 6 2 3" xfId="33661" xr:uid="{00000000-0005-0000-0000-0000A2630000}"/>
    <cellStyle name="Normal 3 3 2 2 5 6 3" xfId="33663" xr:uid="{00000000-0005-0000-0000-0000A3630000}"/>
    <cellStyle name="Normal 3 3 2 2 5 6 3 2" xfId="33664" xr:uid="{00000000-0005-0000-0000-0000A4630000}"/>
    <cellStyle name="Normal 3 3 2 2 5 6 4" xfId="33665" xr:uid="{00000000-0005-0000-0000-0000A5630000}"/>
    <cellStyle name="Normal 3 3 2 2 5 6 5" xfId="33666" xr:uid="{00000000-0005-0000-0000-0000A6630000}"/>
    <cellStyle name="Normal 3 3 2 2 5 6 6" xfId="33660" xr:uid="{00000000-0005-0000-0000-0000A7630000}"/>
    <cellStyle name="Normal 3 3 2 2 5 7" xfId="4853" xr:uid="{00000000-0005-0000-0000-0000A8630000}"/>
    <cellStyle name="Normal 3 3 2 2 5 7 2" xfId="33668" xr:uid="{00000000-0005-0000-0000-0000A9630000}"/>
    <cellStyle name="Normal 3 3 2 2 5 7 3" xfId="33667" xr:uid="{00000000-0005-0000-0000-0000AA630000}"/>
    <cellStyle name="Normal 3 3 2 2 5 8" xfId="33669" xr:uid="{00000000-0005-0000-0000-0000AB630000}"/>
    <cellStyle name="Normal 3 3 2 2 5 8 2" xfId="33670" xr:uid="{00000000-0005-0000-0000-0000AC630000}"/>
    <cellStyle name="Normal 3 3 2 2 5 9" xfId="33671" xr:uid="{00000000-0005-0000-0000-0000AD630000}"/>
    <cellStyle name="Normal 3 3 2 2 5 9 2" xfId="33672" xr:uid="{00000000-0005-0000-0000-0000AE630000}"/>
    <cellStyle name="Normal 3 3 2 2 6" xfId="4854" xr:uid="{00000000-0005-0000-0000-0000AF630000}"/>
    <cellStyle name="Normal 3 3 2 2 6 10" xfId="33674" xr:uid="{00000000-0005-0000-0000-0000B0630000}"/>
    <cellStyle name="Normal 3 3 2 2 6 11" xfId="33673" xr:uid="{00000000-0005-0000-0000-0000B1630000}"/>
    <cellStyle name="Normal 3 3 2 2 6 2" xfId="4855" xr:uid="{00000000-0005-0000-0000-0000B2630000}"/>
    <cellStyle name="Normal 3 3 2 2 6 2 2" xfId="4856" xr:uid="{00000000-0005-0000-0000-0000B3630000}"/>
    <cellStyle name="Normal 3 3 2 2 6 2 2 2" xfId="4857" xr:uid="{00000000-0005-0000-0000-0000B4630000}"/>
    <cellStyle name="Normal 3 3 2 2 6 2 2 2 2" xfId="33677" xr:uid="{00000000-0005-0000-0000-0000B5630000}"/>
    <cellStyle name="Normal 3 3 2 2 6 2 2 3" xfId="33676" xr:uid="{00000000-0005-0000-0000-0000B6630000}"/>
    <cellStyle name="Normal 3 3 2 2 6 2 3" xfId="4858" xr:uid="{00000000-0005-0000-0000-0000B7630000}"/>
    <cellStyle name="Normal 3 3 2 2 6 2 3 2" xfId="4859" xr:uid="{00000000-0005-0000-0000-0000B8630000}"/>
    <cellStyle name="Normal 3 3 2 2 6 2 3 2 2" xfId="33679" xr:uid="{00000000-0005-0000-0000-0000B9630000}"/>
    <cellStyle name="Normal 3 3 2 2 6 2 3 3" xfId="33678" xr:uid="{00000000-0005-0000-0000-0000BA630000}"/>
    <cellStyle name="Normal 3 3 2 2 6 2 4" xfId="4860" xr:uid="{00000000-0005-0000-0000-0000BB630000}"/>
    <cellStyle name="Normal 3 3 2 2 6 2 4 2" xfId="33681" xr:uid="{00000000-0005-0000-0000-0000BC630000}"/>
    <cellStyle name="Normal 3 3 2 2 6 2 4 3" xfId="33680" xr:uid="{00000000-0005-0000-0000-0000BD630000}"/>
    <cellStyle name="Normal 3 3 2 2 6 2 5" xfId="33682" xr:uid="{00000000-0005-0000-0000-0000BE630000}"/>
    <cellStyle name="Normal 3 3 2 2 6 2 6" xfId="33683" xr:uid="{00000000-0005-0000-0000-0000BF630000}"/>
    <cellStyle name="Normal 3 3 2 2 6 2 7" xfId="33675" xr:uid="{00000000-0005-0000-0000-0000C0630000}"/>
    <cellStyle name="Normal 3 3 2 2 6 3" xfId="4861" xr:uid="{00000000-0005-0000-0000-0000C1630000}"/>
    <cellStyle name="Normal 3 3 2 2 6 3 2" xfId="4862" xr:uid="{00000000-0005-0000-0000-0000C2630000}"/>
    <cellStyle name="Normal 3 3 2 2 6 3 2 2" xfId="33686" xr:uid="{00000000-0005-0000-0000-0000C3630000}"/>
    <cellStyle name="Normal 3 3 2 2 6 3 2 3" xfId="33685" xr:uid="{00000000-0005-0000-0000-0000C4630000}"/>
    <cellStyle name="Normal 3 3 2 2 6 3 3" xfId="4863" xr:uid="{00000000-0005-0000-0000-0000C5630000}"/>
    <cellStyle name="Normal 3 3 2 2 6 3 3 2" xfId="33688" xr:uid="{00000000-0005-0000-0000-0000C6630000}"/>
    <cellStyle name="Normal 3 3 2 2 6 3 3 3" xfId="33687" xr:uid="{00000000-0005-0000-0000-0000C7630000}"/>
    <cellStyle name="Normal 3 3 2 2 6 3 4" xfId="33689" xr:uid="{00000000-0005-0000-0000-0000C8630000}"/>
    <cellStyle name="Normal 3 3 2 2 6 3 4 2" xfId="33690" xr:uid="{00000000-0005-0000-0000-0000C9630000}"/>
    <cellStyle name="Normal 3 3 2 2 6 3 5" xfId="33691" xr:uid="{00000000-0005-0000-0000-0000CA630000}"/>
    <cellStyle name="Normal 3 3 2 2 6 3 6" xfId="33692" xr:uid="{00000000-0005-0000-0000-0000CB630000}"/>
    <cellStyle name="Normal 3 3 2 2 6 3 7" xfId="33684" xr:uid="{00000000-0005-0000-0000-0000CC630000}"/>
    <cellStyle name="Normal 3 3 2 2 6 4" xfId="4864" xr:uid="{00000000-0005-0000-0000-0000CD630000}"/>
    <cellStyle name="Normal 3 3 2 2 6 4 2" xfId="4865" xr:uid="{00000000-0005-0000-0000-0000CE630000}"/>
    <cellStyle name="Normal 3 3 2 2 6 4 2 2" xfId="33695" xr:uid="{00000000-0005-0000-0000-0000CF630000}"/>
    <cellStyle name="Normal 3 3 2 2 6 4 2 3" xfId="33694" xr:uid="{00000000-0005-0000-0000-0000D0630000}"/>
    <cellStyle name="Normal 3 3 2 2 6 4 3" xfId="33696" xr:uid="{00000000-0005-0000-0000-0000D1630000}"/>
    <cellStyle name="Normal 3 3 2 2 6 4 3 2" xfId="33697" xr:uid="{00000000-0005-0000-0000-0000D2630000}"/>
    <cellStyle name="Normal 3 3 2 2 6 4 4" xfId="33698" xr:uid="{00000000-0005-0000-0000-0000D3630000}"/>
    <cellStyle name="Normal 3 3 2 2 6 4 4 2" xfId="33699" xr:uid="{00000000-0005-0000-0000-0000D4630000}"/>
    <cellStyle name="Normal 3 3 2 2 6 4 5" xfId="33700" xr:uid="{00000000-0005-0000-0000-0000D5630000}"/>
    <cellStyle name="Normal 3 3 2 2 6 4 6" xfId="33701" xr:uid="{00000000-0005-0000-0000-0000D6630000}"/>
    <cellStyle name="Normal 3 3 2 2 6 4 7" xfId="33693" xr:uid="{00000000-0005-0000-0000-0000D7630000}"/>
    <cellStyle name="Normal 3 3 2 2 6 5" xfId="4866" xr:uid="{00000000-0005-0000-0000-0000D8630000}"/>
    <cellStyle name="Normal 3 3 2 2 6 5 2" xfId="4867" xr:uid="{00000000-0005-0000-0000-0000D9630000}"/>
    <cellStyle name="Normal 3 3 2 2 6 5 2 2" xfId="33704" xr:uid="{00000000-0005-0000-0000-0000DA630000}"/>
    <cellStyle name="Normal 3 3 2 2 6 5 2 3" xfId="33703" xr:uid="{00000000-0005-0000-0000-0000DB630000}"/>
    <cellStyle name="Normal 3 3 2 2 6 5 3" xfId="33705" xr:uid="{00000000-0005-0000-0000-0000DC630000}"/>
    <cellStyle name="Normal 3 3 2 2 6 5 3 2" xfId="33706" xr:uid="{00000000-0005-0000-0000-0000DD630000}"/>
    <cellStyle name="Normal 3 3 2 2 6 5 4" xfId="33707" xr:uid="{00000000-0005-0000-0000-0000DE630000}"/>
    <cellStyle name="Normal 3 3 2 2 6 5 5" xfId="33708" xr:uid="{00000000-0005-0000-0000-0000DF630000}"/>
    <cellStyle name="Normal 3 3 2 2 6 5 6" xfId="33702" xr:uid="{00000000-0005-0000-0000-0000E0630000}"/>
    <cellStyle name="Normal 3 3 2 2 6 6" xfId="4868" xr:uid="{00000000-0005-0000-0000-0000E1630000}"/>
    <cellStyle name="Normal 3 3 2 2 6 6 2" xfId="33710" xr:uid="{00000000-0005-0000-0000-0000E2630000}"/>
    <cellStyle name="Normal 3 3 2 2 6 6 3" xfId="33709" xr:uid="{00000000-0005-0000-0000-0000E3630000}"/>
    <cellStyle name="Normal 3 3 2 2 6 7" xfId="33711" xr:uid="{00000000-0005-0000-0000-0000E4630000}"/>
    <cellStyle name="Normal 3 3 2 2 6 7 2" xfId="33712" xr:uid="{00000000-0005-0000-0000-0000E5630000}"/>
    <cellStyle name="Normal 3 3 2 2 6 8" xfId="33713" xr:uid="{00000000-0005-0000-0000-0000E6630000}"/>
    <cellStyle name="Normal 3 3 2 2 6 8 2" xfId="33714" xr:uid="{00000000-0005-0000-0000-0000E7630000}"/>
    <cellStyle name="Normal 3 3 2 2 6 9" xfId="33715" xr:uid="{00000000-0005-0000-0000-0000E8630000}"/>
    <cellStyle name="Normal 3 3 2 2 7" xfId="4869" xr:uid="{00000000-0005-0000-0000-0000E9630000}"/>
    <cellStyle name="Normal 3 3 2 2 7 10" xfId="33717" xr:uid="{00000000-0005-0000-0000-0000EA630000}"/>
    <cellStyle name="Normal 3 3 2 2 7 11" xfId="33716" xr:uid="{00000000-0005-0000-0000-0000EB630000}"/>
    <cellStyle name="Normal 3 3 2 2 7 2" xfId="4870" xr:uid="{00000000-0005-0000-0000-0000EC630000}"/>
    <cellStyle name="Normal 3 3 2 2 7 2 2" xfId="4871" xr:uid="{00000000-0005-0000-0000-0000ED630000}"/>
    <cellStyle name="Normal 3 3 2 2 7 2 2 2" xfId="33720" xr:uid="{00000000-0005-0000-0000-0000EE630000}"/>
    <cellStyle name="Normal 3 3 2 2 7 2 2 3" xfId="33719" xr:uid="{00000000-0005-0000-0000-0000EF630000}"/>
    <cellStyle name="Normal 3 3 2 2 7 2 3" xfId="33721" xr:uid="{00000000-0005-0000-0000-0000F0630000}"/>
    <cellStyle name="Normal 3 3 2 2 7 2 3 2" xfId="33722" xr:uid="{00000000-0005-0000-0000-0000F1630000}"/>
    <cellStyle name="Normal 3 3 2 2 7 2 4" xfId="33723" xr:uid="{00000000-0005-0000-0000-0000F2630000}"/>
    <cellStyle name="Normal 3 3 2 2 7 2 4 2" xfId="33724" xr:uid="{00000000-0005-0000-0000-0000F3630000}"/>
    <cellStyle name="Normal 3 3 2 2 7 2 5" xfId="33725" xr:uid="{00000000-0005-0000-0000-0000F4630000}"/>
    <cellStyle name="Normal 3 3 2 2 7 2 6" xfId="33726" xr:uid="{00000000-0005-0000-0000-0000F5630000}"/>
    <cellStyle name="Normal 3 3 2 2 7 2 7" xfId="33718" xr:uid="{00000000-0005-0000-0000-0000F6630000}"/>
    <cellStyle name="Normal 3 3 2 2 7 3" xfId="4872" xr:uid="{00000000-0005-0000-0000-0000F7630000}"/>
    <cellStyle name="Normal 3 3 2 2 7 3 2" xfId="4873" xr:uid="{00000000-0005-0000-0000-0000F8630000}"/>
    <cellStyle name="Normal 3 3 2 2 7 3 2 2" xfId="33729" xr:uid="{00000000-0005-0000-0000-0000F9630000}"/>
    <cellStyle name="Normal 3 3 2 2 7 3 2 3" xfId="33728" xr:uid="{00000000-0005-0000-0000-0000FA630000}"/>
    <cellStyle name="Normal 3 3 2 2 7 3 3" xfId="33730" xr:uid="{00000000-0005-0000-0000-0000FB630000}"/>
    <cellStyle name="Normal 3 3 2 2 7 3 3 2" xfId="33731" xr:uid="{00000000-0005-0000-0000-0000FC630000}"/>
    <cellStyle name="Normal 3 3 2 2 7 3 4" xfId="33732" xr:uid="{00000000-0005-0000-0000-0000FD630000}"/>
    <cellStyle name="Normal 3 3 2 2 7 3 4 2" xfId="33733" xr:uid="{00000000-0005-0000-0000-0000FE630000}"/>
    <cellStyle name="Normal 3 3 2 2 7 3 5" xfId="33734" xr:uid="{00000000-0005-0000-0000-0000FF630000}"/>
    <cellStyle name="Normal 3 3 2 2 7 3 6" xfId="33735" xr:uid="{00000000-0005-0000-0000-000000640000}"/>
    <cellStyle name="Normal 3 3 2 2 7 3 7" xfId="33727" xr:uid="{00000000-0005-0000-0000-000001640000}"/>
    <cellStyle name="Normal 3 3 2 2 7 4" xfId="4874" xr:uid="{00000000-0005-0000-0000-000002640000}"/>
    <cellStyle name="Normal 3 3 2 2 7 4 2" xfId="33737" xr:uid="{00000000-0005-0000-0000-000003640000}"/>
    <cellStyle name="Normal 3 3 2 2 7 4 2 2" xfId="33738" xr:uid="{00000000-0005-0000-0000-000004640000}"/>
    <cellStyle name="Normal 3 3 2 2 7 4 3" xfId="33739" xr:uid="{00000000-0005-0000-0000-000005640000}"/>
    <cellStyle name="Normal 3 3 2 2 7 4 3 2" xfId="33740" xr:uid="{00000000-0005-0000-0000-000006640000}"/>
    <cellStyle name="Normal 3 3 2 2 7 4 4" xfId="33741" xr:uid="{00000000-0005-0000-0000-000007640000}"/>
    <cellStyle name="Normal 3 3 2 2 7 4 4 2" xfId="33742" xr:uid="{00000000-0005-0000-0000-000008640000}"/>
    <cellStyle name="Normal 3 3 2 2 7 4 5" xfId="33743" xr:uid="{00000000-0005-0000-0000-000009640000}"/>
    <cellStyle name="Normal 3 3 2 2 7 4 6" xfId="33744" xr:uid="{00000000-0005-0000-0000-00000A640000}"/>
    <cellStyle name="Normal 3 3 2 2 7 4 7" xfId="33736" xr:uid="{00000000-0005-0000-0000-00000B640000}"/>
    <cellStyle name="Normal 3 3 2 2 7 5" xfId="33745" xr:uid="{00000000-0005-0000-0000-00000C640000}"/>
    <cellStyle name="Normal 3 3 2 2 7 5 2" xfId="33746" xr:uid="{00000000-0005-0000-0000-00000D640000}"/>
    <cellStyle name="Normal 3 3 2 2 7 5 2 2" xfId="33747" xr:uid="{00000000-0005-0000-0000-00000E640000}"/>
    <cellStyle name="Normal 3 3 2 2 7 5 3" xfId="33748" xr:uid="{00000000-0005-0000-0000-00000F640000}"/>
    <cellStyle name="Normal 3 3 2 2 7 5 3 2" xfId="33749" xr:uid="{00000000-0005-0000-0000-000010640000}"/>
    <cellStyle name="Normal 3 3 2 2 7 5 4" xfId="33750" xr:uid="{00000000-0005-0000-0000-000011640000}"/>
    <cellStyle name="Normal 3 3 2 2 7 5 5" xfId="33751" xr:uid="{00000000-0005-0000-0000-000012640000}"/>
    <cellStyle name="Normal 3 3 2 2 7 6" xfId="33752" xr:uid="{00000000-0005-0000-0000-000013640000}"/>
    <cellStyle name="Normal 3 3 2 2 7 6 2" xfId="33753" xr:uid="{00000000-0005-0000-0000-000014640000}"/>
    <cellStyle name="Normal 3 3 2 2 7 7" xfId="33754" xr:uid="{00000000-0005-0000-0000-000015640000}"/>
    <cellStyle name="Normal 3 3 2 2 7 7 2" xfId="33755" xr:uid="{00000000-0005-0000-0000-000016640000}"/>
    <cellStyle name="Normal 3 3 2 2 7 8" xfId="33756" xr:uid="{00000000-0005-0000-0000-000017640000}"/>
    <cellStyle name="Normal 3 3 2 2 7 8 2" xfId="33757" xr:uid="{00000000-0005-0000-0000-000018640000}"/>
    <cellStyle name="Normal 3 3 2 2 7 9" xfId="33758" xr:uid="{00000000-0005-0000-0000-000019640000}"/>
    <cellStyle name="Normal 3 3 2 2 8" xfId="4875" xr:uid="{00000000-0005-0000-0000-00001A640000}"/>
    <cellStyle name="Normal 3 3 2 2 8 2" xfId="4876" xr:uid="{00000000-0005-0000-0000-00001B640000}"/>
    <cellStyle name="Normal 3 3 2 2 8 2 2" xfId="4877" xr:uid="{00000000-0005-0000-0000-00001C640000}"/>
    <cellStyle name="Normal 3 3 2 2 8 2 2 2" xfId="33761" xr:uid="{00000000-0005-0000-0000-00001D640000}"/>
    <cellStyle name="Normal 3 3 2 2 8 2 3" xfId="33760" xr:uid="{00000000-0005-0000-0000-00001E640000}"/>
    <cellStyle name="Normal 3 3 2 2 8 3" xfId="4878" xr:uid="{00000000-0005-0000-0000-00001F640000}"/>
    <cellStyle name="Normal 3 3 2 2 8 3 2" xfId="4879" xr:uid="{00000000-0005-0000-0000-000020640000}"/>
    <cellStyle name="Normal 3 3 2 2 8 3 2 2" xfId="33763" xr:uid="{00000000-0005-0000-0000-000021640000}"/>
    <cellStyle name="Normal 3 3 2 2 8 3 3" xfId="33762" xr:uid="{00000000-0005-0000-0000-000022640000}"/>
    <cellStyle name="Normal 3 3 2 2 8 4" xfId="4880" xr:uid="{00000000-0005-0000-0000-000023640000}"/>
    <cellStyle name="Normal 3 3 2 2 8 4 2" xfId="33765" xr:uid="{00000000-0005-0000-0000-000024640000}"/>
    <cellStyle name="Normal 3 3 2 2 8 4 3" xfId="33764" xr:uid="{00000000-0005-0000-0000-000025640000}"/>
    <cellStyle name="Normal 3 3 2 2 8 5" xfId="33766" xr:uid="{00000000-0005-0000-0000-000026640000}"/>
    <cellStyle name="Normal 3 3 2 2 8 6" xfId="33767" xr:uid="{00000000-0005-0000-0000-000027640000}"/>
    <cellStyle name="Normal 3 3 2 2 8 7" xfId="33759" xr:uid="{00000000-0005-0000-0000-000028640000}"/>
    <cellStyle name="Normal 3 3 2 2 9" xfId="4881" xr:uid="{00000000-0005-0000-0000-000029640000}"/>
    <cellStyle name="Normal 3 3 2 2 9 2" xfId="4882" xr:uid="{00000000-0005-0000-0000-00002A640000}"/>
    <cellStyle name="Normal 3 3 2 2 9 2 2" xfId="33770" xr:uid="{00000000-0005-0000-0000-00002B640000}"/>
    <cellStyle name="Normal 3 3 2 2 9 2 3" xfId="33769" xr:uid="{00000000-0005-0000-0000-00002C640000}"/>
    <cellStyle name="Normal 3 3 2 2 9 3" xfId="4883" xr:uid="{00000000-0005-0000-0000-00002D640000}"/>
    <cellStyle name="Normal 3 3 2 2 9 3 2" xfId="33772" xr:uid="{00000000-0005-0000-0000-00002E640000}"/>
    <cellStyle name="Normal 3 3 2 2 9 3 3" xfId="33771" xr:uid="{00000000-0005-0000-0000-00002F640000}"/>
    <cellStyle name="Normal 3 3 2 2 9 4" xfId="33773" xr:uid="{00000000-0005-0000-0000-000030640000}"/>
    <cellStyle name="Normal 3 3 2 2 9 4 2" xfId="33774" xr:uid="{00000000-0005-0000-0000-000031640000}"/>
    <cellStyle name="Normal 3 3 2 2 9 5" xfId="33775" xr:uid="{00000000-0005-0000-0000-000032640000}"/>
    <cellStyle name="Normal 3 3 2 2 9 6" xfId="33776" xr:uid="{00000000-0005-0000-0000-000033640000}"/>
    <cellStyle name="Normal 3 3 2 2 9 7" xfId="33768" xr:uid="{00000000-0005-0000-0000-000034640000}"/>
    <cellStyle name="Normal 3 3 2 3" xfId="4884" xr:uid="{00000000-0005-0000-0000-000035640000}"/>
    <cellStyle name="Normal 3 3 2 3 10" xfId="4885" xr:uid="{00000000-0005-0000-0000-000036640000}"/>
    <cellStyle name="Normal 3 3 2 3 10 2" xfId="4886" xr:uid="{00000000-0005-0000-0000-000037640000}"/>
    <cellStyle name="Normal 3 3 2 3 10 2 2" xfId="33779" xr:uid="{00000000-0005-0000-0000-000038640000}"/>
    <cellStyle name="Normal 3 3 2 3 10 3" xfId="33778" xr:uid="{00000000-0005-0000-0000-000039640000}"/>
    <cellStyle name="Normal 3 3 2 3 11" xfId="4887" xr:uid="{00000000-0005-0000-0000-00003A640000}"/>
    <cellStyle name="Normal 3 3 2 3 11 2" xfId="33781" xr:uid="{00000000-0005-0000-0000-00003B640000}"/>
    <cellStyle name="Normal 3 3 2 3 11 3" xfId="33780" xr:uid="{00000000-0005-0000-0000-00003C640000}"/>
    <cellStyle name="Normal 3 3 2 3 12" xfId="33782" xr:uid="{00000000-0005-0000-0000-00003D640000}"/>
    <cellStyle name="Normal 3 3 2 3 13" xfId="33783" xr:uid="{00000000-0005-0000-0000-00003E640000}"/>
    <cellStyle name="Normal 3 3 2 3 14" xfId="33777" xr:uid="{00000000-0005-0000-0000-00003F640000}"/>
    <cellStyle name="Normal 3 3 2 3 2" xfId="4888" xr:uid="{00000000-0005-0000-0000-000040640000}"/>
    <cellStyle name="Normal 3 3 2 3 2 10" xfId="33785" xr:uid="{00000000-0005-0000-0000-000041640000}"/>
    <cellStyle name="Normal 3 3 2 3 2 11" xfId="33786" xr:uid="{00000000-0005-0000-0000-000042640000}"/>
    <cellStyle name="Normal 3 3 2 3 2 12" xfId="33784" xr:uid="{00000000-0005-0000-0000-000043640000}"/>
    <cellStyle name="Normal 3 3 2 3 2 2" xfId="4889" xr:uid="{00000000-0005-0000-0000-000044640000}"/>
    <cellStyle name="Normal 3 3 2 3 2 2 2" xfId="4890" xr:uid="{00000000-0005-0000-0000-000045640000}"/>
    <cellStyle name="Normal 3 3 2 3 2 2 2 2" xfId="4891" xr:uid="{00000000-0005-0000-0000-000046640000}"/>
    <cellStyle name="Normal 3 3 2 3 2 2 2 2 2" xfId="4892" xr:uid="{00000000-0005-0000-0000-000047640000}"/>
    <cellStyle name="Normal 3 3 2 3 2 2 2 2 3" xfId="4893" xr:uid="{00000000-0005-0000-0000-000048640000}"/>
    <cellStyle name="Normal 3 3 2 3 2 2 2 2 4" xfId="33789" xr:uid="{00000000-0005-0000-0000-000049640000}"/>
    <cellStyle name="Normal 3 3 2 3 2 2 2 3" xfId="4894" xr:uid="{00000000-0005-0000-0000-00004A640000}"/>
    <cellStyle name="Normal 3 3 2 3 2 2 2 3 2" xfId="4895" xr:uid="{00000000-0005-0000-0000-00004B640000}"/>
    <cellStyle name="Normal 3 3 2 3 2 2 2 4" xfId="4896" xr:uid="{00000000-0005-0000-0000-00004C640000}"/>
    <cellStyle name="Normal 3 3 2 3 2 2 2 4 2" xfId="4897" xr:uid="{00000000-0005-0000-0000-00004D640000}"/>
    <cellStyle name="Normal 3 3 2 3 2 2 2 5" xfId="4898" xr:uid="{00000000-0005-0000-0000-00004E640000}"/>
    <cellStyle name="Normal 3 3 2 3 2 2 2 6" xfId="33788" xr:uid="{00000000-0005-0000-0000-00004F640000}"/>
    <cellStyle name="Normal 3 3 2 3 2 2 3" xfId="4899" xr:uid="{00000000-0005-0000-0000-000050640000}"/>
    <cellStyle name="Normal 3 3 2 3 2 2 3 2" xfId="4900" xr:uid="{00000000-0005-0000-0000-000051640000}"/>
    <cellStyle name="Normal 3 3 2 3 2 2 3 2 2" xfId="4901" xr:uid="{00000000-0005-0000-0000-000052640000}"/>
    <cellStyle name="Normal 3 3 2 3 2 2 3 2 3" xfId="33791" xr:uid="{00000000-0005-0000-0000-000053640000}"/>
    <cellStyle name="Normal 3 3 2 3 2 2 3 3" xfId="4902" xr:uid="{00000000-0005-0000-0000-000054640000}"/>
    <cellStyle name="Normal 3 3 2 3 2 2 3 3 2" xfId="4903" xr:uid="{00000000-0005-0000-0000-000055640000}"/>
    <cellStyle name="Normal 3 3 2 3 2 2 3 4" xfId="4904" xr:uid="{00000000-0005-0000-0000-000056640000}"/>
    <cellStyle name="Normal 3 3 2 3 2 2 3 5" xfId="33790" xr:uid="{00000000-0005-0000-0000-000057640000}"/>
    <cellStyle name="Normal 3 3 2 3 2 2 4" xfId="4905" xr:uid="{00000000-0005-0000-0000-000058640000}"/>
    <cellStyle name="Normal 3 3 2 3 2 2 4 2" xfId="4906" xr:uid="{00000000-0005-0000-0000-000059640000}"/>
    <cellStyle name="Normal 3 3 2 3 2 2 4 2 2" xfId="33793" xr:uid="{00000000-0005-0000-0000-00005A640000}"/>
    <cellStyle name="Normal 3 3 2 3 2 2 4 3" xfId="4907" xr:uid="{00000000-0005-0000-0000-00005B640000}"/>
    <cellStyle name="Normal 3 3 2 3 2 2 4 4" xfId="33792" xr:uid="{00000000-0005-0000-0000-00005C640000}"/>
    <cellStyle name="Normal 3 3 2 3 2 2 5" xfId="4908" xr:uid="{00000000-0005-0000-0000-00005D640000}"/>
    <cellStyle name="Normal 3 3 2 3 2 2 5 2" xfId="4909" xr:uid="{00000000-0005-0000-0000-00005E640000}"/>
    <cellStyle name="Normal 3 3 2 3 2 2 5 3" xfId="33794" xr:uid="{00000000-0005-0000-0000-00005F640000}"/>
    <cellStyle name="Normal 3 3 2 3 2 2 6" xfId="4910" xr:uid="{00000000-0005-0000-0000-000060640000}"/>
    <cellStyle name="Normal 3 3 2 3 2 2 6 2" xfId="4911" xr:uid="{00000000-0005-0000-0000-000061640000}"/>
    <cellStyle name="Normal 3 3 2 3 2 2 6 3" xfId="33795" xr:uid="{00000000-0005-0000-0000-000062640000}"/>
    <cellStyle name="Normal 3 3 2 3 2 2 7" xfId="4912" xr:uid="{00000000-0005-0000-0000-000063640000}"/>
    <cellStyle name="Normal 3 3 2 3 2 2 8" xfId="33787" xr:uid="{00000000-0005-0000-0000-000064640000}"/>
    <cellStyle name="Normal 3 3 2 3 2 3" xfId="4913" xr:uid="{00000000-0005-0000-0000-000065640000}"/>
    <cellStyle name="Normal 3 3 2 3 2 3 2" xfId="4914" xr:uid="{00000000-0005-0000-0000-000066640000}"/>
    <cellStyle name="Normal 3 3 2 3 2 3 2 2" xfId="4915" xr:uid="{00000000-0005-0000-0000-000067640000}"/>
    <cellStyle name="Normal 3 3 2 3 2 3 2 2 2" xfId="33798" xr:uid="{00000000-0005-0000-0000-000068640000}"/>
    <cellStyle name="Normal 3 3 2 3 2 3 2 3" xfId="4916" xr:uid="{00000000-0005-0000-0000-000069640000}"/>
    <cellStyle name="Normal 3 3 2 3 2 3 2 4" xfId="33797" xr:uid="{00000000-0005-0000-0000-00006A640000}"/>
    <cellStyle name="Normal 3 3 2 3 2 3 3" xfId="4917" xr:uid="{00000000-0005-0000-0000-00006B640000}"/>
    <cellStyle name="Normal 3 3 2 3 2 3 3 2" xfId="4918" xr:uid="{00000000-0005-0000-0000-00006C640000}"/>
    <cellStyle name="Normal 3 3 2 3 2 3 3 2 2" xfId="33800" xr:uid="{00000000-0005-0000-0000-00006D640000}"/>
    <cellStyle name="Normal 3 3 2 3 2 3 3 3" xfId="33799" xr:uid="{00000000-0005-0000-0000-00006E640000}"/>
    <cellStyle name="Normal 3 3 2 3 2 3 4" xfId="4919" xr:uid="{00000000-0005-0000-0000-00006F640000}"/>
    <cellStyle name="Normal 3 3 2 3 2 3 4 2" xfId="4920" xr:uid="{00000000-0005-0000-0000-000070640000}"/>
    <cellStyle name="Normal 3 3 2 3 2 3 4 2 2" xfId="33802" xr:uid="{00000000-0005-0000-0000-000071640000}"/>
    <cellStyle name="Normal 3 3 2 3 2 3 4 3" xfId="33801" xr:uid="{00000000-0005-0000-0000-000072640000}"/>
    <cellStyle name="Normal 3 3 2 3 2 3 5" xfId="4921" xr:uid="{00000000-0005-0000-0000-000073640000}"/>
    <cellStyle name="Normal 3 3 2 3 2 3 5 2" xfId="33803" xr:uid="{00000000-0005-0000-0000-000074640000}"/>
    <cellStyle name="Normal 3 3 2 3 2 3 6" xfId="33804" xr:uid="{00000000-0005-0000-0000-000075640000}"/>
    <cellStyle name="Normal 3 3 2 3 2 3 7" xfId="33796" xr:uid="{00000000-0005-0000-0000-000076640000}"/>
    <cellStyle name="Normal 3 3 2 3 2 4" xfId="4922" xr:uid="{00000000-0005-0000-0000-000077640000}"/>
    <cellStyle name="Normal 3 3 2 3 2 4 2" xfId="4923" xr:uid="{00000000-0005-0000-0000-000078640000}"/>
    <cellStyle name="Normal 3 3 2 3 2 4 2 2" xfId="4924" xr:uid="{00000000-0005-0000-0000-000079640000}"/>
    <cellStyle name="Normal 3 3 2 3 2 4 2 2 2" xfId="33807" xr:uid="{00000000-0005-0000-0000-00007A640000}"/>
    <cellStyle name="Normal 3 3 2 3 2 4 2 3" xfId="33806" xr:uid="{00000000-0005-0000-0000-00007B640000}"/>
    <cellStyle name="Normal 3 3 2 3 2 4 3" xfId="4925" xr:uid="{00000000-0005-0000-0000-00007C640000}"/>
    <cellStyle name="Normal 3 3 2 3 2 4 3 2" xfId="4926" xr:uid="{00000000-0005-0000-0000-00007D640000}"/>
    <cellStyle name="Normal 3 3 2 3 2 4 3 2 2" xfId="33809" xr:uid="{00000000-0005-0000-0000-00007E640000}"/>
    <cellStyle name="Normal 3 3 2 3 2 4 3 3" xfId="33808" xr:uid="{00000000-0005-0000-0000-00007F640000}"/>
    <cellStyle name="Normal 3 3 2 3 2 4 4" xfId="4927" xr:uid="{00000000-0005-0000-0000-000080640000}"/>
    <cellStyle name="Normal 3 3 2 3 2 4 4 2" xfId="33811" xr:uid="{00000000-0005-0000-0000-000081640000}"/>
    <cellStyle name="Normal 3 3 2 3 2 4 4 3" xfId="33810" xr:uid="{00000000-0005-0000-0000-000082640000}"/>
    <cellStyle name="Normal 3 3 2 3 2 4 5" xfId="33812" xr:uid="{00000000-0005-0000-0000-000083640000}"/>
    <cellStyle name="Normal 3 3 2 3 2 4 6" xfId="33813" xr:uid="{00000000-0005-0000-0000-000084640000}"/>
    <cellStyle name="Normal 3 3 2 3 2 4 7" xfId="33805" xr:uid="{00000000-0005-0000-0000-000085640000}"/>
    <cellStyle name="Normal 3 3 2 3 2 5" xfId="4928" xr:uid="{00000000-0005-0000-0000-000086640000}"/>
    <cellStyle name="Normal 3 3 2 3 2 5 2" xfId="4929" xr:uid="{00000000-0005-0000-0000-000087640000}"/>
    <cellStyle name="Normal 3 3 2 3 2 5 2 2" xfId="33816" xr:uid="{00000000-0005-0000-0000-000088640000}"/>
    <cellStyle name="Normal 3 3 2 3 2 5 2 3" xfId="33815" xr:uid="{00000000-0005-0000-0000-000089640000}"/>
    <cellStyle name="Normal 3 3 2 3 2 5 3" xfId="4930" xr:uid="{00000000-0005-0000-0000-00008A640000}"/>
    <cellStyle name="Normal 3 3 2 3 2 5 3 2" xfId="33818" xr:uid="{00000000-0005-0000-0000-00008B640000}"/>
    <cellStyle name="Normal 3 3 2 3 2 5 3 3" xfId="33817" xr:uid="{00000000-0005-0000-0000-00008C640000}"/>
    <cellStyle name="Normal 3 3 2 3 2 5 4" xfId="33819" xr:uid="{00000000-0005-0000-0000-00008D640000}"/>
    <cellStyle name="Normal 3 3 2 3 2 5 4 2" xfId="33820" xr:uid="{00000000-0005-0000-0000-00008E640000}"/>
    <cellStyle name="Normal 3 3 2 3 2 5 5" xfId="33821" xr:uid="{00000000-0005-0000-0000-00008F640000}"/>
    <cellStyle name="Normal 3 3 2 3 2 5 6" xfId="33822" xr:uid="{00000000-0005-0000-0000-000090640000}"/>
    <cellStyle name="Normal 3 3 2 3 2 5 7" xfId="33814" xr:uid="{00000000-0005-0000-0000-000091640000}"/>
    <cellStyle name="Normal 3 3 2 3 2 6" xfId="4931" xr:uid="{00000000-0005-0000-0000-000092640000}"/>
    <cellStyle name="Normal 3 3 2 3 2 6 2" xfId="4932" xr:uid="{00000000-0005-0000-0000-000093640000}"/>
    <cellStyle name="Normal 3 3 2 3 2 6 2 2" xfId="33825" xr:uid="{00000000-0005-0000-0000-000094640000}"/>
    <cellStyle name="Normal 3 3 2 3 2 6 2 3" xfId="33824" xr:uid="{00000000-0005-0000-0000-000095640000}"/>
    <cellStyle name="Normal 3 3 2 3 2 6 3" xfId="33826" xr:uid="{00000000-0005-0000-0000-000096640000}"/>
    <cellStyle name="Normal 3 3 2 3 2 6 3 2" xfId="33827" xr:uid="{00000000-0005-0000-0000-000097640000}"/>
    <cellStyle name="Normal 3 3 2 3 2 6 4" xfId="33828" xr:uid="{00000000-0005-0000-0000-000098640000}"/>
    <cellStyle name="Normal 3 3 2 3 2 6 5" xfId="33829" xr:uid="{00000000-0005-0000-0000-000099640000}"/>
    <cellStyle name="Normal 3 3 2 3 2 6 6" xfId="33823" xr:uid="{00000000-0005-0000-0000-00009A640000}"/>
    <cellStyle name="Normal 3 3 2 3 2 7" xfId="4933" xr:uid="{00000000-0005-0000-0000-00009B640000}"/>
    <cellStyle name="Normal 3 3 2 3 2 7 2" xfId="4934" xr:uid="{00000000-0005-0000-0000-00009C640000}"/>
    <cellStyle name="Normal 3 3 2 3 2 7 2 2" xfId="33831" xr:uid="{00000000-0005-0000-0000-00009D640000}"/>
    <cellStyle name="Normal 3 3 2 3 2 7 3" xfId="33830" xr:uid="{00000000-0005-0000-0000-00009E640000}"/>
    <cellStyle name="Normal 3 3 2 3 2 8" xfId="4935" xr:uid="{00000000-0005-0000-0000-00009F640000}"/>
    <cellStyle name="Normal 3 3 2 3 2 8 2" xfId="33833" xr:uid="{00000000-0005-0000-0000-0000A0640000}"/>
    <cellStyle name="Normal 3 3 2 3 2 8 3" xfId="33832" xr:uid="{00000000-0005-0000-0000-0000A1640000}"/>
    <cellStyle name="Normal 3 3 2 3 2 9" xfId="33834" xr:uid="{00000000-0005-0000-0000-0000A2640000}"/>
    <cellStyle name="Normal 3 3 2 3 2 9 2" xfId="33835" xr:uid="{00000000-0005-0000-0000-0000A3640000}"/>
    <cellStyle name="Normal 3 3 2 3 3" xfId="4936" xr:uid="{00000000-0005-0000-0000-0000A4640000}"/>
    <cellStyle name="Normal 3 3 2 3 3 10" xfId="33837" xr:uid="{00000000-0005-0000-0000-0000A5640000}"/>
    <cellStyle name="Normal 3 3 2 3 3 11" xfId="33836" xr:uid="{00000000-0005-0000-0000-0000A6640000}"/>
    <cellStyle name="Normal 3 3 2 3 3 2" xfId="4937" xr:uid="{00000000-0005-0000-0000-0000A7640000}"/>
    <cellStyle name="Normal 3 3 2 3 3 2 2" xfId="4938" xr:uid="{00000000-0005-0000-0000-0000A8640000}"/>
    <cellStyle name="Normal 3 3 2 3 3 2 2 2" xfId="4939" xr:uid="{00000000-0005-0000-0000-0000A9640000}"/>
    <cellStyle name="Normal 3 3 2 3 3 2 2 2 2" xfId="33840" xr:uid="{00000000-0005-0000-0000-0000AA640000}"/>
    <cellStyle name="Normal 3 3 2 3 3 2 2 3" xfId="4940" xr:uid="{00000000-0005-0000-0000-0000AB640000}"/>
    <cellStyle name="Normal 3 3 2 3 3 2 2 4" xfId="33839" xr:uid="{00000000-0005-0000-0000-0000AC640000}"/>
    <cellStyle name="Normal 3 3 2 3 3 2 3" xfId="4941" xr:uid="{00000000-0005-0000-0000-0000AD640000}"/>
    <cellStyle name="Normal 3 3 2 3 3 2 3 2" xfId="4942" xr:uid="{00000000-0005-0000-0000-0000AE640000}"/>
    <cellStyle name="Normal 3 3 2 3 3 2 3 2 2" xfId="33842" xr:uid="{00000000-0005-0000-0000-0000AF640000}"/>
    <cellStyle name="Normal 3 3 2 3 3 2 3 3" xfId="33841" xr:uid="{00000000-0005-0000-0000-0000B0640000}"/>
    <cellStyle name="Normal 3 3 2 3 3 2 4" xfId="4943" xr:uid="{00000000-0005-0000-0000-0000B1640000}"/>
    <cellStyle name="Normal 3 3 2 3 3 2 4 2" xfId="4944" xr:uid="{00000000-0005-0000-0000-0000B2640000}"/>
    <cellStyle name="Normal 3 3 2 3 3 2 4 2 2" xfId="33844" xr:uid="{00000000-0005-0000-0000-0000B3640000}"/>
    <cellStyle name="Normal 3 3 2 3 3 2 4 3" xfId="33843" xr:uid="{00000000-0005-0000-0000-0000B4640000}"/>
    <cellStyle name="Normal 3 3 2 3 3 2 5" xfId="4945" xr:uid="{00000000-0005-0000-0000-0000B5640000}"/>
    <cellStyle name="Normal 3 3 2 3 3 2 5 2" xfId="33845" xr:uid="{00000000-0005-0000-0000-0000B6640000}"/>
    <cellStyle name="Normal 3 3 2 3 3 2 6" xfId="33846" xr:uid="{00000000-0005-0000-0000-0000B7640000}"/>
    <cellStyle name="Normal 3 3 2 3 3 2 7" xfId="33838" xr:uid="{00000000-0005-0000-0000-0000B8640000}"/>
    <cellStyle name="Normal 3 3 2 3 3 3" xfId="4946" xr:uid="{00000000-0005-0000-0000-0000B9640000}"/>
    <cellStyle name="Normal 3 3 2 3 3 3 2" xfId="4947" xr:uid="{00000000-0005-0000-0000-0000BA640000}"/>
    <cellStyle name="Normal 3 3 2 3 3 3 2 2" xfId="4948" xr:uid="{00000000-0005-0000-0000-0000BB640000}"/>
    <cellStyle name="Normal 3 3 2 3 3 3 2 2 2" xfId="33849" xr:uid="{00000000-0005-0000-0000-0000BC640000}"/>
    <cellStyle name="Normal 3 3 2 3 3 3 2 3" xfId="33848" xr:uid="{00000000-0005-0000-0000-0000BD640000}"/>
    <cellStyle name="Normal 3 3 2 3 3 3 3" xfId="4949" xr:uid="{00000000-0005-0000-0000-0000BE640000}"/>
    <cellStyle name="Normal 3 3 2 3 3 3 3 2" xfId="4950" xr:uid="{00000000-0005-0000-0000-0000BF640000}"/>
    <cellStyle name="Normal 3 3 2 3 3 3 3 2 2" xfId="33851" xr:uid="{00000000-0005-0000-0000-0000C0640000}"/>
    <cellStyle name="Normal 3 3 2 3 3 3 3 3" xfId="33850" xr:uid="{00000000-0005-0000-0000-0000C1640000}"/>
    <cellStyle name="Normal 3 3 2 3 3 3 4" xfId="4951" xr:uid="{00000000-0005-0000-0000-0000C2640000}"/>
    <cellStyle name="Normal 3 3 2 3 3 3 4 2" xfId="33853" xr:uid="{00000000-0005-0000-0000-0000C3640000}"/>
    <cellStyle name="Normal 3 3 2 3 3 3 4 3" xfId="33852" xr:uid="{00000000-0005-0000-0000-0000C4640000}"/>
    <cellStyle name="Normal 3 3 2 3 3 3 5" xfId="33854" xr:uid="{00000000-0005-0000-0000-0000C5640000}"/>
    <cellStyle name="Normal 3 3 2 3 3 3 6" xfId="33855" xr:uid="{00000000-0005-0000-0000-0000C6640000}"/>
    <cellStyle name="Normal 3 3 2 3 3 3 7" xfId="33847" xr:uid="{00000000-0005-0000-0000-0000C7640000}"/>
    <cellStyle name="Normal 3 3 2 3 3 4" xfId="4952" xr:uid="{00000000-0005-0000-0000-0000C8640000}"/>
    <cellStyle name="Normal 3 3 2 3 3 4 2" xfId="4953" xr:uid="{00000000-0005-0000-0000-0000C9640000}"/>
    <cellStyle name="Normal 3 3 2 3 3 4 2 2" xfId="33858" xr:uid="{00000000-0005-0000-0000-0000CA640000}"/>
    <cellStyle name="Normal 3 3 2 3 3 4 2 3" xfId="33857" xr:uid="{00000000-0005-0000-0000-0000CB640000}"/>
    <cellStyle name="Normal 3 3 2 3 3 4 3" xfId="4954" xr:uid="{00000000-0005-0000-0000-0000CC640000}"/>
    <cellStyle name="Normal 3 3 2 3 3 4 3 2" xfId="33860" xr:uid="{00000000-0005-0000-0000-0000CD640000}"/>
    <cellStyle name="Normal 3 3 2 3 3 4 3 3" xfId="33859" xr:uid="{00000000-0005-0000-0000-0000CE640000}"/>
    <cellStyle name="Normal 3 3 2 3 3 4 4" xfId="33861" xr:uid="{00000000-0005-0000-0000-0000CF640000}"/>
    <cellStyle name="Normal 3 3 2 3 3 4 4 2" xfId="33862" xr:uid="{00000000-0005-0000-0000-0000D0640000}"/>
    <cellStyle name="Normal 3 3 2 3 3 4 5" xfId="33863" xr:uid="{00000000-0005-0000-0000-0000D1640000}"/>
    <cellStyle name="Normal 3 3 2 3 3 4 6" xfId="33864" xr:uid="{00000000-0005-0000-0000-0000D2640000}"/>
    <cellStyle name="Normal 3 3 2 3 3 4 7" xfId="33856" xr:uid="{00000000-0005-0000-0000-0000D3640000}"/>
    <cellStyle name="Normal 3 3 2 3 3 5" xfId="4955" xr:uid="{00000000-0005-0000-0000-0000D4640000}"/>
    <cellStyle name="Normal 3 3 2 3 3 5 2" xfId="4956" xr:uid="{00000000-0005-0000-0000-0000D5640000}"/>
    <cellStyle name="Normal 3 3 2 3 3 5 2 2" xfId="33867" xr:uid="{00000000-0005-0000-0000-0000D6640000}"/>
    <cellStyle name="Normal 3 3 2 3 3 5 2 3" xfId="33866" xr:uid="{00000000-0005-0000-0000-0000D7640000}"/>
    <cellStyle name="Normal 3 3 2 3 3 5 3" xfId="33868" xr:uid="{00000000-0005-0000-0000-0000D8640000}"/>
    <cellStyle name="Normal 3 3 2 3 3 5 3 2" xfId="33869" xr:uid="{00000000-0005-0000-0000-0000D9640000}"/>
    <cellStyle name="Normal 3 3 2 3 3 5 4" xfId="33870" xr:uid="{00000000-0005-0000-0000-0000DA640000}"/>
    <cellStyle name="Normal 3 3 2 3 3 5 5" xfId="33871" xr:uid="{00000000-0005-0000-0000-0000DB640000}"/>
    <cellStyle name="Normal 3 3 2 3 3 5 6" xfId="33865" xr:uid="{00000000-0005-0000-0000-0000DC640000}"/>
    <cellStyle name="Normal 3 3 2 3 3 6" xfId="4957" xr:uid="{00000000-0005-0000-0000-0000DD640000}"/>
    <cellStyle name="Normal 3 3 2 3 3 6 2" xfId="4958" xr:uid="{00000000-0005-0000-0000-0000DE640000}"/>
    <cellStyle name="Normal 3 3 2 3 3 6 2 2" xfId="33873" xr:uid="{00000000-0005-0000-0000-0000DF640000}"/>
    <cellStyle name="Normal 3 3 2 3 3 6 3" xfId="33872" xr:uid="{00000000-0005-0000-0000-0000E0640000}"/>
    <cellStyle name="Normal 3 3 2 3 3 7" xfId="4959" xr:uid="{00000000-0005-0000-0000-0000E1640000}"/>
    <cellStyle name="Normal 3 3 2 3 3 7 2" xfId="33875" xr:uid="{00000000-0005-0000-0000-0000E2640000}"/>
    <cellStyle name="Normal 3 3 2 3 3 7 3" xfId="33874" xr:uid="{00000000-0005-0000-0000-0000E3640000}"/>
    <cellStyle name="Normal 3 3 2 3 3 8" xfId="33876" xr:uid="{00000000-0005-0000-0000-0000E4640000}"/>
    <cellStyle name="Normal 3 3 2 3 3 8 2" xfId="33877" xr:uid="{00000000-0005-0000-0000-0000E5640000}"/>
    <cellStyle name="Normal 3 3 2 3 3 9" xfId="33878" xr:uid="{00000000-0005-0000-0000-0000E6640000}"/>
    <cellStyle name="Normal 3 3 2 3 4" xfId="4960" xr:uid="{00000000-0005-0000-0000-0000E7640000}"/>
    <cellStyle name="Normal 3 3 2 3 4 10" xfId="33880" xr:uid="{00000000-0005-0000-0000-0000E8640000}"/>
    <cellStyle name="Normal 3 3 2 3 4 11" xfId="33879" xr:uid="{00000000-0005-0000-0000-0000E9640000}"/>
    <cellStyle name="Normal 3 3 2 3 4 2" xfId="4961" xr:uid="{00000000-0005-0000-0000-0000EA640000}"/>
    <cellStyle name="Normal 3 3 2 3 4 2 2" xfId="4962" xr:uid="{00000000-0005-0000-0000-0000EB640000}"/>
    <cellStyle name="Normal 3 3 2 3 4 2 2 2" xfId="4963" xr:uid="{00000000-0005-0000-0000-0000EC640000}"/>
    <cellStyle name="Normal 3 3 2 3 4 2 2 2 2" xfId="33883" xr:uid="{00000000-0005-0000-0000-0000ED640000}"/>
    <cellStyle name="Normal 3 3 2 3 4 2 2 3" xfId="4964" xr:uid="{00000000-0005-0000-0000-0000EE640000}"/>
    <cellStyle name="Normal 3 3 2 3 4 2 2 4" xfId="33882" xr:uid="{00000000-0005-0000-0000-0000EF640000}"/>
    <cellStyle name="Normal 3 3 2 3 4 2 3" xfId="4965" xr:uid="{00000000-0005-0000-0000-0000F0640000}"/>
    <cellStyle name="Normal 3 3 2 3 4 2 3 2" xfId="4966" xr:uid="{00000000-0005-0000-0000-0000F1640000}"/>
    <cellStyle name="Normal 3 3 2 3 4 2 3 2 2" xfId="33885" xr:uid="{00000000-0005-0000-0000-0000F2640000}"/>
    <cellStyle name="Normal 3 3 2 3 4 2 3 3" xfId="33884" xr:uid="{00000000-0005-0000-0000-0000F3640000}"/>
    <cellStyle name="Normal 3 3 2 3 4 2 4" xfId="4967" xr:uid="{00000000-0005-0000-0000-0000F4640000}"/>
    <cellStyle name="Normal 3 3 2 3 4 2 4 2" xfId="4968" xr:uid="{00000000-0005-0000-0000-0000F5640000}"/>
    <cellStyle name="Normal 3 3 2 3 4 2 4 2 2" xfId="33887" xr:uid="{00000000-0005-0000-0000-0000F6640000}"/>
    <cellStyle name="Normal 3 3 2 3 4 2 4 3" xfId="33886" xr:uid="{00000000-0005-0000-0000-0000F7640000}"/>
    <cellStyle name="Normal 3 3 2 3 4 2 5" xfId="4969" xr:uid="{00000000-0005-0000-0000-0000F8640000}"/>
    <cellStyle name="Normal 3 3 2 3 4 2 5 2" xfId="33888" xr:uid="{00000000-0005-0000-0000-0000F9640000}"/>
    <cellStyle name="Normal 3 3 2 3 4 2 6" xfId="33889" xr:uid="{00000000-0005-0000-0000-0000FA640000}"/>
    <cellStyle name="Normal 3 3 2 3 4 2 7" xfId="33881" xr:uid="{00000000-0005-0000-0000-0000FB640000}"/>
    <cellStyle name="Normal 3 3 2 3 4 3" xfId="4970" xr:uid="{00000000-0005-0000-0000-0000FC640000}"/>
    <cellStyle name="Normal 3 3 2 3 4 3 2" xfId="4971" xr:uid="{00000000-0005-0000-0000-0000FD640000}"/>
    <cellStyle name="Normal 3 3 2 3 4 3 2 2" xfId="4972" xr:uid="{00000000-0005-0000-0000-0000FE640000}"/>
    <cellStyle name="Normal 3 3 2 3 4 3 2 2 2" xfId="33892" xr:uid="{00000000-0005-0000-0000-0000FF640000}"/>
    <cellStyle name="Normal 3 3 2 3 4 3 2 3" xfId="33891" xr:uid="{00000000-0005-0000-0000-000000650000}"/>
    <cellStyle name="Normal 3 3 2 3 4 3 3" xfId="4973" xr:uid="{00000000-0005-0000-0000-000001650000}"/>
    <cellStyle name="Normal 3 3 2 3 4 3 3 2" xfId="4974" xr:uid="{00000000-0005-0000-0000-000002650000}"/>
    <cellStyle name="Normal 3 3 2 3 4 3 3 2 2" xfId="33894" xr:uid="{00000000-0005-0000-0000-000003650000}"/>
    <cellStyle name="Normal 3 3 2 3 4 3 3 3" xfId="33893" xr:uid="{00000000-0005-0000-0000-000004650000}"/>
    <cellStyle name="Normal 3 3 2 3 4 3 4" xfId="4975" xr:uid="{00000000-0005-0000-0000-000005650000}"/>
    <cellStyle name="Normal 3 3 2 3 4 3 4 2" xfId="33896" xr:uid="{00000000-0005-0000-0000-000006650000}"/>
    <cellStyle name="Normal 3 3 2 3 4 3 4 3" xfId="33895" xr:uid="{00000000-0005-0000-0000-000007650000}"/>
    <cellStyle name="Normal 3 3 2 3 4 3 5" xfId="33897" xr:uid="{00000000-0005-0000-0000-000008650000}"/>
    <cellStyle name="Normal 3 3 2 3 4 3 6" xfId="33898" xr:uid="{00000000-0005-0000-0000-000009650000}"/>
    <cellStyle name="Normal 3 3 2 3 4 3 7" xfId="33890" xr:uid="{00000000-0005-0000-0000-00000A650000}"/>
    <cellStyle name="Normal 3 3 2 3 4 4" xfId="4976" xr:uid="{00000000-0005-0000-0000-00000B650000}"/>
    <cellStyle name="Normal 3 3 2 3 4 4 2" xfId="4977" xr:uid="{00000000-0005-0000-0000-00000C650000}"/>
    <cellStyle name="Normal 3 3 2 3 4 4 2 2" xfId="33901" xr:uid="{00000000-0005-0000-0000-00000D650000}"/>
    <cellStyle name="Normal 3 3 2 3 4 4 2 3" xfId="33900" xr:uid="{00000000-0005-0000-0000-00000E650000}"/>
    <cellStyle name="Normal 3 3 2 3 4 4 3" xfId="4978" xr:uid="{00000000-0005-0000-0000-00000F650000}"/>
    <cellStyle name="Normal 3 3 2 3 4 4 3 2" xfId="33903" xr:uid="{00000000-0005-0000-0000-000010650000}"/>
    <cellStyle name="Normal 3 3 2 3 4 4 3 3" xfId="33902" xr:uid="{00000000-0005-0000-0000-000011650000}"/>
    <cellStyle name="Normal 3 3 2 3 4 4 4" xfId="33904" xr:uid="{00000000-0005-0000-0000-000012650000}"/>
    <cellStyle name="Normal 3 3 2 3 4 4 4 2" xfId="33905" xr:uid="{00000000-0005-0000-0000-000013650000}"/>
    <cellStyle name="Normal 3 3 2 3 4 4 5" xfId="33906" xr:uid="{00000000-0005-0000-0000-000014650000}"/>
    <cellStyle name="Normal 3 3 2 3 4 4 6" xfId="33907" xr:uid="{00000000-0005-0000-0000-000015650000}"/>
    <cellStyle name="Normal 3 3 2 3 4 4 7" xfId="33899" xr:uid="{00000000-0005-0000-0000-000016650000}"/>
    <cellStyle name="Normal 3 3 2 3 4 5" xfId="4979" xr:uid="{00000000-0005-0000-0000-000017650000}"/>
    <cellStyle name="Normal 3 3 2 3 4 5 2" xfId="4980" xr:uid="{00000000-0005-0000-0000-000018650000}"/>
    <cellStyle name="Normal 3 3 2 3 4 5 2 2" xfId="33910" xr:uid="{00000000-0005-0000-0000-000019650000}"/>
    <cellStyle name="Normal 3 3 2 3 4 5 2 3" xfId="33909" xr:uid="{00000000-0005-0000-0000-00001A650000}"/>
    <cellStyle name="Normal 3 3 2 3 4 5 3" xfId="33911" xr:uid="{00000000-0005-0000-0000-00001B650000}"/>
    <cellStyle name="Normal 3 3 2 3 4 5 3 2" xfId="33912" xr:uid="{00000000-0005-0000-0000-00001C650000}"/>
    <cellStyle name="Normal 3 3 2 3 4 5 4" xfId="33913" xr:uid="{00000000-0005-0000-0000-00001D650000}"/>
    <cellStyle name="Normal 3 3 2 3 4 5 5" xfId="33914" xr:uid="{00000000-0005-0000-0000-00001E650000}"/>
    <cellStyle name="Normal 3 3 2 3 4 5 6" xfId="33908" xr:uid="{00000000-0005-0000-0000-00001F650000}"/>
    <cellStyle name="Normal 3 3 2 3 4 6" xfId="4981" xr:uid="{00000000-0005-0000-0000-000020650000}"/>
    <cellStyle name="Normal 3 3 2 3 4 6 2" xfId="4982" xr:uid="{00000000-0005-0000-0000-000021650000}"/>
    <cellStyle name="Normal 3 3 2 3 4 6 2 2" xfId="33916" xr:uid="{00000000-0005-0000-0000-000022650000}"/>
    <cellStyle name="Normal 3 3 2 3 4 6 3" xfId="33915" xr:uid="{00000000-0005-0000-0000-000023650000}"/>
    <cellStyle name="Normal 3 3 2 3 4 7" xfId="4983" xr:uid="{00000000-0005-0000-0000-000024650000}"/>
    <cellStyle name="Normal 3 3 2 3 4 7 2" xfId="33918" xr:uid="{00000000-0005-0000-0000-000025650000}"/>
    <cellStyle name="Normal 3 3 2 3 4 7 3" xfId="33917" xr:uid="{00000000-0005-0000-0000-000026650000}"/>
    <cellStyle name="Normal 3 3 2 3 4 8" xfId="33919" xr:uid="{00000000-0005-0000-0000-000027650000}"/>
    <cellStyle name="Normal 3 3 2 3 4 8 2" xfId="33920" xr:uid="{00000000-0005-0000-0000-000028650000}"/>
    <cellStyle name="Normal 3 3 2 3 4 9" xfId="33921" xr:uid="{00000000-0005-0000-0000-000029650000}"/>
    <cellStyle name="Normal 3 3 2 3 5" xfId="4984" xr:uid="{00000000-0005-0000-0000-00002A650000}"/>
    <cellStyle name="Normal 3 3 2 3 5 2" xfId="4985" xr:uid="{00000000-0005-0000-0000-00002B650000}"/>
    <cellStyle name="Normal 3 3 2 3 5 2 2" xfId="4986" xr:uid="{00000000-0005-0000-0000-00002C650000}"/>
    <cellStyle name="Normal 3 3 2 3 5 2 2 2" xfId="4987" xr:uid="{00000000-0005-0000-0000-00002D650000}"/>
    <cellStyle name="Normal 3 3 2 3 5 2 2 3" xfId="33924" xr:uid="{00000000-0005-0000-0000-00002E650000}"/>
    <cellStyle name="Normal 3 3 2 3 5 2 3" xfId="4988" xr:uid="{00000000-0005-0000-0000-00002F650000}"/>
    <cellStyle name="Normal 3 3 2 3 5 2 3 2" xfId="4989" xr:uid="{00000000-0005-0000-0000-000030650000}"/>
    <cellStyle name="Normal 3 3 2 3 5 2 4" xfId="4990" xr:uid="{00000000-0005-0000-0000-000031650000}"/>
    <cellStyle name="Normal 3 3 2 3 5 2 5" xfId="33923" xr:uid="{00000000-0005-0000-0000-000032650000}"/>
    <cellStyle name="Normal 3 3 2 3 5 3" xfId="4991" xr:uid="{00000000-0005-0000-0000-000033650000}"/>
    <cellStyle name="Normal 3 3 2 3 5 3 2" xfId="4992" xr:uid="{00000000-0005-0000-0000-000034650000}"/>
    <cellStyle name="Normal 3 3 2 3 5 3 2 2" xfId="33926" xr:uid="{00000000-0005-0000-0000-000035650000}"/>
    <cellStyle name="Normal 3 3 2 3 5 3 3" xfId="4993" xr:uid="{00000000-0005-0000-0000-000036650000}"/>
    <cellStyle name="Normal 3 3 2 3 5 3 4" xfId="33925" xr:uid="{00000000-0005-0000-0000-000037650000}"/>
    <cellStyle name="Normal 3 3 2 3 5 4" xfId="4994" xr:uid="{00000000-0005-0000-0000-000038650000}"/>
    <cellStyle name="Normal 3 3 2 3 5 4 2" xfId="4995" xr:uid="{00000000-0005-0000-0000-000039650000}"/>
    <cellStyle name="Normal 3 3 2 3 5 4 2 2" xfId="33928" xr:uid="{00000000-0005-0000-0000-00003A650000}"/>
    <cellStyle name="Normal 3 3 2 3 5 4 3" xfId="33927" xr:uid="{00000000-0005-0000-0000-00003B650000}"/>
    <cellStyle name="Normal 3 3 2 3 5 5" xfId="4996" xr:uid="{00000000-0005-0000-0000-00003C650000}"/>
    <cellStyle name="Normal 3 3 2 3 5 5 2" xfId="4997" xr:uid="{00000000-0005-0000-0000-00003D650000}"/>
    <cellStyle name="Normal 3 3 2 3 5 5 3" xfId="33929" xr:uid="{00000000-0005-0000-0000-00003E650000}"/>
    <cellStyle name="Normal 3 3 2 3 5 6" xfId="4998" xr:uid="{00000000-0005-0000-0000-00003F650000}"/>
    <cellStyle name="Normal 3 3 2 3 5 6 2" xfId="33930" xr:uid="{00000000-0005-0000-0000-000040650000}"/>
    <cellStyle name="Normal 3 3 2 3 5 7" xfId="33922" xr:uid="{00000000-0005-0000-0000-000041650000}"/>
    <cellStyle name="Normal 3 3 2 3 6" xfId="4999" xr:uid="{00000000-0005-0000-0000-000042650000}"/>
    <cellStyle name="Normal 3 3 2 3 6 2" xfId="5000" xr:uid="{00000000-0005-0000-0000-000043650000}"/>
    <cellStyle name="Normal 3 3 2 3 6 2 2" xfId="5001" xr:uid="{00000000-0005-0000-0000-000044650000}"/>
    <cellStyle name="Normal 3 3 2 3 6 2 2 2" xfId="33933" xr:uid="{00000000-0005-0000-0000-000045650000}"/>
    <cellStyle name="Normal 3 3 2 3 6 2 3" xfId="33932" xr:uid="{00000000-0005-0000-0000-000046650000}"/>
    <cellStyle name="Normal 3 3 2 3 6 3" xfId="5002" xr:uid="{00000000-0005-0000-0000-000047650000}"/>
    <cellStyle name="Normal 3 3 2 3 6 3 2" xfId="5003" xr:uid="{00000000-0005-0000-0000-000048650000}"/>
    <cellStyle name="Normal 3 3 2 3 6 3 2 2" xfId="33935" xr:uid="{00000000-0005-0000-0000-000049650000}"/>
    <cellStyle name="Normal 3 3 2 3 6 3 3" xfId="33934" xr:uid="{00000000-0005-0000-0000-00004A650000}"/>
    <cellStyle name="Normal 3 3 2 3 6 4" xfId="5004" xr:uid="{00000000-0005-0000-0000-00004B650000}"/>
    <cellStyle name="Normal 3 3 2 3 6 4 2" xfId="33937" xr:uid="{00000000-0005-0000-0000-00004C650000}"/>
    <cellStyle name="Normal 3 3 2 3 6 4 3" xfId="33936" xr:uid="{00000000-0005-0000-0000-00004D650000}"/>
    <cellStyle name="Normal 3 3 2 3 6 5" xfId="33938" xr:uid="{00000000-0005-0000-0000-00004E650000}"/>
    <cellStyle name="Normal 3 3 2 3 6 6" xfId="33939" xr:uid="{00000000-0005-0000-0000-00004F650000}"/>
    <cellStyle name="Normal 3 3 2 3 6 7" xfId="33931" xr:uid="{00000000-0005-0000-0000-000050650000}"/>
    <cellStyle name="Normal 3 3 2 3 7" xfId="5005" xr:uid="{00000000-0005-0000-0000-000051650000}"/>
    <cellStyle name="Normal 3 3 2 3 7 2" xfId="5006" xr:uid="{00000000-0005-0000-0000-000052650000}"/>
    <cellStyle name="Normal 3 3 2 3 7 2 2" xfId="5007" xr:uid="{00000000-0005-0000-0000-000053650000}"/>
    <cellStyle name="Normal 3 3 2 3 7 2 2 2" xfId="33942" xr:uid="{00000000-0005-0000-0000-000054650000}"/>
    <cellStyle name="Normal 3 3 2 3 7 2 3" xfId="33941" xr:uid="{00000000-0005-0000-0000-000055650000}"/>
    <cellStyle name="Normal 3 3 2 3 7 3" xfId="5008" xr:uid="{00000000-0005-0000-0000-000056650000}"/>
    <cellStyle name="Normal 3 3 2 3 7 3 2" xfId="5009" xr:uid="{00000000-0005-0000-0000-000057650000}"/>
    <cellStyle name="Normal 3 3 2 3 7 3 2 2" xfId="33944" xr:uid="{00000000-0005-0000-0000-000058650000}"/>
    <cellStyle name="Normal 3 3 2 3 7 3 3" xfId="33943" xr:uid="{00000000-0005-0000-0000-000059650000}"/>
    <cellStyle name="Normal 3 3 2 3 7 4" xfId="5010" xr:uid="{00000000-0005-0000-0000-00005A650000}"/>
    <cellStyle name="Normal 3 3 2 3 7 4 2" xfId="33946" xr:uid="{00000000-0005-0000-0000-00005B650000}"/>
    <cellStyle name="Normal 3 3 2 3 7 4 3" xfId="33945" xr:uid="{00000000-0005-0000-0000-00005C650000}"/>
    <cellStyle name="Normal 3 3 2 3 7 5" xfId="33947" xr:uid="{00000000-0005-0000-0000-00005D650000}"/>
    <cellStyle name="Normal 3 3 2 3 7 6" xfId="33948" xr:uid="{00000000-0005-0000-0000-00005E650000}"/>
    <cellStyle name="Normal 3 3 2 3 7 7" xfId="33940" xr:uid="{00000000-0005-0000-0000-00005F650000}"/>
    <cellStyle name="Normal 3 3 2 3 8" xfId="5011" xr:uid="{00000000-0005-0000-0000-000060650000}"/>
    <cellStyle name="Normal 3 3 2 3 8 2" xfId="5012" xr:uid="{00000000-0005-0000-0000-000061650000}"/>
    <cellStyle name="Normal 3 3 2 3 8 2 2" xfId="33951" xr:uid="{00000000-0005-0000-0000-000062650000}"/>
    <cellStyle name="Normal 3 3 2 3 8 2 3" xfId="33950" xr:uid="{00000000-0005-0000-0000-000063650000}"/>
    <cellStyle name="Normal 3 3 2 3 8 3" xfId="5013" xr:uid="{00000000-0005-0000-0000-000064650000}"/>
    <cellStyle name="Normal 3 3 2 3 8 3 2" xfId="33953" xr:uid="{00000000-0005-0000-0000-000065650000}"/>
    <cellStyle name="Normal 3 3 2 3 8 3 3" xfId="33952" xr:uid="{00000000-0005-0000-0000-000066650000}"/>
    <cellStyle name="Normal 3 3 2 3 8 4" xfId="33954" xr:uid="{00000000-0005-0000-0000-000067650000}"/>
    <cellStyle name="Normal 3 3 2 3 8 5" xfId="33955" xr:uid="{00000000-0005-0000-0000-000068650000}"/>
    <cellStyle name="Normal 3 3 2 3 8 6" xfId="33949" xr:uid="{00000000-0005-0000-0000-000069650000}"/>
    <cellStyle name="Normal 3 3 2 3 9" xfId="5014" xr:uid="{00000000-0005-0000-0000-00006A650000}"/>
    <cellStyle name="Normal 3 3 2 3 9 2" xfId="5015" xr:uid="{00000000-0005-0000-0000-00006B650000}"/>
    <cellStyle name="Normal 3 3 2 3 9 2 2" xfId="33957" xr:uid="{00000000-0005-0000-0000-00006C650000}"/>
    <cellStyle name="Normal 3 3 2 3 9 3" xfId="33956" xr:uid="{00000000-0005-0000-0000-00006D650000}"/>
    <cellStyle name="Normal 3 3 2 4" xfId="5016" xr:uid="{00000000-0005-0000-0000-00006E650000}"/>
    <cellStyle name="Normal 3 3 2 4 10" xfId="5017" xr:uid="{00000000-0005-0000-0000-00006F650000}"/>
    <cellStyle name="Normal 3 3 2 4 10 2" xfId="33960" xr:uid="{00000000-0005-0000-0000-000070650000}"/>
    <cellStyle name="Normal 3 3 2 4 10 3" xfId="33959" xr:uid="{00000000-0005-0000-0000-000071650000}"/>
    <cellStyle name="Normal 3 3 2 4 11" xfId="33961" xr:uid="{00000000-0005-0000-0000-000072650000}"/>
    <cellStyle name="Normal 3 3 2 4 11 2" xfId="33962" xr:uid="{00000000-0005-0000-0000-000073650000}"/>
    <cellStyle name="Normal 3 3 2 4 12" xfId="33963" xr:uid="{00000000-0005-0000-0000-000074650000}"/>
    <cellStyle name="Normal 3 3 2 4 13" xfId="33964" xr:uid="{00000000-0005-0000-0000-000075650000}"/>
    <cellStyle name="Normal 3 3 2 4 14" xfId="33958" xr:uid="{00000000-0005-0000-0000-000076650000}"/>
    <cellStyle name="Normal 3 3 2 4 2" xfId="5018" xr:uid="{00000000-0005-0000-0000-000077650000}"/>
    <cellStyle name="Normal 3 3 2 4 2 10" xfId="33966" xr:uid="{00000000-0005-0000-0000-000078650000}"/>
    <cellStyle name="Normal 3 3 2 4 2 11" xfId="33967" xr:uid="{00000000-0005-0000-0000-000079650000}"/>
    <cellStyle name="Normal 3 3 2 4 2 12" xfId="33965" xr:uid="{00000000-0005-0000-0000-00007A650000}"/>
    <cellStyle name="Normal 3 3 2 4 2 2" xfId="5019" xr:uid="{00000000-0005-0000-0000-00007B650000}"/>
    <cellStyle name="Normal 3 3 2 4 2 2 2" xfId="5020" xr:uid="{00000000-0005-0000-0000-00007C650000}"/>
    <cellStyle name="Normal 3 3 2 4 2 2 2 2" xfId="5021" xr:uid="{00000000-0005-0000-0000-00007D650000}"/>
    <cellStyle name="Normal 3 3 2 4 2 2 2 2 2" xfId="33970" xr:uid="{00000000-0005-0000-0000-00007E650000}"/>
    <cellStyle name="Normal 3 3 2 4 2 2 2 3" xfId="5022" xr:uid="{00000000-0005-0000-0000-00007F650000}"/>
    <cellStyle name="Normal 3 3 2 4 2 2 2 4" xfId="33969" xr:uid="{00000000-0005-0000-0000-000080650000}"/>
    <cellStyle name="Normal 3 3 2 4 2 2 3" xfId="5023" xr:uid="{00000000-0005-0000-0000-000081650000}"/>
    <cellStyle name="Normal 3 3 2 4 2 2 3 2" xfId="5024" xr:uid="{00000000-0005-0000-0000-000082650000}"/>
    <cellStyle name="Normal 3 3 2 4 2 2 3 2 2" xfId="33972" xr:uid="{00000000-0005-0000-0000-000083650000}"/>
    <cellStyle name="Normal 3 3 2 4 2 2 3 3" xfId="33971" xr:uid="{00000000-0005-0000-0000-000084650000}"/>
    <cellStyle name="Normal 3 3 2 4 2 2 4" xfId="5025" xr:uid="{00000000-0005-0000-0000-000085650000}"/>
    <cellStyle name="Normal 3 3 2 4 2 2 4 2" xfId="5026" xr:uid="{00000000-0005-0000-0000-000086650000}"/>
    <cellStyle name="Normal 3 3 2 4 2 2 4 2 2" xfId="33974" xr:uid="{00000000-0005-0000-0000-000087650000}"/>
    <cellStyle name="Normal 3 3 2 4 2 2 4 3" xfId="33973" xr:uid="{00000000-0005-0000-0000-000088650000}"/>
    <cellStyle name="Normal 3 3 2 4 2 2 5" xfId="5027" xr:uid="{00000000-0005-0000-0000-000089650000}"/>
    <cellStyle name="Normal 3 3 2 4 2 2 5 2" xfId="33975" xr:uid="{00000000-0005-0000-0000-00008A650000}"/>
    <cellStyle name="Normal 3 3 2 4 2 2 6" xfId="33976" xr:uid="{00000000-0005-0000-0000-00008B650000}"/>
    <cellStyle name="Normal 3 3 2 4 2 2 7" xfId="33968" xr:uid="{00000000-0005-0000-0000-00008C650000}"/>
    <cellStyle name="Normal 3 3 2 4 2 3" xfId="5028" xr:uid="{00000000-0005-0000-0000-00008D650000}"/>
    <cellStyle name="Normal 3 3 2 4 2 3 2" xfId="5029" xr:uid="{00000000-0005-0000-0000-00008E650000}"/>
    <cellStyle name="Normal 3 3 2 4 2 3 2 2" xfId="5030" xr:uid="{00000000-0005-0000-0000-00008F650000}"/>
    <cellStyle name="Normal 3 3 2 4 2 3 2 2 2" xfId="33979" xr:uid="{00000000-0005-0000-0000-000090650000}"/>
    <cellStyle name="Normal 3 3 2 4 2 3 2 3" xfId="33978" xr:uid="{00000000-0005-0000-0000-000091650000}"/>
    <cellStyle name="Normal 3 3 2 4 2 3 3" xfId="5031" xr:uid="{00000000-0005-0000-0000-000092650000}"/>
    <cellStyle name="Normal 3 3 2 4 2 3 3 2" xfId="5032" xr:uid="{00000000-0005-0000-0000-000093650000}"/>
    <cellStyle name="Normal 3 3 2 4 2 3 3 2 2" xfId="33981" xr:uid="{00000000-0005-0000-0000-000094650000}"/>
    <cellStyle name="Normal 3 3 2 4 2 3 3 3" xfId="33980" xr:uid="{00000000-0005-0000-0000-000095650000}"/>
    <cellStyle name="Normal 3 3 2 4 2 3 4" xfId="5033" xr:uid="{00000000-0005-0000-0000-000096650000}"/>
    <cellStyle name="Normal 3 3 2 4 2 3 4 2" xfId="33983" xr:uid="{00000000-0005-0000-0000-000097650000}"/>
    <cellStyle name="Normal 3 3 2 4 2 3 4 3" xfId="33982" xr:uid="{00000000-0005-0000-0000-000098650000}"/>
    <cellStyle name="Normal 3 3 2 4 2 3 5" xfId="33984" xr:uid="{00000000-0005-0000-0000-000099650000}"/>
    <cellStyle name="Normal 3 3 2 4 2 3 6" xfId="33985" xr:uid="{00000000-0005-0000-0000-00009A650000}"/>
    <cellStyle name="Normal 3 3 2 4 2 3 7" xfId="33977" xr:uid="{00000000-0005-0000-0000-00009B650000}"/>
    <cellStyle name="Normal 3 3 2 4 2 4" xfId="5034" xr:uid="{00000000-0005-0000-0000-00009C650000}"/>
    <cellStyle name="Normal 3 3 2 4 2 4 2" xfId="5035" xr:uid="{00000000-0005-0000-0000-00009D650000}"/>
    <cellStyle name="Normal 3 3 2 4 2 4 2 2" xfId="33988" xr:uid="{00000000-0005-0000-0000-00009E650000}"/>
    <cellStyle name="Normal 3 3 2 4 2 4 2 3" xfId="33987" xr:uid="{00000000-0005-0000-0000-00009F650000}"/>
    <cellStyle name="Normal 3 3 2 4 2 4 3" xfId="5036" xr:uid="{00000000-0005-0000-0000-0000A0650000}"/>
    <cellStyle name="Normal 3 3 2 4 2 4 3 2" xfId="33990" xr:uid="{00000000-0005-0000-0000-0000A1650000}"/>
    <cellStyle name="Normal 3 3 2 4 2 4 3 3" xfId="33989" xr:uid="{00000000-0005-0000-0000-0000A2650000}"/>
    <cellStyle name="Normal 3 3 2 4 2 4 4" xfId="33991" xr:uid="{00000000-0005-0000-0000-0000A3650000}"/>
    <cellStyle name="Normal 3 3 2 4 2 4 4 2" xfId="33992" xr:uid="{00000000-0005-0000-0000-0000A4650000}"/>
    <cellStyle name="Normal 3 3 2 4 2 4 5" xfId="33993" xr:uid="{00000000-0005-0000-0000-0000A5650000}"/>
    <cellStyle name="Normal 3 3 2 4 2 4 6" xfId="33994" xr:uid="{00000000-0005-0000-0000-0000A6650000}"/>
    <cellStyle name="Normal 3 3 2 4 2 4 7" xfId="33986" xr:uid="{00000000-0005-0000-0000-0000A7650000}"/>
    <cellStyle name="Normal 3 3 2 4 2 5" xfId="5037" xr:uid="{00000000-0005-0000-0000-0000A8650000}"/>
    <cellStyle name="Normal 3 3 2 4 2 5 2" xfId="5038" xr:uid="{00000000-0005-0000-0000-0000A9650000}"/>
    <cellStyle name="Normal 3 3 2 4 2 5 2 2" xfId="33997" xr:uid="{00000000-0005-0000-0000-0000AA650000}"/>
    <cellStyle name="Normal 3 3 2 4 2 5 2 3" xfId="33996" xr:uid="{00000000-0005-0000-0000-0000AB650000}"/>
    <cellStyle name="Normal 3 3 2 4 2 5 3" xfId="33998" xr:uid="{00000000-0005-0000-0000-0000AC650000}"/>
    <cellStyle name="Normal 3 3 2 4 2 5 3 2" xfId="33999" xr:uid="{00000000-0005-0000-0000-0000AD650000}"/>
    <cellStyle name="Normal 3 3 2 4 2 5 4" xfId="34000" xr:uid="{00000000-0005-0000-0000-0000AE650000}"/>
    <cellStyle name="Normal 3 3 2 4 2 5 4 2" xfId="34001" xr:uid="{00000000-0005-0000-0000-0000AF650000}"/>
    <cellStyle name="Normal 3 3 2 4 2 5 5" xfId="34002" xr:uid="{00000000-0005-0000-0000-0000B0650000}"/>
    <cellStyle name="Normal 3 3 2 4 2 5 6" xfId="34003" xr:uid="{00000000-0005-0000-0000-0000B1650000}"/>
    <cellStyle name="Normal 3 3 2 4 2 5 7" xfId="33995" xr:uid="{00000000-0005-0000-0000-0000B2650000}"/>
    <cellStyle name="Normal 3 3 2 4 2 6" xfId="5039" xr:uid="{00000000-0005-0000-0000-0000B3650000}"/>
    <cellStyle name="Normal 3 3 2 4 2 6 2" xfId="5040" xr:uid="{00000000-0005-0000-0000-0000B4650000}"/>
    <cellStyle name="Normal 3 3 2 4 2 6 2 2" xfId="34006" xr:uid="{00000000-0005-0000-0000-0000B5650000}"/>
    <cellStyle name="Normal 3 3 2 4 2 6 2 3" xfId="34005" xr:uid="{00000000-0005-0000-0000-0000B6650000}"/>
    <cellStyle name="Normal 3 3 2 4 2 6 3" xfId="34007" xr:uid="{00000000-0005-0000-0000-0000B7650000}"/>
    <cellStyle name="Normal 3 3 2 4 2 6 3 2" xfId="34008" xr:uid="{00000000-0005-0000-0000-0000B8650000}"/>
    <cellStyle name="Normal 3 3 2 4 2 6 4" xfId="34009" xr:uid="{00000000-0005-0000-0000-0000B9650000}"/>
    <cellStyle name="Normal 3 3 2 4 2 6 5" xfId="34010" xr:uid="{00000000-0005-0000-0000-0000BA650000}"/>
    <cellStyle name="Normal 3 3 2 4 2 6 6" xfId="34004" xr:uid="{00000000-0005-0000-0000-0000BB650000}"/>
    <cellStyle name="Normal 3 3 2 4 2 7" xfId="5041" xr:uid="{00000000-0005-0000-0000-0000BC650000}"/>
    <cellStyle name="Normal 3 3 2 4 2 7 2" xfId="34012" xr:uid="{00000000-0005-0000-0000-0000BD650000}"/>
    <cellStyle name="Normal 3 3 2 4 2 7 3" xfId="34011" xr:uid="{00000000-0005-0000-0000-0000BE650000}"/>
    <cellStyle name="Normal 3 3 2 4 2 8" xfId="34013" xr:uid="{00000000-0005-0000-0000-0000BF650000}"/>
    <cellStyle name="Normal 3 3 2 4 2 8 2" xfId="34014" xr:uid="{00000000-0005-0000-0000-0000C0650000}"/>
    <cellStyle name="Normal 3 3 2 4 2 9" xfId="34015" xr:uid="{00000000-0005-0000-0000-0000C1650000}"/>
    <cellStyle name="Normal 3 3 2 4 2 9 2" xfId="34016" xr:uid="{00000000-0005-0000-0000-0000C2650000}"/>
    <cellStyle name="Normal 3 3 2 4 3" xfId="5042" xr:uid="{00000000-0005-0000-0000-0000C3650000}"/>
    <cellStyle name="Normal 3 3 2 4 3 10" xfId="34018" xr:uid="{00000000-0005-0000-0000-0000C4650000}"/>
    <cellStyle name="Normal 3 3 2 4 3 11" xfId="34017" xr:uid="{00000000-0005-0000-0000-0000C5650000}"/>
    <cellStyle name="Normal 3 3 2 4 3 2" xfId="5043" xr:uid="{00000000-0005-0000-0000-0000C6650000}"/>
    <cellStyle name="Normal 3 3 2 4 3 2 2" xfId="5044" xr:uid="{00000000-0005-0000-0000-0000C7650000}"/>
    <cellStyle name="Normal 3 3 2 4 3 2 2 2" xfId="5045" xr:uid="{00000000-0005-0000-0000-0000C8650000}"/>
    <cellStyle name="Normal 3 3 2 4 3 2 2 2 2" xfId="34021" xr:uid="{00000000-0005-0000-0000-0000C9650000}"/>
    <cellStyle name="Normal 3 3 2 4 3 2 2 3" xfId="5046" xr:uid="{00000000-0005-0000-0000-0000CA650000}"/>
    <cellStyle name="Normal 3 3 2 4 3 2 2 4" xfId="34020" xr:uid="{00000000-0005-0000-0000-0000CB650000}"/>
    <cellStyle name="Normal 3 3 2 4 3 2 3" xfId="5047" xr:uid="{00000000-0005-0000-0000-0000CC650000}"/>
    <cellStyle name="Normal 3 3 2 4 3 2 3 2" xfId="5048" xr:uid="{00000000-0005-0000-0000-0000CD650000}"/>
    <cellStyle name="Normal 3 3 2 4 3 2 3 2 2" xfId="34023" xr:uid="{00000000-0005-0000-0000-0000CE650000}"/>
    <cellStyle name="Normal 3 3 2 4 3 2 3 3" xfId="34022" xr:uid="{00000000-0005-0000-0000-0000CF650000}"/>
    <cellStyle name="Normal 3 3 2 4 3 2 4" xfId="5049" xr:uid="{00000000-0005-0000-0000-0000D0650000}"/>
    <cellStyle name="Normal 3 3 2 4 3 2 4 2" xfId="5050" xr:uid="{00000000-0005-0000-0000-0000D1650000}"/>
    <cellStyle name="Normal 3 3 2 4 3 2 4 2 2" xfId="34025" xr:uid="{00000000-0005-0000-0000-0000D2650000}"/>
    <cellStyle name="Normal 3 3 2 4 3 2 4 3" xfId="34024" xr:uid="{00000000-0005-0000-0000-0000D3650000}"/>
    <cellStyle name="Normal 3 3 2 4 3 2 5" xfId="5051" xr:uid="{00000000-0005-0000-0000-0000D4650000}"/>
    <cellStyle name="Normal 3 3 2 4 3 2 5 2" xfId="34026" xr:uid="{00000000-0005-0000-0000-0000D5650000}"/>
    <cellStyle name="Normal 3 3 2 4 3 2 6" xfId="34027" xr:uid="{00000000-0005-0000-0000-0000D6650000}"/>
    <cellStyle name="Normal 3 3 2 4 3 2 7" xfId="34019" xr:uid="{00000000-0005-0000-0000-0000D7650000}"/>
    <cellStyle name="Normal 3 3 2 4 3 3" xfId="5052" xr:uid="{00000000-0005-0000-0000-0000D8650000}"/>
    <cellStyle name="Normal 3 3 2 4 3 3 2" xfId="5053" xr:uid="{00000000-0005-0000-0000-0000D9650000}"/>
    <cellStyle name="Normal 3 3 2 4 3 3 2 2" xfId="5054" xr:uid="{00000000-0005-0000-0000-0000DA650000}"/>
    <cellStyle name="Normal 3 3 2 4 3 3 2 2 2" xfId="34030" xr:uid="{00000000-0005-0000-0000-0000DB650000}"/>
    <cellStyle name="Normal 3 3 2 4 3 3 2 3" xfId="34029" xr:uid="{00000000-0005-0000-0000-0000DC650000}"/>
    <cellStyle name="Normal 3 3 2 4 3 3 3" xfId="5055" xr:uid="{00000000-0005-0000-0000-0000DD650000}"/>
    <cellStyle name="Normal 3 3 2 4 3 3 3 2" xfId="5056" xr:uid="{00000000-0005-0000-0000-0000DE650000}"/>
    <cellStyle name="Normal 3 3 2 4 3 3 3 2 2" xfId="34032" xr:uid="{00000000-0005-0000-0000-0000DF650000}"/>
    <cellStyle name="Normal 3 3 2 4 3 3 3 3" xfId="34031" xr:uid="{00000000-0005-0000-0000-0000E0650000}"/>
    <cellStyle name="Normal 3 3 2 4 3 3 4" xfId="5057" xr:uid="{00000000-0005-0000-0000-0000E1650000}"/>
    <cellStyle name="Normal 3 3 2 4 3 3 4 2" xfId="34034" xr:uid="{00000000-0005-0000-0000-0000E2650000}"/>
    <cellStyle name="Normal 3 3 2 4 3 3 4 3" xfId="34033" xr:uid="{00000000-0005-0000-0000-0000E3650000}"/>
    <cellStyle name="Normal 3 3 2 4 3 3 5" xfId="34035" xr:uid="{00000000-0005-0000-0000-0000E4650000}"/>
    <cellStyle name="Normal 3 3 2 4 3 3 6" xfId="34036" xr:uid="{00000000-0005-0000-0000-0000E5650000}"/>
    <cellStyle name="Normal 3 3 2 4 3 3 7" xfId="34028" xr:uid="{00000000-0005-0000-0000-0000E6650000}"/>
    <cellStyle name="Normal 3 3 2 4 3 4" xfId="5058" xr:uid="{00000000-0005-0000-0000-0000E7650000}"/>
    <cellStyle name="Normal 3 3 2 4 3 4 2" xfId="5059" xr:uid="{00000000-0005-0000-0000-0000E8650000}"/>
    <cellStyle name="Normal 3 3 2 4 3 4 2 2" xfId="34039" xr:uid="{00000000-0005-0000-0000-0000E9650000}"/>
    <cellStyle name="Normal 3 3 2 4 3 4 2 3" xfId="34038" xr:uid="{00000000-0005-0000-0000-0000EA650000}"/>
    <cellStyle name="Normal 3 3 2 4 3 4 3" xfId="5060" xr:uid="{00000000-0005-0000-0000-0000EB650000}"/>
    <cellStyle name="Normal 3 3 2 4 3 4 3 2" xfId="34041" xr:uid="{00000000-0005-0000-0000-0000EC650000}"/>
    <cellStyle name="Normal 3 3 2 4 3 4 3 3" xfId="34040" xr:uid="{00000000-0005-0000-0000-0000ED650000}"/>
    <cellStyle name="Normal 3 3 2 4 3 4 4" xfId="34042" xr:uid="{00000000-0005-0000-0000-0000EE650000}"/>
    <cellStyle name="Normal 3 3 2 4 3 4 4 2" xfId="34043" xr:uid="{00000000-0005-0000-0000-0000EF650000}"/>
    <cellStyle name="Normal 3 3 2 4 3 4 5" xfId="34044" xr:uid="{00000000-0005-0000-0000-0000F0650000}"/>
    <cellStyle name="Normal 3 3 2 4 3 4 6" xfId="34045" xr:uid="{00000000-0005-0000-0000-0000F1650000}"/>
    <cellStyle name="Normal 3 3 2 4 3 4 7" xfId="34037" xr:uid="{00000000-0005-0000-0000-0000F2650000}"/>
    <cellStyle name="Normal 3 3 2 4 3 5" xfId="5061" xr:uid="{00000000-0005-0000-0000-0000F3650000}"/>
    <cellStyle name="Normal 3 3 2 4 3 5 2" xfId="5062" xr:uid="{00000000-0005-0000-0000-0000F4650000}"/>
    <cellStyle name="Normal 3 3 2 4 3 5 2 2" xfId="34048" xr:uid="{00000000-0005-0000-0000-0000F5650000}"/>
    <cellStyle name="Normal 3 3 2 4 3 5 2 3" xfId="34047" xr:uid="{00000000-0005-0000-0000-0000F6650000}"/>
    <cellStyle name="Normal 3 3 2 4 3 5 3" xfId="34049" xr:uid="{00000000-0005-0000-0000-0000F7650000}"/>
    <cellStyle name="Normal 3 3 2 4 3 5 3 2" xfId="34050" xr:uid="{00000000-0005-0000-0000-0000F8650000}"/>
    <cellStyle name="Normal 3 3 2 4 3 5 4" xfId="34051" xr:uid="{00000000-0005-0000-0000-0000F9650000}"/>
    <cellStyle name="Normal 3 3 2 4 3 5 5" xfId="34052" xr:uid="{00000000-0005-0000-0000-0000FA650000}"/>
    <cellStyle name="Normal 3 3 2 4 3 5 6" xfId="34046" xr:uid="{00000000-0005-0000-0000-0000FB650000}"/>
    <cellStyle name="Normal 3 3 2 4 3 6" xfId="5063" xr:uid="{00000000-0005-0000-0000-0000FC650000}"/>
    <cellStyle name="Normal 3 3 2 4 3 6 2" xfId="5064" xr:uid="{00000000-0005-0000-0000-0000FD650000}"/>
    <cellStyle name="Normal 3 3 2 4 3 6 2 2" xfId="34054" xr:uid="{00000000-0005-0000-0000-0000FE650000}"/>
    <cellStyle name="Normal 3 3 2 4 3 6 3" xfId="34053" xr:uid="{00000000-0005-0000-0000-0000FF650000}"/>
    <cellStyle name="Normal 3 3 2 4 3 7" xfId="5065" xr:uid="{00000000-0005-0000-0000-000000660000}"/>
    <cellStyle name="Normal 3 3 2 4 3 7 2" xfId="34056" xr:uid="{00000000-0005-0000-0000-000001660000}"/>
    <cellStyle name="Normal 3 3 2 4 3 7 3" xfId="34055" xr:uid="{00000000-0005-0000-0000-000002660000}"/>
    <cellStyle name="Normal 3 3 2 4 3 8" xfId="34057" xr:uid="{00000000-0005-0000-0000-000003660000}"/>
    <cellStyle name="Normal 3 3 2 4 3 8 2" xfId="34058" xr:uid="{00000000-0005-0000-0000-000004660000}"/>
    <cellStyle name="Normal 3 3 2 4 3 9" xfId="34059" xr:uid="{00000000-0005-0000-0000-000005660000}"/>
    <cellStyle name="Normal 3 3 2 4 4" xfId="5066" xr:uid="{00000000-0005-0000-0000-000006660000}"/>
    <cellStyle name="Normal 3 3 2 4 4 10" xfId="34061" xr:uid="{00000000-0005-0000-0000-000007660000}"/>
    <cellStyle name="Normal 3 3 2 4 4 11" xfId="34060" xr:uid="{00000000-0005-0000-0000-000008660000}"/>
    <cellStyle name="Normal 3 3 2 4 4 2" xfId="5067" xr:uid="{00000000-0005-0000-0000-000009660000}"/>
    <cellStyle name="Normal 3 3 2 4 4 2 2" xfId="5068" xr:uid="{00000000-0005-0000-0000-00000A660000}"/>
    <cellStyle name="Normal 3 3 2 4 4 2 2 2" xfId="5069" xr:uid="{00000000-0005-0000-0000-00000B660000}"/>
    <cellStyle name="Normal 3 3 2 4 4 2 2 2 2" xfId="34064" xr:uid="{00000000-0005-0000-0000-00000C660000}"/>
    <cellStyle name="Normal 3 3 2 4 4 2 2 3" xfId="34063" xr:uid="{00000000-0005-0000-0000-00000D660000}"/>
    <cellStyle name="Normal 3 3 2 4 4 2 3" xfId="5070" xr:uid="{00000000-0005-0000-0000-00000E660000}"/>
    <cellStyle name="Normal 3 3 2 4 4 2 3 2" xfId="5071" xr:uid="{00000000-0005-0000-0000-00000F660000}"/>
    <cellStyle name="Normal 3 3 2 4 4 2 3 2 2" xfId="34066" xr:uid="{00000000-0005-0000-0000-000010660000}"/>
    <cellStyle name="Normal 3 3 2 4 4 2 3 3" xfId="34065" xr:uid="{00000000-0005-0000-0000-000011660000}"/>
    <cellStyle name="Normal 3 3 2 4 4 2 4" xfId="5072" xr:uid="{00000000-0005-0000-0000-000012660000}"/>
    <cellStyle name="Normal 3 3 2 4 4 2 4 2" xfId="34068" xr:uid="{00000000-0005-0000-0000-000013660000}"/>
    <cellStyle name="Normal 3 3 2 4 4 2 4 3" xfId="34067" xr:uid="{00000000-0005-0000-0000-000014660000}"/>
    <cellStyle name="Normal 3 3 2 4 4 2 5" xfId="34069" xr:uid="{00000000-0005-0000-0000-000015660000}"/>
    <cellStyle name="Normal 3 3 2 4 4 2 6" xfId="34070" xr:uid="{00000000-0005-0000-0000-000016660000}"/>
    <cellStyle name="Normal 3 3 2 4 4 2 7" xfId="34062" xr:uid="{00000000-0005-0000-0000-000017660000}"/>
    <cellStyle name="Normal 3 3 2 4 4 3" xfId="5073" xr:uid="{00000000-0005-0000-0000-000018660000}"/>
    <cellStyle name="Normal 3 3 2 4 4 3 2" xfId="5074" xr:uid="{00000000-0005-0000-0000-000019660000}"/>
    <cellStyle name="Normal 3 3 2 4 4 3 2 2" xfId="34073" xr:uid="{00000000-0005-0000-0000-00001A660000}"/>
    <cellStyle name="Normal 3 3 2 4 4 3 2 3" xfId="34072" xr:uid="{00000000-0005-0000-0000-00001B660000}"/>
    <cellStyle name="Normal 3 3 2 4 4 3 3" xfId="5075" xr:uid="{00000000-0005-0000-0000-00001C660000}"/>
    <cellStyle name="Normal 3 3 2 4 4 3 3 2" xfId="34075" xr:uid="{00000000-0005-0000-0000-00001D660000}"/>
    <cellStyle name="Normal 3 3 2 4 4 3 3 3" xfId="34074" xr:uid="{00000000-0005-0000-0000-00001E660000}"/>
    <cellStyle name="Normal 3 3 2 4 4 3 4" xfId="34076" xr:uid="{00000000-0005-0000-0000-00001F660000}"/>
    <cellStyle name="Normal 3 3 2 4 4 3 4 2" xfId="34077" xr:uid="{00000000-0005-0000-0000-000020660000}"/>
    <cellStyle name="Normal 3 3 2 4 4 3 5" xfId="34078" xr:uid="{00000000-0005-0000-0000-000021660000}"/>
    <cellStyle name="Normal 3 3 2 4 4 3 6" xfId="34079" xr:uid="{00000000-0005-0000-0000-000022660000}"/>
    <cellStyle name="Normal 3 3 2 4 4 3 7" xfId="34071" xr:uid="{00000000-0005-0000-0000-000023660000}"/>
    <cellStyle name="Normal 3 3 2 4 4 4" xfId="5076" xr:uid="{00000000-0005-0000-0000-000024660000}"/>
    <cellStyle name="Normal 3 3 2 4 4 4 2" xfId="5077" xr:uid="{00000000-0005-0000-0000-000025660000}"/>
    <cellStyle name="Normal 3 3 2 4 4 4 2 2" xfId="34082" xr:uid="{00000000-0005-0000-0000-000026660000}"/>
    <cellStyle name="Normal 3 3 2 4 4 4 2 3" xfId="34081" xr:uid="{00000000-0005-0000-0000-000027660000}"/>
    <cellStyle name="Normal 3 3 2 4 4 4 3" xfId="34083" xr:uid="{00000000-0005-0000-0000-000028660000}"/>
    <cellStyle name="Normal 3 3 2 4 4 4 3 2" xfId="34084" xr:uid="{00000000-0005-0000-0000-000029660000}"/>
    <cellStyle name="Normal 3 3 2 4 4 4 4" xfId="34085" xr:uid="{00000000-0005-0000-0000-00002A660000}"/>
    <cellStyle name="Normal 3 3 2 4 4 4 4 2" xfId="34086" xr:uid="{00000000-0005-0000-0000-00002B660000}"/>
    <cellStyle name="Normal 3 3 2 4 4 4 5" xfId="34087" xr:uid="{00000000-0005-0000-0000-00002C660000}"/>
    <cellStyle name="Normal 3 3 2 4 4 4 6" xfId="34088" xr:uid="{00000000-0005-0000-0000-00002D660000}"/>
    <cellStyle name="Normal 3 3 2 4 4 4 7" xfId="34080" xr:uid="{00000000-0005-0000-0000-00002E660000}"/>
    <cellStyle name="Normal 3 3 2 4 4 5" xfId="5078" xr:uid="{00000000-0005-0000-0000-00002F660000}"/>
    <cellStyle name="Normal 3 3 2 4 4 5 2" xfId="5079" xr:uid="{00000000-0005-0000-0000-000030660000}"/>
    <cellStyle name="Normal 3 3 2 4 4 5 2 2" xfId="34091" xr:uid="{00000000-0005-0000-0000-000031660000}"/>
    <cellStyle name="Normal 3 3 2 4 4 5 2 3" xfId="34090" xr:uid="{00000000-0005-0000-0000-000032660000}"/>
    <cellStyle name="Normal 3 3 2 4 4 5 3" xfId="34092" xr:uid="{00000000-0005-0000-0000-000033660000}"/>
    <cellStyle name="Normal 3 3 2 4 4 5 3 2" xfId="34093" xr:uid="{00000000-0005-0000-0000-000034660000}"/>
    <cellStyle name="Normal 3 3 2 4 4 5 4" xfId="34094" xr:uid="{00000000-0005-0000-0000-000035660000}"/>
    <cellStyle name="Normal 3 3 2 4 4 5 5" xfId="34095" xr:uid="{00000000-0005-0000-0000-000036660000}"/>
    <cellStyle name="Normal 3 3 2 4 4 5 6" xfId="34089" xr:uid="{00000000-0005-0000-0000-000037660000}"/>
    <cellStyle name="Normal 3 3 2 4 4 6" xfId="5080" xr:uid="{00000000-0005-0000-0000-000038660000}"/>
    <cellStyle name="Normal 3 3 2 4 4 6 2" xfId="34097" xr:uid="{00000000-0005-0000-0000-000039660000}"/>
    <cellStyle name="Normal 3 3 2 4 4 6 3" xfId="34096" xr:uid="{00000000-0005-0000-0000-00003A660000}"/>
    <cellStyle name="Normal 3 3 2 4 4 7" xfId="34098" xr:uid="{00000000-0005-0000-0000-00003B660000}"/>
    <cellStyle name="Normal 3 3 2 4 4 7 2" xfId="34099" xr:uid="{00000000-0005-0000-0000-00003C660000}"/>
    <cellStyle name="Normal 3 3 2 4 4 8" xfId="34100" xr:uid="{00000000-0005-0000-0000-00003D660000}"/>
    <cellStyle name="Normal 3 3 2 4 4 8 2" xfId="34101" xr:uid="{00000000-0005-0000-0000-00003E660000}"/>
    <cellStyle name="Normal 3 3 2 4 4 9" xfId="34102" xr:uid="{00000000-0005-0000-0000-00003F660000}"/>
    <cellStyle name="Normal 3 3 2 4 5" xfId="5081" xr:uid="{00000000-0005-0000-0000-000040660000}"/>
    <cellStyle name="Normal 3 3 2 4 5 2" xfId="5082" xr:uid="{00000000-0005-0000-0000-000041660000}"/>
    <cellStyle name="Normal 3 3 2 4 5 2 2" xfId="5083" xr:uid="{00000000-0005-0000-0000-000042660000}"/>
    <cellStyle name="Normal 3 3 2 4 5 2 2 2" xfId="34105" xr:uid="{00000000-0005-0000-0000-000043660000}"/>
    <cellStyle name="Normal 3 3 2 4 5 2 3" xfId="34104" xr:uid="{00000000-0005-0000-0000-000044660000}"/>
    <cellStyle name="Normal 3 3 2 4 5 3" xfId="5084" xr:uid="{00000000-0005-0000-0000-000045660000}"/>
    <cellStyle name="Normal 3 3 2 4 5 3 2" xfId="5085" xr:uid="{00000000-0005-0000-0000-000046660000}"/>
    <cellStyle name="Normal 3 3 2 4 5 3 2 2" xfId="34107" xr:uid="{00000000-0005-0000-0000-000047660000}"/>
    <cellStyle name="Normal 3 3 2 4 5 3 3" xfId="34106" xr:uid="{00000000-0005-0000-0000-000048660000}"/>
    <cellStyle name="Normal 3 3 2 4 5 4" xfId="5086" xr:uid="{00000000-0005-0000-0000-000049660000}"/>
    <cellStyle name="Normal 3 3 2 4 5 4 2" xfId="34109" xr:uid="{00000000-0005-0000-0000-00004A660000}"/>
    <cellStyle name="Normal 3 3 2 4 5 4 3" xfId="34108" xr:uid="{00000000-0005-0000-0000-00004B660000}"/>
    <cellStyle name="Normal 3 3 2 4 5 5" xfId="34110" xr:uid="{00000000-0005-0000-0000-00004C660000}"/>
    <cellStyle name="Normal 3 3 2 4 5 6" xfId="34111" xr:uid="{00000000-0005-0000-0000-00004D660000}"/>
    <cellStyle name="Normal 3 3 2 4 5 7" xfId="34103" xr:uid="{00000000-0005-0000-0000-00004E660000}"/>
    <cellStyle name="Normal 3 3 2 4 6" xfId="5087" xr:uid="{00000000-0005-0000-0000-00004F660000}"/>
    <cellStyle name="Normal 3 3 2 4 6 2" xfId="5088" xr:uid="{00000000-0005-0000-0000-000050660000}"/>
    <cellStyle name="Normal 3 3 2 4 6 2 2" xfId="5089" xr:uid="{00000000-0005-0000-0000-000051660000}"/>
    <cellStyle name="Normal 3 3 2 4 6 2 2 2" xfId="34114" xr:uid="{00000000-0005-0000-0000-000052660000}"/>
    <cellStyle name="Normal 3 3 2 4 6 2 3" xfId="34113" xr:uid="{00000000-0005-0000-0000-000053660000}"/>
    <cellStyle name="Normal 3 3 2 4 6 3" xfId="5090" xr:uid="{00000000-0005-0000-0000-000054660000}"/>
    <cellStyle name="Normal 3 3 2 4 6 3 2" xfId="5091" xr:uid="{00000000-0005-0000-0000-000055660000}"/>
    <cellStyle name="Normal 3 3 2 4 6 3 2 2" xfId="34116" xr:uid="{00000000-0005-0000-0000-000056660000}"/>
    <cellStyle name="Normal 3 3 2 4 6 3 3" xfId="34115" xr:uid="{00000000-0005-0000-0000-000057660000}"/>
    <cellStyle name="Normal 3 3 2 4 6 4" xfId="5092" xr:uid="{00000000-0005-0000-0000-000058660000}"/>
    <cellStyle name="Normal 3 3 2 4 6 4 2" xfId="34118" xr:uid="{00000000-0005-0000-0000-000059660000}"/>
    <cellStyle name="Normal 3 3 2 4 6 4 3" xfId="34117" xr:uid="{00000000-0005-0000-0000-00005A660000}"/>
    <cellStyle name="Normal 3 3 2 4 6 5" xfId="34119" xr:uid="{00000000-0005-0000-0000-00005B660000}"/>
    <cellStyle name="Normal 3 3 2 4 6 6" xfId="34120" xr:uid="{00000000-0005-0000-0000-00005C660000}"/>
    <cellStyle name="Normal 3 3 2 4 6 7" xfId="34112" xr:uid="{00000000-0005-0000-0000-00005D660000}"/>
    <cellStyle name="Normal 3 3 2 4 7" xfId="5093" xr:uid="{00000000-0005-0000-0000-00005E660000}"/>
    <cellStyle name="Normal 3 3 2 4 7 2" xfId="5094" xr:uid="{00000000-0005-0000-0000-00005F660000}"/>
    <cellStyle name="Normal 3 3 2 4 7 2 2" xfId="34123" xr:uid="{00000000-0005-0000-0000-000060660000}"/>
    <cellStyle name="Normal 3 3 2 4 7 2 3" xfId="34122" xr:uid="{00000000-0005-0000-0000-000061660000}"/>
    <cellStyle name="Normal 3 3 2 4 7 3" xfId="5095" xr:uid="{00000000-0005-0000-0000-000062660000}"/>
    <cellStyle name="Normal 3 3 2 4 7 3 2" xfId="34125" xr:uid="{00000000-0005-0000-0000-000063660000}"/>
    <cellStyle name="Normal 3 3 2 4 7 3 3" xfId="34124" xr:uid="{00000000-0005-0000-0000-000064660000}"/>
    <cellStyle name="Normal 3 3 2 4 7 4" xfId="34126" xr:uid="{00000000-0005-0000-0000-000065660000}"/>
    <cellStyle name="Normal 3 3 2 4 7 4 2" xfId="34127" xr:uid="{00000000-0005-0000-0000-000066660000}"/>
    <cellStyle name="Normal 3 3 2 4 7 5" xfId="34128" xr:uid="{00000000-0005-0000-0000-000067660000}"/>
    <cellStyle name="Normal 3 3 2 4 7 6" xfId="34129" xr:uid="{00000000-0005-0000-0000-000068660000}"/>
    <cellStyle name="Normal 3 3 2 4 7 7" xfId="34121" xr:uid="{00000000-0005-0000-0000-000069660000}"/>
    <cellStyle name="Normal 3 3 2 4 8" xfId="5096" xr:uid="{00000000-0005-0000-0000-00006A660000}"/>
    <cellStyle name="Normal 3 3 2 4 8 2" xfId="5097" xr:uid="{00000000-0005-0000-0000-00006B660000}"/>
    <cellStyle name="Normal 3 3 2 4 8 2 2" xfId="34132" xr:uid="{00000000-0005-0000-0000-00006C660000}"/>
    <cellStyle name="Normal 3 3 2 4 8 2 3" xfId="34131" xr:uid="{00000000-0005-0000-0000-00006D660000}"/>
    <cellStyle name="Normal 3 3 2 4 8 3" xfId="34133" xr:uid="{00000000-0005-0000-0000-00006E660000}"/>
    <cellStyle name="Normal 3 3 2 4 8 3 2" xfId="34134" xr:uid="{00000000-0005-0000-0000-00006F660000}"/>
    <cellStyle name="Normal 3 3 2 4 8 4" xfId="34135" xr:uid="{00000000-0005-0000-0000-000070660000}"/>
    <cellStyle name="Normal 3 3 2 4 8 5" xfId="34136" xr:uid="{00000000-0005-0000-0000-000071660000}"/>
    <cellStyle name="Normal 3 3 2 4 8 6" xfId="34130" xr:uid="{00000000-0005-0000-0000-000072660000}"/>
    <cellStyle name="Normal 3 3 2 4 9" xfId="5098" xr:uid="{00000000-0005-0000-0000-000073660000}"/>
    <cellStyle name="Normal 3 3 2 4 9 2" xfId="5099" xr:uid="{00000000-0005-0000-0000-000074660000}"/>
    <cellStyle name="Normal 3 3 2 4 9 2 2" xfId="34138" xr:uid="{00000000-0005-0000-0000-000075660000}"/>
    <cellStyle name="Normal 3 3 2 4 9 3" xfId="34137" xr:uid="{00000000-0005-0000-0000-000076660000}"/>
    <cellStyle name="Normal 3 3 2 5" xfId="5100" xr:uid="{00000000-0005-0000-0000-000077660000}"/>
    <cellStyle name="Normal 3 3 2 5 10" xfId="34140" xr:uid="{00000000-0005-0000-0000-000078660000}"/>
    <cellStyle name="Normal 3 3 2 5 10 2" xfId="34141" xr:uid="{00000000-0005-0000-0000-000079660000}"/>
    <cellStyle name="Normal 3 3 2 5 11" xfId="34142" xr:uid="{00000000-0005-0000-0000-00007A660000}"/>
    <cellStyle name="Normal 3 3 2 5 12" xfId="34143" xr:uid="{00000000-0005-0000-0000-00007B660000}"/>
    <cellStyle name="Normal 3 3 2 5 13" xfId="34139" xr:uid="{00000000-0005-0000-0000-00007C660000}"/>
    <cellStyle name="Normal 3 3 2 5 2" xfId="5101" xr:uid="{00000000-0005-0000-0000-00007D660000}"/>
    <cellStyle name="Normal 3 3 2 5 2 10" xfId="34145" xr:uid="{00000000-0005-0000-0000-00007E660000}"/>
    <cellStyle name="Normal 3 3 2 5 2 11" xfId="34144" xr:uid="{00000000-0005-0000-0000-00007F660000}"/>
    <cellStyle name="Normal 3 3 2 5 2 2" xfId="5102" xr:uid="{00000000-0005-0000-0000-000080660000}"/>
    <cellStyle name="Normal 3 3 2 5 2 2 2" xfId="5103" xr:uid="{00000000-0005-0000-0000-000081660000}"/>
    <cellStyle name="Normal 3 3 2 5 2 2 2 2" xfId="5104" xr:uid="{00000000-0005-0000-0000-000082660000}"/>
    <cellStyle name="Normal 3 3 2 5 2 2 2 2 2" xfId="34148" xr:uid="{00000000-0005-0000-0000-000083660000}"/>
    <cellStyle name="Normal 3 3 2 5 2 2 2 3" xfId="5105" xr:uid="{00000000-0005-0000-0000-000084660000}"/>
    <cellStyle name="Normal 3 3 2 5 2 2 2 4" xfId="34147" xr:uid="{00000000-0005-0000-0000-000085660000}"/>
    <cellStyle name="Normal 3 3 2 5 2 2 3" xfId="5106" xr:uid="{00000000-0005-0000-0000-000086660000}"/>
    <cellStyle name="Normal 3 3 2 5 2 2 3 2" xfId="5107" xr:uid="{00000000-0005-0000-0000-000087660000}"/>
    <cellStyle name="Normal 3 3 2 5 2 2 3 2 2" xfId="34150" xr:uid="{00000000-0005-0000-0000-000088660000}"/>
    <cellStyle name="Normal 3 3 2 5 2 2 3 3" xfId="34149" xr:uid="{00000000-0005-0000-0000-000089660000}"/>
    <cellStyle name="Normal 3 3 2 5 2 2 4" xfId="5108" xr:uid="{00000000-0005-0000-0000-00008A660000}"/>
    <cellStyle name="Normal 3 3 2 5 2 2 4 2" xfId="5109" xr:uid="{00000000-0005-0000-0000-00008B660000}"/>
    <cellStyle name="Normal 3 3 2 5 2 2 4 2 2" xfId="34152" xr:uid="{00000000-0005-0000-0000-00008C660000}"/>
    <cellStyle name="Normal 3 3 2 5 2 2 4 3" xfId="34151" xr:uid="{00000000-0005-0000-0000-00008D660000}"/>
    <cellStyle name="Normal 3 3 2 5 2 2 5" xfId="5110" xr:uid="{00000000-0005-0000-0000-00008E660000}"/>
    <cellStyle name="Normal 3 3 2 5 2 2 5 2" xfId="34153" xr:uid="{00000000-0005-0000-0000-00008F660000}"/>
    <cellStyle name="Normal 3 3 2 5 2 2 6" xfId="34154" xr:uid="{00000000-0005-0000-0000-000090660000}"/>
    <cellStyle name="Normal 3 3 2 5 2 2 7" xfId="34146" xr:uid="{00000000-0005-0000-0000-000091660000}"/>
    <cellStyle name="Normal 3 3 2 5 2 3" xfId="5111" xr:uid="{00000000-0005-0000-0000-000092660000}"/>
    <cellStyle name="Normal 3 3 2 5 2 3 2" xfId="5112" xr:uid="{00000000-0005-0000-0000-000093660000}"/>
    <cellStyle name="Normal 3 3 2 5 2 3 2 2" xfId="5113" xr:uid="{00000000-0005-0000-0000-000094660000}"/>
    <cellStyle name="Normal 3 3 2 5 2 3 2 2 2" xfId="34157" xr:uid="{00000000-0005-0000-0000-000095660000}"/>
    <cellStyle name="Normal 3 3 2 5 2 3 2 3" xfId="34156" xr:uid="{00000000-0005-0000-0000-000096660000}"/>
    <cellStyle name="Normal 3 3 2 5 2 3 3" xfId="5114" xr:uid="{00000000-0005-0000-0000-000097660000}"/>
    <cellStyle name="Normal 3 3 2 5 2 3 3 2" xfId="5115" xr:uid="{00000000-0005-0000-0000-000098660000}"/>
    <cellStyle name="Normal 3 3 2 5 2 3 3 2 2" xfId="34159" xr:uid="{00000000-0005-0000-0000-000099660000}"/>
    <cellStyle name="Normal 3 3 2 5 2 3 3 3" xfId="34158" xr:uid="{00000000-0005-0000-0000-00009A660000}"/>
    <cellStyle name="Normal 3 3 2 5 2 3 4" xfId="5116" xr:uid="{00000000-0005-0000-0000-00009B660000}"/>
    <cellStyle name="Normal 3 3 2 5 2 3 4 2" xfId="34161" xr:uid="{00000000-0005-0000-0000-00009C660000}"/>
    <cellStyle name="Normal 3 3 2 5 2 3 4 3" xfId="34160" xr:uid="{00000000-0005-0000-0000-00009D660000}"/>
    <cellStyle name="Normal 3 3 2 5 2 3 5" xfId="34162" xr:uid="{00000000-0005-0000-0000-00009E660000}"/>
    <cellStyle name="Normal 3 3 2 5 2 3 6" xfId="34163" xr:uid="{00000000-0005-0000-0000-00009F660000}"/>
    <cellStyle name="Normal 3 3 2 5 2 3 7" xfId="34155" xr:uid="{00000000-0005-0000-0000-0000A0660000}"/>
    <cellStyle name="Normal 3 3 2 5 2 4" xfId="5117" xr:uid="{00000000-0005-0000-0000-0000A1660000}"/>
    <cellStyle name="Normal 3 3 2 5 2 4 2" xfId="5118" xr:uid="{00000000-0005-0000-0000-0000A2660000}"/>
    <cellStyle name="Normal 3 3 2 5 2 4 2 2" xfId="34166" xr:uid="{00000000-0005-0000-0000-0000A3660000}"/>
    <cellStyle name="Normal 3 3 2 5 2 4 2 3" xfId="34165" xr:uid="{00000000-0005-0000-0000-0000A4660000}"/>
    <cellStyle name="Normal 3 3 2 5 2 4 3" xfId="5119" xr:uid="{00000000-0005-0000-0000-0000A5660000}"/>
    <cellStyle name="Normal 3 3 2 5 2 4 3 2" xfId="34168" xr:uid="{00000000-0005-0000-0000-0000A6660000}"/>
    <cellStyle name="Normal 3 3 2 5 2 4 3 3" xfId="34167" xr:uid="{00000000-0005-0000-0000-0000A7660000}"/>
    <cellStyle name="Normal 3 3 2 5 2 4 4" xfId="34169" xr:uid="{00000000-0005-0000-0000-0000A8660000}"/>
    <cellStyle name="Normal 3 3 2 5 2 4 4 2" xfId="34170" xr:uid="{00000000-0005-0000-0000-0000A9660000}"/>
    <cellStyle name="Normal 3 3 2 5 2 4 5" xfId="34171" xr:uid="{00000000-0005-0000-0000-0000AA660000}"/>
    <cellStyle name="Normal 3 3 2 5 2 4 6" xfId="34172" xr:uid="{00000000-0005-0000-0000-0000AB660000}"/>
    <cellStyle name="Normal 3 3 2 5 2 4 7" xfId="34164" xr:uid="{00000000-0005-0000-0000-0000AC660000}"/>
    <cellStyle name="Normal 3 3 2 5 2 5" xfId="5120" xr:uid="{00000000-0005-0000-0000-0000AD660000}"/>
    <cellStyle name="Normal 3 3 2 5 2 5 2" xfId="5121" xr:uid="{00000000-0005-0000-0000-0000AE660000}"/>
    <cellStyle name="Normal 3 3 2 5 2 5 2 2" xfId="34175" xr:uid="{00000000-0005-0000-0000-0000AF660000}"/>
    <cellStyle name="Normal 3 3 2 5 2 5 2 3" xfId="34174" xr:uid="{00000000-0005-0000-0000-0000B0660000}"/>
    <cellStyle name="Normal 3 3 2 5 2 5 3" xfId="34176" xr:uid="{00000000-0005-0000-0000-0000B1660000}"/>
    <cellStyle name="Normal 3 3 2 5 2 5 3 2" xfId="34177" xr:uid="{00000000-0005-0000-0000-0000B2660000}"/>
    <cellStyle name="Normal 3 3 2 5 2 5 4" xfId="34178" xr:uid="{00000000-0005-0000-0000-0000B3660000}"/>
    <cellStyle name="Normal 3 3 2 5 2 5 5" xfId="34179" xr:uid="{00000000-0005-0000-0000-0000B4660000}"/>
    <cellStyle name="Normal 3 3 2 5 2 5 6" xfId="34173" xr:uid="{00000000-0005-0000-0000-0000B5660000}"/>
    <cellStyle name="Normal 3 3 2 5 2 6" xfId="5122" xr:uid="{00000000-0005-0000-0000-0000B6660000}"/>
    <cellStyle name="Normal 3 3 2 5 2 6 2" xfId="5123" xr:uid="{00000000-0005-0000-0000-0000B7660000}"/>
    <cellStyle name="Normal 3 3 2 5 2 6 2 2" xfId="34181" xr:uid="{00000000-0005-0000-0000-0000B8660000}"/>
    <cellStyle name="Normal 3 3 2 5 2 6 3" xfId="34180" xr:uid="{00000000-0005-0000-0000-0000B9660000}"/>
    <cellStyle name="Normal 3 3 2 5 2 7" xfId="5124" xr:uid="{00000000-0005-0000-0000-0000BA660000}"/>
    <cellStyle name="Normal 3 3 2 5 2 7 2" xfId="34183" xr:uid="{00000000-0005-0000-0000-0000BB660000}"/>
    <cellStyle name="Normal 3 3 2 5 2 7 3" xfId="34182" xr:uid="{00000000-0005-0000-0000-0000BC660000}"/>
    <cellStyle name="Normal 3 3 2 5 2 8" xfId="34184" xr:uid="{00000000-0005-0000-0000-0000BD660000}"/>
    <cellStyle name="Normal 3 3 2 5 2 8 2" xfId="34185" xr:uid="{00000000-0005-0000-0000-0000BE660000}"/>
    <cellStyle name="Normal 3 3 2 5 2 9" xfId="34186" xr:uid="{00000000-0005-0000-0000-0000BF660000}"/>
    <cellStyle name="Normal 3 3 2 5 3" xfId="5125" xr:uid="{00000000-0005-0000-0000-0000C0660000}"/>
    <cellStyle name="Normal 3 3 2 5 3 10" xfId="34188" xr:uid="{00000000-0005-0000-0000-0000C1660000}"/>
    <cellStyle name="Normal 3 3 2 5 3 11" xfId="34187" xr:uid="{00000000-0005-0000-0000-0000C2660000}"/>
    <cellStyle name="Normal 3 3 2 5 3 2" xfId="5126" xr:uid="{00000000-0005-0000-0000-0000C3660000}"/>
    <cellStyle name="Normal 3 3 2 5 3 2 2" xfId="5127" xr:uid="{00000000-0005-0000-0000-0000C4660000}"/>
    <cellStyle name="Normal 3 3 2 5 3 2 2 2" xfId="34191" xr:uid="{00000000-0005-0000-0000-0000C5660000}"/>
    <cellStyle name="Normal 3 3 2 5 3 2 2 3" xfId="34190" xr:uid="{00000000-0005-0000-0000-0000C6660000}"/>
    <cellStyle name="Normal 3 3 2 5 3 2 3" xfId="5128" xr:uid="{00000000-0005-0000-0000-0000C7660000}"/>
    <cellStyle name="Normal 3 3 2 5 3 2 3 2" xfId="34193" xr:uid="{00000000-0005-0000-0000-0000C8660000}"/>
    <cellStyle name="Normal 3 3 2 5 3 2 3 3" xfId="34192" xr:uid="{00000000-0005-0000-0000-0000C9660000}"/>
    <cellStyle name="Normal 3 3 2 5 3 2 4" xfId="34194" xr:uid="{00000000-0005-0000-0000-0000CA660000}"/>
    <cellStyle name="Normal 3 3 2 5 3 2 4 2" xfId="34195" xr:uid="{00000000-0005-0000-0000-0000CB660000}"/>
    <cellStyle name="Normal 3 3 2 5 3 2 5" xfId="34196" xr:uid="{00000000-0005-0000-0000-0000CC660000}"/>
    <cellStyle name="Normal 3 3 2 5 3 2 6" xfId="34197" xr:uid="{00000000-0005-0000-0000-0000CD660000}"/>
    <cellStyle name="Normal 3 3 2 5 3 2 7" xfId="34189" xr:uid="{00000000-0005-0000-0000-0000CE660000}"/>
    <cellStyle name="Normal 3 3 2 5 3 3" xfId="5129" xr:uid="{00000000-0005-0000-0000-0000CF660000}"/>
    <cellStyle name="Normal 3 3 2 5 3 3 2" xfId="5130" xr:uid="{00000000-0005-0000-0000-0000D0660000}"/>
    <cellStyle name="Normal 3 3 2 5 3 3 2 2" xfId="34200" xr:uid="{00000000-0005-0000-0000-0000D1660000}"/>
    <cellStyle name="Normal 3 3 2 5 3 3 2 3" xfId="34199" xr:uid="{00000000-0005-0000-0000-0000D2660000}"/>
    <cellStyle name="Normal 3 3 2 5 3 3 3" xfId="34201" xr:uid="{00000000-0005-0000-0000-0000D3660000}"/>
    <cellStyle name="Normal 3 3 2 5 3 3 3 2" xfId="34202" xr:uid="{00000000-0005-0000-0000-0000D4660000}"/>
    <cellStyle name="Normal 3 3 2 5 3 3 4" xfId="34203" xr:uid="{00000000-0005-0000-0000-0000D5660000}"/>
    <cellStyle name="Normal 3 3 2 5 3 3 4 2" xfId="34204" xr:uid="{00000000-0005-0000-0000-0000D6660000}"/>
    <cellStyle name="Normal 3 3 2 5 3 3 5" xfId="34205" xr:uid="{00000000-0005-0000-0000-0000D7660000}"/>
    <cellStyle name="Normal 3 3 2 5 3 3 6" xfId="34206" xr:uid="{00000000-0005-0000-0000-0000D8660000}"/>
    <cellStyle name="Normal 3 3 2 5 3 3 7" xfId="34198" xr:uid="{00000000-0005-0000-0000-0000D9660000}"/>
    <cellStyle name="Normal 3 3 2 5 3 4" xfId="5131" xr:uid="{00000000-0005-0000-0000-0000DA660000}"/>
    <cellStyle name="Normal 3 3 2 5 3 4 2" xfId="5132" xr:uid="{00000000-0005-0000-0000-0000DB660000}"/>
    <cellStyle name="Normal 3 3 2 5 3 4 2 2" xfId="34209" xr:uid="{00000000-0005-0000-0000-0000DC660000}"/>
    <cellStyle name="Normal 3 3 2 5 3 4 2 3" xfId="34208" xr:uid="{00000000-0005-0000-0000-0000DD660000}"/>
    <cellStyle name="Normal 3 3 2 5 3 4 3" xfId="34210" xr:uid="{00000000-0005-0000-0000-0000DE660000}"/>
    <cellStyle name="Normal 3 3 2 5 3 4 3 2" xfId="34211" xr:uid="{00000000-0005-0000-0000-0000DF660000}"/>
    <cellStyle name="Normal 3 3 2 5 3 4 4" xfId="34212" xr:uid="{00000000-0005-0000-0000-0000E0660000}"/>
    <cellStyle name="Normal 3 3 2 5 3 4 4 2" xfId="34213" xr:uid="{00000000-0005-0000-0000-0000E1660000}"/>
    <cellStyle name="Normal 3 3 2 5 3 4 5" xfId="34214" xr:uid="{00000000-0005-0000-0000-0000E2660000}"/>
    <cellStyle name="Normal 3 3 2 5 3 4 6" xfId="34215" xr:uid="{00000000-0005-0000-0000-0000E3660000}"/>
    <cellStyle name="Normal 3 3 2 5 3 4 7" xfId="34207" xr:uid="{00000000-0005-0000-0000-0000E4660000}"/>
    <cellStyle name="Normal 3 3 2 5 3 5" xfId="5133" xr:uid="{00000000-0005-0000-0000-0000E5660000}"/>
    <cellStyle name="Normal 3 3 2 5 3 5 2" xfId="34217" xr:uid="{00000000-0005-0000-0000-0000E6660000}"/>
    <cellStyle name="Normal 3 3 2 5 3 5 2 2" xfId="34218" xr:uid="{00000000-0005-0000-0000-0000E7660000}"/>
    <cellStyle name="Normal 3 3 2 5 3 5 3" xfId="34219" xr:uid="{00000000-0005-0000-0000-0000E8660000}"/>
    <cellStyle name="Normal 3 3 2 5 3 5 3 2" xfId="34220" xr:uid="{00000000-0005-0000-0000-0000E9660000}"/>
    <cellStyle name="Normal 3 3 2 5 3 5 4" xfId="34221" xr:uid="{00000000-0005-0000-0000-0000EA660000}"/>
    <cellStyle name="Normal 3 3 2 5 3 5 5" xfId="34222" xr:uid="{00000000-0005-0000-0000-0000EB660000}"/>
    <cellStyle name="Normal 3 3 2 5 3 5 6" xfId="34216" xr:uid="{00000000-0005-0000-0000-0000EC660000}"/>
    <cellStyle name="Normal 3 3 2 5 3 6" xfId="34223" xr:uid="{00000000-0005-0000-0000-0000ED660000}"/>
    <cellStyle name="Normal 3 3 2 5 3 6 2" xfId="34224" xr:uid="{00000000-0005-0000-0000-0000EE660000}"/>
    <cellStyle name="Normal 3 3 2 5 3 7" xfId="34225" xr:uid="{00000000-0005-0000-0000-0000EF660000}"/>
    <cellStyle name="Normal 3 3 2 5 3 7 2" xfId="34226" xr:uid="{00000000-0005-0000-0000-0000F0660000}"/>
    <cellStyle name="Normal 3 3 2 5 3 8" xfId="34227" xr:uid="{00000000-0005-0000-0000-0000F1660000}"/>
    <cellStyle name="Normal 3 3 2 5 3 8 2" xfId="34228" xr:uid="{00000000-0005-0000-0000-0000F2660000}"/>
    <cellStyle name="Normal 3 3 2 5 3 9" xfId="34229" xr:uid="{00000000-0005-0000-0000-0000F3660000}"/>
    <cellStyle name="Normal 3 3 2 5 4" xfId="5134" xr:uid="{00000000-0005-0000-0000-0000F4660000}"/>
    <cellStyle name="Normal 3 3 2 5 4 2" xfId="5135" xr:uid="{00000000-0005-0000-0000-0000F5660000}"/>
    <cellStyle name="Normal 3 3 2 5 4 2 2" xfId="5136" xr:uid="{00000000-0005-0000-0000-0000F6660000}"/>
    <cellStyle name="Normal 3 3 2 5 4 2 2 2" xfId="34232" xr:uid="{00000000-0005-0000-0000-0000F7660000}"/>
    <cellStyle name="Normal 3 3 2 5 4 2 3" xfId="34231" xr:uid="{00000000-0005-0000-0000-0000F8660000}"/>
    <cellStyle name="Normal 3 3 2 5 4 3" xfId="5137" xr:uid="{00000000-0005-0000-0000-0000F9660000}"/>
    <cellStyle name="Normal 3 3 2 5 4 3 2" xfId="5138" xr:uid="{00000000-0005-0000-0000-0000FA660000}"/>
    <cellStyle name="Normal 3 3 2 5 4 3 2 2" xfId="34234" xr:uid="{00000000-0005-0000-0000-0000FB660000}"/>
    <cellStyle name="Normal 3 3 2 5 4 3 3" xfId="34233" xr:uid="{00000000-0005-0000-0000-0000FC660000}"/>
    <cellStyle name="Normal 3 3 2 5 4 4" xfId="5139" xr:uid="{00000000-0005-0000-0000-0000FD660000}"/>
    <cellStyle name="Normal 3 3 2 5 4 4 2" xfId="34236" xr:uid="{00000000-0005-0000-0000-0000FE660000}"/>
    <cellStyle name="Normal 3 3 2 5 4 4 3" xfId="34235" xr:uid="{00000000-0005-0000-0000-0000FF660000}"/>
    <cellStyle name="Normal 3 3 2 5 4 5" xfId="34237" xr:uid="{00000000-0005-0000-0000-000000670000}"/>
    <cellStyle name="Normal 3 3 2 5 4 6" xfId="34238" xr:uid="{00000000-0005-0000-0000-000001670000}"/>
    <cellStyle name="Normal 3 3 2 5 4 7" xfId="34230" xr:uid="{00000000-0005-0000-0000-000002670000}"/>
    <cellStyle name="Normal 3 3 2 5 5" xfId="5140" xr:uid="{00000000-0005-0000-0000-000003670000}"/>
    <cellStyle name="Normal 3 3 2 5 5 2" xfId="5141" xr:uid="{00000000-0005-0000-0000-000004670000}"/>
    <cellStyle name="Normal 3 3 2 5 5 2 2" xfId="34241" xr:uid="{00000000-0005-0000-0000-000005670000}"/>
    <cellStyle name="Normal 3 3 2 5 5 2 3" xfId="34240" xr:uid="{00000000-0005-0000-0000-000006670000}"/>
    <cellStyle name="Normal 3 3 2 5 5 3" xfId="5142" xr:uid="{00000000-0005-0000-0000-000007670000}"/>
    <cellStyle name="Normal 3 3 2 5 5 3 2" xfId="34243" xr:uid="{00000000-0005-0000-0000-000008670000}"/>
    <cellStyle name="Normal 3 3 2 5 5 3 3" xfId="34242" xr:uid="{00000000-0005-0000-0000-000009670000}"/>
    <cellStyle name="Normal 3 3 2 5 5 4" xfId="34244" xr:uid="{00000000-0005-0000-0000-00000A670000}"/>
    <cellStyle name="Normal 3 3 2 5 5 4 2" xfId="34245" xr:uid="{00000000-0005-0000-0000-00000B670000}"/>
    <cellStyle name="Normal 3 3 2 5 5 5" xfId="34246" xr:uid="{00000000-0005-0000-0000-00000C670000}"/>
    <cellStyle name="Normal 3 3 2 5 5 6" xfId="34247" xr:uid="{00000000-0005-0000-0000-00000D670000}"/>
    <cellStyle name="Normal 3 3 2 5 5 7" xfId="34239" xr:uid="{00000000-0005-0000-0000-00000E670000}"/>
    <cellStyle name="Normal 3 3 2 5 6" xfId="5143" xr:uid="{00000000-0005-0000-0000-00000F670000}"/>
    <cellStyle name="Normal 3 3 2 5 6 2" xfId="5144" xr:uid="{00000000-0005-0000-0000-000010670000}"/>
    <cellStyle name="Normal 3 3 2 5 6 2 2" xfId="34250" xr:uid="{00000000-0005-0000-0000-000011670000}"/>
    <cellStyle name="Normal 3 3 2 5 6 2 3" xfId="34249" xr:uid="{00000000-0005-0000-0000-000012670000}"/>
    <cellStyle name="Normal 3 3 2 5 6 3" xfId="34251" xr:uid="{00000000-0005-0000-0000-000013670000}"/>
    <cellStyle name="Normal 3 3 2 5 6 3 2" xfId="34252" xr:uid="{00000000-0005-0000-0000-000014670000}"/>
    <cellStyle name="Normal 3 3 2 5 6 4" xfId="34253" xr:uid="{00000000-0005-0000-0000-000015670000}"/>
    <cellStyle name="Normal 3 3 2 5 6 4 2" xfId="34254" xr:uid="{00000000-0005-0000-0000-000016670000}"/>
    <cellStyle name="Normal 3 3 2 5 6 5" xfId="34255" xr:uid="{00000000-0005-0000-0000-000017670000}"/>
    <cellStyle name="Normal 3 3 2 5 6 6" xfId="34256" xr:uid="{00000000-0005-0000-0000-000018670000}"/>
    <cellStyle name="Normal 3 3 2 5 6 7" xfId="34248" xr:uid="{00000000-0005-0000-0000-000019670000}"/>
    <cellStyle name="Normal 3 3 2 5 7" xfId="5145" xr:uid="{00000000-0005-0000-0000-00001A670000}"/>
    <cellStyle name="Normal 3 3 2 5 7 2" xfId="5146" xr:uid="{00000000-0005-0000-0000-00001B670000}"/>
    <cellStyle name="Normal 3 3 2 5 7 2 2" xfId="34259" xr:uid="{00000000-0005-0000-0000-00001C670000}"/>
    <cellStyle name="Normal 3 3 2 5 7 2 3" xfId="34258" xr:uid="{00000000-0005-0000-0000-00001D670000}"/>
    <cellStyle name="Normal 3 3 2 5 7 3" xfId="34260" xr:uid="{00000000-0005-0000-0000-00001E670000}"/>
    <cellStyle name="Normal 3 3 2 5 7 3 2" xfId="34261" xr:uid="{00000000-0005-0000-0000-00001F670000}"/>
    <cellStyle name="Normal 3 3 2 5 7 4" xfId="34262" xr:uid="{00000000-0005-0000-0000-000020670000}"/>
    <cellStyle name="Normal 3 3 2 5 7 5" xfId="34263" xr:uid="{00000000-0005-0000-0000-000021670000}"/>
    <cellStyle name="Normal 3 3 2 5 7 6" xfId="34257" xr:uid="{00000000-0005-0000-0000-000022670000}"/>
    <cellStyle name="Normal 3 3 2 5 8" xfId="5147" xr:uid="{00000000-0005-0000-0000-000023670000}"/>
    <cellStyle name="Normal 3 3 2 5 8 2" xfId="34265" xr:uid="{00000000-0005-0000-0000-000024670000}"/>
    <cellStyle name="Normal 3 3 2 5 8 3" xfId="34264" xr:uid="{00000000-0005-0000-0000-000025670000}"/>
    <cellStyle name="Normal 3 3 2 5 9" xfId="34266" xr:uid="{00000000-0005-0000-0000-000026670000}"/>
    <cellStyle name="Normal 3 3 2 5 9 2" xfId="34267" xr:uid="{00000000-0005-0000-0000-000027670000}"/>
    <cellStyle name="Normal 3 3 2 6" xfId="5148" xr:uid="{00000000-0005-0000-0000-000028670000}"/>
    <cellStyle name="Normal 3 3 2 6 10" xfId="34269" xr:uid="{00000000-0005-0000-0000-000029670000}"/>
    <cellStyle name="Normal 3 3 2 6 11" xfId="34270" xr:uid="{00000000-0005-0000-0000-00002A670000}"/>
    <cellStyle name="Normal 3 3 2 6 12" xfId="34268" xr:uid="{00000000-0005-0000-0000-00002B670000}"/>
    <cellStyle name="Normal 3 3 2 6 2" xfId="5149" xr:uid="{00000000-0005-0000-0000-00002C670000}"/>
    <cellStyle name="Normal 3 3 2 6 2 2" xfId="5150" xr:uid="{00000000-0005-0000-0000-00002D670000}"/>
    <cellStyle name="Normal 3 3 2 6 2 2 2" xfId="5151" xr:uid="{00000000-0005-0000-0000-00002E670000}"/>
    <cellStyle name="Normal 3 3 2 6 2 2 2 2" xfId="34273" xr:uid="{00000000-0005-0000-0000-00002F670000}"/>
    <cellStyle name="Normal 3 3 2 6 2 2 3" xfId="5152" xr:uid="{00000000-0005-0000-0000-000030670000}"/>
    <cellStyle name="Normal 3 3 2 6 2 2 4" xfId="34272" xr:uid="{00000000-0005-0000-0000-000031670000}"/>
    <cellStyle name="Normal 3 3 2 6 2 3" xfId="5153" xr:uid="{00000000-0005-0000-0000-000032670000}"/>
    <cellStyle name="Normal 3 3 2 6 2 3 2" xfId="5154" xr:uid="{00000000-0005-0000-0000-000033670000}"/>
    <cellStyle name="Normal 3 3 2 6 2 3 2 2" xfId="34275" xr:uid="{00000000-0005-0000-0000-000034670000}"/>
    <cellStyle name="Normal 3 3 2 6 2 3 3" xfId="34274" xr:uid="{00000000-0005-0000-0000-000035670000}"/>
    <cellStyle name="Normal 3 3 2 6 2 4" xfId="5155" xr:uid="{00000000-0005-0000-0000-000036670000}"/>
    <cellStyle name="Normal 3 3 2 6 2 4 2" xfId="5156" xr:uid="{00000000-0005-0000-0000-000037670000}"/>
    <cellStyle name="Normal 3 3 2 6 2 4 2 2" xfId="34277" xr:uid="{00000000-0005-0000-0000-000038670000}"/>
    <cellStyle name="Normal 3 3 2 6 2 4 3" xfId="34276" xr:uid="{00000000-0005-0000-0000-000039670000}"/>
    <cellStyle name="Normal 3 3 2 6 2 5" xfId="5157" xr:uid="{00000000-0005-0000-0000-00003A670000}"/>
    <cellStyle name="Normal 3 3 2 6 2 5 2" xfId="34278" xr:uid="{00000000-0005-0000-0000-00003B670000}"/>
    <cellStyle name="Normal 3 3 2 6 2 6" xfId="34279" xr:uid="{00000000-0005-0000-0000-00003C670000}"/>
    <cellStyle name="Normal 3 3 2 6 2 7" xfId="34271" xr:uid="{00000000-0005-0000-0000-00003D670000}"/>
    <cellStyle name="Normal 3 3 2 6 3" xfId="5158" xr:uid="{00000000-0005-0000-0000-00003E670000}"/>
    <cellStyle name="Normal 3 3 2 6 3 2" xfId="5159" xr:uid="{00000000-0005-0000-0000-00003F670000}"/>
    <cellStyle name="Normal 3 3 2 6 3 2 2" xfId="5160" xr:uid="{00000000-0005-0000-0000-000040670000}"/>
    <cellStyle name="Normal 3 3 2 6 3 2 2 2" xfId="34282" xr:uid="{00000000-0005-0000-0000-000041670000}"/>
    <cellStyle name="Normal 3 3 2 6 3 2 3" xfId="34281" xr:uid="{00000000-0005-0000-0000-000042670000}"/>
    <cellStyle name="Normal 3 3 2 6 3 3" xfId="5161" xr:uid="{00000000-0005-0000-0000-000043670000}"/>
    <cellStyle name="Normal 3 3 2 6 3 3 2" xfId="5162" xr:uid="{00000000-0005-0000-0000-000044670000}"/>
    <cellStyle name="Normal 3 3 2 6 3 3 2 2" xfId="34284" xr:uid="{00000000-0005-0000-0000-000045670000}"/>
    <cellStyle name="Normal 3 3 2 6 3 3 3" xfId="34283" xr:uid="{00000000-0005-0000-0000-000046670000}"/>
    <cellStyle name="Normal 3 3 2 6 3 4" xfId="5163" xr:uid="{00000000-0005-0000-0000-000047670000}"/>
    <cellStyle name="Normal 3 3 2 6 3 4 2" xfId="34286" xr:uid="{00000000-0005-0000-0000-000048670000}"/>
    <cellStyle name="Normal 3 3 2 6 3 4 3" xfId="34285" xr:uid="{00000000-0005-0000-0000-000049670000}"/>
    <cellStyle name="Normal 3 3 2 6 3 5" xfId="34287" xr:uid="{00000000-0005-0000-0000-00004A670000}"/>
    <cellStyle name="Normal 3 3 2 6 3 6" xfId="34288" xr:uid="{00000000-0005-0000-0000-00004B670000}"/>
    <cellStyle name="Normal 3 3 2 6 3 7" xfId="34280" xr:uid="{00000000-0005-0000-0000-00004C670000}"/>
    <cellStyle name="Normal 3 3 2 6 4" xfId="5164" xr:uid="{00000000-0005-0000-0000-00004D670000}"/>
    <cellStyle name="Normal 3 3 2 6 4 2" xfId="5165" xr:uid="{00000000-0005-0000-0000-00004E670000}"/>
    <cellStyle name="Normal 3 3 2 6 4 2 2" xfId="34291" xr:uid="{00000000-0005-0000-0000-00004F670000}"/>
    <cellStyle name="Normal 3 3 2 6 4 2 3" xfId="34290" xr:uid="{00000000-0005-0000-0000-000050670000}"/>
    <cellStyle name="Normal 3 3 2 6 4 3" xfId="5166" xr:uid="{00000000-0005-0000-0000-000051670000}"/>
    <cellStyle name="Normal 3 3 2 6 4 3 2" xfId="34293" xr:uid="{00000000-0005-0000-0000-000052670000}"/>
    <cellStyle name="Normal 3 3 2 6 4 3 3" xfId="34292" xr:uid="{00000000-0005-0000-0000-000053670000}"/>
    <cellStyle name="Normal 3 3 2 6 4 4" xfId="34294" xr:uid="{00000000-0005-0000-0000-000054670000}"/>
    <cellStyle name="Normal 3 3 2 6 4 4 2" xfId="34295" xr:uid="{00000000-0005-0000-0000-000055670000}"/>
    <cellStyle name="Normal 3 3 2 6 4 5" xfId="34296" xr:uid="{00000000-0005-0000-0000-000056670000}"/>
    <cellStyle name="Normal 3 3 2 6 4 6" xfId="34297" xr:uid="{00000000-0005-0000-0000-000057670000}"/>
    <cellStyle name="Normal 3 3 2 6 4 7" xfId="34289" xr:uid="{00000000-0005-0000-0000-000058670000}"/>
    <cellStyle name="Normal 3 3 2 6 5" xfId="5167" xr:uid="{00000000-0005-0000-0000-000059670000}"/>
    <cellStyle name="Normal 3 3 2 6 5 2" xfId="5168" xr:uid="{00000000-0005-0000-0000-00005A670000}"/>
    <cellStyle name="Normal 3 3 2 6 5 2 2" xfId="34300" xr:uid="{00000000-0005-0000-0000-00005B670000}"/>
    <cellStyle name="Normal 3 3 2 6 5 2 3" xfId="34299" xr:uid="{00000000-0005-0000-0000-00005C670000}"/>
    <cellStyle name="Normal 3 3 2 6 5 3" xfId="34301" xr:uid="{00000000-0005-0000-0000-00005D670000}"/>
    <cellStyle name="Normal 3 3 2 6 5 3 2" xfId="34302" xr:uid="{00000000-0005-0000-0000-00005E670000}"/>
    <cellStyle name="Normal 3 3 2 6 5 4" xfId="34303" xr:uid="{00000000-0005-0000-0000-00005F670000}"/>
    <cellStyle name="Normal 3 3 2 6 5 4 2" xfId="34304" xr:uid="{00000000-0005-0000-0000-000060670000}"/>
    <cellStyle name="Normal 3 3 2 6 5 5" xfId="34305" xr:uid="{00000000-0005-0000-0000-000061670000}"/>
    <cellStyle name="Normal 3 3 2 6 5 6" xfId="34306" xr:uid="{00000000-0005-0000-0000-000062670000}"/>
    <cellStyle name="Normal 3 3 2 6 5 7" xfId="34298" xr:uid="{00000000-0005-0000-0000-000063670000}"/>
    <cellStyle name="Normal 3 3 2 6 6" xfId="5169" xr:uid="{00000000-0005-0000-0000-000064670000}"/>
    <cellStyle name="Normal 3 3 2 6 6 2" xfId="5170" xr:uid="{00000000-0005-0000-0000-000065670000}"/>
    <cellStyle name="Normal 3 3 2 6 6 2 2" xfId="34309" xr:uid="{00000000-0005-0000-0000-000066670000}"/>
    <cellStyle name="Normal 3 3 2 6 6 2 3" xfId="34308" xr:uid="{00000000-0005-0000-0000-000067670000}"/>
    <cellStyle name="Normal 3 3 2 6 6 3" xfId="34310" xr:uid="{00000000-0005-0000-0000-000068670000}"/>
    <cellStyle name="Normal 3 3 2 6 6 3 2" xfId="34311" xr:uid="{00000000-0005-0000-0000-000069670000}"/>
    <cellStyle name="Normal 3 3 2 6 6 4" xfId="34312" xr:uid="{00000000-0005-0000-0000-00006A670000}"/>
    <cellStyle name="Normal 3 3 2 6 6 5" xfId="34313" xr:uid="{00000000-0005-0000-0000-00006B670000}"/>
    <cellStyle name="Normal 3 3 2 6 6 6" xfId="34307" xr:uid="{00000000-0005-0000-0000-00006C670000}"/>
    <cellStyle name="Normal 3 3 2 6 7" xfId="5171" xr:uid="{00000000-0005-0000-0000-00006D670000}"/>
    <cellStyle name="Normal 3 3 2 6 7 2" xfId="34315" xr:uid="{00000000-0005-0000-0000-00006E670000}"/>
    <cellStyle name="Normal 3 3 2 6 7 3" xfId="34314" xr:uid="{00000000-0005-0000-0000-00006F670000}"/>
    <cellStyle name="Normal 3 3 2 6 8" xfId="34316" xr:uid="{00000000-0005-0000-0000-000070670000}"/>
    <cellStyle name="Normal 3 3 2 6 8 2" xfId="34317" xr:uid="{00000000-0005-0000-0000-000071670000}"/>
    <cellStyle name="Normal 3 3 2 6 9" xfId="34318" xr:uid="{00000000-0005-0000-0000-000072670000}"/>
    <cellStyle name="Normal 3 3 2 6 9 2" xfId="34319" xr:uid="{00000000-0005-0000-0000-000073670000}"/>
    <cellStyle name="Normal 3 3 2 7" xfId="5172" xr:uid="{00000000-0005-0000-0000-000074670000}"/>
    <cellStyle name="Normal 3 3 2 7 10" xfId="34321" xr:uid="{00000000-0005-0000-0000-000075670000}"/>
    <cellStyle name="Normal 3 3 2 7 11" xfId="34320" xr:uid="{00000000-0005-0000-0000-000076670000}"/>
    <cellStyle name="Normal 3 3 2 7 2" xfId="5173" xr:uid="{00000000-0005-0000-0000-000077670000}"/>
    <cellStyle name="Normal 3 3 2 7 2 2" xfId="5174" xr:uid="{00000000-0005-0000-0000-000078670000}"/>
    <cellStyle name="Normal 3 3 2 7 2 2 2" xfId="5175" xr:uid="{00000000-0005-0000-0000-000079670000}"/>
    <cellStyle name="Normal 3 3 2 7 2 2 2 2" xfId="34324" xr:uid="{00000000-0005-0000-0000-00007A670000}"/>
    <cellStyle name="Normal 3 3 2 7 2 2 3" xfId="5176" xr:uid="{00000000-0005-0000-0000-00007B670000}"/>
    <cellStyle name="Normal 3 3 2 7 2 2 4" xfId="34323" xr:uid="{00000000-0005-0000-0000-00007C670000}"/>
    <cellStyle name="Normal 3 3 2 7 2 3" xfId="5177" xr:uid="{00000000-0005-0000-0000-00007D670000}"/>
    <cellStyle name="Normal 3 3 2 7 2 3 2" xfId="5178" xr:uid="{00000000-0005-0000-0000-00007E670000}"/>
    <cellStyle name="Normal 3 3 2 7 2 3 2 2" xfId="34326" xr:uid="{00000000-0005-0000-0000-00007F670000}"/>
    <cellStyle name="Normal 3 3 2 7 2 3 3" xfId="34325" xr:uid="{00000000-0005-0000-0000-000080670000}"/>
    <cellStyle name="Normal 3 3 2 7 2 4" xfId="5179" xr:uid="{00000000-0005-0000-0000-000081670000}"/>
    <cellStyle name="Normal 3 3 2 7 2 4 2" xfId="5180" xr:uid="{00000000-0005-0000-0000-000082670000}"/>
    <cellStyle name="Normal 3 3 2 7 2 4 2 2" xfId="34328" xr:uid="{00000000-0005-0000-0000-000083670000}"/>
    <cellStyle name="Normal 3 3 2 7 2 4 3" xfId="34327" xr:uid="{00000000-0005-0000-0000-000084670000}"/>
    <cellStyle name="Normal 3 3 2 7 2 5" xfId="5181" xr:uid="{00000000-0005-0000-0000-000085670000}"/>
    <cellStyle name="Normal 3 3 2 7 2 5 2" xfId="34329" xr:uid="{00000000-0005-0000-0000-000086670000}"/>
    <cellStyle name="Normal 3 3 2 7 2 6" xfId="34330" xr:uid="{00000000-0005-0000-0000-000087670000}"/>
    <cellStyle name="Normal 3 3 2 7 2 7" xfId="34322" xr:uid="{00000000-0005-0000-0000-000088670000}"/>
    <cellStyle name="Normal 3 3 2 7 3" xfId="5182" xr:uid="{00000000-0005-0000-0000-000089670000}"/>
    <cellStyle name="Normal 3 3 2 7 3 2" xfId="5183" xr:uid="{00000000-0005-0000-0000-00008A670000}"/>
    <cellStyle name="Normal 3 3 2 7 3 2 2" xfId="5184" xr:uid="{00000000-0005-0000-0000-00008B670000}"/>
    <cellStyle name="Normal 3 3 2 7 3 2 2 2" xfId="34333" xr:uid="{00000000-0005-0000-0000-00008C670000}"/>
    <cellStyle name="Normal 3 3 2 7 3 2 3" xfId="34332" xr:uid="{00000000-0005-0000-0000-00008D670000}"/>
    <cellStyle name="Normal 3 3 2 7 3 3" xfId="5185" xr:uid="{00000000-0005-0000-0000-00008E670000}"/>
    <cellStyle name="Normal 3 3 2 7 3 3 2" xfId="5186" xr:uid="{00000000-0005-0000-0000-00008F670000}"/>
    <cellStyle name="Normal 3 3 2 7 3 3 2 2" xfId="34335" xr:uid="{00000000-0005-0000-0000-000090670000}"/>
    <cellStyle name="Normal 3 3 2 7 3 3 3" xfId="34334" xr:uid="{00000000-0005-0000-0000-000091670000}"/>
    <cellStyle name="Normal 3 3 2 7 3 4" xfId="5187" xr:uid="{00000000-0005-0000-0000-000092670000}"/>
    <cellStyle name="Normal 3 3 2 7 3 4 2" xfId="34337" xr:uid="{00000000-0005-0000-0000-000093670000}"/>
    <cellStyle name="Normal 3 3 2 7 3 4 3" xfId="34336" xr:uid="{00000000-0005-0000-0000-000094670000}"/>
    <cellStyle name="Normal 3 3 2 7 3 5" xfId="34338" xr:uid="{00000000-0005-0000-0000-000095670000}"/>
    <cellStyle name="Normal 3 3 2 7 3 6" xfId="34339" xr:uid="{00000000-0005-0000-0000-000096670000}"/>
    <cellStyle name="Normal 3 3 2 7 3 7" xfId="34331" xr:uid="{00000000-0005-0000-0000-000097670000}"/>
    <cellStyle name="Normal 3 3 2 7 4" xfId="5188" xr:uid="{00000000-0005-0000-0000-000098670000}"/>
    <cellStyle name="Normal 3 3 2 7 4 2" xfId="5189" xr:uid="{00000000-0005-0000-0000-000099670000}"/>
    <cellStyle name="Normal 3 3 2 7 4 2 2" xfId="34342" xr:uid="{00000000-0005-0000-0000-00009A670000}"/>
    <cellStyle name="Normal 3 3 2 7 4 2 3" xfId="34341" xr:uid="{00000000-0005-0000-0000-00009B670000}"/>
    <cellStyle name="Normal 3 3 2 7 4 3" xfId="5190" xr:uid="{00000000-0005-0000-0000-00009C670000}"/>
    <cellStyle name="Normal 3 3 2 7 4 3 2" xfId="34344" xr:uid="{00000000-0005-0000-0000-00009D670000}"/>
    <cellStyle name="Normal 3 3 2 7 4 3 3" xfId="34343" xr:uid="{00000000-0005-0000-0000-00009E670000}"/>
    <cellStyle name="Normal 3 3 2 7 4 4" xfId="34345" xr:uid="{00000000-0005-0000-0000-00009F670000}"/>
    <cellStyle name="Normal 3 3 2 7 4 4 2" xfId="34346" xr:uid="{00000000-0005-0000-0000-0000A0670000}"/>
    <cellStyle name="Normal 3 3 2 7 4 5" xfId="34347" xr:uid="{00000000-0005-0000-0000-0000A1670000}"/>
    <cellStyle name="Normal 3 3 2 7 4 6" xfId="34348" xr:uid="{00000000-0005-0000-0000-0000A2670000}"/>
    <cellStyle name="Normal 3 3 2 7 4 7" xfId="34340" xr:uid="{00000000-0005-0000-0000-0000A3670000}"/>
    <cellStyle name="Normal 3 3 2 7 5" xfId="5191" xr:uid="{00000000-0005-0000-0000-0000A4670000}"/>
    <cellStyle name="Normal 3 3 2 7 5 2" xfId="5192" xr:uid="{00000000-0005-0000-0000-0000A5670000}"/>
    <cellStyle name="Normal 3 3 2 7 5 2 2" xfId="34351" xr:uid="{00000000-0005-0000-0000-0000A6670000}"/>
    <cellStyle name="Normal 3 3 2 7 5 2 3" xfId="34350" xr:uid="{00000000-0005-0000-0000-0000A7670000}"/>
    <cellStyle name="Normal 3 3 2 7 5 3" xfId="34352" xr:uid="{00000000-0005-0000-0000-0000A8670000}"/>
    <cellStyle name="Normal 3 3 2 7 5 3 2" xfId="34353" xr:uid="{00000000-0005-0000-0000-0000A9670000}"/>
    <cellStyle name="Normal 3 3 2 7 5 4" xfId="34354" xr:uid="{00000000-0005-0000-0000-0000AA670000}"/>
    <cellStyle name="Normal 3 3 2 7 5 5" xfId="34355" xr:uid="{00000000-0005-0000-0000-0000AB670000}"/>
    <cellStyle name="Normal 3 3 2 7 5 6" xfId="34349" xr:uid="{00000000-0005-0000-0000-0000AC670000}"/>
    <cellStyle name="Normal 3 3 2 7 6" xfId="5193" xr:uid="{00000000-0005-0000-0000-0000AD670000}"/>
    <cellStyle name="Normal 3 3 2 7 6 2" xfId="5194" xr:uid="{00000000-0005-0000-0000-0000AE670000}"/>
    <cellStyle name="Normal 3 3 2 7 6 2 2" xfId="34357" xr:uid="{00000000-0005-0000-0000-0000AF670000}"/>
    <cellStyle name="Normal 3 3 2 7 6 3" xfId="34356" xr:uid="{00000000-0005-0000-0000-0000B0670000}"/>
    <cellStyle name="Normal 3 3 2 7 7" xfId="5195" xr:uid="{00000000-0005-0000-0000-0000B1670000}"/>
    <cellStyle name="Normal 3 3 2 7 7 2" xfId="34359" xr:uid="{00000000-0005-0000-0000-0000B2670000}"/>
    <cellStyle name="Normal 3 3 2 7 7 3" xfId="34358" xr:uid="{00000000-0005-0000-0000-0000B3670000}"/>
    <cellStyle name="Normal 3 3 2 7 8" xfId="34360" xr:uid="{00000000-0005-0000-0000-0000B4670000}"/>
    <cellStyle name="Normal 3 3 2 7 8 2" xfId="34361" xr:uid="{00000000-0005-0000-0000-0000B5670000}"/>
    <cellStyle name="Normal 3 3 2 7 9" xfId="34362" xr:uid="{00000000-0005-0000-0000-0000B6670000}"/>
    <cellStyle name="Normal 3 3 2 8" xfId="5196" xr:uid="{00000000-0005-0000-0000-0000B7670000}"/>
    <cellStyle name="Normal 3 3 2 8 10" xfId="34364" xr:uid="{00000000-0005-0000-0000-0000B8670000}"/>
    <cellStyle name="Normal 3 3 2 8 11" xfId="34363" xr:uid="{00000000-0005-0000-0000-0000B9670000}"/>
    <cellStyle name="Normal 3 3 2 8 2" xfId="5197" xr:uid="{00000000-0005-0000-0000-0000BA670000}"/>
    <cellStyle name="Normal 3 3 2 8 2 2" xfId="5198" xr:uid="{00000000-0005-0000-0000-0000BB670000}"/>
    <cellStyle name="Normal 3 3 2 8 2 2 2" xfId="5199" xr:uid="{00000000-0005-0000-0000-0000BC670000}"/>
    <cellStyle name="Normal 3 3 2 8 2 2 2 2" xfId="34367" xr:uid="{00000000-0005-0000-0000-0000BD670000}"/>
    <cellStyle name="Normal 3 3 2 8 2 2 3" xfId="34366" xr:uid="{00000000-0005-0000-0000-0000BE670000}"/>
    <cellStyle name="Normal 3 3 2 8 2 3" xfId="5200" xr:uid="{00000000-0005-0000-0000-0000BF670000}"/>
    <cellStyle name="Normal 3 3 2 8 2 3 2" xfId="5201" xr:uid="{00000000-0005-0000-0000-0000C0670000}"/>
    <cellStyle name="Normal 3 3 2 8 2 3 2 2" xfId="34369" xr:uid="{00000000-0005-0000-0000-0000C1670000}"/>
    <cellStyle name="Normal 3 3 2 8 2 3 3" xfId="34368" xr:uid="{00000000-0005-0000-0000-0000C2670000}"/>
    <cellStyle name="Normal 3 3 2 8 2 4" xfId="5202" xr:uid="{00000000-0005-0000-0000-0000C3670000}"/>
    <cellStyle name="Normal 3 3 2 8 2 4 2" xfId="34371" xr:uid="{00000000-0005-0000-0000-0000C4670000}"/>
    <cellStyle name="Normal 3 3 2 8 2 4 3" xfId="34370" xr:uid="{00000000-0005-0000-0000-0000C5670000}"/>
    <cellStyle name="Normal 3 3 2 8 2 5" xfId="34372" xr:uid="{00000000-0005-0000-0000-0000C6670000}"/>
    <cellStyle name="Normal 3 3 2 8 2 6" xfId="34373" xr:uid="{00000000-0005-0000-0000-0000C7670000}"/>
    <cellStyle name="Normal 3 3 2 8 2 7" xfId="34365" xr:uid="{00000000-0005-0000-0000-0000C8670000}"/>
    <cellStyle name="Normal 3 3 2 8 3" xfId="5203" xr:uid="{00000000-0005-0000-0000-0000C9670000}"/>
    <cellStyle name="Normal 3 3 2 8 3 2" xfId="5204" xr:uid="{00000000-0005-0000-0000-0000CA670000}"/>
    <cellStyle name="Normal 3 3 2 8 3 2 2" xfId="34376" xr:uid="{00000000-0005-0000-0000-0000CB670000}"/>
    <cellStyle name="Normal 3 3 2 8 3 2 3" xfId="34375" xr:uid="{00000000-0005-0000-0000-0000CC670000}"/>
    <cellStyle name="Normal 3 3 2 8 3 3" xfId="5205" xr:uid="{00000000-0005-0000-0000-0000CD670000}"/>
    <cellStyle name="Normal 3 3 2 8 3 3 2" xfId="34378" xr:uid="{00000000-0005-0000-0000-0000CE670000}"/>
    <cellStyle name="Normal 3 3 2 8 3 3 3" xfId="34377" xr:uid="{00000000-0005-0000-0000-0000CF670000}"/>
    <cellStyle name="Normal 3 3 2 8 3 4" xfId="34379" xr:uid="{00000000-0005-0000-0000-0000D0670000}"/>
    <cellStyle name="Normal 3 3 2 8 3 4 2" xfId="34380" xr:uid="{00000000-0005-0000-0000-0000D1670000}"/>
    <cellStyle name="Normal 3 3 2 8 3 5" xfId="34381" xr:uid="{00000000-0005-0000-0000-0000D2670000}"/>
    <cellStyle name="Normal 3 3 2 8 3 6" xfId="34382" xr:uid="{00000000-0005-0000-0000-0000D3670000}"/>
    <cellStyle name="Normal 3 3 2 8 3 7" xfId="34374" xr:uid="{00000000-0005-0000-0000-0000D4670000}"/>
    <cellStyle name="Normal 3 3 2 8 4" xfId="5206" xr:uid="{00000000-0005-0000-0000-0000D5670000}"/>
    <cellStyle name="Normal 3 3 2 8 4 2" xfId="5207" xr:uid="{00000000-0005-0000-0000-0000D6670000}"/>
    <cellStyle name="Normal 3 3 2 8 4 2 2" xfId="34385" xr:uid="{00000000-0005-0000-0000-0000D7670000}"/>
    <cellStyle name="Normal 3 3 2 8 4 2 3" xfId="34384" xr:uid="{00000000-0005-0000-0000-0000D8670000}"/>
    <cellStyle name="Normal 3 3 2 8 4 3" xfId="34386" xr:uid="{00000000-0005-0000-0000-0000D9670000}"/>
    <cellStyle name="Normal 3 3 2 8 4 3 2" xfId="34387" xr:uid="{00000000-0005-0000-0000-0000DA670000}"/>
    <cellStyle name="Normal 3 3 2 8 4 4" xfId="34388" xr:uid="{00000000-0005-0000-0000-0000DB670000}"/>
    <cellStyle name="Normal 3 3 2 8 4 4 2" xfId="34389" xr:uid="{00000000-0005-0000-0000-0000DC670000}"/>
    <cellStyle name="Normal 3 3 2 8 4 5" xfId="34390" xr:uid="{00000000-0005-0000-0000-0000DD670000}"/>
    <cellStyle name="Normal 3 3 2 8 4 6" xfId="34391" xr:uid="{00000000-0005-0000-0000-0000DE670000}"/>
    <cellStyle name="Normal 3 3 2 8 4 7" xfId="34383" xr:uid="{00000000-0005-0000-0000-0000DF670000}"/>
    <cellStyle name="Normal 3 3 2 8 5" xfId="5208" xr:uid="{00000000-0005-0000-0000-0000E0670000}"/>
    <cellStyle name="Normal 3 3 2 8 5 2" xfId="5209" xr:uid="{00000000-0005-0000-0000-0000E1670000}"/>
    <cellStyle name="Normal 3 3 2 8 5 2 2" xfId="34394" xr:uid="{00000000-0005-0000-0000-0000E2670000}"/>
    <cellStyle name="Normal 3 3 2 8 5 2 3" xfId="34393" xr:uid="{00000000-0005-0000-0000-0000E3670000}"/>
    <cellStyle name="Normal 3 3 2 8 5 3" xfId="34395" xr:uid="{00000000-0005-0000-0000-0000E4670000}"/>
    <cellStyle name="Normal 3 3 2 8 5 3 2" xfId="34396" xr:uid="{00000000-0005-0000-0000-0000E5670000}"/>
    <cellStyle name="Normal 3 3 2 8 5 4" xfId="34397" xr:uid="{00000000-0005-0000-0000-0000E6670000}"/>
    <cellStyle name="Normal 3 3 2 8 5 5" xfId="34398" xr:uid="{00000000-0005-0000-0000-0000E7670000}"/>
    <cellStyle name="Normal 3 3 2 8 5 6" xfId="34392" xr:uid="{00000000-0005-0000-0000-0000E8670000}"/>
    <cellStyle name="Normal 3 3 2 8 6" xfId="5210" xr:uid="{00000000-0005-0000-0000-0000E9670000}"/>
    <cellStyle name="Normal 3 3 2 8 6 2" xfId="34400" xr:uid="{00000000-0005-0000-0000-0000EA670000}"/>
    <cellStyle name="Normal 3 3 2 8 6 3" xfId="34399" xr:uid="{00000000-0005-0000-0000-0000EB670000}"/>
    <cellStyle name="Normal 3 3 2 8 7" xfId="34401" xr:uid="{00000000-0005-0000-0000-0000EC670000}"/>
    <cellStyle name="Normal 3 3 2 8 7 2" xfId="34402" xr:uid="{00000000-0005-0000-0000-0000ED670000}"/>
    <cellStyle name="Normal 3 3 2 8 8" xfId="34403" xr:uid="{00000000-0005-0000-0000-0000EE670000}"/>
    <cellStyle name="Normal 3 3 2 8 8 2" xfId="34404" xr:uid="{00000000-0005-0000-0000-0000EF670000}"/>
    <cellStyle name="Normal 3 3 2 8 9" xfId="34405" xr:uid="{00000000-0005-0000-0000-0000F0670000}"/>
    <cellStyle name="Normal 3 3 2 9" xfId="5211" xr:uid="{00000000-0005-0000-0000-0000F1670000}"/>
    <cellStyle name="Normal 3 3 2 9 2" xfId="5212" xr:uid="{00000000-0005-0000-0000-0000F2670000}"/>
    <cellStyle name="Normal 3 3 2 9 2 2" xfId="5213" xr:uid="{00000000-0005-0000-0000-0000F3670000}"/>
    <cellStyle name="Normal 3 3 2 9 2 2 2" xfId="34408" xr:uid="{00000000-0005-0000-0000-0000F4670000}"/>
    <cellStyle name="Normal 3 3 2 9 2 3" xfId="34407" xr:uid="{00000000-0005-0000-0000-0000F5670000}"/>
    <cellStyle name="Normal 3 3 2 9 3" xfId="5214" xr:uid="{00000000-0005-0000-0000-0000F6670000}"/>
    <cellStyle name="Normal 3 3 2 9 3 2" xfId="5215" xr:uid="{00000000-0005-0000-0000-0000F7670000}"/>
    <cellStyle name="Normal 3 3 2 9 3 2 2" xfId="34410" xr:uid="{00000000-0005-0000-0000-0000F8670000}"/>
    <cellStyle name="Normal 3 3 2 9 3 3" xfId="34409" xr:uid="{00000000-0005-0000-0000-0000F9670000}"/>
    <cellStyle name="Normal 3 3 2 9 4" xfId="5216" xr:uid="{00000000-0005-0000-0000-0000FA670000}"/>
    <cellStyle name="Normal 3 3 2 9 4 2" xfId="34412" xr:uid="{00000000-0005-0000-0000-0000FB670000}"/>
    <cellStyle name="Normal 3 3 2 9 4 3" xfId="34411" xr:uid="{00000000-0005-0000-0000-0000FC670000}"/>
    <cellStyle name="Normal 3 3 2 9 5" xfId="34413" xr:uid="{00000000-0005-0000-0000-0000FD670000}"/>
    <cellStyle name="Normal 3 3 2 9 6" xfId="34414" xr:uid="{00000000-0005-0000-0000-0000FE670000}"/>
    <cellStyle name="Normal 3 3 2 9 7" xfId="34406" xr:uid="{00000000-0005-0000-0000-0000FF670000}"/>
    <cellStyle name="Normal 3 3 3" xfId="5217" xr:uid="{00000000-0005-0000-0000-000000680000}"/>
    <cellStyle name="Normal 3 3 3 10" xfId="5218" xr:uid="{00000000-0005-0000-0000-000001680000}"/>
    <cellStyle name="Normal 3 3 3 10 2" xfId="5219" xr:uid="{00000000-0005-0000-0000-000002680000}"/>
    <cellStyle name="Normal 3 3 3 10 2 2" xfId="34417" xr:uid="{00000000-0005-0000-0000-000003680000}"/>
    <cellStyle name="Normal 3 3 3 10 3" xfId="5220" xr:uid="{00000000-0005-0000-0000-000004680000}"/>
    <cellStyle name="Normal 3 3 3 10 4" xfId="34416" xr:uid="{00000000-0005-0000-0000-000005680000}"/>
    <cellStyle name="Normal 3 3 3 11" xfId="5221" xr:uid="{00000000-0005-0000-0000-000006680000}"/>
    <cellStyle name="Normal 3 3 3 11 2" xfId="5222" xr:uid="{00000000-0005-0000-0000-000007680000}"/>
    <cellStyle name="Normal 3 3 3 11 2 2" xfId="34419" xr:uid="{00000000-0005-0000-0000-000008680000}"/>
    <cellStyle name="Normal 3 3 3 11 3" xfId="34418" xr:uid="{00000000-0005-0000-0000-000009680000}"/>
    <cellStyle name="Normal 3 3 3 12" xfId="5223" xr:uid="{00000000-0005-0000-0000-00000A680000}"/>
    <cellStyle name="Normal 3 3 3 12 2" xfId="5224" xr:uid="{00000000-0005-0000-0000-00000B680000}"/>
    <cellStyle name="Normal 3 3 3 12 3" xfId="34420" xr:uid="{00000000-0005-0000-0000-00000C680000}"/>
    <cellStyle name="Normal 3 3 3 13" xfId="5225" xr:uid="{00000000-0005-0000-0000-00000D680000}"/>
    <cellStyle name="Normal 3 3 3 13 2" xfId="34421" xr:uid="{00000000-0005-0000-0000-00000E680000}"/>
    <cellStyle name="Normal 3 3 3 14" xfId="34415" xr:uid="{00000000-0005-0000-0000-00000F680000}"/>
    <cellStyle name="Normal 3 3 3 2" xfId="5226" xr:uid="{00000000-0005-0000-0000-000010680000}"/>
    <cellStyle name="Normal 3 3 3 2 10" xfId="5227" xr:uid="{00000000-0005-0000-0000-000011680000}"/>
    <cellStyle name="Normal 3 3 3 2 10 2" xfId="5228" xr:uid="{00000000-0005-0000-0000-000012680000}"/>
    <cellStyle name="Normal 3 3 3 2 10 3" xfId="34423" xr:uid="{00000000-0005-0000-0000-000013680000}"/>
    <cellStyle name="Normal 3 3 3 2 11" xfId="5229" xr:uid="{00000000-0005-0000-0000-000014680000}"/>
    <cellStyle name="Normal 3 3 3 2 11 2" xfId="34424" xr:uid="{00000000-0005-0000-0000-000015680000}"/>
    <cellStyle name="Normal 3 3 3 2 12" xfId="34422" xr:uid="{00000000-0005-0000-0000-000016680000}"/>
    <cellStyle name="Normal 3 3 3 2 2" xfId="5230" xr:uid="{00000000-0005-0000-0000-000017680000}"/>
    <cellStyle name="Normal 3 3 3 2 2 2" xfId="5231" xr:uid="{00000000-0005-0000-0000-000018680000}"/>
    <cellStyle name="Normal 3 3 3 2 2 2 2" xfId="5232" xr:uid="{00000000-0005-0000-0000-000019680000}"/>
    <cellStyle name="Normal 3 3 3 2 2 2 2 2" xfId="5233" xr:uid="{00000000-0005-0000-0000-00001A680000}"/>
    <cellStyle name="Normal 3 3 3 2 2 2 2 2 2" xfId="5234" xr:uid="{00000000-0005-0000-0000-00001B680000}"/>
    <cellStyle name="Normal 3 3 3 2 2 2 2 2 3" xfId="5235" xr:uid="{00000000-0005-0000-0000-00001C680000}"/>
    <cellStyle name="Normal 3 3 3 2 2 2 2 3" xfId="5236" xr:uid="{00000000-0005-0000-0000-00001D680000}"/>
    <cellStyle name="Normal 3 3 3 2 2 2 2 3 2" xfId="5237" xr:uid="{00000000-0005-0000-0000-00001E680000}"/>
    <cellStyle name="Normal 3 3 3 2 2 2 2 4" xfId="5238" xr:uid="{00000000-0005-0000-0000-00001F680000}"/>
    <cellStyle name="Normal 3 3 3 2 2 2 2 4 2" xfId="5239" xr:uid="{00000000-0005-0000-0000-000020680000}"/>
    <cellStyle name="Normal 3 3 3 2 2 2 2 5" xfId="5240" xr:uid="{00000000-0005-0000-0000-000021680000}"/>
    <cellStyle name="Normal 3 3 3 2 2 2 2 6" xfId="34427" xr:uid="{00000000-0005-0000-0000-000022680000}"/>
    <cellStyle name="Normal 3 3 3 2 2 2 3" xfId="5241" xr:uid="{00000000-0005-0000-0000-000023680000}"/>
    <cellStyle name="Normal 3 3 3 2 2 2 3 2" xfId="5242" xr:uid="{00000000-0005-0000-0000-000024680000}"/>
    <cellStyle name="Normal 3 3 3 2 2 2 3 2 2" xfId="5243" xr:uid="{00000000-0005-0000-0000-000025680000}"/>
    <cellStyle name="Normal 3 3 3 2 2 2 3 3" xfId="5244" xr:uid="{00000000-0005-0000-0000-000026680000}"/>
    <cellStyle name="Normal 3 3 3 2 2 2 3 3 2" xfId="5245" xr:uid="{00000000-0005-0000-0000-000027680000}"/>
    <cellStyle name="Normal 3 3 3 2 2 2 3 4" xfId="5246" xr:uid="{00000000-0005-0000-0000-000028680000}"/>
    <cellStyle name="Normal 3 3 3 2 2 2 4" xfId="5247" xr:uid="{00000000-0005-0000-0000-000029680000}"/>
    <cellStyle name="Normal 3 3 3 2 2 2 4 2" xfId="5248" xr:uid="{00000000-0005-0000-0000-00002A680000}"/>
    <cellStyle name="Normal 3 3 3 2 2 2 4 3" xfId="5249" xr:uid="{00000000-0005-0000-0000-00002B680000}"/>
    <cellStyle name="Normal 3 3 3 2 2 2 5" xfId="5250" xr:uid="{00000000-0005-0000-0000-00002C680000}"/>
    <cellStyle name="Normal 3 3 3 2 2 2 5 2" xfId="5251" xr:uid="{00000000-0005-0000-0000-00002D680000}"/>
    <cellStyle name="Normal 3 3 3 2 2 2 6" xfId="5252" xr:uid="{00000000-0005-0000-0000-00002E680000}"/>
    <cellStyle name="Normal 3 3 3 2 2 2 6 2" xfId="5253" xr:uid="{00000000-0005-0000-0000-00002F680000}"/>
    <cellStyle name="Normal 3 3 3 2 2 2 7" xfId="5254" xr:uid="{00000000-0005-0000-0000-000030680000}"/>
    <cellStyle name="Normal 3 3 3 2 2 2 8" xfId="34426" xr:uid="{00000000-0005-0000-0000-000031680000}"/>
    <cellStyle name="Normal 3 3 3 2 2 3" xfId="5255" xr:uid="{00000000-0005-0000-0000-000032680000}"/>
    <cellStyle name="Normal 3 3 3 2 2 3 2" xfId="5256" xr:uid="{00000000-0005-0000-0000-000033680000}"/>
    <cellStyle name="Normal 3 3 3 2 2 3 2 2" xfId="5257" xr:uid="{00000000-0005-0000-0000-000034680000}"/>
    <cellStyle name="Normal 3 3 3 2 2 3 2 3" xfId="5258" xr:uid="{00000000-0005-0000-0000-000035680000}"/>
    <cellStyle name="Normal 3 3 3 2 2 3 2 4" xfId="34429" xr:uid="{00000000-0005-0000-0000-000036680000}"/>
    <cellStyle name="Normal 3 3 3 2 2 3 3" xfId="5259" xr:uid="{00000000-0005-0000-0000-000037680000}"/>
    <cellStyle name="Normal 3 3 3 2 2 3 3 2" xfId="5260" xr:uid="{00000000-0005-0000-0000-000038680000}"/>
    <cellStyle name="Normal 3 3 3 2 2 3 4" xfId="5261" xr:uid="{00000000-0005-0000-0000-000039680000}"/>
    <cellStyle name="Normal 3 3 3 2 2 3 4 2" xfId="5262" xr:uid="{00000000-0005-0000-0000-00003A680000}"/>
    <cellStyle name="Normal 3 3 3 2 2 3 5" xfId="5263" xr:uid="{00000000-0005-0000-0000-00003B680000}"/>
    <cellStyle name="Normal 3 3 3 2 2 3 6" xfId="34428" xr:uid="{00000000-0005-0000-0000-00003C680000}"/>
    <cellStyle name="Normal 3 3 3 2 2 4" xfId="5264" xr:uid="{00000000-0005-0000-0000-00003D680000}"/>
    <cellStyle name="Normal 3 3 3 2 2 4 2" xfId="5265" xr:uid="{00000000-0005-0000-0000-00003E680000}"/>
    <cellStyle name="Normal 3 3 3 2 2 4 2 2" xfId="5266" xr:uid="{00000000-0005-0000-0000-00003F680000}"/>
    <cellStyle name="Normal 3 3 3 2 2 4 2 3" xfId="34431" xr:uid="{00000000-0005-0000-0000-000040680000}"/>
    <cellStyle name="Normal 3 3 3 2 2 4 3" xfId="5267" xr:uid="{00000000-0005-0000-0000-000041680000}"/>
    <cellStyle name="Normal 3 3 3 2 2 4 3 2" xfId="5268" xr:uid="{00000000-0005-0000-0000-000042680000}"/>
    <cellStyle name="Normal 3 3 3 2 2 4 4" xfId="5269" xr:uid="{00000000-0005-0000-0000-000043680000}"/>
    <cellStyle name="Normal 3 3 3 2 2 4 5" xfId="34430" xr:uid="{00000000-0005-0000-0000-000044680000}"/>
    <cellStyle name="Normal 3 3 3 2 2 5" xfId="5270" xr:uid="{00000000-0005-0000-0000-000045680000}"/>
    <cellStyle name="Normal 3 3 3 2 2 5 2" xfId="5271" xr:uid="{00000000-0005-0000-0000-000046680000}"/>
    <cellStyle name="Normal 3 3 3 2 2 5 3" xfId="5272" xr:uid="{00000000-0005-0000-0000-000047680000}"/>
    <cellStyle name="Normal 3 3 3 2 2 5 4" xfId="34432" xr:uid="{00000000-0005-0000-0000-000048680000}"/>
    <cellStyle name="Normal 3 3 3 2 2 6" xfId="5273" xr:uid="{00000000-0005-0000-0000-000049680000}"/>
    <cellStyle name="Normal 3 3 3 2 2 6 2" xfId="5274" xr:uid="{00000000-0005-0000-0000-00004A680000}"/>
    <cellStyle name="Normal 3 3 3 2 2 6 3" xfId="34433" xr:uid="{00000000-0005-0000-0000-00004B680000}"/>
    <cellStyle name="Normal 3 3 3 2 2 7" xfId="5275" xr:uid="{00000000-0005-0000-0000-00004C680000}"/>
    <cellStyle name="Normal 3 3 3 2 2 7 2" xfId="5276" xr:uid="{00000000-0005-0000-0000-00004D680000}"/>
    <cellStyle name="Normal 3 3 3 2 2 8" xfId="5277" xr:uid="{00000000-0005-0000-0000-00004E680000}"/>
    <cellStyle name="Normal 3 3 3 2 2 9" xfId="34425" xr:uid="{00000000-0005-0000-0000-00004F680000}"/>
    <cellStyle name="Normal 3 3 3 2 3" xfId="5278" xr:uid="{00000000-0005-0000-0000-000050680000}"/>
    <cellStyle name="Normal 3 3 3 2 3 2" xfId="5279" xr:uid="{00000000-0005-0000-0000-000051680000}"/>
    <cellStyle name="Normal 3 3 3 2 3 2 2" xfId="5280" xr:uid="{00000000-0005-0000-0000-000052680000}"/>
    <cellStyle name="Normal 3 3 3 2 3 2 2 2" xfId="5281" xr:uid="{00000000-0005-0000-0000-000053680000}"/>
    <cellStyle name="Normal 3 3 3 2 3 2 2 3" xfId="5282" xr:uid="{00000000-0005-0000-0000-000054680000}"/>
    <cellStyle name="Normal 3 3 3 2 3 2 2 4" xfId="34436" xr:uid="{00000000-0005-0000-0000-000055680000}"/>
    <cellStyle name="Normal 3 3 3 2 3 2 3" xfId="5283" xr:uid="{00000000-0005-0000-0000-000056680000}"/>
    <cellStyle name="Normal 3 3 3 2 3 2 3 2" xfId="5284" xr:uid="{00000000-0005-0000-0000-000057680000}"/>
    <cellStyle name="Normal 3 3 3 2 3 2 4" xfId="5285" xr:uid="{00000000-0005-0000-0000-000058680000}"/>
    <cellStyle name="Normal 3 3 3 2 3 2 4 2" xfId="5286" xr:uid="{00000000-0005-0000-0000-000059680000}"/>
    <cellStyle name="Normal 3 3 3 2 3 2 5" xfId="5287" xr:uid="{00000000-0005-0000-0000-00005A680000}"/>
    <cellStyle name="Normal 3 3 3 2 3 2 6" xfId="34435" xr:uid="{00000000-0005-0000-0000-00005B680000}"/>
    <cellStyle name="Normal 3 3 3 2 3 3" xfId="5288" xr:uid="{00000000-0005-0000-0000-00005C680000}"/>
    <cellStyle name="Normal 3 3 3 2 3 3 2" xfId="5289" xr:uid="{00000000-0005-0000-0000-00005D680000}"/>
    <cellStyle name="Normal 3 3 3 2 3 3 2 2" xfId="5290" xr:uid="{00000000-0005-0000-0000-00005E680000}"/>
    <cellStyle name="Normal 3 3 3 2 3 3 2 3" xfId="34438" xr:uid="{00000000-0005-0000-0000-00005F680000}"/>
    <cellStyle name="Normal 3 3 3 2 3 3 3" xfId="5291" xr:uid="{00000000-0005-0000-0000-000060680000}"/>
    <cellStyle name="Normal 3 3 3 2 3 3 3 2" xfId="5292" xr:uid="{00000000-0005-0000-0000-000061680000}"/>
    <cellStyle name="Normal 3 3 3 2 3 3 4" xfId="5293" xr:uid="{00000000-0005-0000-0000-000062680000}"/>
    <cellStyle name="Normal 3 3 3 2 3 3 5" xfId="34437" xr:uid="{00000000-0005-0000-0000-000063680000}"/>
    <cellStyle name="Normal 3 3 3 2 3 4" xfId="5294" xr:uid="{00000000-0005-0000-0000-000064680000}"/>
    <cellStyle name="Normal 3 3 3 2 3 4 2" xfId="5295" xr:uid="{00000000-0005-0000-0000-000065680000}"/>
    <cellStyle name="Normal 3 3 3 2 3 4 2 2" xfId="34440" xr:uid="{00000000-0005-0000-0000-000066680000}"/>
    <cellStyle name="Normal 3 3 3 2 3 4 3" xfId="5296" xr:uid="{00000000-0005-0000-0000-000067680000}"/>
    <cellStyle name="Normal 3 3 3 2 3 4 4" xfId="34439" xr:uid="{00000000-0005-0000-0000-000068680000}"/>
    <cellStyle name="Normal 3 3 3 2 3 5" xfId="5297" xr:uid="{00000000-0005-0000-0000-000069680000}"/>
    <cellStyle name="Normal 3 3 3 2 3 5 2" xfId="5298" xr:uid="{00000000-0005-0000-0000-00006A680000}"/>
    <cellStyle name="Normal 3 3 3 2 3 5 3" xfId="34441" xr:uid="{00000000-0005-0000-0000-00006B680000}"/>
    <cellStyle name="Normal 3 3 3 2 3 6" xfId="5299" xr:uid="{00000000-0005-0000-0000-00006C680000}"/>
    <cellStyle name="Normal 3 3 3 2 3 6 2" xfId="5300" xr:uid="{00000000-0005-0000-0000-00006D680000}"/>
    <cellStyle name="Normal 3 3 3 2 3 6 3" xfId="34442" xr:uid="{00000000-0005-0000-0000-00006E680000}"/>
    <cellStyle name="Normal 3 3 3 2 3 7" xfId="5301" xr:uid="{00000000-0005-0000-0000-00006F680000}"/>
    <cellStyle name="Normal 3 3 3 2 3 8" xfId="34434" xr:uid="{00000000-0005-0000-0000-000070680000}"/>
    <cellStyle name="Normal 3 3 3 2 4" xfId="5302" xr:uid="{00000000-0005-0000-0000-000071680000}"/>
    <cellStyle name="Normal 3 3 3 2 4 2" xfId="5303" xr:uid="{00000000-0005-0000-0000-000072680000}"/>
    <cellStyle name="Normal 3 3 3 2 4 2 2" xfId="5304" xr:uid="{00000000-0005-0000-0000-000073680000}"/>
    <cellStyle name="Normal 3 3 3 2 4 2 2 2" xfId="5305" xr:uid="{00000000-0005-0000-0000-000074680000}"/>
    <cellStyle name="Normal 3 3 3 2 4 2 2 3" xfId="5306" xr:uid="{00000000-0005-0000-0000-000075680000}"/>
    <cellStyle name="Normal 3 3 3 2 4 2 2 4" xfId="34445" xr:uid="{00000000-0005-0000-0000-000076680000}"/>
    <cellStyle name="Normal 3 3 3 2 4 2 3" xfId="5307" xr:uid="{00000000-0005-0000-0000-000077680000}"/>
    <cellStyle name="Normal 3 3 3 2 4 2 3 2" xfId="5308" xr:uid="{00000000-0005-0000-0000-000078680000}"/>
    <cellStyle name="Normal 3 3 3 2 4 2 4" xfId="5309" xr:uid="{00000000-0005-0000-0000-000079680000}"/>
    <cellStyle name="Normal 3 3 3 2 4 2 4 2" xfId="5310" xr:uid="{00000000-0005-0000-0000-00007A680000}"/>
    <cellStyle name="Normal 3 3 3 2 4 2 5" xfId="5311" xr:uid="{00000000-0005-0000-0000-00007B680000}"/>
    <cellStyle name="Normal 3 3 3 2 4 2 6" xfId="34444" xr:uid="{00000000-0005-0000-0000-00007C680000}"/>
    <cellStyle name="Normal 3 3 3 2 4 3" xfId="5312" xr:uid="{00000000-0005-0000-0000-00007D680000}"/>
    <cellStyle name="Normal 3 3 3 2 4 3 2" xfId="5313" xr:uid="{00000000-0005-0000-0000-00007E680000}"/>
    <cellStyle name="Normal 3 3 3 2 4 3 2 2" xfId="5314" xr:uid="{00000000-0005-0000-0000-00007F680000}"/>
    <cellStyle name="Normal 3 3 3 2 4 3 2 3" xfId="34447" xr:uid="{00000000-0005-0000-0000-000080680000}"/>
    <cellStyle name="Normal 3 3 3 2 4 3 3" xfId="5315" xr:uid="{00000000-0005-0000-0000-000081680000}"/>
    <cellStyle name="Normal 3 3 3 2 4 3 3 2" xfId="5316" xr:uid="{00000000-0005-0000-0000-000082680000}"/>
    <cellStyle name="Normal 3 3 3 2 4 3 4" xfId="5317" xr:uid="{00000000-0005-0000-0000-000083680000}"/>
    <cellStyle name="Normal 3 3 3 2 4 3 5" xfId="34446" xr:uid="{00000000-0005-0000-0000-000084680000}"/>
    <cellStyle name="Normal 3 3 3 2 4 4" xfId="5318" xr:uid="{00000000-0005-0000-0000-000085680000}"/>
    <cellStyle name="Normal 3 3 3 2 4 4 2" xfId="5319" xr:uid="{00000000-0005-0000-0000-000086680000}"/>
    <cellStyle name="Normal 3 3 3 2 4 4 2 2" xfId="34449" xr:uid="{00000000-0005-0000-0000-000087680000}"/>
    <cellStyle name="Normal 3 3 3 2 4 4 3" xfId="5320" xr:uid="{00000000-0005-0000-0000-000088680000}"/>
    <cellStyle name="Normal 3 3 3 2 4 4 4" xfId="34448" xr:uid="{00000000-0005-0000-0000-000089680000}"/>
    <cellStyle name="Normal 3 3 3 2 4 5" xfId="5321" xr:uid="{00000000-0005-0000-0000-00008A680000}"/>
    <cellStyle name="Normal 3 3 3 2 4 5 2" xfId="5322" xr:uid="{00000000-0005-0000-0000-00008B680000}"/>
    <cellStyle name="Normal 3 3 3 2 4 5 3" xfId="34450" xr:uid="{00000000-0005-0000-0000-00008C680000}"/>
    <cellStyle name="Normal 3 3 3 2 4 6" xfId="5323" xr:uid="{00000000-0005-0000-0000-00008D680000}"/>
    <cellStyle name="Normal 3 3 3 2 4 6 2" xfId="5324" xr:uid="{00000000-0005-0000-0000-00008E680000}"/>
    <cellStyle name="Normal 3 3 3 2 4 6 3" xfId="34451" xr:uid="{00000000-0005-0000-0000-00008F680000}"/>
    <cellStyle name="Normal 3 3 3 2 4 7" xfId="5325" xr:uid="{00000000-0005-0000-0000-000090680000}"/>
    <cellStyle name="Normal 3 3 3 2 4 8" xfId="34443" xr:uid="{00000000-0005-0000-0000-000091680000}"/>
    <cellStyle name="Normal 3 3 3 2 5" xfId="5326" xr:uid="{00000000-0005-0000-0000-000092680000}"/>
    <cellStyle name="Normal 3 3 3 2 5 2" xfId="5327" xr:uid="{00000000-0005-0000-0000-000093680000}"/>
    <cellStyle name="Normal 3 3 3 2 5 2 2" xfId="5328" xr:uid="{00000000-0005-0000-0000-000094680000}"/>
    <cellStyle name="Normal 3 3 3 2 5 2 2 2" xfId="5329" xr:uid="{00000000-0005-0000-0000-000095680000}"/>
    <cellStyle name="Normal 3 3 3 2 5 2 2 3" xfId="34454" xr:uid="{00000000-0005-0000-0000-000096680000}"/>
    <cellStyle name="Normal 3 3 3 2 5 2 3" xfId="5330" xr:uid="{00000000-0005-0000-0000-000097680000}"/>
    <cellStyle name="Normal 3 3 3 2 5 2 3 2" xfId="5331" xr:uid="{00000000-0005-0000-0000-000098680000}"/>
    <cellStyle name="Normal 3 3 3 2 5 2 4" xfId="5332" xr:uid="{00000000-0005-0000-0000-000099680000}"/>
    <cellStyle name="Normal 3 3 3 2 5 2 5" xfId="34453" xr:uid="{00000000-0005-0000-0000-00009A680000}"/>
    <cellStyle name="Normal 3 3 3 2 5 3" xfId="5333" xr:uid="{00000000-0005-0000-0000-00009B680000}"/>
    <cellStyle name="Normal 3 3 3 2 5 3 2" xfId="5334" xr:uid="{00000000-0005-0000-0000-00009C680000}"/>
    <cellStyle name="Normal 3 3 3 2 5 3 2 2" xfId="34456" xr:uid="{00000000-0005-0000-0000-00009D680000}"/>
    <cellStyle name="Normal 3 3 3 2 5 3 3" xfId="5335" xr:uid="{00000000-0005-0000-0000-00009E680000}"/>
    <cellStyle name="Normal 3 3 3 2 5 3 4" xfId="34455" xr:uid="{00000000-0005-0000-0000-00009F680000}"/>
    <cellStyle name="Normal 3 3 3 2 5 4" xfId="5336" xr:uid="{00000000-0005-0000-0000-0000A0680000}"/>
    <cellStyle name="Normal 3 3 3 2 5 4 2" xfId="5337" xr:uid="{00000000-0005-0000-0000-0000A1680000}"/>
    <cellStyle name="Normal 3 3 3 2 5 4 2 2" xfId="34458" xr:uid="{00000000-0005-0000-0000-0000A2680000}"/>
    <cellStyle name="Normal 3 3 3 2 5 4 3" xfId="34457" xr:uid="{00000000-0005-0000-0000-0000A3680000}"/>
    <cellStyle name="Normal 3 3 3 2 5 5" xfId="5338" xr:uid="{00000000-0005-0000-0000-0000A4680000}"/>
    <cellStyle name="Normal 3 3 3 2 5 5 2" xfId="5339" xr:uid="{00000000-0005-0000-0000-0000A5680000}"/>
    <cellStyle name="Normal 3 3 3 2 5 5 3" xfId="34459" xr:uid="{00000000-0005-0000-0000-0000A6680000}"/>
    <cellStyle name="Normal 3 3 3 2 5 6" xfId="5340" xr:uid="{00000000-0005-0000-0000-0000A7680000}"/>
    <cellStyle name="Normal 3 3 3 2 5 6 2" xfId="34460" xr:uid="{00000000-0005-0000-0000-0000A8680000}"/>
    <cellStyle name="Normal 3 3 3 2 5 7" xfId="34452" xr:uid="{00000000-0005-0000-0000-0000A9680000}"/>
    <cellStyle name="Normal 3 3 3 2 6" xfId="5341" xr:uid="{00000000-0005-0000-0000-0000AA680000}"/>
    <cellStyle name="Normal 3 3 3 2 6 2" xfId="5342" xr:uid="{00000000-0005-0000-0000-0000AB680000}"/>
    <cellStyle name="Normal 3 3 3 2 6 2 2" xfId="5343" xr:uid="{00000000-0005-0000-0000-0000AC680000}"/>
    <cellStyle name="Normal 3 3 3 2 6 2 2 2" xfId="34463" xr:uid="{00000000-0005-0000-0000-0000AD680000}"/>
    <cellStyle name="Normal 3 3 3 2 6 2 3" xfId="34462" xr:uid="{00000000-0005-0000-0000-0000AE680000}"/>
    <cellStyle name="Normal 3 3 3 2 6 3" xfId="5344" xr:uid="{00000000-0005-0000-0000-0000AF680000}"/>
    <cellStyle name="Normal 3 3 3 2 6 3 2" xfId="5345" xr:uid="{00000000-0005-0000-0000-0000B0680000}"/>
    <cellStyle name="Normal 3 3 3 2 6 3 2 2" xfId="34465" xr:uid="{00000000-0005-0000-0000-0000B1680000}"/>
    <cellStyle name="Normal 3 3 3 2 6 3 3" xfId="34464" xr:uid="{00000000-0005-0000-0000-0000B2680000}"/>
    <cellStyle name="Normal 3 3 3 2 6 4" xfId="5346" xr:uid="{00000000-0005-0000-0000-0000B3680000}"/>
    <cellStyle name="Normal 3 3 3 2 6 4 2" xfId="34466" xr:uid="{00000000-0005-0000-0000-0000B4680000}"/>
    <cellStyle name="Normal 3 3 3 2 6 5" xfId="34467" xr:uid="{00000000-0005-0000-0000-0000B5680000}"/>
    <cellStyle name="Normal 3 3 3 2 6 6" xfId="34461" xr:uid="{00000000-0005-0000-0000-0000B6680000}"/>
    <cellStyle name="Normal 3 3 3 2 7" xfId="5347" xr:uid="{00000000-0005-0000-0000-0000B7680000}"/>
    <cellStyle name="Normal 3 3 3 2 7 2" xfId="5348" xr:uid="{00000000-0005-0000-0000-0000B8680000}"/>
    <cellStyle name="Normal 3 3 3 2 7 2 2" xfId="5349" xr:uid="{00000000-0005-0000-0000-0000B9680000}"/>
    <cellStyle name="Normal 3 3 3 2 7 2 3" xfId="34469" xr:uid="{00000000-0005-0000-0000-0000BA680000}"/>
    <cellStyle name="Normal 3 3 3 2 7 3" xfId="5350" xr:uid="{00000000-0005-0000-0000-0000BB680000}"/>
    <cellStyle name="Normal 3 3 3 2 7 3 2" xfId="5351" xr:uid="{00000000-0005-0000-0000-0000BC680000}"/>
    <cellStyle name="Normal 3 3 3 2 7 4" xfId="5352" xr:uid="{00000000-0005-0000-0000-0000BD680000}"/>
    <cellStyle name="Normal 3 3 3 2 7 5" xfId="34468" xr:uid="{00000000-0005-0000-0000-0000BE680000}"/>
    <cellStyle name="Normal 3 3 3 2 8" xfId="5353" xr:uid="{00000000-0005-0000-0000-0000BF680000}"/>
    <cellStyle name="Normal 3 3 3 2 8 2" xfId="5354" xr:uid="{00000000-0005-0000-0000-0000C0680000}"/>
    <cellStyle name="Normal 3 3 3 2 8 2 2" xfId="34471" xr:uid="{00000000-0005-0000-0000-0000C1680000}"/>
    <cellStyle name="Normal 3 3 3 2 8 3" xfId="5355" xr:uid="{00000000-0005-0000-0000-0000C2680000}"/>
    <cellStyle name="Normal 3 3 3 2 8 4" xfId="34470" xr:uid="{00000000-0005-0000-0000-0000C3680000}"/>
    <cellStyle name="Normal 3 3 3 2 9" xfId="5356" xr:uid="{00000000-0005-0000-0000-0000C4680000}"/>
    <cellStyle name="Normal 3 3 3 2 9 2" xfId="5357" xr:uid="{00000000-0005-0000-0000-0000C5680000}"/>
    <cellStyle name="Normal 3 3 3 2 9 2 2" xfId="34473" xr:uid="{00000000-0005-0000-0000-0000C6680000}"/>
    <cellStyle name="Normal 3 3 3 2 9 3" xfId="34472" xr:uid="{00000000-0005-0000-0000-0000C7680000}"/>
    <cellStyle name="Normal 3 3 3 3" xfId="5358" xr:uid="{00000000-0005-0000-0000-0000C8680000}"/>
    <cellStyle name="Normal 3 3 3 3 10" xfId="5359" xr:uid="{00000000-0005-0000-0000-0000C9680000}"/>
    <cellStyle name="Normal 3 3 3 3 10 2" xfId="34475" xr:uid="{00000000-0005-0000-0000-0000CA680000}"/>
    <cellStyle name="Normal 3 3 3 3 11" xfId="34474" xr:uid="{00000000-0005-0000-0000-0000CB680000}"/>
    <cellStyle name="Normal 3 3 3 3 2" xfId="5360" xr:uid="{00000000-0005-0000-0000-0000CC680000}"/>
    <cellStyle name="Normal 3 3 3 3 2 2" xfId="5361" xr:uid="{00000000-0005-0000-0000-0000CD680000}"/>
    <cellStyle name="Normal 3 3 3 3 2 2 2" xfId="5362" xr:uid="{00000000-0005-0000-0000-0000CE680000}"/>
    <cellStyle name="Normal 3 3 3 3 2 2 2 2" xfId="5363" xr:uid="{00000000-0005-0000-0000-0000CF680000}"/>
    <cellStyle name="Normal 3 3 3 3 2 2 2 3" xfId="5364" xr:uid="{00000000-0005-0000-0000-0000D0680000}"/>
    <cellStyle name="Normal 3 3 3 3 2 2 2 4" xfId="34478" xr:uid="{00000000-0005-0000-0000-0000D1680000}"/>
    <cellStyle name="Normal 3 3 3 3 2 2 3" xfId="5365" xr:uid="{00000000-0005-0000-0000-0000D2680000}"/>
    <cellStyle name="Normal 3 3 3 3 2 2 3 2" xfId="5366" xr:uid="{00000000-0005-0000-0000-0000D3680000}"/>
    <cellStyle name="Normal 3 3 3 3 2 2 4" xfId="5367" xr:uid="{00000000-0005-0000-0000-0000D4680000}"/>
    <cellStyle name="Normal 3 3 3 3 2 2 4 2" xfId="5368" xr:uid="{00000000-0005-0000-0000-0000D5680000}"/>
    <cellStyle name="Normal 3 3 3 3 2 2 5" xfId="5369" xr:uid="{00000000-0005-0000-0000-0000D6680000}"/>
    <cellStyle name="Normal 3 3 3 3 2 2 6" xfId="34477" xr:uid="{00000000-0005-0000-0000-0000D7680000}"/>
    <cellStyle name="Normal 3 3 3 3 2 3" xfId="5370" xr:uid="{00000000-0005-0000-0000-0000D8680000}"/>
    <cellStyle name="Normal 3 3 3 3 2 3 2" xfId="5371" xr:uid="{00000000-0005-0000-0000-0000D9680000}"/>
    <cellStyle name="Normal 3 3 3 3 2 3 2 2" xfId="5372" xr:uid="{00000000-0005-0000-0000-0000DA680000}"/>
    <cellStyle name="Normal 3 3 3 3 2 3 2 3" xfId="34480" xr:uid="{00000000-0005-0000-0000-0000DB680000}"/>
    <cellStyle name="Normal 3 3 3 3 2 3 3" xfId="5373" xr:uid="{00000000-0005-0000-0000-0000DC680000}"/>
    <cellStyle name="Normal 3 3 3 3 2 3 3 2" xfId="5374" xr:uid="{00000000-0005-0000-0000-0000DD680000}"/>
    <cellStyle name="Normal 3 3 3 3 2 3 4" xfId="5375" xr:uid="{00000000-0005-0000-0000-0000DE680000}"/>
    <cellStyle name="Normal 3 3 3 3 2 3 5" xfId="34479" xr:uid="{00000000-0005-0000-0000-0000DF680000}"/>
    <cellStyle name="Normal 3 3 3 3 2 4" xfId="5376" xr:uid="{00000000-0005-0000-0000-0000E0680000}"/>
    <cellStyle name="Normal 3 3 3 3 2 4 2" xfId="5377" xr:uid="{00000000-0005-0000-0000-0000E1680000}"/>
    <cellStyle name="Normal 3 3 3 3 2 4 2 2" xfId="34482" xr:uid="{00000000-0005-0000-0000-0000E2680000}"/>
    <cellStyle name="Normal 3 3 3 3 2 4 3" xfId="5378" xr:uid="{00000000-0005-0000-0000-0000E3680000}"/>
    <cellStyle name="Normal 3 3 3 3 2 4 4" xfId="34481" xr:uid="{00000000-0005-0000-0000-0000E4680000}"/>
    <cellStyle name="Normal 3 3 3 3 2 5" xfId="5379" xr:uid="{00000000-0005-0000-0000-0000E5680000}"/>
    <cellStyle name="Normal 3 3 3 3 2 5 2" xfId="5380" xr:uid="{00000000-0005-0000-0000-0000E6680000}"/>
    <cellStyle name="Normal 3 3 3 3 2 5 3" xfId="34483" xr:uid="{00000000-0005-0000-0000-0000E7680000}"/>
    <cellStyle name="Normal 3 3 3 3 2 6" xfId="5381" xr:uid="{00000000-0005-0000-0000-0000E8680000}"/>
    <cellStyle name="Normal 3 3 3 3 2 6 2" xfId="5382" xr:uid="{00000000-0005-0000-0000-0000E9680000}"/>
    <cellStyle name="Normal 3 3 3 3 2 6 3" xfId="34484" xr:uid="{00000000-0005-0000-0000-0000EA680000}"/>
    <cellStyle name="Normal 3 3 3 3 2 7" xfId="5383" xr:uid="{00000000-0005-0000-0000-0000EB680000}"/>
    <cellStyle name="Normal 3 3 3 3 2 8" xfId="34476" xr:uid="{00000000-0005-0000-0000-0000EC680000}"/>
    <cellStyle name="Normal 3 3 3 3 3" xfId="5384" xr:uid="{00000000-0005-0000-0000-0000ED680000}"/>
    <cellStyle name="Normal 3 3 3 3 3 2" xfId="5385" xr:uid="{00000000-0005-0000-0000-0000EE680000}"/>
    <cellStyle name="Normal 3 3 3 3 3 2 2" xfId="5386" xr:uid="{00000000-0005-0000-0000-0000EF680000}"/>
    <cellStyle name="Normal 3 3 3 3 3 2 2 2" xfId="5387" xr:uid="{00000000-0005-0000-0000-0000F0680000}"/>
    <cellStyle name="Normal 3 3 3 3 3 2 2 3" xfId="5388" xr:uid="{00000000-0005-0000-0000-0000F1680000}"/>
    <cellStyle name="Normal 3 3 3 3 3 2 2 4" xfId="34487" xr:uid="{00000000-0005-0000-0000-0000F2680000}"/>
    <cellStyle name="Normal 3 3 3 3 3 2 3" xfId="5389" xr:uid="{00000000-0005-0000-0000-0000F3680000}"/>
    <cellStyle name="Normal 3 3 3 3 3 2 3 2" xfId="5390" xr:uid="{00000000-0005-0000-0000-0000F4680000}"/>
    <cellStyle name="Normal 3 3 3 3 3 2 4" xfId="5391" xr:uid="{00000000-0005-0000-0000-0000F5680000}"/>
    <cellStyle name="Normal 3 3 3 3 3 2 4 2" xfId="5392" xr:uid="{00000000-0005-0000-0000-0000F6680000}"/>
    <cellStyle name="Normal 3 3 3 3 3 2 5" xfId="5393" xr:uid="{00000000-0005-0000-0000-0000F7680000}"/>
    <cellStyle name="Normal 3 3 3 3 3 2 6" xfId="34486" xr:uid="{00000000-0005-0000-0000-0000F8680000}"/>
    <cellStyle name="Normal 3 3 3 3 3 3" xfId="5394" xr:uid="{00000000-0005-0000-0000-0000F9680000}"/>
    <cellStyle name="Normal 3 3 3 3 3 3 2" xfId="5395" xr:uid="{00000000-0005-0000-0000-0000FA680000}"/>
    <cellStyle name="Normal 3 3 3 3 3 3 2 2" xfId="5396" xr:uid="{00000000-0005-0000-0000-0000FB680000}"/>
    <cellStyle name="Normal 3 3 3 3 3 3 2 3" xfId="34489" xr:uid="{00000000-0005-0000-0000-0000FC680000}"/>
    <cellStyle name="Normal 3 3 3 3 3 3 3" xfId="5397" xr:uid="{00000000-0005-0000-0000-0000FD680000}"/>
    <cellStyle name="Normal 3 3 3 3 3 3 3 2" xfId="5398" xr:uid="{00000000-0005-0000-0000-0000FE680000}"/>
    <cellStyle name="Normal 3 3 3 3 3 3 4" xfId="5399" xr:uid="{00000000-0005-0000-0000-0000FF680000}"/>
    <cellStyle name="Normal 3 3 3 3 3 3 5" xfId="34488" xr:uid="{00000000-0005-0000-0000-000000690000}"/>
    <cellStyle name="Normal 3 3 3 3 3 4" xfId="5400" xr:uid="{00000000-0005-0000-0000-000001690000}"/>
    <cellStyle name="Normal 3 3 3 3 3 4 2" xfId="5401" xr:uid="{00000000-0005-0000-0000-000002690000}"/>
    <cellStyle name="Normal 3 3 3 3 3 4 2 2" xfId="34491" xr:uid="{00000000-0005-0000-0000-000003690000}"/>
    <cellStyle name="Normal 3 3 3 3 3 4 3" xfId="5402" xr:uid="{00000000-0005-0000-0000-000004690000}"/>
    <cellStyle name="Normal 3 3 3 3 3 4 4" xfId="34490" xr:uid="{00000000-0005-0000-0000-000005690000}"/>
    <cellStyle name="Normal 3 3 3 3 3 5" xfId="5403" xr:uid="{00000000-0005-0000-0000-000006690000}"/>
    <cellStyle name="Normal 3 3 3 3 3 5 2" xfId="5404" xr:uid="{00000000-0005-0000-0000-000007690000}"/>
    <cellStyle name="Normal 3 3 3 3 3 5 3" xfId="34492" xr:uid="{00000000-0005-0000-0000-000008690000}"/>
    <cellStyle name="Normal 3 3 3 3 3 6" xfId="5405" xr:uid="{00000000-0005-0000-0000-000009690000}"/>
    <cellStyle name="Normal 3 3 3 3 3 6 2" xfId="5406" xr:uid="{00000000-0005-0000-0000-00000A690000}"/>
    <cellStyle name="Normal 3 3 3 3 3 6 3" xfId="34493" xr:uid="{00000000-0005-0000-0000-00000B690000}"/>
    <cellStyle name="Normal 3 3 3 3 3 7" xfId="5407" xr:uid="{00000000-0005-0000-0000-00000C690000}"/>
    <cellStyle name="Normal 3 3 3 3 3 8" xfId="34485" xr:uid="{00000000-0005-0000-0000-00000D690000}"/>
    <cellStyle name="Normal 3 3 3 3 4" xfId="5408" xr:uid="{00000000-0005-0000-0000-00000E690000}"/>
    <cellStyle name="Normal 3 3 3 3 4 2" xfId="5409" xr:uid="{00000000-0005-0000-0000-00000F690000}"/>
    <cellStyle name="Normal 3 3 3 3 4 2 2" xfId="5410" xr:uid="{00000000-0005-0000-0000-000010690000}"/>
    <cellStyle name="Normal 3 3 3 3 4 2 2 2" xfId="5411" xr:uid="{00000000-0005-0000-0000-000011690000}"/>
    <cellStyle name="Normal 3 3 3 3 4 2 2 3" xfId="34496" xr:uid="{00000000-0005-0000-0000-000012690000}"/>
    <cellStyle name="Normal 3 3 3 3 4 2 3" xfId="5412" xr:uid="{00000000-0005-0000-0000-000013690000}"/>
    <cellStyle name="Normal 3 3 3 3 4 2 3 2" xfId="5413" xr:uid="{00000000-0005-0000-0000-000014690000}"/>
    <cellStyle name="Normal 3 3 3 3 4 2 4" xfId="5414" xr:uid="{00000000-0005-0000-0000-000015690000}"/>
    <cellStyle name="Normal 3 3 3 3 4 2 5" xfId="34495" xr:uid="{00000000-0005-0000-0000-000016690000}"/>
    <cellStyle name="Normal 3 3 3 3 4 3" xfId="5415" xr:uid="{00000000-0005-0000-0000-000017690000}"/>
    <cellStyle name="Normal 3 3 3 3 4 3 2" xfId="5416" xr:uid="{00000000-0005-0000-0000-000018690000}"/>
    <cellStyle name="Normal 3 3 3 3 4 3 2 2" xfId="34498" xr:uid="{00000000-0005-0000-0000-000019690000}"/>
    <cellStyle name="Normal 3 3 3 3 4 3 3" xfId="5417" xr:uid="{00000000-0005-0000-0000-00001A690000}"/>
    <cellStyle name="Normal 3 3 3 3 4 3 4" xfId="34497" xr:uid="{00000000-0005-0000-0000-00001B690000}"/>
    <cellStyle name="Normal 3 3 3 3 4 4" xfId="5418" xr:uid="{00000000-0005-0000-0000-00001C690000}"/>
    <cellStyle name="Normal 3 3 3 3 4 4 2" xfId="5419" xr:uid="{00000000-0005-0000-0000-00001D690000}"/>
    <cellStyle name="Normal 3 3 3 3 4 4 2 2" xfId="34500" xr:uid="{00000000-0005-0000-0000-00001E690000}"/>
    <cellStyle name="Normal 3 3 3 3 4 4 3" xfId="34499" xr:uid="{00000000-0005-0000-0000-00001F690000}"/>
    <cellStyle name="Normal 3 3 3 3 4 5" xfId="5420" xr:uid="{00000000-0005-0000-0000-000020690000}"/>
    <cellStyle name="Normal 3 3 3 3 4 5 2" xfId="5421" xr:uid="{00000000-0005-0000-0000-000021690000}"/>
    <cellStyle name="Normal 3 3 3 3 4 5 3" xfId="34501" xr:uid="{00000000-0005-0000-0000-000022690000}"/>
    <cellStyle name="Normal 3 3 3 3 4 6" xfId="5422" xr:uid="{00000000-0005-0000-0000-000023690000}"/>
    <cellStyle name="Normal 3 3 3 3 4 6 2" xfId="34502" xr:uid="{00000000-0005-0000-0000-000024690000}"/>
    <cellStyle name="Normal 3 3 3 3 4 7" xfId="34494" xr:uid="{00000000-0005-0000-0000-000025690000}"/>
    <cellStyle name="Normal 3 3 3 3 5" xfId="5423" xr:uid="{00000000-0005-0000-0000-000026690000}"/>
    <cellStyle name="Normal 3 3 3 3 5 2" xfId="5424" xr:uid="{00000000-0005-0000-0000-000027690000}"/>
    <cellStyle name="Normal 3 3 3 3 5 2 2" xfId="5425" xr:uid="{00000000-0005-0000-0000-000028690000}"/>
    <cellStyle name="Normal 3 3 3 3 5 2 2 2" xfId="34505" xr:uid="{00000000-0005-0000-0000-000029690000}"/>
    <cellStyle name="Normal 3 3 3 3 5 2 3" xfId="34504" xr:uid="{00000000-0005-0000-0000-00002A690000}"/>
    <cellStyle name="Normal 3 3 3 3 5 3" xfId="5426" xr:uid="{00000000-0005-0000-0000-00002B690000}"/>
    <cellStyle name="Normal 3 3 3 3 5 3 2" xfId="5427" xr:uid="{00000000-0005-0000-0000-00002C690000}"/>
    <cellStyle name="Normal 3 3 3 3 5 3 2 2" xfId="34507" xr:uid="{00000000-0005-0000-0000-00002D690000}"/>
    <cellStyle name="Normal 3 3 3 3 5 3 3" xfId="34506" xr:uid="{00000000-0005-0000-0000-00002E690000}"/>
    <cellStyle name="Normal 3 3 3 3 5 4" xfId="5428" xr:uid="{00000000-0005-0000-0000-00002F690000}"/>
    <cellStyle name="Normal 3 3 3 3 5 4 2" xfId="34508" xr:uid="{00000000-0005-0000-0000-000030690000}"/>
    <cellStyle name="Normal 3 3 3 3 5 5" xfId="34509" xr:uid="{00000000-0005-0000-0000-000031690000}"/>
    <cellStyle name="Normal 3 3 3 3 5 6" xfId="34503" xr:uid="{00000000-0005-0000-0000-000032690000}"/>
    <cellStyle name="Normal 3 3 3 3 6" xfId="5429" xr:uid="{00000000-0005-0000-0000-000033690000}"/>
    <cellStyle name="Normal 3 3 3 3 6 2" xfId="5430" xr:uid="{00000000-0005-0000-0000-000034690000}"/>
    <cellStyle name="Normal 3 3 3 3 6 2 2" xfId="5431" xr:uid="{00000000-0005-0000-0000-000035690000}"/>
    <cellStyle name="Normal 3 3 3 3 6 2 3" xfId="34511" xr:uid="{00000000-0005-0000-0000-000036690000}"/>
    <cellStyle name="Normal 3 3 3 3 6 3" xfId="5432" xr:uid="{00000000-0005-0000-0000-000037690000}"/>
    <cellStyle name="Normal 3 3 3 3 6 3 2" xfId="5433" xr:uid="{00000000-0005-0000-0000-000038690000}"/>
    <cellStyle name="Normal 3 3 3 3 6 4" xfId="5434" xr:uid="{00000000-0005-0000-0000-000039690000}"/>
    <cellStyle name="Normal 3 3 3 3 6 5" xfId="34510" xr:uid="{00000000-0005-0000-0000-00003A690000}"/>
    <cellStyle name="Normal 3 3 3 3 7" xfId="5435" xr:uid="{00000000-0005-0000-0000-00003B690000}"/>
    <cellStyle name="Normal 3 3 3 3 7 2" xfId="5436" xr:uid="{00000000-0005-0000-0000-00003C690000}"/>
    <cellStyle name="Normal 3 3 3 3 7 2 2" xfId="34513" xr:uid="{00000000-0005-0000-0000-00003D690000}"/>
    <cellStyle name="Normal 3 3 3 3 7 3" xfId="5437" xr:uid="{00000000-0005-0000-0000-00003E690000}"/>
    <cellStyle name="Normal 3 3 3 3 7 4" xfId="34512" xr:uid="{00000000-0005-0000-0000-00003F690000}"/>
    <cellStyle name="Normal 3 3 3 3 8" xfId="5438" xr:uid="{00000000-0005-0000-0000-000040690000}"/>
    <cellStyle name="Normal 3 3 3 3 8 2" xfId="5439" xr:uid="{00000000-0005-0000-0000-000041690000}"/>
    <cellStyle name="Normal 3 3 3 3 8 2 2" xfId="34515" xr:uid="{00000000-0005-0000-0000-000042690000}"/>
    <cellStyle name="Normal 3 3 3 3 8 3" xfId="34514" xr:uid="{00000000-0005-0000-0000-000043690000}"/>
    <cellStyle name="Normal 3 3 3 3 9" xfId="5440" xr:uid="{00000000-0005-0000-0000-000044690000}"/>
    <cellStyle name="Normal 3 3 3 3 9 2" xfId="5441" xr:uid="{00000000-0005-0000-0000-000045690000}"/>
    <cellStyle name="Normal 3 3 3 3 9 3" xfId="34516" xr:uid="{00000000-0005-0000-0000-000046690000}"/>
    <cellStyle name="Normal 3 3 3 4" xfId="5442" xr:uid="{00000000-0005-0000-0000-000047690000}"/>
    <cellStyle name="Normal 3 3 3 4 10" xfId="34518" xr:uid="{00000000-0005-0000-0000-000048690000}"/>
    <cellStyle name="Normal 3 3 3 4 11" xfId="34517" xr:uid="{00000000-0005-0000-0000-000049690000}"/>
    <cellStyle name="Normal 3 3 3 4 2" xfId="5443" xr:uid="{00000000-0005-0000-0000-00004A690000}"/>
    <cellStyle name="Normal 3 3 3 4 2 2" xfId="5444" xr:uid="{00000000-0005-0000-0000-00004B690000}"/>
    <cellStyle name="Normal 3 3 3 4 2 2 2" xfId="5445" xr:uid="{00000000-0005-0000-0000-00004C690000}"/>
    <cellStyle name="Normal 3 3 3 4 2 2 2 2" xfId="5446" xr:uid="{00000000-0005-0000-0000-00004D690000}"/>
    <cellStyle name="Normal 3 3 3 4 2 2 2 3" xfId="5447" xr:uid="{00000000-0005-0000-0000-00004E690000}"/>
    <cellStyle name="Normal 3 3 3 4 2 2 2 4" xfId="34521" xr:uid="{00000000-0005-0000-0000-00004F690000}"/>
    <cellStyle name="Normal 3 3 3 4 2 2 3" xfId="5448" xr:uid="{00000000-0005-0000-0000-000050690000}"/>
    <cellStyle name="Normal 3 3 3 4 2 2 3 2" xfId="5449" xr:uid="{00000000-0005-0000-0000-000051690000}"/>
    <cellStyle name="Normal 3 3 3 4 2 2 4" xfId="5450" xr:uid="{00000000-0005-0000-0000-000052690000}"/>
    <cellStyle name="Normal 3 3 3 4 2 2 4 2" xfId="5451" xr:uid="{00000000-0005-0000-0000-000053690000}"/>
    <cellStyle name="Normal 3 3 3 4 2 2 5" xfId="5452" xr:uid="{00000000-0005-0000-0000-000054690000}"/>
    <cellStyle name="Normal 3 3 3 4 2 2 6" xfId="34520" xr:uid="{00000000-0005-0000-0000-000055690000}"/>
    <cellStyle name="Normal 3 3 3 4 2 3" xfId="5453" xr:uid="{00000000-0005-0000-0000-000056690000}"/>
    <cellStyle name="Normal 3 3 3 4 2 3 2" xfId="5454" xr:uid="{00000000-0005-0000-0000-000057690000}"/>
    <cellStyle name="Normal 3 3 3 4 2 3 2 2" xfId="5455" xr:uid="{00000000-0005-0000-0000-000058690000}"/>
    <cellStyle name="Normal 3 3 3 4 2 3 2 3" xfId="34523" xr:uid="{00000000-0005-0000-0000-000059690000}"/>
    <cellStyle name="Normal 3 3 3 4 2 3 3" xfId="5456" xr:uid="{00000000-0005-0000-0000-00005A690000}"/>
    <cellStyle name="Normal 3 3 3 4 2 3 3 2" xfId="5457" xr:uid="{00000000-0005-0000-0000-00005B690000}"/>
    <cellStyle name="Normal 3 3 3 4 2 3 4" xfId="5458" xr:uid="{00000000-0005-0000-0000-00005C690000}"/>
    <cellStyle name="Normal 3 3 3 4 2 3 5" xfId="34522" xr:uid="{00000000-0005-0000-0000-00005D690000}"/>
    <cellStyle name="Normal 3 3 3 4 2 4" xfId="5459" xr:uid="{00000000-0005-0000-0000-00005E690000}"/>
    <cellStyle name="Normal 3 3 3 4 2 4 2" xfId="5460" xr:uid="{00000000-0005-0000-0000-00005F690000}"/>
    <cellStyle name="Normal 3 3 3 4 2 4 2 2" xfId="34525" xr:uid="{00000000-0005-0000-0000-000060690000}"/>
    <cellStyle name="Normal 3 3 3 4 2 4 3" xfId="5461" xr:uid="{00000000-0005-0000-0000-000061690000}"/>
    <cellStyle name="Normal 3 3 3 4 2 4 4" xfId="34524" xr:uid="{00000000-0005-0000-0000-000062690000}"/>
    <cellStyle name="Normal 3 3 3 4 2 5" xfId="5462" xr:uid="{00000000-0005-0000-0000-000063690000}"/>
    <cellStyle name="Normal 3 3 3 4 2 5 2" xfId="5463" xr:uid="{00000000-0005-0000-0000-000064690000}"/>
    <cellStyle name="Normal 3 3 3 4 2 5 3" xfId="34526" xr:uid="{00000000-0005-0000-0000-000065690000}"/>
    <cellStyle name="Normal 3 3 3 4 2 6" xfId="5464" xr:uid="{00000000-0005-0000-0000-000066690000}"/>
    <cellStyle name="Normal 3 3 3 4 2 6 2" xfId="5465" xr:uid="{00000000-0005-0000-0000-000067690000}"/>
    <cellStyle name="Normal 3 3 3 4 2 6 3" xfId="34527" xr:uid="{00000000-0005-0000-0000-000068690000}"/>
    <cellStyle name="Normal 3 3 3 4 2 7" xfId="5466" xr:uid="{00000000-0005-0000-0000-000069690000}"/>
    <cellStyle name="Normal 3 3 3 4 2 8" xfId="34519" xr:uid="{00000000-0005-0000-0000-00006A690000}"/>
    <cellStyle name="Normal 3 3 3 4 3" xfId="5467" xr:uid="{00000000-0005-0000-0000-00006B690000}"/>
    <cellStyle name="Normal 3 3 3 4 3 2" xfId="5468" xr:uid="{00000000-0005-0000-0000-00006C690000}"/>
    <cellStyle name="Normal 3 3 3 4 3 2 2" xfId="5469" xr:uid="{00000000-0005-0000-0000-00006D690000}"/>
    <cellStyle name="Normal 3 3 3 4 3 2 2 2" xfId="34530" xr:uid="{00000000-0005-0000-0000-00006E690000}"/>
    <cellStyle name="Normal 3 3 3 4 3 2 3" xfId="5470" xr:uid="{00000000-0005-0000-0000-00006F690000}"/>
    <cellStyle name="Normal 3 3 3 4 3 2 4" xfId="34529" xr:uid="{00000000-0005-0000-0000-000070690000}"/>
    <cellStyle name="Normal 3 3 3 4 3 3" xfId="5471" xr:uid="{00000000-0005-0000-0000-000071690000}"/>
    <cellStyle name="Normal 3 3 3 4 3 3 2" xfId="5472" xr:uid="{00000000-0005-0000-0000-000072690000}"/>
    <cellStyle name="Normal 3 3 3 4 3 3 2 2" xfId="34532" xr:uid="{00000000-0005-0000-0000-000073690000}"/>
    <cellStyle name="Normal 3 3 3 4 3 3 3" xfId="34531" xr:uid="{00000000-0005-0000-0000-000074690000}"/>
    <cellStyle name="Normal 3 3 3 4 3 4" xfId="5473" xr:uid="{00000000-0005-0000-0000-000075690000}"/>
    <cellStyle name="Normal 3 3 3 4 3 4 2" xfId="5474" xr:uid="{00000000-0005-0000-0000-000076690000}"/>
    <cellStyle name="Normal 3 3 3 4 3 4 2 2" xfId="34534" xr:uid="{00000000-0005-0000-0000-000077690000}"/>
    <cellStyle name="Normal 3 3 3 4 3 4 3" xfId="34533" xr:uid="{00000000-0005-0000-0000-000078690000}"/>
    <cellStyle name="Normal 3 3 3 4 3 5" xfId="5475" xr:uid="{00000000-0005-0000-0000-000079690000}"/>
    <cellStyle name="Normal 3 3 3 4 3 5 2" xfId="34535" xr:uid="{00000000-0005-0000-0000-00007A690000}"/>
    <cellStyle name="Normal 3 3 3 4 3 6" xfId="34536" xr:uid="{00000000-0005-0000-0000-00007B690000}"/>
    <cellStyle name="Normal 3 3 3 4 3 7" xfId="34528" xr:uid="{00000000-0005-0000-0000-00007C690000}"/>
    <cellStyle name="Normal 3 3 3 4 4" xfId="5476" xr:uid="{00000000-0005-0000-0000-00007D690000}"/>
    <cellStyle name="Normal 3 3 3 4 4 2" xfId="5477" xr:uid="{00000000-0005-0000-0000-00007E690000}"/>
    <cellStyle name="Normal 3 3 3 4 4 2 2" xfId="5478" xr:uid="{00000000-0005-0000-0000-00007F690000}"/>
    <cellStyle name="Normal 3 3 3 4 4 2 2 2" xfId="34539" xr:uid="{00000000-0005-0000-0000-000080690000}"/>
    <cellStyle name="Normal 3 3 3 4 4 2 3" xfId="34538" xr:uid="{00000000-0005-0000-0000-000081690000}"/>
    <cellStyle name="Normal 3 3 3 4 4 3" xfId="5479" xr:uid="{00000000-0005-0000-0000-000082690000}"/>
    <cellStyle name="Normal 3 3 3 4 4 3 2" xfId="5480" xr:uid="{00000000-0005-0000-0000-000083690000}"/>
    <cellStyle name="Normal 3 3 3 4 4 3 2 2" xfId="34541" xr:uid="{00000000-0005-0000-0000-000084690000}"/>
    <cellStyle name="Normal 3 3 3 4 4 3 3" xfId="34540" xr:uid="{00000000-0005-0000-0000-000085690000}"/>
    <cellStyle name="Normal 3 3 3 4 4 4" xfId="5481" xr:uid="{00000000-0005-0000-0000-000086690000}"/>
    <cellStyle name="Normal 3 3 3 4 4 4 2" xfId="34543" xr:uid="{00000000-0005-0000-0000-000087690000}"/>
    <cellStyle name="Normal 3 3 3 4 4 4 3" xfId="34542" xr:uid="{00000000-0005-0000-0000-000088690000}"/>
    <cellStyle name="Normal 3 3 3 4 4 5" xfId="34544" xr:uid="{00000000-0005-0000-0000-000089690000}"/>
    <cellStyle name="Normal 3 3 3 4 4 6" xfId="34545" xr:uid="{00000000-0005-0000-0000-00008A690000}"/>
    <cellStyle name="Normal 3 3 3 4 4 7" xfId="34537" xr:uid="{00000000-0005-0000-0000-00008B690000}"/>
    <cellStyle name="Normal 3 3 3 4 5" xfId="5482" xr:uid="{00000000-0005-0000-0000-00008C690000}"/>
    <cellStyle name="Normal 3 3 3 4 5 2" xfId="5483" xr:uid="{00000000-0005-0000-0000-00008D690000}"/>
    <cellStyle name="Normal 3 3 3 4 5 2 2" xfId="34548" xr:uid="{00000000-0005-0000-0000-00008E690000}"/>
    <cellStyle name="Normal 3 3 3 4 5 2 3" xfId="34547" xr:uid="{00000000-0005-0000-0000-00008F690000}"/>
    <cellStyle name="Normal 3 3 3 4 5 3" xfId="5484" xr:uid="{00000000-0005-0000-0000-000090690000}"/>
    <cellStyle name="Normal 3 3 3 4 5 3 2" xfId="34550" xr:uid="{00000000-0005-0000-0000-000091690000}"/>
    <cellStyle name="Normal 3 3 3 4 5 3 3" xfId="34549" xr:uid="{00000000-0005-0000-0000-000092690000}"/>
    <cellStyle name="Normal 3 3 3 4 5 4" xfId="34551" xr:uid="{00000000-0005-0000-0000-000093690000}"/>
    <cellStyle name="Normal 3 3 3 4 5 5" xfId="34552" xr:uid="{00000000-0005-0000-0000-000094690000}"/>
    <cellStyle name="Normal 3 3 3 4 5 6" xfId="34546" xr:uid="{00000000-0005-0000-0000-000095690000}"/>
    <cellStyle name="Normal 3 3 3 4 6" xfId="5485" xr:uid="{00000000-0005-0000-0000-000096690000}"/>
    <cellStyle name="Normal 3 3 3 4 6 2" xfId="5486" xr:uid="{00000000-0005-0000-0000-000097690000}"/>
    <cellStyle name="Normal 3 3 3 4 6 2 2" xfId="34554" xr:uid="{00000000-0005-0000-0000-000098690000}"/>
    <cellStyle name="Normal 3 3 3 4 6 3" xfId="34553" xr:uid="{00000000-0005-0000-0000-000099690000}"/>
    <cellStyle name="Normal 3 3 3 4 7" xfId="5487" xr:uid="{00000000-0005-0000-0000-00009A690000}"/>
    <cellStyle name="Normal 3 3 3 4 7 2" xfId="5488" xr:uid="{00000000-0005-0000-0000-00009B690000}"/>
    <cellStyle name="Normal 3 3 3 4 7 2 2" xfId="34556" xr:uid="{00000000-0005-0000-0000-00009C690000}"/>
    <cellStyle name="Normal 3 3 3 4 7 3" xfId="34555" xr:uid="{00000000-0005-0000-0000-00009D690000}"/>
    <cellStyle name="Normal 3 3 3 4 8" xfId="5489" xr:uid="{00000000-0005-0000-0000-00009E690000}"/>
    <cellStyle name="Normal 3 3 3 4 8 2" xfId="34558" xr:uid="{00000000-0005-0000-0000-00009F690000}"/>
    <cellStyle name="Normal 3 3 3 4 8 3" xfId="34557" xr:uid="{00000000-0005-0000-0000-0000A0690000}"/>
    <cellStyle name="Normal 3 3 3 4 9" xfId="34559" xr:uid="{00000000-0005-0000-0000-0000A1690000}"/>
    <cellStyle name="Normal 3 3 3 5" xfId="5490" xr:uid="{00000000-0005-0000-0000-0000A2690000}"/>
    <cellStyle name="Normal 3 3 3 5 2" xfId="5491" xr:uid="{00000000-0005-0000-0000-0000A3690000}"/>
    <cellStyle name="Normal 3 3 3 5 2 2" xfId="5492" xr:uid="{00000000-0005-0000-0000-0000A4690000}"/>
    <cellStyle name="Normal 3 3 3 5 2 2 2" xfId="5493" xr:uid="{00000000-0005-0000-0000-0000A5690000}"/>
    <cellStyle name="Normal 3 3 3 5 2 2 3" xfId="5494" xr:uid="{00000000-0005-0000-0000-0000A6690000}"/>
    <cellStyle name="Normal 3 3 3 5 2 2 4" xfId="34562" xr:uid="{00000000-0005-0000-0000-0000A7690000}"/>
    <cellStyle name="Normal 3 3 3 5 2 3" xfId="5495" xr:uid="{00000000-0005-0000-0000-0000A8690000}"/>
    <cellStyle name="Normal 3 3 3 5 2 3 2" xfId="5496" xr:uid="{00000000-0005-0000-0000-0000A9690000}"/>
    <cellStyle name="Normal 3 3 3 5 2 4" xfId="5497" xr:uid="{00000000-0005-0000-0000-0000AA690000}"/>
    <cellStyle name="Normal 3 3 3 5 2 4 2" xfId="5498" xr:uid="{00000000-0005-0000-0000-0000AB690000}"/>
    <cellStyle name="Normal 3 3 3 5 2 5" xfId="5499" xr:uid="{00000000-0005-0000-0000-0000AC690000}"/>
    <cellStyle name="Normal 3 3 3 5 2 6" xfId="34561" xr:uid="{00000000-0005-0000-0000-0000AD690000}"/>
    <cellStyle name="Normal 3 3 3 5 3" xfId="5500" xr:uid="{00000000-0005-0000-0000-0000AE690000}"/>
    <cellStyle name="Normal 3 3 3 5 3 2" xfId="5501" xr:uid="{00000000-0005-0000-0000-0000AF690000}"/>
    <cellStyle name="Normal 3 3 3 5 3 2 2" xfId="5502" xr:uid="{00000000-0005-0000-0000-0000B0690000}"/>
    <cellStyle name="Normal 3 3 3 5 3 2 3" xfId="34564" xr:uid="{00000000-0005-0000-0000-0000B1690000}"/>
    <cellStyle name="Normal 3 3 3 5 3 3" xfId="5503" xr:uid="{00000000-0005-0000-0000-0000B2690000}"/>
    <cellStyle name="Normal 3 3 3 5 3 3 2" xfId="5504" xr:uid="{00000000-0005-0000-0000-0000B3690000}"/>
    <cellStyle name="Normal 3 3 3 5 3 4" xfId="5505" xr:uid="{00000000-0005-0000-0000-0000B4690000}"/>
    <cellStyle name="Normal 3 3 3 5 3 5" xfId="34563" xr:uid="{00000000-0005-0000-0000-0000B5690000}"/>
    <cellStyle name="Normal 3 3 3 5 4" xfId="5506" xr:uid="{00000000-0005-0000-0000-0000B6690000}"/>
    <cellStyle name="Normal 3 3 3 5 4 2" xfId="5507" xr:uid="{00000000-0005-0000-0000-0000B7690000}"/>
    <cellStyle name="Normal 3 3 3 5 4 2 2" xfId="34566" xr:uid="{00000000-0005-0000-0000-0000B8690000}"/>
    <cellStyle name="Normal 3 3 3 5 4 3" xfId="5508" xr:uid="{00000000-0005-0000-0000-0000B9690000}"/>
    <cellStyle name="Normal 3 3 3 5 4 4" xfId="34565" xr:uid="{00000000-0005-0000-0000-0000BA690000}"/>
    <cellStyle name="Normal 3 3 3 5 5" xfId="5509" xr:uid="{00000000-0005-0000-0000-0000BB690000}"/>
    <cellStyle name="Normal 3 3 3 5 5 2" xfId="5510" xr:uid="{00000000-0005-0000-0000-0000BC690000}"/>
    <cellStyle name="Normal 3 3 3 5 5 3" xfId="34567" xr:uid="{00000000-0005-0000-0000-0000BD690000}"/>
    <cellStyle name="Normal 3 3 3 5 6" xfId="5511" xr:uid="{00000000-0005-0000-0000-0000BE690000}"/>
    <cellStyle name="Normal 3 3 3 5 6 2" xfId="5512" xr:uid="{00000000-0005-0000-0000-0000BF690000}"/>
    <cellStyle name="Normal 3 3 3 5 6 3" xfId="34568" xr:uid="{00000000-0005-0000-0000-0000C0690000}"/>
    <cellStyle name="Normal 3 3 3 5 7" xfId="5513" xr:uid="{00000000-0005-0000-0000-0000C1690000}"/>
    <cellStyle name="Normal 3 3 3 5 8" xfId="34560" xr:uid="{00000000-0005-0000-0000-0000C2690000}"/>
    <cellStyle name="Normal 3 3 3 6" xfId="5514" xr:uid="{00000000-0005-0000-0000-0000C3690000}"/>
    <cellStyle name="Normal 3 3 3 6 2" xfId="5515" xr:uid="{00000000-0005-0000-0000-0000C4690000}"/>
    <cellStyle name="Normal 3 3 3 6 2 2" xfId="5516" xr:uid="{00000000-0005-0000-0000-0000C5690000}"/>
    <cellStyle name="Normal 3 3 3 6 2 2 2" xfId="5517" xr:uid="{00000000-0005-0000-0000-0000C6690000}"/>
    <cellStyle name="Normal 3 3 3 6 2 2 3" xfId="5518" xr:uid="{00000000-0005-0000-0000-0000C7690000}"/>
    <cellStyle name="Normal 3 3 3 6 2 2 4" xfId="34571" xr:uid="{00000000-0005-0000-0000-0000C8690000}"/>
    <cellStyle name="Normal 3 3 3 6 2 3" xfId="5519" xr:uid="{00000000-0005-0000-0000-0000C9690000}"/>
    <cellStyle name="Normal 3 3 3 6 2 3 2" xfId="5520" xr:uid="{00000000-0005-0000-0000-0000CA690000}"/>
    <cellStyle name="Normal 3 3 3 6 2 4" xfId="5521" xr:uid="{00000000-0005-0000-0000-0000CB690000}"/>
    <cellStyle name="Normal 3 3 3 6 2 4 2" xfId="5522" xr:uid="{00000000-0005-0000-0000-0000CC690000}"/>
    <cellStyle name="Normal 3 3 3 6 2 5" xfId="5523" xr:uid="{00000000-0005-0000-0000-0000CD690000}"/>
    <cellStyle name="Normal 3 3 3 6 2 6" xfId="34570" xr:uid="{00000000-0005-0000-0000-0000CE690000}"/>
    <cellStyle name="Normal 3 3 3 6 3" xfId="5524" xr:uid="{00000000-0005-0000-0000-0000CF690000}"/>
    <cellStyle name="Normal 3 3 3 6 3 2" xfId="5525" xr:uid="{00000000-0005-0000-0000-0000D0690000}"/>
    <cellStyle name="Normal 3 3 3 6 3 2 2" xfId="5526" xr:uid="{00000000-0005-0000-0000-0000D1690000}"/>
    <cellStyle name="Normal 3 3 3 6 3 2 3" xfId="34573" xr:uid="{00000000-0005-0000-0000-0000D2690000}"/>
    <cellStyle name="Normal 3 3 3 6 3 3" xfId="5527" xr:uid="{00000000-0005-0000-0000-0000D3690000}"/>
    <cellStyle name="Normal 3 3 3 6 3 3 2" xfId="5528" xr:uid="{00000000-0005-0000-0000-0000D4690000}"/>
    <cellStyle name="Normal 3 3 3 6 3 4" xfId="5529" xr:uid="{00000000-0005-0000-0000-0000D5690000}"/>
    <cellStyle name="Normal 3 3 3 6 3 5" xfId="34572" xr:uid="{00000000-0005-0000-0000-0000D6690000}"/>
    <cellStyle name="Normal 3 3 3 6 4" xfId="5530" xr:uid="{00000000-0005-0000-0000-0000D7690000}"/>
    <cellStyle name="Normal 3 3 3 6 4 2" xfId="5531" xr:uid="{00000000-0005-0000-0000-0000D8690000}"/>
    <cellStyle name="Normal 3 3 3 6 4 2 2" xfId="34575" xr:uid="{00000000-0005-0000-0000-0000D9690000}"/>
    <cellStyle name="Normal 3 3 3 6 4 3" xfId="5532" xr:uid="{00000000-0005-0000-0000-0000DA690000}"/>
    <cellStyle name="Normal 3 3 3 6 4 4" xfId="34574" xr:uid="{00000000-0005-0000-0000-0000DB690000}"/>
    <cellStyle name="Normal 3 3 3 6 5" xfId="5533" xr:uid="{00000000-0005-0000-0000-0000DC690000}"/>
    <cellStyle name="Normal 3 3 3 6 5 2" xfId="5534" xr:uid="{00000000-0005-0000-0000-0000DD690000}"/>
    <cellStyle name="Normal 3 3 3 6 5 3" xfId="34576" xr:uid="{00000000-0005-0000-0000-0000DE690000}"/>
    <cellStyle name="Normal 3 3 3 6 6" xfId="5535" xr:uid="{00000000-0005-0000-0000-0000DF690000}"/>
    <cellStyle name="Normal 3 3 3 6 6 2" xfId="5536" xr:uid="{00000000-0005-0000-0000-0000E0690000}"/>
    <cellStyle name="Normal 3 3 3 6 6 3" xfId="34577" xr:uid="{00000000-0005-0000-0000-0000E1690000}"/>
    <cellStyle name="Normal 3 3 3 6 7" xfId="5537" xr:uid="{00000000-0005-0000-0000-0000E2690000}"/>
    <cellStyle name="Normal 3 3 3 6 8" xfId="34569" xr:uid="{00000000-0005-0000-0000-0000E3690000}"/>
    <cellStyle name="Normal 3 3 3 7" xfId="5538" xr:uid="{00000000-0005-0000-0000-0000E4690000}"/>
    <cellStyle name="Normal 3 3 3 7 2" xfId="5539" xr:uid="{00000000-0005-0000-0000-0000E5690000}"/>
    <cellStyle name="Normal 3 3 3 7 2 2" xfId="5540" xr:uid="{00000000-0005-0000-0000-0000E6690000}"/>
    <cellStyle name="Normal 3 3 3 7 2 2 2" xfId="5541" xr:uid="{00000000-0005-0000-0000-0000E7690000}"/>
    <cellStyle name="Normal 3 3 3 7 2 2 3" xfId="34580" xr:uid="{00000000-0005-0000-0000-0000E8690000}"/>
    <cellStyle name="Normal 3 3 3 7 2 3" xfId="5542" xr:uid="{00000000-0005-0000-0000-0000E9690000}"/>
    <cellStyle name="Normal 3 3 3 7 2 3 2" xfId="5543" xr:uid="{00000000-0005-0000-0000-0000EA690000}"/>
    <cellStyle name="Normal 3 3 3 7 2 4" xfId="5544" xr:uid="{00000000-0005-0000-0000-0000EB690000}"/>
    <cellStyle name="Normal 3 3 3 7 2 5" xfId="34579" xr:uid="{00000000-0005-0000-0000-0000EC690000}"/>
    <cellStyle name="Normal 3 3 3 7 3" xfId="5545" xr:uid="{00000000-0005-0000-0000-0000ED690000}"/>
    <cellStyle name="Normal 3 3 3 7 3 2" xfId="5546" xr:uid="{00000000-0005-0000-0000-0000EE690000}"/>
    <cellStyle name="Normal 3 3 3 7 3 2 2" xfId="34582" xr:uid="{00000000-0005-0000-0000-0000EF690000}"/>
    <cellStyle name="Normal 3 3 3 7 3 3" xfId="5547" xr:uid="{00000000-0005-0000-0000-0000F0690000}"/>
    <cellStyle name="Normal 3 3 3 7 3 4" xfId="34581" xr:uid="{00000000-0005-0000-0000-0000F1690000}"/>
    <cellStyle name="Normal 3 3 3 7 4" xfId="5548" xr:uid="{00000000-0005-0000-0000-0000F2690000}"/>
    <cellStyle name="Normal 3 3 3 7 4 2" xfId="5549" xr:uid="{00000000-0005-0000-0000-0000F3690000}"/>
    <cellStyle name="Normal 3 3 3 7 4 2 2" xfId="34584" xr:uid="{00000000-0005-0000-0000-0000F4690000}"/>
    <cellStyle name="Normal 3 3 3 7 4 3" xfId="34583" xr:uid="{00000000-0005-0000-0000-0000F5690000}"/>
    <cellStyle name="Normal 3 3 3 7 5" xfId="5550" xr:uid="{00000000-0005-0000-0000-0000F6690000}"/>
    <cellStyle name="Normal 3 3 3 7 5 2" xfId="5551" xr:uid="{00000000-0005-0000-0000-0000F7690000}"/>
    <cellStyle name="Normal 3 3 3 7 5 3" xfId="34585" xr:uid="{00000000-0005-0000-0000-0000F8690000}"/>
    <cellStyle name="Normal 3 3 3 7 6" xfId="5552" xr:uid="{00000000-0005-0000-0000-0000F9690000}"/>
    <cellStyle name="Normal 3 3 3 7 6 2" xfId="34586" xr:uid="{00000000-0005-0000-0000-0000FA690000}"/>
    <cellStyle name="Normal 3 3 3 7 7" xfId="34578" xr:uid="{00000000-0005-0000-0000-0000FB690000}"/>
    <cellStyle name="Normal 3 3 3 8" xfId="5553" xr:uid="{00000000-0005-0000-0000-0000FC690000}"/>
    <cellStyle name="Normal 3 3 3 8 2" xfId="5554" xr:uid="{00000000-0005-0000-0000-0000FD690000}"/>
    <cellStyle name="Normal 3 3 3 8 2 2" xfId="5555" xr:uid="{00000000-0005-0000-0000-0000FE690000}"/>
    <cellStyle name="Normal 3 3 3 8 2 2 2" xfId="34589" xr:uid="{00000000-0005-0000-0000-0000FF690000}"/>
    <cellStyle name="Normal 3 3 3 8 2 3" xfId="34588" xr:uid="{00000000-0005-0000-0000-0000006A0000}"/>
    <cellStyle name="Normal 3 3 3 8 3" xfId="5556" xr:uid="{00000000-0005-0000-0000-0000016A0000}"/>
    <cellStyle name="Normal 3 3 3 8 3 2" xfId="5557" xr:uid="{00000000-0005-0000-0000-0000026A0000}"/>
    <cellStyle name="Normal 3 3 3 8 3 2 2" xfId="34591" xr:uid="{00000000-0005-0000-0000-0000036A0000}"/>
    <cellStyle name="Normal 3 3 3 8 3 3" xfId="34590" xr:uid="{00000000-0005-0000-0000-0000046A0000}"/>
    <cellStyle name="Normal 3 3 3 8 4" xfId="5558" xr:uid="{00000000-0005-0000-0000-0000056A0000}"/>
    <cellStyle name="Normal 3 3 3 8 4 2" xfId="34592" xr:uid="{00000000-0005-0000-0000-0000066A0000}"/>
    <cellStyle name="Normal 3 3 3 8 5" xfId="34593" xr:uid="{00000000-0005-0000-0000-0000076A0000}"/>
    <cellStyle name="Normal 3 3 3 8 6" xfId="34587" xr:uid="{00000000-0005-0000-0000-0000086A0000}"/>
    <cellStyle name="Normal 3 3 3 9" xfId="5559" xr:uid="{00000000-0005-0000-0000-0000096A0000}"/>
    <cellStyle name="Normal 3 3 3 9 2" xfId="5560" xr:uid="{00000000-0005-0000-0000-00000A6A0000}"/>
    <cellStyle name="Normal 3 3 3 9 2 2" xfId="5561" xr:uid="{00000000-0005-0000-0000-00000B6A0000}"/>
    <cellStyle name="Normal 3 3 3 9 2 3" xfId="34595" xr:uid="{00000000-0005-0000-0000-00000C6A0000}"/>
    <cellStyle name="Normal 3 3 3 9 3" xfId="5562" xr:uid="{00000000-0005-0000-0000-00000D6A0000}"/>
    <cellStyle name="Normal 3 3 3 9 3 2" xfId="5563" xr:uid="{00000000-0005-0000-0000-00000E6A0000}"/>
    <cellStyle name="Normal 3 3 3 9 4" xfId="5564" xr:uid="{00000000-0005-0000-0000-00000F6A0000}"/>
    <cellStyle name="Normal 3 3 3 9 5" xfId="34594" xr:uid="{00000000-0005-0000-0000-0000106A0000}"/>
    <cellStyle name="Normal 3 3 4" xfId="5565" xr:uid="{00000000-0005-0000-0000-0000116A0000}"/>
    <cellStyle name="Normal 3 3 4 10" xfId="5566" xr:uid="{00000000-0005-0000-0000-0000126A0000}"/>
    <cellStyle name="Normal 3 3 4 10 2" xfId="5567" xr:uid="{00000000-0005-0000-0000-0000136A0000}"/>
    <cellStyle name="Normal 3 3 4 10 2 2" xfId="34598" xr:uid="{00000000-0005-0000-0000-0000146A0000}"/>
    <cellStyle name="Normal 3 3 4 10 3" xfId="34597" xr:uid="{00000000-0005-0000-0000-0000156A0000}"/>
    <cellStyle name="Normal 3 3 4 11" xfId="5568" xr:uid="{00000000-0005-0000-0000-0000166A0000}"/>
    <cellStyle name="Normal 3 3 4 11 2" xfId="34600" xr:uid="{00000000-0005-0000-0000-0000176A0000}"/>
    <cellStyle name="Normal 3 3 4 11 3" xfId="34599" xr:uid="{00000000-0005-0000-0000-0000186A0000}"/>
    <cellStyle name="Normal 3 3 4 12" xfId="34601" xr:uid="{00000000-0005-0000-0000-0000196A0000}"/>
    <cellStyle name="Normal 3 3 4 13" xfId="34602" xr:uid="{00000000-0005-0000-0000-00001A6A0000}"/>
    <cellStyle name="Normal 3 3 4 14" xfId="34596" xr:uid="{00000000-0005-0000-0000-00001B6A0000}"/>
    <cellStyle name="Normal 3 3 4 2" xfId="5569" xr:uid="{00000000-0005-0000-0000-00001C6A0000}"/>
    <cellStyle name="Normal 3 3 4 2 10" xfId="34604" xr:uid="{00000000-0005-0000-0000-00001D6A0000}"/>
    <cellStyle name="Normal 3 3 4 2 11" xfId="34605" xr:uid="{00000000-0005-0000-0000-00001E6A0000}"/>
    <cellStyle name="Normal 3 3 4 2 12" xfId="34603" xr:uid="{00000000-0005-0000-0000-00001F6A0000}"/>
    <cellStyle name="Normal 3 3 4 2 2" xfId="5570" xr:uid="{00000000-0005-0000-0000-0000206A0000}"/>
    <cellStyle name="Normal 3 3 4 2 2 2" xfId="5571" xr:uid="{00000000-0005-0000-0000-0000216A0000}"/>
    <cellStyle name="Normal 3 3 4 2 2 2 2" xfId="5572" xr:uid="{00000000-0005-0000-0000-0000226A0000}"/>
    <cellStyle name="Normal 3 3 4 2 2 2 2 2" xfId="5573" xr:uid="{00000000-0005-0000-0000-0000236A0000}"/>
    <cellStyle name="Normal 3 3 4 2 2 2 2 3" xfId="5574" xr:uid="{00000000-0005-0000-0000-0000246A0000}"/>
    <cellStyle name="Normal 3 3 4 2 2 2 2 4" xfId="34608" xr:uid="{00000000-0005-0000-0000-0000256A0000}"/>
    <cellStyle name="Normal 3 3 4 2 2 2 3" xfId="5575" xr:uid="{00000000-0005-0000-0000-0000266A0000}"/>
    <cellStyle name="Normal 3 3 4 2 2 2 3 2" xfId="5576" xr:uid="{00000000-0005-0000-0000-0000276A0000}"/>
    <cellStyle name="Normal 3 3 4 2 2 2 4" xfId="5577" xr:uid="{00000000-0005-0000-0000-0000286A0000}"/>
    <cellStyle name="Normal 3 3 4 2 2 2 4 2" xfId="5578" xr:uid="{00000000-0005-0000-0000-0000296A0000}"/>
    <cellStyle name="Normal 3 3 4 2 2 2 5" xfId="5579" xr:uid="{00000000-0005-0000-0000-00002A6A0000}"/>
    <cellStyle name="Normal 3 3 4 2 2 2 6" xfId="34607" xr:uid="{00000000-0005-0000-0000-00002B6A0000}"/>
    <cellStyle name="Normal 3 3 4 2 2 3" xfId="5580" xr:uid="{00000000-0005-0000-0000-00002C6A0000}"/>
    <cellStyle name="Normal 3 3 4 2 2 3 2" xfId="5581" xr:uid="{00000000-0005-0000-0000-00002D6A0000}"/>
    <cellStyle name="Normal 3 3 4 2 2 3 2 2" xfId="5582" xr:uid="{00000000-0005-0000-0000-00002E6A0000}"/>
    <cellStyle name="Normal 3 3 4 2 2 3 2 3" xfId="34610" xr:uid="{00000000-0005-0000-0000-00002F6A0000}"/>
    <cellStyle name="Normal 3 3 4 2 2 3 3" xfId="5583" xr:uid="{00000000-0005-0000-0000-0000306A0000}"/>
    <cellStyle name="Normal 3 3 4 2 2 3 3 2" xfId="5584" xr:uid="{00000000-0005-0000-0000-0000316A0000}"/>
    <cellStyle name="Normal 3 3 4 2 2 3 4" xfId="5585" xr:uid="{00000000-0005-0000-0000-0000326A0000}"/>
    <cellStyle name="Normal 3 3 4 2 2 3 5" xfId="34609" xr:uid="{00000000-0005-0000-0000-0000336A0000}"/>
    <cellStyle name="Normal 3 3 4 2 2 4" xfId="5586" xr:uid="{00000000-0005-0000-0000-0000346A0000}"/>
    <cellStyle name="Normal 3 3 4 2 2 4 2" xfId="5587" xr:uid="{00000000-0005-0000-0000-0000356A0000}"/>
    <cellStyle name="Normal 3 3 4 2 2 4 2 2" xfId="34612" xr:uid="{00000000-0005-0000-0000-0000366A0000}"/>
    <cellStyle name="Normal 3 3 4 2 2 4 3" xfId="5588" xr:uid="{00000000-0005-0000-0000-0000376A0000}"/>
    <cellStyle name="Normal 3 3 4 2 2 4 4" xfId="34611" xr:uid="{00000000-0005-0000-0000-0000386A0000}"/>
    <cellStyle name="Normal 3 3 4 2 2 5" xfId="5589" xr:uid="{00000000-0005-0000-0000-0000396A0000}"/>
    <cellStyle name="Normal 3 3 4 2 2 5 2" xfId="5590" xr:uid="{00000000-0005-0000-0000-00003A6A0000}"/>
    <cellStyle name="Normal 3 3 4 2 2 5 3" xfId="34613" xr:uid="{00000000-0005-0000-0000-00003B6A0000}"/>
    <cellStyle name="Normal 3 3 4 2 2 6" xfId="5591" xr:uid="{00000000-0005-0000-0000-00003C6A0000}"/>
    <cellStyle name="Normal 3 3 4 2 2 6 2" xfId="5592" xr:uid="{00000000-0005-0000-0000-00003D6A0000}"/>
    <cellStyle name="Normal 3 3 4 2 2 6 3" xfId="34614" xr:uid="{00000000-0005-0000-0000-00003E6A0000}"/>
    <cellStyle name="Normal 3 3 4 2 2 7" xfId="5593" xr:uid="{00000000-0005-0000-0000-00003F6A0000}"/>
    <cellStyle name="Normal 3 3 4 2 2 8" xfId="34606" xr:uid="{00000000-0005-0000-0000-0000406A0000}"/>
    <cellStyle name="Normal 3 3 4 2 3" xfId="5594" xr:uid="{00000000-0005-0000-0000-0000416A0000}"/>
    <cellStyle name="Normal 3 3 4 2 3 2" xfId="5595" xr:uid="{00000000-0005-0000-0000-0000426A0000}"/>
    <cellStyle name="Normal 3 3 4 2 3 2 2" xfId="5596" xr:uid="{00000000-0005-0000-0000-0000436A0000}"/>
    <cellStyle name="Normal 3 3 4 2 3 2 2 2" xfId="34617" xr:uid="{00000000-0005-0000-0000-0000446A0000}"/>
    <cellStyle name="Normal 3 3 4 2 3 2 3" xfId="5597" xr:uid="{00000000-0005-0000-0000-0000456A0000}"/>
    <cellStyle name="Normal 3 3 4 2 3 2 4" xfId="34616" xr:uid="{00000000-0005-0000-0000-0000466A0000}"/>
    <cellStyle name="Normal 3 3 4 2 3 3" xfId="5598" xr:uid="{00000000-0005-0000-0000-0000476A0000}"/>
    <cellStyle name="Normal 3 3 4 2 3 3 2" xfId="5599" xr:uid="{00000000-0005-0000-0000-0000486A0000}"/>
    <cellStyle name="Normal 3 3 4 2 3 3 2 2" xfId="34619" xr:uid="{00000000-0005-0000-0000-0000496A0000}"/>
    <cellStyle name="Normal 3 3 4 2 3 3 3" xfId="34618" xr:uid="{00000000-0005-0000-0000-00004A6A0000}"/>
    <cellStyle name="Normal 3 3 4 2 3 4" xfId="5600" xr:uid="{00000000-0005-0000-0000-00004B6A0000}"/>
    <cellStyle name="Normal 3 3 4 2 3 4 2" xfId="5601" xr:uid="{00000000-0005-0000-0000-00004C6A0000}"/>
    <cellStyle name="Normal 3 3 4 2 3 4 2 2" xfId="34621" xr:uid="{00000000-0005-0000-0000-00004D6A0000}"/>
    <cellStyle name="Normal 3 3 4 2 3 4 3" xfId="34620" xr:uid="{00000000-0005-0000-0000-00004E6A0000}"/>
    <cellStyle name="Normal 3 3 4 2 3 5" xfId="5602" xr:uid="{00000000-0005-0000-0000-00004F6A0000}"/>
    <cellStyle name="Normal 3 3 4 2 3 5 2" xfId="34622" xr:uid="{00000000-0005-0000-0000-0000506A0000}"/>
    <cellStyle name="Normal 3 3 4 2 3 6" xfId="34623" xr:uid="{00000000-0005-0000-0000-0000516A0000}"/>
    <cellStyle name="Normal 3 3 4 2 3 7" xfId="34615" xr:uid="{00000000-0005-0000-0000-0000526A0000}"/>
    <cellStyle name="Normal 3 3 4 2 4" xfId="5603" xr:uid="{00000000-0005-0000-0000-0000536A0000}"/>
    <cellStyle name="Normal 3 3 4 2 4 2" xfId="5604" xr:uid="{00000000-0005-0000-0000-0000546A0000}"/>
    <cellStyle name="Normal 3 3 4 2 4 2 2" xfId="5605" xr:uid="{00000000-0005-0000-0000-0000556A0000}"/>
    <cellStyle name="Normal 3 3 4 2 4 2 2 2" xfId="34626" xr:uid="{00000000-0005-0000-0000-0000566A0000}"/>
    <cellStyle name="Normal 3 3 4 2 4 2 3" xfId="34625" xr:uid="{00000000-0005-0000-0000-0000576A0000}"/>
    <cellStyle name="Normal 3 3 4 2 4 3" xfId="5606" xr:uid="{00000000-0005-0000-0000-0000586A0000}"/>
    <cellStyle name="Normal 3 3 4 2 4 3 2" xfId="5607" xr:uid="{00000000-0005-0000-0000-0000596A0000}"/>
    <cellStyle name="Normal 3 3 4 2 4 3 2 2" xfId="34628" xr:uid="{00000000-0005-0000-0000-00005A6A0000}"/>
    <cellStyle name="Normal 3 3 4 2 4 3 3" xfId="34627" xr:uid="{00000000-0005-0000-0000-00005B6A0000}"/>
    <cellStyle name="Normal 3 3 4 2 4 4" xfId="5608" xr:uid="{00000000-0005-0000-0000-00005C6A0000}"/>
    <cellStyle name="Normal 3 3 4 2 4 4 2" xfId="34630" xr:uid="{00000000-0005-0000-0000-00005D6A0000}"/>
    <cellStyle name="Normal 3 3 4 2 4 4 3" xfId="34629" xr:uid="{00000000-0005-0000-0000-00005E6A0000}"/>
    <cellStyle name="Normal 3 3 4 2 4 5" xfId="34631" xr:uid="{00000000-0005-0000-0000-00005F6A0000}"/>
    <cellStyle name="Normal 3 3 4 2 4 6" xfId="34632" xr:uid="{00000000-0005-0000-0000-0000606A0000}"/>
    <cellStyle name="Normal 3 3 4 2 4 7" xfId="34624" xr:uid="{00000000-0005-0000-0000-0000616A0000}"/>
    <cellStyle name="Normal 3 3 4 2 5" xfId="5609" xr:uid="{00000000-0005-0000-0000-0000626A0000}"/>
    <cellStyle name="Normal 3 3 4 2 5 2" xfId="5610" xr:uid="{00000000-0005-0000-0000-0000636A0000}"/>
    <cellStyle name="Normal 3 3 4 2 5 2 2" xfId="34635" xr:uid="{00000000-0005-0000-0000-0000646A0000}"/>
    <cellStyle name="Normal 3 3 4 2 5 2 3" xfId="34634" xr:uid="{00000000-0005-0000-0000-0000656A0000}"/>
    <cellStyle name="Normal 3 3 4 2 5 3" xfId="5611" xr:uid="{00000000-0005-0000-0000-0000666A0000}"/>
    <cellStyle name="Normal 3 3 4 2 5 3 2" xfId="34637" xr:uid="{00000000-0005-0000-0000-0000676A0000}"/>
    <cellStyle name="Normal 3 3 4 2 5 3 3" xfId="34636" xr:uid="{00000000-0005-0000-0000-0000686A0000}"/>
    <cellStyle name="Normal 3 3 4 2 5 4" xfId="34638" xr:uid="{00000000-0005-0000-0000-0000696A0000}"/>
    <cellStyle name="Normal 3 3 4 2 5 4 2" xfId="34639" xr:uid="{00000000-0005-0000-0000-00006A6A0000}"/>
    <cellStyle name="Normal 3 3 4 2 5 5" xfId="34640" xr:uid="{00000000-0005-0000-0000-00006B6A0000}"/>
    <cellStyle name="Normal 3 3 4 2 5 6" xfId="34641" xr:uid="{00000000-0005-0000-0000-00006C6A0000}"/>
    <cellStyle name="Normal 3 3 4 2 5 7" xfId="34633" xr:uid="{00000000-0005-0000-0000-00006D6A0000}"/>
    <cellStyle name="Normal 3 3 4 2 6" xfId="5612" xr:uid="{00000000-0005-0000-0000-00006E6A0000}"/>
    <cellStyle name="Normal 3 3 4 2 6 2" xfId="5613" xr:uid="{00000000-0005-0000-0000-00006F6A0000}"/>
    <cellStyle name="Normal 3 3 4 2 6 2 2" xfId="34644" xr:uid="{00000000-0005-0000-0000-0000706A0000}"/>
    <cellStyle name="Normal 3 3 4 2 6 2 3" xfId="34643" xr:uid="{00000000-0005-0000-0000-0000716A0000}"/>
    <cellStyle name="Normal 3 3 4 2 6 3" xfId="34645" xr:uid="{00000000-0005-0000-0000-0000726A0000}"/>
    <cellStyle name="Normal 3 3 4 2 6 3 2" xfId="34646" xr:uid="{00000000-0005-0000-0000-0000736A0000}"/>
    <cellStyle name="Normal 3 3 4 2 6 4" xfId="34647" xr:uid="{00000000-0005-0000-0000-0000746A0000}"/>
    <cellStyle name="Normal 3 3 4 2 6 5" xfId="34648" xr:uid="{00000000-0005-0000-0000-0000756A0000}"/>
    <cellStyle name="Normal 3 3 4 2 6 6" xfId="34642" xr:uid="{00000000-0005-0000-0000-0000766A0000}"/>
    <cellStyle name="Normal 3 3 4 2 7" xfId="5614" xr:uid="{00000000-0005-0000-0000-0000776A0000}"/>
    <cellStyle name="Normal 3 3 4 2 7 2" xfId="5615" xr:uid="{00000000-0005-0000-0000-0000786A0000}"/>
    <cellStyle name="Normal 3 3 4 2 7 2 2" xfId="34650" xr:uid="{00000000-0005-0000-0000-0000796A0000}"/>
    <cellStyle name="Normal 3 3 4 2 7 3" xfId="34649" xr:uid="{00000000-0005-0000-0000-00007A6A0000}"/>
    <cellStyle name="Normal 3 3 4 2 8" xfId="5616" xr:uid="{00000000-0005-0000-0000-00007B6A0000}"/>
    <cellStyle name="Normal 3 3 4 2 8 2" xfId="34652" xr:uid="{00000000-0005-0000-0000-00007C6A0000}"/>
    <cellStyle name="Normal 3 3 4 2 8 3" xfId="34651" xr:uid="{00000000-0005-0000-0000-00007D6A0000}"/>
    <cellStyle name="Normal 3 3 4 2 9" xfId="34653" xr:uid="{00000000-0005-0000-0000-00007E6A0000}"/>
    <cellStyle name="Normal 3 3 4 2 9 2" xfId="34654" xr:uid="{00000000-0005-0000-0000-00007F6A0000}"/>
    <cellStyle name="Normal 3 3 4 3" xfId="5617" xr:uid="{00000000-0005-0000-0000-0000806A0000}"/>
    <cellStyle name="Normal 3 3 4 3 10" xfId="34656" xr:uid="{00000000-0005-0000-0000-0000816A0000}"/>
    <cellStyle name="Normal 3 3 4 3 11" xfId="34655" xr:uid="{00000000-0005-0000-0000-0000826A0000}"/>
    <cellStyle name="Normal 3 3 4 3 2" xfId="5618" xr:uid="{00000000-0005-0000-0000-0000836A0000}"/>
    <cellStyle name="Normal 3 3 4 3 2 2" xfId="5619" xr:uid="{00000000-0005-0000-0000-0000846A0000}"/>
    <cellStyle name="Normal 3 3 4 3 2 2 2" xfId="5620" xr:uid="{00000000-0005-0000-0000-0000856A0000}"/>
    <cellStyle name="Normal 3 3 4 3 2 2 2 2" xfId="34659" xr:uid="{00000000-0005-0000-0000-0000866A0000}"/>
    <cellStyle name="Normal 3 3 4 3 2 2 3" xfId="5621" xr:uid="{00000000-0005-0000-0000-0000876A0000}"/>
    <cellStyle name="Normal 3 3 4 3 2 2 4" xfId="34658" xr:uid="{00000000-0005-0000-0000-0000886A0000}"/>
    <cellStyle name="Normal 3 3 4 3 2 3" xfId="5622" xr:uid="{00000000-0005-0000-0000-0000896A0000}"/>
    <cellStyle name="Normal 3 3 4 3 2 3 2" xfId="5623" xr:uid="{00000000-0005-0000-0000-00008A6A0000}"/>
    <cellStyle name="Normal 3 3 4 3 2 3 2 2" xfId="34661" xr:uid="{00000000-0005-0000-0000-00008B6A0000}"/>
    <cellStyle name="Normal 3 3 4 3 2 3 3" xfId="34660" xr:uid="{00000000-0005-0000-0000-00008C6A0000}"/>
    <cellStyle name="Normal 3 3 4 3 2 4" xfId="5624" xr:uid="{00000000-0005-0000-0000-00008D6A0000}"/>
    <cellStyle name="Normal 3 3 4 3 2 4 2" xfId="5625" xr:uid="{00000000-0005-0000-0000-00008E6A0000}"/>
    <cellStyle name="Normal 3 3 4 3 2 4 2 2" xfId="34663" xr:uid="{00000000-0005-0000-0000-00008F6A0000}"/>
    <cellStyle name="Normal 3 3 4 3 2 4 3" xfId="34662" xr:uid="{00000000-0005-0000-0000-0000906A0000}"/>
    <cellStyle name="Normal 3 3 4 3 2 5" xfId="5626" xr:uid="{00000000-0005-0000-0000-0000916A0000}"/>
    <cellStyle name="Normal 3 3 4 3 2 5 2" xfId="34664" xr:uid="{00000000-0005-0000-0000-0000926A0000}"/>
    <cellStyle name="Normal 3 3 4 3 2 6" xfId="34665" xr:uid="{00000000-0005-0000-0000-0000936A0000}"/>
    <cellStyle name="Normal 3 3 4 3 2 7" xfId="34657" xr:uid="{00000000-0005-0000-0000-0000946A0000}"/>
    <cellStyle name="Normal 3 3 4 3 3" xfId="5627" xr:uid="{00000000-0005-0000-0000-0000956A0000}"/>
    <cellStyle name="Normal 3 3 4 3 3 2" xfId="5628" xr:uid="{00000000-0005-0000-0000-0000966A0000}"/>
    <cellStyle name="Normal 3 3 4 3 3 2 2" xfId="5629" xr:uid="{00000000-0005-0000-0000-0000976A0000}"/>
    <cellStyle name="Normal 3 3 4 3 3 2 2 2" xfId="34668" xr:uid="{00000000-0005-0000-0000-0000986A0000}"/>
    <cellStyle name="Normal 3 3 4 3 3 2 3" xfId="34667" xr:uid="{00000000-0005-0000-0000-0000996A0000}"/>
    <cellStyle name="Normal 3 3 4 3 3 3" xfId="5630" xr:uid="{00000000-0005-0000-0000-00009A6A0000}"/>
    <cellStyle name="Normal 3 3 4 3 3 3 2" xfId="5631" xr:uid="{00000000-0005-0000-0000-00009B6A0000}"/>
    <cellStyle name="Normal 3 3 4 3 3 3 2 2" xfId="34670" xr:uid="{00000000-0005-0000-0000-00009C6A0000}"/>
    <cellStyle name="Normal 3 3 4 3 3 3 3" xfId="34669" xr:uid="{00000000-0005-0000-0000-00009D6A0000}"/>
    <cellStyle name="Normal 3 3 4 3 3 4" xfId="5632" xr:uid="{00000000-0005-0000-0000-00009E6A0000}"/>
    <cellStyle name="Normal 3 3 4 3 3 4 2" xfId="34672" xr:uid="{00000000-0005-0000-0000-00009F6A0000}"/>
    <cellStyle name="Normal 3 3 4 3 3 4 3" xfId="34671" xr:uid="{00000000-0005-0000-0000-0000A06A0000}"/>
    <cellStyle name="Normal 3 3 4 3 3 5" xfId="34673" xr:uid="{00000000-0005-0000-0000-0000A16A0000}"/>
    <cellStyle name="Normal 3 3 4 3 3 6" xfId="34674" xr:uid="{00000000-0005-0000-0000-0000A26A0000}"/>
    <cellStyle name="Normal 3 3 4 3 3 7" xfId="34666" xr:uid="{00000000-0005-0000-0000-0000A36A0000}"/>
    <cellStyle name="Normal 3 3 4 3 4" xfId="5633" xr:uid="{00000000-0005-0000-0000-0000A46A0000}"/>
    <cellStyle name="Normal 3 3 4 3 4 2" xfId="5634" xr:uid="{00000000-0005-0000-0000-0000A56A0000}"/>
    <cellStyle name="Normal 3 3 4 3 4 2 2" xfId="34677" xr:uid="{00000000-0005-0000-0000-0000A66A0000}"/>
    <cellStyle name="Normal 3 3 4 3 4 2 3" xfId="34676" xr:uid="{00000000-0005-0000-0000-0000A76A0000}"/>
    <cellStyle name="Normal 3 3 4 3 4 3" xfId="5635" xr:uid="{00000000-0005-0000-0000-0000A86A0000}"/>
    <cellStyle name="Normal 3 3 4 3 4 3 2" xfId="34679" xr:uid="{00000000-0005-0000-0000-0000A96A0000}"/>
    <cellStyle name="Normal 3 3 4 3 4 3 3" xfId="34678" xr:uid="{00000000-0005-0000-0000-0000AA6A0000}"/>
    <cellStyle name="Normal 3 3 4 3 4 4" xfId="34680" xr:uid="{00000000-0005-0000-0000-0000AB6A0000}"/>
    <cellStyle name="Normal 3 3 4 3 4 4 2" xfId="34681" xr:uid="{00000000-0005-0000-0000-0000AC6A0000}"/>
    <cellStyle name="Normal 3 3 4 3 4 5" xfId="34682" xr:uid="{00000000-0005-0000-0000-0000AD6A0000}"/>
    <cellStyle name="Normal 3 3 4 3 4 6" xfId="34683" xr:uid="{00000000-0005-0000-0000-0000AE6A0000}"/>
    <cellStyle name="Normal 3 3 4 3 4 7" xfId="34675" xr:uid="{00000000-0005-0000-0000-0000AF6A0000}"/>
    <cellStyle name="Normal 3 3 4 3 5" xfId="5636" xr:uid="{00000000-0005-0000-0000-0000B06A0000}"/>
    <cellStyle name="Normal 3 3 4 3 5 2" xfId="5637" xr:uid="{00000000-0005-0000-0000-0000B16A0000}"/>
    <cellStyle name="Normal 3 3 4 3 5 2 2" xfId="34686" xr:uid="{00000000-0005-0000-0000-0000B26A0000}"/>
    <cellStyle name="Normal 3 3 4 3 5 2 3" xfId="34685" xr:uid="{00000000-0005-0000-0000-0000B36A0000}"/>
    <cellStyle name="Normal 3 3 4 3 5 3" xfId="34687" xr:uid="{00000000-0005-0000-0000-0000B46A0000}"/>
    <cellStyle name="Normal 3 3 4 3 5 3 2" xfId="34688" xr:uid="{00000000-0005-0000-0000-0000B56A0000}"/>
    <cellStyle name="Normal 3 3 4 3 5 4" xfId="34689" xr:uid="{00000000-0005-0000-0000-0000B66A0000}"/>
    <cellStyle name="Normal 3 3 4 3 5 5" xfId="34690" xr:uid="{00000000-0005-0000-0000-0000B76A0000}"/>
    <cellStyle name="Normal 3 3 4 3 5 6" xfId="34684" xr:uid="{00000000-0005-0000-0000-0000B86A0000}"/>
    <cellStyle name="Normal 3 3 4 3 6" xfId="5638" xr:uid="{00000000-0005-0000-0000-0000B96A0000}"/>
    <cellStyle name="Normal 3 3 4 3 6 2" xfId="5639" xr:uid="{00000000-0005-0000-0000-0000BA6A0000}"/>
    <cellStyle name="Normal 3 3 4 3 6 2 2" xfId="34692" xr:uid="{00000000-0005-0000-0000-0000BB6A0000}"/>
    <cellStyle name="Normal 3 3 4 3 6 3" xfId="34691" xr:uid="{00000000-0005-0000-0000-0000BC6A0000}"/>
    <cellStyle name="Normal 3 3 4 3 7" xfId="5640" xr:uid="{00000000-0005-0000-0000-0000BD6A0000}"/>
    <cellStyle name="Normal 3 3 4 3 7 2" xfId="34694" xr:uid="{00000000-0005-0000-0000-0000BE6A0000}"/>
    <cellStyle name="Normal 3 3 4 3 7 3" xfId="34693" xr:uid="{00000000-0005-0000-0000-0000BF6A0000}"/>
    <cellStyle name="Normal 3 3 4 3 8" xfId="34695" xr:uid="{00000000-0005-0000-0000-0000C06A0000}"/>
    <cellStyle name="Normal 3 3 4 3 8 2" xfId="34696" xr:uid="{00000000-0005-0000-0000-0000C16A0000}"/>
    <cellStyle name="Normal 3 3 4 3 9" xfId="34697" xr:uid="{00000000-0005-0000-0000-0000C26A0000}"/>
    <cellStyle name="Normal 3 3 4 4" xfId="5641" xr:uid="{00000000-0005-0000-0000-0000C36A0000}"/>
    <cellStyle name="Normal 3 3 4 4 10" xfId="34699" xr:uid="{00000000-0005-0000-0000-0000C46A0000}"/>
    <cellStyle name="Normal 3 3 4 4 11" xfId="34698" xr:uid="{00000000-0005-0000-0000-0000C56A0000}"/>
    <cellStyle name="Normal 3 3 4 4 2" xfId="5642" xr:uid="{00000000-0005-0000-0000-0000C66A0000}"/>
    <cellStyle name="Normal 3 3 4 4 2 2" xfId="5643" xr:uid="{00000000-0005-0000-0000-0000C76A0000}"/>
    <cellStyle name="Normal 3 3 4 4 2 2 2" xfId="5644" xr:uid="{00000000-0005-0000-0000-0000C86A0000}"/>
    <cellStyle name="Normal 3 3 4 4 2 2 2 2" xfId="34702" xr:uid="{00000000-0005-0000-0000-0000C96A0000}"/>
    <cellStyle name="Normal 3 3 4 4 2 2 3" xfId="5645" xr:uid="{00000000-0005-0000-0000-0000CA6A0000}"/>
    <cellStyle name="Normal 3 3 4 4 2 2 4" xfId="34701" xr:uid="{00000000-0005-0000-0000-0000CB6A0000}"/>
    <cellStyle name="Normal 3 3 4 4 2 3" xfId="5646" xr:uid="{00000000-0005-0000-0000-0000CC6A0000}"/>
    <cellStyle name="Normal 3 3 4 4 2 3 2" xfId="5647" xr:uid="{00000000-0005-0000-0000-0000CD6A0000}"/>
    <cellStyle name="Normal 3 3 4 4 2 3 2 2" xfId="34704" xr:uid="{00000000-0005-0000-0000-0000CE6A0000}"/>
    <cellStyle name="Normal 3 3 4 4 2 3 3" xfId="34703" xr:uid="{00000000-0005-0000-0000-0000CF6A0000}"/>
    <cellStyle name="Normal 3 3 4 4 2 4" xfId="5648" xr:uid="{00000000-0005-0000-0000-0000D06A0000}"/>
    <cellStyle name="Normal 3 3 4 4 2 4 2" xfId="5649" xr:uid="{00000000-0005-0000-0000-0000D16A0000}"/>
    <cellStyle name="Normal 3 3 4 4 2 4 2 2" xfId="34706" xr:uid="{00000000-0005-0000-0000-0000D26A0000}"/>
    <cellStyle name="Normal 3 3 4 4 2 4 3" xfId="34705" xr:uid="{00000000-0005-0000-0000-0000D36A0000}"/>
    <cellStyle name="Normal 3 3 4 4 2 5" xfId="5650" xr:uid="{00000000-0005-0000-0000-0000D46A0000}"/>
    <cellStyle name="Normal 3 3 4 4 2 5 2" xfId="34707" xr:uid="{00000000-0005-0000-0000-0000D56A0000}"/>
    <cellStyle name="Normal 3 3 4 4 2 6" xfId="34708" xr:uid="{00000000-0005-0000-0000-0000D66A0000}"/>
    <cellStyle name="Normal 3 3 4 4 2 7" xfId="34700" xr:uid="{00000000-0005-0000-0000-0000D76A0000}"/>
    <cellStyle name="Normal 3 3 4 4 3" xfId="5651" xr:uid="{00000000-0005-0000-0000-0000D86A0000}"/>
    <cellStyle name="Normal 3 3 4 4 3 2" xfId="5652" xr:uid="{00000000-0005-0000-0000-0000D96A0000}"/>
    <cellStyle name="Normal 3 3 4 4 3 2 2" xfId="5653" xr:uid="{00000000-0005-0000-0000-0000DA6A0000}"/>
    <cellStyle name="Normal 3 3 4 4 3 2 2 2" xfId="34711" xr:uid="{00000000-0005-0000-0000-0000DB6A0000}"/>
    <cellStyle name="Normal 3 3 4 4 3 2 3" xfId="34710" xr:uid="{00000000-0005-0000-0000-0000DC6A0000}"/>
    <cellStyle name="Normal 3 3 4 4 3 3" xfId="5654" xr:uid="{00000000-0005-0000-0000-0000DD6A0000}"/>
    <cellStyle name="Normal 3 3 4 4 3 3 2" xfId="5655" xr:uid="{00000000-0005-0000-0000-0000DE6A0000}"/>
    <cellStyle name="Normal 3 3 4 4 3 3 2 2" xfId="34713" xr:uid="{00000000-0005-0000-0000-0000DF6A0000}"/>
    <cellStyle name="Normal 3 3 4 4 3 3 3" xfId="34712" xr:uid="{00000000-0005-0000-0000-0000E06A0000}"/>
    <cellStyle name="Normal 3 3 4 4 3 4" xfId="5656" xr:uid="{00000000-0005-0000-0000-0000E16A0000}"/>
    <cellStyle name="Normal 3 3 4 4 3 4 2" xfId="34715" xr:uid="{00000000-0005-0000-0000-0000E26A0000}"/>
    <cellStyle name="Normal 3 3 4 4 3 4 3" xfId="34714" xr:uid="{00000000-0005-0000-0000-0000E36A0000}"/>
    <cellStyle name="Normal 3 3 4 4 3 5" xfId="34716" xr:uid="{00000000-0005-0000-0000-0000E46A0000}"/>
    <cellStyle name="Normal 3 3 4 4 3 6" xfId="34717" xr:uid="{00000000-0005-0000-0000-0000E56A0000}"/>
    <cellStyle name="Normal 3 3 4 4 3 7" xfId="34709" xr:uid="{00000000-0005-0000-0000-0000E66A0000}"/>
    <cellStyle name="Normal 3 3 4 4 4" xfId="5657" xr:uid="{00000000-0005-0000-0000-0000E76A0000}"/>
    <cellStyle name="Normal 3 3 4 4 4 2" xfId="5658" xr:uid="{00000000-0005-0000-0000-0000E86A0000}"/>
    <cellStyle name="Normal 3 3 4 4 4 2 2" xfId="34720" xr:uid="{00000000-0005-0000-0000-0000E96A0000}"/>
    <cellStyle name="Normal 3 3 4 4 4 2 3" xfId="34719" xr:uid="{00000000-0005-0000-0000-0000EA6A0000}"/>
    <cellStyle name="Normal 3 3 4 4 4 3" xfId="5659" xr:uid="{00000000-0005-0000-0000-0000EB6A0000}"/>
    <cellStyle name="Normal 3 3 4 4 4 3 2" xfId="34722" xr:uid="{00000000-0005-0000-0000-0000EC6A0000}"/>
    <cellStyle name="Normal 3 3 4 4 4 3 3" xfId="34721" xr:uid="{00000000-0005-0000-0000-0000ED6A0000}"/>
    <cellStyle name="Normal 3 3 4 4 4 4" xfId="34723" xr:uid="{00000000-0005-0000-0000-0000EE6A0000}"/>
    <cellStyle name="Normal 3 3 4 4 4 4 2" xfId="34724" xr:uid="{00000000-0005-0000-0000-0000EF6A0000}"/>
    <cellStyle name="Normal 3 3 4 4 4 5" xfId="34725" xr:uid="{00000000-0005-0000-0000-0000F06A0000}"/>
    <cellStyle name="Normal 3 3 4 4 4 6" xfId="34726" xr:uid="{00000000-0005-0000-0000-0000F16A0000}"/>
    <cellStyle name="Normal 3 3 4 4 4 7" xfId="34718" xr:uid="{00000000-0005-0000-0000-0000F26A0000}"/>
    <cellStyle name="Normal 3 3 4 4 5" xfId="5660" xr:uid="{00000000-0005-0000-0000-0000F36A0000}"/>
    <cellStyle name="Normal 3 3 4 4 5 2" xfId="5661" xr:uid="{00000000-0005-0000-0000-0000F46A0000}"/>
    <cellStyle name="Normal 3 3 4 4 5 2 2" xfId="34729" xr:uid="{00000000-0005-0000-0000-0000F56A0000}"/>
    <cellStyle name="Normal 3 3 4 4 5 2 3" xfId="34728" xr:uid="{00000000-0005-0000-0000-0000F66A0000}"/>
    <cellStyle name="Normal 3 3 4 4 5 3" xfId="34730" xr:uid="{00000000-0005-0000-0000-0000F76A0000}"/>
    <cellStyle name="Normal 3 3 4 4 5 3 2" xfId="34731" xr:uid="{00000000-0005-0000-0000-0000F86A0000}"/>
    <cellStyle name="Normal 3 3 4 4 5 4" xfId="34732" xr:uid="{00000000-0005-0000-0000-0000F96A0000}"/>
    <cellStyle name="Normal 3 3 4 4 5 5" xfId="34733" xr:uid="{00000000-0005-0000-0000-0000FA6A0000}"/>
    <cellStyle name="Normal 3 3 4 4 5 6" xfId="34727" xr:uid="{00000000-0005-0000-0000-0000FB6A0000}"/>
    <cellStyle name="Normal 3 3 4 4 6" xfId="5662" xr:uid="{00000000-0005-0000-0000-0000FC6A0000}"/>
    <cellStyle name="Normal 3 3 4 4 6 2" xfId="5663" xr:uid="{00000000-0005-0000-0000-0000FD6A0000}"/>
    <cellStyle name="Normal 3 3 4 4 6 2 2" xfId="34735" xr:uid="{00000000-0005-0000-0000-0000FE6A0000}"/>
    <cellStyle name="Normal 3 3 4 4 6 3" xfId="34734" xr:uid="{00000000-0005-0000-0000-0000FF6A0000}"/>
    <cellStyle name="Normal 3 3 4 4 7" xfId="5664" xr:uid="{00000000-0005-0000-0000-0000006B0000}"/>
    <cellStyle name="Normal 3 3 4 4 7 2" xfId="34737" xr:uid="{00000000-0005-0000-0000-0000016B0000}"/>
    <cellStyle name="Normal 3 3 4 4 7 3" xfId="34736" xr:uid="{00000000-0005-0000-0000-0000026B0000}"/>
    <cellStyle name="Normal 3 3 4 4 8" xfId="34738" xr:uid="{00000000-0005-0000-0000-0000036B0000}"/>
    <cellStyle name="Normal 3 3 4 4 8 2" xfId="34739" xr:uid="{00000000-0005-0000-0000-0000046B0000}"/>
    <cellStyle name="Normal 3 3 4 4 9" xfId="34740" xr:uid="{00000000-0005-0000-0000-0000056B0000}"/>
    <cellStyle name="Normal 3 3 4 5" xfId="5665" xr:uid="{00000000-0005-0000-0000-0000066B0000}"/>
    <cellStyle name="Normal 3 3 4 5 2" xfId="5666" xr:uid="{00000000-0005-0000-0000-0000076B0000}"/>
    <cellStyle name="Normal 3 3 4 5 2 2" xfId="5667" xr:uid="{00000000-0005-0000-0000-0000086B0000}"/>
    <cellStyle name="Normal 3 3 4 5 2 2 2" xfId="5668" xr:uid="{00000000-0005-0000-0000-0000096B0000}"/>
    <cellStyle name="Normal 3 3 4 5 2 2 3" xfId="34743" xr:uid="{00000000-0005-0000-0000-00000A6B0000}"/>
    <cellStyle name="Normal 3 3 4 5 2 3" xfId="5669" xr:uid="{00000000-0005-0000-0000-00000B6B0000}"/>
    <cellStyle name="Normal 3 3 4 5 2 3 2" xfId="5670" xr:uid="{00000000-0005-0000-0000-00000C6B0000}"/>
    <cellStyle name="Normal 3 3 4 5 2 4" xfId="5671" xr:uid="{00000000-0005-0000-0000-00000D6B0000}"/>
    <cellStyle name="Normal 3 3 4 5 2 5" xfId="34742" xr:uid="{00000000-0005-0000-0000-00000E6B0000}"/>
    <cellStyle name="Normal 3 3 4 5 3" xfId="5672" xr:uid="{00000000-0005-0000-0000-00000F6B0000}"/>
    <cellStyle name="Normal 3 3 4 5 3 2" xfId="5673" xr:uid="{00000000-0005-0000-0000-0000106B0000}"/>
    <cellStyle name="Normal 3 3 4 5 3 2 2" xfId="34745" xr:uid="{00000000-0005-0000-0000-0000116B0000}"/>
    <cellStyle name="Normal 3 3 4 5 3 3" xfId="5674" xr:uid="{00000000-0005-0000-0000-0000126B0000}"/>
    <cellStyle name="Normal 3 3 4 5 3 4" xfId="34744" xr:uid="{00000000-0005-0000-0000-0000136B0000}"/>
    <cellStyle name="Normal 3 3 4 5 4" xfId="5675" xr:uid="{00000000-0005-0000-0000-0000146B0000}"/>
    <cellStyle name="Normal 3 3 4 5 4 2" xfId="5676" xr:uid="{00000000-0005-0000-0000-0000156B0000}"/>
    <cellStyle name="Normal 3 3 4 5 4 2 2" xfId="34747" xr:uid="{00000000-0005-0000-0000-0000166B0000}"/>
    <cellStyle name="Normal 3 3 4 5 4 3" xfId="34746" xr:uid="{00000000-0005-0000-0000-0000176B0000}"/>
    <cellStyle name="Normal 3 3 4 5 5" xfId="5677" xr:uid="{00000000-0005-0000-0000-0000186B0000}"/>
    <cellStyle name="Normal 3 3 4 5 5 2" xfId="5678" xr:uid="{00000000-0005-0000-0000-0000196B0000}"/>
    <cellStyle name="Normal 3 3 4 5 5 3" xfId="34748" xr:uid="{00000000-0005-0000-0000-00001A6B0000}"/>
    <cellStyle name="Normal 3 3 4 5 6" xfId="5679" xr:uid="{00000000-0005-0000-0000-00001B6B0000}"/>
    <cellStyle name="Normal 3 3 4 5 6 2" xfId="34749" xr:uid="{00000000-0005-0000-0000-00001C6B0000}"/>
    <cellStyle name="Normal 3 3 4 5 7" xfId="34741" xr:uid="{00000000-0005-0000-0000-00001D6B0000}"/>
    <cellStyle name="Normal 3 3 4 6" xfId="5680" xr:uid="{00000000-0005-0000-0000-00001E6B0000}"/>
    <cellStyle name="Normal 3 3 4 6 2" xfId="5681" xr:uid="{00000000-0005-0000-0000-00001F6B0000}"/>
    <cellStyle name="Normal 3 3 4 6 2 2" xfId="5682" xr:uid="{00000000-0005-0000-0000-0000206B0000}"/>
    <cellStyle name="Normal 3 3 4 6 2 2 2" xfId="34752" xr:uid="{00000000-0005-0000-0000-0000216B0000}"/>
    <cellStyle name="Normal 3 3 4 6 2 3" xfId="34751" xr:uid="{00000000-0005-0000-0000-0000226B0000}"/>
    <cellStyle name="Normal 3 3 4 6 3" xfId="5683" xr:uid="{00000000-0005-0000-0000-0000236B0000}"/>
    <cellStyle name="Normal 3 3 4 6 3 2" xfId="5684" xr:uid="{00000000-0005-0000-0000-0000246B0000}"/>
    <cellStyle name="Normal 3 3 4 6 3 2 2" xfId="34754" xr:uid="{00000000-0005-0000-0000-0000256B0000}"/>
    <cellStyle name="Normal 3 3 4 6 3 3" xfId="34753" xr:uid="{00000000-0005-0000-0000-0000266B0000}"/>
    <cellStyle name="Normal 3 3 4 6 4" xfId="5685" xr:uid="{00000000-0005-0000-0000-0000276B0000}"/>
    <cellStyle name="Normal 3 3 4 6 4 2" xfId="34756" xr:uid="{00000000-0005-0000-0000-0000286B0000}"/>
    <cellStyle name="Normal 3 3 4 6 4 3" xfId="34755" xr:uid="{00000000-0005-0000-0000-0000296B0000}"/>
    <cellStyle name="Normal 3 3 4 6 5" xfId="34757" xr:uid="{00000000-0005-0000-0000-00002A6B0000}"/>
    <cellStyle name="Normal 3 3 4 6 6" xfId="34758" xr:uid="{00000000-0005-0000-0000-00002B6B0000}"/>
    <cellStyle name="Normal 3 3 4 6 7" xfId="34750" xr:uid="{00000000-0005-0000-0000-00002C6B0000}"/>
    <cellStyle name="Normal 3 3 4 7" xfId="5686" xr:uid="{00000000-0005-0000-0000-00002D6B0000}"/>
    <cellStyle name="Normal 3 3 4 7 2" xfId="5687" xr:uid="{00000000-0005-0000-0000-00002E6B0000}"/>
    <cellStyle name="Normal 3 3 4 7 2 2" xfId="5688" xr:uid="{00000000-0005-0000-0000-00002F6B0000}"/>
    <cellStyle name="Normal 3 3 4 7 2 2 2" xfId="34761" xr:uid="{00000000-0005-0000-0000-0000306B0000}"/>
    <cellStyle name="Normal 3 3 4 7 2 3" xfId="34760" xr:uid="{00000000-0005-0000-0000-0000316B0000}"/>
    <cellStyle name="Normal 3 3 4 7 3" xfId="5689" xr:uid="{00000000-0005-0000-0000-0000326B0000}"/>
    <cellStyle name="Normal 3 3 4 7 3 2" xfId="5690" xr:uid="{00000000-0005-0000-0000-0000336B0000}"/>
    <cellStyle name="Normal 3 3 4 7 3 2 2" xfId="34763" xr:uid="{00000000-0005-0000-0000-0000346B0000}"/>
    <cellStyle name="Normal 3 3 4 7 3 3" xfId="34762" xr:uid="{00000000-0005-0000-0000-0000356B0000}"/>
    <cellStyle name="Normal 3 3 4 7 4" xfId="5691" xr:uid="{00000000-0005-0000-0000-0000366B0000}"/>
    <cellStyle name="Normal 3 3 4 7 4 2" xfId="34765" xr:uid="{00000000-0005-0000-0000-0000376B0000}"/>
    <cellStyle name="Normal 3 3 4 7 4 3" xfId="34764" xr:uid="{00000000-0005-0000-0000-0000386B0000}"/>
    <cellStyle name="Normal 3 3 4 7 5" xfId="34766" xr:uid="{00000000-0005-0000-0000-0000396B0000}"/>
    <cellStyle name="Normal 3 3 4 7 6" xfId="34767" xr:uid="{00000000-0005-0000-0000-00003A6B0000}"/>
    <cellStyle name="Normal 3 3 4 7 7" xfId="34759" xr:uid="{00000000-0005-0000-0000-00003B6B0000}"/>
    <cellStyle name="Normal 3 3 4 8" xfId="5692" xr:uid="{00000000-0005-0000-0000-00003C6B0000}"/>
    <cellStyle name="Normal 3 3 4 8 2" xfId="5693" xr:uid="{00000000-0005-0000-0000-00003D6B0000}"/>
    <cellStyle name="Normal 3 3 4 8 2 2" xfId="34770" xr:uid="{00000000-0005-0000-0000-00003E6B0000}"/>
    <cellStyle name="Normal 3 3 4 8 2 3" xfId="34769" xr:uid="{00000000-0005-0000-0000-00003F6B0000}"/>
    <cellStyle name="Normal 3 3 4 8 3" xfId="5694" xr:uid="{00000000-0005-0000-0000-0000406B0000}"/>
    <cellStyle name="Normal 3 3 4 8 3 2" xfId="34772" xr:uid="{00000000-0005-0000-0000-0000416B0000}"/>
    <cellStyle name="Normal 3 3 4 8 3 3" xfId="34771" xr:uid="{00000000-0005-0000-0000-0000426B0000}"/>
    <cellStyle name="Normal 3 3 4 8 4" xfId="34773" xr:uid="{00000000-0005-0000-0000-0000436B0000}"/>
    <cellStyle name="Normal 3 3 4 8 5" xfId="34774" xr:uid="{00000000-0005-0000-0000-0000446B0000}"/>
    <cellStyle name="Normal 3 3 4 8 6" xfId="34768" xr:uid="{00000000-0005-0000-0000-0000456B0000}"/>
    <cellStyle name="Normal 3 3 4 9" xfId="5695" xr:uid="{00000000-0005-0000-0000-0000466B0000}"/>
    <cellStyle name="Normal 3 3 4 9 2" xfId="5696" xr:uid="{00000000-0005-0000-0000-0000476B0000}"/>
    <cellStyle name="Normal 3 3 4 9 2 2" xfId="34776" xr:uid="{00000000-0005-0000-0000-0000486B0000}"/>
    <cellStyle name="Normal 3 3 4 9 3" xfId="34775" xr:uid="{00000000-0005-0000-0000-0000496B0000}"/>
    <cellStyle name="Normal 3 3 5" xfId="5697" xr:uid="{00000000-0005-0000-0000-00004A6B0000}"/>
    <cellStyle name="Normal 3 3 5 10" xfId="5698" xr:uid="{00000000-0005-0000-0000-00004B6B0000}"/>
    <cellStyle name="Normal 3 3 5 10 2" xfId="5699" xr:uid="{00000000-0005-0000-0000-00004C6B0000}"/>
    <cellStyle name="Normal 3 3 5 10 2 2" xfId="34779" xr:uid="{00000000-0005-0000-0000-00004D6B0000}"/>
    <cellStyle name="Normal 3 3 5 10 3" xfId="34778" xr:uid="{00000000-0005-0000-0000-00004E6B0000}"/>
    <cellStyle name="Normal 3 3 5 11" xfId="5700" xr:uid="{00000000-0005-0000-0000-00004F6B0000}"/>
    <cellStyle name="Normal 3 3 5 11 2" xfId="34780" xr:uid="{00000000-0005-0000-0000-0000506B0000}"/>
    <cellStyle name="Normal 3 3 5 12" xfId="34781" xr:uid="{00000000-0005-0000-0000-0000516B0000}"/>
    <cellStyle name="Normal 3 3 5 13" xfId="34777" xr:uid="{00000000-0005-0000-0000-0000526B0000}"/>
    <cellStyle name="Normal 3 3 5 2" xfId="5701" xr:uid="{00000000-0005-0000-0000-0000536B0000}"/>
    <cellStyle name="Normal 3 3 5 2 10" xfId="34783" xr:uid="{00000000-0005-0000-0000-0000546B0000}"/>
    <cellStyle name="Normal 3 3 5 2 11" xfId="34782" xr:uid="{00000000-0005-0000-0000-0000556B0000}"/>
    <cellStyle name="Normal 3 3 5 2 2" xfId="5702" xr:uid="{00000000-0005-0000-0000-0000566B0000}"/>
    <cellStyle name="Normal 3 3 5 2 2 2" xfId="5703" xr:uid="{00000000-0005-0000-0000-0000576B0000}"/>
    <cellStyle name="Normal 3 3 5 2 2 2 2" xfId="5704" xr:uid="{00000000-0005-0000-0000-0000586B0000}"/>
    <cellStyle name="Normal 3 3 5 2 2 2 2 2" xfId="5705" xr:uid="{00000000-0005-0000-0000-0000596B0000}"/>
    <cellStyle name="Normal 3 3 5 2 2 2 2 3" xfId="5706" xr:uid="{00000000-0005-0000-0000-00005A6B0000}"/>
    <cellStyle name="Normal 3 3 5 2 2 2 2 4" xfId="34786" xr:uid="{00000000-0005-0000-0000-00005B6B0000}"/>
    <cellStyle name="Normal 3 3 5 2 2 2 3" xfId="5707" xr:uid="{00000000-0005-0000-0000-00005C6B0000}"/>
    <cellStyle name="Normal 3 3 5 2 2 2 3 2" xfId="5708" xr:uid="{00000000-0005-0000-0000-00005D6B0000}"/>
    <cellStyle name="Normal 3 3 5 2 2 2 4" xfId="5709" xr:uid="{00000000-0005-0000-0000-00005E6B0000}"/>
    <cellStyle name="Normal 3 3 5 2 2 2 4 2" xfId="5710" xr:uid="{00000000-0005-0000-0000-00005F6B0000}"/>
    <cellStyle name="Normal 3 3 5 2 2 2 5" xfId="5711" xr:uid="{00000000-0005-0000-0000-0000606B0000}"/>
    <cellStyle name="Normal 3 3 5 2 2 2 6" xfId="34785" xr:uid="{00000000-0005-0000-0000-0000616B0000}"/>
    <cellStyle name="Normal 3 3 5 2 2 3" xfId="5712" xr:uid="{00000000-0005-0000-0000-0000626B0000}"/>
    <cellStyle name="Normal 3 3 5 2 2 3 2" xfId="5713" xr:uid="{00000000-0005-0000-0000-0000636B0000}"/>
    <cellStyle name="Normal 3 3 5 2 2 3 2 2" xfId="5714" xr:uid="{00000000-0005-0000-0000-0000646B0000}"/>
    <cellStyle name="Normal 3 3 5 2 2 3 2 3" xfId="34788" xr:uid="{00000000-0005-0000-0000-0000656B0000}"/>
    <cellStyle name="Normal 3 3 5 2 2 3 3" xfId="5715" xr:uid="{00000000-0005-0000-0000-0000666B0000}"/>
    <cellStyle name="Normal 3 3 5 2 2 3 3 2" xfId="5716" xr:uid="{00000000-0005-0000-0000-0000676B0000}"/>
    <cellStyle name="Normal 3 3 5 2 2 3 4" xfId="5717" xr:uid="{00000000-0005-0000-0000-0000686B0000}"/>
    <cellStyle name="Normal 3 3 5 2 2 3 5" xfId="34787" xr:uid="{00000000-0005-0000-0000-0000696B0000}"/>
    <cellStyle name="Normal 3 3 5 2 2 4" xfId="5718" xr:uid="{00000000-0005-0000-0000-00006A6B0000}"/>
    <cellStyle name="Normal 3 3 5 2 2 4 2" xfId="5719" xr:uid="{00000000-0005-0000-0000-00006B6B0000}"/>
    <cellStyle name="Normal 3 3 5 2 2 4 2 2" xfId="34790" xr:uid="{00000000-0005-0000-0000-00006C6B0000}"/>
    <cellStyle name="Normal 3 3 5 2 2 4 3" xfId="5720" xr:uid="{00000000-0005-0000-0000-00006D6B0000}"/>
    <cellStyle name="Normal 3 3 5 2 2 4 4" xfId="34789" xr:uid="{00000000-0005-0000-0000-00006E6B0000}"/>
    <cellStyle name="Normal 3 3 5 2 2 5" xfId="5721" xr:uid="{00000000-0005-0000-0000-00006F6B0000}"/>
    <cellStyle name="Normal 3 3 5 2 2 5 2" xfId="5722" xr:uid="{00000000-0005-0000-0000-0000706B0000}"/>
    <cellStyle name="Normal 3 3 5 2 2 5 3" xfId="34791" xr:uid="{00000000-0005-0000-0000-0000716B0000}"/>
    <cellStyle name="Normal 3 3 5 2 2 6" xfId="5723" xr:uid="{00000000-0005-0000-0000-0000726B0000}"/>
    <cellStyle name="Normal 3 3 5 2 2 6 2" xfId="5724" xr:uid="{00000000-0005-0000-0000-0000736B0000}"/>
    <cellStyle name="Normal 3 3 5 2 2 6 3" xfId="34792" xr:uid="{00000000-0005-0000-0000-0000746B0000}"/>
    <cellStyle name="Normal 3 3 5 2 2 7" xfId="5725" xr:uid="{00000000-0005-0000-0000-0000756B0000}"/>
    <cellStyle name="Normal 3 3 5 2 2 8" xfId="34784" xr:uid="{00000000-0005-0000-0000-0000766B0000}"/>
    <cellStyle name="Normal 3 3 5 2 3" xfId="5726" xr:uid="{00000000-0005-0000-0000-0000776B0000}"/>
    <cellStyle name="Normal 3 3 5 2 3 2" xfId="5727" xr:uid="{00000000-0005-0000-0000-0000786B0000}"/>
    <cellStyle name="Normal 3 3 5 2 3 2 2" xfId="5728" xr:uid="{00000000-0005-0000-0000-0000796B0000}"/>
    <cellStyle name="Normal 3 3 5 2 3 2 2 2" xfId="34795" xr:uid="{00000000-0005-0000-0000-00007A6B0000}"/>
    <cellStyle name="Normal 3 3 5 2 3 2 3" xfId="5729" xr:uid="{00000000-0005-0000-0000-00007B6B0000}"/>
    <cellStyle name="Normal 3 3 5 2 3 2 4" xfId="34794" xr:uid="{00000000-0005-0000-0000-00007C6B0000}"/>
    <cellStyle name="Normal 3 3 5 2 3 3" xfId="5730" xr:uid="{00000000-0005-0000-0000-00007D6B0000}"/>
    <cellStyle name="Normal 3 3 5 2 3 3 2" xfId="5731" xr:uid="{00000000-0005-0000-0000-00007E6B0000}"/>
    <cellStyle name="Normal 3 3 5 2 3 3 2 2" xfId="34797" xr:uid="{00000000-0005-0000-0000-00007F6B0000}"/>
    <cellStyle name="Normal 3 3 5 2 3 3 3" xfId="34796" xr:uid="{00000000-0005-0000-0000-0000806B0000}"/>
    <cellStyle name="Normal 3 3 5 2 3 4" xfId="5732" xr:uid="{00000000-0005-0000-0000-0000816B0000}"/>
    <cellStyle name="Normal 3 3 5 2 3 4 2" xfId="5733" xr:uid="{00000000-0005-0000-0000-0000826B0000}"/>
    <cellStyle name="Normal 3 3 5 2 3 4 2 2" xfId="34799" xr:uid="{00000000-0005-0000-0000-0000836B0000}"/>
    <cellStyle name="Normal 3 3 5 2 3 4 3" xfId="34798" xr:uid="{00000000-0005-0000-0000-0000846B0000}"/>
    <cellStyle name="Normal 3 3 5 2 3 5" xfId="5734" xr:uid="{00000000-0005-0000-0000-0000856B0000}"/>
    <cellStyle name="Normal 3 3 5 2 3 5 2" xfId="34800" xr:uid="{00000000-0005-0000-0000-0000866B0000}"/>
    <cellStyle name="Normal 3 3 5 2 3 6" xfId="34801" xr:uid="{00000000-0005-0000-0000-0000876B0000}"/>
    <cellStyle name="Normal 3 3 5 2 3 7" xfId="34793" xr:uid="{00000000-0005-0000-0000-0000886B0000}"/>
    <cellStyle name="Normal 3 3 5 2 4" xfId="5735" xr:uid="{00000000-0005-0000-0000-0000896B0000}"/>
    <cellStyle name="Normal 3 3 5 2 4 2" xfId="5736" xr:uid="{00000000-0005-0000-0000-00008A6B0000}"/>
    <cellStyle name="Normal 3 3 5 2 4 2 2" xfId="5737" xr:uid="{00000000-0005-0000-0000-00008B6B0000}"/>
    <cellStyle name="Normal 3 3 5 2 4 2 2 2" xfId="34804" xr:uid="{00000000-0005-0000-0000-00008C6B0000}"/>
    <cellStyle name="Normal 3 3 5 2 4 2 3" xfId="34803" xr:uid="{00000000-0005-0000-0000-00008D6B0000}"/>
    <cellStyle name="Normal 3 3 5 2 4 3" xfId="5738" xr:uid="{00000000-0005-0000-0000-00008E6B0000}"/>
    <cellStyle name="Normal 3 3 5 2 4 3 2" xfId="5739" xr:uid="{00000000-0005-0000-0000-00008F6B0000}"/>
    <cellStyle name="Normal 3 3 5 2 4 3 2 2" xfId="34806" xr:uid="{00000000-0005-0000-0000-0000906B0000}"/>
    <cellStyle name="Normal 3 3 5 2 4 3 3" xfId="34805" xr:uid="{00000000-0005-0000-0000-0000916B0000}"/>
    <cellStyle name="Normal 3 3 5 2 4 4" xfId="5740" xr:uid="{00000000-0005-0000-0000-0000926B0000}"/>
    <cellStyle name="Normal 3 3 5 2 4 4 2" xfId="34808" xr:uid="{00000000-0005-0000-0000-0000936B0000}"/>
    <cellStyle name="Normal 3 3 5 2 4 4 3" xfId="34807" xr:uid="{00000000-0005-0000-0000-0000946B0000}"/>
    <cellStyle name="Normal 3 3 5 2 4 5" xfId="34809" xr:uid="{00000000-0005-0000-0000-0000956B0000}"/>
    <cellStyle name="Normal 3 3 5 2 4 6" xfId="34810" xr:uid="{00000000-0005-0000-0000-0000966B0000}"/>
    <cellStyle name="Normal 3 3 5 2 4 7" xfId="34802" xr:uid="{00000000-0005-0000-0000-0000976B0000}"/>
    <cellStyle name="Normal 3 3 5 2 5" xfId="5741" xr:uid="{00000000-0005-0000-0000-0000986B0000}"/>
    <cellStyle name="Normal 3 3 5 2 5 2" xfId="5742" xr:uid="{00000000-0005-0000-0000-0000996B0000}"/>
    <cellStyle name="Normal 3 3 5 2 5 2 2" xfId="34813" xr:uid="{00000000-0005-0000-0000-00009A6B0000}"/>
    <cellStyle name="Normal 3 3 5 2 5 2 3" xfId="34812" xr:uid="{00000000-0005-0000-0000-00009B6B0000}"/>
    <cellStyle name="Normal 3 3 5 2 5 3" xfId="5743" xr:uid="{00000000-0005-0000-0000-00009C6B0000}"/>
    <cellStyle name="Normal 3 3 5 2 5 3 2" xfId="34815" xr:uid="{00000000-0005-0000-0000-00009D6B0000}"/>
    <cellStyle name="Normal 3 3 5 2 5 3 3" xfId="34814" xr:uid="{00000000-0005-0000-0000-00009E6B0000}"/>
    <cellStyle name="Normal 3 3 5 2 5 4" xfId="34816" xr:uid="{00000000-0005-0000-0000-00009F6B0000}"/>
    <cellStyle name="Normal 3 3 5 2 5 5" xfId="34817" xr:uid="{00000000-0005-0000-0000-0000A06B0000}"/>
    <cellStyle name="Normal 3 3 5 2 5 6" xfId="34811" xr:uid="{00000000-0005-0000-0000-0000A16B0000}"/>
    <cellStyle name="Normal 3 3 5 2 6" xfId="5744" xr:uid="{00000000-0005-0000-0000-0000A26B0000}"/>
    <cellStyle name="Normal 3 3 5 2 6 2" xfId="5745" xr:uid="{00000000-0005-0000-0000-0000A36B0000}"/>
    <cellStyle name="Normal 3 3 5 2 6 2 2" xfId="34819" xr:uid="{00000000-0005-0000-0000-0000A46B0000}"/>
    <cellStyle name="Normal 3 3 5 2 6 3" xfId="34818" xr:uid="{00000000-0005-0000-0000-0000A56B0000}"/>
    <cellStyle name="Normal 3 3 5 2 7" xfId="5746" xr:uid="{00000000-0005-0000-0000-0000A66B0000}"/>
    <cellStyle name="Normal 3 3 5 2 7 2" xfId="5747" xr:uid="{00000000-0005-0000-0000-0000A76B0000}"/>
    <cellStyle name="Normal 3 3 5 2 7 2 2" xfId="34821" xr:uid="{00000000-0005-0000-0000-0000A86B0000}"/>
    <cellStyle name="Normal 3 3 5 2 7 3" xfId="34820" xr:uid="{00000000-0005-0000-0000-0000A96B0000}"/>
    <cellStyle name="Normal 3 3 5 2 8" xfId="5748" xr:uid="{00000000-0005-0000-0000-0000AA6B0000}"/>
    <cellStyle name="Normal 3 3 5 2 8 2" xfId="34823" xr:uid="{00000000-0005-0000-0000-0000AB6B0000}"/>
    <cellStyle name="Normal 3 3 5 2 8 3" xfId="34822" xr:uid="{00000000-0005-0000-0000-0000AC6B0000}"/>
    <cellStyle name="Normal 3 3 5 2 9" xfId="34824" xr:uid="{00000000-0005-0000-0000-0000AD6B0000}"/>
    <cellStyle name="Normal 3 3 5 3" xfId="5749" xr:uid="{00000000-0005-0000-0000-0000AE6B0000}"/>
    <cellStyle name="Normal 3 3 5 3 10" xfId="34826" xr:uid="{00000000-0005-0000-0000-0000AF6B0000}"/>
    <cellStyle name="Normal 3 3 5 3 11" xfId="34825" xr:uid="{00000000-0005-0000-0000-0000B06B0000}"/>
    <cellStyle name="Normal 3 3 5 3 2" xfId="5750" xr:uid="{00000000-0005-0000-0000-0000B16B0000}"/>
    <cellStyle name="Normal 3 3 5 3 2 2" xfId="5751" xr:uid="{00000000-0005-0000-0000-0000B26B0000}"/>
    <cellStyle name="Normal 3 3 5 3 2 2 2" xfId="5752" xr:uid="{00000000-0005-0000-0000-0000B36B0000}"/>
    <cellStyle name="Normal 3 3 5 3 2 2 2 2" xfId="34829" xr:uid="{00000000-0005-0000-0000-0000B46B0000}"/>
    <cellStyle name="Normal 3 3 5 3 2 2 3" xfId="5753" xr:uid="{00000000-0005-0000-0000-0000B56B0000}"/>
    <cellStyle name="Normal 3 3 5 3 2 2 4" xfId="34828" xr:uid="{00000000-0005-0000-0000-0000B66B0000}"/>
    <cellStyle name="Normal 3 3 5 3 2 3" xfId="5754" xr:uid="{00000000-0005-0000-0000-0000B76B0000}"/>
    <cellStyle name="Normal 3 3 5 3 2 3 2" xfId="5755" xr:uid="{00000000-0005-0000-0000-0000B86B0000}"/>
    <cellStyle name="Normal 3 3 5 3 2 3 2 2" xfId="34831" xr:uid="{00000000-0005-0000-0000-0000B96B0000}"/>
    <cellStyle name="Normal 3 3 5 3 2 3 3" xfId="34830" xr:uid="{00000000-0005-0000-0000-0000BA6B0000}"/>
    <cellStyle name="Normal 3 3 5 3 2 4" xfId="5756" xr:uid="{00000000-0005-0000-0000-0000BB6B0000}"/>
    <cellStyle name="Normal 3 3 5 3 2 4 2" xfId="5757" xr:uid="{00000000-0005-0000-0000-0000BC6B0000}"/>
    <cellStyle name="Normal 3 3 5 3 2 4 2 2" xfId="34833" xr:uid="{00000000-0005-0000-0000-0000BD6B0000}"/>
    <cellStyle name="Normal 3 3 5 3 2 4 3" xfId="34832" xr:uid="{00000000-0005-0000-0000-0000BE6B0000}"/>
    <cellStyle name="Normal 3 3 5 3 2 5" xfId="5758" xr:uid="{00000000-0005-0000-0000-0000BF6B0000}"/>
    <cellStyle name="Normal 3 3 5 3 2 5 2" xfId="34834" xr:uid="{00000000-0005-0000-0000-0000C06B0000}"/>
    <cellStyle name="Normal 3 3 5 3 2 6" xfId="34835" xr:uid="{00000000-0005-0000-0000-0000C16B0000}"/>
    <cellStyle name="Normal 3 3 5 3 2 7" xfId="34827" xr:uid="{00000000-0005-0000-0000-0000C26B0000}"/>
    <cellStyle name="Normal 3 3 5 3 3" xfId="5759" xr:uid="{00000000-0005-0000-0000-0000C36B0000}"/>
    <cellStyle name="Normal 3 3 5 3 3 2" xfId="5760" xr:uid="{00000000-0005-0000-0000-0000C46B0000}"/>
    <cellStyle name="Normal 3 3 5 3 3 2 2" xfId="5761" xr:uid="{00000000-0005-0000-0000-0000C56B0000}"/>
    <cellStyle name="Normal 3 3 5 3 3 2 2 2" xfId="34838" xr:uid="{00000000-0005-0000-0000-0000C66B0000}"/>
    <cellStyle name="Normal 3 3 5 3 3 2 3" xfId="34837" xr:uid="{00000000-0005-0000-0000-0000C76B0000}"/>
    <cellStyle name="Normal 3 3 5 3 3 3" xfId="5762" xr:uid="{00000000-0005-0000-0000-0000C86B0000}"/>
    <cellStyle name="Normal 3 3 5 3 3 3 2" xfId="5763" xr:uid="{00000000-0005-0000-0000-0000C96B0000}"/>
    <cellStyle name="Normal 3 3 5 3 3 3 2 2" xfId="34840" xr:uid="{00000000-0005-0000-0000-0000CA6B0000}"/>
    <cellStyle name="Normal 3 3 5 3 3 3 3" xfId="34839" xr:uid="{00000000-0005-0000-0000-0000CB6B0000}"/>
    <cellStyle name="Normal 3 3 5 3 3 4" xfId="5764" xr:uid="{00000000-0005-0000-0000-0000CC6B0000}"/>
    <cellStyle name="Normal 3 3 5 3 3 4 2" xfId="34842" xr:uid="{00000000-0005-0000-0000-0000CD6B0000}"/>
    <cellStyle name="Normal 3 3 5 3 3 4 3" xfId="34841" xr:uid="{00000000-0005-0000-0000-0000CE6B0000}"/>
    <cellStyle name="Normal 3 3 5 3 3 5" xfId="34843" xr:uid="{00000000-0005-0000-0000-0000CF6B0000}"/>
    <cellStyle name="Normal 3 3 5 3 3 6" xfId="34844" xr:uid="{00000000-0005-0000-0000-0000D06B0000}"/>
    <cellStyle name="Normal 3 3 5 3 3 7" xfId="34836" xr:uid="{00000000-0005-0000-0000-0000D16B0000}"/>
    <cellStyle name="Normal 3 3 5 3 4" xfId="5765" xr:uid="{00000000-0005-0000-0000-0000D26B0000}"/>
    <cellStyle name="Normal 3 3 5 3 4 2" xfId="5766" xr:uid="{00000000-0005-0000-0000-0000D36B0000}"/>
    <cellStyle name="Normal 3 3 5 3 4 2 2" xfId="34847" xr:uid="{00000000-0005-0000-0000-0000D46B0000}"/>
    <cellStyle name="Normal 3 3 5 3 4 2 3" xfId="34846" xr:uid="{00000000-0005-0000-0000-0000D56B0000}"/>
    <cellStyle name="Normal 3 3 5 3 4 3" xfId="5767" xr:uid="{00000000-0005-0000-0000-0000D66B0000}"/>
    <cellStyle name="Normal 3 3 5 3 4 3 2" xfId="34849" xr:uid="{00000000-0005-0000-0000-0000D76B0000}"/>
    <cellStyle name="Normal 3 3 5 3 4 3 3" xfId="34848" xr:uid="{00000000-0005-0000-0000-0000D86B0000}"/>
    <cellStyle name="Normal 3 3 5 3 4 4" xfId="34850" xr:uid="{00000000-0005-0000-0000-0000D96B0000}"/>
    <cellStyle name="Normal 3 3 5 3 4 4 2" xfId="34851" xr:uid="{00000000-0005-0000-0000-0000DA6B0000}"/>
    <cellStyle name="Normal 3 3 5 3 4 5" xfId="34852" xr:uid="{00000000-0005-0000-0000-0000DB6B0000}"/>
    <cellStyle name="Normal 3 3 5 3 4 6" xfId="34853" xr:uid="{00000000-0005-0000-0000-0000DC6B0000}"/>
    <cellStyle name="Normal 3 3 5 3 4 7" xfId="34845" xr:uid="{00000000-0005-0000-0000-0000DD6B0000}"/>
    <cellStyle name="Normal 3 3 5 3 5" xfId="5768" xr:uid="{00000000-0005-0000-0000-0000DE6B0000}"/>
    <cellStyle name="Normal 3 3 5 3 5 2" xfId="5769" xr:uid="{00000000-0005-0000-0000-0000DF6B0000}"/>
    <cellStyle name="Normal 3 3 5 3 5 2 2" xfId="34856" xr:uid="{00000000-0005-0000-0000-0000E06B0000}"/>
    <cellStyle name="Normal 3 3 5 3 5 2 3" xfId="34855" xr:uid="{00000000-0005-0000-0000-0000E16B0000}"/>
    <cellStyle name="Normal 3 3 5 3 5 3" xfId="34857" xr:uid="{00000000-0005-0000-0000-0000E26B0000}"/>
    <cellStyle name="Normal 3 3 5 3 5 3 2" xfId="34858" xr:uid="{00000000-0005-0000-0000-0000E36B0000}"/>
    <cellStyle name="Normal 3 3 5 3 5 4" xfId="34859" xr:uid="{00000000-0005-0000-0000-0000E46B0000}"/>
    <cellStyle name="Normal 3 3 5 3 5 5" xfId="34860" xr:uid="{00000000-0005-0000-0000-0000E56B0000}"/>
    <cellStyle name="Normal 3 3 5 3 5 6" xfId="34854" xr:uid="{00000000-0005-0000-0000-0000E66B0000}"/>
    <cellStyle name="Normal 3 3 5 3 6" xfId="5770" xr:uid="{00000000-0005-0000-0000-0000E76B0000}"/>
    <cellStyle name="Normal 3 3 5 3 6 2" xfId="5771" xr:uid="{00000000-0005-0000-0000-0000E86B0000}"/>
    <cellStyle name="Normal 3 3 5 3 6 2 2" xfId="34862" xr:uid="{00000000-0005-0000-0000-0000E96B0000}"/>
    <cellStyle name="Normal 3 3 5 3 6 3" xfId="34861" xr:uid="{00000000-0005-0000-0000-0000EA6B0000}"/>
    <cellStyle name="Normal 3 3 5 3 7" xfId="5772" xr:uid="{00000000-0005-0000-0000-0000EB6B0000}"/>
    <cellStyle name="Normal 3 3 5 3 7 2" xfId="34864" xr:uid="{00000000-0005-0000-0000-0000EC6B0000}"/>
    <cellStyle name="Normal 3 3 5 3 7 3" xfId="34863" xr:uid="{00000000-0005-0000-0000-0000ED6B0000}"/>
    <cellStyle name="Normal 3 3 5 3 8" xfId="34865" xr:uid="{00000000-0005-0000-0000-0000EE6B0000}"/>
    <cellStyle name="Normal 3 3 5 3 8 2" xfId="34866" xr:uid="{00000000-0005-0000-0000-0000EF6B0000}"/>
    <cellStyle name="Normal 3 3 5 3 9" xfId="34867" xr:uid="{00000000-0005-0000-0000-0000F06B0000}"/>
    <cellStyle name="Normal 3 3 5 4" xfId="5773" xr:uid="{00000000-0005-0000-0000-0000F16B0000}"/>
    <cellStyle name="Normal 3 3 5 4 2" xfId="5774" xr:uid="{00000000-0005-0000-0000-0000F26B0000}"/>
    <cellStyle name="Normal 3 3 5 4 2 2" xfId="5775" xr:uid="{00000000-0005-0000-0000-0000F36B0000}"/>
    <cellStyle name="Normal 3 3 5 4 2 2 2" xfId="5776" xr:uid="{00000000-0005-0000-0000-0000F46B0000}"/>
    <cellStyle name="Normal 3 3 5 4 2 2 3" xfId="5777" xr:uid="{00000000-0005-0000-0000-0000F56B0000}"/>
    <cellStyle name="Normal 3 3 5 4 2 2 4" xfId="34870" xr:uid="{00000000-0005-0000-0000-0000F66B0000}"/>
    <cellStyle name="Normal 3 3 5 4 2 3" xfId="5778" xr:uid="{00000000-0005-0000-0000-0000F76B0000}"/>
    <cellStyle name="Normal 3 3 5 4 2 3 2" xfId="5779" xr:uid="{00000000-0005-0000-0000-0000F86B0000}"/>
    <cellStyle name="Normal 3 3 5 4 2 4" xfId="5780" xr:uid="{00000000-0005-0000-0000-0000F96B0000}"/>
    <cellStyle name="Normal 3 3 5 4 2 4 2" xfId="5781" xr:uid="{00000000-0005-0000-0000-0000FA6B0000}"/>
    <cellStyle name="Normal 3 3 5 4 2 5" xfId="5782" xr:uid="{00000000-0005-0000-0000-0000FB6B0000}"/>
    <cellStyle name="Normal 3 3 5 4 2 6" xfId="34869" xr:uid="{00000000-0005-0000-0000-0000FC6B0000}"/>
    <cellStyle name="Normal 3 3 5 4 3" xfId="5783" xr:uid="{00000000-0005-0000-0000-0000FD6B0000}"/>
    <cellStyle name="Normal 3 3 5 4 3 2" xfId="5784" xr:uid="{00000000-0005-0000-0000-0000FE6B0000}"/>
    <cellStyle name="Normal 3 3 5 4 3 2 2" xfId="5785" xr:uid="{00000000-0005-0000-0000-0000FF6B0000}"/>
    <cellStyle name="Normal 3 3 5 4 3 2 3" xfId="34872" xr:uid="{00000000-0005-0000-0000-0000006C0000}"/>
    <cellStyle name="Normal 3 3 5 4 3 3" xfId="5786" xr:uid="{00000000-0005-0000-0000-0000016C0000}"/>
    <cellStyle name="Normal 3 3 5 4 3 3 2" xfId="5787" xr:uid="{00000000-0005-0000-0000-0000026C0000}"/>
    <cellStyle name="Normal 3 3 5 4 3 4" xfId="5788" xr:uid="{00000000-0005-0000-0000-0000036C0000}"/>
    <cellStyle name="Normal 3 3 5 4 3 5" xfId="34871" xr:uid="{00000000-0005-0000-0000-0000046C0000}"/>
    <cellStyle name="Normal 3 3 5 4 4" xfId="5789" xr:uid="{00000000-0005-0000-0000-0000056C0000}"/>
    <cellStyle name="Normal 3 3 5 4 4 2" xfId="5790" xr:uid="{00000000-0005-0000-0000-0000066C0000}"/>
    <cellStyle name="Normal 3 3 5 4 4 2 2" xfId="34874" xr:uid="{00000000-0005-0000-0000-0000076C0000}"/>
    <cellStyle name="Normal 3 3 5 4 4 3" xfId="5791" xr:uid="{00000000-0005-0000-0000-0000086C0000}"/>
    <cellStyle name="Normal 3 3 5 4 4 4" xfId="34873" xr:uid="{00000000-0005-0000-0000-0000096C0000}"/>
    <cellStyle name="Normal 3 3 5 4 5" xfId="5792" xr:uid="{00000000-0005-0000-0000-00000A6C0000}"/>
    <cellStyle name="Normal 3 3 5 4 5 2" xfId="5793" xr:uid="{00000000-0005-0000-0000-00000B6C0000}"/>
    <cellStyle name="Normal 3 3 5 4 5 3" xfId="34875" xr:uid="{00000000-0005-0000-0000-00000C6C0000}"/>
    <cellStyle name="Normal 3 3 5 4 6" xfId="5794" xr:uid="{00000000-0005-0000-0000-00000D6C0000}"/>
    <cellStyle name="Normal 3 3 5 4 6 2" xfId="5795" xr:uid="{00000000-0005-0000-0000-00000E6C0000}"/>
    <cellStyle name="Normal 3 3 5 4 6 3" xfId="34876" xr:uid="{00000000-0005-0000-0000-00000F6C0000}"/>
    <cellStyle name="Normal 3 3 5 4 7" xfId="5796" xr:uid="{00000000-0005-0000-0000-0000106C0000}"/>
    <cellStyle name="Normal 3 3 5 4 8" xfId="34868" xr:uid="{00000000-0005-0000-0000-0000116C0000}"/>
    <cellStyle name="Normal 3 3 5 5" xfId="5797" xr:uid="{00000000-0005-0000-0000-0000126C0000}"/>
    <cellStyle name="Normal 3 3 5 5 2" xfId="5798" xr:uid="{00000000-0005-0000-0000-0000136C0000}"/>
    <cellStyle name="Normal 3 3 5 5 2 2" xfId="5799" xr:uid="{00000000-0005-0000-0000-0000146C0000}"/>
    <cellStyle name="Normal 3 3 5 5 2 2 2" xfId="5800" xr:uid="{00000000-0005-0000-0000-0000156C0000}"/>
    <cellStyle name="Normal 3 3 5 5 2 2 3" xfId="34879" xr:uid="{00000000-0005-0000-0000-0000166C0000}"/>
    <cellStyle name="Normal 3 3 5 5 2 3" xfId="5801" xr:uid="{00000000-0005-0000-0000-0000176C0000}"/>
    <cellStyle name="Normal 3 3 5 5 2 3 2" xfId="5802" xr:uid="{00000000-0005-0000-0000-0000186C0000}"/>
    <cellStyle name="Normal 3 3 5 5 2 4" xfId="5803" xr:uid="{00000000-0005-0000-0000-0000196C0000}"/>
    <cellStyle name="Normal 3 3 5 5 2 5" xfId="34878" xr:uid="{00000000-0005-0000-0000-00001A6C0000}"/>
    <cellStyle name="Normal 3 3 5 5 3" xfId="5804" xr:uid="{00000000-0005-0000-0000-00001B6C0000}"/>
    <cellStyle name="Normal 3 3 5 5 3 2" xfId="5805" xr:uid="{00000000-0005-0000-0000-00001C6C0000}"/>
    <cellStyle name="Normal 3 3 5 5 3 2 2" xfId="34881" xr:uid="{00000000-0005-0000-0000-00001D6C0000}"/>
    <cellStyle name="Normal 3 3 5 5 3 3" xfId="5806" xr:uid="{00000000-0005-0000-0000-00001E6C0000}"/>
    <cellStyle name="Normal 3 3 5 5 3 4" xfId="34880" xr:uid="{00000000-0005-0000-0000-00001F6C0000}"/>
    <cellStyle name="Normal 3 3 5 5 4" xfId="5807" xr:uid="{00000000-0005-0000-0000-0000206C0000}"/>
    <cellStyle name="Normal 3 3 5 5 4 2" xfId="5808" xr:uid="{00000000-0005-0000-0000-0000216C0000}"/>
    <cellStyle name="Normal 3 3 5 5 4 2 2" xfId="34883" xr:uid="{00000000-0005-0000-0000-0000226C0000}"/>
    <cellStyle name="Normal 3 3 5 5 4 3" xfId="34882" xr:uid="{00000000-0005-0000-0000-0000236C0000}"/>
    <cellStyle name="Normal 3 3 5 5 5" xfId="5809" xr:uid="{00000000-0005-0000-0000-0000246C0000}"/>
    <cellStyle name="Normal 3 3 5 5 5 2" xfId="5810" xr:uid="{00000000-0005-0000-0000-0000256C0000}"/>
    <cellStyle name="Normal 3 3 5 5 5 3" xfId="34884" xr:uid="{00000000-0005-0000-0000-0000266C0000}"/>
    <cellStyle name="Normal 3 3 5 5 6" xfId="5811" xr:uid="{00000000-0005-0000-0000-0000276C0000}"/>
    <cellStyle name="Normal 3 3 5 5 6 2" xfId="34885" xr:uid="{00000000-0005-0000-0000-0000286C0000}"/>
    <cellStyle name="Normal 3 3 5 5 7" xfId="34877" xr:uid="{00000000-0005-0000-0000-0000296C0000}"/>
    <cellStyle name="Normal 3 3 5 6" xfId="5812" xr:uid="{00000000-0005-0000-0000-00002A6C0000}"/>
    <cellStyle name="Normal 3 3 5 6 2" xfId="5813" xr:uid="{00000000-0005-0000-0000-00002B6C0000}"/>
    <cellStyle name="Normal 3 3 5 6 2 2" xfId="5814" xr:uid="{00000000-0005-0000-0000-00002C6C0000}"/>
    <cellStyle name="Normal 3 3 5 6 2 2 2" xfId="34888" xr:uid="{00000000-0005-0000-0000-00002D6C0000}"/>
    <cellStyle name="Normal 3 3 5 6 2 3" xfId="34887" xr:uid="{00000000-0005-0000-0000-00002E6C0000}"/>
    <cellStyle name="Normal 3 3 5 6 3" xfId="5815" xr:uid="{00000000-0005-0000-0000-00002F6C0000}"/>
    <cellStyle name="Normal 3 3 5 6 3 2" xfId="5816" xr:uid="{00000000-0005-0000-0000-0000306C0000}"/>
    <cellStyle name="Normal 3 3 5 6 3 2 2" xfId="34890" xr:uid="{00000000-0005-0000-0000-0000316C0000}"/>
    <cellStyle name="Normal 3 3 5 6 3 3" xfId="34889" xr:uid="{00000000-0005-0000-0000-0000326C0000}"/>
    <cellStyle name="Normal 3 3 5 6 4" xfId="5817" xr:uid="{00000000-0005-0000-0000-0000336C0000}"/>
    <cellStyle name="Normal 3 3 5 6 4 2" xfId="34892" xr:uid="{00000000-0005-0000-0000-0000346C0000}"/>
    <cellStyle name="Normal 3 3 5 6 4 3" xfId="34891" xr:uid="{00000000-0005-0000-0000-0000356C0000}"/>
    <cellStyle name="Normal 3 3 5 6 5" xfId="34893" xr:uid="{00000000-0005-0000-0000-0000366C0000}"/>
    <cellStyle name="Normal 3 3 5 6 6" xfId="34894" xr:uid="{00000000-0005-0000-0000-0000376C0000}"/>
    <cellStyle name="Normal 3 3 5 6 7" xfId="34886" xr:uid="{00000000-0005-0000-0000-0000386C0000}"/>
    <cellStyle name="Normal 3 3 5 7" xfId="5818" xr:uid="{00000000-0005-0000-0000-0000396C0000}"/>
    <cellStyle name="Normal 3 3 5 7 2" xfId="5819" xr:uid="{00000000-0005-0000-0000-00003A6C0000}"/>
    <cellStyle name="Normal 3 3 5 7 2 2" xfId="5820" xr:uid="{00000000-0005-0000-0000-00003B6C0000}"/>
    <cellStyle name="Normal 3 3 5 7 2 2 2" xfId="34897" xr:uid="{00000000-0005-0000-0000-00003C6C0000}"/>
    <cellStyle name="Normal 3 3 5 7 2 3" xfId="34896" xr:uid="{00000000-0005-0000-0000-00003D6C0000}"/>
    <cellStyle name="Normal 3 3 5 7 3" xfId="5821" xr:uid="{00000000-0005-0000-0000-00003E6C0000}"/>
    <cellStyle name="Normal 3 3 5 7 3 2" xfId="5822" xr:uid="{00000000-0005-0000-0000-00003F6C0000}"/>
    <cellStyle name="Normal 3 3 5 7 3 2 2" xfId="34899" xr:uid="{00000000-0005-0000-0000-0000406C0000}"/>
    <cellStyle name="Normal 3 3 5 7 3 3" xfId="34898" xr:uid="{00000000-0005-0000-0000-0000416C0000}"/>
    <cellStyle name="Normal 3 3 5 7 4" xfId="5823" xr:uid="{00000000-0005-0000-0000-0000426C0000}"/>
    <cellStyle name="Normal 3 3 5 7 4 2" xfId="34900" xr:uid="{00000000-0005-0000-0000-0000436C0000}"/>
    <cellStyle name="Normal 3 3 5 7 5" xfId="34901" xr:uid="{00000000-0005-0000-0000-0000446C0000}"/>
    <cellStyle name="Normal 3 3 5 7 6" xfId="34895" xr:uid="{00000000-0005-0000-0000-0000456C0000}"/>
    <cellStyle name="Normal 3 3 5 8" xfId="5824" xr:uid="{00000000-0005-0000-0000-0000466C0000}"/>
    <cellStyle name="Normal 3 3 5 8 2" xfId="5825" xr:uid="{00000000-0005-0000-0000-0000476C0000}"/>
    <cellStyle name="Normal 3 3 5 8 2 2" xfId="34903" xr:uid="{00000000-0005-0000-0000-0000486C0000}"/>
    <cellStyle name="Normal 3 3 5 8 3" xfId="5826" xr:uid="{00000000-0005-0000-0000-0000496C0000}"/>
    <cellStyle name="Normal 3 3 5 8 4" xfId="34902" xr:uid="{00000000-0005-0000-0000-00004A6C0000}"/>
    <cellStyle name="Normal 3 3 5 9" xfId="5827" xr:uid="{00000000-0005-0000-0000-00004B6C0000}"/>
    <cellStyle name="Normal 3 3 5 9 2" xfId="5828" xr:uid="{00000000-0005-0000-0000-00004C6C0000}"/>
    <cellStyle name="Normal 3 3 5 9 2 2" xfId="34905" xr:uid="{00000000-0005-0000-0000-00004D6C0000}"/>
    <cellStyle name="Normal 3 3 5 9 3" xfId="34904" xr:uid="{00000000-0005-0000-0000-00004E6C0000}"/>
    <cellStyle name="Normal 3 3 6" xfId="5829" xr:uid="{00000000-0005-0000-0000-00004F6C0000}"/>
    <cellStyle name="Normal 3 3 6 10" xfId="5830" xr:uid="{00000000-0005-0000-0000-0000506C0000}"/>
    <cellStyle name="Normal 3 3 6 10 2" xfId="34907" xr:uid="{00000000-0005-0000-0000-0000516C0000}"/>
    <cellStyle name="Normal 3 3 6 11" xfId="34908" xr:uid="{00000000-0005-0000-0000-0000526C0000}"/>
    <cellStyle name="Normal 3 3 6 12" xfId="34906" xr:uid="{00000000-0005-0000-0000-0000536C0000}"/>
    <cellStyle name="Normal 3 3 6 2" xfId="5831" xr:uid="{00000000-0005-0000-0000-0000546C0000}"/>
    <cellStyle name="Normal 3 3 6 2 2" xfId="5832" xr:uid="{00000000-0005-0000-0000-0000556C0000}"/>
    <cellStyle name="Normal 3 3 6 2 2 2" xfId="5833" xr:uid="{00000000-0005-0000-0000-0000566C0000}"/>
    <cellStyle name="Normal 3 3 6 2 2 2 2" xfId="5834" xr:uid="{00000000-0005-0000-0000-0000576C0000}"/>
    <cellStyle name="Normal 3 3 6 2 2 2 3" xfId="5835" xr:uid="{00000000-0005-0000-0000-0000586C0000}"/>
    <cellStyle name="Normal 3 3 6 2 2 2 4" xfId="34911" xr:uid="{00000000-0005-0000-0000-0000596C0000}"/>
    <cellStyle name="Normal 3 3 6 2 2 3" xfId="5836" xr:uid="{00000000-0005-0000-0000-00005A6C0000}"/>
    <cellStyle name="Normal 3 3 6 2 2 3 2" xfId="5837" xr:uid="{00000000-0005-0000-0000-00005B6C0000}"/>
    <cellStyle name="Normal 3 3 6 2 2 4" xfId="5838" xr:uid="{00000000-0005-0000-0000-00005C6C0000}"/>
    <cellStyle name="Normal 3 3 6 2 2 4 2" xfId="5839" xr:uid="{00000000-0005-0000-0000-00005D6C0000}"/>
    <cellStyle name="Normal 3 3 6 2 2 5" xfId="5840" xr:uid="{00000000-0005-0000-0000-00005E6C0000}"/>
    <cellStyle name="Normal 3 3 6 2 2 6" xfId="34910" xr:uid="{00000000-0005-0000-0000-00005F6C0000}"/>
    <cellStyle name="Normal 3 3 6 2 3" xfId="5841" xr:uid="{00000000-0005-0000-0000-0000606C0000}"/>
    <cellStyle name="Normal 3 3 6 2 3 2" xfId="5842" xr:uid="{00000000-0005-0000-0000-0000616C0000}"/>
    <cellStyle name="Normal 3 3 6 2 3 2 2" xfId="5843" xr:uid="{00000000-0005-0000-0000-0000626C0000}"/>
    <cellStyle name="Normal 3 3 6 2 3 2 3" xfId="34913" xr:uid="{00000000-0005-0000-0000-0000636C0000}"/>
    <cellStyle name="Normal 3 3 6 2 3 3" xfId="5844" xr:uid="{00000000-0005-0000-0000-0000646C0000}"/>
    <cellStyle name="Normal 3 3 6 2 3 3 2" xfId="5845" xr:uid="{00000000-0005-0000-0000-0000656C0000}"/>
    <cellStyle name="Normal 3 3 6 2 3 4" xfId="5846" xr:uid="{00000000-0005-0000-0000-0000666C0000}"/>
    <cellStyle name="Normal 3 3 6 2 3 5" xfId="34912" xr:uid="{00000000-0005-0000-0000-0000676C0000}"/>
    <cellStyle name="Normal 3 3 6 2 4" xfId="5847" xr:uid="{00000000-0005-0000-0000-0000686C0000}"/>
    <cellStyle name="Normal 3 3 6 2 4 2" xfId="5848" xr:uid="{00000000-0005-0000-0000-0000696C0000}"/>
    <cellStyle name="Normal 3 3 6 2 4 2 2" xfId="34915" xr:uid="{00000000-0005-0000-0000-00006A6C0000}"/>
    <cellStyle name="Normal 3 3 6 2 4 3" xfId="5849" xr:uid="{00000000-0005-0000-0000-00006B6C0000}"/>
    <cellStyle name="Normal 3 3 6 2 4 4" xfId="34914" xr:uid="{00000000-0005-0000-0000-00006C6C0000}"/>
    <cellStyle name="Normal 3 3 6 2 5" xfId="5850" xr:uid="{00000000-0005-0000-0000-00006D6C0000}"/>
    <cellStyle name="Normal 3 3 6 2 5 2" xfId="5851" xr:uid="{00000000-0005-0000-0000-00006E6C0000}"/>
    <cellStyle name="Normal 3 3 6 2 5 3" xfId="34916" xr:uid="{00000000-0005-0000-0000-00006F6C0000}"/>
    <cellStyle name="Normal 3 3 6 2 6" xfId="5852" xr:uid="{00000000-0005-0000-0000-0000706C0000}"/>
    <cellStyle name="Normal 3 3 6 2 6 2" xfId="5853" xr:uid="{00000000-0005-0000-0000-0000716C0000}"/>
    <cellStyle name="Normal 3 3 6 2 6 3" xfId="34917" xr:uid="{00000000-0005-0000-0000-0000726C0000}"/>
    <cellStyle name="Normal 3 3 6 2 7" xfId="5854" xr:uid="{00000000-0005-0000-0000-0000736C0000}"/>
    <cellStyle name="Normal 3 3 6 2 8" xfId="34909" xr:uid="{00000000-0005-0000-0000-0000746C0000}"/>
    <cellStyle name="Normal 3 3 6 3" xfId="5855" xr:uid="{00000000-0005-0000-0000-0000756C0000}"/>
    <cellStyle name="Normal 3 3 6 3 2" xfId="5856" xr:uid="{00000000-0005-0000-0000-0000766C0000}"/>
    <cellStyle name="Normal 3 3 6 3 2 2" xfId="5857" xr:uid="{00000000-0005-0000-0000-0000776C0000}"/>
    <cellStyle name="Normal 3 3 6 3 2 2 2" xfId="5858" xr:uid="{00000000-0005-0000-0000-0000786C0000}"/>
    <cellStyle name="Normal 3 3 6 3 2 2 3" xfId="5859" xr:uid="{00000000-0005-0000-0000-0000796C0000}"/>
    <cellStyle name="Normal 3 3 6 3 2 2 4" xfId="34920" xr:uid="{00000000-0005-0000-0000-00007A6C0000}"/>
    <cellStyle name="Normal 3 3 6 3 2 3" xfId="5860" xr:uid="{00000000-0005-0000-0000-00007B6C0000}"/>
    <cellStyle name="Normal 3 3 6 3 2 3 2" xfId="5861" xr:uid="{00000000-0005-0000-0000-00007C6C0000}"/>
    <cellStyle name="Normal 3 3 6 3 2 4" xfId="5862" xr:uid="{00000000-0005-0000-0000-00007D6C0000}"/>
    <cellStyle name="Normal 3 3 6 3 2 4 2" xfId="5863" xr:uid="{00000000-0005-0000-0000-00007E6C0000}"/>
    <cellStyle name="Normal 3 3 6 3 2 5" xfId="5864" xr:uid="{00000000-0005-0000-0000-00007F6C0000}"/>
    <cellStyle name="Normal 3 3 6 3 2 6" xfId="34919" xr:uid="{00000000-0005-0000-0000-0000806C0000}"/>
    <cellStyle name="Normal 3 3 6 3 3" xfId="5865" xr:uid="{00000000-0005-0000-0000-0000816C0000}"/>
    <cellStyle name="Normal 3 3 6 3 3 2" xfId="5866" xr:uid="{00000000-0005-0000-0000-0000826C0000}"/>
    <cellStyle name="Normal 3 3 6 3 3 2 2" xfId="5867" xr:uid="{00000000-0005-0000-0000-0000836C0000}"/>
    <cellStyle name="Normal 3 3 6 3 3 2 3" xfId="34922" xr:uid="{00000000-0005-0000-0000-0000846C0000}"/>
    <cellStyle name="Normal 3 3 6 3 3 3" xfId="5868" xr:uid="{00000000-0005-0000-0000-0000856C0000}"/>
    <cellStyle name="Normal 3 3 6 3 3 3 2" xfId="5869" xr:uid="{00000000-0005-0000-0000-0000866C0000}"/>
    <cellStyle name="Normal 3 3 6 3 3 4" xfId="5870" xr:uid="{00000000-0005-0000-0000-0000876C0000}"/>
    <cellStyle name="Normal 3 3 6 3 3 5" xfId="34921" xr:uid="{00000000-0005-0000-0000-0000886C0000}"/>
    <cellStyle name="Normal 3 3 6 3 4" xfId="5871" xr:uid="{00000000-0005-0000-0000-0000896C0000}"/>
    <cellStyle name="Normal 3 3 6 3 4 2" xfId="5872" xr:uid="{00000000-0005-0000-0000-00008A6C0000}"/>
    <cellStyle name="Normal 3 3 6 3 4 2 2" xfId="34924" xr:uid="{00000000-0005-0000-0000-00008B6C0000}"/>
    <cellStyle name="Normal 3 3 6 3 4 3" xfId="5873" xr:uid="{00000000-0005-0000-0000-00008C6C0000}"/>
    <cellStyle name="Normal 3 3 6 3 4 4" xfId="34923" xr:uid="{00000000-0005-0000-0000-00008D6C0000}"/>
    <cellStyle name="Normal 3 3 6 3 5" xfId="5874" xr:uid="{00000000-0005-0000-0000-00008E6C0000}"/>
    <cellStyle name="Normal 3 3 6 3 5 2" xfId="5875" xr:uid="{00000000-0005-0000-0000-00008F6C0000}"/>
    <cellStyle name="Normal 3 3 6 3 5 3" xfId="34925" xr:uid="{00000000-0005-0000-0000-0000906C0000}"/>
    <cellStyle name="Normal 3 3 6 3 6" xfId="5876" xr:uid="{00000000-0005-0000-0000-0000916C0000}"/>
    <cellStyle name="Normal 3 3 6 3 6 2" xfId="5877" xr:uid="{00000000-0005-0000-0000-0000926C0000}"/>
    <cellStyle name="Normal 3 3 6 3 6 3" xfId="34926" xr:uid="{00000000-0005-0000-0000-0000936C0000}"/>
    <cellStyle name="Normal 3 3 6 3 7" xfId="5878" xr:uid="{00000000-0005-0000-0000-0000946C0000}"/>
    <cellStyle name="Normal 3 3 6 3 8" xfId="34918" xr:uid="{00000000-0005-0000-0000-0000956C0000}"/>
    <cellStyle name="Normal 3 3 6 4" xfId="5879" xr:uid="{00000000-0005-0000-0000-0000966C0000}"/>
    <cellStyle name="Normal 3 3 6 4 2" xfId="5880" xr:uid="{00000000-0005-0000-0000-0000976C0000}"/>
    <cellStyle name="Normal 3 3 6 4 2 2" xfId="5881" xr:uid="{00000000-0005-0000-0000-0000986C0000}"/>
    <cellStyle name="Normal 3 3 6 4 2 2 2" xfId="5882" xr:uid="{00000000-0005-0000-0000-0000996C0000}"/>
    <cellStyle name="Normal 3 3 6 4 2 2 3" xfId="34929" xr:uid="{00000000-0005-0000-0000-00009A6C0000}"/>
    <cellStyle name="Normal 3 3 6 4 2 3" xfId="5883" xr:uid="{00000000-0005-0000-0000-00009B6C0000}"/>
    <cellStyle name="Normal 3 3 6 4 2 3 2" xfId="5884" xr:uid="{00000000-0005-0000-0000-00009C6C0000}"/>
    <cellStyle name="Normal 3 3 6 4 2 4" xfId="5885" xr:uid="{00000000-0005-0000-0000-00009D6C0000}"/>
    <cellStyle name="Normal 3 3 6 4 2 5" xfId="34928" xr:uid="{00000000-0005-0000-0000-00009E6C0000}"/>
    <cellStyle name="Normal 3 3 6 4 3" xfId="5886" xr:uid="{00000000-0005-0000-0000-00009F6C0000}"/>
    <cellStyle name="Normal 3 3 6 4 3 2" xfId="5887" xr:uid="{00000000-0005-0000-0000-0000A06C0000}"/>
    <cellStyle name="Normal 3 3 6 4 3 2 2" xfId="34931" xr:uid="{00000000-0005-0000-0000-0000A16C0000}"/>
    <cellStyle name="Normal 3 3 6 4 3 3" xfId="5888" xr:uid="{00000000-0005-0000-0000-0000A26C0000}"/>
    <cellStyle name="Normal 3 3 6 4 3 4" xfId="34930" xr:uid="{00000000-0005-0000-0000-0000A36C0000}"/>
    <cellStyle name="Normal 3 3 6 4 4" xfId="5889" xr:uid="{00000000-0005-0000-0000-0000A46C0000}"/>
    <cellStyle name="Normal 3 3 6 4 4 2" xfId="5890" xr:uid="{00000000-0005-0000-0000-0000A56C0000}"/>
    <cellStyle name="Normal 3 3 6 4 4 2 2" xfId="34933" xr:uid="{00000000-0005-0000-0000-0000A66C0000}"/>
    <cellStyle name="Normal 3 3 6 4 4 3" xfId="34932" xr:uid="{00000000-0005-0000-0000-0000A76C0000}"/>
    <cellStyle name="Normal 3 3 6 4 5" xfId="5891" xr:uid="{00000000-0005-0000-0000-0000A86C0000}"/>
    <cellStyle name="Normal 3 3 6 4 5 2" xfId="5892" xr:uid="{00000000-0005-0000-0000-0000A96C0000}"/>
    <cellStyle name="Normal 3 3 6 4 5 3" xfId="34934" xr:uid="{00000000-0005-0000-0000-0000AA6C0000}"/>
    <cellStyle name="Normal 3 3 6 4 6" xfId="5893" xr:uid="{00000000-0005-0000-0000-0000AB6C0000}"/>
    <cellStyle name="Normal 3 3 6 4 6 2" xfId="34935" xr:uid="{00000000-0005-0000-0000-0000AC6C0000}"/>
    <cellStyle name="Normal 3 3 6 4 7" xfId="34927" xr:uid="{00000000-0005-0000-0000-0000AD6C0000}"/>
    <cellStyle name="Normal 3 3 6 5" xfId="5894" xr:uid="{00000000-0005-0000-0000-0000AE6C0000}"/>
    <cellStyle name="Normal 3 3 6 5 2" xfId="5895" xr:uid="{00000000-0005-0000-0000-0000AF6C0000}"/>
    <cellStyle name="Normal 3 3 6 5 2 2" xfId="5896" xr:uid="{00000000-0005-0000-0000-0000B06C0000}"/>
    <cellStyle name="Normal 3 3 6 5 2 2 2" xfId="34938" xr:uid="{00000000-0005-0000-0000-0000B16C0000}"/>
    <cellStyle name="Normal 3 3 6 5 2 3" xfId="34937" xr:uid="{00000000-0005-0000-0000-0000B26C0000}"/>
    <cellStyle name="Normal 3 3 6 5 3" xfId="5897" xr:uid="{00000000-0005-0000-0000-0000B36C0000}"/>
    <cellStyle name="Normal 3 3 6 5 3 2" xfId="5898" xr:uid="{00000000-0005-0000-0000-0000B46C0000}"/>
    <cellStyle name="Normal 3 3 6 5 3 2 2" xfId="34940" xr:uid="{00000000-0005-0000-0000-0000B56C0000}"/>
    <cellStyle name="Normal 3 3 6 5 3 3" xfId="34939" xr:uid="{00000000-0005-0000-0000-0000B66C0000}"/>
    <cellStyle name="Normal 3 3 6 5 4" xfId="5899" xr:uid="{00000000-0005-0000-0000-0000B76C0000}"/>
    <cellStyle name="Normal 3 3 6 5 4 2" xfId="34942" xr:uid="{00000000-0005-0000-0000-0000B86C0000}"/>
    <cellStyle name="Normal 3 3 6 5 4 3" xfId="34941" xr:uid="{00000000-0005-0000-0000-0000B96C0000}"/>
    <cellStyle name="Normal 3 3 6 5 5" xfId="34943" xr:uid="{00000000-0005-0000-0000-0000BA6C0000}"/>
    <cellStyle name="Normal 3 3 6 5 6" xfId="34944" xr:uid="{00000000-0005-0000-0000-0000BB6C0000}"/>
    <cellStyle name="Normal 3 3 6 5 7" xfId="34936" xr:uid="{00000000-0005-0000-0000-0000BC6C0000}"/>
    <cellStyle name="Normal 3 3 6 6" xfId="5900" xr:uid="{00000000-0005-0000-0000-0000BD6C0000}"/>
    <cellStyle name="Normal 3 3 6 6 2" xfId="5901" xr:uid="{00000000-0005-0000-0000-0000BE6C0000}"/>
    <cellStyle name="Normal 3 3 6 6 2 2" xfId="5902" xr:uid="{00000000-0005-0000-0000-0000BF6C0000}"/>
    <cellStyle name="Normal 3 3 6 6 2 2 2" xfId="34947" xr:uid="{00000000-0005-0000-0000-0000C06C0000}"/>
    <cellStyle name="Normal 3 3 6 6 2 3" xfId="34946" xr:uid="{00000000-0005-0000-0000-0000C16C0000}"/>
    <cellStyle name="Normal 3 3 6 6 3" xfId="5903" xr:uid="{00000000-0005-0000-0000-0000C26C0000}"/>
    <cellStyle name="Normal 3 3 6 6 3 2" xfId="5904" xr:uid="{00000000-0005-0000-0000-0000C36C0000}"/>
    <cellStyle name="Normal 3 3 6 6 3 2 2" xfId="34949" xr:uid="{00000000-0005-0000-0000-0000C46C0000}"/>
    <cellStyle name="Normal 3 3 6 6 3 3" xfId="34948" xr:uid="{00000000-0005-0000-0000-0000C56C0000}"/>
    <cellStyle name="Normal 3 3 6 6 4" xfId="5905" xr:uid="{00000000-0005-0000-0000-0000C66C0000}"/>
    <cellStyle name="Normal 3 3 6 6 4 2" xfId="34950" xr:uid="{00000000-0005-0000-0000-0000C76C0000}"/>
    <cellStyle name="Normal 3 3 6 6 5" xfId="34951" xr:uid="{00000000-0005-0000-0000-0000C86C0000}"/>
    <cellStyle name="Normal 3 3 6 6 6" xfId="34945" xr:uid="{00000000-0005-0000-0000-0000C96C0000}"/>
    <cellStyle name="Normal 3 3 6 7" xfId="5906" xr:uid="{00000000-0005-0000-0000-0000CA6C0000}"/>
    <cellStyle name="Normal 3 3 6 7 2" xfId="5907" xr:uid="{00000000-0005-0000-0000-0000CB6C0000}"/>
    <cellStyle name="Normal 3 3 6 7 2 2" xfId="34953" xr:uid="{00000000-0005-0000-0000-0000CC6C0000}"/>
    <cellStyle name="Normal 3 3 6 7 3" xfId="5908" xr:uid="{00000000-0005-0000-0000-0000CD6C0000}"/>
    <cellStyle name="Normal 3 3 6 7 4" xfId="34952" xr:uid="{00000000-0005-0000-0000-0000CE6C0000}"/>
    <cellStyle name="Normal 3 3 6 8" xfId="5909" xr:uid="{00000000-0005-0000-0000-0000CF6C0000}"/>
    <cellStyle name="Normal 3 3 6 8 2" xfId="5910" xr:uid="{00000000-0005-0000-0000-0000D06C0000}"/>
    <cellStyle name="Normal 3 3 6 8 2 2" xfId="34955" xr:uid="{00000000-0005-0000-0000-0000D16C0000}"/>
    <cellStyle name="Normal 3 3 6 8 3" xfId="34954" xr:uid="{00000000-0005-0000-0000-0000D26C0000}"/>
    <cellStyle name="Normal 3 3 6 9" xfId="5911" xr:uid="{00000000-0005-0000-0000-0000D36C0000}"/>
    <cellStyle name="Normal 3 3 6 9 2" xfId="5912" xr:uid="{00000000-0005-0000-0000-0000D46C0000}"/>
    <cellStyle name="Normal 3 3 6 9 2 2" xfId="34957" xr:uid="{00000000-0005-0000-0000-0000D56C0000}"/>
    <cellStyle name="Normal 3 3 6 9 3" xfId="34956" xr:uid="{00000000-0005-0000-0000-0000D66C0000}"/>
    <cellStyle name="Normal 3 3 7" xfId="5913" xr:uid="{00000000-0005-0000-0000-0000D76C0000}"/>
    <cellStyle name="Normal 3 3 7 10" xfId="34959" xr:uid="{00000000-0005-0000-0000-0000D86C0000}"/>
    <cellStyle name="Normal 3 3 7 11" xfId="34958" xr:uid="{00000000-0005-0000-0000-0000D96C0000}"/>
    <cellStyle name="Normal 3 3 7 2" xfId="5914" xr:uid="{00000000-0005-0000-0000-0000DA6C0000}"/>
    <cellStyle name="Normal 3 3 7 2 2" xfId="5915" xr:uid="{00000000-0005-0000-0000-0000DB6C0000}"/>
    <cellStyle name="Normal 3 3 7 2 2 2" xfId="5916" xr:uid="{00000000-0005-0000-0000-0000DC6C0000}"/>
    <cellStyle name="Normal 3 3 7 2 2 2 2" xfId="5917" xr:uid="{00000000-0005-0000-0000-0000DD6C0000}"/>
    <cellStyle name="Normal 3 3 7 2 2 2 3" xfId="5918" xr:uid="{00000000-0005-0000-0000-0000DE6C0000}"/>
    <cellStyle name="Normal 3 3 7 2 2 2 4" xfId="34962" xr:uid="{00000000-0005-0000-0000-0000DF6C0000}"/>
    <cellStyle name="Normal 3 3 7 2 2 3" xfId="5919" xr:uid="{00000000-0005-0000-0000-0000E06C0000}"/>
    <cellStyle name="Normal 3 3 7 2 2 3 2" xfId="5920" xr:uid="{00000000-0005-0000-0000-0000E16C0000}"/>
    <cellStyle name="Normal 3 3 7 2 2 4" xfId="5921" xr:uid="{00000000-0005-0000-0000-0000E26C0000}"/>
    <cellStyle name="Normal 3 3 7 2 2 4 2" xfId="5922" xr:uid="{00000000-0005-0000-0000-0000E36C0000}"/>
    <cellStyle name="Normal 3 3 7 2 2 5" xfId="5923" xr:uid="{00000000-0005-0000-0000-0000E46C0000}"/>
    <cellStyle name="Normal 3 3 7 2 2 6" xfId="34961" xr:uid="{00000000-0005-0000-0000-0000E56C0000}"/>
    <cellStyle name="Normal 3 3 7 2 3" xfId="5924" xr:uid="{00000000-0005-0000-0000-0000E66C0000}"/>
    <cellStyle name="Normal 3 3 7 2 3 2" xfId="5925" xr:uid="{00000000-0005-0000-0000-0000E76C0000}"/>
    <cellStyle name="Normal 3 3 7 2 3 2 2" xfId="5926" xr:uid="{00000000-0005-0000-0000-0000E86C0000}"/>
    <cellStyle name="Normal 3 3 7 2 3 2 3" xfId="34964" xr:uid="{00000000-0005-0000-0000-0000E96C0000}"/>
    <cellStyle name="Normal 3 3 7 2 3 3" xfId="5927" xr:uid="{00000000-0005-0000-0000-0000EA6C0000}"/>
    <cellStyle name="Normal 3 3 7 2 3 3 2" xfId="5928" xr:uid="{00000000-0005-0000-0000-0000EB6C0000}"/>
    <cellStyle name="Normal 3 3 7 2 3 4" xfId="5929" xr:uid="{00000000-0005-0000-0000-0000EC6C0000}"/>
    <cellStyle name="Normal 3 3 7 2 3 5" xfId="34963" xr:uid="{00000000-0005-0000-0000-0000ED6C0000}"/>
    <cellStyle name="Normal 3 3 7 2 4" xfId="5930" xr:uid="{00000000-0005-0000-0000-0000EE6C0000}"/>
    <cellStyle name="Normal 3 3 7 2 4 2" xfId="5931" xr:uid="{00000000-0005-0000-0000-0000EF6C0000}"/>
    <cellStyle name="Normal 3 3 7 2 4 2 2" xfId="34966" xr:uid="{00000000-0005-0000-0000-0000F06C0000}"/>
    <cellStyle name="Normal 3 3 7 2 4 3" xfId="5932" xr:uid="{00000000-0005-0000-0000-0000F16C0000}"/>
    <cellStyle name="Normal 3 3 7 2 4 4" xfId="34965" xr:uid="{00000000-0005-0000-0000-0000F26C0000}"/>
    <cellStyle name="Normal 3 3 7 2 5" xfId="5933" xr:uid="{00000000-0005-0000-0000-0000F36C0000}"/>
    <cellStyle name="Normal 3 3 7 2 5 2" xfId="5934" xr:uid="{00000000-0005-0000-0000-0000F46C0000}"/>
    <cellStyle name="Normal 3 3 7 2 5 3" xfId="34967" xr:uid="{00000000-0005-0000-0000-0000F56C0000}"/>
    <cellStyle name="Normal 3 3 7 2 6" xfId="5935" xr:uid="{00000000-0005-0000-0000-0000F66C0000}"/>
    <cellStyle name="Normal 3 3 7 2 6 2" xfId="5936" xr:uid="{00000000-0005-0000-0000-0000F76C0000}"/>
    <cellStyle name="Normal 3 3 7 2 6 3" xfId="34968" xr:uid="{00000000-0005-0000-0000-0000F86C0000}"/>
    <cellStyle name="Normal 3 3 7 2 7" xfId="5937" xr:uid="{00000000-0005-0000-0000-0000F96C0000}"/>
    <cellStyle name="Normal 3 3 7 2 8" xfId="34960" xr:uid="{00000000-0005-0000-0000-0000FA6C0000}"/>
    <cellStyle name="Normal 3 3 7 3" xfId="5938" xr:uid="{00000000-0005-0000-0000-0000FB6C0000}"/>
    <cellStyle name="Normal 3 3 7 3 2" xfId="5939" xr:uid="{00000000-0005-0000-0000-0000FC6C0000}"/>
    <cellStyle name="Normal 3 3 7 3 2 2" xfId="5940" xr:uid="{00000000-0005-0000-0000-0000FD6C0000}"/>
    <cellStyle name="Normal 3 3 7 3 2 2 2" xfId="34971" xr:uid="{00000000-0005-0000-0000-0000FE6C0000}"/>
    <cellStyle name="Normal 3 3 7 3 2 3" xfId="5941" xr:uid="{00000000-0005-0000-0000-0000FF6C0000}"/>
    <cellStyle name="Normal 3 3 7 3 2 4" xfId="34970" xr:uid="{00000000-0005-0000-0000-0000006D0000}"/>
    <cellStyle name="Normal 3 3 7 3 3" xfId="5942" xr:uid="{00000000-0005-0000-0000-0000016D0000}"/>
    <cellStyle name="Normal 3 3 7 3 3 2" xfId="5943" xr:uid="{00000000-0005-0000-0000-0000026D0000}"/>
    <cellStyle name="Normal 3 3 7 3 3 2 2" xfId="34973" xr:uid="{00000000-0005-0000-0000-0000036D0000}"/>
    <cellStyle name="Normal 3 3 7 3 3 3" xfId="34972" xr:uid="{00000000-0005-0000-0000-0000046D0000}"/>
    <cellStyle name="Normal 3 3 7 3 4" xfId="5944" xr:uid="{00000000-0005-0000-0000-0000056D0000}"/>
    <cellStyle name="Normal 3 3 7 3 4 2" xfId="5945" xr:uid="{00000000-0005-0000-0000-0000066D0000}"/>
    <cellStyle name="Normal 3 3 7 3 4 2 2" xfId="34975" xr:uid="{00000000-0005-0000-0000-0000076D0000}"/>
    <cellStyle name="Normal 3 3 7 3 4 3" xfId="34974" xr:uid="{00000000-0005-0000-0000-0000086D0000}"/>
    <cellStyle name="Normal 3 3 7 3 5" xfId="5946" xr:uid="{00000000-0005-0000-0000-0000096D0000}"/>
    <cellStyle name="Normal 3 3 7 3 5 2" xfId="34976" xr:uid="{00000000-0005-0000-0000-00000A6D0000}"/>
    <cellStyle name="Normal 3 3 7 3 6" xfId="34977" xr:uid="{00000000-0005-0000-0000-00000B6D0000}"/>
    <cellStyle name="Normal 3 3 7 3 7" xfId="34969" xr:uid="{00000000-0005-0000-0000-00000C6D0000}"/>
    <cellStyle name="Normal 3 3 7 4" xfId="5947" xr:uid="{00000000-0005-0000-0000-00000D6D0000}"/>
    <cellStyle name="Normal 3 3 7 4 2" xfId="5948" xr:uid="{00000000-0005-0000-0000-00000E6D0000}"/>
    <cellStyle name="Normal 3 3 7 4 2 2" xfId="5949" xr:uid="{00000000-0005-0000-0000-00000F6D0000}"/>
    <cellStyle name="Normal 3 3 7 4 2 2 2" xfId="34980" xr:uid="{00000000-0005-0000-0000-0000106D0000}"/>
    <cellStyle name="Normal 3 3 7 4 2 3" xfId="34979" xr:uid="{00000000-0005-0000-0000-0000116D0000}"/>
    <cellStyle name="Normal 3 3 7 4 3" xfId="5950" xr:uid="{00000000-0005-0000-0000-0000126D0000}"/>
    <cellStyle name="Normal 3 3 7 4 3 2" xfId="5951" xr:uid="{00000000-0005-0000-0000-0000136D0000}"/>
    <cellStyle name="Normal 3 3 7 4 3 2 2" xfId="34982" xr:uid="{00000000-0005-0000-0000-0000146D0000}"/>
    <cellStyle name="Normal 3 3 7 4 3 3" xfId="34981" xr:uid="{00000000-0005-0000-0000-0000156D0000}"/>
    <cellStyle name="Normal 3 3 7 4 4" xfId="5952" xr:uid="{00000000-0005-0000-0000-0000166D0000}"/>
    <cellStyle name="Normal 3 3 7 4 4 2" xfId="34984" xr:uid="{00000000-0005-0000-0000-0000176D0000}"/>
    <cellStyle name="Normal 3 3 7 4 4 3" xfId="34983" xr:uid="{00000000-0005-0000-0000-0000186D0000}"/>
    <cellStyle name="Normal 3 3 7 4 5" xfId="34985" xr:uid="{00000000-0005-0000-0000-0000196D0000}"/>
    <cellStyle name="Normal 3 3 7 4 6" xfId="34986" xr:uid="{00000000-0005-0000-0000-00001A6D0000}"/>
    <cellStyle name="Normal 3 3 7 4 7" xfId="34978" xr:uid="{00000000-0005-0000-0000-00001B6D0000}"/>
    <cellStyle name="Normal 3 3 7 5" xfId="5953" xr:uid="{00000000-0005-0000-0000-00001C6D0000}"/>
    <cellStyle name="Normal 3 3 7 5 2" xfId="5954" xr:uid="{00000000-0005-0000-0000-00001D6D0000}"/>
    <cellStyle name="Normal 3 3 7 5 2 2" xfId="34989" xr:uid="{00000000-0005-0000-0000-00001E6D0000}"/>
    <cellStyle name="Normal 3 3 7 5 2 3" xfId="34988" xr:uid="{00000000-0005-0000-0000-00001F6D0000}"/>
    <cellStyle name="Normal 3 3 7 5 3" xfId="5955" xr:uid="{00000000-0005-0000-0000-0000206D0000}"/>
    <cellStyle name="Normal 3 3 7 5 3 2" xfId="34991" xr:uid="{00000000-0005-0000-0000-0000216D0000}"/>
    <cellStyle name="Normal 3 3 7 5 3 3" xfId="34990" xr:uid="{00000000-0005-0000-0000-0000226D0000}"/>
    <cellStyle name="Normal 3 3 7 5 4" xfId="34992" xr:uid="{00000000-0005-0000-0000-0000236D0000}"/>
    <cellStyle name="Normal 3 3 7 5 5" xfId="34993" xr:uid="{00000000-0005-0000-0000-0000246D0000}"/>
    <cellStyle name="Normal 3 3 7 5 6" xfId="34987" xr:uid="{00000000-0005-0000-0000-0000256D0000}"/>
    <cellStyle name="Normal 3 3 7 6" xfId="5956" xr:uid="{00000000-0005-0000-0000-0000266D0000}"/>
    <cellStyle name="Normal 3 3 7 6 2" xfId="5957" xr:uid="{00000000-0005-0000-0000-0000276D0000}"/>
    <cellStyle name="Normal 3 3 7 6 2 2" xfId="34995" xr:uid="{00000000-0005-0000-0000-0000286D0000}"/>
    <cellStyle name="Normal 3 3 7 6 3" xfId="34994" xr:uid="{00000000-0005-0000-0000-0000296D0000}"/>
    <cellStyle name="Normal 3 3 7 7" xfId="5958" xr:uid="{00000000-0005-0000-0000-00002A6D0000}"/>
    <cellStyle name="Normal 3 3 7 7 2" xfId="5959" xr:uid="{00000000-0005-0000-0000-00002B6D0000}"/>
    <cellStyle name="Normal 3 3 7 7 2 2" xfId="34997" xr:uid="{00000000-0005-0000-0000-00002C6D0000}"/>
    <cellStyle name="Normal 3 3 7 7 3" xfId="34996" xr:uid="{00000000-0005-0000-0000-00002D6D0000}"/>
    <cellStyle name="Normal 3 3 7 8" xfId="5960" xr:uid="{00000000-0005-0000-0000-00002E6D0000}"/>
    <cellStyle name="Normal 3 3 7 8 2" xfId="34999" xr:uid="{00000000-0005-0000-0000-00002F6D0000}"/>
    <cellStyle name="Normal 3 3 7 8 3" xfId="34998" xr:uid="{00000000-0005-0000-0000-0000306D0000}"/>
    <cellStyle name="Normal 3 3 7 9" xfId="35000" xr:uid="{00000000-0005-0000-0000-0000316D0000}"/>
    <cellStyle name="Normal 3 3 8" xfId="5961" xr:uid="{00000000-0005-0000-0000-0000326D0000}"/>
    <cellStyle name="Normal 3 3 8 10" xfId="35002" xr:uid="{00000000-0005-0000-0000-0000336D0000}"/>
    <cellStyle name="Normal 3 3 8 11" xfId="35001" xr:uid="{00000000-0005-0000-0000-0000346D0000}"/>
    <cellStyle name="Normal 3 3 8 2" xfId="5962" xr:uid="{00000000-0005-0000-0000-0000356D0000}"/>
    <cellStyle name="Normal 3 3 8 2 2" xfId="5963" xr:uid="{00000000-0005-0000-0000-0000366D0000}"/>
    <cellStyle name="Normal 3 3 8 2 2 2" xfId="5964" xr:uid="{00000000-0005-0000-0000-0000376D0000}"/>
    <cellStyle name="Normal 3 3 8 2 2 2 2" xfId="35005" xr:uid="{00000000-0005-0000-0000-0000386D0000}"/>
    <cellStyle name="Normal 3 3 8 2 2 3" xfId="5965" xr:uid="{00000000-0005-0000-0000-0000396D0000}"/>
    <cellStyle name="Normal 3 3 8 2 2 4" xfId="35004" xr:uid="{00000000-0005-0000-0000-00003A6D0000}"/>
    <cellStyle name="Normal 3 3 8 2 3" xfId="5966" xr:uid="{00000000-0005-0000-0000-00003B6D0000}"/>
    <cellStyle name="Normal 3 3 8 2 3 2" xfId="5967" xr:uid="{00000000-0005-0000-0000-00003C6D0000}"/>
    <cellStyle name="Normal 3 3 8 2 3 2 2" xfId="35007" xr:uid="{00000000-0005-0000-0000-00003D6D0000}"/>
    <cellStyle name="Normal 3 3 8 2 3 3" xfId="35006" xr:uid="{00000000-0005-0000-0000-00003E6D0000}"/>
    <cellStyle name="Normal 3 3 8 2 4" xfId="5968" xr:uid="{00000000-0005-0000-0000-00003F6D0000}"/>
    <cellStyle name="Normal 3 3 8 2 4 2" xfId="5969" xr:uid="{00000000-0005-0000-0000-0000406D0000}"/>
    <cellStyle name="Normal 3 3 8 2 4 2 2" xfId="35009" xr:uid="{00000000-0005-0000-0000-0000416D0000}"/>
    <cellStyle name="Normal 3 3 8 2 4 3" xfId="35008" xr:uid="{00000000-0005-0000-0000-0000426D0000}"/>
    <cellStyle name="Normal 3 3 8 2 5" xfId="5970" xr:uid="{00000000-0005-0000-0000-0000436D0000}"/>
    <cellStyle name="Normal 3 3 8 2 5 2" xfId="35010" xr:uid="{00000000-0005-0000-0000-0000446D0000}"/>
    <cellStyle name="Normal 3 3 8 2 6" xfId="35011" xr:uid="{00000000-0005-0000-0000-0000456D0000}"/>
    <cellStyle name="Normal 3 3 8 2 7" xfId="35003" xr:uid="{00000000-0005-0000-0000-0000466D0000}"/>
    <cellStyle name="Normal 3 3 8 3" xfId="5971" xr:uid="{00000000-0005-0000-0000-0000476D0000}"/>
    <cellStyle name="Normal 3 3 8 3 2" xfId="5972" xr:uid="{00000000-0005-0000-0000-0000486D0000}"/>
    <cellStyle name="Normal 3 3 8 3 2 2" xfId="5973" xr:uid="{00000000-0005-0000-0000-0000496D0000}"/>
    <cellStyle name="Normal 3 3 8 3 2 2 2" xfId="35014" xr:uid="{00000000-0005-0000-0000-00004A6D0000}"/>
    <cellStyle name="Normal 3 3 8 3 2 3" xfId="35013" xr:uid="{00000000-0005-0000-0000-00004B6D0000}"/>
    <cellStyle name="Normal 3 3 8 3 3" xfId="5974" xr:uid="{00000000-0005-0000-0000-00004C6D0000}"/>
    <cellStyle name="Normal 3 3 8 3 3 2" xfId="5975" xr:uid="{00000000-0005-0000-0000-00004D6D0000}"/>
    <cellStyle name="Normal 3 3 8 3 3 2 2" xfId="35016" xr:uid="{00000000-0005-0000-0000-00004E6D0000}"/>
    <cellStyle name="Normal 3 3 8 3 3 3" xfId="35015" xr:uid="{00000000-0005-0000-0000-00004F6D0000}"/>
    <cellStyle name="Normal 3 3 8 3 4" xfId="5976" xr:uid="{00000000-0005-0000-0000-0000506D0000}"/>
    <cellStyle name="Normal 3 3 8 3 4 2" xfId="35018" xr:uid="{00000000-0005-0000-0000-0000516D0000}"/>
    <cellStyle name="Normal 3 3 8 3 4 3" xfId="35017" xr:uid="{00000000-0005-0000-0000-0000526D0000}"/>
    <cellStyle name="Normal 3 3 8 3 5" xfId="35019" xr:uid="{00000000-0005-0000-0000-0000536D0000}"/>
    <cellStyle name="Normal 3 3 8 3 6" xfId="35020" xr:uid="{00000000-0005-0000-0000-0000546D0000}"/>
    <cellStyle name="Normal 3 3 8 3 7" xfId="35012" xr:uid="{00000000-0005-0000-0000-0000556D0000}"/>
    <cellStyle name="Normal 3 3 8 4" xfId="5977" xr:uid="{00000000-0005-0000-0000-0000566D0000}"/>
    <cellStyle name="Normal 3 3 8 4 2" xfId="5978" xr:uid="{00000000-0005-0000-0000-0000576D0000}"/>
    <cellStyle name="Normal 3 3 8 4 2 2" xfId="35023" xr:uid="{00000000-0005-0000-0000-0000586D0000}"/>
    <cellStyle name="Normal 3 3 8 4 2 3" xfId="35022" xr:uid="{00000000-0005-0000-0000-0000596D0000}"/>
    <cellStyle name="Normal 3 3 8 4 3" xfId="5979" xr:uid="{00000000-0005-0000-0000-00005A6D0000}"/>
    <cellStyle name="Normal 3 3 8 4 3 2" xfId="35025" xr:uid="{00000000-0005-0000-0000-00005B6D0000}"/>
    <cellStyle name="Normal 3 3 8 4 3 3" xfId="35024" xr:uid="{00000000-0005-0000-0000-00005C6D0000}"/>
    <cellStyle name="Normal 3 3 8 4 4" xfId="35026" xr:uid="{00000000-0005-0000-0000-00005D6D0000}"/>
    <cellStyle name="Normal 3 3 8 4 4 2" xfId="35027" xr:uid="{00000000-0005-0000-0000-00005E6D0000}"/>
    <cellStyle name="Normal 3 3 8 4 5" xfId="35028" xr:uid="{00000000-0005-0000-0000-00005F6D0000}"/>
    <cellStyle name="Normal 3 3 8 4 6" xfId="35029" xr:uid="{00000000-0005-0000-0000-0000606D0000}"/>
    <cellStyle name="Normal 3 3 8 4 7" xfId="35021" xr:uid="{00000000-0005-0000-0000-0000616D0000}"/>
    <cellStyle name="Normal 3 3 8 5" xfId="5980" xr:uid="{00000000-0005-0000-0000-0000626D0000}"/>
    <cellStyle name="Normal 3 3 8 5 2" xfId="5981" xr:uid="{00000000-0005-0000-0000-0000636D0000}"/>
    <cellStyle name="Normal 3 3 8 5 2 2" xfId="35032" xr:uid="{00000000-0005-0000-0000-0000646D0000}"/>
    <cellStyle name="Normal 3 3 8 5 2 3" xfId="35031" xr:uid="{00000000-0005-0000-0000-0000656D0000}"/>
    <cellStyle name="Normal 3 3 8 5 3" xfId="35033" xr:uid="{00000000-0005-0000-0000-0000666D0000}"/>
    <cellStyle name="Normal 3 3 8 5 3 2" xfId="35034" xr:uid="{00000000-0005-0000-0000-0000676D0000}"/>
    <cellStyle name="Normal 3 3 8 5 4" xfId="35035" xr:uid="{00000000-0005-0000-0000-0000686D0000}"/>
    <cellStyle name="Normal 3 3 8 5 5" xfId="35036" xr:uid="{00000000-0005-0000-0000-0000696D0000}"/>
    <cellStyle name="Normal 3 3 8 5 6" xfId="35030" xr:uid="{00000000-0005-0000-0000-00006A6D0000}"/>
    <cellStyle name="Normal 3 3 8 6" xfId="5982" xr:uid="{00000000-0005-0000-0000-00006B6D0000}"/>
    <cellStyle name="Normal 3 3 8 6 2" xfId="5983" xr:uid="{00000000-0005-0000-0000-00006C6D0000}"/>
    <cellStyle name="Normal 3 3 8 6 2 2" xfId="35038" xr:uid="{00000000-0005-0000-0000-00006D6D0000}"/>
    <cellStyle name="Normal 3 3 8 6 3" xfId="35037" xr:uid="{00000000-0005-0000-0000-00006E6D0000}"/>
    <cellStyle name="Normal 3 3 8 7" xfId="5984" xr:uid="{00000000-0005-0000-0000-00006F6D0000}"/>
    <cellStyle name="Normal 3 3 8 7 2" xfId="35040" xr:uid="{00000000-0005-0000-0000-0000706D0000}"/>
    <cellStyle name="Normal 3 3 8 7 3" xfId="35039" xr:uid="{00000000-0005-0000-0000-0000716D0000}"/>
    <cellStyle name="Normal 3 3 8 8" xfId="35041" xr:uid="{00000000-0005-0000-0000-0000726D0000}"/>
    <cellStyle name="Normal 3 3 8 8 2" xfId="35042" xr:uid="{00000000-0005-0000-0000-0000736D0000}"/>
    <cellStyle name="Normal 3 3 8 9" xfId="35043" xr:uid="{00000000-0005-0000-0000-0000746D0000}"/>
    <cellStyle name="Normal 3 3 9" xfId="5985" xr:uid="{00000000-0005-0000-0000-0000756D0000}"/>
    <cellStyle name="Normal 3 3 9 2" xfId="5986" xr:uid="{00000000-0005-0000-0000-0000766D0000}"/>
    <cellStyle name="Normal 3 3 9 2 2" xfId="5987" xr:uid="{00000000-0005-0000-0000-0000776D0000}"/>
    <cellStyle name="Normal 3 3 9 2 2 2" xfId="5988" xr:uid="{00000000-0005-0000-0000-0000786D0000}"/>
    <cellStyle name="Normal 3 3 9 2 2 3" xfId="5989" xr:uid="{00000000-0005-0000-0000-0000796D0000}"/>
    <cellStyle name="Normal 3 3 9 2 2 4" xfId="35046" xr:uid="{00000000-0005-0000-0000-00007A6D0000}"/>
    <cellStyle name="Normal 3 3 9 2 3" xfId="5990" xr:uid="{00000000-0005-0000-0000-00007B6D0000}"/>
    <cellStyle name="Normal 3 3 9 2 3 2" xfId="5991" xr:uid="{00000000-0005-0000-0000-00007C6D0000}"/>
    <cellStyle name="Normal 3 3 9 2 4" xfId="5992" xr:uid="{00000000-0005-0000-0000-00007D6D0000}"/>
    <cellStyle name="Normal 3 3 9 2 4 2" xfId="5993" xr:uid="{00000000-0005-0000-0000-00007E6D0000}"/>
    <cellStyle name="Normal 3 3 9 2 5" xfId="5994" xr:uid="{00000000-0005-0000-0000-00007F6D0000}"/>
    <cellStyle name="Normal 3 3 9 2 6" xfId="35045" xr:uid="{00000000-0005-0000-0000-0000806D0000}"/>
    <cellStyle name="Normal 3 3 9 3" xfId="5995" xr:uid="{00000000-0005-0000-0000-0000816D0000}"/>
    <cellStyle name="Normal 3 3 9 3 2" xfId="5996" xr:uid="{00000000-0005-0000-0000-0000826D0000}"/>
    <cellStyle name="Normal 3 3 9 3 2 2" xfId="5997" xr:uid="{00000000-0005-0000-0000-0000836D0000}"/>
    <cellStyle name="Normal 3 3 9 3 2 3" xfId="35048" xr:uid="{00000000-0005-0000-0000-0000846D0000}"/>
    <cellStyle name="Normal 3 3 9 3 3" xfId="5998" xr:uid="{00000000-0005-0000-0000-0000856D0000}"/>
    <cellStyle name="Normal 3 3 9 3 3 2" xfId="5999" xr:uid="{00000000-0005-0000-0000-0000866D0000}"/>
    <cellStyle name="Normal 3 3 9 3 4" xfId="6000" xr:uid="{00000000-0005-0000-0000-0000876D0000}"/>
    <cellStyle name="Normal 3 3 9 3 5" xfId="35047" xr:uid="{00000000-0005-0000-0000-0000886D0000}"/>
    <cellStyle name="Normal 3 3 9 4" xfId="6001" xr:uid="{00000000-0005-0000-0000-0000896D0000}"/>
    <cellStyle name="Normal 3 3 9 4 2" xfId="6002" xr:uid="{00000000-0005-0000-0000-00008A6D0000}"/>
    <cellStyle name="Normal 3 3 9 4 2 2" xfId="35050" xr:uid="{00000000-0005-0000-0000-00008B6D0000}"/>
    <cellStyle name="Normal 3 3 9 4 3" xfId="6003" xr:uid="{00000000-0005-0000-0000-00008C6D0000}"/>
    <cellStyle name="Normal 3 3 9 4 4" xfId="35049" xr:uid="{00000000-0005-0000-0000-00008D6D0000}"/>
    <cellStyle name="Normal 3 3 9 5" xfId="6004" xr:uid="{00000000-0005-0000-0000-00008E6D0000}"/>
    <cellStyle name="Normal 3 3 9 5 2" xfId="6005" xr:uid="{00000000-0005-0000-0000-00008F6D0000}"/>
    <cellStyle name="Normal 3 3 9 5 3" xfId="35051" xr:uid="{00000000-0005-0000-0000-0000906D0000}"/>
    <cellStyle name="Normal 3 3 9 6" xfId="6006" xr:uid="{00000000-0005-0000-0000-0000916D0000}"/>
    <cellStyle name="Normal 3 3 9 6 2" xfId="6007" xr:uid="{00000000-0005-0000-0000-0000926D0000}"/>
    <cellStyle name="Normal 3 3 9 6 3" xfId="35052" xr:uid="{00000000-0005-0000-0000-0000936D0000}"/>
    <cellStyle name="Normal 3 3 9 7" xfId="6008" xr:uid="{00000000-0005-0000-0000-0000946D0000}"/>
    <cellStyle name="Normal 3 3 9 8" xfId="35044" xr:uid="{00000000-0005-0000-0000-0000956D0000}"/>
    <cellStyle name="Normal 3 4" xfId="6009" xr:uid="{00000000-0005-0000-0000-0000966D0000}"/>
    <cellStyle name="Normal 3 4 10" xfId="6010" xr:uid="{00000000-0005-0000-0000-0000976D0000}"/>
    <cellStyle name="Normal 3 4 10 2" xfId="6011" xr:uid="{00000000-0005-0000-0000-0000986D0000}"/>
    <cellStyle name="Normal 3 4 10 2 2" xfId="6012" xr:uid="{00000000-0005-0000-0000-0000996D0000}"/>
    <cellStyle name="Normal 3 4 10 3" xfId="6013" xr:uid="{00000000-0005-0000-0000-00009A6D0000}"/>
    <cellStyle name="Normal 3 4 10 3 2" xfId="6014" xr:uid="{00000000-0005-0000-0000-00009B6D0000}"/>
    <cellStyle name="Normal 3 4 10 4" xfId="6015" xr:uid="{00000000-0005-0000-0000-00009C6D0000}"/>
    <cellStyle name="Normal 3 4 11" xfId="6016" xr:uid="{00000000-0005-0000-0000-00009D6D0000}"/>
    <cellStyle name="Normal 3 4 11 2" xfId="6017" xr:uid="{00000000-0005-0000-0000-00009E6D0000}"/>
    <cellStyle name="Normal 3 4 11 3" xfId="6018" xr:uid="{00000000-0005-0000-0000-00009F6D0000}"/>
    <cellStyle name="Normal 3 4 12" xfId="6019" xr:uid="{00000000-0005-0000-0000-0000A06D0000}"/>
    <cellStyle name="Normal 3 4 12 2" xfId="6020" xr:uid="{00000000-0005-0000-0000-0000A16D0000}"/>
    <cellStyle name="Normal 3 4 13" xfId="6021" xr:uid="{00000000-0005-0000-0000-0000A26D0000}"/>
    <cellStyle name="Normal 3 4 13 2" xfId="6022" xr:uid="{00000000-0005-0000-0000-0000A36D0000}"/>
    <cellStyle name="Normal 3 4 14" xfId="6023" xr:uid="{00000000-0005-0000-0000-0000A46D0000}"/>
    <cellStyle name="Normal 3 4 15" xfId="35053" xr:uid="{00000000-0005-0000-0000-0000A56D0000}"/>
    <cellStyle name="Normal 3 4 2" xfId="6024" xr:uid="{00000000-0005-0000-0000-0000A66D0000}"/>
    <cellStyle name="Normal 3 4 2 10" xfId="6025" xr:uid="{00000000-0005-0000-0000-0000A76D0000}"/>
    <cellStyle name="Normal 3 4 2 10 2" xfId="6026" xr:uid="{00000000-0005-0000-0000-0000A86D0000}"/>
    <cellStyle name="Normal 3 4 2 11" xfId="6027" xr:uid="{00000000-0005-0000-0000-0000A96D0000}"/>
    <cellStyle name="Normal 3 4 2 11 2" xfId="6028" xr:uid="{00000000-0005-0000-0000-0000AA6D0000}"/>
    <cellStyle name="Normal 3 4 2 12" xfId="6029" xr:uid="{00000000-0005-0000-0000-0000AB6D0000}"/>
    <cellStyle name="Normal 3 4 2 13" xfId="35054" xr:uid="{00000000-0005-0000-0000-0000AC6D0000}"/>
    <cellStyle name="Normal 3 4 2 2" xfId="6030" xr:uid="{00000000-0005-0000-0000-0000AD6D0000}"/>
    <cellStyle name="Normal 3 4 2 2 10" xfId="6031" xr:uid="{00000000-0005-0000-0000-0000AE6D0000}"/>
    <cellStyle name="Normal 3 4 2 2 2" xfId="6032" xr:uid="{00000000-0005-0000-0000-0000AF6D0000}"/>
    <cellStyle name="Normal 3 4 2 2 2 2" xfId="6033" xr:uid="{00000000-0005-0000-0000-0000B06D0000}"/>
    <cellStyle name="Normal 3 4 2 2 2 2 2" xfId="6034" xr:uid="{00000000-0005-0000-0000-0000B16D0000}"/>
    <cellStyle name="Normal 3 4 2 2 2 2 2 2" xfId="6035" xr:uid="{00000000-0005-0000-0000-0000B26D0000}"/>
    <cellStyle name="Normal 3 4 2 2 2 2 2 3" xfId="6036" xr:uid="{00000000-0005-0000-0000-0000B36D0000}"/>
    <cellStyle name="Normal 3 4 2 2 2 2 3" xfId="6037" xr:uid="{00000000-0005-0000-0000-0000B46D0000}"/>
    <cellStyle name="Normal 3 4 2 2 2 2 3 2" xfId="6038" xr:uid="{00000000-0005-0000-0000-0000B56D0000}"/>
    <cellStyle name="Normal 3 4 2 2 2 2 4" xfId="6039" xr:uid="{00000000-0005-0000-0000-0000B66D0000}"/>
    <cellStyle name="Normal 3 4 2 2 2 2 4 2" xfId="6040" xr:uid="{00000000-0005-0000-0000-0000B76D0000}"/>
    <cellStyle name="Normal 3 4 2 2 2 2 5" xfId="6041" xr:uid="{00000000-0005-0000-0000-0000B86D0000}"/>
    <cellStyle name="Normal 3 4 2 2 2 3" xfId="6042" xr:uid="{00000000-0005-0000-0000-0000B96D0000}"/>
    <cellStyle name="Normal 3 4 2 2 2 3 2" xfId="6043" xr:uid="{00000000-0005-0000-0000-0000BA6D0000}"/>
    <cellStyle name="Normal 3 4 2 2 2 3 2 2" xfId="6044" xr:uid="{00000000-0005-0000-0000-0000BB6D0000}"/>
    <cellStyle name="Normal 3 4 2 2 2 3 3" xfId="6045" xr:uid="{00000000-0005-0000-0000-0000BC6D0000}"/>
    <cellStyle name="Normal 3 4 2 2 2 3 3 2" xfId="6046" xr:uid="{00000000-0005-0000-0000-0000BD6D0000}"/>
    <cellStyle name="Normal 3 4 2 2 2 3 4" xfId="6047" xr:uid="{00000000-0005-0000-0000-0000BE6D0000}"/>
    <cellStyle name="Normal 3 4 2 2 2 4" xfId="6048" xr:uid="{00000000-0005-0000-0000-0000BF6D0000}"/>
    <cellStyle name="Normal 3 4 2 2 2 4 2" xfId="6049" xr:uid="{00000000-0005-0000-0000-0000C06D0000}"/>
    <cellStyle name="Normal 3 4 2 2 2 4 3" xfId="6050" xr:uid="{00000000-0005-0000-0000-0000C16D0000}"/>
    <cellStyle name="Normal 3 4 2 2 2 5" xfId="6051" xr:uid="{00000000-0005-0000-0000-0000C26D0000}"/>
    <cellStyle name="Normal 3 4 2 2 2 5 2" xfId="6052" xr:uid="{00000000-0005-0000-0000-0000C36D0000}"/>
    <cellStyle name="Normal 3 4 2 2 2 6" xfId="6053" xr:uid="{00000000-0005-0000-0000-0000C46D0000}"/>
    <cellStyle name="Normal 3 4 2 2 2 6 2" xfId="6054" xr:uid="{00000000-0005-0000-0000-0000C56D0000}"/>
    <cellStyle name="Normal 3 4 2 2 2 7" xfId="6055" xr:uid="{00000000-0005-0000-0000-0000C66D0000}"/>
    <cellStyle name="Normal 3 4 2 2 3" xfId="6056" xr:uid="{00000000-0005-0000-0000-0000C76D0000}"/>
    <cellStyle name="Normal 3 4 2 2 3 2" xfId="6057" xr:uid="{00000000-0005-0000-0000-0000C86D0000}"/>
    <cellStyle name="Normal 3 4 2 2 3 2 2" xfId="6058" xr:uid="{00000000-0005-0000-0000-0000C96D0000}"/>
    <cellStyle name="Normal 3 4 2 2 3 2 2 2" xfId="6059" xr:uid="{00000000-0005-0000-0000-0000CA6D0000}"/>
    <cellStyle name="Normal 3 4 2 2 3 2 2 3" xfId="6060" xr:uid="{00000000-0005-0000-0000-0000CB6D0000}"/>
    <cellStyle name="Normal 3 4 2 2 3 2 3" xfId="6061" xr:uid="{00000000-0005-0000-0000-0000CC6D0000}"/>
    <cellStyle name="Normal 3 4 2 2 3 2 3 2" xfId="6062" xr:uid="{00000000-0005-0000-0000-0000CD6D0000}"/>
    <cellStyle name="Normal 3 4 2 2 3 2 4" xfId="6063" xr:uid="{00000000-0005-0000-0000-0000CE6D0000}"/>
    <cellStyle name="Normal 3 4 2 2 3 2 4 2" xfId="6064" xr:uid="{00000000-0005-0000-0000-0000CF6D0000}"/>
    <cellStyle name="Normal 3 4 2 2 3 2 5" xfId="6065" xr:uid="{00000000-0005-0000-0000-0000D06D0000}"/>
    <cellStyle name="Normal 3 4 2 2 3 3" xfId="6066" xr:uid="{00000000-0005-0000-0000-0000D16D0000}"/>
    <cellStyle name="Normal 3 4 2 2 3 3 2" xfId="6067" xr:uid="{00000000-0005-0000-0000-0000D26D0000}"/>
    <cellStyle name="Normal 3 4 2 2 3 3 2 2" xfId="6068" xr:uid="{00000000-0005-0000-0000-0000D36D0000}"/>
    <cellStyle name="Normal 3 4 2 2 3 3 3" xfId="6069" xr:uid="{00000000-0005-0000-0000-0000D46D0000}"/>
    <cellStyle name="Normal 3 4 2 2 3 3 3 2" xfId="6070" xr:uid="{00000000-0005-0000-0000-0000D56D0000}"/>
    <cellStyle name="Normal 3 4 2 2 3 3 4" xfId="6071" xr:uid="{00000000-0005-0000-0000-0000D66D0000}"/>
    <cellStyle name="Normal 3 4 2 2 3 4" xfId="6072" xr:uid="{00000000-0005-0000-0000-0000D76D0000}"/>
    <cellStyle name="Normal 3 4 2 2 3 4 2" xfId="6073" xr:uid="{00000000-0005-0000-0000-0000D86D0000}"/>
    <cellStyle name="Normal 3 4 2 2 3 4 3" xfId="6074" xr:uid="{00000000-0005-0000-0000-0000D96D0000}"/>
    <cellStyle name="Normal 3 4 2 2 3 5" xfId="6075" xr:uid="{00000000-0005-0000-0000-0000DA6D0000}"/>
    <cellStyle name="Normal 3 4 2 2 3 5 2" xfId="6076" xr:uid="{00000000-0005-0000-0000-0000DB6D0000}"/>
    <cellStyle name="Normal 3 4 2 2 3 6" xfId="6077" xr:uid="{00000000-0005-0000-0000-0000DC6D0000}"/>
    <cellStyle name="Normal 3 4 2 2 3 6 2" xfId="6078" xr:uid="{00000000-0005-0000-0000-0000DD6D0000}"/>
    <cellStyle name="Normal 3 4 2 2 3 7" xfId="6079" xr:uid="{00000000-0005-0000-0000-0000DE6D0000}"/>
    <cellStyle name="Normal 3 4 2 2 4" xfId="6080" xr:uid="{00000000-0005-0000-0000-0000DF6D0000}"/>
    <cellStyle name="Normal 3 4 2 2 4 2" xfId="6081" xr:uid="{00000000-0005-0000-0000-0000E06D0000}"/>
    <cellStyle name="Normal 3 4 2 2 4 2 2" xfId="6082" xr:uid="{00000000-0005-0000-0000-0000E16D0000}"/>
    <cellStyle name="Normal 3 4 2 2 4 2 2 2" xfId="6083" xr:uid="{00000000-0005-0000-0000-0000E26D0000}"/>
    <cellStyle name="Normal 3 4 2 2 4 2 3" xfId="6084" xr:uid="{00000000-0005-0000-0000-0000E36D0000}"/>
    <cellStyle name="Normal 3 4 2 2 4 2 3 2" xfId="6085" xr:uid="{00000000-0005-0000-0000-0000E46D0000}"/>
    <cellStyle name="Normal 3 4 2 2 4 2 4" xfId="6086" xr:uid="{00000000-0005-0000-0000-0000E56D0000}"/>
    <cellStyle name="Normal 3 4 2 2 4 3" xfId="6087" xr:uid="{00000000-0005-0000-0000-0000E66D0000}"/>
    <cellStyle name="Normal 3 4 2 2 4 3 2" xfId="6088" xr:uid="{00000000-0005-0000-0000-0000E76D0000}"/>
    <cellStyle name="Normal 3 4 2 2 4 3 3" xfId="6089" xr:uid="{00000000-0005-0000-0000-0000E86D0000}"/>
    <cellStyle name="Normal 3 4 2 2 4 4" xfId="6090" xr:uid="{00000000-0005-0000-0000-0000E96D0000}"/>
    <cellStyle name="Normal 3 4 2 2 4 4 2" xfId="6091" xr:uid="{00000000-0005-0000-0000-0000EA6D0000}"/>
    <cellStyle name="Normal 3 4 2 2 4 5" xfId="6092" xr:uid="{00000000-0005-0000-0000-0000EB6D0000}"/>
    <cellStyle name="Normal 3 4 2 2 4 5 2" xfId="6093" xr:uid="{00000000-0005-0000-0000-0000EC6D0000}"/>
    <cellStyle name="Normal 3 4 2 2 4 6" xfId="6094" xr:uid="{00000000-0005-0000-0000-0000ED6D0000}"/>
    <cellStyle name="Normal 3 4 2 2 5" xfId="6095" xr:uid="{00000000-0005-0000-0000-0000EE6D0000}"/>
    <cellStyle name="Normal 3 4 2 2 5 2" xfId="6096" xr:uid="{00000000-0005-0000-0000-0000EF6D0000}"/>
    <cellStyle name="Normal 3 4 2 2 5 2 2" xfId="6097" xr:uid="{00000000-0005-0000-0000-0000F06D0000}"/>
    <cellStyle name="Normal 3 4 2 2 5 3" xfId="6098" xr:uid="{00000000-0005-0000-0000-0000F16D0000}"/>
    <cellStyle name="Normal 3 4 2 2 5 3 2" xfId="6099" xr:uid="{00000000-0005-0000-0000-0000F26D0000}"/>
    <cellStyle name="Normal 3 4 2 2 5 4" xfId="6100" xr:uid="{00000000-0005-0000-0000-0000F36D0000}"/>
    <cellStyle name="Normal 3 4 2 2 6" xfId="6101" xr:uid="{00000000-0005-0000-0000-0000F46D0000}"/>
    <cellStyle name="Normal 3 4 2 2 6 2" xfId="6102" xr:uid="{00000000-0005-0000-0000-0000F56D0000}"/>
    <cellStyle name="Normal 3 4 2 2 6 2 2" xfId="6103" xr:uid="{00000000-0005-0000-0000-0000F66D0000}"/>
    <cellStyle name="Normal 3 4 2 2 6 3" xfId="6104" xr:uid="{00000000-0005-0000-0000-0000F76D0000}"/>
    <cellStyle name="Normal 3 4 2 2 6 3 2" xfId="6105" xr:uid="{00000000-0005-0000-0000-0000F86D0000}"/>
    <cellStyle name="Normal 3 4 2 2 6 4" xfId="6106" xr:uid="{00000000-0005-0000-0000-0000F96D0000}"/>
    <cellStyle name="Normal 3 4 2 2 7" xfId="6107" xr:uid="{00000000-0005-0000-0000-0000FA6D0000}"/>
    <cellStyle name="Normal 3 4 2 2 7 2" xfId="6108" xr:uid="{00000000-0005-0000-0000-0000FB6D0000}"/>
    <cellStyle name="Normal 3 4 2 2 7 3" xfId="6109" xr:uid="{00000000-0005-0000-0000-0000FC6D0000}"/>
    <cellStyle name="Normal 3 4 2 2 8" xfId="6110" xr:uid="{00000000-0005-0000-0000-0000FD6D0000}"/>
    <cellStyle name="Normal 3 4 2 2 8 2" xfId="6111" xr:uid="{00000000-0005-0000-0000-0000FE6D0000}"/>
    <cellStyle name="Normal 3 4 2 2 9" xfId="6112" xr:uid="{00000000-0005-0000-0000-0000FF6D0000}"/>
    <cellStyle name="Normal 3 4 2 2 9 2" xfId="6113" xr:uid="{00000000-0005-0000-0000-0000006E0000}"/>
    <cellStyle name="Normal 3 4 2 3" xfId="6114" xr:uid="{00000000-0005-0000-0000-0000016E0000}"/>
    <cellStyle name="Normal 3 4 2 3 2" xfId="6115" xr:uid="{00000000-0005-0000-0000-0000026E0000}"/>
    <cellStyle name="Normal 3 4 2 3 2 2" xfId="6116" xr:uid="{00000000-0005-0000-0000-0000036E0000}"/>
    <cellStyle name="Normal 3 4 2 3 2 2 2" xfId="6117" xr:uid="{00000000-0005-0000-0000-0000046E0000}"/>
    <cellStyle name="Normal 3 4 2 3 2 2 2 2" xfId="6118" xr:uid="{00000000-0005-0000-0000-0000056E0000}"/>
    <cellStyle name="Normal 3 4 2 3 2 2 2 3" xfId="6119" xr:uid="{00000000-0005-0000-0000-0000066E0000}"/>
    <cellStyle name="Normal 3 4 2 3 2 2 3" xfId="6120" xr:uid="{00000000-0005-0000-0000-0000076E0000}"/>
    <cellStyle name="Normal 3 4 2 3 2 2 3 2" xfId="6121" xr:uid="{00000000-0005-0000-0000-0000086E0000}"/>
    <cellStyle name="Normal 3 4 2 3 2 2 4" xfId="6122" xr:uid="{00000000-0005-0000-0000-0000096E0000}"/>
    <cellStyle name="Normal 3 4 2 3 2 2 4 2" xfId="6123" xr:uid="{00000000-0005-0000-0000-00000A6E0000}"/>
    <cellStyle name="Normal 3 4 2 3 2 2 5" xfId="6124" xr:uid="{00000000-0005-0000-0000-00000B6E0000}"/>
    <cellStyle name="Normal 3 4 2 3 2 3" xfId="6125" xr:uid="{00000000-0005-0000-0000-00000C6E0000}"/>
    <cellStyle name="Normal 3 4 2 3 2 3 2" xfId="6126" xr:uid="{00000000-0005-0000-0000-00000D6E0000}"/>
    <cellStyle name="Normal 3 4 2 3 2 3 2 2" xfId="6127" xr:uid="{00000000-0005-0000-0000-00000E6E0000}"/>
    <cellStyle name="Normal 3 4 2 3 2 3 3" xfId="6128" xr:uid="{00000000-0005-0000-0000-00000F6E0000}"/>
    <cellStyle name="Normal 3 4 2 3 2 3 3 2" xfId="6129" xr:uid="{00000000-0005-0000-0000-0000106E0000}"/>
    <cellStyle name="Normal 3 4 2 3 2 3 4" xfId="6130" xr:uid="{00000000-0005-0000-0000-0000116E0000}"/>
    <cellStyle name="Normal 3 4 2 3 2 4" xfId="6131" xr:uid="{00000000-0005-0000-0000-0000126E0000}"/>
    <cellStyle name="Normal 3 4 2 3 2 4 2" xfId="6132" xr:uid="{00000000-0005-0000-0000-0000136E0000}"/>
    <cellStyle name="Normal 3 4 2 3 2 4 3" xfId="6133" xr:uid="{00000000-0005-0000-0000-0000146E0000}"/>
    <cellStyle name="Normal 3 4 2 3 2 5" xfId="6134" xr:uid="{00000000-0005-0000-0000-0000156E0000}"/>
    <cellStyle name="Normal 3 4 2 3 2 5 2" xfId="6135" xr:uid="{00000000-0005-0000-0000-0000166E0000}"/>
    <cellStyle name="Normal 3 4 2 3 2 6" xfId="6136" xr:uid="{00000000-0005-0000-0000-0000176E0000}"/>
    <cellStyle name="Normal 3 4 2 3 2 6 2" xfId="6137" xr:uid="{00000000-0005-0000-0000-0000186E0000}"/>
    <cellStyle name="Normal 3 4 2 3 2 7" xfId="6138" xr:uid="{00000000-0005-0000-0000-0000196E0000}"/>
    <cellStyle name="Normal 3 4 2 3 3" xfId="6139" xr:uid="{00000000-0005-0000-0000-00001A6E0000}"/>
    <cellStyle name="Normal 3 4 2 3 3 2" xfId="6140" xr:uid="{00000000-0005-0000-0000-00001B6E0000}"/>
    <cellStyle name="Normal 3 4 2 3 3 2 2" xfId="6141" xr:uid="{00000000-0005-0000-0000-00001C6E0000}"/>
    <cellStyle name="Normal 3 4 2 3 3 2 3" xfId="6142" xr:uid="{00000000-0005-0000-0000-00001D6E0000}"/>
    <cellStyle name="Normal 3 4 2 3 3 3" xfId="6143" xr:uid="{00000000-0005-0000-0000-00001E6E0000}"/>
    <cellStyle name="Normal 3 4 2 3 3 3 2" xfId="6144" xr:uid="{00000000-0005-0000-0000-00001F6E0000}"/>
    <cellStyle name="Normal 3 4 2 3 3 4" xfId="6145" xr:uid="{00000000-0005-0000-0000-0000206E0000}"/>
    <cellStyle name="Normal 3 4 2 3 3 4 2" xfId="6146" xr:uid="{00000000-0005-0000-0000-0000216E0000}"/>
    <cellStyle name="Normal 3 4 2 3 3 5" xfId="6147" xr:uid="{00000000-0005-0000-0000-0000226E0000}"/>
    <cellStyle name="Normal 3 4 2 3 4" xfId="6148" xr:uid="{00000000-0005-0000-0000-0000236E0000}"/>
    <cellStyle name="Normal 3 4 2 3 4 2" xfId="6149" xr:uid="{00000000-0005-0000-0000-0000246E0000}"/>
    <cellStyle name="Normal 3 4 2 3 4 2 2" xfId="6150" xr:uid="{00000000-0005-0000-0000-0000256E0000}"/>
    <cellStyle name="Normal 3 4 2 3 4 3" xfId="6151" xr:uid="{00000000-0005-0000-0000-0000266E0000}"/>
    <cellStyle name="Normal 3 4 2 3 4 3 2" xfId="6152" xr:uid="{00000000-0005-0000-0000-0000276E0000}"/>
    <cellStyle name="Normal 3 4 2 3 4 4" xfId="6153" xr:uid="{00000000-0005-0000-0000-0000286E0000}"/>
    <cellStyle name="Normal 3 4 2 3 5" xfId="6154" xr:uid="{00000000-0005-0000-0000-0000296E0000}"/>
    <cellStyle name="Normal 3 4 2 3 5 2" xfId="6155" xr:uid="{00000000-0005-0000-0000-00002A6E0000}"/>
    <cellStyle name="Normal 3 4 2 3 5 3" xfId="6156" xr:uid="{00000000-0005-0000-0000-00002B6E0000}"/>
    <cellStyle name="Normal 3 4 2 3 6" xfId="6157" xr:uid="{00000000-0005-0000-0000-00002C6E0000}"/>
    <cellStyle name="Normal 3 4 2 3 6 2" xfId="6158" xr:uid="{00000000-0005-0000-0000-00002D6E0000}"/>
    <cellStyle name="Normal 3 4 2 3 7" xfId="6159" xr:uid="{00000000-0005-0000-0000-00002E6E0000}"/>
    <cellStyle name="Normal 3 4 2 3 7 2" xfId="6160" xr:uid="{00000000-0005-0000-0000-00002F6E0000}"/>
    <cellStyle name="Normal 3 4 2 3 8" xfId="6161" xr:uid="{00000000-0005-0000-0000-0000306E0000}"/>
    <cellStyle name="Normal 3 4 2 4" xfId="6162" xr:uid="{00000000-0005-0000-0000-0000316E0000}"/>
    <cellStyle name="Normal 3 4 2 4 2" xfId="6163" xr:uid="{00000000-0005-0000-0000-0000326E0000}"/>
    <cellStyle name="Normal 3 4 2 4 2 2" xfId="6164" xr:uid="{00000000-0005-0000-0000-0000336E0000}"/>
    <cellStyle name="Normal 3 4 2 4 2 2 2" xfId="6165" xr:uid="{00000000-0005-0000-0000-0000346E0000}"/>
    <cellStyle name="Normal 3 4 2 4 2 2 3" xfId="6166" xr:uid="{00000000-0005-0000-0000-0000356E0000}"/>
    <cellStyle name="Normal 3 4 2 4 2 3" xfId="6167" xr:uid="{00000000-0005-0000-0000-0000366E0000}"/>
    <cellStyle name="Normal 3 4 2 4 2 3 2" xfId="6168" xr:uid="{00000000-0005-0000-0000-0000376E0000}"/>
    <cellStyle name="Normal 3 4 2 4 2 4" xfId="6169" xr:uid="{00000000-0005-0000-0000-0000386E0000}"/>
    <cellStyle name="Normal 3 4 2 4 2 4 2" xfId="6170" xr:uid="{00000000-0005-0000-0000-0000396E0000}"/>
    <cellStyle name="Normal 3 4 2 4 2 5" xfId="6171" xr:uid="{00000000-0005-0000-0000-00003A6E0000}"/>
    <cellStyle name="Normal 3 4 2 4 3" xfId="6172" xr:uid="{00000000-0005-0000-0000-00003B6E0000}"/>
    <cellStyle name="Normal 3 4 2 4 3 2" xfId="6173" xr:uid="{00000000-0005-0000-0000-00003C6E0000}"/>
    <cellStyle name="Normal 3 4 2 4 3 2 2" xfId="6174" xr:uid="{00000000-0005-0000-0000-00003D6E0000}"/>
    <cellStyle name="Normal 3 4 2 4 3 3" xfId="6175" xr:uid="{00000000-0005-0000-0000-00003E6E0000}"/>
    <cellStyle name="Normal 3 4 2 4 3 3 2" xfId="6176" xr:uid="{00000000-0005-0000-0000-00003F6E0000}"/>
    <cellStyle name="Normal 3 4 2 4 3 4" xfId="6177" xr:uid="{00000000-0005-0000-0000-0000406E0000}"/>
    <cellStyle name="Normal 3 4 2 4 4" xfId="6178" xr:uid="{00000000-0005-0000-0000-0000416E0000}"/>
    <cellStyle name="Normal 3 4 2 4 4 2" xfId="6179" xr:uid="{00000000-0005-0000-0000-0000426E0000}"/>
    <cellStyle name="Normal 3 4 2 4 4 3" xfId="6180" xr:uid="{00000000-0005-0000-0000-0000436E0000}"/>
    <cellStyle name="Normal 3 4 2 4 5" xfId="6181" xr:uid="{00000000-0005-0000-0000-0000446E0000}"/>
    <cellStyle name="Normal 3 4 2 4 5 2" xfId="6182" xr:uid="{00000000-0005-0000-0000-0000456E0000}"/>
    <cellStyle name="Normal 3 4 2 4 6" xfId="6183" xr:uid="{00000000-0005-0000-0000-0000466E0000}"/>
    <cellStyle name="Normal 3 4 2 4 6 2" xfId="6184" xr:uid="{00000000-0005-0000-0000-0000476E0000}"/>
    <cellStyle name="Normal 3 4 2 4 7" xfId="6185" xr:uid="{00000000-0005-0000-0000-0000486E0000}"/>
    <cellStyle name="Normal 3 4 2 5" xfId="6186" xr:uid="{00000000-0005-0000-0000-0000496E0000}"/>
    <cellStyle name="Normal 3 4 2 5 2" xfId="6187" xr:uid="{00000000-0005-0000-0000-00004A6E0000}"/>
    <cellStyle name="Normal 3 4 2 5 2 2" xfId="6188" xr:uid="{00000000-0005-0000-0000-00004B6E0000}"/>
    <cellStyle name="Normal 3 4 2 5 2 2 2" xfId="6189" xr:uid="{00000000-0005-0000-0000-00004C6E0000}"/>
    <cellStyle name="Normal 3 4 2 5 2 2 3" xfId="6190" xr:uid="{00000000-0005-0000-0000-00004D6E0000}"/>
    <cellStyle name="Normal 3 4 2 5 2 3" xfId="6191" xr:uid="{00000000-0005-0000-0000-00004E6E0000}"/>
    <cellStyle name="Normal 3 4 2 5 2 3 2" xfId="6192" xr:uid="{00000000-0005-0000-0000-00004F6E0000}"/>
    <cellStyle name="Normal 3 4 2 5 2 4" xfId="6193" xr:uid="{00000000-0005-0000-0000-0000506E0000}"/>
    <cellStyle name="Normal 3 4 2 5 2 4 2" xfId="6194" xr:uid="{00000000-0005-0000-0000-0000516E0000}"/>
    <cellStyle name="Normal 3 4 2 5 2 5" xfId="6195" xr:uid="{00000000-0005-0000-0000-0000526E0000}"/>
    <cellStyle name="Normal 3 4 2 5 3" xfId="6196" xr:uid="{00000000-0005-0000-0000-0000536E0000}"/>
    <cellStyle name="Normal 3 4 2 5 3 2" xfId="6197" xr:uid="{00000000-0005-0000-0000-0000546E0000}"/>
    <cellStyle name="Normal 3 4 2 5 3 2 2" xfId="6198" xr:uid="{00000000-0005-0000-0000-0000556E0000}"/>
    <cellStyle name="Normal 3 4 2 5 3 3" xfId="6199" xr:uid="{00000000-0005-0000-0000-0000566E0000}"/>
    <cellStyle name="Normal 3 4 2 5 3 3 2" xfId="6200" xr:uid="{00000000-0005-0000-0000-0000576E0000}"/>
    <cellStyle name="Normal 3 4 2 5 3 4" xfId="6201" xr:uid="{00000000-0005-0000-0000-0000586E0000}"/>
    <cellStyle name="Normal 3 4 2 5 4" xfId="6202" xr:uid="{00000000-0005-0000-0000-0000596E0000}"/>
    <cellStyle name="Normal 3 4 2 5 4 2" xfId="6203" xr:uid="{00000000-0005-0000-0000-00005A6E0000}"/>
    <cellStyle name="Normal 3 4 2 5 4 3" xfId="6204" xr:uid="{00000000-0005-0000-0000-00005B6E0000}"/>
    <cellStyle name="Normal 3 4 2 5 5" xfId="6205" xr:uid="{00000000-0005-0000-0000-00005C6E0000}"/>
    <cellStyle name="Normal 3 4 2 5 5 2" xfId="6206" xr:uid="{00000000-0005-0000-0000-00005D6E0000}"/>
    <cellStyle name="Normal 3 4 2 5 6" xfId="6207" xr:uid="{00000000-0005-0000-0000-00005E6E0000}"/>
    <cellStyle name="Normal 3 4 2 5 6 2" xfId="6208" xr:uid="{00000000-0005-0000-0000-00005F6E0000}"/>
    <cellStyle name="Normal 3 4 2 5 7" xfId="6209" xr:uid="{00000000-0005-0000-0000-0000606E0000}"/>
    <cellStyle name="Normal 3 4 2 6" xfId="6210" xr:uid="{00000000-0005-0000-0000-0000616E0000}"/>
    <cellStyle name="Normal 3 4 2 6 2" xfId="6211" xr:uid="{00000000-0005-0000-0000-0000626E0000}"/>
    <cellStyle name="Normal 3 4 2 6 2 2" xfId="6212" xr:uid="{00000000-0005-0000-0000-0000636E0000}"/>
    <cellStyle name="Normal 3 4 2 6 2 2 2" xfId="6213" xr:uid="{00000000-0005-0000-0000-0000646E0000}"/>
    <cellStyle name="Normal 3 4 2 6 2 3" xfId="6214" xr:uid="{00000000-0005-0000-0000-0000656E0000}"/>
    <cellStyle name="Normal 3 4 2 6 2 3 2" xfId="6215" xr:uid="{00000000-0005-0000-0000-0000666E0000}"/>
    <cellStyle name="Normal 3 4 2 6 2 4" xfId="6216" xr:uid="{00000000-0005-0000-0000-0000676E0000}"/>
    <cellStyle name="Normal 3 4 2 6 3" xfId="6217" xr:uid="{00000000-0005-0000-0000-0000686E0000}"/>
    <cellStyle name="Normal 3 4 2 6 3 2" xfId="6218" xr:uid="{00000000-0005-0000-0000-0000696E0000}"/>
    <cellStyle name="Normal 3 4 2 6 3 3" xfId="6219" xr:uid="{00000000-0005-0000-0000-00006A6E0000}"/>
    <cellStyle name="Normal 3 4 2 6 4" xfId="6220" xr:uid="{00000000-0005-0000-0000-00006B6E0000}"/>
    <cellStyle name="Normal 3 4 2 6 4 2" xfId="6221" xr:uid="{00000000-0005-0000-0000-00006C6E0000}"/>
    <cellStyle name="Normal 3 4 2 6 5" xfId="6222" xr:uid="{00000000-0005-0000-0000-00006D6E0000}"/>
    <cellStyle name="Normal 3 4 2 6 5 2" xfId="6223" xr:uid="{00000000-0005-0000-0000-00006E6E0000}"/>
    <cellStyle name="Normal 3 4 2 6 6" xfId="6224" xr:uid="{00000000-0005-0000-0000-00006F6E0000}"/>
    <cellStyle name="Normal 3 4 2 7" xfId="6225" xr:uid="{00000000-0005-0000-0000-0000706E0000}"/>
    <cellStyle name="Normal 3 4 2 7 2" xfId="6226" xr:uid="{00000000-0005-0000-0000-0000716E0000}"/>
    <cellStyle name="Normal 3 4 2 7 2 2" xfId="6227" xr:uid="{00000000-0005-0000-0000-0000726E0000}"/>
    <cellStyle name="Normal 3 4 2 7 3" xfId="6228" xr:uid="{00000000-0005-0000-0000-0000736E0000}"/>
    <cellStyle name="Normal 3 4 2 7 3 2" xfId="6229" xr:uid="{00000000-0005-0000-0000-0000746E0000}"/>
    <cellStyle name="Normal 3 4 2 7 4" xfId="6230" xr:uid="{00000000-0005-0000-0000-0000756E0000}"/>
    <cellStyle name="Normal 3 4 2 8" xfId="6231" xr:uid="{00000000-0005-0000-0000-0000766E0000}"/>
    <cellStyle name="Normal 3 4 2 8 2" xfId="6232" xr:uid="{00000000-0005-0000-0000-0000776E0000}"/>
    <cellStyle name="Normal 3 4 2 8 2 2" xfId="6233" xr:uid="{00000000-0005-0000-0000-0000786E0000}"/>
    <cellStyle name="Normal 3 4 2 8 3" xfId="6234" xr:uid="{00000000-0005-0000-0000-0000796E0000}"/>
    <cellStyle name="Normal 3 4 2 8 3 2" xfId="6235" xr:uid="{00000000-0005-0000-0000-00007A6E0000}"/>
    <cellStyle name="Normal 3 4 2 8 4" xfId="6236" xr:uid="{00000000-0005-0000-0000-00007B6E0000}"/>
    <cellStyle name="Normal 3 4 2 9" xfId="6237" xr:uid="{00000000-0005-0000-0000-00007C6E0000}"/>
    <cellStyle name="Normal 3 4 2 9 2" xfId="6238" xr:uid="{00000000-0005-0000-0000-00007D6E0000}"/>
    <cellStyle name="Normal 3 4 2 9 3" xfId="6239" xr:uid="{00000000-0005-0000-0000-00007E6E0000}"/>
    <cellStyle name="Normal 3 4 3" xfId="6240" xr:uid="{00000000-0005-0000-0000-00007F6E0000}"/>
    <cellStyle name="Normal 3 4 3 10" xfId="6241" xr:uid="{00000000-0005-0000-0000-0000806E0000}"/>
    <cellStyle name="Normal 3 4 3 10 2" xfId="6242" xr:uid="{00000000-0005-0000-0000-0000816E0000}"/>
    <cellStyle name="Normal 3 4 3 11" xfId="6243" xr:uid="{00000000-0005-0000-0000-0000826E0000}"/>
    <cellStyle name="Normal 3 4 3 2" xfId="6244" xr:uid="{00000000-0005-0000-0000-0000836E0000}"/>
    <cellStyle name="Normal 3 4 3 2 2" xfId="6245" xr:uid="{00000000-0005-0000-0000-0000846E0000}"/>
    <cellStyle name="Normal 3 4 3 2 2 2" xfId="6246" xr:uid="{00000000-0005-0000-0000-0000856E0000}"/>
    <cellStyle name="Normal 3 4 3 2 2 2 2" xfId="6247" xr:uid="{00000000-0005-0000-0000-0000866E0000}"/>
    <cellStyle name="Normal 3 4 3 2 2 2 2 2" xfId="6248" xr:uid="{00000000-0005-0000-0000-0000876E0000}"/>
    <cellStyle name="Normal 3 4 3 2 2 2 2 3" xfId="6249" xr:uid="{00000000-0005-0000-0000-0000886E0000}"/>
    <cellStyle name="Normal 3 4 3 2 2 2 3" xfId="6250" xr:uid="{00000000-0005-0000-0000-0000896E0000}"/>
    <cellStyle name="Normal 3 4 3 2 2 2 3 2" xfId="6251" xr:uid="{00000000-0005-0000-0000-00008A6E0000}"/>
    <cellStyle name="Normal 3 4 3 2 2 2 4" xfId="6252" xr:uid="{00000000-0005-0000-0000-00008B6E0000}"/>
    <cellStyle name="Normal 3 4 3 2 2 2 4 2" xfId="6253" xr:uid="{00000000-0005-0000-0000-00008C6E0000}"/>
    <cellStyle name="Normal 3 4 3 2 2 2 5" xfId="6254" xr:uid="{00000000-0005-0000-0000-00008D6E0000}"/>
    <cellStyle name="Normal 3 4 3 2 2 3" xfId="6255" xr:uid="{00000000-0005-0000-0000-00008E6E0000}"/>
    <cellStyle name="Normal 3 4 3 2 2 3 2" xfId="6256" xr:uid="{00000000-0005-0000-0000-00008F6E0000}"/>
    <cellStyle name="Normal 3 4 3 2 2 3 2 2" xfId="6257" xr:uid="{00000000-0005-0000-0000-0000906E0000}"/>
    <cellStyle name="Normal 3 4 3 2 2 3 3" xfId="6258" xr:uid="{00000000-0005-0000-0000-0000916E0000}"/>
    <cellStyle name="Normal 3 4 3 2 2 3 3 2" xfId="6259" xr:uid="{00000000-0005-0000-0000-0000926E0000}"/>
    <cellStyle name="Normal 3 4 3 2 2 3 4" xfId="6260" xr:uid="{00000000-0005-0000-0000-0000936E0000}"/>
    <cellStyle name="Normal 3 4 3 2 2 4" xfId="6261" xr:uid="{00000000-0005-0000-0000-0000946E0000}"/>
    <cellStyle name="Normal 3 4 3 2 2 4 2" xfId="6262" xr:uid="{00000000-0005-0000-0000-0000956E0000}"/>
    <cellStyle name="Normal 3 4 3 2 2 4 3" xfId="6263" xr:uid="{00000000-0005-0000-0000-0000966E0000}"/>
    <cellStyle name="Normal 3 4 3 2 2 5" xfId="6264" xr:uid="{00000000-0005-0000-0000-0000976E0000}"/>
    <cellStyle name="Normal 3 4 3 2 2 5 2" xfId="6265" xr:uid="{00000000-0005-0000-0000-0000986E0000}"/>
    <cellStyle name="Normal 3 4 3 2 2 6" xfId="6266" xr:uid="{00000000-0005-0000-0000-0000996E0000}"/>
    <cellStyle name="Normal 3 4 3 2 2 6 2" xfId="6267" xr:uid="{00000000-0005-0000-0000-00009A6E0000}"/>
    <cellStyle name="Normal 3 4 3 2 2 7" xfId="6268" xr:uid="{00000000-0005-0000-0000-00009B6E0000}"/>
    <cellStyle name="Normal 3 4 3 2 3" xfId="6269" xr:uid="{00000000-0005-0000-0000-00009C6E0000}"/>
    <cellStyle name="Normal 3 4 3 2 3 2" xfId="6270" xr:uid="{00000000-0005-0000-0000-00009D6E0000}"/>
    <cellStyle name="Normal 3 4 3 2 3 2 2" xfId="6271" xr:uid="{00000000-0005-0000-0000-00009E6E0000}"/>
    <cellStyle name="Normal 3 4 3 2 3 2 3" xfId="6272" xr:uid="{00000000-0005-0000-0000-00009F6E0000}"/>
    <cellStyle name="Normal 3 4 3 2 3 3" xfId="6273" xr:uid="{00000000-0005-0000-0000-0000A06E0000}"/>
    <cellStyle name="Normal 3 4 3 2 3 3 2" xfId="6274" xr:uid="{00000000-0005-0000-0000-0000A16E0000}"/>
    <cellStyle name="Normal 3 4 3 2 3 4" xfId="6275" xr:uid="{00000000-0005-0000-0000-0000A26E0000}"/>
    <cellStyle name="Normal 3 4 3 2 3 4 2" xfId="6276" xr:uid="{00000000-0005-0000-0000-0000A36E0000}"/>
    <cellStyle name="Normal 3 4 3 2 3 5" xfId="6277" xr:uid="{00000000-0005-0000-0000-0000A46E0000}"/>
    <cellStyle name="Normal 3 4 3 2 4" xfId="6278" xr:uid="{00000000-0005-0000-0000-0000A56E0000}"/>
    <cellStyle name="Normal 3 4 3 2 4 2" xfId="6279" xr:uid="{00000000-0005-0000-0000-0000A66E0000}"/>
    <cellStyle name="Normal 3 4 3 2 4 2 2" xfId="6280" xr:uid="{00000000-0005-0000-0000-0000A76E0000}"/>
    <cellStyle name="Normal 3 4 3 2 4 3" xfId="6281" xr:uid="{00000000-0005-0000-0000-0000A86E0000}"/>
    <cellStyle name="Normal 3 4 3 2 4 3 2" xfId="6282" xr:uid="{00000000-0005-0000-0000-0000A96E0000}"/>
    <cellStyle name="Normal 3 4 3 2 4 4" xfId="6283" xr:uid="{00000000-0005-0000-0000-0000AA6E0000}"/>
    <cellStyle name="Normal 3 4 3 2 5" xfId="6284" xr:uid="{00000000-0005-0000-0000-0000AB6E0000}"/>
    <cellStyle name="Normal 3 4 3 2 5 2" xfId="6285" xr:uid="{00000000-0005-0000-0000-0000AC6E0000}"/>
    <cellStyle name="Normal 3 4 3 2 5 3" xfId="6286" xr:uid="{00000000-0005-0000-0000-0000AD6E0000}"/>
    <cellStyle name="Normal 3 4 3 2 6" xfId="6287" xr:uid="{00000000-0005-0000-0000-0000AE6E0000}"/>
    <cellStyle name="Normal 3 4 3 2 6 2" xfId="6288" xr:uid="{00000000-0005-0000-0000-0000AF6E0000}"/>
    <cellStyle name="Normal 3 4 3 2 7" xfId="6289" xr:uid="{00000000-0005-0000-0000-0000B06E0000}"/>
    <cellStyle name="Normal 3 4 3 2 7 2" xfId="6290" xr:uid="{00000000-0005-0000-0000-0000B16E0000}"/>
    <cellStyle name="Normal 3 4 3 2 8" xfId="6291" xr:uid="{00000000-0005-0000-0000-0000B26E0000}"/>
    <cellStyle name="Normal 3 4 3 3" xfId="6292" xr:uid="{00000000-0005-0000-0000-0000B36E0000}"/>
    <cellStyle name="Normal 3 4 3 3 2" xfId="6293" xr:uid="{00000000-0005-0000-0000-0000B46E0000}"/>
    <cellStyle name="Normal 3 4 3 3 2 2" xfId="6294" xr:uid="{00000000-0005-0000-0000-0000B56E0000}"/>
    <cellStyle name="Normal 3 4 3 3 2 2 2" xfId="6295" xr:uid="{00000000-0005-0000-0000-0000B66E0000}"/>
    <cellStyle name="Normal 3 4 3 3 2 2 3" xfId="6296" xr:uid="{00000000-0005-0000-0000-0000B76E0000}"/>
    <cellStyle name="Normal 3 4 3 3 2 3" xfId="6297" xr:uid="{00000000-0005-0000-0000-0000B86E0000}"/>
    <cellStyle name="Normal 3 4 3 3 2 3 2" xfId="6298" xr:uid="{00000000-0005-0000-0000-0000B96E0000}"/>
    <cellStyle name="Normal 3 4 3 3 2 4" xfId="6299" xr:uid="{00000000-0005-0000-0000-0000BA6E0000}"/>
    <cellStyle name="Normal 3 4 3 3 2 4 2" xfId="6300" xr:uid="{00000000-0005-0000-0000-0000BB6E0000}"/>
    <cellStyle name="Normal 3 4 3 3 2 5" xfId="6301" xr:uid="{00000000-0005-0000-0000-0000BC6E0000}"/>
    <cellStyle name="Normal 3 4 3 3 3" xfId="6302" xr:uid="{00000000-0005-0000-0000-0000BD6E0000}"/>
    <cellStyle name="Normal 3 4 3 3 3 2" xfId="6303" xr:uid="{00000000-0005-0000-0000-0000BE6E0000}"/>
    <cellStyle name="Normal 3 4 3 3 3 2 2" xfId="6304" xr:uid="{00000000-0005-0000-0000-0000BF6E0000}"/>
    <cellStyle name="Normal 3 4 3 3 3 3" xfId="6305" xr:uid="{00000000-0005-0000-0000-0000C06E0000}"/>
    <cellStyle name="Normal 3 4 3 3 3 3 2" xfId="6306" xr:uid="{00000000-0005-0000-0000-0000C16E0000}"/>
    <cellStyle name="Normal 3 4 3 3 3 4" xfId="6307" xr:uid="{00000000-0005-0000-0000-0000C26E0000}"/>
    <cellStyle name="Normal 3 4 3 3 4" xfId="6308" xr:uid="{00000000-0005-0000-0000-0000C36E0000}"/>
    <cellStyle name="Normal 3 4 3 3 4 2" xfId="6309" xr:uid="{00000000-0005-0000-0000-0000C46E0000}"/>
    <cellStyle name="Normal 3 4 3 3 4 3" xfId="6310" xr:uid="{00000000-0005-0000-0000-0000C56E0000}"/>
    <cellStyle name="Normal 3 4 3 3 5" xfId="6311" xr:uid="{00000000-0005-0000-0000-0000C66E0000}"/>
    <cellStyle name="Normal 3 4 3 3 5 2" xfId="6312" xr:uid="{00000000-0005-0000-0000-0000C76E0000}"/>
    <cellStyle name="Normal 3 4 3 3 6" xfId="6313" xr:uid="{00000000-0005-0000-0000-0000C86E0000}"/>
    <cellStyle name="Normal 3 4 3 3 6 2" xfId="6314" xr:uid="{00000000-0005-0000-0000-0000C96E0000}"/>
    <cellStyle name="Normal 3 4 3 3 7" xfId="6315" xr:uid="{00000000-0005-0000-0000-0000CA6E0000}"/>
    <cellStyle name="Normal 3 4 3 4" xfId="6316" xr:uid="{00000000-0005-0000-0000-0000CB6E0000}"/>
    <cellStyle name="Normal 3 4 3 4 2" xfId="6317" xr:uid="{00000000-0005-0000-0000-0000CC6E0000}"/>
    <cellStyle name="Normal 3 4 3 4 2 2" xfId="6318" xr:uid="{00000000-0005-0000-0000-0000CD6E0000}"/>
    <cellStyle name="Normal 3 4 3 4 2 2 2" xfId="6319" xr:uid="{00000000-0005-0000-0000-0000CE6E0000}"/>
    <cellStyle name="Normal 3 4 3 4 2 2 3" xfId="6320" xr:uid="{00000000-0005-0000-0000-0000CF6E0000}"/>
    <cellStyle name="Normal 3 4 3 4 2 3" xfId="6321" xr:uid="{00000000-0005-0000-0000-0000D06E0000}"/>
    <cellStyle name="Normal 3 4 3 4 2 3 2" xfId="6322" xr:uid="{00000000-0005-0000-0000-0000D16E0000}"/>
    <cellStyle name="Normal 3 4 3 4 2 4" xfId="6323" xr:uid="{00000000-0005-0000-0000-0000D26E0000}"/>
    <cellStyle name="Normal 3 4 3 4 2 4 2" xfId="6324" xr:uid="{00000000-0005-0000-0000-0000D36E0000}"/>
    <cellStyle name="Normal 3 4 3 4 2 5" xfId="6325" xr:uid="{00000000-0005-0000-0000-0000D46E0000}"/>
    <cellStyle name="Normal 3 4 3 4 3" xfId="6326" xr:uid="{00000000-0005-0000-0000-0000D56E0000}"/>
    <cellStyle name="Normal 3 4 3 4 3 2" xfId="6327" xr:uid="{00000000-0005-0000-0000-0000D66E0000}"/>
    <cellStyle name="Normal 3 4 3 4 3 2 2" xfId="6328" xr:uid="{00000000-0005-0000-0000-0000D76E0000}"/>
    <cellStyle name="Normal 3 4 3 4 3 3" xfId="6329" xr:uid="{00000000-0005-0000-0000-0000D86E0000}"/>
    <cellStyle name="Normal 3 4 3 4 3 3 2" xfId="6330" xr:uid="{00000000-0005-0000-0000-0000D96E0000}"/>
    <cellStyle name="Normal 3 4 3 4 3 4" xfId="6331" xr:uid="{00000000-0005-0000-0000-0000DA6E0000}"/>
    <cellStyle name="Normal 3 4 3 4 4" xfId="6332" xr:uid="{00000000-0005-0000-0000-0000DB6E0000}"/>
    <cellStyle name="Normal 3 4 3 4 4 2" xfId="6333" xr:uid="{00000000-0005-0000-0000-0000DC6E0000}"/>
    <cellStyle name="Normal 3 4 3 4 4 3" xfId="6334" xr:uid="{00000000-0005-0000-0000-0000DD6E0000}"/>
    <cellStyle name="Normal 3 4 3 4 5" xfId="6335" xr:uid="{00000000-0005-0000-0000-0000DE6E0000}"/>
    <cellStyle name="Normal 3 4 3 4 5 2" xfId="6336" xr:uid="{00000000-0005-0000-0000-0000DF6E0000}"/>
    <cellStyle name="Normal 3 4 3 4 6" xfId="6337" xr:uid="{00000000-0005-0000-0000-0000E06E0000}"/>
    <cellStyle name="Normal 3 4 3 4 6 2" xfId="6338" xr:uid="{00000000-0005-0000-0000-0000E16E0000}"/>
    <cellStyle name="Normal 3 4 3 4 7" xfId="6339" xr:uid="{00000000-0005-0000-0000-0000E26E0000}"/>
    <cellStyle name="Normal 3 4 3 5" xfId="6340" xr:uid="{00000000-0005-0000-0000-0000E36E0000}"/>
    <cellStyle name="Normal 3 4 3 5 2" xfId="6341" xr:uid="{00000000-0005-0000-0000-0000E46E0000}"/>
    <cellStyle name="Normal 3 4 3 5 2 2" xfId="6342" xr:uid="{00000000-0005-0000-0000-0000E56E0000}"/>
    <cellStyle name="Normal 3 4 3 5 2 2 2" xfId="6343" xr:uid="{00000000-0005-0000-0000-0000E66E0000}"/>
    <cellStyle name="Normal 3 4 3 5 2 3" xfId="6344" xr:uid="{00000000-0005-0000-0000-0000E76E0000}"/>
    <cellStyle name="Normal 3 4 3 5 2 3 2" xfId="6345" xr:uid="{00000000-0005-0000-0000-0000E86E0000}"/>
    <cellStyle name="Normal 3 4 3 5 2 4" xfId="6346" xr:uid="{00000000-0005-0000-0000-0000E96E0000}"/>
    <cellStyle name="Normal 3 4 3 5 3" xfId="6347" xr:uid="{00000000-0005-0000-0000-0000EA6E0000}"/>
    <cellStyle name="Normal 3 4 3 5 3 2" xfId="6348" xr:uid="{00000000-0005-0000-0000-0000EB6E0000}"/>
    <cellStyle name="Normal 3 4 3 5 3 3" xfId="6349" xr:uid="{00000000-0005-0000-0000-0000EC6E0000}"/>
    <cellStyle name="Normal 3 4 3 5 4" xfId="6350" xr:uid="{00000000-0005-0000-0000-0000ED6E0000}"/>
    <cellStyle name="Normal 3 4 3 5 4 2" xfId="6351" xr:uid="{00000000-0005-0000-0000-0000EE6E0000}"/>
    <cellStyle name="Normal 3 4 3 5 5" xfId="6352" xr:uid="{00000000-0005-0000-0000-0000EF6E0000}"/>
    <cellStyle name="Normal 3 4 3 5 5 2" xfId="6353" xr:uid="{00000000-0005-0000-0000-0000F06E0000}"/>
    <cellStyle name="Normal 3 4 3 5 6" xfId="6354" xr:uid="{00000000-0005-0000-0000-0000F16E0000}"/>
    <cellStyle name="Normal 3 4 3 6" xfId="6355" xr:uid="{00000000-0005-0000-0000-0000F26E0000}"/>
    <cellStyle name="Normal 3 4 3 6 2" xfId="6356" xr:uid="{00000000-0005-0000-0000-0000F36E0000}"/>
    <cellStyle name="Normal 3 4 3 6 2 2" xfId="6357" xr:uid="{00000000-0005-0000-0000-0000F46E0000}"/>
    <cellStyle name="Normal 3 4 3 6 3" xfId="6358" xr:uid="{00000000-0005-0000-0000-0000F56E0000}"/>
    <cellStyle name="Normal 3 4 3 6 3 2" xfId="6359" xr:uid="{00000000-0005-0000-0000-0000F66E0000}"/>
    <cellStyle name="Normal 3 4 3 6 4" xfId="6360" xr:uid="{00000000-0005-0000-0000-0000F76E0000}"/>
    <cellStyle name="Normal 3 4 3 7" xfId="6361" xr:uid="{00000000-0005-0000-0000-0000F86E0000}"/>
    <cellStyle name="Normal 3 4 3 7 2" xfId="6362" xr:uid="{00000000-0005-0000-0000-0000F96E0000}"/>
    <cellStyle name="Normal 3 4 3 7 2 2" xfId="6363" xr:uid="{00000000-0005-0000-0000-0000FA6E0000}"/>
    <cellStyle name="Normal 3 4 3 7 3" xfId="6364" xr:uid="{00000000-0005-0000-0000-0000FB6E0000}"/>
    <cellStyle name="Normal 3 4 3 7 3 2" xfId="6365" xr:uid="{00000000-0005-0000-0000-0000FC6E0000}"/>
    <cellStyle name="Normal 3 4 3 7 4" xfId="6366" xr:uid="{00000000-0005-0000-0000-0000FD6E0000}"/>
    <cellStyle name="Normal 3 4 3 8" xfId="6367" xr:uid="{00000000-0005-0000-0000-0000FE6E0000}"/>
    <cellStyle name="Normal 3 4 3 8 2" xfId="6368" xr:uid="{00000000-0005-0000-0000-0000FF6E0000}"/>
    <cellStyle name="Normal 3 4 3 8 3" xfId="6369" xr:uid="{00000000-0005-0000-0000-0000006F0000}"/>
    <cellStyle name="Normal 3 4 3 9" xfId="6370" xr:uid="{00000000-0005-0000-0000-0000016F0000}"/>
    <cellStyle name="Normal 3 4 3 9 2" xfId="6371" xr:uid="{00000000-0005-0000-0000-0000026F0000}"/>
    <cellStyle name="Normal 3 4 4" xfId="6372" xr:uid="{00000000-0005-0000-0000-0000036F0000}"/>
    <cellStyle name="Normal 3 4 4 10" xfId="6373" xr:uid="{00000000-0005-0000-0000-0000046F0000}"/>
    <cellStyle name="Normal 3 4 4 2" xfId="6374" xr:uid="{00000000-0005-0000-0000-0000056F0000}"/>
    <cellStyle name="Normal 3 4 4 2 2" xfId="6375" xr:uid="{00000000-0005-0000-0000-0000066F0000}"/>
    <cellStyle name="Normal 3 4 4 2 2 2" xfId="6376" xr:uid="{00000000-0005-0000-0000-0000076F0000}"/>
    <cellStyle name="Normal 3 4 4 2 2 2 2" xfId="6377" xr:uid="{00000000-0005-0000-0000-0000086F0000}"/>
    <cellStyle name="Normal 3 4 4 2 2 2 3" xfId="6378" xr:uid="{00000000-0005-0000-0000-0000096F0000}"/>
    <cellStyle name="Normal 3 4 4 2 2 3" xfId="6379" xr:uid="{00000000-0005-0000-0000-00000A6F0000}"/>
    <cellStyle name="Normal 3 4 4 2 2 3 2" xfId="6380" xr:uid="{00000000-0005-0000-0000-00000B6F0000}"/>
    <cellStyle name="Normal 3 4 4 2 2 4" xfId="6381" xr:uid="{00000000-0005-0000-0000-00000C6F0000}"/>
    <cellStyle name="Normal 3 4 4 2 2 4 2" xfId="6382" xr:uid="{00000000-0005-0000-0000-00000D6F0000}"/>
    <cellStyle name="Normal 3 4 4 2 2 5" xfId="6383" xr:uid="{00000000-0005-0000-0000-00000E6F0000}"/>
    <cellStyle name="Normal 3 4 4 2 3" xfId="6384" xr:uid="{00000000-0005-0000-0000-00000F6F0000}"/>
    <cellStyle name="Normal 3 4 4 2 3 2" xfId="6385" xr:uid="{00000000-0005-0000-0000-0000106F0000}"/>
    <cellStyle name="Normal 3 4 4 2 3 2 2" xfId="6386" xr:uid="{00000000-0005-0000-0000-0000116F0000}"/>
    <cellStyle name="Normal 3 4 4 2 3 3" xfId="6387" xr:uid="{00000000-0005-0000-0000-0000126F0000}"/>
    <cellStyle name="Normal 3 4 4 2 3 3 2" xfId="6388" xr:uid="{00000000-0005-0000-0000-0000136F0000}"/>
    <cellStyle name="Normal 3 4 4 2 3 4" xfId="6389" xr:uid="{00000000-0005-0000-0000-0000146F0000}"/>
    <cellStyle name="Normal 3 4 4 2 4" xfId="6390" xr:uid="{00000000-0005-0000-0000-0000156F0000}"/>
    <cellStyle name="Normal 3 4 4 2 4 2" xfId="6391" xr:uid="{00000000-0005-0000-0000-0000166F0000}"/>
    <cellStyle name="Normal 3 4 4 2 4 3" xfId="6392" xr:uid="{00000000-0005-0000-0000-0000176F0000}"/>
    <cellStyle name="Normal 3 4 4 2 5" xfId="6393" xr:uid="{00000000-0005-0000-0000-0000186F0000}"/>
    <cellStyle name="Normal 3 4 4 2 5 2" xfId="6394" xr:uid="{00000000-0005-0000-0000-0000196F0000}"/>
    <cellStyle name="Normal 3 4 4 2 6" xfId="6395" xr:uid="{00000000-0005-0000-0000-00001A6F0000}"/>
    <cellStyle name="Normal 3 4 4 2 6 2" xfId="6396" xr:uid="{00000000-0005-0000-0000-00001B6F0000}"/>
    <cellStyle name="Normal 3 4 4 2 7" xfId="6397" xr:uid="{00000000-0005-0000-0000-00001C6F0000}"/>
    <cellStyle name="Normal 3 4 4 3" xfId="6398" xr:uid="{00000000-0005-0000-0000-00001D6F0000}"/>
    <cellStyle name="Normal 3 4 4 3 2" xfId="6399" xr:uid="{00000000-0005-0000-0000-00001E6F0000}"/>
    <cellStyle name="Normal 3 4 4 3 2 2" xfId="6400" xr:uid="{00000000-0005-0000-0000-00001F6F0000}"/>
    <cellStyle name="Normal 3 4 4 3 2 2 2" xfId="6401" xr:uid="{00000000-0005-0000-0000-0000206F0000}"/>
    <cellStyle name="Normal 3 4 4 3 2 2 3" xfId="6402" xr:uid="{00000000-0005-0000-0000-0000216F0000}"/>
    <cellStyle name="Normal 3 4 4 3 2 3" xfId="6403" xr:uid="{00000000-0005-0000-0000-0000226F0000}"/>
    <cellStyle name="Normal 3 4 4 3 2 3 2" xfId="6404" xr:uid="{00000000-0005-0000-0000-0000236F0000}"/>
    <cellStyle name="Normal 3 4 4 3 2 4" xfId="6405" xr:uid="{00000000-0005-0000-0000-0000246F0000}"/>
    <cellStyle name="Normal 3 4 4 3 2 4 2" xfId="6406" xr:uid="{00000000-0005-0000-0000-0000256F0000}"/>
    <cellStyle name="Normal 3 4 4 3 2 5" xfId="6407" xr:uid="{00000000-0005-0000-0000-0000266F0000}"/>
    <cellStyle name="Normal 3 4 4 3 3" xfId="6408" xr:uid="{00000000-0005-0000-0000-0000276F0000}"/>
    <cellStyle name="Normal 3 4 4 3 3 2" xfId="6409" xr:uid="{00000000-0005-0000-0000-0000286F0000}"/>
    <cellStyle name="Normal 3 4 4 3 3 2 2" xfId="6410" xr:uid="{00000000-0005-0000-0000-0000296F0000}"/>
    <cellStyle name="Normal 3 4 4 3 3 3" xfId="6411" xr:uid="{00000000-0005-0000-0000-00002A6F0000}"/>
    <cellStyle name="Normal 3 4 4 3 3 3 2" xfId="6412" xr:uid="{00000000-0005-0000-0000-00002B6F0000}"/>
    <cellStyle name="Normal 3 4 4 3 3 4" xfId="6413" xr:uid="{00000000-0005-0000-0000-00002C6F0000}"/>
    <cellStyle name="Normal 3 4 4 3 4" xfId="6414" xr:uid="{00000000-0005-0000-0000-00002D6F0000}"/>
    <cellStyle name="Normal 3 4 4 3 4 2" xfId="6415" xr:uid="{00000000-0005-0000-0000-00002E6F0000}"/>
    <cellStyle name="Normal 3 4 4 3 4 3" xfId="6416" xr:uid="{00000000-0005-0000-0000-00002F6F0000}"/>
    <cellStyle name="Normal 3 4 4 3 5" xfId="6417" xr:uid="{00000000-0005-0000-0000-0000306F0000}"/>
    <cellStyle name="Normal 3 4 4 3 5 2" xfId="6418" xr:uid="{00000000-0005-0000-0000-0000316F0000}"/>
    <cellStyle name="Normal 3 4 4 3 6" xfId="6419" xr:uid="{00000000-0005-0000-0000-0000326F0000}"/>
    <cellStyle name="Normal 3 4 4 3 6 2" xfId="6420" xr:uid="{00000000-0005-0000-0000-0000336F0000}"/>
    <cellStyle name="Normal 3 4 4 3 7" xfId="6421" xr:uid="{00000000-0005-0000-0000-0000346F0000}"/>
    <cellStyle name="Normal 3 4 4 4" xfId="6422" xr:uid="{00000000-0005-0000-0000-0000356F0000}"/>
    <cellStyle name="Normal 3 4 4 4 2" xfId="6423" xr:uid="{00000000-0005-0000-0000-0000366F0000}"/>
    <cellStyle name="Normal 3 4 4 4 2 2" xfId="6424" xr:uid="{00000000-0005-0000-0000-0000376F0000}"/>
    <cellStyle name="Normal 3 4 4 4 2 2 2" xfId="6425" xr:uid="{00000000-0005-0000-0000-0000386F0000}"/>
    <cellStyle name="Normal 3 4 4 4 2 3" xfId="6426" xr:uid="{00000000-0005-0000-0000-0000396F0000}"/>
    <cellStyle name="Normal 3 4 4 4 2 3 2" xfId="6427" xr:uid="{00000000-0005-0000-0000-00003A6F0000}"/>
    <cellStyle name="Normal 3 4 4 4 2 4" xfId="6428" xr:uid="{00000000-0005-0000-0000-00003B6F0000}"/>
    <cellStyle name="Normal 3 4 4 4 3" xfId="6429" xr:uid="{00000000-0005-0000-0000-00003C6F0000}"/>
    <cellStyle name="Normal 3 4 4 4 3 2" xfId="6430" xr:uid="{00000000-0005-0000-0000-00003D6F0000}"/>
    <cellStyle name="Normal 3 4 4 4 3 3" xfId="6431" xr:uid="{00000000-0005-0000-0000-00003E6F0000}"/>
    <cellStyle name="Normal 3 4 4 4 4" xfId="6432" xr:uid="{00000000-0005-0000-0000-00003F6F0000}"/>
    <cellStyle name="Normal 3 4 4 4 4 2" xfId="6433" xr:uid="{00000000-0005-0000-0000-0000406F0000}"/>
    <cellStyle name="Normal 3 4 4 4 5" xfId="6434" xr:uid="{00000000-0005-0000-0000-0000416F0000}"/>
    <cellStyle name="Normal 3 4 4 4 5 2" xfId="6435" xr:uid="{00000000-0005-0000-0000-0000426F0000}"/>
    <cellStyle name="Normal 3 4 4 4 6" xfId="6436" xr:uid="{00000000-0005-0000-0000-0000436F0000}"/>
    <cellStyle name="Normal 3 4 4 5" xfId="6437" xr:uid="{00000000-0005-0000-0000-0000446F0000}"/>
    <cellStyle name="Normal 3 4 4 5 2" xfId="6438" xr:uid="{00000000-0005-0000-0000-0000456F0000}"/>
    <cellStyle name="Normal 3 4 4 5 2 2" xfId="6439" xr:uid="{00000000-0005-0000-0000-0000466F0000}"/>
    <cellStyle name="Normal 3 4 4 5 3" xfId="6440" xr:uid="{00000000-0005-0000-0000-0000476F0000}"/>
    <cellStyle name="Normal 3 4 4 5 3 2" xfId="6441" xr:uid="{00000000-0005-0000-0000-0000486F0000}"/>
    <cellStyle name="Normal 3 4 4 5 4" xfId="6442" xr:uid="{00000000-0005-0000-0000-0000496F0000}"/>
    <cellStyle name="Normal 3 4 4 6" xfId="6443" xr:uid="{00000000-0005-0000-0000-00004A6F0000}"/>
    <cellStyle name="Normal 3 4 4 6 2" xfId="6444" xr:uid="{00000000-0005-0000-0000-00004B6F0000}"/>
    <cellStyle name="Normal 3 4 4 6 2 2" xfId="6445" xr:uid="{00000000-0005-0000-0000-00004C6F0000}"/>
    <cellStyle name="Normal 3 4 4 6 3" xfId="6446" xr:uid="{00000000-0005-0000-0000-00004D6F0000}"/>
    <cellStyle name="Normal 3 4 4 6 3 2" xfId="6447" xr:uid="{00000000-0005-0000-0000-00004E6F0000}"/>
    <cellStyle name="Normal 3 4 4 6 4" xfId="6448" xr:uid="{00000000-0005-0000-0000-00004F6F0000}"/>
    <cellStyle name="Normal 3 4 4 7" xfId="6449" xr:uid="{00000000-0005-0000-0000-0000506F0000}"/>
    <cellStyle name="Normal 3 4 4 7 2" xfId="6450" xr:uid="{00000000-0005-0000-0000-0000516F0000}"/>
    <cellStyle name="Normal 3 4 4 7 3" xfId="6451" xr:uid="{00000000-0005-0000-0000-0000526F0000}"/>
    <cellStyle name="Normal 3 4 4 8" xfId="6452" xr:uid="{00000000-0005-0000-0000-0000536F0000}"/>
    <cellStyle name="Normal 3 4 4 8 2" xfId="6453" xr:uid="{00000000-0005-0000-0000-0000546F0000}"/>
    <cellStyle name="Normal 3 4 4 9" xfId="6454" xr:uid="{00000000-0005-0000-0000-0000556F0000}"/>
    <cellStyle name="Normal 3 4 4 9 2" xfId="6455" xr:uid="{00000000-0005-0000-0000-0000566F0000}"/>
    <cellStyle name="Normal 3 4 5" xfId="6456" xr:uid="{00000000-0005-0000-0000-0000576F0000}"/>
    <cellStyle name="Normal 3 4 5 2" xfId="6457" xr:uid="{00000000-0005-0000-0000-0000586F0000}"/>
    <cellStyle name="Normal 3 4 5 2 2" xfId="6458" xr:uid="{00000000-0005-0000-0000-0000596F0000}"/>
    <cellStyle name="Normal 3 4 5 2 2 2" xfId="6459" xr:uid="{00000000-0005-0000-0000-00005A6F0000}"/>
    <cellStyle name="Normal 3 4 5 2 2 2 2" xfId="6460" xr:uid="{00000000-0005-0000-0000-00005B6F0000}"/>
    <cellStyle name="Normal 3 4 5 2 2 2 3" xfId="6461" xr:uid="{00000000-0005-0000-0000-00005C6F0000}"/>
    <cellStyle name="Normal 3 4 5 2 2 3" xfId="6462" xr:uid="{00000000-0005-0000-0000-00005D6F0000}"/>
    <cellStyle name="Normal 3 4 5 2 2 3 2" xfId="6463" xr:uid="{00000000-0005-0000-0000-00005E6F0000}"/>
    <cellStyle name="Normal 3 4 5 2 2 4" xfId="6464" xr:uid="{00000000-0005-0000-0000-00005F6F0000}"/>
    <cellStyle name="Normal 3 4 5 2 2 4 2" xfId="6465" xr:uid="{00000000-0005-0000-0000-0000606F0000}"/>
    <cellStyle name="Normal 3 4 5 2 2 5" xfId="6466" xr:uid="{00000000-0005-0000-0000-0000616F0000}"/>
    <cellStyle name="Normal 3 4 5 2 3" xfId="6467" xr:uid="{00000000-0005-0000-0000-0000626F0000}"/>
    <cellStyle name="Normal 3 4 5 2 3 2" xfId="6468" xr:uid="{00000000-0005-0000-0000-0000636F0000}"/>
    <cellStyle name="Normal 3 4 5 2 3 2 2" xfId="6469" xr:uid="{00000000-0005-0000-0000-0000646F0000}"/>
    <cellStyle name="Normal 3 4 5 2 3 3" xfId="6470" xr:uid="{00000000-0005-0000-0000-0000656F0000}"/>
    <cellStyle name="Normal 3 4 5 2 3 3 2" xfId="6471" xr:uid="{00000000-0005-0000-0000-0000666F0000}"/>
    <cellStyle name="Normal 3 4 5 2 3 4" xfId="6472" xr:uid="{00000000-0005-0000-0000-0000676F0000}"/>
    <cellStyle name="Normal 3 4 5 2 4" xfId="6473" xr:uid="{00000000-0005-0000-0000-0000686F0000}"/>
    <cellStyle name="Normal 3 4 5 2 4 2" xfId="6474" xr:uid="{00000000-0005-0000-0000-0000696F0000}"/>
    <cellStyle name="Normal 3 4 5 2 4 3" xfId="6475" xr:uid="{00000000-0005-0000-0000-00006A6F0000}"/>
    <cellStyle name="Normal 3 4 5 2 5" xfId="6476" xr:uid="{00000000-0005-0000-0000-00006B6F0000}"/>
    <cellStyle name="Normal 3 4 5 2 5 2" xfId="6477" xr:uid="{00000000-0005-0000-0000-00006C6F0000}"/>
    <cellStyle name="Normal 3 4 5 2 6" xfId="6478" xr:uid="{00000000-0005-0000-0000-00006D6F0000}"/>
    <cellStyle name="Normal 3 4 5 2 6 2" xfId="6479" xr:uid="{00000000-0005-0000-0000-00006E6F0000}"/>
    <cellStyle name="Normal 3 4 5 2 7" xfId="6480" xr:uid="{00000000-0005-0000-0000-00006F6F0000}"/>
    <cellStyle name="Normal 3 4 5 3" xfId="6481" xr:uid="{00000000-0005-0000-0000-0000706F0000}"/>
    <cellStyle name="Normal 3 4 5 3 2" xfId="6482" xr:uid="{00000000-0005-0000-0000-0000716F0000}"/>
    <cellStyle name="Normal 3 4 5 3 2 2" xfId="6483" xr:uid="{00000000-0005-0000-0000-0000726F0000}"/>
    <cellStyle name="Normal 3 4 5 3 2 3" xfId="6484" xr:uid="{00000000-0005-0000-0000-0000736F0000}"/>
    <cellStyle name="Normal 3 4 5 3 3" xfId="6485" xr:uid="{00000000-0005-0000-0000-0000746F0000}"/>
    <cellStyle name="Normal 3 4 5 3 3 2" xfId="6486" xr:uid="{00000000-0005-0000-0000-0000756F0000}"/>
    <cellStyle name="Normal 3 4 5 3 4" xfId="6487" xr:uid="{00000000-0005-0000-0000-0000766F0000}"/>
    <cellStyle name="Normal 3 4 5 3 4 2" xfId="6488" xr:uid="{00000000-0005-0000-0000-0000776F0000}"/>
    <cellStyle name="Normal 3 4 5 3 5" xfId="6489" xr:uid="{00000000-0005-0000-0000-0000786F0000}"/>
    <cellStyle name="Normal 3 4 5 4" xfId="6490" xr:uid="{00000000-0005-0000-0000-0000796F0000}"/>
    <cellStyle name="Normal 3 4 5 4 2" xfId="6491" xr:uid="{00000000-0005-0000-0000-00007A6F0000}"/>
    <cellStyle name="Normal 3 4 5 4 2 2" xfId="6492" xr:uid="{00000000-0005-0000-0000-00007B6F0000}"/>
    <cellStyle name="Normal 3 4 5 4 3" xfId="6493" xr:uid="{00000000-0005-0000-0000-00007C6F0000}"/>
    <cellStyle name="Normal 3 4 5 4 3 2" xfId="6494" xr:uid="{00000000-0005-0000-0000-00007D6F0000}"/>
    <cellStyle name="Normal 3 4 5 4 4" xfId="6495" xr:uid="{00000000-0005-0000-0000-00007E6F0000}"/>
    <cellStyle name="Normal 3 4 5 5" xfId="6496" xr:uid="{00000000-0005-0000-0000-00007F6F0000}"/>
    <cellStyle name="Normal 3 4 5 5 2" xfId="6497" xr:uid="{00000000-0005-0000-0000-0000806F0000}"/>
    <cellStyle name="Normal 3 4 5 5 3" xfId="6498" xr:uid="{00000000-0005-0000-0000-0000816F0000}"/>
    <cellStyle name="Normal 3 4 5 6" xfId="6499" xr:uid="{00000000-0005-0000-0000-0000826F0000}"/>
    <cellStyle name="Normal 3 4 5 6 2" xfId="6500" xr:uid="{00000000-0005-0000-0000-0000836F0000}"/>
    <cellStyle name="Normal 3 4 5 7" xfId="6501" xr:uid="{00000000-0005-0000-0000-0000846F0000}"/>
    <cellStyle name="Normal 3 4 5 7 2" xfId="6502" xr:uid="{00000000-0005-0000-0000-0000856F0000}"/>
    <cellStyle name="Normal 3 4 5 8" xfId="6503" xr:uid="{00000000-0005-0000-0000-0000866F0000}"/>
    <cellStyle name="Normal 3 4 6" xfId="6504" xr:uid="{00000000-0005-0000-0000-0000876F0000}"/>
    <cellStyle name="Normal 3 4 6 2" xfId="6505" xr:uid="{00000000-0005-0000-0000-0000886F0000}"/>
    <cellStyle name="Normal 3 4 6 2 2" xfId="6506" xr:uid="{00000000-0005-0000-0000-0000896F0000}"/>
    <cellStyle name="Normal 3 4 6 2 2 2" xfId="6507" xr:uid="{00000000-0005-0000-0000-00008A6F0000}"/>
    <cellStyle name="Normal 3 4 6 2 2 3" xfId="6508" xr:uid="{00000000-0005-0000-0000-00008B6F0000}"/>
    <cellStyle name="Normal 3 4 6 2 3" xfId="6509" xr:uid="{00000000-0005-0000-0000-00008C6F0000}"/>
    <cellStyle name="Normal 3 4 6 2 3 2" xfId="6510" xr:uid="{00000000-0005-0000-0000-00008D6F0000}"/>
    <cellStyle name="Normal 3 4 6 2 4" xfId="6511" xr:uid="{00000000-0005-0000-0000-00008E6F0000}"/>
    <cellStyle name="Normal 3 4 6 2 4 2" xfId="6512" xr:uid="{00000000-0005-0000-0000-00008F6F0000}"/>
    <cellStyle name="Normal 3 4 6 2 5" xfId="6513" xr:uid="{00000000-0005-0000-0000-0000906F0000}"/>
    <cellStyle name="Normal 3 4 6 3" xfId="6514" xr:uid="{00000000-0005-0000-0000-0000916F0000}"/>
    <cellStyle name="Normal 3 4 6 3 2" xfId="6515" xr:uid="{00000000-0005-0000-0000-0000926F0000}"/>
    <cellStyle name="Normal 3 4 6 3 2 2" xfId="6516" xr:uid="{00000000-0005-0000-0000-0000936F0000}"/>
    <cellStyle name="Normal 3 4 6 3 3" xfId="6517" xr:uid="{00000000-0005-0000-0000-0000946F0000}"/>
    <cellStyle name="Normal 3 4 6 3 3 2" xfId="6518" xr:uid="{00000000-0005-0000-0000-0000956F0000}"/>
    <cellStyle name="Normal 3 4 6 3 4" xfId="6519" xr:uid="{00000000-0005-0000-0000-0000966F0000}"/>
    <cellStyle name="Normal 3 4 6 4" xfId="6520" xr:uid="{00000000-0005-0000-0000-0000976F0000}"/>
    <cellStyle name="Normal 3 4 6 4 2" xfId="6521" xr:uid="{00000000-0005-0000-0000-0000986F0000}"/>
    <cellStyle name="Normal 3 4 6 4 3" xfId="6522" xr:uid="{00000000-0005-0000-0000-0000996F0000}"/>
    <cellStyle name="Normal 3 4 6 5" xfId="6523" xr:uid="{00000000-0005-0000-0000-00009A6F0000}"/>
    <cellStyle name="Normal 3 4 6 5 2" xfId="6524" xr:uid="{00000000-0005-0000-0000-00009B6F0000}"/>
    <cellStyle name="Normal 3 4 6 6" xfId="6525" xr:uid="{00000000-0005-0000-0000-00009C6F0000}"/>
    <cellStyle name="Normal 3 4 6 6 2" xfId="6526" xr:uid="{00000000-0005-0000-0000-00009D6F0000}"/>
    <cellStyle name="Normal 3 4 6 7" xfId="6527" xr:uid="{00000000-0005-0000-0000-00009E6F0000}"/>
    <cellStyle name="Normal 3 4 7" xfId="6528" xr:uid="{00000000-0005-0000-0000-00009F6F0000}"/>
    <cellStyle name="Normal 3 4 7 2" xfId="6529" xr:uid="{00000000-0005-0000-0000-0000A06F0000}"/>
    <cellStyle name="Normal 3 4 7 2 2" xfId="6530" xr:uid="{00000000-0005-0000-0000-0000A16F0000}"/>
    <cellStyle name="Normal 3 4 7 2 2 2" xfId="6531" xr:uid="{00000000-0005-0000-0000-0000A26F0000}"/>
    <cellStyle name="Normal 3 4 7 2 2 3" xfId="6532" xr:uid="{00000000-0005-0000-0000-0000A36F0000}"/>
    <cellStyle name="Normal 3 4 7 2 3" xfId="6533" xr:uid="{00000000-0005-0000-0000-0000A46F0000}"/>
    <cellStyle name="Normal 3 4 7 2 3 2" xfId="6534" xr:uid="{00000000-0005-0000-0000-0000A56F0000}"/>
    <cellStyle name="Normal 3 4 7 2 4" xfId="6535" xr:uid="{00000000-0005-0000-0000-0000A66F0000}"/>
    <cellStyle name="Normal 3 4 7 2 4 2" xfId="6536" xr:uid="{00000000-0005-0000-0000-0000A76F0000}"/>
    <cellStyle name="Normal 3 4 7 2 5" xfId="6537" xr:uid="{00000000-0005-0000-0000-0000A86F0000}"/>
    <cellStyle name="Normal 3 4 7 3" xfId="6538" xr:uid="{00000000-0005-0000-0000-0000A96F0000}"/>
    <cellStyle name="Normal 3 4 7 3 2" xfId="6539" xr:uid="{00000000-0005-0000-0000-0000AA6F0000}"/>
    <cellStyle name="Normal 3 4 7 3 2 2" xfId="6540" xr:uid="{00000000-0005-0000-0000-0000AB6F0000}"/>
    <cellStyle name="Normal 3 4 7 3 3" xfId="6541" xr:uid="{00000000-0005-0000-0000-0000AC6F0000}"/>
    <cellStyle name="Normal 3 4 7 3 3 2" xfId="6542" xr:uid="{00000000-0005-0000-0000-0000AD6F0000}"/>
    <cellStyle name="Normal 3 4 7 3 4" xfId="6543" xr:uid="{00000000-0005-0000-0000-0000AE6F0000}"/>
    <cellStyle name="Normal 3 4 7 4" xfId="6544" xr:uid="{00000000-0005-0000-0000-0000AF6F0000}"/>
    <cellStyle name="Normal 3 4 7 4 2" xfId="6545" xr:uid="{00000000-0005-0000-0000-0000B06F0000}"/>
    <cellStyle name="Normal 3 4 7 4 3" xfId="6546" xr:uid="{00000000-0005-0000-0000-0000B16F0000}"/>
    <cellStyle name="Normal 3 4 7 5" xfId="6547" xr:uid="{00000000-0005-0000-0000-0000B26F0000}"/>
    <cellStyle name="Normal 3 4 7 5 2" xfId="6548" xr:uid="{00000000-0005-0000-0000-0000B36F0000}"/>
    <cellStyle name="Normal 3 4 7 6" xfId="6549" xr:uid="{00000000-0005-0000-0000-0000B46F0000}"/>
    <cellStyle name="Normal 3 4 7 6 2" xfId="6550" xr:uid="{00000000-0005-0000-0000-0000B56F0000}"/>
    <cellStyle name="Normal 3 4 7 7" xfId="6551" xr:uid="{00000000-0005-0000-0000-0000B66F0000}"/>
    <cellStyle name="Normal 3 4 8" xfId="6552" xr:uid="{00000000-0005-0000-0000-0000B76F0000}"/>
    <cellStyle name="Normal 3 4 8 2" xfId="6553" xr:uid="{00000000-0005-0000-0000-0000B86F0000}"/>
    <cellStyle name="Normal 3 4 8 2 2" xfId="6554" xr:uid="{00000000-0005-0000-0000-0000B96F0000}"/>
    <cellStyle name="Normal 3 4 8 2 2 2" xfId="6555" xr:uid="{00000000-0005-0000-0000-0000BA6F0000}"/>
    <cellStyle name="Normal 3 4 8 2 3" xfId="6556" xr:uid="{00000000-0005-0000-0000-0000BB6F0000}"/>
    <cellStyle name="Normal 3 4 8 2 3 2" xfId="6557" xr:uid="{00000000-0005-0000-0000-0000BC6F0000}"/>
    <cellStyle name="Normal 3 4 8 2 4" xfId="6558" xr:uid="{00000000-0005-0000-0000-0000BD6F0000}"/>
    <cellStyle name="Normal 3 4 8 3" xfId="6559" xr:uid="{00000000-0005-0000-0000-0000BE6F0000}"/>
    <cellStyle name="Normal 3 4 8 3 2" xfId="6560" xr:uid="{00000000-0005-0000-0000-0000BF6F0000}"/>
    <cellStyle name="Normal 3 4 8 3 3" xfId="6561" xr:uid="{00000000-0005-0000-0000-0000C06F0000}"/>
    <cellStyle name="Normal 3 4 8 4" xfId="6562" xr:uid="{00000000-0005-0000-0000-0000C16F0000}"/>
    <cellStyle name="Normal 3 4 8 4 2" xfId="6563" xr:uid="{00000000-0005-0000-0000-0000C26F0000}"/>
    <cellStyle name="Normal 3 4 8 5" xfId="6564" xr:uid="{00000000-0005-0000-0000-0000C36F0000}"/>
    <cellStyle name="Normal 3 4 8 5 2" xfId="6565" xr:uid="{00000000-0005-0000-0000-0000C46F0000}"/>
    <cellStyle name="Normal 3 4 8 6" xfId="6566" xr:uid="{00000000-0005-0000-0000-0000C56F0000}"/>
    <cellStyle name="Normal 3 4 9" xfId="6567" xr:uid="{00000000-0005-0000-0000-0000C66F0000}"/>
    <cellStyle name="Normal 3 4 9 2" xfId="6568" xr:uid="{00000000-0005-0000-0000-0000C76F0000}"/>
    <cellStyle name="Normal 3 4 9 2 2" xfId="6569" xr:uid="{00000000-0005-0000-0000-0000C86F0000}"/>
    <cellStyle name="Normal 3 4 9 3" xfId="6570" xr:uid="{00000000-0005-0000-0000-0000C96F0000}"/>
    <cellStyle name="Normal 3 4 9 3 2" xfId="6571" xr:uid="{00000000-0005-0000-0000-0000CA6F0000}"/>
    <cellStyle name="Normal 3 4 9 4" xfId="6572" xr:uid="{00000000-0005-0000-0000-0000CB6F0000}"/>
    <cellStyle name="Normal 3 5" xfId="6573" xr:uid="{00000000-0005-0000-0000-0000CC6F0000}"/>
    <cellStyle name="Normal 3 5 10" xfId="6574" xr:uid="{00000000-0005-0000-0000-0000CD6F0000}"/>
    <cellStyle name="Normal 3 5 10 2" xfId="6575" xr:uid="{00000000-0005-0000-0000-0000CE6F0000}"/>
    <cellStyle name="Normal 3 5 10 3" xfId="6576" xr:uid="{00000000-0005-0000-0000-0000CF6F0000}"/>
    <cellStyle name="Normal 3 5 11" xfId="6577" xr:uid="{00000000-0005-0000-0000-0000D06F0000}"/>
    <cellStyle name="Normal 3 5 11 2" xfId="6578" xr:uid="{00000000-0005-0000-0000-0000D16F0000}"/>
    <cellStyle name="Normal 3 5 12" xfId="6579" xr:uid="{00000000-0005-0000-0000-0000D26F0000}"/>
    <cellStyle name="Normal 3 5 12 2" xfId="6580" xr:uid="{00000000-0005-0000-0000-0000D36F0000}"/>
    <cellStyle name="Normal 3 5 13" xfId="6581" xr:uid="{00000000-0005-0000-0000-0000D46F0000}"/>
    <cellStyle name="Normal 3 5 14" xfId="35055" xr:uid="{00000000-0005-0000-0000-0000D56F0000}"/>
    <cellStyle name="Normal 3 5 2" xfId="6582" xr:uid="{00000000-0005-0000-0000-0000D66F0000}"/>
    <cellStyle name="Normal 3 5 2 10" xfId="6583" xr:uid="{00000000-0005-0000-0000-0000D76F0000}"/>
    <cellStyle name="Normal 3 5 2 10 2" xfId="6584" xr:uid="{00000000-0005-0000-0000-0000D86F0000}"/>
    <cellStyle name="Normal 3 5 2 11" xfId="6585" xr:uid="{00000000-0005-0000-0000-0000D96F0000}"/>
    <cellStyle name="Normal 3 5 2 2" xfId="6586" xr:uid="{00000000-0005-0000-0000-0000DA6F0000}"/>
    <cellStyle name="Normal 3 5 2 2 2" xfId="6587" xr:uid="{00000000-0005-0000-0000-0000DB6F0000}"/>
    <cellStyle name="Normal 3 5 2 2 2 2" xfId="6588" xr:uid="{00000000-0005-0000-0000-0000DC6F0000}"/>
    <cellStyle name="Normal 3 5 2 2 2 2 2" xfId="6589" xr:uid="{00000000-0005-0000-0000-0000DD6F0000}"/>
    <cellStyle name="Normal 3 5 2 2 2 2 2 2" xfId="6590" xr:uid="{00000000-0005-0000-0000-0000DE6F0000}"/>
    <cellStyle name="Normal 3 5 2 2 2 2 2 3" xfId="6591" xr:uid="{00000000-0005-0000-0000-0000DF6F0000}"/>
    <cellStyle name="Normal 3 5 2 2 2 2 3" xfId="6592" xr:uid="{00000000-0005-0000-0000-0000E06F0000}"/>
    <cellStyle name="Normal 3 5 2 2 2 2 3 2" xfId="6593" xr:uid="{00000000-0005-0000-0000-0000E16F0000}"/>
    <cellStyle name="Normal 3 5 2 2 2 2 4" xfId="6594" xr:uid="{00000000-0005-0000-0000-0000E26F0000}"/>
    <cellStyle name="Normal 3 5 2 2 2 2 4 2" xfId="6595" xr:uid="{00000000-0005-0000-0000-0000E36F0000}"/>
    <cellStyle name="Normal 3 5 2 2 2 2 5" xfId="6596" xr:uid="{00000000-0005-0000-0000-0000E46F0000}"/>
    <cellStyle name="Normal 3 5 2 2 2 3" xfId="6597" xr:uid="{00000000-0005-0000-0000-0000E56F0000}"/>
    <cellStyle name="Normal 3 5 2 2 2 3 2" xfId="6598" xr:uid="{00000000-0005-0000-0000-0000E66F0000}"/>
    <cellStyle name="Normal 3 5 2 2 2 3 2 2" xfId="6599" xr:uid="{00000000-0005-0000-0000-0000E76F0000}"/>
    <cellStyle name="Normal 3 5 2 2 2 3 3" xfId="6600" xr:uid="{00000000-0005-0000-0000-0000E86F0000}"/>
    <cellStyle name="Normal 3 5 2 2 2 3 3 2" xfId="6601" xr:uid="{00000000-0005-0000-0000-0000E96F0000}"/>
    <cellStyle name="Normal 3 5 2 2 2 3 4" xfId="6602" xr:uid="{00000000-0005-0000-0000-0000EA6F0000}"/>
    <cellStyle name="Normal 3 5 2 2 2 4" xfId="6603" xr:uid="{00000000-0005-0000-0000-0000EB6F0000}"/>
    <cellStyle name="Normal 3 5 2 2 2 4 2" xfId="6604" xr:uid="{00000000-0005-0000-0000-0000EC6F0000}"/>
    <cellStyle name="Normal 3 5 2 2 2 4 3" xfId="6605" xr:uid="{00000000-0005-0000-0000-0000ED6F0000}"/>
    <cellStyle name="Normal 3 5 2 2 2 5" xfId="6606" xr:uid="{00000000-0005-0000-0000-0000EE6F0000}"/>
    <cellStyle name="Normal 3 5 2 2 2 5 2" xfId="6607" xr:uid="{00000000-0005-0000-0000-0000EF6F0000}"/>
    <cellStyle name="Normal 3 5 2 2 2 6" xfId="6608" xr:uid="{00000000-0005-0000-0000-0000F06F0000}"/>
    <cellStyle name="Normal 3 5 2 2 2 6 2" xfId="6609" xr:uid="{00000000-0005-0000-0000-0000F16F0000}"/>
    <cellStyle name="Normal 3 5 2 2 2 7" xfId="6610" xr:uid="{00000000-0005-0000-0000-0000F26F0000}"/>
    <cellStyle name="Normal 3 5 2 2 3" xfId="6611" xr:uid="{00000000-0005-0000-0000-0000F36F0000}"/>
    <cellStyle name="Normal 3 5 2 2 3 2" xfId="6612" xr:uid="{00000000-0005-0000-0000-0000F46F0000}"/>
    <cellStyle name="Normal 3 5 2 2 3 2 2" xfId="6613" xr:uid="{00000000-0005-0000-0000-0000F56F0000}"/>
    <cellStyle name="Normal 3 5 2 2 3 2 3" xfId="6614" xr:uid="{00000000-0005-0000-0000-0000F66F0000}"/>
    <cellStyle name="Normal 3 5 2 2 3 3" xfId="6615" xr:uid="{00000000-0005-0000-0000-0000F76F0000}"/>
    <cellStyle name="Normal 3 5 2 2 3 3 2" xfId="6616" xr:uid="{00000000-0005-0000-0000-0000F86F0000}"/>
    <cellStyle name="Normal 3 5 2 2 3 4" xfId="6617" xr:uid="{00000000-0005-0000-0000-0000F96F0000}"/>
    <cellStyle name="Normal 3 5 2 2 3 4 2" xfId="6618" xr:uid="{00000000-0005-0000-0000-0000FA6F0000}"/>
    <cellStyle name="Normal 3 5 2 2 3 5" xfId="6619" xr:uid="{00000000-0005-0000-0000-0000FB6F0000}"/>
    <cellStyle name="Normal 3 5 2 2 4" xfId="6620" xr:uid="{00000000-0005-0000-0000-0000FC6F0000}"/>
    <cellStyle name="Normal 3 5 2 2 4 2" xfId="6621" xr:uid="{00000000-0005-0000-0000-0000FD6F0000}"/>
    <cellStyle name="Normal 3 5 2 2 4 2 2" xfId="6622" xr:uid="{00000000-0005-0000-0000-0000FE6F0000}"/>
    <cellStyle name="Normal 3 5 2 2 4 3" xfId="6623" xr:uid="{00000000-0005-0000-0000-0000FF6F0000}"/>
    <cellStyle name="Normal 3 5 2 2 4 3 2" xfId="6624" xr:uid="{00000000-0005-0000-0000-000000700000}"/>
    <cellStyle name="Normal 3 5 2 2 4 4" xfId="6625" xr:uid="{00000000-0005-0000-0000-000001700000}"/>
    <cellStyle name="Normal 3 5 2 2 5" xfId="6626" xr:uid="{00000000-0005-0000-0000-000002700000}"/>
    <cellStyle name="Normal 3 5 2 2 5 2" xfId="6627" xr:uid="{00000000-0005-0000-0000-000003700000}"/>
    <cellStyle name="Normal 3 5 2 2 5 3" xfId="6628" xr:uid="{00000000-0005-0000-0000-000004700000}"/>
    <cellStyle name="Normal 3 5 2 2 6" xfId="6629" xr:uid="{00000000-0005-0000-0000-000005700000}"/>
    <cellStyle name="Normal 3 5 2 2 6 2" xfId="6630" xr:uid="{00000000-0005-0000-0000-000006700000}"/>
    <cellStyle name="Normal 3 5 2 2 7" xfId="6631" xr:uid="{00000000-0005-0000-0000-000007700000}"/>
    <cellStyle name="Normal 3 5 2 2 7 2" xfId="6632" xr:uid="{00000000-0005-0000-0000-000008700000}"/>
    <cellStyle name="Normal 3 5 2 2 8" xfId="6633" xr:uid="{00000000-0005-0000-0000-000009700000}"/>
    <cellStyle name="Normal 3 5 2 3" xfId="6634" xr:uid="{00000000-0005-0000-0000-00000A700000}"/>
    <cellStyle name="Normal 3 5 2 3 2" xfId="6635" xr:uid="{00000000-0005-0000-0000-00000B700000}"/>
    <cellStyle name="Normal 3 5 2 3 2 2" xfId="6636" xr:uid="{00000000-0005-0000-0000-00000C700000}"/>
    <cellStyle name="Normal 3 5 2 3 2 2 2" xfId="6637" xr:uid="{00000000-0005-0000-0000-00000D700000}"/>
    <cellStyle name="Normal 3 5 2 3 2 2 3" xfId="6638" xr:uid="{00000000-0005-0000-0000-00000E700000}"/>
    <cellStyle name="Normal 3 5 2 3 2 3" xfId="6639" xr:uid="{00000000-0005-0000-0000-00000F700000}"/>
    <cellStyle name="Normal 3 5 2 3 2 3 2" xfId="6640" xr:uid="{00000000-0005-0000-0000-000010700000}"/>
    <cellStyle name="Normal 3 5 2 3 2 4" xfId="6641" xr:uid="{00000000-0005-0000-0000-000011700000}"/>
    <cellStyle name="Normal 3 5 2 3 2 4 2" xfId="6642" xr:uid="{00000000-0005-0000-0000-000012700000}"/>
    <cellStyle name="Normal 3 5 2 3 2 5" xfId="6643" xr:uid="{00000000-0005-0000-0000-000013700000}"/>
    <cellStyle name="Normal 3 5 2 3 3" xfId="6644" xr:uid="{00000000-0005-0000-0000-000014700000}"/>
    <cellStyle name="Normal 3 5 2 3 3 2" xfId="6645" xr:uid="{00000000-0005-0000-0000-000015700000}"/>
    <cellStyle name="Normal 3 5 2 3 3 2 2" xfId="6646" xr:uid="{00000000-0005-0000-0000-000016700000}"/>
    <cellStyle name="Normal 3 5 2 3 3 3" xfId="6647" xr:uid="{00000000-0005-0000-0000-000017700000}"/>
    <cellStyle name="Normal 3 5 2 3 3 3 2" xfId="6648" xr:uid="{00000000-0005-0000-0000-000018700000}"/>
    <cellStyle name="Normal 3 5 2 3 3 4" xfId="6649" xr:uid="{00000000-0005-0000-0000-000019700000}"/>
    <cellStyle name="Normal 3 5 2 3 4" xfId="6650" xr:uid="{00000000-0005-0000-0000-00001A700000}"/>
    <cellStyle name="Normal 3 5 2 3 4 2" xfId="6651" xr:uid="{00000000-0005-0000-0000-00001B700000}"/>
    <cellStyle name="Normal 3 5 2 3 4 3" xfId="6652" xr:uid="{00000000-0005-0000-0000-00001C700000}"/>
    <cellStyle name="Normal 3 5 2 3 5" xfId="6653" xr:uid="{00000000-0005-0000-0000-00001D700000}"/>
    <cellStyle name="Normal 3 5 2 3 5 2" xfId="6654" xr:uid="{00000000-0005-0000-0000-00001E700000}"/>
    <cellStyle name="Normal 3 5 2 3 6" xfId="6655" xr:uid="{00000000-0005-0000-0000-00001F700000}"/>
    <cellStyle name="Normal 3 5 2 3 6 2" xfId="6656" xr:uid="{00000000-0005-0000-0000-000020700000}"/>
    <cellStyle name="Normal 3 5 2 3 7" xfId="6657" xr:uid="{00000000-0005-0000-0000-000021700000}"/>
    <cellStyle name="Normal 3 5 2 4" xfId="6658" xr:uid="{00000000-0005-0000-0000-000022700000}"/>
    <cellStyle name="Normal 3 5 2 4 2" xfId="6659" xr:uid="{00000000-0005-0000-0000-000023700000}"/>
    <cellStyle name="Normal 3 5 2 4 2 2" xfId="6660" xr:uid="{00000000-0005-0000-0000-000024700000}"/>
    <cellStyle name="Normal 3 5 2 4 2 2 2" xfId="6661" xr:uid="{00000000-0005-0000-0000-000025700000}"/>
    <cellStyle name="Normal 3 5 2 4 2 2 3" xfId="6662" xr:uid="{00000000-0005-0000-0000-000026700000}"/>
    <cellStyle name="Normal 3 5 2 4 2 3" xfId="6663" xr:uid="{00000000-0005-0000-0000-000027700000}"/>
    <cellStyle name="Normal 3 5 2 4 2 3 2" xfId="6664" xr:uid="{00000000-0005-0000-0000-000028700000}"/>
    <cellStyle name="Normal 3 5 2 4 2 4" xfId="6665" xr:uid="{00000000-0005-0000-0000-000029700000}"/>
    <cellStyle name="Normal 3 5 2 4 2 4 2" xfId="6666" xr:uid="{00000000-0005-0000-0000-00002A700000}"/>
    <cellStyle name="Normal 3 5 2 4 2 5" xfId="6667" xr:uid="{00000000-0005-0000-0000-00002B700000}"/>
    <cellStyle name="Normal 3 5 2 4 3" xfId="6668" xr:uid="{00000000-0005-0000-0000-00002C700000}"/>
    <cellStyle name="Normal 3 5 2 4 3 2" xfId="6669" xr:uid="{00000000-0005-0000-0000-00002D700000}"/>
    <cellStyle name="Normal 3 5 2 4 3 2 2" xfId="6670" xr:uid="{00000000-0005-0000-0000-00002E700000}"/>
    <cellStyle name="Normal 3 5 2 4 3 3" xfId="6671" xr:uid="{00000000-0005-0000-0000-00002F700000}"/>
    <cellStyle name="Normal 3 5 2 4 3 3 2" xfId="6672" xr:uid="{00000000-0005-0000-0000-000030700000}"/>
    <cellStyle name="Normal 3 5 2 4 3 4" xfId="6673" xr:uid="{00000000-0005-0000-0000-000031700000}"/>
    <cellStyle name="Normal 3 5 2 4 4" xfId="6674" xr:uid="{00000000-0005-0000-0000-000032700000}"/>
    <cellStyle name="Normal 3 5 2 4 4 2" xfId="6675" xr:uid="{00000000-0005-0000-0000-000033700000}"/>
    <cellStyle name="Normal 3 5 2 4 4 3" xfId="6676" xr:uid="{00000000-0005-0000-0000-000034700000}"/>
    <cellStyle name="Normal 3 5 2 4 5" xfId="6677" xr:uid="{00000000-0005-0000-0000-000035700000}"/>
    <cellStyle name="Normal 3 5 2 4 5 2" xfId="6678" xr:uid="{00000000-0005-0000-0000-000036700000}"/>
    <cellStyle name="Normal 3 5 2 4 6" xfId="6679" xr:uid="{00000000-0005-0000-0000-000037700000}"/>
    <cellStyle name="Normal 3 5 2 4 6 2" xfId="6680" xr:uid="{00000000-0005-0000-0000-000038700000}"/>
    <cellStyle name="Normal 3 5 2 4 7" xfId="6681" xr:uid="{00000000-0005-0000-0000-000039700000}"/>
    <cellStyle name="Normal 3 5 2 5" xfId="6682" xr:uid="{00000000-0005-0000-0000-00003A700000}"/>
    <cellStyle name="Normal 3 5 2 5 2" xfId="6683" xr:uid="{00000000-0005-0000-0000-00003B700000}"/>
    <cellStyle name="Normal 3 5 2 5 2 2" xfId="6684" xr:uid="{00000000-0005-0000-0000-00003C700000}"/>
    <cellStyle name="Normal 3 5 2 5 2 2 2" xfId="6685" xr:uid="{00000000-0005-0000-0000-00003D700000}"/>
    <cellStyle name="Normal 3 5 2 5 2 3" xfId="6686" xr:uid="{00000000-0005-0000-0000-00003E700000}"/>
    <cellStyle name="Normal 3 5 2 5 2 3 2" xfId="6687" xr:uid="{00000000-0005-0000-0000-00003F700000}"/>
    <cellStyle name="Normal 3 5 2 5 2 4" xfId="6688" xr:uid="{00000000-0005-0000-0000-000040700000}"/>
    <cellStyle name="Normal 3 5 2 5 3" xfId="6689" xr:uid="{00000000-0005-0000-0000-000041700000}"/>
    <cellStyle name="Normal 3 5 2 5 3 2" xfId="6690" xr:uid="{00000000-0005-0000-0000-000042700000}"/>
    <cellStyle name="Normal 3 5 2 5 3 3" xfId="6691" xr:uid="{00000000-0005-0000-0000-000043700000}"/>
    <cellStyle name="Normal 3 5 2 5 4" xfId="6692" xr:uid="{00000000-0005-0000-0000-000044700000}"/>
    <cellStyle name="Normal 3 5 2 5 4 2" xfId="6693" xr:uid="{00000000-0005-0000-0000-000045700000}"/>
    <cellStyle name="Normal 3 5 2 5 5" xfId="6694" xr:uid="{00000000-0005-0000-0000-000046700000}"/>
    <cellStyle name="Normal 3 5 2 5 5 2" xfId="6695" xr:uid="{00000000-0005-0000-0000-000047700000}"/>
    <cellStyle name="Normal 3 5 2 5 6" xfId="6696" xr:uid="{00000000-0005-0000-0000-000048700000}"/>
    <cellStyle name="Normal 3 5 2 6" xfId="6697" xr:uid="{00000000-0005-0000-0000-000049700000}"/>
    <cellStyle name="Normal 3 5 2 6 2" xfId="6698" xr:uid="{00000000-0005-0000-0000-00004A700000}"/>
    <cellStyle name="Normal 3 5 2 6 2 2" xfId="6699" xr:uid="{00000000-0005-0000-0000-00004B700000}"/>
    <cellStyle name="Normal 3 5 2 6 3" xfId="6700" xr:uid="{00000000-0005-0000-0000-00004C700000}"/>
    <cellStyle name="Normal 3 5 2 6 3 2" xfId="6701" xr:uid="{00000000-0005-0000-0000-00004D700000}"/>
    <cellStyle name="Normal 3 5 2 6 4" xfId="6702" xr:uid="{00000000-0005-0000-0000-00004E700000}"/>
    <cellStyle name="Normal 3 5 2 7" xfId="6703" xr:uid="{00000000-0005-0000-0000-00004F700000}"/>
    <cellStyle name="Normal 3 5 2 7 2" xfId="6704" xr:uid="{00000000-0005-0000-0000-000050700000}"/>
    <cellStyle name="Normal 3 5 2 7 2 2" xfId="6705" xr:uid="{00000000-0005-0000-0000-000051700000}"/>
    <cellStyle name="Normal 3 5 2 7 3" xfId="6706" xr:uid="{00000000-0005-0000-0000-000052700000}"/>
    <cellStyle name="Normal 3 5 2 7 3 2" xfId="6707" xr:uid="{00000000-0005-0000-0000-000053700000}"/>
    <cellStyle name="Normal 3 5 2 7 4" xfId="6708" xr:uid="{00000000-0005-0000-0000-000054700000}"/>
    <cellStyle name="Normal 3 5 2 8" xfId="6709" xr:uid="{00000000-0005-0000-0000-000055700000}"/>
    <cellStyle name="Normal 3 5 2 8 2" xfId="6710" xr:uid="{00000000-0005-0000-0000-000056700000}"/>
    <cellStyle name="Normal 3 5 2 8 3" xfId="6711" xr:uid="{00000000-0005-0000-0000-000057700000}"/>
    <cellStyle name="Normal 3 5 2 9" xfId="6712" xr:uid="{00000000-0005-0000-0000-000058700000}"/>
    <cellStyle name="Normal 3 5 2 9 2" xfId="6713" xr:uid="{00000000-0005-0000-0000-000059700000}"/>
    <cellStyle name="Normal 3 5 3" xfId="6714" xr:uid="{00000000-0005-0000-0000-00005A700000}"/>
    <cellStyle name="Normal 3 5 3 10" xfId="6715" xr:uid="{00000000-0005-0000-0000-00005B700000}"/>
    <cellStyle name="Normal 3 5 3 2" xfId="6716" xr:uid="{00000000-0005-0000-0000-00005C700000}"/>
    <cellStyle name="Normal 3 5 3 2 2" xfId="6717" xr:uid="{00000000-0005-0000-0000-00005D700000}"/>
    <cellStyle name="Normal 3 5 3 2 2 2" xfId="6718" xr:uid="{00000000-0005-0000-0000-00005E700000}"/>
    <cellStyle name="Normal 3 5 3 2 2 2 2" xfId="6719" xr:uid="{00000000-0005-0000-0000-00005F700000}"/>
    <cellStyle name="Normal 3 5 3 2 2 2 3" xfId="6720" xr:uid="{00000000-0005-0000-0000-000060700000}"/>
    <cellStyle name="Normal 3 5 3 2 2 3" xfId="6721" xr:uid="{00000000-0005-0000-0000-000061700000}"/>
    <cellStyle name="Normal 3 5 3 2 2 3 2" xfId="6722" xr:uid="{00000000-0005-0000-0000-000062700000}"/>
    <cellStyle name="Normal 3 5 3 2 2 4" xfId="6723" xr:uid="{00000000-0005-0000-0000-000063700000}"/>
    <cellStyle name="Normal 3 5 3 2 2 4 2" xfId="6724" xr:uid="{00000000-0005-0000-0000-000064700000}"/>
    <cellStyle name="Normal 3 5 3 2 2 5" xfId="6725" xr:uid="{00000000-0005-0000-0000-000065700000}"/>
    <cellStyle name="Normal 3 5 3 2 3" xfId="6726" xr:uid="{00000000-0005-0000-0000-000066700000}"/>
    <cellStyle name="Normal 3 5 3 2 3 2" xfId="6727" xr:uid="{00000000-0005-0000-0000-000067700000}"/>
    <cellStyle name="Normal 3 5 3 2 3 2 2" xfId="6728" xr:uid="{00000000-0005-0000-0000-000068700000}"/>
    <cellStyle name="Normal 3 5 3 2 3 3" xfId="6729" xr:uid="{00000000-0005-0000-0000-000069700000}"/>
    <cellStyle name="Normal 3 5 3 2 3 3 2" xfId="6730" xr:uid="{00000000-0005-0000-0000-00006A700000}"/>
    <cellStyle name="Normal 3 5 3 2 3 4" xfId="6731" xr:uid="{00000000-0005-0000-0000-00006B700000}"/>
    <cellStyle name="Normal 3 5 3 2 4" xfId="6732" xr:uid="{00000000-0005-0000-0000-00006C700000}"/>
    <cellStyle name="Normal 3 5 3 2 4 2" xfId="6733" xr:uid="{00000000-0005-0000-0000-00006D700000}"/>
    <cellStyle name="Normal 3 5 3 2 4 3" xfId="6734" xr:uid="{00000000-0005-0000-0000-00006E700000}"/>
    <cellStyle name="Normal 3 5 3 2 5" xfId="6735" xr:uid="{00000000-0005-0000-0000-00006F700000}"/>
    <cellStyle name="Normal 3 5 3 2 5 2" xfId="6736" xr:uid="{00000000-0005-0000-0000-000070700000}"/>
    <cellStyle name="Normal 3 5 3 2 6" xfId="6737" xr:uid="{00000000-0005-0000-0000-000071700000}"/>
    <cellStyle name="Normal 3 5 3 2 6 2" xfId="6738" xr:uid="{00000000-0005-0000-0000-000072700000}"/>
    <cellStyle name="Normal 3 5 3 2 7" xfId="6739" xr:uid="{00000000-0005-0000-0000-000073700000}"/>
    <cellStyle name="Normal 3 5 3 3" xfId="6740" xr:uid="{00000000-0005-0000-0000-000074700000}"/>
    <cellStyle name="Normal 3 5 3 3 2" xfId="6741" xr:uid="{00000000-0005-0000-0000-000075700000}"/>
    <cellStyle name="Normal 3 5 3 3 2 2" xfId="6742" xr:uid="{00000000-0005-0000-0000-000076700000}"/>
    <cellStyle name="Normal 3 5 3 3 2 2 2" xfId="6743" xr:uid="{00000000-0005-0000-0000-000077700000}"/>
    <cellStyle name="Normal 3 5 3 3 2 2 3" xfId="6744" xr:uid="{00000000-0005-0000-0000-000078700000}"/>
    <cellStyle name="Normal 3 5 3 3 2 3" xfId="6745" xr:uid="{00000000-0005-0000-0000-000079700000}"/>
    <cellStyle name="Normal 3 5 3 3 2 3 2" xfId="6746" xr:uid="{00000000-0005-0000-0000-00007A700000}"/>
    <cellStyle name="Normal 3 5 3 3 2 4" xfId="6747" xr:uid="{00000000-0005-0000-0000-00007B700000}"/>
    <cellStyle name="Normal 3 5 3 3 2 4 2" xfId="6748" xr:uid="{00000000-0005-0000-0000-00007C700000}"/>
    <cellStyle name="Normal 3 5 3 3 2 5" xfId="6749" xr:uid="{00000000-0005-0000-0000-00007D700000}"/>
    <cellStyle name="Normal 3 5 3 3 3" xfId="6750" xr:uid="{00000000-0005-0000-0000-00007E700000}"/>
    <cellStyle name="Normal 3 5 3 3 3 2" xfId="6751" xr:uid="{00000000-0005-0000-0000-00007F700000}"/>
    <cellStyle name="Normal 3 5 3 3 3 2 2" xfId="6752" xr:uid="{00000000-0005-0000-0000-000080700000}"/>
    <cellStyle name="Normal 3 5 3 3 3 3" xfId="6753" xr:uid="{00000000-0005-0000-0000-000081700000}"/>
    <cellStyle name="Normal 3 5 3 3 3 3 2" xfId="6754" xr:uid="{00000000-0005-0000-0000-000082700000}"/>
    <cellStyle name="Normal 3 5 3 3 3 4" xfId="6755" xr:uid="{00000000-0005-0000-0000-000083700000}"/>
    <cellStyle name="Normal 3 5 3 3 4" xfId="6756" xr:uid="{00000000-0005-0000-0000-000084700000}"/>
    <cellStyle name="Normal 3 5 3 3 4 2" xfId="6757" xr:uid="{00000000-0005-0000-0000-000085700000}"/>
    <cellStyle name="Normal 3 5 3 3 4 3" xfId="6758" xr:uid="{00000000-0005-0000-0000-000086700000}"/>
    <cellStyle name="Normal 3 5 3 3 5" xfId="6759" xr:uid="{00000000-0005-0000-0000-000087700000}"/>
    <cellStyle name="Normal 3 5 3 3 5 2" xfId="6760" xr:uid="{00000000-0005-0000-0000-000088700000}"/>
    <cellStyle name="Normal 3 5 3 3 6" xfId="6761" xr:uid="{00000000-0005-0000-0000-000089700000}"/>
    <cellStyle name="Normal 3 5 3 3 6 2" xfId="6762" xr:uid="{00000000-0005-0000-0000-00008A700000}"/>
    <cellStyle name="Normal 3 5 3 3 7" xfId="6763" xr:uid="{00000000-0005-0000-0000-00008B700000}"/>
    <cellStyle name="Normal 3 5 3 4" xfId="6764" xr:uid="{00000000-0005-0000-0000-00008C700000}"/>
    <cellStyle name="Normal 3 5 3 4 2" xfId="6765" xr:uid="{00000000-0005-0000-0000-00008D700000}"/>
    <cellStyle name="Normal 3 5 3 4 2 2" xfId="6766" xr:uid="{00000000-0005-0000-0000-00008E700000}"/>
    <cellStyle name="Normal 3 5 3 4 2 2 2" xfId="6767" xr:uid="{00000000-0005-0000-0000-00008F700000}"/>
    <cellStyle name="Normal 3 5 3 4 2 3" xfId="6768" xr:uid="{00000000-0005-0000-0000-000090700000}"/>
    <cellStyle name="Normal 3 5 3 4 2 3 2" xfId="6769" xr:uid="{00000000-0005-0000-0000-000091700000}"/>
    <cellStyle name="Normal 3 5 3 4 2 4" xfId="6770" xr:uid="{00000000-0005-0000-0000-000092700000}"/>
    <cellStyle name="Normal 3 5 3 4 3" xfId="6771" xr:uid="{00000000-0005-0000-0000-000093700000}"/>
    <cellStyle name="Normal 3 5 3 4 3 2" xfId="6772" xr:uid="{00000000-0005-0000-0000-000094700000}"/>
    <cellStyle name="Normal 3 5 3 4 3 3" xfId="6773" xr:uid="{00000000-0005-0000-0000-000095700000}"/>
    <cellStyle name="Normal 3 5 3 4 4" xfId="6774" xr:uid="{00000000-0005-0000-0000-000096700000}"/>
    <cellStyle name="Normal 3 5 3 4 4 2" xfId="6775" xr:uid="{00000000-0005-0000-0000-000097700000}"/>
    <cellStyle name="Normal 3 5 3 4 5" xfId="6776" xr:uid="{00000000-0005-0000-0000-000098700000}"/>
    <cellStyle name="Normal 3 5 3 4 5 2" xfId="6777" xr:uid="{00000000-0005-0000-0000-000099700000}"/>
    <cellStyle name="Normal 3 5 3 4 6" xfId="6778" xr:uid="{00000000-0005-0000-0000-00009A700000}"/>
    <cellStyle name="Normal 3 5 3 5" xfId="6779" xr:uid="{00000000-0005-0000-0000-00009B700000}"/>
    <cellStyle name="Normal 3 5 3 5 2" xfId="6780" xr:uid="{00000000-0005-0000-0000-00009C700000}"/>
    <cellStyle name="Normal 3 5 3 5 2 2" xfId="6781" xr:uid="{00000000-0005-0000-0000-00009D700000}"/>
    <cellStyle name="Normal 3 5 3 5 3" xfId="6782" xr:uid="{00000000-0005-0000-0000-00009E700000}"/>
    <cellStyle name="Normal 3 5 3 5 3 2" xfId="6783" xr:uid="{00000000-0005-0000-0000-00009F700000}"/>
    <cellStyle name="Normal 3 5 3 5 4" xfId="6784" xr:uid="{00000000-0005-0000-0000-0000A0700000}"/>
    <cellStyle name="Normal 3 5 3 6" xfId="6785" xr:uid="{00000000-0005-0000-0000-0000A1700000}"/>
    <cellStyle name="Normal 3 5 3 6 2" xfId="6786" xr:uid="{00000000-0005-0000-0000-0000A2700000}"/>
    <cellStyle name="Normal 3 5 3 6 2 2" xfId="6787" xr:uid="{00000000-0005-0000-0000-0000A3700000}"/>
    <cellStyle name="Normal 3 5 3 6 3" xfId="6788" xr:uid="{00000000-0005-0000-0000-0000A4700000}"/>
    <cellStyle name="Normal 3 5 3 6 3 2" xfId="6789" xr:uid="{00000000-0005-0000-0000-0000A5700000}"/>
    <cellStyle name="Normal 3 5 3 6 4" xfId="6790" xr:uid="{00000000-0005-0000-0000-0000A6700000}"/>
    <cellStyle name="Normal 3 5 3 7" xfId="6791" xr:uid="{00000000-0005-0000-0000-0000A7700000}"/>
    <cellStyle name="Normal 3 5 3 7 2" xfId="6792" xr:uid="{00000000-0005-0000-0000-0000A8700000}"/>
    <cellStyle name="Normal 3 5 3 7 3" xfId="6793" xr:uid="{00000000-0005-0000-0000-0000A9700000}"/>
    <cellStyle name="Normal 3 5 3 8" xfId="6794" xr:uid="{00000000-0005-0000-0000-0000AA700000}"/>
    <cellStyle name="Normal 3 5 3 8 2" xfId="6795" xr:uid="{00000000-0005-0000-0000-0000AB700000}"/>
    <cellStyle name="Normal 3 5 3 9" xfId="6796" xr:uid="{00000000-0005-0000-0000-0000AC700000}"/>
    <cellStyle name="Normal 3 5 3 9 2" xfId="6797" xr:uid="{00000000-0005-0000-0000-0000AD700000}"/>
    <cellStyle name="Normal 3 5 4" xfId="6798" xr:uid="{00000000-0005-0000-0000-0000AE700000}"/>
    <cellStyle name="Normal 3 5 4 2" xfId="6799" xr:uid="{00000000-0005-0000-0000-0000AF700000}"/>
    <cellStyle name="Normal 3 5 4 2 2" xfId="6800" xr:uid="{00000000-0005-0000-0000-0000B0700000}"/>
    <cellStyle name="Normal 3 5 4 2 2 2" xfId="6801" xr:uid="{00000000-0005-0000-0000-0000B1700000}"/>
    <cellStyle name="Normal 3 5 4 2 2 2 2" xfId="6802" xr:uid="{00000000-0005-0000-0000-0000B2700000}"/>
    <cellStyle name="Normal 3 5 4 2 2 2 3" xfId="6803" xr:uid="{00000000-0005-0000-0000-0000B3700000}"/>
    <cellStyle name="Normal 3 5 4 2 2 3" xfId="6804" xr:uid="{00000000-0005-0000-0000-0000B4700000}"/>
    <cellStyle name="Normal 3 5 4 2 2 3 2" xfId="6805" xr:uid="{00000000-0005-0000-0000-0000B5700000}"/>
    <cellStyle name="Normal 3 5 4 2 2 4" xfId="6806" xr:uid="{00000000-0005-0000-0000-0000B6700000}"/>
    <cellStyle name="Normal 3 5 4 2 2 4 2" xfId="6807" xr:uid="{00000000-0005-0000-0000-0000B7700000}"/>
    <cellStyle name="Normal 3 5 4 2 2 5" xfId="6808" xr:uid="{00000000-0005-0000-0000-0000B8700000}"/>
    <cellStyle name="Normal 3 5 4 2 3" xfId="6809" xr:uid="{00000000-0005-0000-0000-0000B9700000}"/>
    <cellStyle name="Normal 3 5 4 2 3 2" xfId="6810" xr:uid="{00000000-0005-0000-0000-0000BA700000}"/>
    <cellStyle name="Normal 3 5 4 2 3 2 2" xfId="6811" xr:uid="{00000000-0005-0000-0000-0000BB700000}"/>
    <cellStyle name="Normal 3 5 4 2 3 3" xfId="6812" xr:uid="{00000000-0005-0000-0000-0000BC700000}"/>
    <cellStyle name="Normal 3 5 4 2 3 3 2" xfId="6813" xr:uid="{00000000-0005-0000-0000-0000BD700000}"/>
    <cellStyle name="Normal 3 5 4 2 3 4" xfId="6814" xr:uid="{00000000-0005-0000-0000-0000BE700000}"/>
    <cellStyle name="Normal 3 5 4 2 4" xfId="6815" xr:uid="{00000000-0005-0000-0000-0000BF700000}"/>
    <cellStyle name="Normal 3 5 4 2 4 2" xfId="6816" xr:uid="{00000000-0005-0000-0000-0000C0700000}"/>
    <cellStyle name="Normal 3 5 4 2 4 3" xfId="6817" xr:uid="{00000000-0005-0000-0000-0000C1700000}"/>
    <cellStyle name="Normal 3 5 4 2 5" xfId="6818" xr:uid="{00000000-0005-0000-0000-0000C2700000}"/>
    <cellStyle name="Normal 3 5 4 2 5 2" xfId="6819" xr:uid="{00000000-0005-0000-0000-0000C3700000}"/>
    <cellStyle name="Normal 3 5 4 2 6" xfId="6820" xr:uid="{00000000-0005-0000-0000-0000C4700000}"/>
    <cellStyle name="Normal 3 5 4 2 6 2" xfId="6821" xr:uid="{00000000-0005-0000-0000-0000C5700000}"/>
    <cellStyle name="Normal 3 5 4 2 7" xfId="6822" xr:uid="{00000000-0005-0000-0000-0000C6700000}"/>
    <cellStyle name="Normal 3 5 4 3" xfId="6823" xr:uid="{00000000-0005-0000-0000-0000C7700000}"/>
    <cellStyle name="Normal 3 5 4 3 2" xfId="6824" xr:uid="{00000000-0005-0000-0000-0000C8700000}"/>
    <cellStyle name="Normal 3 5 4 3 2 2" xfId="6825" xr:uid="{00000000-0005-0000-0000-0000C9700000}"/>
    <cellStyle name="Normal 3 5 4 3 2 3" xfId="6826" xr:uid="{00000000-0005-0000-0000-0000CA700000}"/>
    <cellStyle name="Normal 3 5 4 3 3" xfId="6827" xr:uid="{00000000-0005-0000-0000-0000CB700000}"/>
    <cellStyle name="Normal 3 5 4 3 3 2" xfId="6828" xr:uid="{00000000-0005-0000-0000-0000CC700000}"/>
    <cellStyle name="Normal 3 5 4 3 4" xfId="6829" xr:uid="{00000000-0005-0000-0000-0000CD700000}"/>
    <cellStyle name="Normal 3 5 4 3 4 2" xfId="6830" xr:uid="{00000000-0005-0000-0000-0000CE700000}"/>
    <cellStyle name="Normal 3 5 4 3 5" xfId="6831" xr:uid="{00000000-0005-0000-0000-0000CF700000}"/>
    <cellStyle name="Normal 3 5 4 4" xfId="6832" xr:uid="{00000000-0005-0000-0000-0000D0700000}"/>
    <cellStyle name="Normal 3 5 4 4 2" xfId="6833" xr:uid="{00000000-0005-0000-0000-0000D1700000}"/>
    <cellStyle name="Normal 3 5 4 4 2 2" xfId="6834" xr:uid="{00000000-0005-0000-0000-0000D2700000}"/>
    <cellStyle name="Normal 3 5 4 4 3" xfId="6835" xr:uid="{00000000-0005-0000-0000-0000D3700000}"/>
    <cellStyle name="Normal 3 5 4 4 3 2" xfId="6836" xr:uid="{00000000-0005-0000-0000-0000D4700000}"/>
    <cellStyle name="Normal 3 5 4 4 4" xfId="6837" xr:uid="{00000000-0005-0000-0000-0000D5700000}"/>
    <cellStyle name="Normal 3 5 4 5" xfId="6838" xr:uid="{00000000-0005-0000-0000-0000D6700000}"/>
    <cellStyle name="Normal 3 5 4 5 2" xfId="6839" xr:uid="{00000000-0005-0000-0000-0000D7700000}"/>
    <cellStyle name="Normal 3 5 4 5 3" xfId="6840" xr:uid="{00000000-0005-0000-0000-0000D8700000}"/>
    <cellStyle name="Normal 3 5 4 6" xfId="6841" xr:uid="{00000000-0005-0000-0000-0000D9700000}"/>
    <cellStyle name="Normal 3 5 4 6 2" xfId="6842" xr:uid="{00000000-0005-0000-0000-0000DA700000}"/>
    <cellStyle name="Normal 3 5 4 7" xfId="6843" xr:uid="{00000000-0005-0000-0000-0000DB700000}"/>
    <cellStyle name="Normal 3 5 4 7 2" xfId="6844" xr:uid="{00000000-0005-0000-0000-0000DC700000}"/>
    <cellStyle name="Normal 3 5 4 8" xfId="6845" xr:uid="{00000000-0005-0000-0000-0000DD700000}"/>
    <cellStyle name="Normal 3 5 5" xfId="6846" xr:uid="{00000000-0005-0000-0000-0000DE700000}"/>
    <cellStyle name="Normal 3 5 5 2" xfId="6847" xr:uid="{00000000-0005-0000-0000-0000DF700000}"/>
    <cellStyle name="Normal 3 5 5 2 2" xfId="6848" xr:uid="{00000000-0005-0000-0000-0000E0700000}"/>
    <cellStyle name="Normal 3 5 5 2 2 2" xfId="6849" xr:uid="{00000000-0005-0000-0000-0000E1700000}"/>
    <cellStyle name="Normal 3 5 5 2 2 3" xfId="6850" xr:uid="{00000000-0005-0000-0000-0000E2700000}"/>
    <cellStyle name="Normal 3 5 5 2 3" xfId="6851" xr:uid="{00000000-0005-0000-0000-0000E3700000}"/>
    <cellStyle name="Normal 3 5 5 2 3 2" xfId="6852" xr:uid="{00000000-0005-0000-0000-0000E4700000}"/>
    <cellStyle name="Normal 3 5 5 2 4" xfId="6853" xr:uid="{00000000-0005-0000-0000-0000E5700000}"/>
    <cellStyle name="Normal 3 5 5 2 4 2" xfId="6854" xr:uid="{00000000-0005-0000-0000-0000E6700000}"/>
    <cellStyle name="Normal 3 5 5 2 5" xfId="6855" xr:uid="{00000000-0005-0000-0000-0000E7700000}"/>
    <cellStyle name="Normal 3 5 5 3" xfId="6856" xr:uid="{00000000-0005-0000-0000-0000E8700000}"/>
    <cellStyle name="Normal 3 5 5 3 2" xfId="6857" xr:uid="{00000000-0005-0000-0000-0000E9700000}"/>
    <cellStyle name="Normal 3 5 5 3 2 2" xfId="6858" xr:uid="{00000000-0005-0000-0000-0000EA700000}"/>
    <cellStyle name="Normal 3 5 5 3 3" xfId="6859" xr:uid="{00000000-0005-0000-0000-0000EB700000}"/>
    <cellStyle name="Normal 3 5 5 3 3 2" xfId="6860" xr:uid="{00000000-0005-0000-0000-0000EC700000}"/>
    <cellStyle name="Normal 3 5 5 3 4" xfId="6861" xr:uid="{00000000-0005-0000-0000-0000ED700000}"/>
    <cellStyle name="Normal 3 5 5 4" xfId="6862" xr:uid="{00000000-0005-0000-0000-0000EE700000}"/>
    <cellStyle name="Normal 3 5 5 4 2" xfId="6863" xr:uid="{00000000-0005-0000-0000-0000EF700000}"/>
    <cellStyle name="Normal 3 5 5 4 3" xfId="6864" xr:uid="{00000000-0005-0000-0000-0000F0700000}"/>
    <cellStyle name="Normal 3 5 5 5" xfId="6865" xr:uid="{00000000-0005-0000-0000-0000F1700000}"/>
    <cellStyle name="Normal 3 5 5 5 2" xfId="6866" xr:uid="{00000000-0005-0000-0000-0000F2700000}"/>
    <cellStyle name="Normal 3 5 5 6" xfId="6867" xr:uid="{00000000-0005-0000-0000-0000F3700000}"/>
    <cellStyle name="Normal 3 5 5 6 2" xfId="6868" xr:uid="{00000000-0005-0000-0000-0000F4700000}"/>
    <cellStyle name="Normal 3 5 5 7" xfId="6869" xr:uid="{00000000-0005-0000-0000-0000F5700000}"/>
    <cellStyle name="Normal 3 5 6" xfId="6870" xr:uid="{00000000-0005-0000-0000-0000F6700000}"/>
    <cellStyle name="Normal 3 5 6 2" xfId="6871" xr:uid="{00000000-0005-0000-0000-0000F7700000}"/>
    <cellStyle name="Normal 3 5 6 2 2" xfId="6872" xr:uid="{00000000-0005-0000-0000-0000F8700000}"/>
    <cellStyle name="Normal 3 5 6 2 2 2" xfId="6873" xr:uid="{00000000-0005-0000-0000-0000F9700000}"/>
    <cellStyle name="Normal 3 5 6 2 2 3" xfId="6874" xr:uid="{00000000-0005-0000-0000-0000FA700000}"/>
    <cellStyle name="Normal 3 5 6 2 3" xfId="6875" xr:uid="{00000000-0005-0000-0000-0000FB700000}"/>
    <cellStyle name="Normal 3 5 6 2 3 2" xfId="6876" xr:uid="{00000000-0005-0000-0000-0000FC700000}"/>
    <cellStyle name="Normal 3 5 6 2 4" xfId="6877" xr:uid="{00000000-0005-0000-0000-0000FD700000}"/>
    <cellStyle name="Normal 3 5 6 2 4 2" xfId="6878" xr:uid="{00000000-0005-0000-0000-0000FE700000}"/>
    <cellStyle name="Normal 3 5 6 2 5" xfId="6879" xr:uid="{00000000-0005-0000-0000-0000FF700000}"/>
    <cellStyle name="Normal 3 5 6 3" xfId="6880" xr:uid="{00000000-0005-0000-0000-000000710000}"/>
    <cellStyle name="Normal 3 5 6 3 2" xfId="6881" xr:uid="{00000000-0005-0000-0000-000001710000}"/>
    <cellStyle name="Normal 3 5 6 3 2 2" xfId="6882" xr:uid="{00000000-0005-0000-0000-000002710000}"/>
    <cellStyle name="Normal 3 5 6 3 3" xfId="6883" xr:uid="{00000000-0005-0000-0000-000003710000}"/>
    <cellStyle name="Normal 3 5 6 3 3 2" xfId="6884" xr:uid="{00000000-0005-0000-0000-000004710000}"/>
    <cellStyle name="Normal 3 5 6 3 4" xfId="6885" xr:uid="{00000000-0005-0000-0000-000005710000}"/>
    <cellStyle name="Normal 3 5 6 4" xfId="6886" xr:uid="{00000000-0005-0000-0000-000006710000}"/>
    <cellStyle name="Normal 3 5 6 4 2" xfId="6887" xr:uid="{00000000-0005-0000-0000-000007710000}"/>
    <cellStyle name="Normal 3 5 6 4 3" xfId="6888" xr:uid="{00000000-0005-0000-0000-000008710000}"/>
    <cellStyle name="Normal 3 5 6 5" xfId="6889" xr:uid="{00000000-0005-0000-0000-000009710000}"/>
    <cellStyle name="Normal 3 5 6 5 2" xfId="6890" xr:uid="{00000000-0005-0000-0000-00000A710000}"/>
    <cellStyle name="Normal 3 5 6 6" xfId="6891" xr:uid="{00000000-0005-0000-0000-00000B710000}"/>
    <cellStyle name="Normal 3 5 6 6 2" xfId="6892" xr:uid="{00000000-0005-0000-0000-00000C710000}"/>
    <cellStyle name="Normal 3 5 6 7" xfId="6893" xr:uid="{00000000-0005-0000-0000-00000D710000}"/>
    <cellStyle name="Normal 3 5 7" xfId="6894" xr:uid="{00000000-0005-0000-0000-00000E710000}"/>
    <cellStyle name="Normal 3 5 7 2" xfId="6895" xr:uid="{00000000-0005-0000-0000-00000F710000}"/>
    <cellStyle name="Normal 3 5 7 2 2" xfId="6896" xr:uid="{00000000-0005-0000-0000-000010710000}"/>
    <cellStyle name="Normal 3 5 7 2 2 2" xfId="6897" xr:uid="{00000000-0005-0000-0000-000011710000}"/>
    <cellStyle name="Normal 3 5 7 2 3" xfId="6898" xr:uid="{00000000-0005-0000-0000-000012710000}"/>
    <cellStyle name="Normal 3 5 7 2 3 2" xfId="6899" xr:uid="{00000000-0005-0000-0000-000013710000}"/>
    <cellStyle name="Normal 3 5 7 2 4" xfId="6900" xr:uid="{00000000-0005-0000-0000-000014710000}"/>
    <cellStyle name="Normal 3 5 7 3" xfId="6901" xr:uid="{00000000-0005-0000-0000-000015710000}"/>
    <cellStyle name="Normal 3 5 7 3 2" xfId="6902" xr:uid="{00000000-0005-0000-0000-000016710000}"/>
    <cellStyle name="Normal 3 5 7 3 3" xfId="6903" xr:uid="{00000000-0005-0000-0000-000017710000}"/>
    <cellStyle name="Normal 3 5 7 4" xfId="6904" xr:uid="{00000000-0005-0000-0000-000018710000}"/>
    <cellStyle name="Normal 3 5 7 4 2" xfId="6905" xr:uid="{00000000-0005-0000-0000-000019710000}"/>
    <cellStyle name="Normal 3 5 7 5" xfId="6906" xr:uid="{00000000-0005-0000-0000-00001A710000}"/>
    <cellStyle name="Normal 3 5 7 5 2" xfId="6907" xr:uid="{00000000-0005-0000-0000-00001B710000}"/>
    <cellStyle name="Normal 3 5 7 6" xfId="6908" xr:uid="{00000000-0005-0000-0000-00001C710000}"/>
    <cellStyle name="Normal 3 5 8" xfId="6909" xr:uid="{00000000-0005-0000-0000-00001D710000}"/>
    <cellStyle name="Normal 3 5 8 2" xfId="6910" xr:uid="{00000000-0005-0000-0000-00001E710000}"/>
    <cellStyle name="Normal 3 5 8 2 2" xfId="6911" xr:uid="{00000000-0005-0000-0000-00001F710000}"/>
    <cellStyle name="Normal 3 5 8 3" xfId="6912" xr:uid="{00000000-0005-0000-0000-000020710000}"/>
    <cellStyle name="Normal 3 5 8 3 2" xfId="6913" xr:uid="{00000000-0005-0000-0000-000021710000}"/>
    <cellStyle name="Normal 3 5 8 4" xfId="6914" xr:uid="{00000000-0005-0000-0000-000022710000}"/>
    <cellStyle name="Normal 3 5 9" xfId="6915" xr:uid="{00000000-0005-0000-0000-000023710000}"/>
    <cellStyle name="Normal 3 5 9 2" xfId="6916" xr:uid="{00000000-0005-0000-0000-000024710000}"/>
    <cellStyle name="Normal 3 5 9 2 2" xfId="6917" xr:uid="{00000000-0005-0000-0000-000025710000}"/>
    <cellStyle name="Normal 3 5 9 3" xfId="6918" xr:uid="{00000000-0005-0000-0000-000026710000}"/>
    <cellStyle name="Normal 3 5 9 3 2" xfId="6919" xr:uid="{00000000-0005-0000-0000-000027710000}"/>
    <cellStyle name="Normal 3 5 9 4" xfId="6920" xr:uid="{00000000-0005-0000-0000-000028710000}"/>
    <cellStyle name="Normal 3 6" xfId="6921" xr:uid="{00000000-0005-0000-0000-000029710000}"/>
    <cellStyle name="Normal 3 6 10" xfId="6922" xr:uid="{00000000-0005-0000-0000-00002A710000}"/>
    <cellStyle name="Normal 3 6 10 2" xfId="6923" xr:uid="{00000000-0005-0000-0000-00002B710000}"/>
    <cellStyle name="Normal 3 6 11" xfId="6924" xr:uid="{00000000-0005-0000-0000-00002C710000}"/>
    <cellStyle name="Normal 3 6 2" xfId="6925" xr:uid="{00000000-0005-0000-0000-00002D710000}"/>
    <cellStyle name="Normal 3 6 2 2" xfId="6926" xr:uid="{00000000-0005-0000-0000-00002E710000}"/>
    <cellStyle name="Normal 3 6 2 2 2" xfId="6927" xr:uid="{00000000-0005-0000-0000-00002F710000}"/>
    <cellStyle name="Normal 3 6 2 2 2 2" xfId="6928" xr:uid="{00000000-0005-0000-0000-000030710000}"/>
    <cellStyle name="Normal 3 6 2 2 2 2 2" xfId="6929" xr:uid="{00000000-0005-0000-0000-000031710000}"/>
    <cellStyle name="Normal 3 6 2 2 2 2 3" xfId="6930" xr:uid="{00000000-0005-0000-0000-000032710000}"/>
    <cellStyle name="Normal 3 6 2 2 2 3" xfId="6931" xr:uid="{00000000-0005-0000-0000-000033710000}"/>
    <cellStyle name="Normal 3 6 2 2 2 3 2" xfId="6932" xr:uid="{00000000-0005-0000-0000-000034710000}"/>
    <cellStyle name="Normal 3 6 2 2 2 4" xfId="6933" xr:uid="{00000000-0005-0000-0000-000035710000}"/>
    <cellStyle name="Normal 3 6 2 2 2 4 2" xfId="6934" xr:uid="{00000000-0005-0000-0000-000036710000}"/>
    <cellStyle name="Normal 3 6 2 2 2 5" xfId="6935" xr:uid="{00000000-0005-0000-0000-000037710000}"/>
    <cellStyle name="Normal 3 6 2 2 3" xfId="6936" xr:uid="{00000000-0005-0000-0000-000038710000}"/>
    <cellStyle name="Normal 3 6 2 2 3 2" xfId="6937" xr:uid="{00000000-0005-0000-0000-000039710000}"/>
    <cellStyle name="Normal 3 6 2 2 3 2 2" xfId="6938" xr:uid="{00000000-0005-0000-0000-00003A710000}"/>
    <cellStyle name="Normal 3 6 2 2 3 3" xfId="6939" xr:uid="{00000000-0005-0000-0000-00003B710000}"/>
    <cellStyle name="Normal 3 6 2 2 3 3 2" xfId="6940" xr:uid="{00000000-0005-0000-0000-00003C710000}"/>
    <cellStyle name="Normal 3 6 2 2 3 4" xfId="6941" xr:uid="{00000000-0005-0000-0000-00003D710000}"/>
    <cellStyle name="Normal 3 6 2 2 4" xfId="6942" xr:uid="{00000000-0005-0000-0000-00003E710000}"/>
    <cellStyle name="Normal 3 6 2 2 4 2" xfId="6943" xr:uid="{00000000-0005-0000-0000-00003F710000}"/>
    <cellStyle name="Normal 3 6 2 2 4 3" xfId="6944" xr:uid="{00000000-0005-0000-0000-000040710000}"/>
    <cellStyle name="Normal 3 6 2 2 5" xfId="6945" xr:uid="{00000000-0005-0000-0000-000041710000}"/>
    <cellStyle name="Normal 3 6 2 2 5 2" xfId="6946" xr:uid="{00000000-0005-0000-0000-000042710000}"/>
    <cellStyle name="Normal 3 6 2 2 6" xfId="6947" xr:uid="{00000000-0005-0000-0000-000043710000}"/>
    <cellStyle name="Normal 3 6 2 2 6 2" xfId="6948" xr:uid="{00000000-0005-0000-0000-000044710000}"/>
    <cellStyle name="Normal 3 6 2 2 7" xfId="6949" xr:uid="{00000000-0005-0000-0000-000045710000}"/>
    <cellStyle name="Normal 3 6 2 3" xfId="6950" xr:uid="{00000000-0005-0000-0000-000046710000}"/>
    <cellStyle name="Normal 3 6 2 3 2" xfId="6951" xr:uid="{00000000-0005-0000-0000-000047710000}"/>
    <cellStyle name="Normal 3 6 2 3 2 2" xfId="6952" xr:uid="{00000000-0005-0000-0000-000048710000}"/>
    <cellStyle name="Normal 3 6 2 3 2 3" xfId="6953" xr:uid="{00000000-0005-0000-0000-000049710000}"/>
    <cellStyle name="Normal 3 6 2 3 3" xfId="6954" xr:uid="{00000000-0005-0000-0000-00004A710000}"/>
    <cellStyle name="Normal 3 6 2 3 3 2" xfId="6955" xr:uid="{00000000-0005-0000-0000-00004B710000}"/>
    <cellStyle name="Normal 3 6 2 3 4" xfId="6956" xr:uid="{00000000-0005-0000-0000-00004C710000}"/>
    <cellStyle name="Normal 3 6 2 3 4 2" xfId="6957" xr:uid="{00000000-0005-0000-0000-00004D710000}"/>
    <cellStyle name="Normal 3 6 2 3 5" xfId="6958" xr:uid="{00000000-0005-0000-0000-00004E710000}"/>
    <cellStyle name="Normal 3 6 2 4" xfId="6959" xr:uid="{00000000-0005-0000-0000-00004F710000}"/>
    <cellStyle name="Normal 3 6 2 4 2" xfId="6960" xr:uid="{00000000-0005-0000-0000-000050710000}"/>
    <cellStyle name="Normal 3 6 2 4 2 2" xfId="6961" xr:uid="{00000000-0005-0000-0000-000051710000}"/>
    <cellStyle name="Normal 3 6 2 4 3" xfId="6962" xr:uid="{00000000-0005-0000-0000-000052710000}"/>
    <cellStyle name="Normal 3 6 2 4 3 2" xfId="6963" xr:uid="{00000000-0005-0000-0000-000053710000}"/>
    <cellStyle name="Normal 3 6 2 4 4" xfId="6964" xr:uid="{00000000-0005-0000-0000-000054710000}"/>
    <cellStyle name="Normal 3 6 2 5" xfId="6965" xr:uid="{00000000-0005-0000-0000-000055710000}"/>
    <cellStyle name="Normal 3 6 2 5 2" xfId="6966" xr:uid="{00000000-0005-0000-0000-000056710000}"/>
    <cellStyle name="Normal 3 6 2 5 3" xfId="6967" xr:uid="{00000000-0005-0000-0000-000057710000}"/>
    <cellStyle name="Normal 3 6 2 6" xfId="6968" xr:uid="{00000000-0005-0000-0000-000058710000}"/>
    <cellStyle name="Normal 3 6 2 6 2" xfId="6969" xr:uid="{00000000-0005-0000-0000-000059710000}"/>
    <cellStyle name="Normal 3 6 2 7" xfId="6970" xr:uid="{00000000-0005-0000-0000-00005A710000}"/>
    <cellStyle name="Normal 3 6 2 7 2" xfId="6971" xr:uid="{00000000-0005-0000-0000-00005B710000}"/>
    <cellStyle name="Normal 3 6 2 8" xfId="6972" xr:uid="{00000000-0005-0000-0000-00005C710000}"/>
    <cellStyle name="Normal 3 6 3" xfId="6973" xr:uid="{00000000-0005-0000-0000-00005D710000}"/>
    <cellStyle name="Normal 3 6 3 2" xfId="6974" xr:uid="{00000000-0005-0000-0000-00005E710000}"/>
    <cellStyle name="Normal 3 6 3 2 2" xfId="6975" xr:uid="{00000000-0005-0000-0000-00005F710000}"/>
    <cellStyle name="Normal 3 6 3 2 2 2" xfId="6976" xr:uid="{00000000-0005-0000-0000-000060710000}"/>
    <cellStyle name="Normal 3 6 3 2 2 3" xfId="6977" xr:uid="{00000000-0005-0000-0000-000061710000}"/>
    <cellStyle name="Normal 3 6 3 2 3" xfId="6978" xr:uid="{00000000-0005-0000-0000-000062710000}"/>
    <cellStyle name="Normal 3 6 3 2 3 2" xfId="6979" xr:uid="{00000000-0005-0000-0000-000063710000}"/>
    <cellStyle name="Normal 3 6 3 2 4" xfId="6980" xr:uid="{00000000-0005-0000-0000-000064710000}"/>
    <cellStyle name="Normal 3 6 3 2 4 2" xfId="6981" xr:uid="{00000000-0005-0000-0000-000065710000}"/>
    <cellStyle name="Normal 3 6 3 2 5" xfId="6982" xr:uid="{00000000-0005-0000-0000-000066710000}"/>
    <cellStyle name="Normal 3 6 3 3" xfId="6983" xr:uid="{00000000-0005-0000-0000-000067710000}"/>
    <cellStyle name="Normal 3 6 3 3 2" xfId="6984" xr:uid="{00000000-0005-0000-0000-000068710000}"/>
    <cellStyle name="Normal 3 6 3 3 2 2" xfId="6985" xr:uid="{00000000-0005-0000-0000-000069710000}"/>
    <cellStyle name="Normal 3 6 3 3 3" xfId="6986" xr:uid="{00000000-0005-0000-0000-00006A710000}"/>
    <cellStyle name="Normal 3 6 3 3 3 2" xfId="6987" xr:uid="{00000000-0005-0000-0000-00006B710000}"/>
    <cellStyle name="Normal 3 6 3 3 4" xfId="6988" xr:uid="{00000000-0005-0000-0000-00006C710000}"/>
    <cellStyle name="Normal 3 6 3 4" xfId="6989" xr:uid="{00000000-0005-0000-0000-00006D710000}"/>
    <cellStyle name="Normal 3 6 3 4 2" xfId="6990" xr:uid="{00000000-0005-0000-0000-00006E710000}"/>
    <cellStyle name="Normal 3 6 3 4 3" xfId="6991" xr:uid="{00000000-0005-0000-0000-00006F710000}"/>
    <cellStyle name="Normal 3 6 3 5" xfId="6992" xr:uid="{00000000-0005-0000-0000-000070710000}"/>
    <cellStyle name="Normal 3 6 3 5 2" xfId="6993" xr:uid="{00000000-0005-0000-0000-000071710000}"/>
    <cellStyle name="Normal 3 6 3 6" xfId="6994" xr:uid="{00000000-0005-0000-0000-000072710000}"/>
    <cellStyle name="Normal 3 6 3 6 2" xfId="6995" xr:uid="{00000000-0005-0000-0000-000073710000}"/>
    <cellStyle name="Normal 3 6 3 7" xfId="6996" xr:uid="{00000000-0005-0000-0000-000074710000}"/>
    <cellStyle name="Normal 3 6 4" xfId="6997" xr:uid="{00000000-0005-0000-0000-000075710000}"/>
    <cellStyle name="Normal 3 6 4 2" xfId="6998" xr:uid="{00000000-0005-0000-0000-000076710000}"/>
    <cellStyle name="Normal 3 6 4 2 2" xfId="6999" xr:uid="{00000000-0005-0000-0000-000077710000}"/>
    <cellStyle name="Normal 3 6 4 2 2 2" xfId="7000" xr:uid="{00000000-0005-0000-0000-000078710000}"/>
    <cellStyle name="Normal 3 6 4 2 2 3" xfId="7001" xr:uid="{00000000-0005-0000-0000-000079710000}"/>
    <cellStyle name="Normal 3 6 4 2 3" xfId="7002" xr:uid="{00000000-0005-0000-0000-00007A710000}"/>
    <cellStyle name="Normal 3 6 4 2 3 2" xfId="7003" xr:uid="{00000000-0005-0000-0000-00007B710000}"/>
    <cellStyle name="Normal 3 6 4 2 4" xfId="7004" xr:uid="{00000000-0005-0000-0000-00007C710000}"/>
    <cellStyle name="Normal 3 6 4 2 4 2" xfId="7005" xr:uid="{00000000-0005-0000-0000-00007D710000}"/>
    <cellStyle name="Normal 3 6 4 2 5" xfId="7006" xr:uid="{00000000-0005-0000-0000-00007E710000}"/>
    <cellStyle name="Normal 3 6 4 3" xfId="7007" xr:uid="{00000000-0005-0000-0000-00007F710000}"/>
    <cellStyle name="Normal 3 6 4 3 2" xfId="7008" xr:uid="{00000000-0005-0000-0000-000080710000}"/>
    <cellStyle name="Normal 3 6 4 3 2 2" xfId="7009" xr:uid="{00000000-0005-0000-0000-000081710000}"/>
    <cellStyle name="Normal 3 6 4 3 3" xfId="7010" xr:uid="{00000000-0005-0000-0000-000082710000}"/>
    <cellStyle name="Normal 3 6 4 3 3 2" xfId="7011" xr:uid="{00000000-0005-0000-0000-000083710000}"/>
    <cellStyle name="Normal 3 6 4 3 4" xfId="7012" xr:uid="{00000000-0005-0000-0000-000084710000}"/>
    <cellStyle name="Normal 3 6 4 4" xfId="7013" xr:uid="{00000000-0005-0000-0000-000085710000}"/>
    <cellStyle name="Normal 3 6 4 4 2" xfId="7014" xr:uid="{00000000-0005-0000-0000-000086710000}"/>
    <cellStyle name="Normal 3 6 4 4 3" xfId="7015" xr:uid="{00000000-0005-0000-0000-000087710000}"/>
    <cellStyle name="Normal 3 6 4 5" xfId="7016" xr:uid="{00000000-0005-0000-0000-000088710000}"/>
    <cellStyle name="Normal 3 6 4 5 2" xfId="7017" xr:uid="{00000000-0005-0000-0000-000089710000}"/>
    <cellStyle name="Normal 3 6 4 6" xfId="7018" xr:uid="{00000000-0005-0000-0000-00008A710000}"/>
    <cellStyle name="Normal 3 6 4 6 2" xfId="7019" xr:uid="{00000000-0005-0000-0000-00008B710000}"/>
    <cellStyle name="Normal 3 6 4 7" xfId="7020" xr:uid="{00000000-0005-0000-0000-00008C710000}"/>
    <cellStyle name="Normal 3 6 5" xfId="7021" xr:uid="{00000000-0005-0000-0000-00008D710000}"/>
    <cellStyle name="Normal 3 6 5 2" xfId="7022" xr:uid="{00000000-0005-0000-0000-00008E710000}"/>
    <cellStyle name="Normal 3 6 5 2 2" xfId="7023" xr:uid="{00000000-0005-0000-0000-00008F710000}"/>
    <cellStyle name="Normal 3 6 5 2 2 2" xfId="7024" xr:uid="{00000000-0005-0000-0000-000090710000}"/>
    <cellStyle name="Normal 3 6 5 2 3" xfId="7025" xr:uid="{00000000-0005-0000-0000-000091710000}"/>
    <cellStyle name="Normal 3 6 5 2 3 2" xfId="7026" xr:uid="{00000000-0005-0000-0000-000092710000}"/>
    <cellStyle name="Normal 3 6 5 2 4" xfId="7027" xr:uid="{00000000-0005-0000-0000-000093710000}"/>
    <cellStyle name="Normal 3 6 5 3" xfId="7028" xr:uid="{00000000-0005-0000-0000-000094710000}"/>
    <cellStyle name="Normal 3 6 5 3 2" xfId="7029" xr:uid="{00000000-0005-0000-0000-000095710000}"/>
    <cellStyle name="Normal 3 6 5 3 3" xfId="7030" xr:uid="{00000000-0005-0000-0000-000096710000}"/>
    <cellStyle name="Normal 3 6 5 4" xfId="7031" xr:uid="{00000000-0005-0000-0000-000097710000}"/>
    <cellStyle name="Normal 3 6 5 4 2" xfId="7032" xr:uid="{00000000-0005-0000-0000-000098710000}"/>
    <cellStyle name="Normal 3 6 5 5" xfId="7033" xr:uid="{00000000-0005-0000-0000-000099710000}"/>
    <cellStyle name="Normal 3 6 5 5 2" xfId="7034" xr:uid="{00000000-0005-0000-0000-00009A710000}"/>
    <cellStyle name="Normal 3 6 5 6" xfId="7035" xr:uid="{00000000-0005-0000-0000-00009B710000}"/>
    <cellStyle name="Normal 3 6 6" xfId="7036" xr:uid="{00000000-0005-0000-0000-00009C710000}"/>
    <cellStyle name="Normal 3 6 6 2" xfId="7037" xr:uid="{00000000-0005-0000-0000-00009D710000}"/>
    <cellStyle name="Normal 3 6 6 2 2" xfId="7038" xr:uid="{00000000-0005-0000-0000-00009E710000}"/>
    <cellStyle name="Normal 3 6 6 3" xfId="7039" xr:uid="{00000000-0005-0000-0000-00009F710000}"/>
    <cellStyle name="Normal 3 6 6 3 2" xfId="7040" xr:uid="{00000000-0005-0000-0000-0000A0710000}"/>
    <cellStyle name="Normal 3 6 6 4" xfId="7041" xr:uid="{00000000-0005-0000-0000-0000A1710000}"/>
    <cellStyle name="Normal 3 6 7" xfId="7042" xr:uid="{00000000-0005-0000-0000-0000A2710000}"/>
    <cellStyle name="Normal 3 6 7 2" xfId="7043" xr:uid="{00000000-0005-0000-0000-0000A3710000}"/>
    <cellStyle name="Normal 3 6 7 2 2" xfId="7044" xr:uid="{00000000-0005-0000-0000-0000A4710000}"/>
    <cellStyle name="Normal 3 6 7 3" xfId="7045" xr:uid="{00000000-0005-0000-0000-0000A5710000}"/>
    <cellStyle name="Normal 3 6 7 3 2" xfId="7046" xr:uid="{00000000-0005-0000-0000-0000A6710000}"/>
    <cellStyle name="Normal 3 6 7 4" xfId="7047" xr:uid="{00000000-0005-0000-0000-0000A7710000}"/>
    <cellStyle name="Normal 3 6 8" xfId="7048" xr:uid="{00000000-0005-0000-0000-0000A8710000}"/>
    <cellStyle name="Normal 3 6 8 2" xfId="7049" xr:uid="{00000000-0005-0000-0000-0000A9710000}"/>
    <cellStyle name="Normal 3 6 8 3" xfId="7050" xr:uid="{00000000-0005-0000-0000-0000AA710000}"/>
    <cellStyle name="Normal 3 6 9" xfId="7051" xr:uid="{00000000-0005-0000-0000-0000AB710000}"/>
    <cellStyle name="Normal 3 6 9 2" xfId="7052" xr:uid="{00000000-0005-0000-0000-0000AC710000}"/>
    <cellStyle name="Normal 3 7" xfId="7053" xr:uid="{00000000-0005-0000-0000-0000AD710000}"/>
    <cellStyle name="Normal 3 7 10" xfId="7054" xr:uid="{00000000-0005-0000-0000-0000AE710000}"/>
    <cellStyle name="Normal 3 7 10 2" xfId="7055" xr:uid="{00000000-0005-0000-0000-0000AF710000}"/>
    <cellStyle name="Normal 3 7 11" xfId="7056" xr:uid="{00000000-0005-0000-0000-0000B0710000}"/>
    <cellStyle name="Normal 3 7 2" xfId="7057" xr:uid="{00000000-0005-0000-0000-0000B1710000}"/>
    <cellStyle name="Normal 3 7 2 2" xfId="7058" xr:uid="{00000000-0005-0000-0000-0000B2710000}"/>
    <cellStyle name="Normal 3 7 2 2 2" xfId="7059" xr:uid="{00000000-0005-0000-0000-0000B3710000}"/>
    <cellStyle name="Normal 3 7 2 2 2 2" xfId="7060" xr:uid="{00000000-0005-0000-0000-0000B4710000}"/>
    <cellStyle name="Normal 3 7 2 2 2 2 2" xfId="7061" xr:uid="{00000000-0005-0000-0000-0000B5710000}"/>
    <cellStyle name="Normal 3 7 2 2 2 2 3" xfId="7062" xr:uid="{00000000-0005-0000-0000-0000B6710000}"/>
    <cellStyle name="Normal 3 7 2 2 2 3" xfId="7063" xr:uid="{00000000-0005-0000-0000-0000B7710000}"/>
    <cellStyle name="Normal 3 7 2 2 2 3 2" xfId="7064" xr:uid="{00000000-0005-0000-0000-0000B8710000}"/>
    <cellStyle name="Normal 3 7 2 2 2 4" xfId="7065" xr:uid="{00000000-0005-0000-0000-0000B9710000}"/>
    <cellStyle name="Normal 3 7 2 2 2 4 2" xfId="7066" xr:uid="{00000000-0005-0000-0000-0000BA710000}"/>
    <cellStyle name="Normal 3 7 2 2 2 5" xfId="7067" xr:uid="{00000000-0005-0000-0000-0000BB710000}"/>
    <cellStyle name="Normal 3 7 2 2 3" xfId="7068" xr:uid="{00000000-0005-0000-0000-0000BC710000}"/>
    <cellStyle name="Normal 3 7 2 2 3 2" xfId="7069" xr:uid="{00000000-0005-0000-0000-0000BD710000}"/>
    <cellStyle name="Normal 3 7 2 2 3 2 2" xfId="7070" xr:uid="{00000000-0005-0000-0000-0000BE710000}"/>
    <cellStyle name="Normal 3 7 2 2 3 3" xfId="7071" xr:uid="{00000000-0005-0000-0000-0000BF710000}"/>
    <cellStyle name="Normal 3 7 2 2 3 3 2" xfId="7072" xr:uid="{00000000-0005-0000-0000-0000C0710000}"/>
    <cellStyle name="Normal 3 7 2 2 3 4" xfId="7073" xr:uid="{00000000-0005-0000-0000-0000C1710000}"/>
    <cellStyle name="Normal 3 7 2 2 4" xfId="7074" xr:uid="{00000000-0005-0000-0000-0000C2710000}"/>
    <cellStyle name="Normal 3 7 2 2 4 2" xfId="7075" xr:uid="{00000000-0005-0000-0000-0000C3710000}"/>
    <cellStyle name="Normal 3 7 2 2 4 3" xfId="7076" xr:uid="{00000000-0005-0000-0000-0000C4710000}"/>
    <cellStyle name="Normal 3 7 2 2 5" xfId="7077" xr:uid="{00000000-0005-0000-0000-0000C5710000}"/>
    <cellStyle name="Normal 3 7 2 2 5 2" xfId="7078" xr:uid="{00000000-0005-0000-0000-0000C6710000}"/>
    <cellStyle name="Normal 3 7 2 2 6" xfId="7079" xr:uid="{00000000-0005-0000-0000-0000C7710000}"/>
    <cellStyle name="Normal 3 7 2 2 6 2" xfId="7080" xr:uid="{00000000-0005-0000-0000-0000C8710000}"/>
    <cellStyle name="Normal 3 7 2 2 7" xfId="7081" xr:uid="{00000000-0005-0000-0000-0000C9710000}"/>
    <cellStyle name="Normal 3 7 2 3" xfId="7082" xr:uid="{00000000-0005-0000-0000-0000CA710000}"/>
    <cellStyle name="Normal 3 7 2 3 2" xfId="7083" xr:uid="{00000000-0005-0000-0000-0000CB710000}"/>
    <cellStyle name="Normal 3 7 2 3 2 2" xfId="7084" xr:uid="{00000000-0005-0000-0000-0000CC710000}"/>
    <cellStyle name="Normal 3 7 2 3 2 3" xfId="7085" xr:uid="{00000000-0005-0000-0000-0000CD710000}"/>
    <cellStyle name="Normal 3 7 2 3 3" xfId="7086" xr:uid="{00000000-0005-0000-0000-0000CE710000}"/>
    <cellStyle name="Normal 3 7 2 3 3 2" xfId="7087" xr:uid="{00000000-0005-0000-0000-0000CF710000}"/>
    <cellStyle name="Normal 3 7 2 3 4" xfId="7088" xr:uid="{00000000-0005-0000-0000-0000D0710000}"/>
    <cellStyle name="Normal 3 7 2 3 4 2" xfId="7089" xr:uid="{00000000-0005-0000-0000-0000D1710000}"/>
    <cellStyle name="Normal 3 7 2 3 5" xfId="7090" xr:uid="{00000000-0005-0000-0000-0000D2710000}"/>
    <cellStyle name="Normal 3 7 2 4" xfId="7091" xr:uid="{00000000-0005-0000-0000-0000D3710000}"/>
    <cellStyle name="Normal 3 7 2 4 2" xfId="7092" xr:uid="{00000000-0005-0000-0000-0000D4710000}"/>
    <cellStyle name="Normal 3 7 2 4 2 2" xfId="7093" xr:uid="{00000000-0005-0000-0000-0000D5710000}"/>
    <cellStyle name="Normal 3 7 2 4 3" xfId="7094" xr:uid="{00000000-0005-0000-0000-0000D6710000}"/>
    <cellStyle name="Normal 3 7 2 4 3 2" xfId="7095" xr:uid="{00000000-0005-0000-0000-0000D7710000}"/>
    <cellStyle name="Normal 3 7 2 4 4" xfId="7096" xr:uid="{00000000-0005-0000-0000-0000D8710000}"/>
    <cellStyle name="Normal 3 7 2 5" xfId="7097" xr:uid="{00000000-0005-0000-0000-0000D9710000}"/>
    <cellStyle name="Normal 3 7 2 5 2" xfId="7098" xr:uid="{00000000-0005-0000-0000-0000DA710000}"/>
    <cellStyle name="Normal 3 7 2 5 3" xfId="7099" xr:uid="{00000000-0005-0000-0000-0000DB710000}"/>
    <cellStyle name="Normal 3 7 2 6" xfId="7100" xr:uid="{00000000-0005-0000-0000-0000DC710000}"/>
    <cellStyle name="Normal 3 7 2 6 2" xfId="7101" xr:uid="{00000000-0005-0000-0000-0000DD710000}"/>
    <cellStyle name="Normal 3 7 2 7" xfId="7102" xr:uid="{00000000-0005-0000-0000-0000DE710000}"/>
    <cellStyle name="Normal 3 7 2 7 2" xfId="7103" xr:uid="{00000000-0005-0000-0000-0000DF710000}"/>
    <cellStyle name="Normal 3 7 2 8" xfId="7104" xr:uid="{00000000-0005-0000-0000-0000E0710000}"/>
    <cellStyle name="Normal 3 7 3" xfId="7105" xr:uid="{00000000-0005-0000-0000-0000E1710000}"/>
    <cellStyle name="Normal 3 7 3 2" xfId="7106" xr:uid="{00000000-0005-0000-0000-0000E2710000}"/>
    <cellStyle name="Normal 3 7 3 2 2" xfId="7107" xr:uid="{00000000-0005-0000-0000-0000E3710000}"/>
    <cellStyle name="Normal 3 7 3 2 2 2" xfId="7108" xr:uid="{00000000-0005-0000-0000-0000E4710000}"/>
    <cellStyle name="Normal 3 7 3 2 2 3" xfId="7109" xr:uid="{00000000-0005-0000-0000-0000E5710000}"/>
    <cellStyle name="Normal 3 7 3 2 3" xfId="7110" xr:uid="{00000000-0005-0000-0000-0000E6710000}"/>
    <cellStyle name="Normal 3 7 3 2 3 2" xfId="7111" xr:uid="{00000000-0005-0000-0000-0000E7710000}"/>
    <cellStyle name="Normal 3 7 3 2 4" xfId="7112" xr:uid="{00000000-0005-0000-0000-0000E8710000}"/>
    <cellStyle name="Normal 3 7 3 2 4 2" xfId="7113" xr:uid="{00000000-0005-0000-0000-0000E9710000}"/>
    <cellStyle name="Normal 3 7 3 2 5" xfId="7114" xr:uid="{00000000-0005-0000-0000-0000EA710000}"/>
    <cellStyle name="Normal 3 7 3 3" xfId="7115" xr:uid="{00000000-0005-0000-0000-0000EB710000}"/>
    <cellStyle name="Normal 3 7 3 3 2" xfId="7116" xr:uid="{00000000-0005-0000-0000-0000EC710000}"/>
    <cellStyle name="Normal 3 7 3 3 2 2" xfId="7117" xr:uid="{00000000-0005-0000-0000-0000ED710000}"/>
    <cellStyle name="Normal 3 7 3 3 3" xfId="7118" xr:uid="{00000000-0005-0000-0000-0000EE710000}"/>
    <cellStyle name="Normal 3 7 3 3 3 2" xfId="7119" xr:uid="{00000000-0005-0000-0000-0000EF710000}"/>
    <cellStyle name="Normal 3 7 3 3 4" xfId="7120" xr:uid="{00000000-0005-0000-0000-0000F0710000}"/>
    <cellStyle name="Normal 3 7 3 4" xfId="7121" xr:uid="{00000000-0005-0000-0000-0000F1710000}"/>
    <cellStyle name="Normal 3 7 3 4 2" xfId="7122" xr:uid="{00000000-0005-0000-0000-0000F2710000}"/>
    <cellStyle name="Normal 3 7 3 4 3" xfId="7123" xr:uid="{00000000-0005-0000-0000-0000F3710000}"/>
    <cellStyle name="Normal 3 7 3 5" xfId="7124" xr:uid="{00000000-0005-0000-0000-0000F4710000}"/>
    <cellStyle name="Normal 3 7 3 5 2" xfId="7125" xr:uid="{00000000-0005-0000-0000-0000F5710000}"/>
    <cellStyle name="Normal 3 7 3 6" xfId="7126" xr:uid="{00000000-0005-0000-0000-0000F6710000}"/>
    <cellStyle name="Normal 3 7 3 6 2" xfId="7127" xr:uid="{00000000-0005-0000-0000-0000F7710000}"/>
    <cellStyle name="Normal 3 7 3 7" xfId="7128" xr:uid="{00000000-0005-0000-0000-0000F8710000}"/>
    <cellStyle name="Normal 3 7 4" xfId="7129" xr:uid="{00000000-0005-0000-0000-0000F9710000}"/>
    <cellStyle name="Normal 3 7 4 2" xfId="7130" xr:uid="{00000000-0005-0000-0000-0000FA710000}"/>
    <cellStyle name="Normal 3 7 4 2 2" xfId="7131" xr:uid="{00000000-0005-0000-0000-0000FB710000}"/>
    <cellStyle name="Normal 3 7 4 2 2 2" xfId="7132" xr:uid="{00000000-0005-0000-0000-0000FC710000}"/>
    <cellStyle name="Normal 3 7 4 2 2 3" xfId="7133" xr:uid="{00000000-0005-0000-0000-0000FD710000}"/>
    <cellStyle name="Normal 3 7 4 2 3" xfId="7134" xr:uid="{00000000-0005-0000-0000-0000FE710000}"/>
    <cellStyle name="Normal 3 7 4 2 3 2" xfId="7135" xr:uid="{00000000-0005-0000-0000-0000FF710000}"/>
    <cellStyle name="Normal 3 7 4 2 4" xfId="7136" xr:uid="{00000000-0005-0000-0000-000000720000}"/>
    <cellStyle name="Normal 3 7 4 2 4 2" xfId="7137" xr:uid="{00000000-0005-0000-0000-000001720000}"/>
    <cellStyle name="Normal 3 7 4 2 5" xfId="7138" xr:uid="{00000000-0005-0000-0000-000002720000}"/>
    <cellStyle name="Normal 3 7 4 3" xfId="7139" xr:uid="{00000000-0005-0000-0000-000003720000}"/>
    <cellStyle name="Normal 3 7 4 3 2" xfId="7140" xr:uid="{00000000-0005-0000-0000-000004720000}"/>
    <cellStyle name="Normal 3 7 4 3 2 2" xfId="7141" xr:uid="{00000000-0005-0000-0000-000005720000}"/>
    <cellStyle name="Normal 3 7 4 3 3" xfId="7142" xr:uid="{00000000-0005-0000-0000-000006720000}"/>
    <cellStyle name="Normal 3 7 4 3 3 2" xfId="7143" xr:uid="{00000000-0005-0000-0000-000007720000}"/>
    <cellStyle name="Normal 3 7 4 3 4" xfId="7144" xr:uid="{00000000-0005-0000-0000-000008720000}"/>
    <cellStyle name="Normal 3 7 4 4" xfId="7145" xr:uid="{00000000-0005-0000-0000-000009720000}"/>
    <cellStyle name="Normal 3 7 4 4 2" xfId="7146" xr:uid="{00000000-0005-0000-0000-00000A720000}"/>
    <cellStyle name="Normal 3 7 4 4 3" xfId="7147" xr:uid="{00000000-0005-0000-0000-00000B720000}"/>
    <cellStyle name="Normal 3 7 4 5" xfId="7148" xr:uid="{00000000-0005-0000-0000-00000C720000}"/>
    <cellStyle name="Normal 3 7 4 5 2" xfId="7149" xr:uid="{00000000-0005-0000-0000-00000D720000}"/>
    <cellStyle name="Normal 3 7 4 6" xfId="7150" xr:uid="{00000000-0005-0000-0000-00000E720000}"/>
    <cellStyle name="Normal 3 7 4 6 2" xfId="7151" xr:uid="{00000000-0005-0000-0000-00000F720000}"/>
    <cellStyle name="Normal 3 7 4 7" xfId="7152" xr:uid="{00000000-0005-0000-0000-000010720000}"/>
    <cellStyle name="Normal 3 7 5" xfId="7153" xr:uid="{00000000-0005-0000-0000-000011720000}"/>
    <cellStyle name="Normal 3 7 5 2" xfId="7154" xr:uid="{00000000-0005-0000-0000-000012720000}"/>
    <cellStyle name="Normal 3 7 5 2 2" xfId="7155" xr:uid="{00000000-0005-0000-0000-000013720000}"/>
    <cellStyle name="Normal 3 7 5 2 2 2" xfId="7156" xr:uid="{00000000-0005-0000-0000-000014720000}"/>
    <cellStyle name="Normal 3 7 5 2 3" xfId="7157" xr:uid="{00000000-0005-0000-0000-000015720000}"/>
    <cellStyle name="Normal 3 7 5 2 3 2" xfId="7158" xr:uid="{00000000-0005-0000-0000-000016720000}"/>
    <cellStyle name="Normal 3 7 5 2 4" xfId="7159" xr:uid="{00000000-0005-0000-0000-000017720000}"/>
    <cellStyle name="Normal 3 7 5 3" xfId="7160" xr:uid="{00000000-0005-0000-0000-000018720000}"/>
    <cellStyle name="Normal 3 7 5 3 2" xfId="7161" xr:uid="{00000000-0005-0000-0000-000019720000}"/>
    <cellStyle name="Normal 3 7 5 3 3" xfId="7162" xr:uid="{00000000-0005-0000-0000-00001A720000}"/>
    <cellStyle name="Normal 3 7 5 4" xfId="7163" xr:uid="{00000000-0005-0000-0000-00001B720000}"/>
    <cellStyle name="Normal 3 7 5 4 2" xfId="7164" xr:uid="{00000000-0005-0000-0000-00001C720000}"/>
    <cellStyle name="Normal 3 7 5 5" xfId="7165" xr:uid="{00000000-0005-0000-0000-00001D720000}"/>
    <cellStyle name="Normal 3 7 5 5 2" xfId="7166" xr:uid="{00000000-0005-0000-0000-00001E720000}"/>
    <cellStyle name="Normal 3 7 5 6" xfId="7167" xr:uid="{00000000-0005-0000-0000-00001F720000}"/>
    <cellStyle name="Normal 3 7 6" xfId="7168" xr:uid="{00000000-0005-0000-0000-000020720000}"/>
    <cellStyle name="Normal 3 7 6 2" xfId="7169" xr:uid="{00000000-0005-0000-0000-000021720000}"/>
    <cellStyle name="Normal 3 7 6 2 2" xfId="7170" xr:uid="{00000000-0005-0000-0000-000022720000}"/>
    <cellStyle name="Normal 3 7 6 3" xfId="7171" xr:uid="{00000000-0005-0000-0000-000023720000}"/>
    <cellStyle name="Normal 3 7 6 3 2" xfId="7172" xr:uid="{00000000-0005-0000-0000-000024720000}"/>
    <cellStyle name="Normal 3 7 6 4" xfId="7173" xr:uid="{00000000-0005-0000-0000-000025720000}"/>
    <cellStyle name="Normal 3 7 7" xfId="7174" xr:uid="{00000000-0005-0000-0000-000026720000}"/>
    <cellStyle name="Normal 3 7 7 2" xfId="7175" xr:uid="{00000000-0005-0000-0000-000027720000}"/>
    <cellStyle name="Normal 3 7 7 2 2" xfId="7176" xr:uid="{00000000-0005-0000-0000-000028720000}"/>
    <cellStyle name="Normal 3 7 7 3" xfId="7177" xr:uid="{00000000-0005-0000-0000-000029720000}"/>
    <cellStyle name="Normal 3 7 7 3 2" xfId="7178" xr:uid="{00000000-0005-0000-0000-00002A720000}"/>
    <cellStyle name="Normal 3 7 7 4" xfId="7179" xr:uid="{00000000-0005-0000-0000-00002B720000}"/>
    <cellStyle name="Normal 3 7 8" xfId="7180" xr:uid="{00000000-0005-0000-0000-00002C720000}"/>
    <cellStyle name="Normal 3 7 8 2" xfId="7181" xr:uid="{00000000-0005-0000-0000-00002D720000}"/>
    <cellStyle name="Normal 3 7 8 3" xfId="7182" xr:uid="{00000000-0005-0000-0000-00002E720000}"/>
    <cellStyle name="Normal 3 7 9" xfId="7183" xr:uid="{00000000-0005-0000-0000-00002F720000}"/>
    <cellStyle name="Normal 3 7 9 2" xfId="7184" xr:uid="{00000000-0005-0000-0000-000030720000}"/>
    <cellStyle name="Normal 3 8" xfId="7185" xr:uid="{00000000-0005-0000-0000-000031720000}"/>
    <cellStyle name="Normal 3 8 10" xfId="7186" xr:uid="{00000000-0005-0000-0000-000032720000}"/>
    <cellStyle name="Normal 3 8 2" xfId="7187" xr:uid="{00000000-0005-0000-0000-000033720000}"/>
    <cellStyle name="Normal 3 8 2 2" xfId="7188" xr:uid="{00000000-0005-0000-0000-000034720000}"/>
    <cellStyle name="Normal 3 8 2 2 2" xfId="7189" xr:uid="{00000000-0005-0000-0000-000035720000}"/>
    <cellStyle name="Normal 3 8 2 2 2 2" xfId="7190" xr:uid="{00000000-0005-0000-0000-000036720000}"/>
    <cellStyle name="Normal 3 8 2 2 2 3" xfId="7191" xr:uid="{00000000-0005-0000-0000-000037720000}"/>
    <cellStyle name="Normal 3 8 2 2 3" xfId="7192" xr:uid="{00000000-0005-0000-0000-000038720000}"/>
    <cellStyle name="Normal 3 8 2 2 3 2" xfId="7193" xr:uid="{00000000-0005-0000-0000-000039720000}"/>
    <cellStyle name="Normal 3 8 2 2 4" xfId="7194" xr:uid="{00000000-0005-0000-0000-00003A720000}"/>
    <cellStyle name="Normal 3 8 2 2 4 2" xfId="7195" xr:uid="{00000000-0005-0000-0000-00003B720000}"/>
    <cellStyle name="Normal 3 8 2 2 5" xfId="7196" xr:uid="{00000000-0005-0000-0000-00003C720000}"/>
    <cellStyle name="Normal 3 8 2 3" xfId="7197" xr:uid="{00000000-0005-0000-0000-00003D720000}"/>
    <cellStyle name="Normal 3 8 2 3 2" xfId="7198" xr:uid="{00000000-0005-0000-0000-00003E720000}"/>
    <cellStyle name="Normal 3 8 2 3 2 2" xfId="7199" xr:uid="{00000000-0005-0000-0000-00003F720000}"/>
    <cellStyle name="Normal 3 8 2 3 3" xfId="7200" xr:uid="{00000000-0005-0000-0000-000040720000}"/>
    <cellStyle name="Normal 3 8 2 3 3 2" xfId="7201" xr:uid="{00000000-0005-0000-0000-000041720000}"/>
    <cellStyle name="Normal 3 8 2 3 4" xfId="7202" xr:uid="{00000000-0005-0000-0000-000042720000}"/>
    <cellStyle name="Normal 3 8 2 4" xfId="7203" xr:uid="{00000000-0005-0000-0000-000043720000}"/>
    <cellStyle name="Normal 3 8 2 4 2" xfId="7204" xr:uid="{00000000-0005-0000-0000-000044720000}"/>
    <cellStyle name="Normal 3 8 2 4 3" xfId="7205" xr:uid="{00000000-0005-0000-0000-000045720000}"/>
    <cellStyle name="Normal 3 8 2 5" xfId="7206" xr:uid="{00000000-0005-0000-0000-000046720000}"/>
    <cellStyle name="Normal 3 8 2 5 2" xfId="7207" xr:uid="{00000000-0005-0000-0000-000047720000}"/>
    <cellStyle name="Normal 3 8 2 6" xfId="7208" xr:uid="{00000000-0005-0000-0000-000048720000}"/>
    <cellStyle name="Normal 3 8 2 6 2" xfId="7209" xr:uid="{00000000-0005-0000-0000-000049720000}"/>
    <cellStyle name="Normal 3 8 2 7" xfId="7210" xr:uid="{00000000-0005-0000-0000-00004A720000}"/>
    <cellStyle name="Normal 3 8 3" xfId="7211" xr:uid="{00000000-0005-0000-0000-00004B720000}"/>
    <cellStyle name="Normal 3 8 3 2" xfId="7212" xr:uid="{00000000-0005-0000-0000-00004C720000}"/>
    <cellStyle name="Normal 3 8 3 2 2" xfId="7213" xr:uid="{00000000-0005-0000-0000-00004D720000}"/>
    <cellStyle name="Normal 3 8 3 2 2 2" xfId="7214" xr:uid="{00000000-0005-0000-0000-00004E720000}"/>
    <cellStyle name="Normal 3 8 3 2 2 3" xfId="7215" xr:uid="{00000000-0005-0000-0000-00004F720000}"/>
    <cellStyle name="Normal 3 8 3 2 3" xfId="7216" xr:uid="{00000000-0005-0000-0000-000050720000}"/>
    <cellStyle name="Normal 3 8 3 2 3 2" xfId="7217" xr:uid="{00000000-0005-0000-0000-000051720000}"/>
    <cellStyle name="Normal 3 8 3 2 4" xfId="7218" xr:uid="{00000000-0005-0000-0000-000052720000}"/>
    <cellStyle name="Normal 3 8 3 2 4 2" xfId="7219" xr:uid="{00000000-0005-0000-0000-000053720000}"/>
    <cellStyle name="Normal 3 8 3 2 5" xfId="7220" xr:uid="{00000000-0005-0000-0000-000054720000}"/>
    <cellStyle name="Normal 3 8 3 3" xfId="7221" xr:uid="{00000000-0005-0000-0000-000055720000}"/>
    <cellStyle name="Normal 3 8 3 3 2" xfId="7222" xr:uid="{00000000-0005-0000-0000-000056720000}"/>
    <cellStyle name="Normal 3 8 3 3 2 2" xfId="7223" xr:uid="{00000000-0005-0000-0000-000057720000}"/>
    <cellStyle name="Normal 3 8 3 3 3" xfId="7224" xr:uid="{00000000-0005-0000-0000-000058720000}"/>
    <cellStyle name="Normal 3 8 3 3 3 2" xfId="7225" xr:uid="{00000000-0005-0000-0000-000059720000}"/>
    <cellStyle name="Normal 3 8 3 3 4" xfId="7226" xr:uid="{00000000-0005-0000-0000-00005A720000}"/>
    <cellStyle name="Normal 3 8 3 4" xfId="7227" xr:uid="{00000000-0005-0000-0000-00005B720000}"/>
    <cellStyle name="Normal 3 8 3 4 2" xfId="7228" xr:uid="{00000000-0005-0000-0000-00005C720000}"/>
    <cellStyle name="Normal 3 8 3 4 3" xfId="7229" xr:uid="{00000000-0005-0000-0000-00005D720000}"/>
    <cellStyle name="Normal 3 8 3 5" xfId="7230" xr:uid="{00000000-0005-0000-0000-00005E720000}"/>
    <cellStyle name="Normal 3 8 3 5 2" xfId="7231" xr:uid="{00000000-0005-0000-0000-00005F720000}"/>
    <cellStyle name="Normal 3 8 3 6" xfId="7232" xr:uid="{00000000-0005-0000-0000-000060720000}"/>
    <cellStyle name="Normal 3 8 3 6 2" xfId="7233" xr:uid="{00000000-0005-0000-0000-000061720000}"/>
    <cellStyle name="Normal 3 8 3 7" xfId="7234" xr:uid="{00000000-0005-0000-0000-000062720000}"/>
    <cellStyle name="Normal 3 8 4" xfId="7235" xr:uid="{00000000-0005-0000-0000-000063720000}"/>
    <cellStyle name="Normal 3 8 4 2" xfId="7236" xr:uid="{00000000-0005-0000-0000-000064720000}"/>
    <cellStyle name="Normal 3 8 4 2 2" xfId="7237" xr:uid="{00000000-0005-0000-0000-000065720000}"/>
    <cellStyle name="Normal 3 8 4 2 2 2" xfId="7238" xr:uid="{00000000-0005-0000-0000-000066720000}"/>
    <cellStyle name="Normal 3 8 4 2 3" xfId="7239" xr:uid="{00000000-0005-0000-0000-000067720000}"/>
    <cellStyle name="Normal 3 8 4 2 3 2" xfId="7240" xr:uid="{00000000-0005-0000-0000-000068720000}"/>
    <cellStyle name="Normal 3 8 4 2 4" xfId="7241" xr:uid="{00000000-0005-0000-0000-000069720000}"/>
    <cellStyle name="Normal 3 8 4 3" xfId="7242" xr:uid="{00000000-0005-0000-0000-00006A720000}"/>
    <cellStyle name="Normal 3 8 4 3 2" xfId="7243" xr:uid="{00000000-0005-0000-0000-00006B720000}"/>
    <cellStyle name="Normal 3 8 4 3 3" xfId="7244" xr:uid="{00000000-0005-0000-0000-00006C720000}"/>
    <cellStyle name="Normal 3 8 4 4" xfId="7245" xr:uid="{00000000-0005-0000-0000-00006D720000}"/>
    <cellStyle name="Normal 3 8 4 4 2" xfId="7246" xr:uid="{00000000-0005-0000-0000-00006E720000}"/>
    <cellStyle name="Normal 3 8 4 5" xfId="7247" xr:uid="{00000000-0005-0000-0000-00006F720000}"/>
    <cellStyle name="Normal 3 8 4 5 2" xfId="7248" xr:uid="{00000000-0005-0000-0000-000070720000}"/>
    <cellStyle name="Normal 3 8 4 6" xfId="7249" xr:uid="{00000000-0005-0000-0000-000071720000}"/>
    <cellStyle name="Normal 3 8 5" xfId="7250" xr:uid="{00000000-0005-0000-0000-000072720000}"/>
    <cellStyle name="Normal 3 8 5 2" xfId="7251" xr:uid="{00000000-0005-0000-0000-000073720000}"/>
    <cellStyle name="Normal 3 8 5 2 2" xfId="7252" xr:uid="{00000000-0005-0000-0000-000074720000}"/>
    <cellStyle name="Normal 3 8 5 3" xfId="7253" xr:uid="{00000000-0005-0000-0000-000075720000}"/>
    <cellStyle name="Normal 3 8 5 3 2" xfId="7254" xr:uid="{00000000-0005-0000-0000-000076720000}"/>
    <cellStyle name="Normal 3 8 5 4" xfId="7255" xr:uid="{00000000-0005-0000-0000-000077720000}"/>
    <cellStyle name="Normal 3 8 6" xfId="7256" xr:uid="{00000000-0005-0000-0000-000078720000}"/>
    <cellStyle name="Normal 3 8 6 2" xfId="7257" xr:uid="{00000000-0005-0000-0000-000079720000}"/>
    <cellStyle name="Normal 3 8 6 2 2" xfId="7258" xr:uid="{00000000-0005-0000-0000-00007A720000}"/>
    <cellStyle name="Normal 3 8 6 3" xfId="7259" xr:uid="{00000000-0005-0000-0000-00007B720000}"/>
    <cellStyle name="Normal 3 8 6 3 2" xfId="7260" xr:uid="{00000000-0005-0000-0000-00007C720000}"/>
    <cellStyle name="Normal 3 8 6 4" xfId="7261" xr:uid="{00000000-0005-0000-0000-00007D720000}"/>
    <cellStyle name="Normal 3 8 7" xfId="7262" xr:uid="{00000000-0005-0000-0000-00007E720000}"/>
    <cellStyle name="Normal 3 8 7 2" xfId="7263" xr:uid="{00000000-0005-0000-0000-00007F720000}"/>
    <cellStyle name="Normal 3 8 7 3" xfId="7264" xr:uid="{00000000-0005-0000-0000-000080720000}"/>
    <cellStyle name="Normal 3 8 8" xfId="7265" xr:uid="{00000000-0005-0000-0000-000081720000}"/>
    <cellStyle name="Normal 3 8 8 2" xfId="7266" xr:uid="{00000000-0005-0000-0000-000082720000}"/>
    <cellStyle name="Normal 3 8 9" xfId="7267" xr:uid="{00000000-0005-0000-0000-000083720000}"/>
    <cellStyle name="Normal 3 8 9 2" xfId="7268" xr:uid="{00000000-0005-0000-0000-000084720000}"/>
    <cellStyle name="Normal 3 9" xfId="7269" xr:uid="{00000000-0005-0000-0000-000085720000}"/>
    <cellStyle name="Normal 3 9 2" xfId="7270" xr:uid="{00000000-0005-0000-0000-000086720000}"/>
    <cellStyle name="Normal 3 9 2 2" xfId="7271" xr:uid="{00000000-0005-0000-0000-000087720000}"/>
    <cellStyle name="Normal 3 9 2 2 2" xfId="7272" xr:uid="{00000000-0005-0000-0000-000088720000}"/>
    <cellStyle name="Normal 3 9 2 2 2 2" xfId="7273" xr:uid="{00000000-0005-0000-0000-000089720000}"/>
    <cellStyle name="Normal 3 9 2 2 2 3" xfId="7274" xr:uid="{00000000-0005-0000-0000-00008A720000}"/>
    <cellStyle name="Normal 3 9 2 2 3" xfId="7275" xr:uid="{00000000-0005-0000-0000-00008B720000}"/>
    <cellStyle name="Normal 3 9 2 2 3 2" xfId="7276" xr:uid="{00000000-0005-0000-0000-00008C720000}"/>
    <cellStyle name="Normal 3 9 2 2 4" xfId="7277" xr:uid="{00000000-0005-0000-0000-00008D720000}"/>
    <cellStyle name="Normal 3 9 2 2 4 2" xfId="7278" xr:uid="{00000000-0005-0000-0000-00008E720000}"/>
    <cellStyle name="Normal 3 9 2 2 5" xfId="7279" xr:uid="{00000000-0005-0000-0000-00008F720000}"/>
    <cellStyle name="Normal 3 9 2 3" xfId="7280" xr:uid="{00000000-0005-0000-0000-000090720000}"/>
    <cellStyle name="Normal 3 9 2 3 2" xfId="7281" xr:uid="{00000000-0005-0000-0000-000091720000}"/>
    <cellStyle name="Normal 3 9 2 3 2 2" xfId="7282" xr:uid="{00000000-0005-0000-0000-000092720000}"/>
    <cellStyle name="Normal 3 9 2 3 3" xfId="7283" xr:uid="{00000000-0005-0000-0000-000093720000}"/>
    <cellStyle name="Normal 3 9 2 3 3 2" xfId="7284" xr:uid="{00000000-0005-0000-0000-000094720000}"/>
    <cellStyle name="Normal 3 9 2 3 4" xfId="7285" xr:uid="{00000000-0005-0000-0000-000095720000}"/>
    <cellStyle name="Normal 3 9 2 4" xfId="7286" xr:uid="{00000000-0005-0000-0000-000096720000}"/>
    <cellStyle name="Normal 3 9 2 4 2" xfId="7287" xr:uid="{00000000-0005-0000-0000-000097720000}"/>
    <cellStyle name="Normal 3 9 2 4 3" xfId="7288" xr:uid="{00000000-0005-0000-0000-000098720000}"/>
    <cellStyle name="Normal 3 9 2 5" xfId="7289" xr:uid="{00000000-0005-0000-0000-000099720000}"/>
    <cellStyle name="Normal 3 9 2 5 2" xfId="7290" xr:uid="{00000000-0005-0000-0000-00009A720000}"/>
    <cellStyle name="Normal 3 9 2 6" xfId="7291" xr:uid="{00000000-0005-0000-0000-00009B720000}"/>
    <cellStyle name="Normal 3 9 2 6 2" xfId="7292" xr:uid="{00000000-0005-0000-0000-00009C720000}"/>
    <cellStyle name="Normal 3 9 2 7" xfId="7293" xr:uid="{00000000-0005-0000-0000-00009D720000}"/>
    <cellStyle name="Normal 3 9 3" xfId="7294" xr:uid="{00000000-0005-0000-0000-00009E720000}"/>
    <cellStyle name="Normal 3 9 3 2" xfId="7295" xr:uid="{00000000-0005-0000-0000-00009F720000}"/>
    <cellStyle name="Normal 3 9 3 2 2" xfId="7296" xr:uid="{00000000-0005-0000-0000-0000A0720000}"/>
    <cellStyle name="Normal 3 9 3 2 3" xfId="7297" xr:uid="{00000000-0005-0000-0000-0000A1720000}"/>
    <cellStyle name="Normal 3 9 3 3" xfId="7298" xr:uid="{00000000-0005-0000-0000-0000A2720000}"/>
    <cellStyle name="Normal 3 9 3 3 2" xfId="7299" xr:uid="{00000000-0005-0000-0000-0000A3720000}"/>
    <cellStyle name="Normal 3 9 3 4" xfId="7300" xr:uid="{00000000-0005-0000-0000-0000A4720000}"/>
    <cellStyle name="Normal 3 9 3 4 2" xfId="7301" xr:uid="{00000000-0005-0000-0000-0000A5720000}"/>
    <cellStyle name="Normal 3 9 3 5" xfId="7302" xr:uid="{00000000-0005-0000-0000-0000A6720000}"/>
    <cellStyle name="Normal 3 9 4" xfId="7303" xr:uid="{00000000-0005-0000-0000-0000A7720000}"/>
    <cellStyle name="Normal 3 9 4 2" xfId="7304" xr:uid="{00000000-0005-0000-0000-0000A8720000}"/>
    <cellStyle name="Normal 3 9 4 2 2" xfId="7305" xr:uid="{00000000-0005-0000-0000-0000A9720000}"/>
    <cellStyle name="Normal 3 9 4 3" xfId="7306" xr:uid="{00000000-0005-0000-0000-0000AA720000}"/>
    <cellStyle name="Normal 3 9 4 3 2" xfId="7307" xr:uid="{00000000-0005-0000-0000-0000AB720000}"/>
    <cellStyle name="Normal 3 9 4 4" xfId="7308" xr:uid="{00000000-0005-0000-0000-0000AC720000}"/>
    <cellStyle name="Normal 3 9 5" xfId="7309" xr:uid="{00000000-0005-0000-0000-0000AD720000}"/>
    <cellStyle name="Normal 3 9 5 2" xfId="7310" xr:uid="{00000000-0005-0000-0000-0000AE720000}"/>
    <cellStyle name="Normal 3 9 5 3" xfId="7311" xr:uid="{00000000-0005-0000-0000-0000AF720000}"/>
    <cellStyle name="Normal 3 9 6" xfId="7312" xr:uid="{00000000-0005-0000-0000-0000B0720000}"/>
    <cellStyle name="Normal 3 9 6 2" xfId="7313" xr:uid="{00000000-0005-0000-0000-0000B1720000}"/>
    <cellStyle name="Normal 3 9 7" xfId="7314" xr:uid="{00000000-0005-0000-0000-0000B2720000}"/>
    <cellStyle name="Normal 3 9 7 2" xfId="7315" xr:uid="{00000000-0005-0000-0000-0000B3720000}"/>
    <cellStyle name="Normal 3 9 8" xfId="7316" xr:uid="{00000000-0005-0000-0000-0000B4720000}"/>
    <cellStyle name="Normal 30" xfId="12006" xr:uid="{00000000-0005-0000-0000-0000B5720000}"/>
    <cellStyle name="Normal 30 2" xfId="12007" xr:uid="{00000000-0005-0000-0000-0000B6720000}"/>
    <cellStyle name="Normal 30 3" xfId="35056" xr:uid="{00000000-0005-0000-0000-0000B7720000}"/>
    <cellStyle name="Normal 31" xfId="12008" xr:uid="{00000000-0005-0000-0000-0000B8720000}"/>
    <cellStyle name="Normal 31 2" xfId="12009" xr:uid="{00000000-0005-0000-0000-0000B9720000}"/>
    <cellStyle name="Normal 31 3" xfId="35057" xr:uid="{00000000-0005-0000-0000-0000BA720000}"/>
    <cellStyle name="Normal 32" xfId="12010" xr:uid="{00000000-0005-0000-0000-0000BB720000}"/>
    <cellStyle name="Normal 32 2" xfId="12011" xr:uid="{00000000-0005-0000-0000-0000BC720000}"/>
    <cellStyle name="Normal 32 3" xfId="35058" xr:uid="{00000000-0005-0000-0000-0000BD720000}"/>
    <cellStyle name="Normal 33" xfId="12012" xr:uid="{00000000-0005-0000-0000-0000BE720000}"/>
    <cellStyle name="Normal 33 2" xfId="12013" xr:uid="{00000000-0005-0000-0000-0000BF720000}"/>
    <cellStyle name="Normal 33 3" xfId="35059" xr:uid="{00000000-0005-0000-0000-0000C0720000}"/>
    <cellStyle name="Normal 34" xfId="12014" xr:uid="{00000000-0005-0000-0000-0000C1720000}"/>
    <cellStyle name="Normal 34 2" xfId="12015" xr:uid="{00000000-0005-0000-0000-0000C2720000}"/>
    <cellStyle name="Normal 34 3" xfId="35060" xr:uid="{00000000-0005-0000-0000-0000C3720000}"/>
    <cellStyle name="Normal 35" xfId="12016" xr:uid="{00000000-0005-0000-0000-0000C4720000}"/>
    <cellStyle name="Normal 35 2" xfId="12017" xr:uid="{00000000-0005-0000-0000-0000C5720000}"/>
    <cellStyle name="Normal 35 3" xfId="12018" xr:uid="{00000000-0005-0000-0000-0000C6720000}"/>
    <cellStyle name="Normal 35 4" xfId="35061" xr:uid="{00000000-0005-0000-0000-0000C7720000}"/>
    <cellStyle name="Normal 36" xfId="12019" xr:uid="{00000000-0005-0000-0000-0000C8720000}"/>
    <cellStyle name="Normal 36 2" xfId="12020" xr:uid="{00000000-0005-0000-0000-0000C9720000}"/>
    <cellStyle name="Normal 36 3" xfId="35062" xr:uid="{00000000-0005-0000-0000-0000CA720000}"/>
    <cellStyle name="Normal 37" xfId="12021" xr:uid="{00000000-0005-0000-0000-0000CB720000}"/>
    <cellStyle name="Normal 37 2" xfId="12022" xr:uid="{00000000-0005-0000-0000-0000CC720000}"/>
    <cellStyle name="Normal 37 3" xfId="35063" xr:uid="{00000000-0005-0000-0000-0000CD720000}"/>
    <cellStyle name="Normal 38" xfId="12023" xr:uid="{00000000-0005-0000-0000-0000CE720000}"/>
    <cellStyle name="Normal 38 2" xfId="35065" xr:uid="{00000000-0005-0000-0000-0000CF720000}"/>
    <cellStyle name="Normal 38 3" xfId="35064" xr:uid="{00000000-0005-0000-0000-0000D0720000}"/>
    <cellStyle name="Normal 39" xfId="12024" xr:uid="{00000000-0005-0000-0000-0000D1720000}"/>
    <cellStyle name="Normal 39 2" xfId="35066" xr:uid="{00000000-0005-0000-0000-0000D2720000}"/>
    <cellStyle name="Normal 4" xfId="7317" xr:uid="{00000000-0005-0000-0000-0000D3720000}"/>
    <cellStyle name="Normal 4 2" xfId="12025" xr:uid="{00000000-0005-0000-0000-0000D4720000}"/>
    <cellStyle name="Normal 4 2 2" xfId="12026" xr:uid="{00000000-0005-0000-0000-0000D5720000}"/>
    <cellStyle name="Normal 4 2 2 2" xfId="12027" xr:uid="{00000000-0005-0000-0000-0000D6720000}"/>
    <cellStyle name="Normal 4 2 2 2 2" xfId="35067" xr:uid="{00000000-0005-0000-0000-0000D7720000}"/>
    <cellStyle name="Normal 4 2 2 3" xfId="12028" xr:uid="{00000000-0005-0000-0000-0000D8720000}"/>
    <cellStyle name="Normal 4 2 3" xfId="17690" xr:uid="{00000000-0005-0000-0000-0000D9720000}"/>
    <cellStyle name="Normal 4 2 4" xfId="17675" xr:uid="{00000000-0005-0000-0000-0000DA720000}"/>
    <cellStyle name="Normal 4 3" xfId="12029" xr:uid="{00000000-0005-0000-0000-0000DB720000}"/>
    <cellStyle name="Normal 4 3 2" xfId="12030" xr:uid="{00000000-0005-0000-0000-0000DC720000}"/>
    <cellStyle name="Normal 4 3 2 2" xfId="12031" xr:uid="{00000000-0005-0000-0000-0000DD720000}"/>
    <cellStyle name="Normal 4 3 2 3" xfId="12032" xr:uid="{00000000-0005-0000-0000-0000DE720000}"/>
    <cellStyle name="Normal 4 3 2 4" xfId="35069" xr:uid="{00000000-0005-0000-0000-0000DF720000}"/>
    <cellStyle name="Normal 4 3 3" xfId="12033" xr:uid="{00000000-0005-0000-0000-0000E0720000}"/>
    <cellStyle name="Normal 4 3 3 2" xfId="35070" xr:uid="{00000000-0005-0000-0000-0000E1720000}"/>
    <cellStyle name="Normal 4 3 4" xfId="35068" xr:uid="{00000000-0005-0000-0000-0000E2720000}"/>
    <cellStyle name="Normal 4 4" xfId="12034" xr:uid="{00000000-0005-0000-0000-0000E3720000}"/>
    <cellStyle name="Normal 4 4 2" xfId="12035" xr:uid="{00000000-0005-0000-0000-0000E4720000}"/>
    <cellStyle name="Normal 4 4 2 2" xfId="12036" xr:uid="{00000000-0005-0000-0000-0000E5720000}"/>
    <cellStyle name="Normal 4 4 2 3" xfId="35072" xr:uid="{00000000-0005-0000-0000-0000E6720000}"/>
    <cellStyle name="Normal 4 4 3" xfId="12037" xr:uid="{00000000-0005-0000-0000-0000E7720000}"/>
    <cellStyle name="Normal 4 4 4" xfId="12038" xr:uid="{00000000-0005-0000-0000-0000E8720000}"/>
    <cellStyle name="Normal 4 4 5" xfId="35071" xr:uid="{00000000-0005-0000-0000-0000E9720000}"/>
    <cellStyle name="Normal 4 5" xfId="12039" xr:uid="{00000000-0005-0000-0000-0000EA720000}"/>
    <cellStyle name="Normal 4 5 2" xfId="12040" xr:uid="{00000000-0005-0000-0000-0000EB720000}"/>
    <cellStyle name="Normal 4 5 2 2" xfId="12041" xr:uid="{00000000-0005-0000-0000-0000EC720000}"/>
    <cellStyle name="Normal 4 5 3" xfId="12042" xr:uid="{00000000-0005-0000-0000-0000ED720000}"/>
    <cellStyle name="Normal 4 5 4" xfId="12043" xr:uid="{00000000-0005-0000-0000-0000EE720000}"/>
    <cellStyle name="Normal 4 5 5" xfId="35073" xr:uid="{00000000-0005-0000-0000-0000EF720000}"/>
    <cellStyle name="Normal 4 6" xfId="17673" xr:uid="{00000000-0005-0000-0000-0000F0720000}"/>
    <cellStyle name="Normal 40" xfId="12044" xr:uid="{00000000-0005-0000-0000-0000F1720000}"/>
    <cellStyle name="Normal 40 2" xfId="35074" xr:uid="{00000000-0005-0000-0000-0000F2720000}"/>
    <cellStyle name="Normal 41" xfId="12045" xr:uid="{00000000-0005-0000-0000-0000F3720000}"/>
    <cellStyle name="Normal 41 2" xfId="35075" xr:uid="{00000000-0005-0000-0000-0000F4720000}"/>
    <cellStyle name="Normal 42" xfId="12046" xr:uid="{00000000-0005-0000-0000-0000F5720000}"/>
    <cellStyle name="Normal 42 2" xfId="35076" xr:uid="{00000000-0005-0000-0000-0000F6720000}"/>
    <cellStyle name="Normal 43" xfId="12047" xr:uid="{00000000-0005-0000-0000-0000F7720000}"/>
    <cellStyle name="Normal 43 2" xfId="35077" xr:uid="{00000000-0005-0000-0000-0000F8720000}"/>
    <cellStyle name="Normal 44" xfId="12048" xr:uid="{00000000-0005-0000-0000-0000F9720000}"/>
    <cellStyle name="Normal 44 2" xfId="35078" xr:uid="{00000000-0005-0000-0000-0000FA720000}"/>
    <cellStyle name="Normal 45" xfId="12049" xr:uid="{00000000-0005-0000-0000-0000FB720000}"/>
    <cellStyle name="Normal 45 2" xfId="35079" xr:uid="{00000000-0005-0000-0000-0000FC720000}"/>
    <cellStyle name="Normal 46" xfId="12050" xr:uid="{00000000-0005-0000-0000-0000FD720000}"/>
    <cellStyle name="Normal 46 2" xfId="35080" xr:uid="{00000000-0005-0000-0000-0000FE720000}"/>
    <cellStyle name="Normal 47" xfId="12051" xr:uid="{00000000-0005-0000-0000-0000FF720000}"/>
    <cellStyle name="Normal 47 2" xfId="35081" xr:uid="{00000000-0005-0000-0000-000000730000}"/>
    <cellStyle name="Normal 48" xfId="12052" xr:uid="{00000000-0005-0000-0000-000001730000}"/>
    <cellStyle name="Normal 48 2" xfId="12053" xr:uid="{00000000-0005-0000-0000-000002730000}"/>
    <cellStyle name="Normal 48 3" xfId="35082" xr:uid="{00000000-0005-0000-0000-000003730000}"/>
    <cellStyle name="Normal 49" xfId="12054" xr:uid="{00000000-0005-0000-0000-000004730000}"/>
    <cellStyle name="Normal 49 2" xfId="35083" xr:uid="{00000000-0005-0000-0000-000005730000}"/>
    <cellStyle name="Normal 5" xfId="7318" xr:uid="{00000000-0005-0000-0000-000006730000}"/>
    <cellStyle name="Normal 5 10" xfId="35084" xr:uid="{00000000-0005-0000-0000-000007730000}"/>
    <cellStyle name="Normal 5 10 2" xfId="35085" xr:uid="{00000000-0005-0000-0000-000008730000}"/>
    <cellStyle name="Normal 5 10 2 2" xfId="35086" xr:uid="{00000000-0005-0000-0000-000009730000}"/>
    <cellStyle name="Normal 5 10 3" xfId="35087" xr:uid="{00000000-0005-0000-0000-00000A730000}"/>
    <cellStyle name="Normal 5 10 3 2" xfId="35088" xr:uid="{00000000-0005-0000-0000-00000B730000}"/>
    <cellStyle name="Normal 5 10 4" xfId="35089" xr:uid="{00000000-0005-0000-0000-00000C730000}"/>
    <cellStyle name="Normal 5 10 4 2" xfId="35090" xr:uid="{00000000-0005-0000-0000-00000D730000}"/>
    <cellStyle name="Normal 5 10 5" xfId="35091" xr:uid="{00000000-0005-0000-0000-00000E730000}"/>
    <cellStyle name="Normal 5 10 6" xfId="35092" xr:uid="{00000000-0005-0000-0000-00000F730000}"/>
    <cellStyle name="Normal 5 11" xfId="35093" xr:uid="{00000000-0005-0000-0000-000010730000}"/>
    <cellStyle name="Normal 5 11 2" xfId="35094" xr:uid="{00000000-0005-0000-0000-000011730000}"/>
    <cellStyle name="Normal 5 11 2 2" xfId="35095" xr:uid="{00000000-0005-0000-0000-000012730000}"/>
    <cellStyle name="Normal 5 11 3" xfId="35096" xr:uid="{00000000-0005-0000-0000-000013730000}"/>
    <cellStyle name="Normal 5 11 3 2" xfId="35097" xr:uid="{00000000-0005-0000-0000-000014730000}"/>
    <cellStyle name="Normal 5 11 4" xfId="35098" xr:uid="{00000000-0005-0000-0000-000015730000}"/>
    <cellStyle name="Normal 5 11 5" xfId="35099" xr:uid="{00000000-0005-0000-0000-000016730000}"/>
    <cellStyle name="Normal 5 12" xfId="35100" xr:uid="{00000000-0005-0000-0000-000017730000}"/>
    <cellStyle name="Normal 5 12 2" xfId="35101" xr:uid="{00000000-0005-0000-0000-000018730000}"/>
    <cellStyle name="Normal 5 13" xfId="35102" xr:uid="{00000000-0005-0000-0000-000019730000}"/>
    <cellStyle name="Normal 5 13 2" xfId="35103" xr:uid="{00000000-0005-0000-0000-00001A730000}"/>
    <cellStyle name="Normal 5 14" xfId="35104" xr:uid="{00000000-0005-0000-0000-00001B730000}"/>
    <cellStyle name="Normal 5 14 2" xfId="35105" xr:uid="{00000000-0005-0000-0000-00001C730000}"/>
    <cellStyle name="Normal 5 15" xfId="35106" xr:uid="{00000000-0005-0000-0000-00001D730000}"/>
    <cellStyle name="Normal 5 16" xfId="35107" xr:uid="{00000000-0005-0000-0000-00001E730000}"/>
    <cellStyle name="Normal 5 17" xfId="35108" xr:uid="{00000000-0005-0000-0000-00001F730000}"/>
    <cellStyle name="Normal 5 18" xfId="17676" xr:uid="{00000000-0005-0000-0000-000020730000}"/>
    <cellStyle name="Normal 5 2" xfId="12055" xr:uid="{00000000-0005-0000-0000-000021730000}"/>
    <cellStyle name="Normal 5 2 10" xfId="35109" xr:uid="{00000000-0005-0000-0000-000022730000}"/>
    <cellStyle name="Normal 5 2 10 2" xfId="35110" xr:uid="{00000000-0005-0000-0000-000023730000}"/>
    <cellStyle name="Normal 5 2 11" xfId="35111" xr:uid="{00000000-0005-0000-0000-000024730000}"/>
    <cellStyle name="Normal 5 2 11 2" xfId="35112" xr:uid="{00000000-0005-0000-0000-000025730000}"/>
    <cellStyle name="Normal 5 2 12" xfId="35113" xr:uid="{00000000-0005-0000-0000-000026730000}"/>
    <cellStyle name="Normal 5 2 13" xfId="35114" xr:uid="{00000000-0005-0000-0000-000027730000}"/>
    <cellStyle name="Normal 5 2 14" xfId="17692" xr:uid="{00000000-0005-0000-0000-000028730000}"/>
    <cellStyle name="Normal 5 2 2" xfId="12056" xr:uid="{00000000-0005-0000-0000-000029730000}"/>
    <cellStyle name="Normal 5 2 2 10" xfId="35116" xr:uid="{00000000-0005-0000-0000-00002A730000}"/>
    <cellStyle name="Normal 5 2 2 11" xfId="35117" xr:uid="{00000000-0005-0000-0000-00002B730000}"/>
    <cellStyle name="Normal 5 2 2 12" xfId="35115" xr:uid="{00000000-0005-0000-0000-00002C730000}"/>
    <cellStyle name="Normal 5 2 2 2" xfId="12057" xr:uid="{00000000-0005-0000-0000-00002D730000}"/>
    <cellStyle name="Normal 5 2 2 2 2" xfId="12058" xr:uid="{00000000-0005-0000-0000-00002E730000}"/>
    <cellStyle name="Normal 5 2 2 2 2 2" xfId="35120" xr:uid="{00000000-0005-0000-0000-00002F730000}"/>
    <cellStyle name="Normal 5 2 2 2 2 3" xfId="35119" xr:uid="{00000000-0005-0000-0000-000030730000}"/>
    <cellStyle name="Normal 5 2 2 2 3" xfId="35121" xr:uid="{00000000-0005-0000-0000-000031730000}"/>
    <cellStyle name="Normal 5 2 2 2 3 2" xfId="35122" xr:uid="{00000000-0005-0000-0000-000032730000}"/>
    <cellStyle name="Normal 5 2 2 2 4" xfId="35123" xr:uid="{00000000-0005-0000-0000-000033730000}"/>
    <cellStyle name="Normal 5 2 2 2 4 2" xfId="35124" xr:uid="{00000000-0005-0000-0000-000034730000}"/>
    <cellStyle name="Normal 5 2 2 2 5" xfId="35125" xr:uid="{00000000-0005-0000-0000-000035730000}"/>
    <cellStyle name="Normal 5 2 2 2 6" xfId="35126" xr:uid="{00000000-0005-0000-0000-000036730000}"/>
    <cellStyle name="Normal 5 2 2 2 7" xfId="35118" xr:uid="{00000000-0005-0000-0000-000037730000}"/>
    <cellStyle name="Normal 5 2 2 3" xfId="12059" xr:uid="{00000000-0005-0000-0000-000038730000}"/>
    <cellStyle name="Normal 5 2 2 3 2" xfId="35128" xr:uid="{00000000-0005-0000-0000-000039730000}"/>
    <cellStyle name="Normal 5 2 2 3 2 2" xfId="35129" xr:uid="{00000000-0005-0000-0000-00003A730000}"/>
    <cellStyle name="Normal 5 2 2 3 3" xfId="35130" xr:uid="{00000000-0005-0000-0000-00003B730000}"/>
    <cellStyle name="Normal 5 2 2 3 3 2" xfId="35131" xr:uid="{00000000-0005-0000-0000-00003C730000}"/>
    <cellStyle name="Normal 5 2 2 3 4" xfId="35132" xr:uid="{00000000-0005-0000-0000-00003D730000}"/>
    <cellStyle name="Normal 5 2 2 3 4 2" xfId="35133" xr:uid="{00000000-0005-0000-0000-00003E730000}"/>
    <cellStyle name="Normal 5 2 2 3 5" xfId="35134" xr:uid="{00000000-0005-0000-0000-00003F730000}"/>
    <cellStyle name="Normal 5 2 2 3 6" xfId="35135" xr:uid="{00000000-0005-0000-0000-000040730000}"/>
    <cellStyle name="Normal 5 2 2 3 7" xfId="35127" xr:uid="{00000000-0005-0000-0000-000041730000}"/>
    <cellStyle name="Normal 5 2 2 4" xfId="12060" xr:uid="{00000000-0005-0000-0000-000042730000}"/>
    <cellStyle name="Normal 5 2 2 4 2" xfId="35137" xr:uid="{00000000-0005-0000-0000-000043730000}"/>
    <cellStyle name="Normal 5 2 2 4 2 2" xfId="35138" xr:uid="{00000000-0005-0000-0000-000044730000}"/>
    <cellStyle name="Normal 5 2 2 4 3" xfId="35139" xr:uid="{00000000-0005-0000-0000-000045730000}"/>
    <cellStyle name="Normal 5 2 2 4 3 2" xfId="35140" xr:uid="{00000000-0005-0000-0000-000046730000}"/>
    <cellStyle name="Normal 5 2 2 4 4" xfId="35141" xr:uid="{00000000-0005-0000-0000-000047730000}"/>
    <cellStyle name="Normal 5 2 2 4 4 2" xfId="35142" xr:uid="{00000000-0005-0000-0000-000048730000}"/>
    <cellStyle name="Normal 5 2 2 4 5" xfId="35143" xr:uid="{00000000-0005-0000-0000-000049730000}"/>
    <cellStyle name="Normal 5 2 2 4 6" xfId="35144" xr:uid="{00000000-0005-0000-0000-00004A730000}"/>
    <cellStyle name="Normal 5 2 2 4 7" xfId="35136" xr:uid="{00000000-0005-0000-0000-00004B730000}"/>
    <cellStyle name="Normal 5 2 2 5" xfId="35145" xr:uid="{00000000-0005-0000-0000-00004C730000}"/>
    <cellStyle name="Normal 5 2 2 5 2" xfId="35146" xr:uid="{00000000-0005-0000-0000-00004D730000}"/>
    <cellStyle name="Normal 5 2 2 5 2 2" xfId="35147" xr:uid="{00000000-0005-0000-0000-00004E730000}"/>
    <cellStyle name="Normal 5 2 2 5 3" xfId="35148" xr:uid="{00000000-0005-0000-0000-00004F730000}"/>
    <cellStyle name="Normal 5 2 2 5 3 2" xfId="35149" xr:uid="{00000000-0005-0000-0000-000050730000}"/>
    <cellStyle name="Normal 5 2 2 5 4" xfId="35150" xr:uid="{00000000-0005-0000-0000-000051730000}"/>
    <cellStyle name="Normal 5 2 2 5 4 2" xfId="35151" xr:uid="{00000000-0005-0000-0000-000052730000}"/>
    <cellStyle name="Normal 5 2 2 5 5" xfId="35152" xr:uid="{00000000-0005-0000-0000-000053730000}"/>
    <cellStyle name="Normal 5 2 2 5 6" xfId="35153" xr:uid="{00000000-0005-0000-0000-000054730000}"/>
    <cellStyle name="Normal 5 2 2 6" xfId="35154" xr:uid="{00000000-0005-0000-0000-000055730000}"/>
    <cellStyle name="Normal 5 2 2 6 2" xfId="35155" xr:uid="{00000000-0005-0000-0000-000056730000}"/>
    <cellStyle name="Normal 5 2 2 6 2 2" xfId="35156" xr:uid="{00000000-0005-0000-0000-000057730000}"/>
    <cellStyle name="Normal 5 2 2 6 3" xfId="35157" xr:uid="{00000000-0005-0000-0000-000058730000}"/>
    <cellStyle name="Normal 5 2 2 6 3 2" xfId="35158" xr:uid="{00000000-0005-0000-0000-000059730000}"/>
    <cellStyle name="Normal 5 2 2 6 4" xfId="35159" xr:uid="{00000000-0005-0000-0000-00005A730000}"/>
    <cellStyle name="Normal 5 2 2 6 5" xfId="35160" xr:uid="{00000000-0005-0000-0000-00005B730000}"/>
    <cellStyle name="Normal 5 2 2 7" xfId="35161" xr:uid="{00000000-0005-0000-0000-00005C730000}"/>
    <cellStyle name="Normal 5 2 2 7 2" xfId="35162" xr:uid="{00000000-0005-0000-0000-00005D730000}"/>
    <cellStyle name="Normal 5 2 2 8" xfId="35163" xr:uid="{00000000-0005-0000-0000-00005E730000}"/>
    <cellStyle name="Normal 5 2 2 8 2" xfId="35164" xr:uid="{00000000-0005-0000-0000-00005F730000}"/>
    <cellStyle name="Normal 5 2 2 9" xfId="35165" xr:uid="{00000000-0005-0000-0000-000060730000}"/>
    <cellStyle name="Normal 5 2 2 9 2" xfId="35166" xr:uid="{00000000-0005-0000-0000-000061730000}"/>
    <cellStyle name="Normal 5 2 3" xfId="12061" xr:uid="{00000000-0005-0000-0000-000062730000}"/>
    <cellStyle name="Normal 5 2 3 10" xfId="35168" xr:uid="{00000000-0005-0000-0000-000063730000}"/>
    <cellStyle name="Normal 5 2 3 11" xfId="35167" xr:uid="{00000000-0005-0000-0000-000064730000}"/>
    <cellStyle name="Normal 5 2 3 2" xfId="12062" xr:uid="{00000000-0005-0000-0000-000065730000}"/>
    <cellStyle name="Normal 5 2 3 2 2" xfId="35170" xr:uid="{00000000-0005-0000-0000-000066730000}"/>
    <cellStyle name="Normal 5 2 3 2 2 2" xfId="35171" xr:uid="{00000000-0005-0000-0000-000067730000}"/>
    <cellStyle name="Normal 5 2 3 2 3" xfId="35172" xr:uid="{00000000-0005-0000-0000-000068730000}"/>
    <cellStyle name="Normal 5 2 3 2 3 2" xfId="35173" xr:uid="{00000000-0005-0000-0000-000069730000}"/>
    <cellStyle name="Normal 5 2 3 2 4" xfId="35174" xr:uid="{00000000-0005-0000-0000-00006A730000}"/>
    <cellStyle name="Normal 5 2 3 2 4 2" xfId="35175" xr:uid="{00000000-0005-0000-0000-00006B730000}"/>
    <cellStyle name="Normal 5 2 3 2 5" xfId="35176" xr:uid="{00000000-0005-0000-0000-00006C730000}"/>
    <cellStyle name="Normal 5 2 3 2 6" xfId="35177" xr:uid="{00000000-0005-0000-0000-00006D730000}"/>
    <cellStyle name="Normal 5 2 3 2 7" xfId="35169" xr:uid="{00000000-0005-0000-0000-00006E730000}"/>
    <cellStyle name="Normal 5 2 3 3" xfId="35178" xr:uid="{00000000-0005-0000-0000-00006F730000}"/>
    <cellStyle name="Normal 5 2 3 3 2" xfId="35179" xr:uid="{00000000-0005-0000-0000-000070730000}"/>
    <cellStyle name="Normal 5 2 3 3 2 2" xfId="35180" xr:uid="{00000000-0005-0000-0000-000071730000}"/>
    <cellStyle name="Normal 5 2 3 3 3" xfId="35181" xr:uid="{00000000-0005-0000-0000-000072730000}"/>
    <cellStyle name="Normal 5 2 3 3 3 2" xfId="35182" xr:uid="{00000000-0005-0000-0000-000073730000}"/>
    <cellStyle name="Normal 5 2 3 3 4" xfId="35183" xr:uid="{00000000-0005-0000-0000-000074730000}"/>
    <cellStyle name="Normal 5 2 3 3 4 2" xfId="35184" xr:uid="{00000000-0005-0000-0000-000075730000}"/>
    <cellStyle name="Normal 5 2 3 3 5" xfId="35185" xr:uid="{00000000-0005-0000-0000-000076730000}"/>
    <cellStyle name="Normal 5 2 3 3 6" xfId="35186" xr:uid="{00000000-0005-0000-0000-000077730000}"/>
    <cellStyle name="Normal 5 2 3 4" xfId="35187" xr:uid="{00000000-0005-0000-0000-000078730000}"/>
    <cellStyle name="Normal 5 2 3 4 2" xfId="35188" xr:uid="{00000000-0005-0000-0000-000079730000}"/>
    <cellStyle name="Normal 5 2 3 4 2 2" xfId="35189" xr:uid="{00000000-0005-0000-0000-00007A730000}"/>
    <cellStyle name="Normal 5 2 3 4 3" xfId="35190" xr:uid="{00000000-0005-0000-0000-00007B730000}"/>
    <cellStyle name="Normal 5 2 3 4 3 2" xfId="35191" xr:uid="{00000000-0005-0000-0000-00007C730000}"/>
    <cellStyle name="Normal 5 2 3 4 4" xfId="35192" xr:uid="{00000000-0005-0000-0000-00007D730000}"/>
    <cellStyle name="Normal 5 2 3 4 4 2" xfId="35193" xr:uid="{00000000-0005-0000-0000-00007E730000}"/>
    <cellStyle name="Normal 5 2 3 4 5" xfId="35194" xr:uid="{00000000-0005-0000-0000-00007F730000}"/>
    <cellStyle name="Normal 5 2 3 4 6" xfId="35195" xr:uid="{00000000-0005-0000-0000-000080730000}"/>
    <cellStyle name="Normal 5 2 3 5" xfId="35196" xr:uid="{00000000-0005-0000-0000-000081730000}"/>
    <cellStyle name="Normal 5 2 3 5 2" xfId="35197" xr:uid="{00000000-0005-0000-0000-000082730000}"/>
    <cellStyle name="Normal 5 2 3 5 2 2" xfId="35198" xr:uid="{00000000-0005-0000-0000-000083730000}"/>
    <cellStyle name="Normal 5 2 3 5 3" xfId="35199" xr:uid="{00000000-0005-0000-0000-000084730000}"/>
    <cellStyle name="Normal 5 2 3 5 3 2" xfId="35200" xr:uid="{00000000-0005-0000-0000-000085730000}"/>
    <cellStyle name="Normal 5 2 3 5 4" xfId="35201" xr:uid="{00000000-0005-0000-0000-000086730000}"/>
    <cellStyle name="Normal 5 2 3 5 5" xfId="35202" xr:uid="{00000000-0005-0000-0000-000087730000}"/>
    <cellStyle name="Normal 5 2 3 6" xfId="35203" xr:uid="{00000000-0005-0000-0000-000088730000}"/>
    <cellStyle name="Normal 5 2 3 6 2" xfId="35204" xr:uid="{00000000-0005-0000-0000-000089730000}"/>
    <cellStyle name="Normal 5 2 3 7" xfId="35205" xr:uid="{00000000-0005-0000-0000-00008A730000}"/>
    <cellStyle name="Normal 5 2 3 7 2" xfId="35206" xr:uid="{00000000-0005-0000-0000-00008B730000}"/>
    <cellStyle name="Normal 5 2 3 8" xfId="35207" xr:uid="{00000000-0005-0000-0000-00008C730000}"/>
    <cellStyle name="Normal 5 2 3 8 2" xfId="35208" xr:uid="{00000000-0005-0000-0000-00008D730000}"/>
    <cellStyle name="Normal 5 2 3 9" xfId="35209" xr:uid="{00000000-0005-0000-0000-00008E730000}"/>
    <cellStyle name="Normal 5 2 4" xfId="12063" xr:uid="{00000000-0005-0000-0000-00008F730000}"/>
    <cellStyle name="Normal 5 2 4 10" xfId="35211" xr:uid="{00000000-0005-0000-0000-000090730000}"/>
    <cellStyle name="Normal 5 2 4 11" xfId="35210" xr:uid="{00000000-0005-0000-0000-000091730000}"/>
    <cellStyle name="Normal 5 2 4 2" xfId="35212" xr:uid="{00000000-0005-0000-0000-000092730000}"/>
    <cellStyle name="Normal 5 2 4 2 2" xfId="35213" xr:uid="{00000000-0005-0000-0000-000093730000}"/>
    <cellStyle name="Normal 5 2 4 2 2 2" xfId="35214" xr:uid="{00000000-0005-0000-0000-000094730000}"/>
    <cellStyle name="Normal 5 2 4 2 3" xfId="35215" xr:uid="{00000000-0005-0000-0000-000095730000}"/>
    <cellStyle name="Normal 5 2 4 2 3 2" xfId="35216" xr:uid="{00000000-0005-0000-0000-000096730000}"/>
    <cellStyle name="Normal 5 2 4 2 4" xfId="35217" xr:uid="{00000000-0005-0000-0000-000097730000}"/>
    <cellStyle name="Normal 5 2 4 2 4 2" xfId="35218" xr:uid="{00000000-0005-0000-0000-000098730000}"/>
    <cellStyle name="Normal 5 2 4 2 5" xfId="35219" xr:uid="{00000000-0005-0000-0000-000099730000}"/>
    <cellStyle name="Normal 5 2 4 2 6" xfId="35220" xr:uid="{00000000-0005-0000-0000-00009A730000}"/>
    <cellStyle name="Normal 5 2 4 3" xfId="35221" xr:uid="{00000000-0005-0000-0000-00009B730000}"/>
    <cellStyle name="Normal 5 2 4 3 2" xfId="35222" xr:uid="{00000000-0005-0000-0000-00009C730000}"/>
    <cellStyle name="Normal 5 2 4 3 2 2" xfId="35223" xr:uid="{00000000-0005-0000-0000-00009D730000}"/>
    <cellStyle name="Normal 5 2 4 3 3" xfId="35224" xr:uid="{00000000-0005-0000-0000-00009E730000}"/>
    <cellStyle name="Normal 5 2 4 3 3 2" xfId="35225" xr:uid="{00000000-0005-0000-0000-00009F730000}"/>
    <cellStyle name="Normal 5 2 4 3 4" xfId="35226" xr:uid="{00000000-0005-0000-0000-0000A0730000}"/>
    <cellStyle name="Normal 5 2 4 3 4 2" xfId="35227" xr:uid="{00000000-0005-0000-0000-0000A1730000}"/>
    <cellStyle name="Normal 5 2 4 3 5" xfId="35228" xr:uid="{00000000-0005-0000-0000-0000A2730000}"/>
    <cellStyle name="Normal 5 2 4 3 6" xfId="35229" xr:uid="{00000000-0005-0000-0000-0000A3730000}"/>
    <cellStyle name="Normal 5 2 4 4" xfId="35230" xr:uid="{00000000-0005-0000-0000-0000A4730000}"/>
    <cellStyle name="Normal 5 2 4 4 2" xfId="35231" xr:uid="{00000000-0005-0000-0000-0000A5730000}"/>
    <cellStyle name="Normal 5 2 4 4 2 2" xfId="35232" xr:uid="{00000000-0005-0000-0000-0000A6730000}"/>
    <cellStyle name="Normal 5 2 4 4 3" xfId="35233" xr:uid="{00000000-0005-0000-0000-0000A7730000}"/>
    <cellStyle name="Normal 5 2 4 4 3 2" xfId="35234" xr:uid="{00000000-0005-0000-0000-0000A8730000}"/>
    <cellStyle name="Normal 5 2 4 4 4" xfId="35235" xr:uid="{00000000-0005-0000-0000-0000A9730000}"/>
    <cellStyle name="Normal 5 2 4 4 4 2" xfId="35236" xr:uid="{00000000-0005-0000-0000-0000AA730000}"/>
    <cellStyle name="Normal 5 2 4 4 5" xfId="35237" xr:uid="{00000000-0005-0000-0000-0000AB730000}"/>
    <cellStyle name="Normal 5 2 4 4 6" xfId="35238" xr:uid="{00000000-0005-0000-0000-0000AC730000}"/>
    <cellStyle name="Normal 5 2 4 5" xfId="35239" xr:uid="{00000000-0005-0000-0000-0000AD730000}"/>
    <cellStyle name="Normal 5 2 4 5 2" xfId="35240" xr:uid="{00000000-0005-0000-0000-0000AE730000}"/>
    <cellStyle name="Normal 5 2 4 5 2 2" xfId="35241" xr:uid="{00000000-0005-0000-0000-0000AF730000}"/>
    <cellStyle name="Normal 5 2 4 5 3" xfId="35242" xr:uid="{00000000-0005-0000-0000-0000B0730000}"/>
    <cellStyle name="Normal 5 2 4 5 3 2" xfId="35243" xr:uid="{00000000-0005-0000-0000-0000B1730000}"/>
    <cellStyle name="Normal 5 2 4 5 4" xfId="35244" xr:uid="{00000000-0005-0000-0000-0000B2730000}"/>
    <cellStyle name="Normal 5 2 4 5 5" xfId="35245" xr:uid="{00000000-0005-0000-0000-0000B3730000}"/>
    <cellStyle name="Normal 5 2 4 6" xfId="35246" xr:uid="{00000000-0005-0000-0000-0000B4730000}"/>
    <cellStyle name="Normal 5 2 4 6 2" xfId="35247" xr:uid="{00000000-0005-0000-0000-0000B5730000}"/>
    <cellStyle name="Normal 5 2 4 7" xfId="35248" xr:uid="{00000000-0005-0000-0000-0000B6730000}"/>
    <cellStyle name="Normal 5 2 4 7 2" xfId="35249" xr:uid="{00000000-0005-0000-0000-0000B7730000}"/>
    <cellStyle name="Normal 5 2 4 8" xfId="35250" xr:uid="{00000000-0005-0000-0000-0000B8730000}"/>
    <cellStyle name="Normal 5 2 4 8 2" xfId="35251" xr:uid="{00000000-0005-0000-0000-0000B9730000}"/>
    <cellStyle name="Normal 5 2 4 9" xfId="35252" xr:uid="{00000000-0005-0000-0000-0000BA730000}"/>
    <cellStyle name="Normal 5 2 5" xfId="35253" xr:uid="{00000000-0005-0000-0000-0000BB730000}"/>
    <cellStyle name="Normal 5 2 5 2" xfId="35254" xr:uid="{00000000-0005-0000-0000-0000BC730000}"/>
    <cellStyle name="Normal 5 2 5 2 2" xfId="35255" xr:uid="{00000000-0005-0000-0000-0000BD730000}"/>
    <cellStyle name="Normal 5 2 5 3" xfId="35256" xr:uid="{00000000-0005-0000-0000-0000BE730000}"/>
    <cellStyle name="Normal 5 2 5 3 2" xfId="35257" xr:uid="{00000000-0005-0000-0000-0000BF730000}"/>
    <cellStyle name="Normal 5 2 5 4" xfId="35258" xr:uid="{00000000-0005-0000-0000-0000C0730000}"/>
    <cellStyle name="Normal 5 2 5 4 2" xfId="35259" xr:uid="{00000000-0005-0000-0000-0000C1730000}"/>
    <cellStyle name="Normal 5 2 5 5" xfId="35260" xr:uid="{00000000-0005-0000-0000-0000C2730000}"/>
    <cellStyle name="Normal 5 2 5 6" xfId="35261" xr:uid="{00000000-0005-0000-0000-0000C3730000}"/>
    <cellStyle name="Normal 5 2 6" xfId="35262" xr:uid="{00000000-0005-0000-0000-0000C4730000}"/>
    <cellStyle name="Normal 5 2 6 2" xfId="35263" xr:uid="{00000000-0005-0000-0000-0000C5730000}"/>
    <cellStyle name="Normal 5 2 6 2 2" xfId="35264" xr:uid="{00000000-0005-0000-0000-0000C6730000}"/>
    <cellStyle name="Normal 5 2 6 3" xfId="35265" xr:uid="{00000000-0005-0000-0000-0000C7730000}"/>
    <cellStyle name="Normal 5 2 6 3 2" xfId="35266" xr:uid="{00000000-0005-0000-0000-0000C8730000}"/>
    <cellStyle name="Normal 5 2 6 4" xfId="35267" xr:uid="{00000000-0005-0000-0000-0000C9730000}"/>
    <cellStyle name="Normal 5 2 6 4 2" xfId="35268" xr:uid="{00000000-0005-0000-0000-0000CA730000}"/>
    <cellStyle name="Normal 5 2 6 5" xfId="35269" xr:uid="{00000000-0005-0000-0000-0000CB730000}"/>
    <cellStyle name="Normal 5 2 6 6" xfId="35270" xr:uid="{00000000-0005-0000-0000-0000CC730000}"/>
    <cellStyle name="Normal 5 2 7" xfId="35271" xr:uid="{00000000-0005-0000-0000-0000CD730000}"/>
    <cellStyle name="Normal 5 2 7 2" xfId="35272" xr:uid="{00000000-0005-0000-0000-0000CE730000}"/>
    <cellStyle name="Normal 5 2 7 2 2" xfId="35273" xr:uid="{00000000-0005-0000-0000-0000CF730000}"/>
    <cellStyle name="Normal 5 2 7 3" xfId="35274" xr:uid="{00000000-0005-0000-0000-0000D0730000}"/>
    <cellStyle name="Normal 5 2 7 3 2" xfId="35275" xr:uid="{00000000-0005-0000-0000-0000D1730000}"/>
    <cellStyle name="Normal 5 2 7 4" xfId="35276" xr:uid="{00000000-0005-0000-0000-0000D2730000}"/>
    <cellStyle name="Normal 5 2 7 4 2" xfId="35277" xr:uid="{00000000-0005-0000-0000-0000D3730000}"/>
    <cellStyle name="Normal 5 2 7 5" xfId="35278" xr:uid="{00000000-0005-0000-0000-0000D4730000}"/>
    <cellStyle name="Normal 5 2 7 6" xfId="35279" xr:uid="{00000000-0005-0000-0000-0000D5730000}"/>
    <cellStyle name="Normal 5 2 8" xfId="35280" xr:uid="{00000000-0005-0000-0000-0000D6730000}"/>
    <cellStyle name="Normal 5 2 8 2" xfId="35281" xr:uid="{00000000-0005-0000-0000-0000D7730000}"/>
    <cellStyle name="Normal 5 2 8 2 2" xfId="35282" xr:uid="{00000000-0005-0000-0000-0000D8730000}"/>
    <cellStyle name="Normal 5 2 8 3" xfId="35283" xr:uid="{00000000-0005-0000-0000-0000D9730000}"/>
    <cellStyle name="Normal 5 2 8 3 2" xfId="35284" xr:uid="{00000000-0005-0000-0000-0000DA730000}"/>
    <cellStyle name="Normal 5 2 8 4" xfId="35285" xr:uid="{00000000-0005-0000-0000-0000DB730000}"/>
    <cellStyle name="Normal 5 2 8 5" xfId="35286" xr:uid="{00000000-0005-0000-0000-0000DC730000}"/>
    <cellStyle name="Normal 5 2 9" xfId="35287" xr:uid="{00000000-0005-0000-0000-0000DD730000}"/>
    <cellStyle name="Normal 5 2 9 2" xfId="35288" xr:uid="{00000000-0005-0000-0000-0000DE730000}"/>
    <cellStyle name="Normal 5 3" xfId="12064" xr:uid="{00000000-0005-0000-0000-0000DF730000}"/>
    <cellStyle name="Normal 5 3 10" xfId="35289" xr:uid="{00000000-0005-0000-0000-0000E0730000}"/>
    <cellStyle name="Normal 5 3 10 2" xfId="35290" xr:uid="{00000000-0005-0000-0000-0000E1730000}"/>
    <cellStyle name="Normal 5 3 11" xfId="35291" xr:uid="{00000000-0005-0000-0000-0000E2730000}"/>
    <cellStyle name="Normal 5 3 11 2" xfId="35292" xr:uid="{00000000-0005-0000-0000-0000E3730000}"/>
    <cellStyle name="Normal 5 3 12" xfId="35293" xr:uid="{00000000-0005-0000-0000-0000E4730000}"/>
    <cellStyle name="Normal 5 3 13" xfId="35294" xr:uid="{00000000-0005-0000-0000-0000E5730000}"/>
    <cellStyle name="Normal 5 3 14" xfId="17691" xr:uid="{00000000-0005-0000-0000-0000E6730000}"/>
    <cellStyle name="Normal 5 3 2" xfId="12065" xr:uid="{00000000-0005-0000-0000-0000E7730000}"/>
    <cellStyle name="Normal 5 3 2 10" xfId="35296" xr:uid="{00000000-0005-0000-0000-0000E8730000}"/>
    <cellStyle name="Normal 5 3 2 11" xfId="35297" xr:uid="{00000000-0005-0000-0000-0000E9730000}"/>
    <cellStyle name="Normal 5 3 2 12" xfId="35295" xr:uid="{00000000-0005-0000-0000-0000EA730000}"/>
    <cellStyle name="Normal 5 3 2 2" xfId="12066" xr:uid="{00000000-0005-0000-0000-0000EB730000}"/>
    <cellStyle name="Normal 5 3 2 2 2" xfId="35299" xr:uid="{00000000-0005-0000-0000-0000EC730000}"/>
    <cellStyle name="Normal 5 3 2 2 2 2" xfId="35300" xr:uid="{00000000-0005-0000-0000-0000ED730000}"/>
    <cellStyle name="Normal 5 3 2 2 3" xfId="35301" xr:uid="{00000000-0005-0000-0000-0000EE730000}"/>
    <cellStyle name="Normal 5 3 2 2 3 2" xfId="35302" xr:uid="{00000000-0005-0000-0000-0000EF730000}"/>
    <cellStyle name="Normal 5 3 2 2 4" xfId="35303" xr:uid="{00000000-0005-0000-0000-0000F0730000}"/>
    <cellStyle name="Normal 5 3 2 2 4 2" xfId="35304" xr:uid="{00000000-0005-0000-0000-0000F1730000}"/>
    <cellStyle name="Normal 5 3 2 2 5" xfId="35305" xr:uid="{00000000-0005-0000-0000-0000F2730000}"/>
    <cellStyle name="Normal 5 3 2 2 6" xfId="35306" xr:uid="{00000000-0005-0000-0000-0000F3730000}"/>
    <cellStyle name="Normal 5 3 2 2 7" xfId="35298" xr:uid="{00000000-0005-0000-0000-0000F4730000}"/>
    <cellStyle name="Normal 5 3 2 3" xfId="35307" xr:uid="{00000000-0005-0000-0000-0000F5730000}"/>
    <cellStyle name="Normal 5 3 2 3 2" xfId="35308" xr:uid="{00000000-0005-0000-0000-0000F6730000}"/>
    <cellStyle name="Normal 5 3 2 3 2 2" xfId="35309" xr:uid="{00000000-0005-0000-0000-0000F7730000}"/>
    <cellStyle name="Normal 5 3 2 3 3" xfId="35310" xr:uid="{00000000-0005-0000-0000-0000F8730000}"/>
    <cellStyle name="Normal 5 3 2 3 3 2" xfId="35311" xr:uid="{00000000-0005-0000-0000-0000F9730000}"/>
    <cellStyle name="Normal 5 3 2 3 4" xfId="35312" xr:uid="{00000000-0005-0000-0000-0000FA730000}"/>
    <cellStyle name="Normal 5 3 2 3 4 2" xfId="35313" xr:uid="{00000000-0005-0000-0000-0000FB730000}"/>
    <cellStyle name="Normal 5 3 2 3 5" xfId="35314" xr:uid="{00000000-0005-0000-0000-0000FC730000}"/>
    <cellStyle name="Normal 5 3 2 3 6" xfId="35315" xr:uid="{00000000-0005-0000-0000-0000FD730000}"/>
    <cellStyle name="Normal 5 3 2 4" xfId="35316" xr:uid="{00000000-0005-0000-0000-0000FE730000}"/>
    <cellStyle name="Normal 5 3 2 4 2" xfId="35317" xr:uid="{00000000-0005-0000-0000-0000FF730000}"/>
    <cellStyle name="Normal 5 3 2 4 2 2" xfId="35318" xr:uid="{00000000-0005-0000-0000-000000740000}"/>
    <cellStyle name="Normal 5 3 2 4 3" xfId="35319" xr:uid="{00000000-0005-0000-0000-000001740000}"/>
    <cellStyle name="Normal 5 3 2 4 3 2" xfId="35320" xr:uid="{00000000-0005-0000-0000-000002740000}"/>
    <cellStyle name="Normal 5 3 2 4 4" xfId="35321" xr:uid="{00000000-0005-0000-0000-000003740000}"/>
    <cellStyle name="Normal 5 3 2 4 4 2" xfId="35322" xr:uid="{00000000-0005-0000-0000-000004740000}"/>
    <cellStyle name="Normal 5 3 2 4 5" xfId="35323" xr:uid="{00000000-0005-0000-0000-000005740000}"/>
    <cellStyle name="Normal 5 3 2 4 6" xfId="35324" xr:uid="{00000000-0005-0000-0000-000006740000}"/>
    <cellStyle name="Normal 5 3 2 5" xfId="35325" xr:uid="{00000000-0005-0000-0000-000007740000}"/>
    <cellStyle name="Normal 5 3 2 5 2" xfId="35326" xr:uid="{00000000-0005-0000-0000-000008740000}"/>
    <cellStyle name="Normal 5 3 2 5 2 2" xfId="35327" xr:uid="{00000000-0005-0000-0000-000009740000}"/>
    <cellStyle name="Normal 5 3 2 5 3" xfId="35328" xr:uid="{00000000-0005-0000-0000-00000A740000}"/>
    <cellStyle name="Normal 5 3 2 5 3 2" xfId="35329" xr:uid="{00000000-0005-0000-0000-00000B740000}"/>
    <cellStyle name="Normal 5 3 2 5 4" xfId="35330" xr:uid="{00000000-0005-0000-0000-00000C740000}"/>
    <cellStyle name="Normal 5 3 2 5 4 2" xfId="35331" xr:uid="{00000000-0005-0000-0000-00000D740000}"/>
    <cellStyle name="Normal 5 3 2 5 5" xfId="35332" xr:uid="{00000000-0005-0000-0000-00000E740000}"/>
    <cellStyle name="Normal 5 3 2 5 6" xfId="35333" xr:uid="{00000000-0005-0000-0000-00000F740000}"/>
    <cellStyle name="Normal 5 3 2 6" xfId="35334" xr:uid="{00000000-0005-0000-0000-000010740000}"/>
    <cellStyle name="Normal 5 3 2 6 2" xfId="35335" xr:uid="{00000000-0005-0000-0000-000011740000}"/>
    <cellStyle name="Normal 5 3 2 6 2 2" xfId="35336" xr:uid="{00000000-0005-0000-0000-000012740000}"/>
    <cellStyle name="Normal 5 3 2 6 3" xfId="35337" xr:uid="{00000000-0005-0000-0000-000013740000}"/>
    <cellStyle name="Normal 5 3 2 6 3 2" xfId="35338" xr:uid="{00000000-0005-0000-0000-000014740000}"/>
    <cellStyle name="Normal 5 3 2 6 4" xfId="35339" xr:uid="{00000000-0005-0000-0000-000015740000}"/>
    <cellStyle name="Normal 5 3 2 6 5" xfId="35340" xr:uid="{00000000-0005-0000-0000-000016740000}"/>
    <cellStyle name="Normal 5 3 2 7" xfId="35341" xr:uid="{00000000-0005-0000-0000-000017740000}"/>
    <cellStyle name="Normal 5 3 2 7 2" xfId="35342" xr:uid="{00000000-0005-0000-0000-000018740000}"/>
    <cellStyle name="Normal 5 3 2 8" xfId="35343" xr:uid="{00000000-0005-0000-0000-000019740000}"/>
    <cellStyle name="Normal 5 3 2 8 2" xfId="35344" xr:uid="{00000000-0005-0000-0000-00001A740000}"/>
    <cellStyle name="Normal 5 3 2 9" xfId="35345" xr:uid="{00000000-0005-0000-0000-00001B740000}"/>
    <cellStyle name="Normal 5 3 2 9 2" xfId="35346" xr:uid="{00000000-0005-0000-0000-00001C740000}"/>
    <cellStyle name="Normal 5 3 3" xfId="12067" xr:uid="{00000000-0005-0000-0000-00001D740000}"/>
    <cellStyle name="Normal 5 3 3 10" xfId="35348" xr:uid="{00000000-0005-0000-0000-00001E740000}"/>
    <cellStyle name="Normal 5 3 3 11" xfId="35347" xr:uid="{00000000-0005-0000-0000-00001F740000}"/>
    <cellStyle name="Normal 5 3 3 2" xfId="35349" xr:uid="{00000000-0005-0000-0000-000020740000}"/>
    <cellStyle name="Normal 5 3 3 2 2" xfId="35350" xr:uid="{00000000-0005-0000-0000-000021740000}"/>
    <cellStyle name="Normal 5 3 3 2 2 2" xfId="35351" xr:uid="{00000000-0005-0000-0000-000022740000}"/>
    <cellStyle name="Normal 5 3 3 2 3" xfId="35352" xr:uid="{00000000-0005-0000-0000-000023740000}"/>
    <cellStyle name="Normal 5 3 3 2 3 2" xfId="35353" xr:uid="{00000000-0005-0000-0000-000024740000}"/>
    <cellStyle name="Normal 5 3 3 2 4" xfId="35354" xr:uid="{00000000-0005-0000-0000-000025740000}"/>
    <cellStyle name="Normal 5 3 3 2 4 2" xfId="35355" xr:uid="{00000000-0005-0000-0000-000026740000}"/>
    <cellStyle name="Normal 5 3 3 2 5" xfId="35356" xr:uid="{00000000-0005-0000-0000-000027740000}"/>
    <cellStyle name="Normal 5 3 3 2 6" xfId="35357" xr:uid="{00000000-0005-0000-0000-000028740000}"/>
    <cellStyle name="Normal 5 3 3 3" xfId="35358" xr:uid="{00000000-0005-0000-0000-000029740000}"/>
    <cellStyle name="Normal 5 3 3 3 2" xfId="35359" xr:uid="{00000000-0005-0000-0000-00002A740000}"/>
    <cellStyle name="Normal 5 3 3 3 2 2" xfId="35360" xr:uid="{00000000-0005-0000-0000-00002B740000}"/>
    <cellStyle name="Normal 5 3 3 3 3" xfId="35361" xr:uid="{00000000-0005-0000-0000-00002C740000}"/>
    <cellStyle name="Normal 5 3 3 3 3 2" xfId="35362" xr:uid="{00000000-0005-0000-0000-00002D740000}"/>
    <cellStyle name="Normal 5 3 3 3 4" xfId="35363" xr:uid="{00000000-0005-0000-0000-00002E740000}"/>
    <cellStyle name="Normal 5 3 3 3 4 2" xfId="35364" xr:uid="{00000000-0005-0000-0000-00002F740000}"/>
    <cellStyle name="Normal 5 3 3 3 5" xfId="35365" xr:uid="{00000000-0005-0000-0000-000030740000}"/>
    <cellStyle name="Normal 5 3 3 3 6" xfId="35366" xr:uid="{00000000-0005-0000-0000-000031740000}"/>
    <cellStyle name="Normal 5 3 3 4" xfId="35367" xr:uid="{00000000-0005-0000-0000-000032740000}"/>
    <cellStyle name="Normal 5 3 3 4 2" xfId="35368" xr:uid="{00000000-0005-0000-0000-000033740000}"/>
    <cellStyle name="Normal 5 3 3 4 2 2" xfId="35369" xr:uid="{00000000-0005-0000-0000-000034740000}"/>
    <cellStyle name="Normal 5 3 3 4 3" xfId="35370" xr:uid="{00000000-0005-0000-0000-000035740000}"/>
    <cellStyle name="Normal 5 3 3 4 3 2" xfId="35371" xr:uid="{00000000-0005-0000-0000-000036740000}"/>
    <cellStyle name="Normal 5 3 3 4 4" xfId="35372" xr:uid="{00000000-0005-0000-0000-000037740000}"/>
    <cellStyle name="Normal 5 3 3 4 4 2" xfId="35373" xr:uid="{00000000-0005-0000-0000-000038740000}"/>
    <cellStyle name="Normal 5 3 3 4 5" xfId="35374" xr:uid="{00000000-0005-0000-0000-000039740000}"/>
    <cellStyle name="Normal 5 3 3 4 6" xfId="35375" xr:uid="{00000000-0005-0000-0000-00003A740000}"/>
    <cellStyle name="Normal 5 3 3 5" xfId="35376" xr:uid="{00000000-0005-0000-0000-00003B740000}"/>
    <cellStyle name="Normal 5 3 3 5 2" xfId="35377" xr:uid="{00000000-0005-0000-0000-00003C740000}"/>
    <cellStyle name="Normal 5 3 3 5 2 2" xfId="35378" xr:uid="{00000000-0005-0000-0000-00003D740000}"/>
    <cellStyle name="Normal 5 3 3 5 3" xfId="35379" xr:uid="{00000000-0005-0000-0000-00003E740000}"/>
    <cellStyle name="Normal 5 3 3 5 3 2" xfId="35380" xr:uid="{00000000-0005-0000-0000-00003F740000}"/>
    <cellStyle name="Normal 5 3 3 5 4" xfId="35381" xr:uid="{00000000-0005-0000-0000-000040740000}"/>
    <cellStyle name="Normal 5 3 3 5 5" xfId="35382" xr:uid="{00000000-0005-0000-0000-000041740000}"/>
    <cellStyle name="Normal 5 3 3 6" xfId="35383" xr:uid="{00000000-0005-0000-0000-000042740000}"/>
    <cellStyle name="Normal 5 3 3 6 2" xfId="35384" xr:uid="{00000000-0005-0000-0000-000043740000}"/>
    <cellStyle name="Normal 5 3 3 7" xfId="35385" xr:uid="{00000000-0005-0000-0000-000044740000}"/>
    <cellStyle name="Normal 5 3 3 7 2" xfId="35386" xr:uid="{00000000-0005-0000-0000-000045740000}"/>
    <cellStyle name="Normal 5 3 3 8" xfId="35387" xr:uid="{00000000-0005-0000-0000-000046740000}"/>
    <cellStyle name="Normal 5 3 3 8 2" xfId="35388" xr:uid="{00000000-0005-0000-0000-000047740000}"/>
    <cellStyle name="Normal 5 3 3 9" xfId="35389" xr:uid="{00000000-0005-0000-0000-000048740000}"/>
    <cellStyle name="Normal 5 3 4" xfId="12068" xr:uid="{00000000-0005-0000-0000-000049740000}"/>
    <cellStyle name="Normal 5 3 4 10" xfId="35391" xr:uid="{00000000-0005-0000-0000-00004A740000}"/>
    <cellStyle name="Normal 5 3 4 11" xfId="35390" xr:uid="{00000000-0005-0000-0000-00004B740000}"/>
    <cellStyle name="Normal 5 3 4 2" xfId="35392" xr:uid="{00000000-0005-0000-0000-00004C740000}"/>
    <cellStyle name="Normal 5 3 4 2 2" xfId="35393" xr:uid="{00000000-0005-0000-0000-00004D740000}"/>
    <cellStyle name="Normal 5 3 4 2 2 2" xfId="35394" xr:uid="{00000000-0005-0000-0000-00004E740000}"/>
    <cellStyle name="Normal 5 3 4 2 3" xfId="35395" xr:uid="{00000000-0005-0000-0000-00004F740000}"/>
    <cellStyle name="Normal 5 3 4 2 3 2" xfId="35396" xr:uid="{00000000-0005-0000-0000-000050740000}"/>
    <cellStyle name="Normal 5 3 4 2 4" xfId="35397" xr:uid="{00000000-0005-0000-0000-000051740000}"/>
    <cellStyle name="Normal 5 3 4 2 4 2" xfId="35398" xr:uid="{00000000-0005-0000-0000-000052740000}"/>
    <cellStyle name="Normal 5 3 4 2 5" xfId="35399" xr:uid="{00000000-0005-0000-0000-000053740000}"/>
    <cellStyle name="Normal 5 3 4 2 6" xfId="35400" xr:uid="{00000000-0005-0000-0000-000054740000}"/>
    <cellStyle name="Normal 5 3 4 3" xfId="35401" xr:uid="{00000000-0005-0000-0000-000055740000}"/>
    <cellStyle name="Normal 5 3 4 3 2" xfId="35402" xr:uid="{00000000-0005-0000-0000-000056740000}"/>
    <cellStyle name="Normal 5 3 4 3 2 2" xfId="35403" xr:uid="{00000000-0005-0000-0000-000057740000}"/>
    <cellStyle name="Normal 5 3 4 3 3" xfId="35404" xr:uid="{00000000-0005-0000-0000-000058740000}"/>
    <cellStyle name="Normal 5 3 4 3 3 2" xfId="35405" xr:uid="{00000000-0005-0000-0000-000059740000}"/>
    <cellStyle name="Normal 5 3 4 3 4" xfId="35406" xr:uid="{00000000-0005-0000-0000-00005A740000}"/>
    <cellStyle name="Normal 5 3 4 3 4 2" xfId="35407" xr:uid="{00000000-0005-0000-0000-00005B740000}"/>
    <cellStyle name="Normal 5 3 4 3 5" xfId="35408" xr:uid="{00000000-0005-0000-0000-00005C740000}"/>
    <cellStyle name="Normal 5 3 4 3 6" xfId="35409" xr:uid="{00000000-0005-0000-0000-00005D740000}"/>
    <cellStyle name="Normal 5 3 4 4" xfId="35410" xr:uid="{00000000-0005-0000-0000-00005E740000}"/>
    <cellStyle name="Normal 5 3 4 4 2" xfId="35411" xr:uid="{00000000-0005-0000-0000-00005F740000}"/>
    <cellStyle name="Normal 5 3 4 4 2 2" xfId="35412" xr:uid="{00000000-0005-0000-0000-000060740000}"/>
    <cellStyle name="Normal 5 3 4 4 3" xfId="35413" xr:uid="{00000000-0005-0000-0000-000061740000}"/>
    <cellStyle name="Normal 5 3 4 4 3 2" xfId="35414" xr:uid="{00000000-0005-0000-0000-000062740000}"/>
    <cellStyle name="Normal 5 3 4 4 4" xfId="35415" xr:uid="{00000000-0005-0000-0000-000063740000}"/>
    <cellStyle name="Normal 5 3 4 4 4 2" xfId="35416" xr:uid="{00000000-0005-0000-0000-000064740000}"/>
    <cellStyle name="Normal 5 3 4 4 5" xfId="35417" xr:uid="{00000000-0005-0000-0000-000065740000}"/>
    <cellStyle name="Normal 5 3 4 4 6" xfId="35418" xr:uid="{00000000-0005-0000-0000-000066740000}"/>
    <cellStyle name="Normal 5 3 4 5" xfId="35419" xr:uid="{00000000-0005-0000-0000-000067740000}"/>
    <cellStyle name="Normal 5 3 4 5 2" xfId="35420" xr:uid="{00000000-0005-0000-0000-000068740000}"/>
    <cellStyle name="Normal 5 3 4 5 2 2" xfId="35421" xr:uid="{00000000-0005-0000-0000-000069740000}"/>
    <cellStyle name="Normal 5 3 4 5 3" xfId="35422" xr:uid="{00000000-0005-0000-0000-00006A740000}"/>
    <cellStyle name="Normal 5 3 4 5 3 2" xfId="35423" xr:uid="{00000000-0005-0000-0000-00006B740000}"/>
    <cellStyle name="Normal 5 3 4 5 4" xfId="35424" xr:uid="{00000000-0005-0000-0000-00006C740000}"/>
    <cellStyle name="Normal 5 3 4 5 5" xfId="35425" xr:uid="{00000000-0005-0000-0000-00006D740000}"/>
    <cellStyle name="Normal 5 3 4 6" xfId="35426" xr:uid="{00000000-0005-0000-0000-00006E740000}"/>
    <cellStyle name="Normal 5 3 4 6 2" xfId="35427" xr:uid="{00000000-0005-0000-0000-00006F740000}"/>
    <cellStyle name="Normal 5 3 4 7" xfId="35428" xr:uid="{00000000-0005-0000-0000-000070740000}"/>
    <cellStyle name="Normal 5 3 4 7 2" xfId="35429" xr:uid="{00000000-0005-0000-0000-000071740000}"/>
    <cellStyle name="Normal 5 3 4 8" xfId="35430" xr:uid="{00000000-0005-0000-0000-000072740000}"/>
    <cellStyle name="Normal 5 3 4 8 2" xfId="35431" xr:uid="{00000000-0005-0000-0000-000073740000}"/>
    <cellStyle name="Normal 5 3 4 9" xfId="35432" xr:uid="{00000000-0005-0000-0000-000074740000}"/>
    <cellStyle name="Normal 5 3 5" xfId="35433" xr:uid="{00000000-0005-0000-0000-000075740000}"/>
    <cellStyle name="Normal 5 3 5 2" xfId="35434" xr:uid="{00000000-0005-0000-0000-000076740000}"/>
    <cellStyle name="Normal 5 3 5 2 2" xfId="35435" xr:uid="{00000000-0005-0000-0000-000077740000}"/>
    <cellStyle name="Normal 5 3 5 3" xfId="35436" xr:uid="{00000000-0005-0000-0000-000078740000}"/>
    <cellStyle name="Normal 5 3 5 3 2" xfId="35437" xr:uid="{00000000-0005-0000-0000-000079740000}"/>
    <cellStyle name="Normal 5 3 5 4" xfId="35438" xr:uid="{00000000-0005-0000-0000-00007A740000}"/>
    <cellStyle name="Normal 5 3 5 4 2" xfId="35439" xr:uid="{00000000-0005-0000-0000-00007B740000}"/>
    <cellStyle name="Normal 5 3 5 5" xfId="35440" xr:uid="{00000000-0005-0000-0000-00007C740000}"/>
    <cellStyle name="Normal 5 3 5 6" xfId="35441" xr:uid="{00000000-0005-0000-0000-00007D740000}"/>
    <cellStyle name="Normal 5 3 6" xfId="35442" xr:uid="{00000000-0005-0000-0000-00007E740000}"/>
    <cellStyle name="Normal 5 3 6 2" xfId="35443" xr:uid="{00000000-0005-0000-0000-00007F740000}"/>
    <cellStyle name="Normal 5 3 6 2 2" xfId="35444" xr:uid="{00000000-0005-0000-0000-000080740000}"/>
    <cellStyle name="Normal 5 3 6 3" xfId="35445" xr:uid="{00000000-0005-0000-0000-000081740000}"/>
    <cellStyle name="Normal 5 3 6 3 2" xfId="35446" xr:uid="{00000000-0005-0000-0000-000082740000}"/>
    <cellStyle name="Normal 5 3 6 4" xfId="35447" xr:uid="{00000000-0005-0000-0000-000083740000}"/>
    <cellStyle name="Normal 5 3 6 4 2" xfId="35448" xr:uid="{00000000-0005-0000-0000-000084740000}"/>
    <cellStyle name="Normal 5 3 6 5" xfId="35449" xr:uid="{00000000-0005-0000-0000-000085740000}"/>
    <cellStyle name="Normal 5 3 6 6" xfId="35450" xr:uid="{00000000-0005-0000-0000-000086740000}"/>
    <cellStyle name="Normal 5 3 7" xfId="35451" xr:uid="{00000000-0005-0000-0000-000087740000}"/>
    <cellStyle name="Normal 5 3 7 2" xfId="35452" xr:uid="{00000000-0005-0000-0000-000088740000}"/>
    <cellStyle name="Normal 5 3 7 2 2" xfId="35453" xr:uid="{00000000-0005-0000-0000-000089740000}"/>
    <cellStyle name="Normal 5 3 7 3" xfId="35454" xr:uid="{00000000-0005-0000-0000-00008A740000}"/>
    <cellStyle name="Normal 5 3 7 3 2" xfId="35455" xr:uid="{00000000-0005-0000-0000-00008B740000}"/>
    <cellStyle name="Normal 5 3 7 4" xfId="35456" xr:uid="{00000000-0005-0000-0000-00008C740000}"/>
    <cellStyle name="Normal 5 3 7 4 2" xfId="35457" xr:uid="{00000000-0005-0000-0000-00008D740000}"/>
    <cellStyle name="Normal 5 3 7 5" xfId="35458" xr:uid="{00000000-0005-0000-0000-00008E740000}"/>
    <cellStyle name="Normal 5 3 7 6" xfId="35459" xr:uid="{00000000-0005-0000-0000-00008F740000}"/>
    <cellStyle name="Normal 5 3 8" xfId="35460" xr:uid="{00000000-0005-0000-0000-000090740000}"/>
    <cellStyle name="Normal 5 3 8 2" xfId="35461" xr:uid="{00000000-0005-0000-0000-000091740000}"/>
    <cellStyle name="Normal 5 3 8 2 2" xfId="35462" xr:uid="{00000000-0005-0000-0000-000092740000}"/>
    <cellStyle name="Normal 5 3 8 3" xfId="35463" xr:uid="{00000000-0005-0000-0000-000093740000}"/>
    <cellStyle name="Normal 5 3 8 3 2" xfId="35464" xr:uid="{00000000-0005-0000-0000-000094740000}"/>
    <cellStyle name="Normal 5 3 8 4" xfId="35465" xr:uid="{00000000-0005-0000-0000-000095740000}"/>
    <cellStyle name="Normal 5 3 8 5" xfId="35466" xr:uid="{00000000-0005-0000-0000-000096740000}"/>
    <cellStyle name="Normal 5 3 9" xfId="35467" xr:uid="{00000000-0005-0000-0000-000097740000}"/>
    <cellStyle name="Normal 5 3 9 2" xfId="35468" xr:uid="{00000000-0005-0000-0000-000098740000}"/>
    <cellStyle name="Normal 5 4" xfId="12069" xr:uid="{00000000-0005-0000-0000-000099740000}"/>
    <cellStyle name="Normal 5 4 10" xfId="35470" xr:uid="{00000000-0005-0000-0000-00009A740000}"/>
    <cellStyle name="Normal 5 4 10 2" xfId="35471" xr:uid="{00000000-0005-0000-0000-00009B740000}"/>
    <cellStyle name="Normal 5 4 11" xfId="35472" xr:uid="{00000000-0005-0000-0000-00009C740000}"/>
    <cellStyle name="Normal 5 4 12" xfId="35473" xr:uid="{00000000-0005-0000-0000-00009D740000}"/>
    <cellStyle name="Normal 5 4 13" xfId="35469" xr:uid="{00000000-0005-0000-0000-00009E740000}"/>
    <cellStyle name="Normal 5 4 2" xfId="12070" xr:uid="{00000000-0005-0000-0000-00009F740000}"/>
    <cellStyle name="Normal 5 4 2 10" xfId="35475" xr:uid="{00000000-0005-0000-0000-0000A0740000}"/>
    <cellStyle name="Normal 5 4 2 11" xfId="35474" xr:uid="{00000000-0005-0000-0000-0000A1740000}"/>
    <cellStyle name="Normal 5 4 2 2" xfId="12071" xr:uid="{00000000-0005-0000-0000-0000A2740000}"/>
    <cellStyle name="Normal 5 4 2 2 2" xfId="35477" xr:uid="{00000000-0005-0000-0000-0000A3740000}"/>
    <cellStyle name="Normal 5 4 2 2 2 2" xfId="35478" xr:uid="{00000000-0005-0000-0000-0000A4740000}"/>
    <cellStyle name="Normal 5 4 2 2 3" xfId="35479" xr:uid="{00000000-0005-0000-0000-0000A5740000}"/>
    <cellStyle name="Normal 5 4 2 2 3 2" xfId="35480" xr:uid="{00000000-0005-0000-0000-0000A6740000}"/>
    <cellStyle name="Normal 5 4 2 2 4" xfId="35481" xr:uid="{00000000-0005-0000-0000-0000A7740000}"/>
    <cellStyle name="Normal 5 4 2 2 4 2" xfId="35482" xr:uid="{00000000-0005-0000-0000-0000A8740000}"/>
    <cellStyle name="Normal 5 4 2 2 5" xfId="35483" xr:uid="{00000000-0005-0000-0000-0000A9740000}"/>
    <cellStyle name="Normal 5 4 2 2 6" xfId="35484" xr:uid="{00000000-0005-0000-0000-0000AA740000}"/>
    <cellStyle name="Normal 5 4 2 2 7" xfId="35476" xr:uid="{00000000-0005-0000-0000-0000AB740000}"/>
    <cellStyle name="Normal 5 4 2 3" xfId="35485" xr:uid="{00000000-0005-0000-0000-0000AC740000}"/>
    <cellStyle name="Normal 5 4 2 3 2" xfId="35486" xr:uid="{00000000-0005-0000-0000-0000AD740000}"/>
    <cellStyle name="Normal 5 4 2 3 2 2" xfId="35487" xr:uid="{00000000-0005-0000-0000-0000AE740000}"/>
    <cellStyle name="Normal 5 4 2 3 3" xfId="35488" xr:uid="{00000000-0005-0000-0000-0000AF740000}"/>
    <cellStyle name="Normal 5 4 2 3 3 2" xfId="35489" xr:uid="{00000000-0005-0000-0000-0000B0740000}"/>
    <cellStyle name="Normal 5 4 2 3 4" xfId="35490" xr:uid="{00000000-0005-0000-0000-0000B1740000}"/>
    <cellStyle name="Normal 5 4 2 3 4 2" xfId="35491" xr:uid="{00000000-0005-0000-0000-0000B2740000}"/>
    <cellStyle name="Normal 5 4 2 3 5" xfId="35492" xr:uid="{00000000-0005-0000-0000-0000B3740000}"/>
    <cellStyle name="Normal 5 4 2 3 6" xfId="35493" xr:uid="{00000000-0005-0000-0000-0000B4740000}"/>
    <cellStyle name="Normal 5 4 2 4" xfId="35494" xr:uid="{00000000-0005-0000-0000-0000B5740000}"/>
    <cellStyle name="Normal 5 4 2 4 2" xfId="35495" xr:uid="{00000000-0005-0000-0000-0000B6740000}"/>
    <cellStyle name="Normal 5 4 2 4 2 2" xfId="35496" xr:uid="{00000000-0005-0000-0000-0000B7740000}"/>
    <cellStyle name="Normal 5 4 2 4 3" xfId="35497" xr:uid="{00000000-0005-0000-0000-0000B8740000}"/>
    <cellStyle name="Normal 5 4 2 4 3 2" xfId="35498" xr:uid="{00000000-0005-0000-0000-0000B9740000}"/>
    <cellStyle name="Normal 5 4 2 4 4" xfId="35499" xr:uid="{00000000-0005-0000-0000-0000BA740000}"/>
    <cellStyle name="Normal 5 4 2 4 4 2" xfId="35500" xr:uid="{00000000-0005-0000-0000-0000BB740000}"/>
    <cellStyle name="Normal 5 4 2 4 5" xfId="35501" xr:uid="{00000000-0005-0000-0000-0000BC740000}"/>
    <cellStyle name="Normal 5 4 2 4 6" xfId="35502" xr:uid="{00000000-0005-0000-0000-0000BD740000}"/>
    <cellStyle name="Normal 5 4 2 5" xfId="35503" xr:uid="{00000000-0005-0000-0000-0000BE740000}"/>
    <cellStyle name="Normal 5 4 2 5 2" xfId="35504" xr:uid="{00000000-0005-0000-0000-0000BF740000}"/>
    <cellStyle name="Normal 5 4 2 5 2 2" xfId="35505" xr:uid="{00000000-0005-0000-0000-0000C0740000}"/>
    <cellStyle name="Normal 5 4 2 5 3" xfId="35506" xr:uid="{00000000-0005-0000-0000-0000C1740000}"/>
    <cellStyle name="Normal 5 4 2 5 3 2" xfId="35507" xr:uid="{00000000-0005-0000-0000-0000C2740000}"/>
    <cellStyle name="Normal 5 4 2 5 4" xfId="35508" xr:uid="{00000000-0005-0000-0000-0000C3740000}"/>
    <cellStyle name="Normal 5 4 2 5 5" xfId="35509" xr:uid="{00000000-0005-0000-0000-0000C4740000}"/>
    <cellStyle name="Normal 5 4 2 6" xfId="35510" xr:uid="{00000000-0005-0000-0000-0000C5740000}"/>
    <cellStyle name="Normal 5 4 2 6 2" xfId="35511" xr:uid="{00000000-0005-0000-0000-0000C6740000}"/>
    <cellStyle name="Normal 5 4 2 7" xfId="35512" xr:uid="{00000000-0005-0000-0000-0000C7740000}"/>
    <cellStyle name="Normal 5 4 2 7 2" xfId="35513" xr:uid="{00000000-0005-0000-0000-0000C8740000}"/>
    <cellStyle name="Normal 5 4 2 8" xfId="35514" xr:uid="{00000000-0005-0000-0000-0000C9740000}"/>
    <cellStyle name="Normal 5 4 2 8 2" xfId="35515" xr:uid="{00000000-0005-0000-0000-0000CA740000}"/>
    <cellStyle name="Normal 5 4 2 9" xfId="35516" xr:uid="{00000000-0005-0000-0000-0000CB740000}"/>
    <cellStyle name="Normal 5 4 3" xfId="12072" xr:uid="{00000000-0005-0000-0000-0000CC740000}"/>
    <cellStyle name="Normal 5 4 3 10" xfId="35518" xr:uid="{00000000-0005-0000-0000-0000CD740000}"/>
    <cellStyle name="Normal 5 4 3 11" xfId="35517" xr:uid="{00000000-0005-0000-0000-0000CE740000}"/>
    <cellStyle name="Normal 5 4 3 2" xfId="35519" xr:uid="{00000000-0005-0000-0000-0000CF740000}"/>
    <cellStyle name="Normal 5 4 3 2 2" xfId="35520" xr:uid="{00000000-0005-0000-0000-0000D0740000}"/>
    <cellStyle name="Normal 5 4 3 2 2 2" xfId="35521" xr:uid="{00000000-0005-0000-0000-0000D1740000}"/>
    <cellStyle name="Normal 5 4 3 2 3" xfId="35522" xr:uid="{00000000-0005-0000-0000-0000D2740000}"/>
    <cellStyle name="Normal 5 4 3 2 3 2" xfId="35523" xr:uid="{00000000-0005-0000-0000-0000D3740000}"/>
    <cellStyle name="Normal 5 4 3 2 4" xfId="35524" xr:uid="{00000000-0005-0000-0000-0000D4740000}"/>
    <cellStyle name="Normal 5 4 3 2 4 2" xfId="35525" xr:uid="{00000000-0005-0000-0000-0000D5740000}"/>
    <cellStyle name="Normal 5 4 3 2 5" xfId="35526" xr:uid="{00000000-0005-0000-0000-0000D6740000}"/>
    <cellStyle name="Normal 5 4 3 2 6" xfId="35527" xr:uid="{00000000-0005-0000-0000-0000D7740000}"/>
    <cellStyle name="Normal 5 4 3 3" xfId="35528" xr:uid="{00000000-0005-0000-0000-0000D8740000}"/>
    <cellStyle name="Normal 5 4 3 3 2" xfId="35529" xr:uid="{00000000-0005-0000-0000-0000D9740000}"/>
    <cellStyle name="Normal 5 4 3 3 2 2" xfId="35530" xr:uid="{00000000-0005-0000-0000-0000DA740000}"/>
    <cellStyle name="Normal 5 4 3 3 3" xfId="35531" xr:uid="{00000000-0005-0000-0000-0000DB740000}"/>
    <cellStyle name="Normal 5 4 3 3 3 2" xfId="35532" xr:uid="{00000000-0005-0000-0000-0000DC740000}"/>
    <cellStyle name="Normal 5 4 3 3 4" xfId="35533" xr:uid="{00000000-0005-0000-0000-0000DD740000}"/>
    <cellStyle name="Normal 5 4 3 3 4 2" xfId="35534" xr:uid="{00000000-0005-0000-0000-0000DE740000}"/>
    <cellStyle name="Normal 5 4 3 3 5" xfId="35535" xr:uid="{00000000-0005-0000-0000-0000DF740000}"/>
    <cellStyle name="Normal 5 4 3 3 6" xfId="35536" xr:uid="{00000000-0005-0000-0000-0000E0740000}"/>
    <cellStyle name="Normal 5 4 3 4" xfId="35537" xr:uid="{00000000-0005-0000-0000-0000E1740000}"/>
    <cellStyle name="Normal 5 4 3 4 2" xfId="35538" xr:uid="{00000000-0005-0000-0000-0000E2740000}"/>
    <cellStyle name="Normal 5 4 3 4 2 2" xfId="35539" xr:uid="{00000000-0005-0000-0000-0000E3740000}"/>
    <cellStyle name="Normal 5 4 3 4 3" xfId="35540" xr:uid="{00000000-0005-0000-0000-0000E4740000}"/>
    <cellStyle name="Normal 5 4 3 4 3 2" xfId="35541" xr:uid="{00000000-0005-0000-0000-0000E5740000}"/>
    <cellStyle name="Normal 5 4 3 4 4" xfId="35542" xr:uid="{00000000-0005-0000-0000-0000E6740000}"/>
    <cellStyle name="Normal 5 4 3 4 4 2" xfId="35543" xr:uid="{00000000-0005-0000-0000-0000E7740000}"/>
    <cellStyle name="Normal 5 4 3 4 5" xfId="35544" xr:uid="{00000000-0005-0000-0000-0000E8740000}"/>
    <cellStyle name="Normal 5 4 3 4 6" xfId="35545" xr:uid="{00000000-0005-0000-0000-0000E9740000}"/>
    <cellStyle name="Normal 5 4 3 5" xfId="35546" xr:uid="{00000000-0005-0000-0000-0000EA740000}"/>
    <cellStyle name="Normal 5 4 3 5 2" xfId="35547" xr:uid="{00000000-0005-0000-0000-0000EB740000}"/>
    <cellStyle name="Normal 5 4 3 5 2 2" xfId="35548" xr:uid="{00000000-0005-0000-0000-0000EC740000}"/>
    <cellStyle name="Normal 5 4 3 5 3" xfId="35549" xr:uid="{00000000-0005-0000-0000-0000ED740000}"/>
    <cellStyle name="Normal 5 4 3 5 3 2" xfId="35550" xr:uid="{00000000-0005-0000-0000-0000EE740000}"/>
    <cellStyle name="Normal 5 4 3 5 4" xfId="35551" xr:uid="{00000000-0005-0000-0000-0000EF740000}"/>
    <cellStyle name="Normal 5 4 3 5 5" xfId="35552" xr:uid="{00000000-0005-0000-0000-0000F0740000}"/>
    <cellStyle name="Normal 5 4 3 6" xfId="35553" xr:uid="{00000000-0005-0000-0000-0000F1740000}"/>
    <cellStyle name="Normal 5 4 3 6 2" xfId="35554" xr:uid="{00000000-0005-0000-0000-0000F2740000}"/>
    <cellStyle name="Normal 5 4 3 7" xfId="35555" xr:uid="{00000000-0005-0000-0000-0000F3740000}"/>
    <cellStyle name="Normal 5 4 3 7 2" xfId="35556" xr:uid="{00000000-0005-0000-0000-0000F4740000}"/>
    <cellStyle name="Normal 5 4 3 8" xfId="35557" xr:uid="{00000000-0005-0000-0000-0000F5740000}"/>
    <cellStyle name="Normal 5 4 3 8 2" xfId="35558" xr:uid="{00000000-0005-0000-0000-0000F6740000}"/>
    <cellStyle name="Normal 5 4 3 9" xfId="35559" xr:uid="{00000000-0005-0000-0000-0000F7740000}"/>
    <cellStyle name="Normal 5 4 4" xfId="12073" xr:uid="{00000000-0005-0000-0000-0000F8740000}"/>
    <cellStyle name="Normal 5 4 4 2" xfId="35561" xr:uid="{00000000-0005-0000-0000-0000F9740000}"/>
    <cellStyle name="Normal 5 4 4 2 2" xfId="35562" xr:uid="{00000000-0005-0000-0000-0000FA740000}"/>
    <cellStyle name="Normal 5 4 4 3" xfId="35563" xr:uid="{00000000-0005-0000-0000-0000FB740000}"/>
    <cellStyle name="Normal 5 4 4 3 2" xfId="35564" xr:uid="{00000000-0005-0000-0000-0000FC740000}"/>
    <cellStyle name="Normal 5 4 4 4" xfId="35565" xr:uid="{00000000-0005-0000-0000-0000FD740000}"/>
    <cellStyle name="Normal 5 4 4 4 2" xfId="35566" xr:uid="{00000000-0005-0000-0000-0000FE740000}"/>
    <cellStyle name="Normal 5 4 4 5" xfId="35567" xr:uid="{00000000-0005-0000-0000-0000FF740000}"/>
    <cellStyle name="Normal 5 4 4 6" xfId="35568" xr:uid="{00000000-0005-0000-0000-000000750000}"/>
    <cellStyle name="Normal 5 4 4 7" xfId="35560" xr:uid="{00000000-0005-0000-0000-000001750000}"/>
    <cellStyle name="Normal 5 4 5" xfId="35569" xr:uid="{00000000-0005-0000-0000-000002750000}"/>
    <cellStyle name="Normal 5 4 5 2" xfId="35570" xr:uid="{00000000-0005-0000-0000-000003750000}"/>
    <cellStyle name="Normal 5 4 5 2 2" xfId="35571" xr:uid="{00000000-0005-0000-0000-000004750000}"/>
    <cellStyle name="Normal 5 4 5 3" xfId="35572" xr:uid="{00000000-0005-0000-0000-000005750000}"/>
    <cellStyle name="Normal 5 4 5 3 2" xfId="35573" xr:uid="{00000000-0005-0000-0000-000006750000}"/>
    <cellStyle name="Normal 5 4 5 4" xfId="35574" xr:uid="{00000000-0005-0000-0000-000007750000}"/>
    <cellStyle name="Normal 5 4 5 4 2" xfId="35575" xr:uid="{00000000-0005-0000-0000-000008750000}"/>
    <cellStyle name="Normal 5 4 5 5" xfId="35576" xr:uid="{00000000-0005-0000-0000-000009750000}"/>
    <cellStyle name="Normal 5 4 5 6" xfId="35577" xr:uid="{00000000-0005-0000-0000-00000A750000}"/>
    <cellStyle name="Normal 5 4 6" xfId="35578" xr:uid="{00000000-0005-0000-0000-00000B750000}"/>
    <cellStyle name="Normal 5 4 6 2" xfId="35579" xr:uid="{00000000-0005-0000-0000-00000C750000}"/>
    <cellStyle name="Normal 5 4 6 2 2" xfId="35580" xr:uid="{00000000-0005-0000-0000-00000D750000}"/>
    <cellStyle name="Normal 5 4 6 3" xfId="35581" xr:uid="{00000000-0005-0000-0000-00000E750000}"/>
    <cellStyle name="Normal 5 4 6 3 2" xfId="35582" xr:uid="{00000000-0005-0000-0000-00000F750000}"/>
    <cellStyle name="Normal 5 4 6 4" xfId="35583" xr:uid="{00000000-0005-0000-0000-000010750000}"/>
    <cellStyle name="Normal 5 4 6 4 2" xfId="35584" xr:uid="{00000000-0005-0000-0000-000011750000}"/>
    <cellStyle name="Normal 5 4 6 5" xfId="35585" xr:uid="{00000000-0005-0000-0000-000012750000}"/>
    <cellStyle name="Normal 5 4 6 6" xfId="35586" xr:uid="{00000000-0005-0000-0000-000013750000}"/>
    <cellStyle name="Normal 5 4 7" xfId="35587" xr:uid="{00000000-0005-0000-0000-000014750000}"/>
    <cellStyle name="Normal 5 4 7 2" xfId="35588" xr:uid="{00000000-0005-0000-0000-000015750000}"/>
    <cellStyle name="Normal 5 4 7 2 2" xfId="35589" xr:uid="{00000000-0005-0000-0000-000016750000}"/>
    <cellStyle name="Normal 5 4 7 3" xfId="35590" xr:uid="{00000000-0005-0000-0000-000017750000}"/>
    <cellStyle name="Normal 5 4 7 3 2" xfId="35591" xr:uid="{00000000-0005-0000-0000-000018750000}"/>
    <cellStyle name="Normal 5 4 7 4" xfId="35592" xr:uid="{00000000-0005-0000-0000-000019750000}"/>
    <cellStyle name="Normal 5 4 7 5" xfId="35593" xr:uid="{00000000-0005-0000-0000-00001A750000}"/>
    <cellStyle name="Normal 5 4 8" xfId="35594" xr:uid="{00000000-0005-0000-0000-00001B750000}"/>
    <cellStyle name="Normal 5 4 8 2" xfId="35595" xr:uid="{00000000-0005-0000-0000-00001C750000}"/>
    <cellStyle name="Normal 5 4 9" xfId="35596" xr:uid="{00000000-0005-0000-0000-00001D750000}"/>
    <cellStyle name="Normal 5 4 9 2" xfId="35597" xr:uid="{00000000-0005-0000-0000-00001E750000}"/>
    <cellStyle name="Normal 5 5" xfId="12074" xr:uid="{00000000-0005-0000-0000-00001F750000}"/>
    <cellStyle name="Normal 5 5 10" xfId="35599" xr:uid="{00000000-0005-0000-0000-000020750000}"/>
    <cellStyle name="Normal 5 5 11" xfId="35600" xr:uid="{00000000-0005-0000-0000-000021750000}"/>
    <cellStyle name="Normal 5 5 12" xfId="35598" xr:uid="{00000000-0005-0000-0000-000022750000}"/>
    <cellStyle name="Normal 5 5 2" xfId="12075" xr:uid="{00000000-0005-0000-0000-000023750000}"/>
    <cellStyle name="Normal 5 5 2 2" xfId="12076" xr:uid="{00000000-0005-0000-0000-000024750000}"/>
    <cellStyle name="Normal 5 5 2 2 2" xfId="35603" xr:uid="{00000000-0005-0000-0000-000025750000}"/>
    <cellStyle name="Normal 5 5 2 2 3" xfId="35602" xr:uid="{00000000-0005-0000-0000-000026750000}"/>
    <cellStyle name="Normal 5 5 2 3" xfId="35604" xr:uid="{00000000-0005-0000-0000-000027750000}"/>
    <cellStyle name="Normal 5 5 2 3 2" xfId="35605" xr:uid="{00000000-0005-0000-0000-000028750000}"/>
    <cellStyle name="Normal 5 5 2 4" xfId="35606" xr:uid="{00000000-0005-0000-0000-000029750000}"/>
    <cellStyle name="Normal 5 5 2 4 2" xfId="35607" xr:uid="{00000000-0005-0000-0000-00002A750000}"/>
    <cellStyle name="Normal 5 5 2 5" xfId="35608" xr:uid="{00000000-0005-0000-0000-00002B750000}"/>
    <cellStyle name="Normal 5 5 2 6" xfId="35609" xr:uid="{00000000-0005-0000-0000-00002C750000}"/>
    <cellStyle name="Normal 5 5 2 7" xfId="35601" xr:uid="{00000000-0005-0000-0000-00002D750000}"/>
    <cellStyle name="Normal 5 5 3" xfId="12077" xr:uid="{00000000-0005-0000-0000-00002E750000}"/>
    <cellStyle name="Normal 5 5 3 2" xfId="35611" xr:uid="{00000000-0005-0000-0000-00002F750000}"/>
    <cellStyle name="Normal 5 5 3 2 2" xfId="35612" xr:uid="{00000000-0005-0000-0000-000030750000}"/>
    <cellStyle name="Normal 5 5 3 3" xfId="35613" xr:uid="{00000000-0005-0000-0000-000031750000}"/>
    <cellStyle name="Normal 5 5 3 3 2" xfId="35614" xr:uid="{00000000-0005-0000-0000-000032750000}"/>
    <cellStyle name="Normal 5 5 3 4" xfId="35615" xr:uid="{00000000-0005-0000-0000-000033750000}"/>
    <cellStyle name="Normal 5 5 3 4 2" xfId="35616" xr:uid="{00000000-0005-0000-0000-000034750000}"/>
    <cellStyle name="Normal 5 5 3 5" xfId="35617" xr:uid="{00000000-0005-0000-0000-000035750000}"/>
    <cellStyle name="Normal 5 5 3 6" xfId="35618" xr:uid="{00000000-0005-0000-0000-000036750000}"/>
    <cellStyle name="Normal 5 5 3 7" xfId="35610" xr:uid="{00000000-0005-0000-0000-000037750000}"/>
    <cellStyle name="Normal 5 5 4" xfId="12078" xr:uid="{00000000-0005-0000-0000-000038750000}"/>
    <cellStyle name="Normal 5 5 4 2" xfId="35620" xr:uid="{00000000-0005-0000-0000-000039750000}"/>
    <cellStyle name="Normal 5 5 4 2 2" xfId="35621" xr:uid="{00000000-0005-0000-0000-00003A750000}"/>
    <cellStyle name="Normal 5 5 4 3" xfId="35622" xr:uid="{00000000-0005-0000-0000-00003B750000}"/>
    <cellStyle name="Normal 5 5 4 3 2" xfId="35623" xr:uid="{00000000-0005-0000-0000-00003C750000}"/>
    <cellStyle name="Normal 5 5 4 4" xfId="35624" xr:uid="{00000000-0005-0000-0000-00003D750000}"/>
    <cellStyle name="Normal 5 5 4 4 2" xfId="35625" xr:uid="{00000000-0005-0000-0000-00003E750000}"/>
    <cellStyle name="Normal 5 5 4 5" xfId="35626" xr:uid="{00000000-0005-0000-0000-00003F750000}"/>
    <cellStyle name="Normal 5 5 4 6" xfId="35627" xr:uid="{00000000-0005-0000-0000-000040750000}"/>
    <cellStyle name="Normal 5 5 4 7" xfId="35619" xr:uid="{00000000-0005-0000-0000-000041750000}"/>
    <cellStyle name="Normal 5 5 5" xfId="35628" xr:uid="{00000000-0005-0000-0000-000042750000}"/>
    <cellStyle name="Normal 5 5 5 2" xfId="35629" xr:uid="{00000000-0005-0000-0000-000043750000}"/>
    <cellStyle name="Normal 5 5 5 2 2" xfId="35630" xr:uid="{00000000-0005-0000-0000-000044750000}"/>
    <cellStyle name="Normal 5 5 5 3" xfId="35631" xr:uid="{00000000-0005-0000-0000-000045750000}"/>
    <cellStyle name="Normal 5 5 5 3 2" xfId="35632" xr:uid="{00000000-0005-0000-0000-000046750000}"/>
    <cellStyle name="Normal 5 5 5 4" xfId="35633" xr:uid="{00000000-0005-0000-0000-000047750000}"/>
    <cellStyle name="Normal 5 5 5 4 2" xfId="35634" xr:uid="{00000000-0005-0000-0000-000048750000}"/>
    <cellStyle name="Normal 5 5 5 5" xfId="35635" xr:uid="{00000000-0005-0000-0000-000049750000}"/>
    <cellStyle name="Normal 5 5 5 6" xfId="35636" xr:uid="{00000000-0005-0000-0000-00004A750000}"/>
    <cellStyle name="Normal 5 5 6" xfId="35637" xr:uid="{00000000-0005-0000-0000-00004B750000}"/>
    <cellStyle name="Normal 5 5 6 2" xfId="35638" xr:uid="{00000000-0005-0000-0000-00004C750000}"/>
    <cellStyle name="Normal 5 5 6 2 2" xfId="35639" xr:uid="{00000000-0005-0000-0000-00004D750000}"/>
    <cellStyle name="Normal 5 5 6 3" xfId="35640" xr:uid="{00000000-0005-0000-0000-00004E750000}"/>
    <cellStyle name="Normal 5 5 6 3 2" xfId="35641" xr:uid="{00000000-0005-0000-0000-00004F750000}"/>
    <cellStyle name="Normal 5 5 6 4" xfId="35642" xr:uid="{00000000-0005-0000-0000-000050750000}"/>
    <cellStyle name="Normal 5 5 6 5" xfId="35643" xr:uid="{00000000-0005-0000-0000-000051750000}"/>
    <cellStyle name="Normal 5 5 7" xfId="35644" xr:uid="{00000000-0005-0000-0000-000052750000}"/>
    <cellStyle name="Normal 5 5 7 2" xfId="35645" xr:uid="{00000000-0005-0000-0000-000053750000}"/>
    <cellStyle name="Normal 5 5 8" xfId="35646" xr:uid="{00000000-0005-0000-0000-000054750000}"/>
    <cellStyle name="Normal 5 5 8 2" xfId="35647" xr:uid="{00000000-0005-0000-0000-000055750000}"/>
    <cellStyle name="Normal 5 5 9" xfId="35648" xr:uid="{00000000-0005-0000-0000-000056750000}"/>
    <cellStyle name="Normal 5 5 9 2" xfId="35649" xr:uid="{00000000-0005-0000-0000-000057750000}"/>
    <cellStyle name="Normal 5 6" xfId="12079" xr:uid="{00000000-0005-0000-0000-000058750000}"/>
    <cellStyle name="Normal 5 6 10" xfId="35651" xr:uid="{00000000-0005-0000-0000-000059750000}"/>
    <cellStyle name="Normal 5 6 11" xfId="35650" xr:uid="{00000000-0005-0000-0000-00005A750000}"/>
    <cellStyle name="Normal 5 6 2" xfId="12080" xr:uid="{00000000-0005-0000-0000-00005B750000}"/>
    <cellStyle name="Normal 5 6 2 2" xfId="35653" xr:uid="{00000000-0005-0000-0000-00005C750000}"/>
    <cellStyle name="Normal 5 6 2 2 2" xfId="35654" xr:uid="{00000000-0005-0000-0000-00005D750000}"/>
    <cellStyle name="Normal 5 6 2 3" xfId="35655" xr:uid="{00000000-0005-0000-0000-00005E750000}"/>
    <cellStyle name="Normal 5 6 2 3 2" xfId="35656" xr:uid="{00000000-0005-0000-0000-00005F750000}"/>
    <cellStyle name="Normal 5 6 2 4" xfId="35657" xr:uid="{00000000-0005-0000-0000-000060750000}"/>
    <cellStyle name="Normal 5 6 2 4 2" xfId="35658" xr:uid="{00000000-0005-0000-0000-000061750000}"/>
    <cellStyle name="Normal 5 6 2 5" xfId="35659" xr:uid="{00000000-0005-0000-0000-000062750000}"/>
    <cellStyle name="Normal 5 6 2 6" xfId="35660" xr:uid="{00000000-0005-0000-0000-000063750000}"/>
    <cellStyle name="Normal 5 6 2 7" xfId="35652" xr:uid="{00000000-0005-0000-0000-000064750000}"/>
    <cellStyle name="Normal 5 6 3" xfId="35661" xr:uid="{00000000-0005-0000-0000-000065750000}"/>
    <cellStyle name="Normal 5 6 3 2" xfId="35662" xr:uid="{00000000-0005-0000-0000-000066750000}"/>
    <cellStyle name="Normal 5 6 3 2 2" xfId="35663" xr:uid="{00000000-0005-0000-0000-000067750000}"/>
    <cellStyle name="Normal 5 6 3 3" xfId="35664" xr:uid="{00000000-0005-0000-0000-000068750000}"/>
    <cellStyle name="Normal 5 6 3 3 2" xfId="35665" xr:uid="{00000000-0005-0000-0000-000069750000}"/>
    <cellStyle name="Normal 5 6 3 4" xfId="35666" xr:uid="{00000000-0005-0000-0000-00006A750000}"/>
    <cellStyle name="Normal 5 6 3 4 2" xfId="35667" xr:uid="{00000000-0005-0000-0000-00006B750000}"/>
    <cellStyle name="Normal 5 6 3 5" xfId="35668" xr:uid="{00000000-0005-0000-0000-00006C750000}"/>
    <cellStyle name="Normal 5 6 3 6" xfId="35669" xr:uid="{00000000-0005-0000-0000-00006D750000}"/>
    <cellStyle name="Normal 5 6 4" xfId="35670" xr:uid="{00000000-0005-0000-0000-00006E750000}"/>
    <cellStyle name="Normal 5 6 4 2" xfId="35671" xr:uid="{00000000-0005-0000-0000-00006F750000}"/>
    <cellStyle name="Normal 5 6 4 2 2" xfId="35672" xr:uid="{00000000-0005-0000-0000-000070750000}"/>
    <cellStyle name="Normal 5 6 4 3" xfId="35673" xr:uid="{00000000-0005-0000-0000-000071750000}"/>
    <cellStyle name="Normal 5 6 4 3 2" xfId="35674" xr:uid="{00000000-0005-0000-0000-000072750000}"/>
    <cellStyle name="Normal 5 6 4 4" xfId="35675" xr:uid="{00000000-0005-0000-0000-000073750000}"/>
    <cellStyle name="Normal 5 6 4 4 2" xfId="35676" xr:uid="{00000000-0005-0000-0000-000074750000}"/>
    <cellStyle name="Normal 5 6 4 5" xfId="35677" xr:uid="{00000000-0005-0000-0000-000075750000}"/>
    <cellStyle name="Normal 5 6 4 6" xfId="35678" xr:uid="{00000000-0005-0000-0000-000076750000}"/>
    <cellStyle name="Normal 5 6 5" xfId="35679" xr:uid="{00000000-0005-0000-0000-000077750000}"/>
    <cellStyle name="Normal 5 6 5 2" xfId="35680" xr:uid="{00000000-0005-0000-0000-000078750000}"/>
    <cellStyle name="Normal 5 6 5 2 2" xfId="35681" xr:uid="{00000000-0005-0000-0000-000079750000}"/>
    <cellStyle name="Normal 5 6 5 3" xfId="35682" xr:uid="{00000000-0005-0000-0000-00007A750000}"/>
    <cellStyle name="Normal 5 6 5 3 2" xfId="35683" xr:uid="{00000000-0005-0000-0000-00007B750000}"/>
    <cellStyle name="Normal 5 6 5 4" xfId="35684" xr:uid="{00000000-0005-0000-0000-00007C750000}"/>
    <cellStyle name="Normal 5 6 5 5" xfId="35685" xr:uid="{00000000-0005-0000-0000-00007D750000}"/>
    <cellStyle name="Normal 5 6 6" xfId="35686" xr:uid="{00000000-0005-0000-0000-00007E750000}"/>
    <cellStyle name="Normal 5 6 6 2" xfId="35687" xr:uid="{00000000-0005-0000-0000-00007F750000}"/>
    <cellStyle name="Normal 5 6 7" xfId="35688" xr:uid="{00000000-0005-0000-0000-000080750000}"/>
    <cellStyle name="Normal 5 6 7 2" xfId="35689" xr:uid="{00000000-0005-0000-0000-000081750000}"/>
    <cellStyle name="Normal 5 6 8" xfId="35690" xr:uid="{00000000-0005-0000-0000-000082750000}"/>
    <cellStyle name="Normal 5 6 8 2" xfId="35691" xr:uid="{00000000-0005-0000-0000-000083750000}"/>
    <cellStyle name="Normal 5 6 9" xfId="35692" xr:uid="{00000000-0005-0000-0000-000084750000}"/>
    <cellStyle name="Normal 5 7" xfId="12081" xr:uid="{00000000-0005-0000-0000-000085750000}"/>
    <cellStyle name="Normal 5 7 10" xfId="35694" xr:uid="{00000000-0005-0000-0000-000086750000}"/>
    <cellStyle name="Normal 5 7 11" xfId="35693" xr:uid="{00000000-0005-0000-0000-000087750000}"/>
    <cellStyle name="Normal 5 7 2" xfId="35695" xr:uid="{00000000-0005-0000-0000-000088750000}"/>
    <cellStyle name="Normal 5 7 2 2" xfId="35696" xr:uid="{00000000-0005-0000-0000-000089750000}"/>
    <cellStyle name="Normal 5 7 2 2 2" xfId="35697" xr:uid="{00000000-0005-0000-0000-00008A750000}"/>
    <cellStyle name="Normal 5 7 2 3" xfId="35698" xr:uid="{00000000-0005-0000-0000-00008B750000}"/>
    <cellStyle name="Normal 5 7 2 3 2" xfId="35699" xr:uid="{00000000-0005-0000-0000-00008C750000}"/>
    <cellStyle name="Normal 5 7 2 4" xfId="35700" xr:uid="{00000000-0005-0000-0000-00008D750000}"/>
    <cellStyle name="Normal 5 7 2 4 2" xfId="35701" xr:uid="{00000000-0005-0000-0000-00008E750000}"/>
    <cellStyle name="Normal 5 7 2 5" xfId="35702" xr:uid="{00000000-0005-0000-0000-00008F750000}"/>
    <cellStyle name="Normal 5 7 2 6" xfId="35703" xr:uid="{00000000-0005-0000-0000-000090750000}"/>
    <cellStyle name="Normal 5 7 3" xfId="35704" xr:uid="{00000000-0005-0000-0000-000091750000}"/>
    <cellStyle name="Normal 5 7 3 2" xfId="35705" xr:uid="{00000000-0005-0000-0000-000092750000}"/>
    <cellStyle name="Normal 5 7 3 2 2" xfId="35706" xr:uid="{00000000-0005-0000-0000-000093750000}"/>
    <cellStyle name="Normal 5 7 3 3" xfId="35707" xr:uid="{00000000-0005-0000-0000-000094750000}"/>
    <cellStyle name="Normal 5 7 3 3 2" xfId="35708" xr:uid="{00000000-0005-0000-0000-000095750000}"/>
    <cellStyle name="Normal 5 7 3 4" xfId="35709" xr:uid="{00000000-0005-0000-0000-000096750000}"/>
    <cellStyle name="Normal 5 7 3 4 2" xfId="35710" xr:uid="{00000000-0005-0000-0000-000097750000}"/>
    <cellStyle name="Normal 5 7 3 5" xfId="35711" xr:uid="{00000000-0005-0000-0000-000098750000}"/>
    <cellStyle name="Normal 5 7 3 6" xfId="35712" xr:uid="{00000000-0005-0000-0000-000099750000}"/>
    <cellStyle name="Normal 5 7 4" xfId="35713" xr:uid="{00000000-0005-0000-0000-00009A750000}"/>
    <cellStyle name="Normal 5 7 4 2" xfId="35714" xr:uid="{00000000-0005-0000-0000-00009B750000}"/>
    <cellStyle name="Normal 5 7 4 2 2" xfId="35715" xr:uid="{00000000-0005-0000-0000-00009C750000}"/>
    <cellStyle name="Normal 5 7 4 3" xfId="35716" xr:uid="{00000000-0005-0000-0000-00009D750000}"/>
    <cellStyle name="Normal 5 7 4 3 2" xfId="35717" xr:uid="{00000000-0005-0000-0000-00009E750000}"/>
    <cellStyle name="Normal 5 7 4 4" xfId="35718" xr:uid="{00000000-0005-0000-0000-00009F750000}"/>
    <cellStyle name="Normal 5 7 4 4 2" xfId="35719" xr:uid="{00000000-0005-0000-0000-0000A0750000}"/>
    <cellStyle name="Normal 5 7 4 5" xfId="35720" xr:uid="{00000000-0005-0000-0000-0000A1750000}"/>
    <cellStyle name="Normal 5 7 4 6" xfId="35721" xr:uid="{00000000-0005-0000-0000-0000A2750000}"/>
    <cellStyle name="Normal 5 7 5" xfId="35722" xr:uid="{00000000-0005-0000-0000-0000A3750000}"/>
    <cellStyle name="Normal 5 7 5 2" xfId="35723" xr:uid="{00000000-0005-0000-0000-0000A4750000}"/>
    <cellStyle name="Normal 5 7 5 2 2" xfId="35724" xr:uid="{00000000-0005-0000-0000-0000A5750000}"/>
    <cellStyle name="Normal 5 7 5 3" xfId="35725" xr:uid="{00000000-0005-0000-0000-0000A6750000}"/>
    <cellStyle name="Normal 5 7 5 3 2" xfId="35726" xr:uid="{00000000-0005-0000-0000-0000A7750000}"/>
    <cellStyle name="Normal 5 7 5 4" xfId="35727" xr:uid="{00000000-0005-0000-0000-0000A8750000}"/>
    <cellStyle name="Normal 5 7 5 5" xfId="35728" xr:uid="{00000000-0005-0000-0000-0000A9750000}"/>
    <cellStyle name="Normal 5 7 6" xfId="35729" xr:uid="{00000000-0005-0000-0000-0000AA750000}"/>
    <cellStyle name="Normal 5 7 6 2" xfId="35730" xr:uid="{00000000-0005-0000-0000-0000AB750000}"/>
    <cellStyle name="Normal 5 7 7" xfId="35731" xr:uid="{00000000-0005-0000-0000-0000AC750000}"/>
    <cellStyle name="Normal 5 7 7 2" xfId="35732" xr:uid="{00000000-0005-0000-0000-0000AD750000}"/>
    <cellStyle name="Normal 5 7 8" xfId="35733" xr:uid="{00000000-0005-0000-0000-0000AE750000}"/>
    <cellStyle name="Normal 5 7 8 2" xfId="35734" xr:uid="{00000000-0005-0000-0000-0000AF750000}"/>
    <cellStyle name="Normal 5 7 9" xfId="35735" xr:uid="{00000000-0005-0000-0000-0000B0750000}"/>
    <cellStyle name="Normal 5 8" xfId="35736" xr:uid="{00000000-0005-0000-0000-0000B1750000}"/>
    <cellStyle name="Normal 5 8 2" xfId="35737" xr:uid="{00000000-0005-0000-0000-0000B2750000}"/>
    <cellStyle name="Normal 5 8 2 2" xfId="35738" xr:uid="{00000000-0005-0000-0000-0000B3750000}"/>
    <cellStyle name="Normal 5 8 3" xfId="35739" xr:uid="{00000000-0005-0000-0000-0000B4750000}"/>
    <cellStyle name="Normal 5 8 3 2" xfId="35740" xr:uid="{00000000-0005-0000-0000-0000B5750000}"/>
    <cellStyle name="Normal 5 8 4" xfId="35741" xr:uid="{00000000-0005-0000-0000-0000B6750000}"/>
    <cellStyle name="Normal 5 8 4 2" xfId="35742" xr:uid="{00000000-0005-0000-0000-0000B7750000}"/>
    <cellStyle name="Normal 5 8 5" xfId="35743" xr:uid="{00000000-0005-0000-0000-0000B8750000}"/>
    <cellStyle name="Normal 5 8 6" xfId="35744" xr:uid="{00000000-0005-0000-0000-0000B9750000}"/>
    <cellStyle name="Normal 5 9" xfId="35745" xr:uid="{00000000-0005-0000-0000-0000BA750000}"/>
    <cellStyle name="Normal 5 9 2" xfId="35746" xr:uid="{00000000-0005-0000-0000-0000BB750000}"/>
    <cellStyle name="Normal 5 9 2 2" xfId="35747" xr:uid="{00000000-0005-0000-0000-0000BC750000}"/>
    <cellStyle name="Normal 5 9 3" xfId="35748" xr:uid="{00000000-0005-0000-0000-0000BD750000}"/>
    <cellStyle name="Normal 5 9 3 2" xfId="35749" xr:uid="{00000000-0005-0000-0000-0000BE750000}"/>
    <cellStyle name="Normal 5 9 4" xfId="35750" xr:uid="{00000000-0005-0000-0000-0000BF750000}"/>
    <cellStyle name="Normal 5 9 4 2" xfId="35751" xr:uid="{00000000-0005-0000-0000-0000C0750000}"/>
    <cellStyle name="Normal 5 9 5" xfId="35752" xr:uid="{00000000-0005-0000-0000-0000C1750000}"/>
    <cellStyle name="Normal 5 9 6" xfId="35753" xr:uid="{00000000-0005-0000-0000-0000C2750000}"/>
    <cellStyle name="Normal 50" xfId="12082" xr:uid="{00000000-0005-0000-0000-0000C3750000}"/>
    <cellStyle name="Normal 50 2" xfId="35754" xr:uid="{00000000-0005-0000-0000-0000C4750000}"/>
    <cellStyle name="Normal 51" xfId="12083" xr:uid="{00000000-0005-0000-0000-0000C5750000}"/>
    <cellStyle name="Normal 51 2" xfId="35755" xr:uid="{00000000-0005-0000-0000-0000C6750000}"/>
    <cellStyle name="Normal 52" xfId="12084" xr:uid="{00000000-0005-0000-0000-0000C7750000}"/>
    <cellStyle name="Normal 52 2" xfId="12085" xr:uid="{00000000-0005-0000-0000-0000C8750000}"/>
    <cellStyle name="Normal 52 2 2" xfId="12086" xr:uid="{00000000-0005-0000-0000-0000C9750000}"/>
    <cellStyle name="Normal 52 3" xfId="12087" xr:uid="{00000000-0005-0000-0000-0000CA750000}"/>
    <cellStyle name="Normal 52 4" xfId="12088" xr:uid="{00000000-0005-0000-0000-0000CB750000}"/>
    <cellStyle name="Normal 52 5" xfId="35756" xr:uid="{00000000-0005-0000-0000-0000CC750000}"/>
    <cellStyle name="Normal 53" xfId="12089" xr:uid="{00000000-0005-0000-0000-0000CD750000}"/>
    <cellStyle name="Normal 53 2" xfId="12090" xr:uid="{00000000-0005-0000-0000-0000CE750000}"/>
    <cellStyle name="Normal 53 2 2" xfId="12091" xr:uid="{00000000-0005-0000-0000-0000CF750000}"/>
    <cellStyle name="Normal 53 3" xfId="12092" xr:uid="{00000000-0005-0000-0000-0000D0750000}"/>
    <cellStyle name="Normal 53 4" xfId="12093" xr:uid="{00000000-0005-0000-0000-0000D1750000}"/>
    <cellStyle name="Normal 53 5" xfId="35757" xr:uid="{00000000-0005-0000-0000-0000D2750000}"/>
    <cellStyle name="Normal 54" xfId="12094" xr:uid="{00000000-0005-0000-0000-0000D3750000}"/>
    <cellStyle name="Normal 54 2" xfId="12095" xr:uid="{00000000-0005-0000-0000-0000D4750000}"/>
    <cellStyle name="Normal 54 2 2" xfId="12096" xr:uid="{00000000-0005-0000-0000-0000D5750000}"/>
    <cellStyle name="Normal 54 3" xfId="12097" xr:uid="{00000000-0005-0000-0000-0000D6750000}"/>
    <cellStyle name="Normal 54 4" xfId="12098" xr:uid="{00000000-0005-0000-0000-0000D7750000}"/>
    <cellStyle name="Normal 54 5" xfId="35758" xr:uid="{00000000-0005-0000-0000-0000D8750000}"/>
    <cellStyle name="Normal 55" xfId="12099" xr:uid="{00000000-0005-0000-0000-0000D9750000}"/>
    <cellStyle name="Normal 55 2" xfId="12100" xr:uid="{00000000-0005-0000-0000-0000DA750000}"/>
    <cellStyle name="Normal 55 3" xfId="35759" xr:uid="{00000000-0005-0000-0000-0000DB750000}"/>
    <cellStyle name="Normal 56" xfId="12101" xr:uid="{00000000-0005-0000-0000-0000DC750000}"/>
    <cellStyle name="Normal 56 2" xfId="12102" xr:uid="{00000000-0005-0000-0000-0000DD750000}"/>
    <cellStyle name="Normal 56 3" xfId="35760" xr:uid="{00000000-0005-0000-0000-0000DE750000}"/>
    <cellStyle name="Normal 57" xfId="12103" xr:uid="{00000000-0005-0000-0000-0000DF750000}"/>
    <cellStyle name="Normal 57 2" xfId="12104" xr:uid="{00000000-0005-0000-0000-0000E0750000}"/>
    <cellStyle name="Normal 57 2 2" xfId="35762" xr:uid="{00000000-0005-0000-0000-0000E1750000}"/>
    <cellStyle name="Normal 57 3" xfId="35761" xr:uid="{00000000-0005-0000-0000-0000E2750000}"/>
    <cellStyle name="Normal 58" xfId="12105" xr:uid="{00000000-0005-0000-0000-0000E3750000}"/>
    <cellStyle name="Normal 58 2" xfId="12106" xr:uid="{00000000-0005-0000-0000-0000E4750000}"/>
    <cellStyle name="Normal 58 2 2" xfId="35764" xr:uid="{00000000-0005-0000-0000-0000E5750000}"/>
    <cellStyle name="Normal 58 3" xfId="35763" xr:uid="{00000000-0005-0000-0000-0000E6750000}"/>
    <cellStyle name="Normal 59" xfId="12107" xr:uid="{00000000-0005-0000-0000-0000E7750000}"/>
    <cellStyle name="Normal 59 2" xfId="12108" xr:uid="{00000000-0005-0000-0000-0000E8750000}"/>
    <cellStyle name="Normal 59 3" xfId="12109" xr:uid="{00000000-0005-0000-0000-0000E9750000}"/>
    <cellStyle name="Normal 59 4" xfId="35765" xr:uid="{00000000-0005-0000-0000-0000EA750000}"/>
    <cellStyle name="Normal 6" xfId="7319" xr:uid="{00000000-0005-0000-0000-0000EB750000}"/>
    <cellStyle name="Normal 6 10" xfId="35766" xr:uid="{00000000-0005-0000-0000-0000EC750000}"/>
    <cellStyle name="Normal 6 10 2" xfId="35767" xr:uid="{00000000-0005-0000-0000-0000ED750000}"/>
    <cellStyle name="Normal 6 10 2 2" xfId="35768" xr:uid="{00000000-0005-0000-0000-0000EE750000}"/>
    <cellStyle name="Normal 6 10 3" xfId="35769" xr:uid="{00000000-0005-0000-0000-0000EF750000}"/>
    <cellStyle name="Normal 6 10 3 2" xfId="35770" xr:uid="{00000000-0005-0000-0000-0000F0750000}"/>
    <cellStyle name="Normal 6 10 4" xfId="35771" xr:uid="{00000000-0005-0000-0000-0000F1750000}"/>
    <cellStyle name="Normal 6 10 4 2" xfId="35772" xr:uid="{00000000-0005-0000-0000-0000F2750000}"/>
    <cellStyle name="Normal 6 10 5" xfId="35773" xr:uid="{00000000-0005-0000-0000-0000F3750000}"/>
    <cellStyle name="Normal 6 10 6" xfId="35774" xr:uid="{00000000-0005-0000-0000-0000F4750000}"/>
    <cellStyle name="Normal 6 11" xfId="35775" xr:uid="{00000000-0005-0000-0000-0000F5750000}"/>
    <cellStyle name="Normal 6 11 2" xfId="35776" xr:uid="{00000000-0005-0000-0000-0000F6750000}"/>
    <cellStyle name="Normal 6 11 2 2" xfId="35777" xr:uid="{00000000-0005-0000-0000-0000F7750000}"/>
    <cellStyle name="Normal 6 11 3" xfId="35778" xr:uid="{00000000-0005-0000-0000-0000F8750000}"/>
    <cellStyle name="Normal 6 11 3 2" xfId="35779" xr:uid="{00000000-0005-0000-0000-0000F9750000}"/>
    <cellStyle name="Normal 6 11 4" xfId="35780" xr:uid="{00000000-0005-0000-0000-0000FA750000}"/>
    <cellStyle name="Normal 6 11 5" xfId="35781" xr:uid="{00000000-0005-0000-0000-0000FB750000}"/>
    <cellStyle name="Normal 6 12" xfId="35782" xr:uid="{00000000-0005-0000-0000-0000FC750000}"/>
    <cellStyle name="Normal 6 12 2" xfId="35783" xr:uid="{00000000-0005-0000-0000-0000FD750000}"/>
    <cellStyle name="Normal 6 13" xfId="35784" xr:uid="{00000000-0005-0000-0000-0000FE750000}"/>
    <cellStyle name="Normal 6 13 2" xfId="35785" xr:uid="{00000000-0005-0000-0000-0000FF750000}"/>
    <cellStyle name="Normal 6 14" xfId="35786" xr:uid="{00000000-0005-0000-0000-000000760000}"/>
    <cellStyle name="Normal 6 14 2" xfId="35787" xr:uid="{00000000-0005-0000-0000-000001760000}"/>
    <cellStyle name="Normal 6 15" xfId="35788" xr:uid="{00000000-0005-0000-0000-000002760000}"/>
    <cellStyle name="Normal 6 16" xfId="35789" xr:uid="{00000000-0005-0000-0000-000003760000}"/>
    <cellStyle name="Normal 6 17" xfId="35790" xr:uid="{00000000-0005-0000-0000-000004760000}"/>
    <cellStyle name="Normal 6 18" xfId="17696" xr:uid="{00000000-0005-0000-0000-000005760000}"/>
    <cellStyle name="Normal 6 2" xfId="12110" xr:uid="{00000000-0005-0000-0000-000006760000}"/>
    <cellStyle name="Normal 6 2 10" xfId="35792" xr:uid="{00000000-0005-0000-0000-000007760000}"/>
    <cellStyle name="Normal 6 2 10 2" xfId="35793" xr:uid="{00000000-0005-0000-0000-000008760000}"/>
    <cellStyle name="Normal 6 2 11" xfId="35794" xr:uid="{00000000-0005-0000-0000-000009760000}"/>
    <cellStyle name="Normal 6 2 11 2" xfId="35795" xr:uid="{00000000-0005-0000-0000-00000A760000}"/>
    <cellStyle name="Normal 6 2 12" xfId="35796" xr:uid="{00000000-0005-0000-0000-00000B760000}"/>
    <cellStyle name="Normal 6 2 13" xfId="35797" xr:uid="{00000000-0005-0000-0000-00000C760000}"/>
    <cellStyle name="Normal 6 2 14" xfId="35791" xr:uid="{00000000-0005-0000-0000-00000D760000}"/>
    <cellStyle name="Normal 6 2 2" xfId="12111" xr:uid="{00000000-0005-0000-0000-00000E760000}"/>
    <cellStyle name="Normal 6 2 2 10" xfId="35799" xr:uid="{00000000-0005-0000-0000-00000F760000}"/>
    <cellStyle name="Normal 6 2 2 11" xfId="35800" xr:uid="{00000000-0005-0000-0000-000010760000}"/>
    <cellStyle name="Normal 6 2 2 12" xfId="35798" xr:uid="{00000000-0005-0000-0000-000011760000}"/>
    <cellStyle name="Normal 6 2 2 2" xfId="12112" xr:uid="{00000000-0005-0000-0000-000012760000}"/>
    <cellStyle name="Normal 6 2 2 2 2" xfId="12113" xr:uid="{00000000-0005-0000-0000-000013760000}"/>
    <cellStyle name="Normal 6 2 2 2 2 2" xfId="12114" xr:uid="{00000000-0005-0000-0000-000014760000}"/>
    <cellStyle name="Normal 6 2 2 2 2 2 2" xfId="35803" xr:uid="{00000000-0005-0000-0000-000015760000}"/>
    <cellStyle name="Normal 6 2 2 2 2 3" xfId="35802" xr:uid="{00000000-0005-0000-0000-000016760000}"/>
    <cellStyle name="Normal 6 2 2 2 3" xfId="12115" xr:uid="{00000000-0005-0000-0000-000017760000}"/>
    <cellStyle name="Normal 6 2 2 2 3 2" xfId="35805" xr:uid="{00000000-0005-0000-0000-000018760000}"/>
    <cellStyle name="Normal 6 2 2 2 3 3" xfId="35804" xr:uid="{00000000-0005-0000-0000-000019760000}"/>
    <cellStyle name="Normal 6 2 2 2 4" xfId="12116" xr:uid="{00000000-0005-0000-0000-00001A760000}"/>
    <cellStyle name="Normal 6 2 2 2 4 2" xfId="35807" xr:uid="{00000000-0005-0000-0000-00001B760000}"/>
    <cellStyle name="Normal 6 2 2 2 4 3" xfId="35806" xr:uid="{00000000-0005-0000-0000-00001C760000}"/>
    <cellStyle name="Normal 6 2 2 2 5" xfId="35808" xr:uid="{00000000-0005-0000-0000-00001D760000}"/>
    <cellStyle name="Normal 6 2 2 2 6" xfId="35809" xr:uid="{00000000-0005-0000-0000-00001E760000}"/>
    <cellStyle name="Normal 6 2 2 2 7" xfId="35801" xr:uid="{00000000-0005-0000-0000-00001F760000}"/>
    <cellStyle name="Normal 6 2 2 3" xfId="12117" xr:uid="{00000000-0005-0000-0000-000020760000}"/>
    <cellStyle name="Normal 6 2 2 3 2" xfId="12118" xr:uid="{00000000-0005-0000-0000-000021760000}"/>
    <cellStyle name="Normal 6 2 2 3 2 2" xfId="35812" xr:uid="{00000000-0005-0000-0000-000022760000}"/>
    <cellStyle name="Normal 6 2 2 3 2 3" xfId="35811" xr:uid="{00000000-0005-0000-0000-000023760000}"/>
    <cellStyle name="Normal 6 2 2 3 3" xfId="35813" xr:uid="{00000000-0005-0000-0000-000024760000}"/>
    <cellStyle name="Normal 6 2 2 3 3 2" xfId="35814" xr:uid="{00000000-0005-0000-0000-000025760000}"/>
    <cellStyle name="Normal 6 2 2 3 4" xfId="35815" xr:uid="{00000000-0005-0000-0000-000026760000}"/>
    <cellStyle name="Normal 6 2 2 3 4 2" xfId="35816" xr:uid="{00000000-0005-0000-0000-000027760000}"/>
    <cellStyle name="Normal 6 2 2 3 5" xfId="35817" xr:uid="{00000000-0005-0000-0000-000028760000}"/>
    <cellStyle name="Normal 6 2 2 3 6" xfId="35818" xr:uid="{00000000-0005-0000-0000-000029760000}"/>
    <cellStyle name="Normal 6 2 2 3 7" xfId="35810" xr:uid="{00000000-0005-0000-0000-00002A760000}"/>
    <cellStyle name="Normal 6 2 2 4" xfId="12119" xr:uid="{00000000-0005-0000-0000-00002B760000}"/>
    <cellStyle name="Normal 6 2 2 4 2" xfId="35820" xr:uid="{00000000-0005-0000-0000-00002C760000}"/>
    <cellStyle name="Normal 6 2 2 4 2 2" xfId="35821" xr:uid="{00000000-0005-0000-0000-00002D760000}"/>
    <cellStyle name="Normal 6 2 2 4 3" xfId="35822" xr:uid="{00000000-0005-0000-0000-00002E760000}"/>
    <cellStyle name="Normal 6 2 2 4 3 2" xfId="35823" xr:uid="{00000000-0005-0000-0000-00002F760000}"/>
    <cellStyle name="Normal 6 2 2 4 4" xfId="35824" xr:uid="{00000000-0005-0000-0000-000030760000}"/>
    <cellStyle name="Normal 6 2 2 4 4 2" xfId="35825" xr:uid="{00000000-0005-0000-0000-000031760000}"/>
    <cellStyle name="Normal 6 2 2 4 5" xfId="35826" xr:uid="{00000000-0005-0000-0000-000032760000}"/>
    <cellStyle name="Normal 6 2 2 4 6" xfId="35827" xr:uid="{00000000-0005-0000-0000-000033760000}"/>
    <cellStyle name="Normal 6 2 2 4 7" xfId="35819" xr:uid="{00000000-0005-0000-0000-000034760000}"/>
    <cellStyle name="Normal 6 2 2 5" xfId="12120" xr:uid="{00000000-0005-0000-0000-000035760000}"/>
    <cellStyle name="Normal 6 2 2 5 2" xfId="35829" xr:uid="{00000000-0005-0000-0000-000036760000}"/>
    <cellStyle name="Normal 6 2 2 5 2 2" xfId="35830" xr:uid="{00000000-0005-0000-0000-000037760000}"/>
    <cellStyle name="Normal 6 2 2 5 3" xfId="35831" xr:uid="{00000000-0005-0000-0000-000038760000}"/>
    <cellStyle name="Normal 6 2 2 5 3 2" xfId="35832" xr:uid="{00000000-0005-0000-0000-000039760000}"/>
    <cellStyle name="Normal 6 2 2 5 4" xfId="35833" xr:uid="{00000000-0005-0000-0000-00003A760000}"/>
    <cellStyle name="Normal 6 2 2 5 4 2" xfId="35834" xr:uid="{00000000-0005-0000-0000-00003B760000}"/>
    <cellStyle name="Normal 6 2 2 5 5" xfId="35835" xr:uid="{00000000-0005-0000-0000-00003C760000}"/>
    <cellStyle name="Normal 6 2 2 5 6" xfId="35836" xr:uid="{00000000-0005-0000-0000-00003D760000}"/>
    <cellStyle name="Normal 6 2 2 5 7" xfId="35828" xr:uid="{00000000-0005-0000-0000-00003E760000}"/>
    <cellStyle name="Normal 6 2 2 6" xfId="35837" xr:uid="{00000000-0005-0000-0000-00003F760000}"/>
    <cellStyle name="Normal 6 2 2 6 2" xfId="35838" xr:uid="{00000000-0005-0000-0000-000040760000}"/>
    <cellStyle name="Normal 6 2 2 6 2 2" xfId="35839" xr:uid="{00000000-0005-0000-0000-000041760000}"/>
    <cellStyle name="Normal 6 2 2 6 3" xfId="35840" xr:uid="{00000000-0005-0000-0000-000042760000}"/>
    <cellStyle name="Normal 6 2 2 6 3 2" xfId="35841" xr:uid="{00000000-0005-0000-0000-000043760000}"/>
    <cellStyle name="Normal 6 2 2 6 4" xfId="35842" xr:uid="{00000000-0005-0000-0000-000044760000}"/>
    <cellStyle name="Normal 6 2 2 6 5" xfId="35843" xr:uid="{00000000-0005-0000-0000-000045760000}"/>
    <cellStyle name="Normal 6 2 2 7" xfId="35844" xr:uid="{00000000-0005-0000-0000-000046760000}"/>
    <cellStyle name="Normal 6 2 2 7 2" xfId="35845" xr:uid="{00000000-0005-0000-0000-000047760000}"/>
    <cellStyle name="Normal 6 2 2 8" xfId="35846" xr:uid="{00000000-0005-0000-0000-000048760000}"/>
    <cellStyle name="Normal 6 2 2 8 2" xfId="35847" xr:uid="{00000000-0005-0000-0000-000049760000}"/>
    <cellStyle name="Normal 6 2 2 9" xfId="35848" xr:uid="{00000000-0005-0000-0000-00004A760000}"/>
    <cellStyle name="Normal 6 2 2 9 2" xfId="35849" xr:uid="{00000000-0005-0000-0000-00004B760000}"/>
    <cellStyle name="Normal 6 2 3" xfId="12121" xr:uid="{00000000-0005-0000-0000-00004C760000}"/>
    <cellStyle name="Normal 6 2 3 10" xfId="35851" xr:uid="{00000000-0005-0000-0000-00004D760000}"/>
    <cellStyle name="Normal 6 2 3 11" xfId="35850" xr:uid="{00000000-0005-0000-0000-00004E760000}"/>
    <cellStyle name="Normal 6 2 3 2" xfId="12122" xr:uid="{00000000-0005-0000-0000-00004F760000}"/>
    <cellStyle name="Normal 6 2 3 2 2" xfId="12123" xr:uid="{00000000-0005-0000-0000-000050760000}"/>
    <cellStyle name="Normal 6 2 3 2 2 2" xfId="35854" xr:uid="{00000000-0005-0000-0000-000051760000}"/>
    <cellStyle name="Normal 6 2 3 2 2 3" xfId="35853" xr:uid="{00000000-0005-0000-0000-000052760000}"/>
    <cellStyle name="Normal 6 2 3 2 3" xfId="35855" xr:uid="{00000000-0005-0000-0000-000053760000}"/>
    <cellStyle name="Normal 6 2 3 2 3 2" xfId="35856" xr:uid="{00000000-0005-0000-0000-000054760000}"/>
    <cellStyle name="Normal 6 2 3 2 4" xfId="35857" xr:uid="{00000000-0005-0000-0000-000055760000}"/>
    <cellStyle name="Normal 6 2 3 2 4 2" xfId="35858" xr:uid="{00000000-0005-0000-0000-000056760000}"/>
    <cellStyle name="Normal 6 2 3 2 5" xfId="35859" xr:uid="{00000000-0005-0000-0000-000057760000}"/>
    <cellStyle name="Normal 6 2 3 2 6" xfId="35860" xr:uid="{00000000-0005-0000-0000-000058760000}"/>
    <cellStyle name="Normal 6 2 3 2 7" xfId="35852" xr:uid="{00000000-0005-0000-0000-000059760000}"/>
    <cellStyle name="Normal 6 2 3 3" xfId="12124" xr:uid="{00000000-0005-0000-0000-00005A760000}"/>
    <cellStyle name="Normal 6 2 3 3 2" xfId="35862" xr:uid="{00000000-0005-0000-0000-00005B760000}"/>
    <cellStyle name="Normal 6 2 3 3 2 2" xfId="35863" xr:uid="{00000000-0005-0000-0000-00005C760000}"/>
    <cellStyle name="Normal 6 2 3 3 3" xfId="35864" xr:uid="{00000000-0005-0000-0000-00005D760000}"/>
    <cellStyle name="Normal 6 2 3 3 3 2" xfId="35865" xr:uid="{00000000-0005-0000-0000-00005E760000}"/>
    <cellStyle name="Normal 6 2 3 3 4" xfId="35866" xr:uid="{00000000-0005-0000-0000-00005F760000}"/>
    <cellStyle name="Normal 6 2 3 3 4 2" xfId="35867" xr:uid="{00000000-0005-0000-0000-000060760000}"/>
    <cellStyle name="Normal 6 2 3 3 5" xfId="35868" xr:uid="{00000000-0005-0000-0000-000061760000}"/>
    <cellStyle name="Normal 6 2 3 3 6" xfId="35869" xr:uid="{00000000-0005-0000-0000-000062760000}"/>
    <cellStyle name="Normal 6 2 3 3 7" xfId="35861" xr:uid="{00000000-0005-0000-0000-000063760000}"/>
    <cellStyle name="Normal 6 2 3 4" xfId="12125" xr:uid="{00000000-0005-0000-0000-000064760000}"/>
    <cellStyle name="Normal 6 2 3 4 2" xfId="35871" xr:uid="{00000000-0005-0000-0000-000065760000}"/>
    <cellStyle name="Normal 6 2 3 4 2 2" xfId="35872" xr:uid="{00000000-0005-0000-0000-000066760000}"/>
    <cellStyle name="Normal 6 2 3 4 3" xfId="35873" xr:uid="{00000000-0005-0000-0000-000067760000}"/>
    <cellStyle name="Normal 6 2 3 4 3 2" xfId="35874" xr:uid="{00000000-0005-0000-0000-000068760000}"/>
    <cellStyle name="Normal 6 2 3 4 4" xfId="35875" xr:uid="{00000000-0005-0000-0000-000069760000}"/>
    <cellStyle name="Normal 6 2 3 4 4 2" xfId="35876" xr:uid="{00000000-0005-0000-0000-00006A760000}"/>
    <cellStyle name="Normal 6 2 3 4 5" xfId="35877" xr:uid="{00000000-0005-0000-0000-00006B760000}"/>
    <cellStyle name="Normal 6 2 3 4 6" xfId="35878" xr:uid="{00000000-0005-0000-0000-00006C760000}"/>
    <cellStyle name="Normal 6 2 3 4 7" xfId="35870" xr:uid="{00000000-0005-0000-0000-00006D760000}"/>
    <cellStyle name="Normal 6 2 3 5" xfId="35879" xr:uid="{00000000-0005-0000-0000-00006E760000}"/>
    <cellStyle name="Normal 6 2 3 5 2" xfId="35880" xr:uid="{00000000-0005-0000-0000-00006F760000}"/>
    <cellStyle name="Normal 6 2 3 5 2 2" xfId="35881" xr:uid="{00000000-0005-0000-0000-000070760000}"/>
    <cellStyle name="Normal 6 2 3 5 3" xfId="35882" xr:uid="{00000000-0005-0000-0000-000071760000}"/>
    <cellStyle name="Normal 6 2 3 5 3 2" xfId="35883" xr:uid="{00000000-0005-0000-0000-000072760000}"/>
    <cellStyle name="Normal 6 2 3 5 4" xfId="35884" xr:uid="{00000000-0005-0000-0000-000073760000}"/>
    <cellStyle name="Normal 6 2 3 5 5" xfId="35885" xr:uid="{00000000-0005-0000-0000-000074760000}"/>
    <cellStyle name="Normal 6 2 3 6" xfId="35886" xr:uid="{00000000-0005-0000-0000-000075760000}"/>
    <cellStyle name="Normal 6 2 3 6 2" xfId="35887" xr:uid="{00000000-0005-0000-0000-000076760000}"/>
    <cellStyle name="Normal 6 2 3 7" xfId="35888" xr:uid="{00000000-0005-0000-0000-000077760000}"/>
    <cellStyle name="Normal 6 2 3 7 2" xfId="35889" xr:uid="{00000000-0005-0000-0000-000078760000}"/>
    <cellStyle name="Normal 6 2 3 8" xfId="35890" xr:uid="{00000000-0005-0000-0000-000079760000}"/>
    <cellStyle name="Normal 6 2 3 8 2" xfId="35891" xr:uid="{00000000-0005-0000-0000-00007A760000}"/>
    <cellStyle name="Normal 6 2 3 9" xfId="35892" xr:uid="{00000000-0005-0000-0000-00007B760000}"/>
    <cellStyle name="Normal 6 2 4" xfId="12126" xr:uid="{00000000-0005-0000-0000-00007C760000}"/>
    <cellStyle name="Normal 6 2 4 10" xfId="35894" xr:uid="{00000000-0005-0000-0000-00007D760000}"/>
    <cellStyle name="Normal 6 2 4 11" xfId="35893" xr:uid="{00000000-0005-0000-0000-00007E760000}"/>
    <cellStyle name="Normal 6 2 4 2" xfId="12127" xr:uid="{00000000-0005-0000-0000-00007F760000}"/>
    <cellStyle name="Normal 6 2 4 2 2" xfId="12128" xr:uid="{00000000-0005-0000-0000-000080760000}"/>
    <cellStyle name="Normal 6 2 4 2 2 2" xfId="35897" xr:uid="{00000000-0005-0000-0000-000081760000}"/>
    <cellStyle name="Normal 6 2 4 2 2 3" xfId="35896" xr:uid="{00000000-0005-0000-0000-000082760000}"/>
    <cellStyle name="Normal 6 2 4 2 3" xfId="35898" xr:uid="{00000000-0005-0000-0000-000083760000}"/>
    <cellStyle name="Normal 6 2 4 2 3 2" xfId="35899" xr:uid="{00000000-0005-0000-0000-000084760000}"/>
    <cellStyle name="Normal 6 2 4 2 4" xfId="35900" xr:uid="{00000000-0005-0000-0000-000085760000}"/>
    <cellStyle name="Normal 6 2 4 2 4 2" xfId="35901" xr:uid="{00000000-0005-0000-0000-000086760000}"/>
    <cellStyle name="Normal 6 2 4 2 5" xfId="35902" xr:uid="{00000000-0005-0000-0000-000087760000}"/>
    <cellStyle name="Normal 6 2 4 2 6" xfId="35903" xr:uid="{00000000-0005-0000-0000-000088760000}"/>
    <cellStyle name="Normal 6 2 4 2 7" xfId="35895" xr:uid="{00000000-0005-0000-0000-000089760000}"/>
    <cellStyle name="Normal 6 2 4 3" xfId="12129" xr:uid="{00000000-0005-0000-0000-00008A760000}"/>
    <cellStyle name="Normal 6 2 4 3 2" xfId="35905" xr:uid="{00000000-0005-0000-0000-00008B760000}"/>
    <cellStyle name="Normal 6 2 4 3 2 2" xfId="35906" xr:uid="{00000000-0005-0000-0000-00008C760000}"/>
    <cellStyle name="Normal 6 2 4 3 3" xfId="35907" xr:uid="{00000000-0005-0000-0000-00008D760000}"/>
    <cellStyle name="Normal 6 2 4 3 3 2" xfId="35908" xr:uid="{00000000-0005-0000-0000-00008E760000}"/>
    <cellStyle name="Normal 6 2 4 3 4" xfId="35909" xr:uid="{00000000-0005-0000-0000-00008F760000}"/>
    <cellStyle name="Normal 6 2 4 3 4 2" xfId="35910" xr:uid="{00000000-0005-0000-0000-000090760000}"/>
    <cellStyle name="Normal 6 2 4 3 5" xfId="35911" xr:uid="{00000000-0005-0000-0000-000091760000}"/>
    <cellStyle name="Normal 6 2 4 3 6" xfId="35912" xr:uid="{00000000-0005-0000-0000-000092760000}"/>
    <cellStyle name="Normal 6 2 4 3 7" xfId="35904" xr:uid="{00000000-0005-0000-0000-000093760000}"/>
    <cellStyle name="Normal 6 2 4 4" xfId="12130" xr:uid="{00000000-0005-0000-0000-000094760000}"/>
    <cellStyle name="Normal 6 2 4 4 2" xfId="35914" xr:uid="{00000000-0005-0000-0000-000095760000}"/>
    <cellStyle name="Normal 6 2 4 4 2 2" xfId="35915" xr:uid="{00000000-0005-0000-0000-000096760000}"/>
    <cellStyle name="Normal 6 2 4 4 3" xfId="35916" xr:uid="{00000000-0005-0000-0000-000097760000}"/>
    <cellStyle name="Normal 6 2 4 4 3 2" xfId="35917" xr:uid="{00000000-0005-0000-0000-000098760000}"/>
    <cellStyle name="Normal 6 2 4 4 4" xfId="35918" xr:uid="{00000000-0005-0000-0000-000099760000}"/>
    <cellStyle name="Normal 6 2 4 4 4 2" xfId="35919" xr:uid="{00000000-0005-0000-0000-00009A760000}"/>
    <cellStyle name="Normal 6 2 4 4 5" xfId="35920" xr:uid="{00000000-0005-0000-0000-00009B760000}"/>
    <cellStyle name="Normal 6 2 4 4 6" xfId="35921" xr:uid="{00000000-0005-0000-0000-00009C760000}"/>
    <cellStyle name="Normal 6 2 4 4 7" xfId="35913" xr:uid="{00000000-0005-0000-0000-00009D760000}"/>
    <cellStyle name="Normal 6 2 4 5" xfId="35922" xr:uid="{00000000-0005-0000-0000-00009E760000}"/>
    <cellStyle name="Normal 6 2 4 5 2" xfId="35923" xr:uid="{00000000-0005-0000-0000-00009F760000}"/>
    <cellStyle name="Normal 6 2 4 5 2 2" xfId="35924" xr:uid="{00000000-0005-0000-0000-0000A0760000}"/>
    <cellStyle name="Normal 6 2 4 5 3" xfId="35925" xr:uid="{00000000-0005-0000-0000-0000A1760000}"/>
    <cellStyle name="Normal 6 2 4 5 3 2" xfId="35926" xr:uid="{00000000-0005-0000-0000-0000A2760000}"/>
    <cellStyle name="Normal 6 2 4 5 4" xfId="35927" xr:uid="{00000000-0005-0000-0000-0000A3760000}"/>
    <cellStyle name="Normal 6 2 4 5 5" xfId="35928" xr:uid="{00000000-0005-0000-0000-0000A4760000}"/>
    <cellStyle name="Normal 6 2 4 6" xfId="35929" xr:uid="{00000000-0005-0000-0000-0000A5760000}"/>
    <cellStyle name="Normal 6 2 4 6 2" xfId="35930" xr:uid="{00000000-0005-0000-0000-0000A6760000}"/>
    <cellStyle name="Normal 6 2 4 7" xfId="35931" xr:uid="{00000000-0005-0000-0000-0000A7760000}"/>
    <cellStyle name="Normal 6 2 4 7 2" xfId="35932" xr:uid="{00000000-0005-0000-0000-0000A8760000}"/>
    <cellStyle name="Normal 6 2 4 8" xfId="35933" xr:uid="{00000000-0005-0000-0000-0000A9760000}"/>
    <cellStyle name="Normal 6 2 4 8 2" xfId="35934" xr:uid="{00000000-0005-0000-0000-0000AA760000}"/>
    <cellStyle name="Normal 6 2 4 9" xfId="35935" xr:uid="{00000000-0005-0000-0000-0000AB760000}"/>
    <cellStyle name="Normal 6 2 5" xfId="12131" xr:uid="{00000000-0005-0000-0000-0000AC760000}"/>
    <cellStyle name="Normal 6 2 5 2" xfId="12132" xr:uid="{00000000-0005-0000-0000-0000AD760000}"/>
    <cellStyle name="Normal 6 2 5 2 2" xfId="12133" xr:uid="{00000000-0005-0000-0000-0000AE760000}"/>
    <cellStyle name="Normal 6 2 5 2 2 2" xfId="35938" xr:uid="{00000000-0005-0000-0000-0000AF760000}"/>
    <cellStyle name="Normal 6 2 5 2 3" xfId="35937" xr:uid="{00000000-0005-0000-0000-0000B0760000}"/>
    <cellStyle name="Normal 6 2 5 3" xfId="12134" xr:uid="{00000000-0005-0000-0000-0000B1760000}"/>
    <cellStyle name="Normal 6 2 5 3 2" xfId="35940" xr:uid="{00000000-0005-0000-0000-0000B2760000}"/>
    <cellStyle name="Normal 6 2 5 3 3" xfId="35939" xr:uid="{00000000-0005-0000-0000-0000B3760000}"/>
    <cellStyle name="Normal 6 2 5 4" xfId="12135" xr:uid="{00000000-0005-0000-0000-0000B4760000}"/>
    <cellStyle name="Normal 6 2 5 4 2" xfId="35942" xr:uid="{00000000-0005-0000-0000-0000B5760000}"/>
    <cellStyle name="Normal 6 2 5 4 3" xfId="35941" xr:uid="{00000000-0005-0000-0000-0000B6760000}"/>
    <cellStyle name="Normal 6 2 5 5" xfId="35943" xr:uid="{00000000-0005-0000-0000-0000B7760000}"/>
    <cellStyle name="Normal 6 2 5 6" xfId="35944" xr:uid="{00000000-0005-0000-0000-0000B8760000}"/>
    <cellStyle name="Normal 6 2 5 7" xfId="35936" xr:uid="{00000000-0005-0000-0000-0000B9760000}"/>
    <cellStyle name="Normal 6 2 6" xfId="12136" xr:uid="{00000000-0005-0000-0000-0000BA760000}"/>
    <cellStyle name="Normal 6 2 6 2" xfId="12137" xr:uid="{00000000-0005-0000-0000-0000BB760000}"/>
    <cellStyle name="Normal 6 2 6 2 2" xfId="35947" xr:uid="{00000000-0005-0000-0000-0000BC760000}"/>
    <cellStyle name="Normal 6 2 6 2 3" xfId="35946" xr:uid="{00000000-0005-0000-0000-0000BD760000}"/>
    <cellStyle name="Normal 6 2 6 3" xfId="35948" xr:uid="{00000000-0005-0000-0000-0000BE760000}"/>
    <cellStyle name="Normal 6 2 6 3 2" xfId="35949" xr:uid="{00000000-0005-0000-0000-0000BF760000}"/>
    <cellStyle name="Normal 6 2 6 4" xfId="35950" xr:uid="{00000000-0005-0000-0000-0000C0760000}"/>
    <cellStyle name="Normal 6 2 6 4 2" xfId="35951" xr:uid="{00000000-0005-0000-0000-0000C1760000}"/>
    <cellStyle name="Normal 6 2 6 5" xfId="35952" xr:uid="{00000000-0005-0000-0000-0000C2760000}"/>
    <cellStyle name="Normal 6 2 6 6" xfId="35953" xr:uid="{00000000-0005-0000-0000-0000C3760000}"/>
    <cellStyle name="Normal 6 2 6 7" xfId="35945" xr:uid="{00000000-0005-0000-0000-0000C4760000}"/>
    <cellStyle name="Normal 6 2 7" xfId="12138" xr:uid="{00000000-0005-0000-0000-0000C5760000}"/>
    <cellStyle name="Normal 6 2 7 2" xfId="35955" xr:uid="{00000000-0005-0000-0000-0000C6760000}"/>
    <cellStyle name="Normal 6 2 7 2 2" xfId="35956" xr:uid="{00000000-0005-0000-0000-0000C7760000}"/>
    <cellStyle name="Normal 6 2 7 3" xfId="35957" xr:uid="{00000000-0005-0000-0000-0000C8760000}"/>
    <cellStyle name="Normal 6 2 7 3 2" xfId="35958" xr:uid="{00000000-0005-0000-0000-0000C9760000}"/>
    <cellStyle name="Normal 6 2 7 4" xfId="35959" xr:uid="{00000000-0005-0000-0000-0000CA760000}"/>
    <cellStyle name="Normal 6 2 7 4 2" xfId="35960" xr:uid="{00000000-0005-0000-0000-0000CB760000}"/>
    <cellStyle name="Normal 6 2 7 5" xfId="35961" xr:uid="{00000000-0005-0000-0000-0000CC760000}"/>
    <cellStyle name="Normal 6 2 7 6" xfId="35962" xr:uid="{00000000-0005-0000-0000-0000CD760000}"/>
    <cellStyle name="Normal 6 2 7 7" xfId="35954" xr:uid="{00000000-0005-0000-0000-0000CE760000}"/>
    <cellStyle name="Normal 6 2 8" xfId="12139" xr:uid="{00000000-0005-0000-0000-0000CF760000}"/>
    <cellStyle name="Normal 6 2 8 2" xfId="35964" xr:uid="{00000000-0005-0000-0000-0000D0760000}"/>
    <cellStyle name="Normal 6 2 8 2 2" xfId="35965" xr:uid="{00000000-0005-0000-0000-0000D1760000}"/>
    <cellStyle name="Normal 6 2 8 3" xfId="35966" xr:uid="{00000000-0005-0000-0000-0000D2760000}"/>
    <cellStyle name="Normal 6 2 8 3 2" xfId="35967" xr:uid="{00000000-0005-0000-0000-0000D3760000}"/>
    <cellStyle name="Normal 6 2 8 4" xfId="35968" xr:uid="{00000000-0005-0000-0000-0000D4760000}"/>
    <cellStyle name="Normal 6 2 8 5" xfId="35969" xr:uid="{00000000-0005-0000-0000-0000D5760000}"/>
    <cellStyle name="Normal 6 2 8 6" xfId="35963" xr:uid="{00000000-0005-0000-0000-0000D6760000}"/>
    <cellStyle name="Normal 6 2 9" xfId="35970" xr:uid="{00000000-0005-0000-0000-0000D7760000}"/>
    <cellStyle name="Normal 6 2 9 2" xfId="35971" xr:uid="{00000000-0005-0000-0000-0000D8760000}"/>
    <cellStyle name="Normal 6 3" xfId="12140" xr:uid="{00000000-0005-0000-0000-0000D9760000}"/>
    <cellStyle name="Normal 6 3 10" xfId="35973" xr:uid="{00000000-0005-0000-0000-0000DA760000}"/>
    <cellStyle name="Normal 6 3 10 2" xfId="35974" xr:uid="{00000000-0005-0000-0000-0000DB760000}"/>
    <cellStyle name="Normal 6 3 11" xfId="35975" xr:uid="{00000000-0005-0000-0000-0000DC760000}"/>
    <cellStyle name="Normal 6 3 11 2" xfId="35976" xr:uid="{00000000-0005-0000-0000-0000DD760000}"/>
    <cellStyle name="Normal 6 3 12" xfId="35977" xr:uid="{00000000-0005-0000-0000-0000DE760000}"/>
    <cellStyle name="Normal 6 3 13" xfId="35978" xr:uid="{00000000-0005-0000-0000-0000DF760000}"/>
    <cellStyle name="Normal 6 3 14" xfId="35972" xr:uid="{00000000-0005-0000-0000-0000E0760000}"/>
    <cellStyle name="Normal 6 3 2" xfId="12141" xr:uid="{00000000-0005-0000-0000-0000E1760000}"/>
    <cellStyle name="Normal 6 3 2 10" xfId="35980" xr:uid="{00000000-0005-0000-0000-0000E2760000}"/>
    <cellStyle name="Normal 6 3 2 11" xfId="35981" xr:uid="{00000000-0005-0000-0000-0000E3760000}"/>
    <cellStyle name="Normal 6 3 2 12" xfId="35979" xr:uid="{00000000-0005-0000-0000-0000E4760000}"/>
    <cellStyle name="Normal 6 3 2 2" xfId="12142" xr:uid="{00000000-0005-0000-0000-0000E5760000}"/>
    <cellStyle name="Normal 6 3 2 2 2" xfId="12143" xr:uid="{00000000-0005-0000-0000-0000E6760000}"/>
    <cellStyle name="Normal 6 3 2 2 2 2" xfId="35984" xr:uid="{00000000-0005-0000-0000-0000E7760000}"/>
    <cellStyle name="Normal 6 3 2 2 2 3" xfId="35983" xr:uid="{00000000-0005-0000-0000-0000E8760000}"/>
    <cellStyle name="Normal 6 3 2 2 3" xfId="35985" xr:uid="{00000000-0005-0000-0000-0000E9760000}"/>
    <cellStyle name="Normal 6 3 2 2 3 2" xfId="35986" xr:uid="{00000000-0005-0000-0000-0000EA760000}"/>
    <cellStyle name="Normal 6 3 2 2 4" xfId="35987" xr:uid="{00000000-0005-0000-0000-0000EB760000}"/>
    <cellStyle name="Normal 6 3 2 2 4 2" xfId="35988" xr:uid="{00000000-0005-0000-0000-0000EC760000}"/>
    <cellStyle name="Normal 6 3 2 2 5" xfId="35989" xr:uid="{00000000-0005-0000-0000-0000ED760000}"/>
    <cellStyle name="Normal 6 3 2 2 6" xfId="35990" xr:uid="{00000000-0005-0000-0000-0000EE760000}"/>
    <cellStyle name="Normal 6 3 2 2 7" xfId="35982" xr:uid="{00000000-0005-0000-0000-0000EF760000}"/>
    <cellStyle name="Normal 6 3 2 3" xfId="12144" xr:uid="{00000000-0005-0000-0000-0000F0760000}"/>
    <cellStyle name="Normal 6 3 2 3 2" xfId="35992" xr:uid="{00000000-0005-0000-0000-0000F1760000}"/>
    <cellStyle name="Normal 6 3 2 3 2 2" xfId="35993" xr:uid="{00000000-0005-0000-0000-0000F2760000}"/>
    <cellStyle name="Normal 6 3 2 3 3" xfId="35994" xr:uid="{00000000-0005-0000-0000-0000F3760000}"/>
    <cellStyle name="Normal 6 3 2 3 3 2" xfId="35995" xr:uid="{00000000-0005-0000-0000-0000F4760000}"/>
    <cellStyle name="Normal 6 3 2 3 4" xfId="35996" xr:uid="{00000000-0005-0000-0000-0000F5760000}"/>
    <cellStyle name="Normal 6 3 2 3 4 2" xfId="35997" xr:uid="{00000000-0005-0000-0000-0000F6760000}"/>
    <cellStyle name="Normal 6 3 2 3 5" xfId="35998" xr:uid="{00000000-0005-0000-0000-0000F7760000}"/>
    <cellStyle name="Normal 6 3 2 3 6" xfId="35999" xr:uid="{00000000-0005-0000-0000-0000F8760000}"/>
    <cellStyle name="Normal 6 3 2 3 7" xfId="35991" xr:uid="{00000000-0005-0000-0000-0000F9760000}"/>
    <cellStyle name="Normal 6 3 2 4" xfId="12145" xr:uid="{00000000-0005-0000-0000-0000FA760000}"/>
    <cellStyle name="Normal 6 3 2 4 2" xfId="36001" xr:uid="{00000000-0005-0000-0000-0000FB760000}"/>
    <cellStyle name="Normal 6 3 2 4 2 2" xfId="36002" xr:uid="{00000000-0005-0000-0000-0000FC760000}"/>
    <cellStyle name="Normal 6 3 2 4 3" xfId="36003" xr:uid="{00000000-0005-0000-0000-0000FD760000}"/>
    <cellStyle name="Normal 6 3 2 4 3 2" xfId="36004" xr:uid="{00000000-0005-0000-0000-0000FE760000}"/>
    <cellStyle name="Normal 6 3 2 4 4" xfId="36005" xr:uid="{00000000-0005-0000-0000-0000FF760000}"/>
    <cellStyle name="Normal 6 3 2 4 4 2" xfId="36006" xr:uid="{00000000-0005-0000-0000-000000770000}"/>
    <cellStyle name="Normal 6 3 2 4 5" xfId="36007" xr:uid="{00000000-0005-0000-0000-000001770000}"/>
    <cellStyle name="Normal 6 3 2 4 6" xfId="36008" xr:uid="{00000000-0005-0000-0000-000002770000}"/>
    <cellStyle name="Normal 6 3 2 4 7" xfId="36000" xr:uid="{00000000-0005-0000-0000-000003770000}"/>
    <cellStyle name="Normal 6 3 2 5" xfId="36009" xr:uid="{00000000-0005-0000-0000-000004770000}"/>
    <cellStyle name="Normal 6 3 2 5 2" xfId="36010" xr:uid="{00000000-0005-0000-0000-000005770000}"/>
    <cellStyle name="Normal 6 3 2 5 2 2" xfId="36011" xr:uid="{00000000-0005-0000-0000-000006770000}"/>
    <cellStyle name="Normal 6 3 2 5 3" xfId="36012" xr:uid="{00000000-0005-0000-0000-000007770000}"/>
    <cellStyle name="Normal 6 3 2 5 3 2" xfId="36013" xr:uid="{00000000-0005-0000-0000-000008770000}"/>
    <cellStyle name="Normal 6 3 2 5 4" xfId="36014" xr:uid="{00000000-0005-0000-0000-000009770000}"/>
    <cellStyle name="Normal 6 3 2 5 4 2" xfId="36015" xr:uid="{00000000-0005-0000-0000-00000A770000}"/>
    <cellStyle name="Normal 6 3 2 5 5" xfId="36016" xr:uid="{00000000-0005-0000-0000-00000B770000}"/>
    <cellStyle name="Normal 6 3 2 5 6" xfId="36017" xr:uid="{00000000-0005-0000-0000-00000C770000}"/>
    <cellStyle name="Normal 6 3 2 6" xfId="36018" xr:uid="{00000000-0005-0000-0000-00000D770000}"/>
    <cellStyle name="Normal 6 3 2 6 2" xfId="36019" xr:uid="{00000000-0005-0000-0000-00000E770000}"/>
    <cellStyle name="Normal 6 3 2 6 2 2" xfId="36020" xr:uid="{00000000-0005-0000-0000-00000F770000}"/>
    <cellStyle name="Normal 6 3 2 6 3" xfId="36021" xr:uid="{00000000-0005-0000-0000-000010770000}"/>
    <cellStyle name="Normal 6 3 2 6 3 2" xfId="36022" xr:uid="{00000000-0005-0000-0000-000011770000}"/>
    <cellStyle name="Normal 6 3 2 6 4" xfId="36023" xr:uid="{00000000-0005-0000-0000-000012770000}"/>
    <cellStyle name="Normal 6 3 2 6 5" xfId="36024" xr:uid="{00000000-0005-0000-0000-000013770000}"/>
    <cellStyle name="Normal 6 3 2 7" xfId="36025" xr:uid="{00000000-0005-0000-0000-000014770000}"/>
    <cellStyle name="Normal 6 3 2 7 2" xfId="36026" xr:uid="{00000000-0005-0000-0000-000015770000}"/>
    <cellStyle name="Normal 6 3 2 8" xfId="36027" xr:uid="{00000000-0005-0000-0000-000016770000}"/>
    <cellStyle name="Normal 6 3 2 8 2" xfId="36028" xr:uid="{00000000-0005-0000-0000-000017770000}"/>
    <cellStyle name="Normal 6 3 2 9" xfId="36029" xr:uid="{00000000-0005-0000-0000-000018770000}"/>
    <cellStyle name="Normal 6 3 2 9 2" xfId="36030" xr:uid="{00000000-0005-0000-0000-000019770000}"/>
    <cellStyle name="Normal 6 3 3" xfId="12146" xr:uid="{00000000-0005-0000-0000-00001A770000}"/>
    <cellStyle name="Normal 6 3 3 10" xfId="36032" xr:uid="{00000000-0005-0000-0000-00001B770000}"/>
    <cellStyle name="Normal 6 3 3 11" xfId="36031" xr:uid="{00000000-0005-0000-0000-00001C770000}"/>
    <cellStyle name="Normal 6 3 3 2" xfId="12147" xr:uid="{00000000-0005-0000-0000-00001D770000}"/>
    <cellStyle name="Normal 6 3 3 2 2" xfId="36034" xr:uid="{00000000-0005-0000-0000-00001E770000}"/>
    <cellStyle name="Normal 6 3 3 2 2 2" xfId="36035" xr:uid="{00000000-0005-0000-0000-00001F770000}"/>
    <cellStyle name="Normal 6 3 3 2 3" xfId="36036" xr:uid="{00000000-0005-0000-0000-000020770000}"/>
    <cellStyle name="Normal 6 3 3 2 3 2" xfId="36037" xr:uid="{00000000-0005-0000-0000-000021770000}"/>
    <cellStyle name="Normal 6 3 3 2 4" xfId="36038" xr:uid="{00000000-0005-0000-0000-000022770000}"/>
    <cellStyle name="Normal 6 3 3 2 4 2" xfId="36039" xr:uid="{00000000-0005-0000-0000-000023770000}"/>
    <cellStyle name="Normal 6 3 3 2 5" xfId="36040" xr:uid="{00000000-0005-0000-0000-000024770000}"/>
    <cellStyle name="Normal 6 3 3 2 6" xfId="36041" xr:uid="{00000000-0005-0000-0000-000025770000}"/>
    <cellStyle name="Normal 6 3 3 2 7" xfId="36033" xr:uid="{00000000-0005-0000-0000-000026770000}"/>
    <cellStyle name="Normal 6 3 3 3" xfId="36042" xr:uid="{00000000-0005-0000-0000-000027770000}"/>
    <cellStyle name="Normal 6 3 3 3 2" xfId="36043" xr:uid="{00000000-0005-0000-0000-000028770000}"/>
    <cellStyle name="Normal 6 3 3 3 2 2" xfId="36044" xr:uid="{00000000-0005-0000-0000-000029770000}"/>
    <cellStyle name="Normal 6 3 3 3 3" xfId="36045" xr:uid="{00000000-0005-0000-0000-00002A770000}"/>
    <cellStyle name="Normal 6 3 3 3 3 2" xfId="36046" xr:uid="{00000000-0005-0000-0000-00002B770000}"/>
    <cellStyle name="Normal 6 3 3 3 4" xfId="36047" xr:uid="{00000000-0005-0000-0000-00002C770000}"/>
    <cellStyle name="Normal 6 3 3 3 4 2" xfId="36048" xr:uid="{00000000-0005-0000-0000-00002D770000}"/>
    <cellStyle name="Normal 6 3 3 3 5" xfId="36049" xr:uid="{00000000-0005-0000-0000-00002E770000}"/>
    <cellStyle name="Normal 6 3 3 3 6" xfId="36050" xr:uid="{00000000-0005-0000-0000-00002F770000}"/>
    <cellStyle name="Normal 6 3 3 4" xfId="36051" xr:uid="{00000000-0005-0000-0000-000030770000}"/>
    <cellStyle name="Normal 6 3 3 4 2" xfId="36052" xr:uid="{00000000-0005-0000-0000-000031770000}"/>
    <cellStyle name="Normal 6 3 3 4 2 2" xfId="36053" xr:uid="{00000000-0005-0000-0000-000032770000}"/>
    <cellStyle name="Normal 6 3 3 4 3" xfId="36054" xr:uid="{00000000-0005-0000-0000-000033770000}"/>
    <cellStyle name="Normal 6 3 3 4 3 2" xfId="36055" xr:uid="{00000000-0005-0000-0000-000034770000}"/>
    <cellStyle name="Normal 6 3 3 4 4" xfId="36056" xr:uid="{00000000-0005-0000-0000-000035770000}"/>
    <cellStyle name="Normal 6 3 3 4 4 2" xfId="36057" xr:uid="{00000000-0005-0000-0000-000036770000}"/>
    <cellStyle name="Normal 6 3 3 4 5" xfId="36058" xr:uid="{00000000-0005-0000-0000-000037770000}"/>
    <cellStyle name="Normal 6 3 3 4 6" xfId="36059" xr:uid="{00000000-0005-0000-0000-000038770000}"/>
    <cellStyle name="Normal 6 3 3 5" xfId="36060" xr:uid="{00000000-0005-0000-0000-000039770000}"/>
    <cellStyle name="Normal 6 3 3 5 2" xfId="36061" xr:uid="{00000000-0005-0000-0000-00003A770000}"/>
    <cellStyle name="Normal 6 3 3 5 2 2" xfId="36062" xr:uid="{00000000-0005-0000-0000-00003B770000}"/>
    <cellStyle name="Normal 6 3 3 5 3" xfId="36063" xr:uid="{00000000-0005-0000-0000-00003C770000}"/>
    <cellStyle name="Normal 6 3 3 5 3 2" xfId="36064" xr:uid="{00000000-0005-0000-0000-00003D770000}"/>
    <cellStyle name="Normal 6 3 3 5 4" xfId="36065" xr:uid="{00000000-0005-0000-0000-00003E770000}"/>
    <cellStyle name="Normal 6 3 3 5 5" xfId="36066" xr:uid="{00000000-0005-0000-0000-00003F770000}"/>
    <cellStyle name="Normal 6 3 3 6" xfId="36067" xr:uid="{00000000-0005-0000-0000-000040770000}"/>
    <cellStyle name="Normal 6 3 3 6 2" xfId="36068" xr:uid="{00000000-0005-0000-0000-000041770000}"/>
    <cellStyle name="Normal 6 3 3 7" xfId="36069" xr:uid="{00000000-0005-0000-0000-000042770000}"/>
    <cellStyle name="Normal 6 3 3 7 2" xfId="36070" xr:uid="{00000000-0005-0000-0000-000043770000}"/>
    <cellStyle name="Normal 6 3 3 8" xfId="36071" xr:uid="{00000000-0005-0000-0000-000044770000}"/>
    <cellStyle name="Normal 6 3 3 8 2" xfId="36072" xr:uid="{00000000-0005-0000-0000-000045770000}"/>
    <cellStyle name="Normal 6 3 3 9" xfId="36073" xr:uid="{00000000-0005-0000-0000-000046770000}"/>
    <cellStyle name="Normal 6 3 4" xfId="12148" xr:uid="{00000000-0005-0000-0000-000047770000}"/>
    <cellStyle name="Normal 6 3 4 10" xfId="36075" xr:uid="{00000000-0005-0000-0000-000048770000}"/>
    <cellStyle name="Normal 6 3 4 11" xfId="36074" xr:uid="{00000000-0005-0000-0000-000049770000}"/>
    <cellStyle name="Normal 6 3 4 2" xfId="36076" xr:uid="{00000000-0005-0000-0000-00004A770000}"/>
    <cellStyle name="Normal 6 3 4 2 2" xfId="36077" xr:uid="{00000000-0005-0000-0000-00004B770000}"/>
    <cellStyle name="Normal 6 3 4 2 2 2" xfId="36078" xr:uid="{00000000-0005-0000-0000-00004C770000}"/>
    <cellStyle name="Normal 6 3 4 2 3" xfId="36079" xr:uid="{00000000-0005-0000-0000-00004D770000}"/>
    <cellStyle name="Normal 6 3 4 2 3 2" xfId="36080" xr:uid="{00000000-0005-0000-0000-00004E770000}"/>
    <cellStyle name="Normal 6 3 4 2 4" xfId="36081" xr:uid="{00000000-0005-0000-0000-00004F770000}"/>
    <cellStyle name="Normal 6 3 4 2 4 2" xfId="36082" xr:uid="{00000000-0005-0000-0000-000050770000}"/>
    <cellStyle name="Normal 6 3 4 2 5" xfId="36083" xr:uid="{00000000-0005-0000-0000-000051770000}"/>
    <cellStyle name="Normal 6 3 4 2 6" xfId="36084" xr:uid="{00000000-0005-0000-0000-000052770000}"/>
    <cellStyle name="Normal 6 3 4 3" xfId="36085" xr:uid="{00000000-0005-0000-0000-000053770000}"/>
    <cellStyle name="Normal 6 3 4 3 2" xfId="36086" xr:uid="{00000000-0005-0000-0000-000054770000}"/>
    <cellStyle name="Normal 6 3 4 3 2 2" xfId="36087" xr:uid="{00000000-0005-0000-0000-000055770000}"/>
    <cellStyle name="Normal 6 3 4 3 3" xfId="36088" xr:uid="{00000000-0005-0000-0000-000056770000}"/>
    <cellStyle name="Normal 6 3 4 3 3 2" xfId="36089" xr:uid="{00000000-0005-0000-0000-000057770000}"/>
    <cellStyle name="Normal 6 3 4 3 4" xfId="36090" xr:uid="{00000000-0005-0000-0000-000058770000}"/>
    <cellStyle name="Normal 6 3 4 3 4 2" xfId="36091" xr:uid="{00000000-0005-0000-0000-000059770000}"/>
    <cellStyle name="Normal 6 3 4 3 5" xfId="36092" xr:uid="{00000000-0005-0000-0000-00005A770000}"/>
    <cellStyle name="Normal 6 3 4 3 6" xfId="36093" xr:uid="{00000000-0005-0000-0000-00005B770000}"/>
    <cellStyle name="Normal 6 3 4 4" xfId="36094" xr:uid="{00000000-0005-0000-0000-00005C770000}"/>
    <cellStyle name="Normal 6 3 4 4 2" xfId="36095" xr:uid="{00000000-0005-0000-0000-00005D770000}"/>
    <cellStyle name="Normal 6 3 4 4 2 2" xfId="36096" xr:uid="{00000000-0005-0000-0000-00005E770000}"/>
    <cellStyle name="Normal 6 3 4 4 3" xfId="36097" xr:uid="{00000000-0005-0000-0000-00005F770000}"/>
    <cellStyle name="Normal 6 3 4 4 3 2" xfId="36098" xr:uid="{00000000-0005-0000-0000-000060770000}"/>
    <cellStyle name="Normal 6 3 4 4 4" xfId="36099" xr:uid="{00000000-0005-0000-0000-000061770000}"/>
    <cellStyle name="Normal 6 3 4 4 4 2" xfId="36100" xr:uid="{00000000-0005-0000-0000-000062770000}"/>
    <cellStyle name="Normal 6 3 4 4 5" xfId="36101" xr:uid="{00000000-0005-0000-0000-000063770000}"/>
    <cellStyle name="Normal 6 3 4 4 6" xfId="36102" xr:uid="{00000000-0005-0000-0000-000064770000}"/>
    <cellStyle name="Normal 6 3 4 5" xfId="36103" xr:uid="{00000000-0005-0000-0000-000065770000}"/>
    <cellStyle name="Normal 6 3 4 5 2" xfId="36104" xr:uid="{00000000-0005-0000-0000-000066770000}"/>
    <cellStyle name="Normal 6 3 4 5 2 2" xfId="36105" xr:uid="{00000000-0005-0000-0000-000067770000}"/>
    <cellStyle name="Normal 6 3 4 5 3" xfId="36106" xr:uid="{00000000-0005-0000-0000-000068770000}"/>
    <cellStyle name="Normal 6 3 4 5 3 2" xfId="36107" xr:uid="{00000000-0005-0000-0000-000069770000}"/>
    <cellStyle name="Normal 6 3 4 5 4" xfId="36108" xr:uid="{00000000-0005-0000-0000-00006A770000}"/>
    <cellStyle name="Normal 6 3 4 5 5" xfId="36109" xr:uid="{00000000-0005-0000-0000-00006B770000}"/>
    <cellStyle name="Normal 6 3 4 6" xfId="36110" xr:uid="{00000000-0005-0000-0000-00006C770000}"/>
    <cellStyle name="Normal 6 3 4 6 2" xfId="36111" xr:uid="{00000000-0005-0000-0000-00006D770000}"/>
    <cellStyle name="Normal 6 3 4 7" xfId="36112" xr:uid="{00000000-0005-0000-0000-00006E770000}"/>
    <cellStyle name="Normal 6 3 4 7 2" xfId="36113" xr:uid="{00000000-0005-0000-0000-00006F770000}"/>
    <cellStyle name="Normal 6 3 4 8" xfId="36114" xr:uid="{00000000-0005-0000-0000-000070770000}"/>
    <cellStyle name="Normal 6 3 4 8 2" xfId="36115" xr:uid="{00000000-0005-0000-0000-000071770000}"/>
    <cellStyle name="Normal 6 3 4 9" xfId="36116" xr:uid="{00000000-0005-0000-0000-000072770000}"/>
    <cellStyle name="Normal 6 3 5" xfId="12149" xr:uid="{00000000-0005-0000-0000-000073770000}"/>
    <cellStyle name="Normal 6 3 5 2" xfId="36118" xr:uid="{00000000-0005-0000-0000-000074770000}"/>
    <cellStyle name="Normal 6 3 5 2 2" xfId="36119" xr:uid="{00000000-0005-0000-0000-000075770000}"/>
    <cellStyle name="Normal 6 3 5 3" xfId="36120" xr:uid="{00000000-0005-0000-0000-000076770000}"/>
    <cellStyle name="Normal 6 3 5 3 2" xfId="36121" xr:uid="{00000000-0005-0000-0000-000077770000}"/>
    <cellStyle name="Normal 6 3 5 4" xfId="36122" xr:uid="{00000000-0005-0000-0000-000078770000}"/>
    <cellStyle name="Normal 6 3 5 4 2" xfId="36123" xr:uid="{00000000-0005-0000-0000-000079770000}"/>
    <cellStyle name="Normal 6 3 5 5" xfId="36124" xr:uid="{00000000-0005-0000-0000-00007A770000}"/>
    <cellStyle name="Normal 6 3 5 6" xfId="36125" xr:uid="{00000000-0005-0000-0000-00007B770000}"/>
    <cellStyle name="Normal 6 3 5 7" xfId="36117" xr:uid="{00000000-0005-0000-0000-00007C770000}"/>
    <cellStyle name="Normal 6 3 6" xfId="36126" xr:uid="{00000000-0005-0000-0000-00007D770000}"/>
    <cellStyle name="Normal 6 3 6 2" xfId="36127" xr:uid="{00000000-0005-0000-0000-00007E770000}"/>
    <cellStyle name="Normal 6 3 6 2 2" xfId="36128" xr:uid="{00000000-0005-0000-0000-00007F770000}"/>
    <cellStyle name="Normal 6 3 6 3" xfId="36129" xr:uid="{00000000-0005-0000-0000-000080770000}"/>
    <cellStyle name="Normal 6 3 6 3 2" xfId="36130" xr:uid="{00000000-0005-0000-0000-000081770000}"/>
    <cellStyle name="Normal 6 3 6 4" xfId="36131" xr:uid="{00000000-0005-0000-0000-000082770000}"/>
    <cellStyle name="Normal 6 3 6 4 2" xfId="36132" xr:uid="{00000000-0005-0000-0000-000083770000}"/>
    <cellStyle name="Normal 6 3 6 5" xfId="36133" xr:uid="{00000000-0005-0000-0000-000084770000}"/>
    <cellStyle name="Normal 6 3 6 6" xfId="36134" xr:uid="{00000000-0005-0000-0000-000085770000}"/>
    <cellStyle name="Normal 6 3 7" xfId="36135" xr:uid="{00000000-0005-0000-0000-000086770000}"/>
    <cellStyle name="Normal 6 3 7 2" xfId="36136" xr:uid="{00000000-0005-0000-0000-000087770000}"/>
    <cellStyle name="Normal 6 3 7 2 2" xfId="36137" xr:uid="{00000000-0005-0000-0000-000088770000}"/>
    <cellStyle name="Normal 6 3 7 3" xfId="36138" xr:uid="{00000000-0005-0000-0000-000089770000}"/>
    <cellStyle name="Normal 6 3 7 3 2" xfId="36139" xr:uid="{00000000-0005-0000-0000-00008A770000}"/>
    <cellStyle name="Normal 6 3 7 4" xfId="36140" xr:uid="{00000000-0005-0000-0000-00008B770000}"/>
    <cellStyle name="Normal 6 3 7 4 2" xfId="36141" xr:uid="{00000000-0005-0000-0000-00008C770000}"/>
    <cellStyle name="Normal 6 3 7 5" xfId="36142" xr:uid="{00000000-0005-0000-0000-00008D770000}"/>
    <cellStyle name="Normal 6 3 7 6" xfId="36143" xr:uid="{00000000-0005-0000-0000-00008E770000}"/>
    <cellStyle name="Normal 6 3 8" xfId="36144" xr:uid="{00000000-0005-0000-0000-00008F770000}"/>
    <cellStyle name="Normal 6 3 8 2" xfId="36145" xr:uid="{00000000-0005-0000-0000-000090770000}"/>
    <cellStyle name="Normal 6 3 8 2 2" xfId="36146" xr:uid="{00000000-0005-0000-0000-000091770000}"/>
    <cellStyle name="Normal 6 3 8 3" xfId="36147" xr:uid="{00000000-0005-0000-0000-000092770000}"/>
    <cellStyle name="Normal 6 3 8 3 2" xfId="36148" xr:uid="{00000000-0005-0000-0000-000093770000}"/>
    <cellStyle name="Normal 6 3 8 4" xfId="36149" xr:uid="{00000000-0005-0000-0000-000094770000}"/>
    <cellStyle name="Normal 6 3 8 5" xfId="36150" xr:uid="{00000000-0005-0000-0000-000095770000}"/>
    <cellStyle name="Normal 6 3 9" xfId="36151" xr:uid="{00000000-0005-0000-0000-000096770000}"/>
    <cellStyle name="Normal 6 3 9 2" xfId="36152" xr:uid="{00000000-0005-0000-0000-000097770000}"/>
    <cellStyle name="Normal 6 4" xfId="12150" xr:uid="{00000000-0005-0000-0000-000098770000}"/>
    <cellStyle name="Normal 6 4 10" xfId="36154" xr:uid="{00000000-0005-0000-0000-000099770000}"/>
    <cellStyle name="Normal 6 4 10 2" xfId="36155" xr:uid="{00000000-0005-0000-0000-00009A770000}"/>
    <cellStyle name="Normal 6 4 11" xfId="36156" xr:uid="{00000000-0005-0000-0000-00009B770000}"/>
    <cellStyle name="Normal 6 4 12" xfId="36157" xr:uid="{00000000-0005-0000-0000-00009C770000}"/>
    <cellStyle name="Normal 6 4 13" xfId="36153" xr:uid="{00000000-0005-0000-0000-00009D770000}"/>
    <cellStyle name="Normal 6 4 2" xfId="12151" xr:uid="{00000000-0005-0000-0000-00009E770000}"/>
    <cellStyle name="Normal 6 4 2 10" xfId="36159" xr:uid="{00000000-0005-0000-0000-00009F770000}"/>
    <cellStyle name="Normal 6 4 2 11" xfId="36158" xr:uid="{00000000-0005-0000-0000-0000A0770000}"/>
    <cellStyle name="Normal 6 4 2 2" xfId="12152" xr:uid="{00000000-0005-0000-0000-0000A1770000}"/>
    <cellStyle name="Normal 6 4 2 2 2" xfId="36161" xr:uid="{00000000-0005-0000-0000-0000A2770000}"/>
    <cellStyle name="Normal 6 4 2 2 2 2" xfId="36162" xr:uid="{00000000-0005-0000-0000-0000A3770000}"/>
    <cellStyle name="Normal 6 4 2 2 3" xfId="36163" xr:uid="{00000000-0005-0000-0000-0000A4770000}"/>
    <cellStyle name="Normal 6 4 2 2 3 2" xfId="36164" xr:uid="{00000000-0005-0000-0000-0000A5770000}"/>
    <cellStyle name="Normal 6 4 2 2 4" xfId="36165" xr:uid="{00000000-0005-0000-0000-0000A6770000}"/>
    <cellStyle name="Normal 6 4 2 2 4 2" xfId="36166" xr:uid="{00000000-0005-0000-0000-0000A7770000}"/>
    <cellStyle name="Normal 6 4 2 2 5" xfId="36167" xr:uid="{00000000-0005-0000-0000-0000A8770000}"/>
    <cellStyle name="Normal 6 4 2 2 6" xfId="36168" xr:uid="{00000000-0005-0000-0000-0000A9770000}"/>
    <cellStyle name="Normal 6 4 2 2 7" xfId="36160" xr:uid="{00000000-0005-0000-0000-0000AA770000}"/>
    <cellStyle name="Normal 6 4 2 3" xfId="12153" xr:uid="{00000000-0005-0000-0000-0000AB770000}"/>
    <cellStyle name="Normal 6 4 2 3 2" xfId="36170" xr:uid="{00000000-0005-0000-0000-0000AC770000}"/>
    <cellStyle name="Normal 6 4 2 3 2 2" xfId="36171" xr:uid="{00000000-0005-0000-0000-0000AD770000}"/>
    <cellStyle name="Normal 6 4 2 3 3" xfId="36172" xr:uid="{00000000-0005-0000-0000-0000AE770000}"/>
    <cellStyle name="Normal 6 4 2 3 3 2" xfId="36173" xr:uid="{00000000-0005-0000-0000-0000AF770000}"/>
    <cellStyle name="Normal 6 4 2 3 4" xfId="36174" xr:uid="{00000000-0005-0000-0000-0000B0770000}"/>
    <cellStyle name="Normal 6 4 2 3 4 2" xfId="36175" xr:uid="{00000000-0005-0000-0000-0000B1770000}"/>
    <cellStyle name="Normal 6 4 2 3 5" xfId="36176" xr:uid="{00000000-0005-0000-0000-0000B2770000}"/>
    <cellStyle name="Normal 6 4 2 3 6" xfId="36177" xr:uid="{00000000-0005-0000-0000-0000B3770000}"/>
    <cellStyle name="Normal 6 4 2 3 7" xfId="36169" xr:uid="{00000000-0005-0000-0000-0000B4770000}"/>
    <cellStyle name="Normal 6 4 2 4" xfId="36178" xr:uid="{00000000-0005-0000-0000-0000B5770000}"/>
    <cellStyle name="Normal 6 4 2 4 2" xfId="36179" xr:uid="{00000000-0005-0000-0000-0000B6770000}"/>
    <cellStyle name="Normal 6 4 2 4 2 2" xfId="36180" xr:uid="{00000000-0005-0000-0000-0000B7770000}"/>
    <cellStyle name="Normal 6 4 2 4 3" xfId="36181" xr:uid="{00000000-0005-0000-0000-0000B8770000}"/>
    <cellStyle name="Normal 6 4 2 4 3 2" xfId="36182" xr:uid="{00000000-0005-0000-0000-0000B9770000}"/>
    <cellStyle name="Normal 6 4 2 4 4" xfId="36183" xr:uid="{00000000-0005-0000-0000-0000BA770000}"/>
    <cellStyle name="Normal 6 4 2 4 4 2" xfId="36184" xr:uid="{00000000-0005-0000-0000-0000BB770000}"/>
    <cellStyle name="Normal 6 4 2 4 5" xfId="36185" xr:uid="{00000000-0005-0000-0000-0000BC770000}"/>
    <cellStyle name="Normal 6 4 2 4 6" xfId="36186" xr:uid="{00000000-0005-0000-0000-0000BD770000}"/>
    <cellStyle name="Normal 6 4 2 5" xfId="36187" xr:uid="{00000000-0005-0000-0000-0000BE770000}"/>
    <cellStyle name="Normal 6 4 2 5 2" xfId="36188" xr:uid="{00000000-0005-0000-0000-0000BF770000}"/>
    <cellStyle name="Normal 6 4 2 5 2 2" xfId="36189" xr:uid="{00000000-0005-0000-0000-0000C0770000}"/>
    <cellStyle name="Normal 6 4 2 5 3" xfId="36190" xr:uid="{00000000-0005-0000-0000-0000C1770000}"/>
    <cellStyle name="Normal 6 4 2 5 3 2" xfId="36191" xr:uid="{00000000-0005-0000-0000-0000C2770000}"/>
    <cellStyle name="Normal 6 4 2 5 4" xfId="36192" xr:uid="{00000000-0005-0000-0000-0000C3770000}"/>
    <cellStyle name="Normal 6 4 2 5 5" xfId="36193" xr:uid="{00000000-0005-0000-0000-0000C4770000}"/>
    <cellStyle name="Normal 6 4 2 6" xfId="36194" xr:uid="{00000000-0005-0000-0000-0000C5770000}"/>
    <cellStyle name="Normal 6 4 2 6 2" xfId="36195" xr:uid="{00000000-0005-0000-0000-0000C6770000}"/>
    <cellStyle name="Normal 6 4 2 7" xfId="36196" xr:uid="{00000000-0005-0000-0000-0000C7770000}"/>
    <cellStyle name="Normal 6 4 2 7 2" xfId="36197" xr:uid="{00000000-0005-0000-0000-0000C8770000}"/>
    <cellStyle name="Normal 6 4 2 8" xfId="36198" xr:uid="{00000000-0005-0000-0000-0000C9770000}"/>
    <cellStyle name="Normal 6 4 2 8 2" xfId="36199" xr:uid="{00000000-0005-0000-0000-0000CA770000}"/>
    <cellStyle name="Normal 6 4 2 9" xfId="36200" xr:uid="{00000000-0005-0000-0000-0000CB770000}"/>
    <cellStyle name="Normal 6 4 3" xfId="12154" xr:uid="{00000000-0005-0000-0000-0000CC770000}"/>
    <cellStyle name="Normal 6 4 3 10" xfId="36202" xr:uid="{00000000-0005-0000-0000-0000CD770000}"/>
    <cellStyle name="Normal 6 4 3 11" xfId="36201" xr:uid="{00000000-0005-0000-0000-0000CE770000}"/>
    <cellStyle name="Normal 6 4 3 2" xfId="36203" xr:uid="{00000000-0005-0000-0000-0000CF770000}"/>
    <cellStyle name="Normal 6 4 3 2 2" xfId="36204" xr:uid="{00000000-0005-0000-0000-0000D0770000}"/>
    <cellStyle name="Normal 6 4 3 2 2 2" xfId="36205" xr:uid="{00000000-0005-0000-0000-0000D1770000}"/>
    <cellStyle name="Normal 6 4 3 2 3" xfId="36206" xr:uid="{00000000-0005-0000-0000-0000D2770000}"/>
    <cellStyle name="Normal 6 4 3 2 3 2" xfId="36207" xr:uid="{00000000-0005-0000-0000-0000D3770000}"/>
    <cellStyle name="Normal 6 4 3 2 4" xfId="36208" xr:uid="{00000000-0005-0000-0000-0000D4770000}"/>
    <cellStyle name="Normal 6 4 3 2 4 2" xfId="36209" xr:uid="{00000000-0005-0000-0000-0000D5770000}"/>
    <cellStyle name="Normal 6 4 3 2 5" xfId="36210" xr:uid="{00000000-0005-0000-0000-0000D6770000}"/>
    <cellStyle name="Normal 6 4 3 2 6" xfId="36211" xr:uid="{00000000-0005-0000-0000-0000D7770000}"/>
    <cellStyle name="Normal 6 4 3 3" xfId="36212" xr:uid="{00000000-0005-0000-0000-0000D8770000}"/>
    <cellStyle name="Normal 6 4 3 3 2" xfId="36213" xr:uid="{00000000-0005-0000-0000-0000D9770000}"/>
    <cellStyle name="Normal 6 4 3 3 2 2" xfId="36214" xr:uid="{00000000-0005-0000-0000-0000DA770000}"/>
    <cellStyle name="Normal 6 4 3 3 3" xfId="36215" xr:uid="{00000000-0005-0000-0000-0000DB770000}"/>
    <cellStyle name="Normal 6 4 3 3 3 2" xfId="36216" xr:uid="{00000000-0005-0000-0000-0000DC770000}"/>
    <cellStyle name="Normal 6 4 3 3 4" xfId="36217" xr:uid="{00000000-0005-0000-0000-0000DD770000}"/>
    <cellStyle name="Normal 6 4 3 3 4 2" xfId="36218" xr:uid="{00000000-0005-0000-0000-0000DE770000}"/>
    <cellStyle name="Normal 6 4 3 3 5" xfId="36219" xr:uid="{00000000-0005-0000-0000-0000DF770000}"/>
    <cellStyle name="Normal 6 4 3 3 6" xfId="36220" xr:uid="{00000000-0005-0000-0000-0000E0770000}"/>
    <cellStyle name="Normal 6 4 3 4" xfId="36221" xr:uid="{00000000-0005-0000-0000-0000E1770000}"/>
    <cellStyle name="Normal 6 4 3 4 2" xfId="36222" xr:uid="{00000000-0005-0000-0000-0000E2770000}"/>
    <cellStyle name="Normal 6 4 3 4 2 2" xfId="36223" xr:uid="{00000000-0005-0000-0000-0000E3770000}"/>
    <cellStyle name="Normal 6 4 3 4 3" xfId="36224" xr:uid="{00000000-0005-0000-0000-0000E4770000}"/>
    <cellStyle name="Normal 6 4 3 4 3 2" xfId="36225" xr:uid="{00000000-0005-0000-0000-0000E5770000}"/>
    <cellStyle name="Normal 6 4 3 4 4" xfId="36226" xr:uid="{00000000-0005-0000-0000-0000E6770000}"/>
    <cellStyle name="Normal 6 4 3 4 4 2" xfId="36227" xr:uid="{00000000-0005-0000-0000-0000E7770000}"/>
    <cellStyle name="Normal 6 4 3 4 5" xfId="36228" xr:uid="{00000000-0005-0000-0000-0000E8770000}"/>
    <cellStyle name="Normal 6 4 3 4 6" xfId="36229" xr:uid="{00000000-0005-0000-0000-0000E9770000}"/>
    <cellStyle name="Normal 6 4 3 5" xfId="36230" xr:uid="{00000000-0005-0000-0000-0000EA770000}"/>
    <cellStyle name="Normal 6 4 3 5 2" xfId="36231" xr:uid="{00000000-0005-0000-0000-0000EB770000}"/>
    <cellStyle name="Normal 6 4 3 5 2 2" xfId="36232" xr:uid="{00000000-0005-0000-0000-0000EC770000}"/>
    <cellStyle name="Normal 6 4 3 5 3" xfId="36233" xr:uid="{00000000-0005-0000-0000-0000ED770000}"/>
    <cellStyle name="Normal 6 4 3 5 3 2" xfId="36234" xr:uid="{00000000-0005-0000-0000-0000EE770000}"/>
    <cellStyle name="Normal 6 4 3 5 4" xfId="36235" xr:uid="{00000000-0005-0000-0000-0000EF770000}"/>
    <cellStyle name="Normal 6 4 3 5 5" xfId="36236" xr:uid="{00000000-0005-0000-0000-0000F0770000}"/>
    <cellStyle name="Normal 6 4 3 6" xfId="36237" xr:uid="{00000000-0005-0000-0000-0000F1770000}"/>
    <cellStyle name="Normal 6 4 3 6 2" xfId="36238" xr:uid="{00000000-0005-0000-0000-0000F2770000}"/>
    <cellStyle name="Normal 6 4 3 7" xfId="36239" xr:uid="{00000000-0005-0000-0000-0000F3770000}"/>
    <cellStyle name="Normal 6 4 3 7 2" xfId="36240" xr:uid="{00000000-0005-0000-0000-0000F4770000}"/>
    <cellStyle name="Normal 6 4 3 8" xfId="36241" xr:uid="{00000000-0005-0000-0000-0000F5770000}"/>
    <cellStyle name="Normal 6 4 3 8 2" xfId="36242" xr:uid="{00000000-0005-0000-0000-0000F6770000}"/>
    <cellStyle name="Normal 6 4 3 9" xfId="36243" xr:uid="{00000000-0005-0000-0000-0000F7770000}"/>
    <cellStyle name="Normal 6 4 4" xfId="36244" xr:uid="{00000000-0005-0000-0000-0000F8770000}"/>
    <cellStyle name="Normal 6 4 4 2" xfId="36245" xr:uid="{00000000-0005-0000-0000-0000F9770000}"/>
    <cellStyle name="Normal 6 4 4 2 2" xfId="36246" xr:uid="{00000000-0005-0000-0000-0000FA770000}"/>
    <cellStyle name="Normal 6 4 4 3" xfId="36247" xr:uid="{00000000-0005-0000-0000-0000FB770000}"/>
    <cellStyle name="Normal 6 4 4 3 2" xfId="36248" xr:uid="{00000000-0005-0000-0000-0000FC770000}"/>
    <cellStyle name="Normal 6 4 4 4" xfId="36249" xr:uid="{00000000-0005-0000-0000-0000FD770000}"/>
    <cellStyle name="Normal 6 4 4 4 2" xfId="36250" xr:uid="{00000000-0005-0000-0000-0000FE770000}"/>
    <cellStyle name="Normal 6 4 4 5" xfId="36251" xr:uid="{00000000-0005-0000-0000-0000FF770000}"/>
    <cellStyle name="Normal 6 4 4 6" xfId="36252" xr:uid="{00000000-0005-0000-0000-000000780000}"/>
    <cellStyle name="Normal 6 4 5" xfId="36253" xr:uid="{00000000-0005-0000-0000-000001780000}"/>
    <cellStyle name="Normal 6 4 5 2" xfId="36254" xr:uid="{00000000-0005-0000-0000-000002780000}"/>
    <cellStyle name="Normal 6 4 5 2 2" xfId="36255" xr:uid="{00000000-0005-0000-0000-000003780000}"/>
    <cellStyle name="Normal 6 4 5 3" xfId="36256" xr:uid="{00000000-0005-0000-0000-000004780000}"/>
    <cellStyle name="Normal 6 4 5 3 2" xfId="36257" xr:uid="{00000000-0005-0000-0000-000005780000}"/>
    <cellStyle name="Normal 6 4 5 4" xfId="36258" xr:uid="{00000000-0005-0000-0000-000006780000}"/>
    <cellStyle name="Normal 6 4 5 4 2" xfId="36259" xr:uid="{00000000-0005-0000-0000-000007780000}"/>
    <cellStyle name="Normal 6 4 5 5" xfId="36260" xr:uid="{00000000-0005-0000-0000-000008780000}"/>
    <cellStyle name="Normal 6 4 5 6" xfId="36261" xr:uid="{00000000-0005-0000-0000-000009780000}"/>
    <cellStyle name="Normal 6 4 6" xfId="36262" xr:uid="{00000000-0005-0000-0000-00000A780000}"/>
    <cellStyle name="Normal 6 4 6 2" xfId="36263" xr:uid="{00000000-0005-0000-0000-00000B780000}"/>
    <cellStyle name="Normal 6 4 6 2 2" xfId="36264" xr:uid="{00000000-0005-0000-0000-00000C780000}"/>
    <cellStyle name="Normal 6 4 6 3" xfId="36265" xr:uid="{00000000-0005-0000-0000-00000D780000}"/>
    <cellStyle name="Normal 6 4 6 3 2" xfId="36266" xr:uid="{00000000-0005-0000-0000-00000E780000}"/>
    <cellStyle name="Normal 6 4 6 4" xfId="36267" xr:uid="{00000000-0005-0000-0000-00000F780000}"/>
    <cellStyle name="Normal 6 4 6 4 2" xfId="36268" xr:uid="{00000000-0005-0000-0000-000010780000}"/>
    <cellStyle name="Normal 6 4 6 5" xfId="36269" xr:uid="{00000000-0005-0000-0000-000011780000}"/>
    <cellStyle name="Normal 6 4 6 6" xfId="36270" xr:uid="{00000000-0005-0000-0000-000012780000}"/>
    <cellStyle name="Normal 6 4 7" xfId="36271" xr:uid="{00000000-0005-0000-0000-000013780000}"/>
    <cellStyle name="Normal 6 4 7 2" xfId="36272" xr:uid="{00000000-0005-0000-0000-000014780000}"/>
    <cellStyle name="Normal 6 4 7 2 2" xfId="36273" xr:uid="{00000000-0005-0000-0000-000015780000}"/>
    <cellStyle name="Normal 6 4 7 3" xfId="36274" xr:uid="{00000000-0005-0000-0000-000016780000}"/>
    <cellStyle name="Normal 6 4 7 3 2" xfId="36275" xr:uid="{00000000-0005-0000-0000-000017780000}"/>
    <cellStyle name="Normal 6 4 7 4" xfId="36276" xr:uid="{00000000-0005-0000-0000-000018780000}"/>
    <cellStyle name="Normal 6 4 7 5" xfId="36277" xr:uid="{00000000-0005-0000-0000-000019780000}"/>
    <cellStyle name="Normal 6 4 8" xfId="36278" xr:uid="{00000000-0005-0000-0000-00001A780000}"/>
    <cellStyle name="Normal 6 4 8 2" xfId="36279" xr:uid="{00000000-0005-0000-0000-00001B780000}"/>
    <cellStyle name="Normal 6 4 9" xfId="36280" xr:uid="{00000000-0005-0000-0000-00001C780000}"/>
    <cellStyle name="Normal 6 4 9 2" xfId="36281" xr:uid="{00000000-0005-0000-0000-00001D780000}"/>
    <cellStyle name="Normal 6 5" xfId="12155" xr:uid="{00000000-0005-0000-0000-00001E780000}"/>
    <cellStyle name="Normal 6 5 10" xfId="36283" xr:uid="{00000000-0005-0000-0000-00001F780000}"/>
    <cellStyle name="Normal 6 5 11" xfId="36284" xr:uid="{00000000-0005-0000-0000-000020780000}"/>
    <cellStyle name="Normal 6 5 12" xfId="36282" xr:uid="{00000000-0005-0000-0000-000021780000}"/>
    <cellStyle name="Normal 6 5 2" xfId="12156" xr:uid="{00000000-0005-0000-0000-000022780000}"/>
    <cellStyle name="Normal 6 5 2 2" xfId="12157" xr:uid="{00000000-0005-0000-0000-000023780000}"/>
    <cellStyle name="Normal 6 5 2 2 2" xfId="36287" xr:uid="{00000000-0005-0000-0000-000024780000}"/>
    <cellStyle name="Normal 6 5 2 2 3" xfId="36286" xr:uid="{00000000-0005-0000-0000-000025780000}"/>
    <cellStyle name="Normal 6 5 2 3" xfId="36288" xr:uid="{00000000-0005-0000-0000-000026780000}"/>
    <cellStyle name="Normal 6 5 2 3 2" xfId="36289" xr:uid="{00000000-0005-0000-0000-000027780000}"/>
    <cellStyle name="Normal 6 5 2 4" xfId="36290" xr:uid="{00000000-0005-0000-0000-000028780000}"/>
    <cellStyle name="Normal 6 5 2 4 2" xfId="36291" xr:uid="{00000000-0005-0000-0000-000029780000}"/>
    <cellStyle name="Normal 6 5 2 5" xfId="36292" xr:uid="{00000000-0005-0000-0000-00002A780000}"/>
    <cellStyle name="Normal 6 5 2 6" xfId="36293" xr:uid="{00000000-0005-0000-0000-00002B780000}"/>
    <cellStyle name="Normal 6 5 2 7" xfId="36285" xr:uid="{00000000-0005-0000-0000-00002C780000}"/>
    <cellStyle name="Normal 6 5 3" xfId="12158" xr:uid="{00000000-0005-0000-0000-00002D780000}"/>
    <cellStyle name="Normal 6 5 3 2" xfId="36295" xr:uid="{00000000-0005-0000-0000-00002E780000}"/>
    <cellStyle name="Normal 6 5 3 2 2" xfId="36296" xr:uid="{00000000-0005-0000-0000-00002F780000}"/>
    <cellStyle name="Normal 6 5 3 3" xfId="36297" xr:uid="{00000000-0005-0000-0000-000030780000}"/>
    <cellStyle name="Normal 6 5 3 3 2" xfId="36298" xr:uid="{00000000-0005-0000-0000-000031780000}"/>
    <cellStyle name="Normal 6 5 3 4" xfId="36299" xr:uid="{00000000-0005-0000-0000-000032780000}"/>
    <cellStyle name="Normal 6 5 3 4 2" xfId="36300" xr:uid="{00000000-0005-0000-0000-000033780000}"/>
    <cellStyle name="Normal 6 5 3 5" xfId="36301" xr:uid="{00000000-0005-0000-0000-000034780000}"/>
    <cellStyle name="Normal 6 5 3 6" xfId="36302" xr:uid="{00000000-0005-0000-0000-000035780000}"/>
    <cellStyle name="Normal 6 5 3 7" xfId="36294" xr:uid="{00000000-0005-0000-0000-000036780000}"/>
    <cellStyle name="Normal 6 5 4" xfId="12159" xr:uid="{00000000-0005-0000-0000-000037780000}"/>
    <cellStyle name="Normal 6 5 4 2" xfId="36304" xr:uid="{00000000-0005-0000-0000-000038780000}"/>
    <cellStyle name="Normal 6 5 4 2 2" xfId="36305" xr:uid="{00000000-0005-0000-0000-000039780000}"/>
    <cellStyle name="Normal 6 5 4 3" xfId="36306" xr:uid="{00000000-0005-0000-0000-00003A780000}"/>
    <cellStyle name="Normal 6 5 4 3 2" xfId="36307" xr:uid="{00000000-0005-0000-0000-00003B780000}"/>
    <cellStyle name="Normal 6 5 4 4" xfId="36308" xr:uid="{00000000-0005-0000-0000-00003C780000}"/>
    <cellStyle name="Normal 6 5 4 4 2" xfId="36309" xr:uid="{00000000-0005-0000-0000-00003D780000}"/>
    <cellStyle name="Normal 6 5 4 5" xfId="36310" xr:uid="{00000000-0005-0000-0000-00003E780000}"/>
    <cellStyle name="Normal 6 5 4 6" xfId="36311" xr:uid="{00000000-0005-0000-0000-00003F780000}"/>
    <cellStyle name="Normal 6 5 4 7" xfId="36303" xr:uid="{00000000-0005-0000-0000-000040780000}"/>
    <cellStyle name="Normal 6 5 5" xfId="36312" xr:uid="{00000000-0005-0000-0000-000041780000}"/>
    <cellStyle name="Normal 6 5 5 2" xfId="36313" xr:uid="{00000000-0005-0000-0000-000042780000}"/>
    <cellStyle name="Normal 6 5 5 2 2" xfId="36314" xr:uid="{00000000-0005-0000-0000-000043780000}"/>
    <cellStyle name="Normal 6 5 5 3" xfId="36315" xr:uid="{00000000-0005-0000-0000-000044780000}"/>
    <cellStyle name="Normal 6 5 5 3 2" xfId="36316" xr:uid="{00000000-0005-0000-0000-000045780000}"/>
    <cellStyle name="Normal 6 5 5 4" xfId="36317" xr:uid="{00000000-0005-0000-0000-000046780000}"/>
    <cellStyle name="Normal 6 5 5 4 2" xfId="36318" xr:uid="{00000000-0005-0000-0000-000047780000}"/>
    <cellStyle name="Normal 6 5 5 5" xfId="36319" xr:uid="{00000000-0005-0000-0000-000048780000}"/>
    <cellStyle name="Normal 6 5 5 6" xfId="36320" xr:uid="{00000000-0005-0000-0000-000049780000}"/>
    <cellStyle name="Normal 6 5 6" xfId="36321" xr:uid="{00000000-0005-0000-0000-00004A780000}"/>
    <cellStyle name="Normal 6 5 6 2" xfId="36322" xr:uid="{00000000-0005-0000-0000-00004B780000}"/>
    <cellStyle name="Normal 6 5 6 2 2" xfId="36323" xr:uid="{00000000-0005-0000-0000-00004C780000}"/>
    <cellStyle name="Normal 6 5 6 3" xfId="36324" xr:uid="{00000000-0005-0000-0000-00004D780000}"/>
    <cellStyle name="Normal 6 5 6 3 2" xfId="36325" xr:uid="{00000000-0005-0000-0000-00004E780000}"/>
    <cellStyle name="Normal 6 5 6 4" xfId="36326" xr:uid="{00000000-0005-0000-0000-00004F780000}"/>
    <cellStyle name="Normal 6 5 6 5" xfId="36327" xr:uid="{00000000-0005-0000-0000-000050780000}"/>
    <cellStyle name="Normal 6 5 7" xfId="36328" xr:uid="{00000000-0005-0000-0000-000051780000}"/>
    <cellStyle name="Normal 6 5 7 2" xfId="36329" xr:uid="{00000000-0005-0000-0000-000052780000}"/>
    <cellStyle name="Normal 6 5 8" xfId="36330" xr:uid="{00000000-0005-0000-0000-000053780000}"/>
    <cellStyle name="Normal 6 5 8 2" xfId="36331" xr:uid="{00000000-0005-0000-0000-000054780000}"/>
    <cellStyle name="Normal 6 5 9" xfId="36332" xr:uid="{00000000-0005-0000-0000-000055780000}"/>
    <cellStyle name="Normal 6 5 9 2" xfId="36333" xr:uid="{00000000-0005-0000-0000-000056780000}"/>
    <cellStyle name="Normal 6 6" xfId="12160" xr:uid="{00000000-0005-0000-0000-000057780000}"/>
    <cellStyle name="Normal 6 6 10" xfId="36335" xr:uid="{00000000-0005-0000-0000-000058780000}"/>
    <cellStyle name="Normal 6 6 11" xfId="36334" xr:uid="{00000000-0005-0000-0000-000059780000}"/>
    <cellStyle name="Normal 6 6 2" xfId="12161" xr:uid="{00000000-0005-0000-0000-00005A780000}"/>
    <cellStyle name="Normal 6 6 2 2" xfId="12162" xr:uid="{00000000-0005-0000-0000-00005B780000}"/>
    <cellStyle name="Normal 6 6 2 2 2" xfId="36338" xr:uid="{00000000-0005-0000-0000-00005C780000}"/>
    <cellStyle name="Normal 6 6 2 2 3" xfId="36337" xr:uid="{00000000-0005-0000-0000-00005D780000}"/>
    <cellStyle name="Normal 6 6 2 3" xfId="36339" xr:uid="{00000000-0005-0000-0000-00005E780000}"/>
    <cellStyle name="Normal 6 6 2 3 2" xfId="36340" xr:uid="{00000000-0005-0000-0000-00005F780000}"/>
    <cellStyle name="Normal 6 6 2 4" xfId="36341" xr:uid="{00000000-0005-0000-0000-000060780000}"/>
    <cellStyle name="Normal 6 6 2 4 2" xfId="36342" xr:uid="{00000000-0005-0000-0000-000061780000}"/>
    <cellStyle name="Normal 6 6 2 5" xfId="36343" xr:uid="{00000000-0005-0000-0000-000062780000}"/>
    <cellStyle name="Normal 6 6 2 6" xfId="36344" xr:uid="{00000000-0005-0000-0000-000063780000}"/>
    <cellStyle name="Normal 6 6 2 7" xfId="36336" xr:uid="{00000000-0005-0000-0000-000064780000}"/>
    <cellStyle name="Normal 6 6 3" xfId="12163" xr:uid="{00000000-0005-0000-0000-000065780000}"/>
    <cellStyle name="Normal 6 6 3 2" xfId="36346" xr:uid="{00000000-0005-0000-0000-000066780000}"/>
    <cellStyle name="Normal 6 6 3 2 2" xfId="36347" xr:uid="{00000000-0005-0000-0000-000067780000}"/>
    <cellStyle name="Normal 6 6 3 3" xfId="36348" xr:uid="{00000000-0005-0000-0000-000068780000}"/>
    <cellStyle name="Normal 6 6 3 3 2" xfId="36349" xr:uid="{00000000-0005-0000-0000-000069780000}"/>
    <cellStyle name="Normal 6 6 3 4" xfId="36350" xr:uid="{00000000-0005-0000-0000-00006A780000}"/>
    <cellStyle name="Normal 6 6 3 4 2" xfId="36351" xr:uid="{00000000-0005-0000-0000-00006B780000}"/>
    <cellStyle name="Normal 6 6 3 5" xfId="36352" xr:uid="{00000000-0005-0000-0000-00006C780000}"/>
    <cellStyle name="Normal 6 6 3 6" xfId="36353" xr:uid="{00000000-0005-0000-0000-00006D780000}"/>
    <cellStyle name="Normal 6 6 3 7" xfId="36345" xr:uid="{00000000-0005-0000-0000-00006E780000}"/>
    <cellStyle name="Normal 6 6 4" xfId="12164" xr:uid="{00000000-0005-0000-0000-00006F780000}"/>
    <cellStyle name="Normal 6 6 4 2" xfId="36355" xr:uid="{00000000-0005-0000-0000-000070780000}"/>
    <cellStyle name="Normal 6 6 4 2 2" xfId="36356" xr:uid="{00000000-0005-0000-0000-000071780000}"/>
    <cellStyle name="Normal 6 6 4 3" xfId="36357" xr:uid="{00000000-0005-0000-0000-000072780000}"/>
    <cellStyle name="Normal 6 6 4 3 2" xfId="36358" xr:uid="{00000000-0005-0000-0000-000073780000}"/>
    <cellStyle name="Normal 6 6 4 4" xfId="36359" xr:uid="{00000000-0005-0000-0000-000074780000}"/>
    <cellStyle name="Normal 6 6 4 4 2" xfId="36360" xr:uid="{00000000-0005-0000-0000-000075780000}"/>
    <cellStyle name="Normal 6 6 4 5" xfId="36361" xr:uid="{00000000-0005-0000-0000-000076780000}"/>
    <cellStyle name="Normal 6 6 4 6" xfId="36362" xr:uid="{00000000-0005-0000-0000-000077780000}"/>
    <cellStyle name="Normal 6 6 4 7" xfId="36354" xr:uid="{00000000-0005-0000-0000-000078780000}"/>
    <cellStyle name="Normal 6 6 5" xfId="36363" xr:uid="{00000000-0005-0000-0000-000079780000}"/>
    <cellStyle name="Normal 6 6 5 2" xfId="36364" xr:uid="{00000000-0005-0000-0000-00007A780000}"/>
    <cellStyle name="Normal 6 6 5 2 2" xfId="36365" xr:uid="{00000000-0005-0000-0000-00007B780000}"/>
    <cellStyle name="Normal 6 6 5 3" xfId="36366" xr:uid="{00000000-0005-0000-0000-00007C780000}"/>
    <cellStyle name="Normal 6 6 5 3 2" xfId="36367" xr:uid="{00000000-0005-0000-0000-00007D780000}"/>
    <cellStyle name="Normal 6 6 5 4" xfId="36368" xr:uid="{00000000-0005-0000-0000-00007E780000}"/>
    <cellStyle name="Normal 6 6 5 5" xfId="36369" xr:uid="{00000000-0005-0000-0000-00007F780000}"/>
    <cellStyle name="Normal 6 6 6" xfId="36370" xr:uid="{00000000-0005-0000-0000-000080780000}"/>
    <cellStyle name="Normal 6 6 6 2" xfId="36371" xr:uid="{00000000-0005-0000-0000-000081780000}"/>
    <cellStyle name="Normal 6 6 7" xfId="36372" xr:uid="{00000000-0005-0000-0000-000082780000}"/>
    <cellStyle name="Normal 6 6 7 2" xfId="36373" xr:uid="{00000000-0005-0000-0000-000083780000}"/>
    <cellStyle name="Normal 6 6 8" xfId="36374" xr:uid="{00000000-0005-0000-0000-000084780000}"/>
    <cellStyle name="Normal 6 6 8 2" xfId="36375" xr:uid="{00000000-0005-0000-0000-000085780000}"/>
    <cellStyle name="Normal 6 6 9" xfId="36376" xr:uid="{00000000-0005-0000-0000-000086780000}"/>
    <cellStyle name="Normal 6 7" xfId="12165" xr:uid="{00000000-0005-0000-0000-000087780000}"/>
    <cellStyle name="Normal 6 7 10" xfId="36378" xr:uid="{00000000-0005-0000-0000-000088780000}"/>
    <cellStyle name="Normal 6 7 11" xfId="36377" xr:uid="{00000000-0005-0000-0000-000089780000}"/>
    <cellStyle name="Normal 6 7 2" xfId="12166" xr:uid="{00000000-0005-0000-0000-00008A780000}"/>
    <cellStyle name="Normal 6 7 2 2" xfId="36380" xr:uid="{00000000-0005-0000-0000-00008B780000}"/>
    <cellStyle name="Normal 6 7 2 2 2" xfId="36381" xr:uid="{00000000-0005-0000-0000-00008C780000}"/>
    <cellStyle name="Normal 6 7 2 3" xfId="36382" xr:uid="{00000000-0005-0000-0000-00008D780000}"/>
    <cellStyle name="Normal 6 7 2 3 2" xfId="36383" xr:uid="{00000000-0005-0000-0000-00008E780000}"/>
    <cellStyle name="Normal 6 7 2 4" xfId="36384" xr:uid="{00000000-0005-0000-0000-00008F780000}"/>
    <cellStyle name="Normal 6 7 2 4 2" xfId="36385" xr:uid="{00000000-0005-0000-0000-000090780000}"/>
    <cellStyle name="Normal 6 7 2 5" xfId="36386" xr:uid="{00000000-0005-0000-0000-000091780000}"/>
    <cellStyle name="Normal 6 7 2 6" xfId="36387" xr:uid="{00000000-0005-0000-0000-000092780000}"/>
    <cellStyle name="Normal 6 7 2 7" xfId="36379" xr:uid="{00000000-0005-0000-0000-000093780000}"/>
    <cellStyle name="Normal 6 7 3" xfId="36388" xr:uid="{00000000-0005-0000-0000-000094780000}"/>
    <cellStyle name="Normal 6 7 3 2" xfId="36389" xr:uid="{00000000-0005-0000-0000-000095780000}"/>
    <cellStyle name="Normal 6 7 3 2 2" xfId="36390" xr:uid="{00000000-0005-0000-0000-000096780000}"/>
    <cellStyle name="Normal 6 7 3 3" xfId="36391" xr:uid="{00000000-0005-0000-0000-000097780000}"/>
    <cellStyle name="Normal 6 7 3 3 2" xfId="36392" xr:uid="{00000000-0005-0000-0000-000098780000}"/>
    <cellStyle name="Normal 6 7 3 4" xfId="36393" xr:uid="{00000000-0005-0000-0000-000099780000}"/>
    <cellStyle name="Normal 6 7 3 4 2" xfId="36394" xr:uid="{00000000-0005-0000-0000-00009A780000}"/>
    <cellStyle name="Normal 6 7 3 5" xfId="36395" xr:uid="{00000000-0005-0000-0000-00009B780000}"/>
    <cellStyle name="Normal 6 7 3 6" xfId="36396" xr:uid="{00000000-0005-0000-0000-00009C780000}"/>
    <cellStyle name="Normal 6 7 4" xfId="36397" xr:uid="{00000000-0005-0000-0000-00009D780000}"/>
    <cellStyle name="Normal 6 7 4 2" xfId="36398" xr:uid="{00000000-0005-0000-0000-00009E780000}"/>
    <cellStyle name="Normal 6 7 4 2 2" xfId="36399" xr:uid="{00000000-0005-0000-0000-00009F780000}"/>
    <cellStyle name="Normal 6 7 4 3" xfId="36400" xr:uid="{00000000-0005-0000-0000-0000A0780000}"/>
    <cellStyle name="Normal 6 7 4 3 2" xfId="36401" xr:uid="{00000000-0005-0000-0000-0000A1780000}"/>
    <cellStyle name="Normal 6 7 4 4" xfId="36402" xr:uid="{00000000-0005-0000-0000-0000A2780000}"/>
    <cellStyle name="Normal 6 7 4 4 2" xfId="36403" xr:uid="{00000000-0005-0000-0000-0000A3780000}"/>
    <cellStyle name="Normal 6 7 4 5" xfId="36404" xr:uid="{00000000-0005-0000-0000-0000A4780000}"/>
    <cellStyle name="Normal 6 7 4 6" xfId="36405" xr:uid="{00000000-0005-0000-0000-0000A5780000}"/>
    <cellStyle name="Normal 6 7 5" xfId="36406" xr:uid="{00000000-0005-0000-0000-0000A6780000}"/>
    <cellStyle name="Normal 6 7 5 2" xfId="36407" xr:uid="{00000000-0005-0000-0000-0000A7780000}"/>
    <cellStyle name="Normal 6 7 5 2 2" xfId="36408" xr:uid="{00000000-0005-0000-0000-0000A8780000}"/>
    <cellStyle name="Normal 6 7 5 3" xfId="36409" xr:uid="{00000000-0005-0000-0000-0000A9780000}"/>
    <cellStyle name="Normal 6 7 5 3 2" xfId="36410" xr:uid="{00000000-0005-0000-0000-0000AA780000}"/>
    <cellStyle name="Normal 6 7 5 4" xfId="36411" xr:uid="{00000000-0005-0000-0000-0000AB780000}"/>
    <cellStyle name="Normal 6 7 5 5" xfId="36412" xr:uid="{00000000-0005-0000-0000-0000AC780000}"/>
    <cellStyle name="Normal 6 7 6" xfId="36413" xr:uid="{00000000-0005-0000-0000-0000AD780000}"/>
    <cellStyle name="Normal 6 7 6 2" xfId="36414" xr:uid="{00000000-0005-0000-0000-0000AE780000}"/>
    <cellStyle name="Normal 6 7 7" xfId="36415" xr:uid="{00000000-0005-0000-0000-0000AF780000}"/>
    <cellStyle name="Normal 6 7 7 2" xfId="36416" xr:uid="{00000000-0005-0000-0000-0000B0780000}"/>
    <cellStyle name="Normal 6 7 8" xfId="36417" xr:uid="{00000000-0005-0000-0000-0000B1780000}"/>
    <cellStyle name="Normal 6 7 8 2" xfId="36418" xr:uid="{00000000-0005-0000-0000-0000B2780000}"/>
    <cellStyle name="Normal 6 7 9" xfId="36419" xr:uid="{00000000-0005-0000-0000-0000B3780000}"/>
    <cellStyle name="Normal 6 8" xfId="12167" xr:uid="{00000000-0005-0000-0000-0000B4780000}"/>
    <cellStyle name="Normal 6 8 2" xfId="36421" xr:uid="{00000000-0005-0000-0000-0000B5780000}"/>
    <cellStyle name="Normal 6 8 2 2" xfId="36422" xr:uid="{00000000-0005-0000-0000-0000B6780000}"/>
    <cellStyle name="Normal 6 8 3" xfId="36423" xr:uid="{00000000-0005-0000-0000-0000B7780000}"/>
    <cellStyle name="Normal 6 8 3 2" xfId="36424" xr:uid="{00000000-0005-0000-0000-0000B8780000}"/>
    <cellStyle name="Normal 6 8 4" xfId="36425" xr:uid="{00000000-0005-0000-0000-0000B9780000}"/>
    <cellStyle name="Normal 6 8 4 2" xfId="36426" xr:uid="{00000000-0005-0000-0000-0000BA780000}"/>
    <cellStyle name="Normal 6 8 5" xfId="36427" xr:uid="{00000000-0005-0000-0000-0000BB780000}"/>
    <cellStyle name="Normal 6 8 6" xfId="36428" xr:uid="{00000000-0005-0000-0000-0000BC780000}"/>
    <cellStyle name="Normal 6 8 7" xfId="36420" xr:uid="{00000000-0005-0000-0000-0000BD780000}"/>
    <cellStyle name="Normal 6 9" xfId="36429" xr:uid="{00000000-0005-0000-0000-0000BE780000}"/>
    <cellStyle name="Normal 6 9 2" xfId="36430" xr:uid="{00000000-0005-0000-0000-0000BF780000}"/>
    <cellStyle name="Normal 6 9 2 2" xfId="36431" xr:uid="{00000000-0005-0000-0000-0000C0780000}"/>
    <cellStyle name="Normal 6 9 3" xfId="36432" xr:uid="{00000000-0005-0000-0000-0000C1780000}"/>
    <cellStyle name="Normal 6 9 3 2" xfId="36433" xr:uid="{00000000-0005-0000-0000-0000C2780000}"/>
    <cellStyle name="Normal 6 9 4" xfId="36434" xr:uid="{00000000-0005-0000-0000-0000C3780000}"/>
    <cellStyle name="Normal 6 9 4 2" xfId="36435" xr:uid="{00000000-0005-0000-0000-0000C4780000}"/>
    <cellStyle name="Normal 6 9 5" xfId="36436" xr:uid="{00000000-0005-0000-0000-0000C5780000}"/>
    <cellStyle name="Normal 6 9 6" xfId="36437" xr:uid="{00000000-0005-0000-0000-0000C6780000}"/>
    <cellStyle name="Normal 60" xfId="12168" xr:uid="{00000000-0005-0000-0000-0000C7780000}"/>
    <cellStyle name="Normal 60 2" xfId="12169" xr:uid="{00000000-0005-0000-0000-0000C8780000}"/>
    <cellStyle name="Normal 60 3" xfId="12170" xr:uid="{00000000-0005-0000-0000-0000C9780000}"/>
    <cellStyle name="Normal 60 4" xfId="36438" xr:uid="{00000000-0005-0000-0000-0000CA780000}"/>
    <cellStyle name="Normal 61" xfId="12171" xr:uid="{00000000-0005-0000-0000-0000CB780000}"/>
    <cellStyle name="Normal 61 2" xfId="36439" xr:uid="{00000000-0005-0000-0000-0000CC780000}"/>
    <cellStyle name="Normal 62" xfId="12172" xr:uid="{00000000-0005-0000-0000-0000CD780000}"/>
    <cellStyle name="Normal 62 2" xfId="36440" xr:uid="{00000000-0005-0000-0000-0000CE780000}"/>
    <cellStyle name="Normal 63" xfId="12173" xr:uid="{00000000-0005-0000-0000-0000CF780000}"/>
    <cellStyle name="Normal 63 2" xfId="36441" xr:uid="{00000000-0005-0000-0000-0000D0780000}"/>
    <cellStyle name="Normal 64" xfId="12174" xr:uid="{00000000-0005-0000-0000-0000D1780000}"/>
    <cellStyle name="Normal 64 2" xfId="36442" xr:uid="{00000000-0005-0000-0000-0000D2780000}"/>
    <cellStyle name="Normal 65" xfId="12175" xr:uid="{00000000-0005-0000-0000-0000D3780000}"/>
    <cellStyle name="Normal 65 2" xfId="36443" xr:uid="{00000000-0005-0000-0000-0000D4780000}"/>
    <cellStyle name="Normal 66" xfId="12176" xr:uid="{00000000-0005-0000-0000-0000D5780000}"/>
    <cellStyle name="Normal 66 2" xfId="36444" xr:uid="{00000000-0005-0000-0000-0000D6780000}"/>
    <cellStyle name="Normal 67" xfId="12177" xr:uid="{00000000-0005-0000-0000-0000D7780000}"/>
    <cellStyle name="Normal 67 2" xfId="36445" xr:uid="{00000000-0005-0000-0000-0000D8780000}"/>
    <cellStyle name="Normal 68" xfId="12178" xr:uid="{00000000-0005-0000-0000-0000D9780000}"/>
    <cellStyle name="Normal 68 2" xfId="36446" xr:uid="{00000000-0005-0000-0000-0000DA780000}"/>
    <cellStyle name="Normal 69" xfId="12179" xr:uid="{00000000-0005-0000-0000-0000DB780000}"/>
    <cellStyle name="Normal 69 2" xfId="36447" xr:uid="{00000000-0005-0000-0000-0000DC780000}"/>
    <cellStyle name="Normal 7" xfId="7320" xr:uid="{00000000-0005-0000-0000-0000DD780000}"/>
    <cellStyle name="Normal 7 10" xfId="36449" xr:uid="{00000000-0005-0000-0000-0000DE780000}"/>
    <cellStyle name="Normal 7 10 2" xfId="36450" xr:uid="{00000000-0005-0000-0000-0000DF780000}"/>
    <cellStyle name="Normal 7 10 2 2" xfId="36451" xr:uid="{00000000-0005-0000-0000-0000E0780000}"/>
    <cellStyle name="Normal 7 10 3" xfId="36452" xr:uid="{00000000-0005-0000-0000-0000E1780000}"/>
    <cellStyle name="Normal 7 10 3 2" xfId="36453" xr:uid="{00000000-0005-0000-0000-0000E2780000}"/>
    <cellStyle name="Normal 7 10 4" xfId="36454" xr:uid="{00000000-0005-0000-0000-0000E3780000}"/>
    <cellStyle name="Normal 7 10 4 2" xfId="36455" xr:uid="{00000000-0005-0000-0000-0000E4780000}"/>
    <cellStyle name="Normal 7 10 5" xfId="36456" xr:uid="{00000000-0005-0000-0000-0000E5780000}"/>
    <cellStyle name="Normal 7 10 6" xfId="36457" xr:uid="{00000000-0005-0000-0000-0000E6780000}"/>
    <cellStyle name="Normal 7 11" xfId="36458" xr:uid="{00000000-0005-0000-0000-0000E7780000}"/>
    <cellStyle name="Normal 7 11 2" xfId="36459" xr:uid="{00000000-0005-0000-0000-0000E8780000}"/>
    <cellStyle name="Normal 7 11 2 2" xfId="36460" xr:uid="{00000000-0005-0000-0000-0000E9780000}"/>
    <cellStyle name="Normal 7 11 3" xfId="36461" xr:uid="{00000000-0005-0000-0000-0000EA780000}"/>
    <cellStyle name="Normal 7 11 3 2" xfId="36462" xr:uid="{00000000-0005-0000-0000-0000EB780000}"/>
    <cellStyle name="Normal 7 11 4" xfId="36463" xr:uid="{00000000-0005-0000-0000-0000EC780000}"/>
    <cellStyle name="Normal 7 11 4 2" xfId="36464" xr:uid="{00000000-0005-0000-0000-0000ED780000}"/>
    <cellStyle name="Normal 7 11 5" xfId="36465" xr:uid="{00000000-0005-0000-0000-0000EE780000}"/>
    <cellStyle name="Normal 7 11 6" xfId="36466" xr:uid="{00000000-0005-0000-0000-0000EF780000}"/>
    <cellStyle name="Normal 7 12" xfId="36467" xr:uid="{00000000-0005-0000-0000-0000F0780000}"/>
    <cellStyle name="Normal 7 12 2" xfId="36468" xr:uid="{00000000-0005-0000-0000-0000F1780000}"/>
    <cellStyle name="Normal 7 12 2 2" xfId="36469" xr:uid="{00000000-0005-0000-0000-0000F2780000}"/>
    <cellStyle name="Normal 7 12 3" xfId="36470" xr:uid="{00000000-0005-0000-0000-0000F3780000}"/>
    <cellStyle name="Normal 7 12 3 2" xfId="36471" xr:uid="{00000000-0005-0000-0000-0000F4780000}"/>
    <cellStyle name="Normal 7 12 4" xfId="36472" xr:uid="{00000000-0005-0000-0000-0000F5780000}"/>
    <cellStyle name="Normal 7 12 4 2" xfId="36473" xr:uid="{00000000-0005-0000-0000-0000F6780000}"/>
    <cellStyle name="Normal 7 12 5" xfId="36474" xr:uid="{00000000-0005-0000-0000-0000F7780000}"/>
    <cellStyle name="Normal 7 12 6" xfId="36475" xr:uid="{00000000-0005-0000-0000-0000F8780000}"/>
    <cellStyle name="Normal 7 13" xfId="36476" xr:uid="{00000000-0005-0000-0000-0000F9780000}"/>
    <cellStyle name="Normal 7 13 2" xfId="36477" xr:uid="{00000000-0005-0000-0000-0000FA780000}"/>
    <cellStyle name="Normal 7 13 2 2" xfId="36478" xr:uid="{00000000-0005-0000-0000-0000FB780000}"/>
    <cellStyle name="Normal 7 13 3" xfId="36479" xr:uid="{00000000-0005-0000-0000-0000FC780000}"/>
    <cellStyle name="Normal 7 13 3 2" xfId="36480" xr:uid="{00000000-0005-0000-0000-0000FD780000}"/>
    <cellStyle name="Normal 7 13 4" xfId="36481" xr:uid="{00000000-0005-0000-0000-0000FE780000}"/>
    <cellStyle name="Normal 7 13 5" xfId="36482" xr:uid="{00000000-0005-0000-0000-0000FF780000}"/>
    <cellStyle name="Normal 7 14" xfId="36483" xr:uid="{00000000-0005-0000-0000-000000790000}"/>
    <cellStyle name="Normal 7 14 2" xfId="36484" xr:uid="{00000000-0005-0000-0000-000001790000}"/>
    <cellStyle name="Normal 7 15" xfId="36485" xr:uid="{00000000-0005-0000-0000-000002790000}"/>
    <cellStyle name="Normal 7 15 2" xfId="36486" xr:uid="{00000000-0005-0000-0000-000003790000}"/>
    <cellStyle name="Normal 7 16" xfId="36487" xr:uid="{00000000-0005-0000-0000-000004790000}"/>
    <cellStyle name="Normal 7 16 2" xfId="36488" xr:uid="{00000000-0005-0000-0000-000005790000}"/>
    <cellStyle name="Normal 7 17" xfId="36489" xr:uid="{00000000-0005-0000-0000-000006790000}"/>
    <cellStyle name="Normal 7 18" xfId="36490" xr:uid="{00000000-0005-0000-0000-000007790000}"/>
    <cellStyle name="Normal 7 19" xfId="36491" xr:uid="{00000000-0005-0000-0000-000008790000}"/>
    <cellStyle name="Normal 7 2" xfId="7321" xr:uid="{00000000-0005-0000-0000-000009790000}"/>
    <cellStyle name="Normal 7 2 10" xfId="36493" xr:uid="{00000000-0005-0000-0000-00000A790000}"/>
    <cellStyle name="Normal 7 2 10 2" xfId="36494" xr:uid="{00000000-0005-0000-0000-00000B790000}"/>
    <cellStyle name="Normal 7 2 10 2 2" xfId="36495" xr:uid="{00000000-0005-0000-0000-00000C790000}"/>
    <cellStyle name="Normal 7 2 10 3" xfId="36496" xr:uid="{00000000-0005-0000-0000-00000D790000}"/>
    <cellStyle name="Normal 7 2 10 3 2" xfId="36497" xr:uid="{00000000-0005-0000-0000-00000E790000}"/>
    <cellStyle name="Normal 7 2 10 4" xfId="36498" xr:uid="{00000000-0005-0000-0000-00000F790000}"/>
    <cellStyle name="Normal 7 2 10 4 2" xfId="36499" xr:uid="{00000000-0005-0000-0000-000010790000}"/>
    <cellStyle name="Normal 7 2 10 5" xfId="36500" xr:uid="{00000000-0005-0000-0000-000011790000}"/>
    <cellStyle name="Normal 7 2 10 6" xfId="36501" xr:uid="{00000000-0005-0000-0000-000012790000}"/>
    <cellStyle name="Normal 7 2 11" xfId="36502" xr:uid="{00000000-0005-0000-0000-000013790000}"/>
    <cellStyle name="Normal 7 2 11 2" xfId="36503" xr:uid="{00000000-0005-0000-0000-000014790000}"/>
    <cellStyle name="Normal 7 2 11 2 2" xfId="36504" xr:uid="{00000000-0005-0000-0000-000015790000}"/>
    <cellStyle name="Normal 7 2 11 3" xfId="36505" xr:uid="{00000000-0005-0000-0000-000016790000}"/>
    <cellStyle name="Normal 7 2 11 3 2" xfId="36506" xr:uid="{00000000-0005-0000-0000-000017790000}"/>
    <cellStyle name="Normal 7 2 11 4" xfId="36507" xr:uid="{00000000-0005-0000-0000-000018790000}"/>
    <cellStyle name="Normal 7 2 11 5" xfId="36508" xr:uid="{00000000-0005-0000-0000-000019790000}"/>
    <cellStyle name="Normal 7 2 12" xfId="36509" xr:uid="{00000000-0005-0000-0000-00001A790000}"/>
    <cellStyle name="Normal 7 2 12 2" xfId="36510" xr:uid="{00000000-0005-0000-0000-00001B790000}"/>
    <cellStyle name="Normal 7 2 13" xfId="36511" xr:uid="{00000000-0005-0000-0000-00001C790000}"/>
    <cellStyle name="Normal 7 2 13 2" xfId="36512" xr:uid="{00000000-0005-0000-0000-00001D790000}"/>
    <cellStyle name="Normal 7 2 14" xfId="36513" xr:uid="{00000000-0005-0000-0000-00001E790000}"/>
    <cellStyle name="Normal 7 2 14 2" xfId="36514" xr:uid="{00000000-0005-0000-0000-00001F790000}"/>
    <cellStyle name="Normal 7 2 15" xfId="36515" xr:uid="{00000000-0005-0000-0000-000020790000}"/>
    <cellStyle name="Normal 7 2 16" xfId="36516" xr:uid="{00000000-0005-0000-0000-000021790000}"/>
    <cellStyle name="Normal 7 2 17" xfId="36492" xr:uid="{00000000-0005-0000-0000-000022790000}"/>
    <cellStyle name="Normal 7 2 2" xfId="12180" xr:uid="{00000000-0005-0000-0000-000023790000}"/>
    <cellStyle name="Normal 7 2 2 10" xfId="36518" xr:uid="{00000000-0005-0000-0000-000024790000}"/>
    <cellStyle name="Normal 7 2 2 10 2" xfId="36519" xr:uid="{00000000-0005-0000-0000-000025790000}"/>
    <cellStyle name="Normal 7 2 2 11" xfId="36520" xr:uid="{00000000-0005-0000-0000-000026790000}"/>
    <cellStyle name="Normal 7 2 2 11 2" xfId="36521" xr:uid="{00000000-0005-0000-0000-000027790000}"/>
    <cellStyle name="Normal 7 2 2 12" xfId="36522" xr:uid="{00000000-0005-0000-0000-000028790000}"/>
    <cellStyle name="Normal 7 2 2 13" xfId="36523" xr:uid="{00000000-0005-0000-0000-000029790000}"/>
    <cellStyle name="Normal 7 2 2 14" xfId="36517" xr:uid="{00000000-0005-0000-0000-00002A790000}"/>
    <cellStyle name="Normal 7 2 2 2" xfId="12181" xr:uid="{00000000-0005-0000-0000-00002B790000}"/>
    <cellStyle name="Normal 7 2 2 2 10" xfId="36525" xr:uid="{00000000-0005-0000-0000-00002C790000}"/>
    <cellStyle name="Normal 7 2 2 2 11" xfId="36526" xr:uid="{00000000-0005-0000-0000-00002D790000}"/>
    <cellStyle name="Normal 7 2 2 2 12" xfId="36524" xr:uid="{00000000-0005-0000-0000-00002E790000}"/>
    <cellStyle name="Normal 7 2 2 2 2" xfId="12182" xr:uid="{00000000-0005-0000-0000-00002F790000}"/>
    <cellStyle name="Normal 7 2 2 2 2 2" xfId="36528" xr:uid="{00000000-0005-0000-0000-000030790000}"/>
    <cellStyle name="Normal 7 2 2 2 2 2 2" xfId="36529" xr:uid="{00000000-0005-0000-0000-000031790000}"/>
    <cellStyle name="Normal 7 2 2 2 2 3" xfId="36530" xr:uid="{00000000-0005-0000-0000-000032790000}"/>
    <cellStyle name="Normal 7 2 2 2 2 3 2" xfId="36531" xr:uid="{00000000-0005-0000-0000-000033790000}"/>
    <cellStyle name="Normal 7 2 2 2 2 4" xfId="36532" xr:uid="{00000000-0005-0000-0000-000034790000}"/>
    <cellStyle name="Normal 7 2 2 2 2 4 2" xfId="36533" xr:uid="{00000000-0005-0000-0000-000035790000}"/>
    <cellStyle name="Normal 7 2 2 2 2 5" xfId="36534" xr:uid="{00000000-0005-0000-0000-000036790000}"/>
    <cellStyle name="Normal 7 2 2 2 2 6" xfId="36535" xr:uid="{00000000-0005-0000-0000-000037790000}"/>
    <cellStyle name="Normal 7 2 2 2 2 7" xfId="36527" xr:uid="{00000000-0005-0000-0000-000038790000}"/>
    <cellStyle name="Normal 7 2 2 2 3" xfId="36536" xr:uid="{00000000-0005-0000-0000-000039790000}"/>
    <cellStyle name="Normal 7 2 2 2 3 2" xfId="36537" xr:uid="{00000000-0005-0000-0000-00003A790000}"/>
    <cellStyle name="Normal 7 2 2 2 3 2 2" xfId="36538" xr:uid="{00000000-0005-0000-0000-00003B790000}"/>
    <cellStyle name="Normal 7 2 2 2 3 3" xfId="36539" xr:uid="{00000000-0005-0000-0000-00003C790000}"/>
    <cellStyle name="Normal 7 2 2 2 3 3 2" xfId="36540" xr:uid="{00000000-0005-0000-0000-00003D790000}"/>
    <cellStyle name="Normal 7 2 2 2 3 4" xfId="36541" xr:uid="{00000000-0005-0000-0000-00003E790000}"/>
    <cellStyle name="Normal 7 2 2 2 3 4 2" xfId="36542" xr:uid="{00000000-0005-0000-0000-00003F790000}"/>
    <cellStyle name="Normal 7 2 2 2 3 5" xfId="36543" xr:uid="{00000000-0005-0000-0000-000040790000}"/>
    <cellStyle name="Normal 7 2 2 2 3 6" xfId="36544" xr:uid="{00000000-0005-0000-0000-000041790000}"/>
    <cellStyle name="Normal 7 2 2 2 4" xfId="36545" xr:uid="{00000000-0005-0000-0000-000042790000}"/>
    <cellStyle name="Normal 7 2 2 2 4 2" xfId="36546" xr:uid="{00000000-0005-0000-0000-000043790000}"/>
    <cellStyle name="Normal 7 2 2 2 4 2 2" xfId="36547" xr:uid="{00000000-0005-0000-0000-000044790000}"/>
    <cellStyle name="Normal 7 2 2 2 4 3" xfId="36548" xr:uid="{00000000-0005-0000-0000-000045790000}"/>
    <cellStyle name="Normal 7 2 2 2 4 3 2" xfId="36549" xr:uid="{00000000-0005-0000-0000-000046790000}"/>
    <cellStyle name="Normal 7 2 2 2 4 4" xfId="36550" xr:uid="{00000000-0005-0000-0000-000047790000}"/>
    <cellStyle name="Normal 7 2 2 2 4 4 2" xfId="36551" xr:uid="{00000000-0005-0000-0000-000048790000}"/>
    <cellStyle name="Normal 7 2 2 2 4 5" xfId="36552" xr:uid="{00000000-0005-0000-0000-000049790000}"/>
    <cellStyle name="Normal 7 2 2 2 4 6" xfId="36553" xr:uid="{00000000-0005-0000-0000-00004A790000}"/>
    <cellStyle name="Normal 7 2 2 2 5" xfId="36554" xr:uid="{00000000-0005-0000-0000-00004B790000}"/>
    <cellStyle name="Normal 7 2 2 2 5 2" xfId="36555" xr:uid="{00000000-0005-0000-0000-00004C790000}"/>
    <cellStyle name="Normal 7 2 2 2 5 2 2" xfId="36556" xr:uid="{00000000-0005-0000-0000-00004D790000}"/>
    <cellStyle name="Normal 7 2 2 2 5 3" xfId="36557" xr:uid="{00000000-0005-0000-0000-00004E790000}"/>
    <cellStyle name="Normal 7 2 2 2 5 3 2" xfId="36558" xr:uid="{00000000-0005-0000-0000-00004F790000}"/>
    <cellStyle name="Normal 7 2 2 2 5 4" xfId="36559" xr:uid="{00000000-0005-0000-0000-000050790000}"/>
    <cellStyle name="Normal 7 2 2 2 5 4 2" xfId="36560" xr:uid="{00000000-0005-0000-0000-000051790000}"/>
    <cellStyle name="Normal 7 2 2 2 5 5" xfId="36561" xr:uid="{00000000-0005-0000-0000-000052790000}"/>
    <cellStyle name="Normal 7 2 2 2 5 6" xfId="36562" xr:uid="{00000000-0005-0000-0000-000053790000}"/>
    <cellStyle name="Normal 7 2 2 2 6" xfId="36563" xr:uid="{00000000-0005-0000-0000-000054790000}"/>
    <cellStyle name="Normal 7 2 2 2 6 2" xfId="36564" xr:uid="{00000000-0005-0000-0000-000055790000}"/>
    <cellStyle name="Normal 7 2 2 2 6 2 2" xfId="36565" xr:uid="{00000000-0005-0000-0000-000056790000}"/>
    <cellStyle name="Normal 7 2 2 2 6 3" xfId="36566" xr:uid="{00000000-0005-0000-0000-000057790000}"/>
    <cellStyle name="Normal 7 2 2 2 6 3 2" xfId="36567" xr:uid="{00000000-0005-0000-0000-000058790000}"/>
    <cellStyle name="Normal 7 2 2 2 6 4" xfId="36568" xr:uid="{00000000-0005-0000-0000-000059790000}"/>
    <cellStyle name="Normal 7 2 2 2 6 5" xfId="36569" xr:uid="{00000000-0005-0000-0000-00005A790000}"/>
    <cellStyle name="Normal 7 2 2 2 7" xfId="36570" xr:uid="{00000000-0005-0000-0000-00005B790000}"/>
    <cellStyle name="Normal 7 2 2 2 7 2" xfId="36571" xr:uid="{00000000-0005-0000-0000-00005C790000}"/>
    <cellStyle name="Normal 7 2 2 2 8" xfId="36572" xr:uid="{00000000-0005-0000-0000-00005D790000}"/>
    <cellStyle name="Normal 7 2 2 2 8 2" xfId="36573" xr:uid="{00000000-0005-0000-0000-00005E790000}"/>
    <cellStyle name="Normal 7 2 2 2 9" xfId="36574" xr:uid="{00000000-0005-0000-0000-00005F790000}"/>
    <cellStyle name="Normal 7 2 2 2 9 2" xfId="36575" xr:uid="{00000000-0005-0000-0000-000060790000}"/>
    <cellStyle name="Normal 7 2 2 3" xfId="12183" xr:uid="{00000000-0005-0000-0000-000061790000}"/>
    <cellStyle name="Normal 7 2 2 3 10" xfId="36577" xr:uid="{00000000-0005-0000-0000-000062790000}"/>
    <cellStyle name="Normal 7 2 2 3 11" xfId="36576" xr:uid="{00000000-0005-0000-0000-000063790000}"/>
    <cellStyle name="Normal 7 2 2 3 2" xfId="36578" xr:uid="{00000000-0005-0000-0000-000064790000}"/>
    <cellStyle name="Normal 7 2 2 3 2 2" xfId="36579" xr:uid="{00000000-0005-0000-0000-000065790000}"/>
    <cellStyle name="Normal 7 2 2 3 2 2 2" xfId="36580" xr:uid="{00000000-0005-0000-0000-000066790000}"/>
    <cellStyle name="Normal 7 2 2 3 2 3" xfId="36581" xr:uid="{00000000-0005-0000-0000-000067790000}"/>
    <cellStyle name="Normal 7 2 2 3 2 3 2" xfId="36582" xr:uid="{00000000-0005-0000-0000-000068790000}"/>
    <cellStyle name="Normal 7 2 2 3 2 4" xfId="36583" xr:uid="{00000000-0005-0000-0000-000069790000}"/>
    <cellStyle name="Normal 7 2 2 3 2 4 2" xfId="36584" xr:uid="{00000000-0005-0000-0000-00006A790000}"/>
    <cellStyle name="Normal 7 2 2 3 2 5" xfId="36585" xr:uid="{00000000-0005-0000-0000-00006B790000}"/>
    <cellStyle name="Normal 7 2 2 3 2 6" xfId="36586" xr:uid="{00000000-0005-0000-0000-00006C790000}"/>
    <cellStyle name="Normal 7 2 2 3 3" xfId="36587" xr:uid="{00000000-0005-0000-0000-00006D790000}"/>
    <cellStyle name="Normal 7 2 2 3 3 2" xfId="36588" xr:uid="{00000000-0005-0000-0000-00006E790000}"/>
    <cellStyle name="Normal 7 2 2 3 3 2 2" xfId="36589" xr:uid="{00000000-0005-0000-0000-00006F790000}"/>
    <cellStyle name="Normal 7 2 2 3 3 3" xfId="36590" xr:uid="{00000000-0005-0000-0000-000070790000}"/>
    <cellStyle name="Normal 7 2 2 3 3 3 2" xfId="36591" xr:uid="{00000000-0005-0000-0000-000071790000}"/>
    <cellStyle name="Normal 7 2 2 3 3 4" xfId="36592" xr:uid="{00000000-0005-0000-0000-000072790000}"/>
    <cellStyle name="Normal 7 2 2 3 3 4 2" xfId="36593" xr:uid="{00000000-0005-0000-0000-000073790000}"/>
    <cellStyle name="Normal 7 2 2 3 3 5" xfId="36594" xr:uid="{00000000-0005-0000-0000-000074790000}"/>
    <cellStyle name="Normal 7 2 2 3 3 6" xfId="36595" xr:uid="{00000000-0005-0000-0000-000075790000}"/>
    <cellStyle name="Normal 7 2 2 3 4" xfId="36596" xr:uid="{00000000-0005-0000-0000-000076790000}"/>
    <cellStyle name="Normal 7 2 2 3 4 2" xfId="36597" xr:uid="{00000000-0005-0000-0000-000077790000}"/>
    <cellStyle name="Normal 7 2 2 3 4 2 2" xfId="36598" xr:uid="{00000000-0005-0000-0000-000078790000}"/>
    <cellStyle name="Normal 7 2 2 3 4 3" xfId="36599" xr:uid="{00000000-0005-0000-0000-000079790000}"/>
    <cellStyle name="Normal 7 2 2 3 4 3 2" xfId="36600" xr:uid="{00000000-0005-0000-0000-00007A790000}"/>
    <cellStyle name="Normal 7 2 2 3 4 4" xfId="36601" xr:uid="{00000000-0005-0000-0000-00007B790000}"/>
    <cellStyle name="Normal 7 2 2 3 4 4 2" xfId="36602" xr:uid="{00000000-0005-0000-0000-00007C790000}"/>
    <cellStyle name="Normal 7 2 2 3 4 5" xfId="36603" xr:uid="{00000000-0005-0000-0000-00007D790000}"/>
    <cellStyle name="Normal 7 2 2 3 4 6" xfId="36604" xr:uid="{00000000-0005-0000-0000-00007E790000}"/>
    <cellStyle name="Normal 7 2 2 3 5" xfId="36605" xr:uid="{00000000-0005-0000-0000-00007F790000}"/>
    <cellStyle name="Normal 7 2 2 3 5 2" xfId="36606" xr:uid="{00000000-0005-0000-0000-000080790000}"/>
    <cellStyle name="Normal 7 2 2 3 5 2 2" xfId="36607" xr:uid="{00000000-0005-0000-0000-000081790000}"/>
    <cellStyle name="Normal 7 2 2 3 5 3" xfId="36608" xr:uid="{00000000-0005-0000-0000-000082790000}"/>
    <cellStyle name="Normal 7 2 2 3 5 3 2" xfId="36609" xr:uid="{00000000-0005-0000-0000-000083790000}"/>
    <cellStyle name="Normal 7 2 2 3 5 4" xfId="36610" xr:uid="{00000000-0005-0000-0000-000084790000}"/>
    <cellStyle name="Normal 7 2 2 3 5 5" xfId="36611" xr:uid="{00000000-0005-0000-0000-000085790000}"/>
    <cellStyle name="Normal 7 2 2 3 6" xfId="36612" xr:uid="{00000000-0005-0000-0000-000086790000}"/>
    <cellStyle name="Normal 7 2 2 3 6 2" xfId="36613" xr:uid="{00000000-0005-0000-0000-000087790000}"/>
    <cellStyle name="Normal 7 2 2 3 7" xfId="36614" xr:uid="{00000000-0005-0000-0000-000088790000}"/>
    <cellStyle name="Normal 7 2 2 3 7 2" xfId="36615" xr:uid="{00000000-0005-0000-0000-000089790000}"/>
    <cellStyle name="Normal 7 2 2 3 8" xfId="36616" xr:uid="{00000000-0005-0000-0000-00008A790000}"/>
    <cellStyle name="Normal 7 2 2 3 8 2" xfId="36617" xr:uid="{00000000-0005-0000-0000-00008B790000}"/>
    <cellStyle name="Normal 7 2 2 3 9" xfId="36618" xr:uid="{00000000-0005-0000-0000-00008C790000}"/>
    <cellStyle name="Normal 7 2 2 4" xfId="12184" xr:uid="{00000000-0005-0000-0000-00008D790000}"/>
    <cellStyle name="Normal 7 2 2 4 10" xfId="36620" xr:uid="{00000000-0005-0000-0000-00008E790000}"/>
    <cellStyle name="Normal 7 2 2 4 11" xfId="36619" xr:uid="{00000000-0005-0000-0000-00008F790000}"/>
    <cellStyle name="Normal 7 2 2 4 2" xfId="36621" xr:uid="{00000000-0005-0000-0000-000090790000}"/>
    <cellStyle name="Normal 7 2 2 4 2 2" xfId="36622" xr:uid="{00000000-0005-0000-0000-000091790000}"/>
    <cellStyle name="Normal 7 2 2 4 2 2 2" xfId="36623" xr:uid="{00000000-0005-0000-0000-000092790000}"/>
    <cellStyle name="Normal 7 2 2 4 2 3" xfId="36624" xr:uid="{00000000-0005-0000-0000-000093790000}"/>
    <cellStyle name="Normal 7 2 2 4 2 3 2" xfId="36625" xr:uid="{00000000-0005-0000-0000-000094790000}"/>
    <cellStyle name="Normal 7 2 2 4 2 4" xfId="36626" xr:uid="{00000000-0005-0000-0000-000095790000}"/>
    <cellStyle name="Normal 7 2 2 4 2 4 2" xfId="36627" xr:uid="{00000000-0005-0000-0000-000096790000}"/>
    <cellStyle name="Normal 7 2 2 4 2 5" xfId="36628" xr:uid="{00000000-0005-0000-0000-000097790000}"/>
    <cellStyle name="Normal 7 2 2 4 2 6" xfId="36629" xr:uid="{00000000-0005-0000-0000-000098790000}"/>
    <cellStyle name="Normal 7 2 2 4 3" xfId="36630" xr:uid="{00000000-0005-0000-0000-000099790000}"/>
    <cellStyle name="Normal 7 2 2 4 3 2" xfId="36631" xr:uid="{00000000-0005-0000-0000-00009A790000}"/>
    <cellStyle name="Normal 7 2 2 4 3 2 2" xfId="36632" xr:uid="{00000000-0005-0000-0000-00009B790000}"/>
    <cellStyle name="Normal 7 2 2 4 3 3" xfId="36633" xr:uid="{00000000-0005-0000-0000-00009C790000}"/>
    <cellStyle name="Normal 7 2 2 4 3 3 2" xfId="36634" xr:uid="{00000000-0005-0000-0000-00009D790000}"/>
    <cellStyle name="Normal 7 2 2 4 3 4" xfId="36635" xr:uid="{00000000-0005-0000-0000-00009E790000}"/>
    <cellStyle name="Normal 7 2 2 4 3 4 2" xfId="36636" xr:uid="{00000000-0005-0000-0000-00009F790000}"/>
    <cellStyle name="Normal 7 2 2 4 3 5" xfId="36637" xr:uid="{00000000-0005-0000-0000-0000A0790000}"/>
    <cellStyle name="Normal 7 2 2 4 3 6" xfId="36638" xr:uid="{00000000-0005-0000-0000-0000A1790000}"/>
    <cellStyle name="Normal 7 2 2 4 4" xfId="36639" xr:uid="{00000000-0005-0000-0000-0000A2790000}"/>
    <cellStyle name="Normal 7 2 2 4 4 2" xfId="36640" xr:uid="{00000000-0005-0000-0000-0000A3790000}"/>
    <cellStyle name="Normal 7 2 2 4 4 2 2" xfId="36641" xr:uid="{00000000-0005-0000-0000-0000A4790000}"/>
    <cellStyle name="Normal 7 2 2 4 4 3" xfId="36642" xr:uid="{00000000-0005-0000-0000-0000A5790000}"/>
    <cellStyle name="Normal 7 2 2 4 4 3 2" xfId="36643" xr:uid="{00000000-0005-0000-0000-0000A6790000}"/>
    <cellStyle name="Normal 7 2 2 4 4 4" xfId="36644" xr:uid="{00000000-0005-0000-0000-0000A7790000}"/>
    <cellStyle name="Normal 7 2 2 4 4 4 2" xfId="36645" xr:uid="{00000000-0005-0000-0000-0000A8790000}"/>
    <cellStyle name="Normal 7 2 2 4 4 5" xfId="36646" xr:uid="{00000000-0005-0000-0000-0000A9790000}"/>
    <cellStyle name="Normal 7 2 2 4 4 6" xfId="36647" xr:uid="{00000000-0005-0000-0000-0000AA790000}"/>
    <cellStyle name="Normal 7 2 2 4 5" xfId="36648" xr:uid="{00000000-0005-0000-0000-0000AB790000}"/>
    <cellStyle name="Normal 7 2 2 4 5 2" xfId="36649" xr:uid="{00000000-0005-0000-0000-0000AC790000}"/>
    <cellStyle name="Normal 7 2 2 4 5 2 2" xfId="36650" xr:uid="{00000000-0005-0000-0000-0000AD790000}"/>
    <cellStyle name="Normal 7 2 2 4 5 3" xfId="36651" xr:uid="{00000000-0005-0000-0000-0000AE790000}"/>
    <cellStyle name="Normal 7 2 2 4 5 3 2" xfId="36652" xr:uid="{00000000-0005-0000-0000-0000AF790000}"/>
    <cellStyle name="Normal 7 2 2 4 5 4" xfId="36653" xr:uid="{00000000-0005-0000-0000-0000B0790000}"/>
    <cellStyle name="Normal 7 2 2 4 5 5" xfId="36654" xr:uid="{00000000-0005-0000-0000-0000B1790000}"/>
    <cellStyle name="Normal 7 2 2 4 6" xfId="36655" xr:uid="{00000000-0005-0000-0000-0000B2790000}"/>
    <cellStyle name="Normal 7 2 2 4 6 2" xfId="36656" xr:uid="{00000000-0005-0000-0000-0000B3790000}"/>
    <cellStyle name="Normal 7 2 2 4 7" xfId="36657" xr:uid="{00000000-0005-0000-0000-0000B4790000}"/>
    <cellStyle name="Normal 7 2 2 4 7 2" xfId="36658" xr:uid="{00000000-0005-0000-0000-0000B5790000}"/>
    <cellStyle name="Normal 7 2 2 4 8" xfId="36659" xr:uid="{00000000-0005-0000-0000-0000B6790000}"/>
    <cellStyle name="Normal 7 2 2 4 8 2" xfId="36660" xr:uid="{00000000-0005-0000-0000-0000B7790000}"/>
    <cellStyle name="Normal 7 2 2 4 9" xfId="36661" xr:uid="{00000000-0005-0000-0000-0000B8790000}"/>
    <cellStyle name="Normal 7 2 2 5" xfId="36662" xr:uid="{00000000-0005-0000-0000-0000B9790000}"/>
    <cellStyle name="Normal 7 2 2 5 2" xfId="36663" xr:uid="{00000000-0005-0000-0000-0000BA790000}"/>
    <cellStyle name="Normal 7 2 2 5 2 2" xfId="36664" xr:uid="{00000000-0005-0000-0000-0000BB790000}"/>
    <cellStyle name="Normal 7 2 2 5 3" xfId="36665" xr:uid="{00000000-0005-0000-0000-0000BC790000}"/>
    <cellStyle name="Normal 7 2 2 5 3 2" xfId="36666" xr:uid="{00000000-0005-0000-0000-0000BD790000}"/>
    <cellStyle name="Normal 7 2 2 5 4" xfId="36667" xr:uid="{00000000-0005-0000-0000-0000BE790000}"/>
    <cellStyle name="Normal 7 2 2 5 4 2" xfId="36668" xr:uid="{00000000-0005-0000-0000-0000BF790000}"/>
    <cellStyle name="Normal 7 2 2 5 5" xfId="36669" xr:uid="{00000000-0005-0000-0000-0000C0790000}"/>
    <cellStyle name="Normal 7 2 2 5 6" xfId="36670" xr:uid="{00000000-0005-0000-0000-0000C1790000}"/>
    <cellStyle name="Normal 7 2 2 6" xfId="36671" xr:uid="{00000000-0005-0000-0000-0000C2790000}"/>
    <cellStyle name="Normal 7 2 2 6 2" xfId="36672" xr:uid="{00000000-0005-0000-0000-0000C3790000}"/>
    <cellStyle name="Normal 7 2 2 6 2 2" xfId="36673" xr:uid="{00000000-0005-0000-0000-0000C4790000}"/>
    <cellStyle name="Normal 7 2 2 6 3" xfId="36674" xr:uid="{00000000-0005-0000-0000-0000C5790000}"/>
    <cellStyle name="Normal 7 2 2 6 3 2" xfId="36675" xr:uid="{00000000-0005-0000-0000-0000C6790000}"/>
    <cellStyle name="Normal 7 2 2 6 4" xfId="36676" xr:uid="{00000000-0005-0000-0000-0000C7790000}"/>
    <cellStyle name="Normal 7 2 2 6 4 2" xfId="36677" xr:uid="{00000000-0005-0000-0000-0000C8790000}"/>
    <cellStyle name="Normal 7 2 2 6 5" xfId="36678" xr:uid="{00000000-0005-0000-0000-0000C9790000}"/>
    <cellStyle name="Normal 7 2 2 6 6" xfId="36679" xr:uid="{00000000-0005-0000-0000-0000CA790000}"/>
    <cellStyle name="Normal 7 2 2 7" xfId="36680" xr:uid="{00000000-0005-0000-0000-0000CB790000}"/>
    <cellStyle name="Normal 7 2 2 7 2" xfId="36681" xr:uid="{00000000-0005-0000-0000-0000CC790000}"/>
    <cellStyle name="Normal 7 2 2 7 2 2" xfId="36682" xr:uid="{00000000-0005-0000-0000-0000CD790000}"/>
    <cellStyle name="Normal 7 2 2 7 3" xfId="36683" xr:uid="{00000000-0005-0000-0000-0000CE790000}"/>
    <cellStyle name="Normal 7 2 2 7 3 2" xfId="36684" xr:uid="{00000000-0005-0000-0000-0000CF790000}"/>
    <cellStyle name="Normal 7 2 2 7 4" xfId="36685" xr:uid="{00000000-0005-0000-0000-0000D0790000}"/>
    <cellStyle name="Normal 7 2 2 7 4 2" xfId="36686" xr:uid="{00000000-0005-0000-0000-0000D1790000}"/>
    <cellStyle name="Normal 7 2 2 7 5" xfId="36687" xr:uid="{00000000-0005-0000-0000-0000D2790000}"/>
    <cellStyle name="Normal 7 2 2 7 6" xfId="36688" xr:uid="{00000000-0005-0000-0000-0000D3790000}"/>
    <cellStyle name="Normal 7 2 2 8" xfId="36689" xr:uid="{00000000-0005-0000-0000-0000D4790000}"/>
    <cellStyle name="Normal 7 2 2 8 2" xfId="36690" xr:uid="{00000000-0005-0000-0000-0000D5790000}"/>
    <cellStyle name="Normal 7 2 2 8 2 2" xfId="36691" xr:uid="{00000000-0005-0000-0000-0000D6790000}"/>
    <cellStyle name="Normal 7 2 2 8 3" xfId="36692" xr:uid="{00000000-0005-0000-0000-0000D7790000}"/>
    <cellStyle name="Normal 7 2 2 8 3 2" xfId="36693" xr:uid="{00000000-0005-0000-0000-0000D8790000}"/>
    <cellStyle name="Normal 7 2 2 8 4" xfId="36694" xr:uid="{00000000-0005-0000-0000-0000D9790000}"/>
    <cellStyle name="Normal 7 2 2 8 5" xfId="36695" xr:uid="{00000000-0005-0000-0000-0000DA790000}"/>
    <cellStyle name="Normal 7 2 2 9" xfId="36696" xr:uid="{00000000-0005-0000-0000-0000DB790000}"/>
    <cellStyle name="Normal 7 2 2 9 2" xfId="36697" xr:uid="{00000000-0005-0000-0000-0000DC790000}"/>
    <cellStyle name="Normal 7 2 3" xfId="12185" xr:uid="{00000000-0005-0000-0000-0000DD790000}"/>
    <cellStyle name="Normal 7 2 3 10" xfId="36699" xr:uid="{00000000-0005-0000-0000-0000DE790000}"/>
    <cellStyle name="Normal 7 2 3 10 2" xfId="36700" xr:uid="{00000000-0005-0000-0000-0000DF790000}"/>
    <cellStyle name="Normal 7 2 3 11" xfId="36701" xr:uid="{00000000-0005-0000-0000-0000E0790000}"/>
    <cellStyle name="Normal 7 2 3 11 2" xfId="36702" xr:uid="{00000000-0005-0000-0000-0000E1790000}"/>
    <cellStyle name="Normal 7 2 3 12" xfId="36703" xr:uid="{00000000-0005-0000-0000-0000E2790000}"/>
    <cellStyle name="Normal 7 2 3 13" xfId="36704" xr:uid="{00000000-0005-0000-0000-0000E3790000}"/>
    <cellStyle name="Normal 7 2 3 14" xfId="36698" xr:uid="{00000000-0005-0000-0000-0000E4790000}"/>
    <cellStyle name="Normal 7 2 3 2" xfId="12186" xr:uid="{00000000-0005-0000-0000-0000E5790000}"/>
    <cellStyle name="Normal 7 2 3 2 10" xfId="36706" xr:uid="{00000000-0005-0000-0000-0000E6790000}"/>
    <cellStyle name="Normal 7 2 3 2 11" xfId="36707" xr:uid="{00000000-0005-0000-0000-0000E7790000}"/>
    <cellStyle name="Normal 7 2 3 2 12" xfId="36705" xr:uid="{00000000-0005-0000-0000-0000E8790000}"/>
    <cellStyle name="Normal 7 2 3 2 2" xfId="36708" xr:uid="{00000000-0005-0000-0000-0000E9790000}"/>
    <cellStyle name="Normal 7 2 3 2 2 2" xfId="36709" xr:uid="{00000000-0005-0000-0000-0000EA790000}"/>
    <cellStyle name="Normal 7 2 3 2 2 2 2" xfId="36710" xr:uid="{00000000-0005-0000-0000-0000EB790000}"/>
    <cellStyle name="Normal 7 2 3 2 2 3" xfId="36711" xr:uid="{00000000-0005-0000-0000-0000EC790000}"/>
    <cellStyle name="Normal 7 2 3 2 2 3 2" xfId="36712" xr:uid="{00000000-0005-0000-0000-0000ED790000}"/>
    <cellStyle name="Normal 7 2 3 2 2 4" xfId="36713" xr:uid="{00000000-0005-0000-0000-0000EE790000}"/>
    <cellStyle name="Normal 7 2 3 2 2 4 2" xfId="36714" xr:uid="{00000000-0005-0000-0000-0000EF790000}"/>
    <cellStyle name="Normal 7 2 3 2 2 5" xfId="36715" xr:uid="{00000000-0005-0000-0000-0000F0790000}"/>
    <cellStyle name="Normal 7 2 3 2 2 6" xfId="36716" xr:uid="{00000000-0005-0000-0000-0000F1790000}"/>
    <cellStyle name="Normal 7 2 3 2 3" xfId="36717" xr:uid="{00000000-0005-0000-0000-0000F2790000}"/>
    <cellStyle name="Normal 7 2 3 2 3 2" xfId="36718" xr:uid="{00000000-0005-0000-0000-0000F3790000}"/>
    <cellStyle name="Normal 7 2 3 2 3 2 2" xfId="36719" xr:uid="{00000000-0005-0000-0000-0000F4790000}"/>
    <cellStyle name="Normal 7 2 3 2 3 3" xfId="36720" xr:uid="{00000000-0005-0000-0000-0000F5790000}"/>
    <cellStyle name="Normal 7 2 3 2 3 3 2" xfId="36721" xr:uid="{00000000-0005-0000-0000-0000F6790000}"/>
    <cellStyle name="Normal 7 2 3 2 3 4" xfId="36722" xr:uid="{00000000-0005-0000-0000-0000F7790000}"/>
    <cellStyle name="Normal 7 2 3 2 3 4 2" xfId="36723" xr:uid="{00000000-0005-0000-0000-0000F8790000}"/>
    <cellStyle name="Normal 7 2 3 2 3 5" xfId="36724" xr:uid="{00000000-0005-0000-0000-0000F9790000}"/>
    <cellStyle name="Normal 7 2 3 2 3 6" xfId="36725" xr:uid="{00000000-0005-0000-0000-0000FA790000}"/>
    <cellStyle name="Normal 7 2 3 2 4" xfId="36726" xr:uid="{00000000-0005-0000-0000-0000FB790000}"/>
    <cellStyle name="Normal 7 2 3 2 4 2" xfId="36727" xr:uid="{00000000-0005-0000-0000-0000FC790000}"/>
    <cellStyle name="Normal 7 2 3 2 4 2 2" xfId="36728" xr:uid="{00000000-0005-0000-0000-0000FD790000}"/>
    <cellStyle name="Normal 7 2 3 2 4 3" xfId="36729" xr:uid="{00000000-0005-0000-0000-0000FE790000}"/>
    <cellStyle name="Normal 7 2 3 2 4 3 2" xfId="36730" xr:uid="{00000000-0005-0000-0000-0000FF790000}"/>
    <cellStyle name="Normal 7 2 3 2 4 4" xfId="36731" xr:uid="{00000000-0005-0000-0000-0000007A0000}"/>
    <cellStyle name="Normal 7 2 3 2 4 4 2" xfId="36732" xr:uid="{00000000-0005-0000-0000-0000017A0000}"/>
    <cellStyle name="Normal 7 2 3 2 4 5" xfId="36733" xr:uid="{00000000-0005-0000-0000-0000027A0000}"/>
    <cellStyle name="Normal 7 2 3 2 4 6" xfId="36734" xr:uid="{00000000-0005-0000-0000-0000037A0000}"/>
    <cellStyle name="Normal 7 2 3 2 5" xfId="36735" xr:uid="{00000000-0005-0000-0000-0000047A0000}"/>
    <cellStyle name="Normal 7 2 3 2 5 2" xfId="36736" xr:uid="{00000000-0005-0000-0000-0000057A0000}"/>
    <cellStyle name="Normal 7 2 3 2 5 2 2" xfId="36737" xr:uid="{00000000-0005-0000-0000-0000067A0000}"/>
    <cellStyle name="Normal 7 2 3 2 5 3" xfId="36738" xr:uid="{00000000-0005-0000-0000-0000077A0000}"/>
    <cellStyle name="Normal 7 2 3 2 5 3 2" xfId="36739" xr:uid="{00000000-0005-0000-0000-0000087A0000}"/>
    <cellStyle name="Normal 7 2 3 2 5 4" xfId="36740" xr:uid="{00000000-0005-0000-0000-0000097A0000}"/>
    <cellStyle name="Normal 7 2 3 2 5 4 2" xfId="36741" xr:uid="{00000000-0005-0000-0000-00000A7A0000}"/>
    <cellStyle name="Normal 7 2 3 2 5 5" xfId="36742" xr:uid="{00000000-0005-0000-0000-00000B7A0000}"/>
    <cellStyle name="Normal 7 2 3 2 5 6" xfId="36743" xr:uid="{00000000-0005-0000-0000-00000C7A0000}"/>
    <cellStyle name="Normal 7 2 3 2 6" xfId="36744" xr:uid="{00000000-0005-0000-0000-00000D7A0000}"/>
    <cellStyle name="Normal 7 2 3 2 6 2" xfId="36745" xr:uid="{00000000-0005-0000-0000-00000E7A0000}"/>
    <cellStyle name="Normal 7 2 3 2 6 2 2" xfId="36746" xr:uid="{00000000-0005-0000-0000-00000F7A0000}"/>
    <cellStyle name="Normal 7 2 3 2 6 3" xfId="36747" xr:uid="{00000000-0005-0000-0000-0000107A0000}"/>
    <cellStyle name="Normal 7 2 3 2 6 3 2" xfId="36748" xr:uid="{00000000-0005-0000-0000-0000117A0000}"/>
    <cellStyle name="Normal 7 2 3 2 6 4" xfId="36749" xr:uid="{00000000-0005-0000-0000-0000127A0000}"/>
    <cellStyle name="Normal 7 2 3 2 6 5" xfId="36750" xr:uid="{00000000-0005-0000-0000-0000137A0000}"/>
    <cellStyle name="Normal 7 2 3 2 7" xfId="36751" xr:uid="{00000000-0005-0000-0000-0000147A0000}"/>
    <cellStyle name="Normal 7 2 3 2 7 2" xfId="36752" xr:uid="{00000000-0005-0000-0000-0000157A0000}"/>
    <cellStyle name="Normal 7 2 3 2 8" xfId="36753" xr:uid="{00000000-0005-0000-0000-0000167A0000}"/>
    <cellStyle name="Normal 7 2 3 2 8 2" xfId="36754" xr:uid="{00000000-0005-0000-0000-0000177A0000}"/>
    <cellStyle name="Normal 7 2 3 2 9" xfId="36755" xr:uid="{00000000-0005-0000-0000-0000187A0000}"/>
    <cellStyle name="Normal 7 2 3 2 9 2" xfId="36756" xr:uid="{00000000-0005-0000-0000-0000197A0000}"/>
    <cellStyle name="Normal 7 2 3 3" xfId="36757" xr:uid="{00000000-0005-0000-0000-00001A7A0000}"/>
    <cellStyle name="Normal 7 2 3 3 10" xfId="36758" xr:uid="{00000000-0005-0000-0000-00001B7A0000}"/>
    <cellStyle name="Normal 7 2 3 3 2" xfId="36759" xr:uid="{00000000-0005-0000-0000-00001C7A0000}"/>
    <cellStyle name="Normal 7 2 3 3 2 2" xfId="36760" xr:uid="{00000000-0005-0000-0000-00001D7A0000}"/>
    <cellStyle name="Normal 7 2 3 3 2 2 2" xfId="36761" xr:uid="{00000000-0005-0000-0000-00001E7A0000}"/>
    <cellStyle name="Normal 7 2 3 3 2 3" xfId="36762" xr:uid="{00000000-0005-0000-0000-00001F7A0000}"/>
    <cellStyle name="Normal 7 2 3 3 2 3 2" xfId="36763" xr:uid="{00000000-0005-0000-0000-0000207A0000}"/>
    <cellStyle name="Normal 7 2 3 3 2 4" xfId="36764" xr:uid="{00000000-0005-0000-0000-0000217A0000}"/>
    <cellStyle name="Normal 7 2 3 3 2 4 2" xfId="36765" xr:uid="{00000000-0005-0000-0000-0000227A0000}"/>
    <cellStyle name="Normal 7 2 3 3 2 5" xfId="36766" xr:uid="{00000000-0005-0000-0000-0000237A0000}"/>
    <cellStyle name="Normal 7 2 3 3 2 6" xfId="36767" xr:uid="{00000000-0005-0000-0000-0000247A0000}"/>
    <cellStyle name="Normal 7 2 3 3 3" xfId="36768" xr:uid="{00000000-0005-0000-0000-0000257A0000}"/>
    <cellStyle name="Normal 7 2 3 3 3 2" xfId="36769" xr:uid="{00000000-0005-0000-0000-0000267A0000}"/>
    <cellStyle name="Normal 7 2 3 3 3 2 2" xfId="36770" xr:uid="{00000000-0005-0000-0000-0000277A0000}"/>
    <cellStyle name="Normal 7 2 3 3 3 3" xfId="36771" xr:uid="{00000000-0005-0000-0000-0000287A0000}"/>
    <cellStyle name="Normal 7 2 3 3 3 3 2" xfId="36772" xr:uid="{00000000-0005-0000-0000-0000297A0000}"/>
    <cellStyle name="Normal 7 2 3 3 3 4" xfId="36773" xr:uid="{00000000-0005-0000-0000-00002A7A0000}"/>
    <cellStyle name="Normal 7 2 3 3 3 4 2" xfId="36774" xr:uid="{00000000-0005-0000-0000-00002B7A0000}"/>
    <cellStyle name="Normal 7 2 3 3 3 5" xfId="36775" xr:uid="{00000000-0005-0000-0000-00002C7A0000}"/>
    <cellStyle name="Normal 7 2 3 3 3 6" xfId="36776" xr:uid="{00000000-0005-0000-0000-00002D7A0000}"/>
    <cellStyle name="Normal 7 2 3 3 4" xfId="36777" xr:uid="{00000000-0005-0000-0000-00002E7A0000}"/>
    <cellStyle name="Normal 7 2 3 3 4 2" xfId="36778" xr:uid="{00000000-0005-0000-0000-00002F7A0000}"/>
    <cellStyle name="Normal 7 2 3 3 4 2 2" xfId="36779" xr:uid="{00000000-0005-0000-0000-0000307A0000}"/>
    <cellStyle name="Normal 7 2 3 3 4 3" xfId="36780" xr:uid="{00000000-0005-0000-0000-0000317A0000}"/>
    <cellStyle name="Normal 7 2 3 3 4 3 2" xfId="36781" xr:uid="{00000000-0005-0000-0000-0000327A0000}"/>
    <cellStyle name="Normal 7 2 3 3 4 4" xfId="36782" xr:uid="{00000000-0005-0000-0000-0000337A0000}"/>
    <cellStyle name="Normal 7 2 3 3 4 4 2" xfId="36783" xr:uid="{00000000-0005-0000-0000-0000347A0000}"/>
    <cellStyle name="Normal 7 2 3 3 4 5" xfId="36784" xr:uid="{00000000-0005-0000-0000-0000357A0000}"/>
    <cellStyle name="Normal 7 2 3 3 4 6" xfId="36785" xr:uid="{00000000-0005-0000-0000-0000367A0000}"/>
    <cellStyle name="Normal 7 2 3 3 5" xfId="36786" xr:uid="{00000000-0005-0000-0000-0000377A0000}"/>
    <cellStyle name="Normal 7 2 3 3 5 2" xfId="36787" xr:uid="{00000000-0005-0000-0000-0000387A0000}"/>
    <cellStyle name="Normal 7 2 3 3 5 2 2" xfId="36788" xr:uid="{00000000-0005-0000-0000-0000397A0000}"/>
    <cellStyle name="Normal 7 2 3 3 5 3" xfId="36789" xr:uid="{00000000-0005-0000-0000-00003A7A0000}"/>
    <cellStyle name="Normal 7 2 3 3 5 3 2" xfId="36790" xr:uid="{00000000-0005-0000-0000-00003B7A0000}"/>
    <cellStyle name="Normal 7 2 3 3 5 4" xfId="36791" xr:uid="{00000000-0005-0000-0000-00003C7A0000}"/>
    <cellStyle name="Normal 7 2 3 3 5 5" xfId="36792" xr:uid="{00000000-0005-0000-0000-00003D7A0000}"/>
    <cellStyle name="Normal 7 2 3 3 6" xfId="36793" xr:uid="{00000000-0005-0000-0000-00003E7A0000}"/>
    <cellStyle name="Normal 7 2 3 3 6 2" xfId="36794" xr:uid="{00000000-0005-0000-0000-00003F7A0000}"/>
    <cellStyle name="Normal 7 2 3 3 7" xfId="36795" xr:uid="{00000000-0005-0000-0000-0000407A0000}"/>
    <cellStyle name="Normal 7 2 3 3 7 2" xfId="36796" xr:uid="{00000000-0005-0000-0000-0000417A0000}"/>
    <cellStyle name="Normal 7 2 3 3 8" xfId="36797" xr:uid="{00000000-0005-0000-0000-0000427A0000}"/>
    <cellStyle name="Normal 7 2 3 3 8 2" xfId="36798" xr:uid="{00000000-0005-0000-0000-0000437A0000}"/>
    <cellStyle name="Normal 7 2 3 3 9" xfId="36799" xr:uid="{00000000-0005-0000-0000-0000447A0000}"/>
    <cellStyle name="Normal 7 2 3 4" xfId="36800" xr:uid="{00000000-0005-0000-0000-0000457A0000}"/>
    <cellStyle name="Normal 7 2 3 4 10" xfId="36801" xr:uid="{00000000-0005-0000-0000-0000467A0000}"/>
    <cellStyle name="Normal 7 2 3 4 2" xfId="36802" xr:uid="{00000000-0005-0000-0000-0000477A0000}"/>
    <cellStyle name="Normal 7 2 3 4 2 2" xfId="36803" xr:uid="{00000000-0005-0000-0000-0000487A0000}"/>
    <cellStyle name="Normal 7 2 3 4 2 2 2" xfId="36804" xr:uid="{00000000-0005-0000-0000-0000497A0000}"/>
    <cellStyle name="Normal 7 2 3 4 2 3" xfId="36805" xr:uid="{00000000-0005-0000-0000-00004A7A0000}"/>
    <cellStyle name="Normal 7 2 3 4 2 3 2" xfId="36806" xr:uid="{00000000-0005-0000-0000-00004B7A0000}"/>
    <cellStyle name="Normal 7 2 3 4 2 4" xfId="36807" xr:uid="{00000000-0005-0000-0000-00004C7A0000}"/>
    <cellStyle name="Normal 7 2 3 4 2 4 2" xfId="36808" xr:uid="{00000000-0005-0000-0000-00004D7A0000}"/>
    <cellStyle name="Normal 7 2 3 4 2 5" xfId="36809" xr:uid="{00000000-0005-0000-0000-00004E7A0000}"/>
    <cellStyle name="Normal 7 2 3 4 2 6" xfId="36810" xr:uid="{00000000-0005-0000-0000-00004F7A0000}"/>
    <cellStyle name="Normal 7 2 3 4 3" xfId="36811" xr:uid="{00000000-0005-0000-0000-0000507A0000}"/>
    <cellStyle name="Normal 7 2 3 4 3 2" xfId="36812" xr:uid="{00000000-0005-0000-0000-0000517A0000}"/>
    <cellStyle name="Normal 7 2 3 4 3 2 2" xfId="36813" xr:uid="{00000000-0005-0000-0000-0000527A0000}"/>
    <cellStyle name="Normal 7 2 3 4 3 3" xfId="36814" xr:uid="{00000000-0005-0000-0000-0000537A0000}"/>
    <cellStyle name="Normal 7 2 3 4 3 3 2" xfId="36815" xr:uid="{00000000-0005-0000-0000-0000547A0000}"/>
    <cellStyle name="Normal 7 2 3 4 3 4" xfId="36816" xr:uid="{00000000-0005-0000-0000-0000557A0000}"/>
    <cellStyle name="Normal 7 2 3 4 3 4 2" xfId="36817" xr:uid="{00000000-0005-0000-0000-0000567A0000}"/>
    <cellStyle name="Normal 7 2 3 4 3 5" xfId="36818" xr:uid="{00000000-0005-0000-0000-0000577A0000}"/>
    <cellStyle name="Normal 7 2 3 4 3 6" xfId="36819" xr:uid="{00000000-0005-0000-0000-0000587A0000}"/>
    <cellStyle name="Normal 7 2 3 4 4" xfId="36820" xr:uid="{00000000-0005-0000-0000-0000597A0000}"/>
    <cellStyle name="Normal 7 2 3 4 4 2" xfId="36821" xr:uid="{00000000-0005-0000-0000-00005A7A0000}"/>
    <cellStyle name="Normal 7 2 3 4 4 2 2" xfId="36822" xr:uid="{00000000-0005-0000-0000-00005B7A0000}"/>
    <cellStyle name="Normal 7 2 3 4 4 3" xfId="36823" xr:uid="{00000000-0005-0000-0000-00005C7A0000}"/>
    <cellStyle name="Normal 7 2 3 4 4 3 2" xfId="36824" xr:uid="{00000000-0005-0000-0000-00005D7A0000}"/>
    <cellStyle name="Normal 7 2 3 4 4 4" xfId="36825" xr:uid="{00000000-0005-0000-0000-00005E7A0000}"/>
    <cellStyle name="Normal 7 2 3 4 4 4 2" xfId="36826" xr:uid="{00000000-0005-0000-0000-00005F7A0000}"/>
    <cellStyle name="Normal 7 2 3 4 4 5" xfId="36827" xr:uid="{00000000-0005-0000-0000-0000607A0000}"/>
    <cellStyle name="Normal 7 2 3 4 4 6" xfId="36828" xr:uid="{00000000-0005-0000-0000-0000617A0000}"/>
    <cellStyle name="Normal 7 2 3 4 5" xfId="36829" xr:uid="{00000000-0005-0000-0000-0000627A0000}"/>
    <cellStyle name="Normal 7 2 3 4 5 2" xfId="36830" xr:uid="{00000000-0005-0000-0000-0000637A0000}"/>
    <cellStyle name="Normal 7 2 3 4 5 2 2" xfId="36831" xr:uid="{00000000-0005-0000-0000-0000647A0000}"/>
    <cellStyle name="Normal 7 2 3 4 5 3" xfId="36832" xr:uid="{00000000-0005-0000-0000-0000657A0000}"/>
    <cellStyle name="Normal 7 2 3 4 5 3 2" xfId="36833" xr:uid="{00000000-0005-0000-0000-0000667A0000}"/>
    <cellStyle name="Normal 7 2 3 4 5 4" xfId="36834" xr:uid="{00000000-0005-0000-0000-0000677A0000}"/>
    <cellStyle name="Normal 7 2 3 4 5 5" xfId="36835" xr:uid="{00000000-0005-0000-0000-0000687A0000}"/>
    <cellStyle name="Normal 7 2 3 4 6" xfId="36836" xr:uid="{00000000-0005-0000-0000-0000697A0000}"/>
    <cellStyle name="Normal 7 2 3 4 6 2" xfId="36837" xr:uid="{00000000-0005-0000-0000-00006A7A0000}"/>
    <cellStyle name="Normal 7 2 3 4 7" xfId="36838" xr:uid="{00000000-0005-0000-0000-00006B7A0000}"/>
    <cellStyle name="Normal 7 2 3 4 7 2" xfId="36839" xr:uid="{00000000-0005-0000-0000-00006C7A0000}"/>
    <cellStyle name="Normal 7 2 3 4 8" xfId="36840" xr:uid="{00000000-0005-0000-0000-00006D7A0000}"/>
    <cellStyle name="Normal 7 2 3 4 8 2" xfId="36841" xr:uid="{00000000-0005-0000-0000-00006E7A0000}"/>
    <cellStyle name="Normal 7 2 3 4 9" xfId="36842" xr:uid="{00000000-0005-0000-0000-00006F7A0000}"/>
    <cellStyle name="Normal 7 2 3 5" xfId="36843" xr:uid="{00000000-0005-0000-0000-0000707A0000}"/>
    <cellStyle name="Normal 7 2 3 5 2" xfId="36844" xr:uid="{00000000-0005-0000-0000-0000717A0000}"/>
    <cellStyle name="Normal 7 2 3 5 2 2" xfId="36845" xr:uid="{00000000-0005-0000-0000-0000727A0000}"/>
    <cellStyle name="Normal 7 2 3 5 3" xfId="36846" xr:uid="{00000000-0005-0000-0000-0000737A0000}"/>
    <cellStyle name="Normal 7 2 3 5 3 2" xfId="36847" xr:uid="{00000000-0005-0000-0000-0000747A0000}"/>
    <cellStyle name="Normal 7 2 3 5 4" xfId="36848" xr:uid="{00000000-0005-0000-0000-0000757A0000}"/>
    <cellStyle name="Normal 7 2 3 5 4 2" xfId="36849" xr:uid="{00000000-0005-0000-0000-0000767A0000}"/>
    <cellStyle name="Normal 7 2 3 5 5" xfId="36850" xr:uid="{00000000-0005-0000-0000-0000777A0000}"/>
    <cellStyle name="Normal 7 2 3 5 6" xfId="36851" xr:uid="{00000000-0005-0000-0000-0000787A0000}"/>
    <cellStyle name="Normal 7 2 3 6" xfId="36852" xr:uid="{00000000-0005-0000-0000-0000797A0000}"/>
    <cellStyle name="Normal 7 2 3 6 2" xfId="36853" xr:uid="{00000000-0005-0000-0000-00007A7A0000}"/>
    <cellStyle name="Normal 7 2 3 6 2 2" xfId="36854" xr:uid="{00000000-0005-0000-0000-00007B7A0000}"/>
    <cellStyle name="Normal 7 2 3 6 3" xfId="36855" xr:uid="{00000000-0005-0000-0000-00007C7A0000}"/>
    <cellStyle name="Normal 7 2 3 6 3 2" xfId="36856" xr:uid="{00000000-0005-0000-0000-00007D7A0000}"/>
    <cellStyle name="Normal 7 2 3 6 4" xfId="36857" xr:uid="{00000000-0005-0000-0000-00007E7A0000}"/>
    <cellStyle name="Normal 7 2 3 6 4 2" xfId="36858" xr:uid="{00000000-0005-0000-0000-00007F7A0000}"/>
    <cellStyle name="Normal 7 2 3 6 5" xfId="36859" xr:uid="{00000000-0005-0000-0000-0000807A0000}"/>
    <cellStyle name="Normal 7 2 3 6 6" xfId="36860" xr:uid="{00000000-0005-0000-0000-0000817A0000}"/>
    <cellStyle name="Normal 7 2 3 7" xfId="36861" xr:uid="{00000000-0005-0000-0000-0000827A0000}"/>
    <cellStyle name="Normal 7 2 3 7 2" xfId="36862" xr:uid="{00000000-0005-0000-0000-0000837A0000}"/>
    <cellStyle name="Normal 7 2 3 7 2 2" xfId="36863" xr:uid="{00000000-0005-0000-0000-0000847A0000}"/>
    <cellStyle name="Normal 7 2 3 7 3" xfId="36864" xr:uid="{00000000-0005-0000-0000-0000857A0000}"/>
    <cellStyle name="Normal 7 2 3 7 3 2" xfId="36865" xr:uid="{00000000-0005-0000-0000-0000867A0000}"/>
    <cellStyle name="Normal 7 2 3 7 4" xfId="36866" xr:uid="{00000000-0005-0000-0000-0000877A0000}"/>
    <cellStyle name="Normal 7 2 3 7 4 2" xfId="36867" xr:uid="{00000000-0005-0000-0000-0000887A0000}"/>
    <cellStyle name="Normal 7 2 3 7 5" xfId="36868" xr:uid="{00000000-0005-0000-0000-0000897A0000}"/>
    <cellStyle name="Normal 7 2 3 7 6" xfId="36869" xr:uid="{00000000-0005-0000-0000-00008A7A0000}"/>
    <cellStyle name="Normal 7 2 3 8" xfId="36870" xr:uid="{00000000-0005-0000-0000-00008B7A0000}"/>
    <cellStyle name="Normal 7 2 3 8 2" xfId="36871" xr:uid="{00000000-0005-0000-0000-00008C7A0000}"/>
    <cellStyle name="Normal 7 2 3 8 2 2" xfId="36872" xr:uid="{00000000-0005-0000-0000-00008D7A0000}"/>
    <cellStyle name="Normal 7 2 3 8 3" xfId="36873" xr:uid="{00000000-0005-0000-0000-00008E7A0000}"/>
    <cellStyle name="Normal 7 2 3 8 3 2" xfId="36874" xr:uid="{00000000-0005-0000-0000-00008F7A0000}"/>
    <cellStyle name="Normal 7 2 3 8 4" xfId="36875" xr:uid="{00000000-0005-0000-0000-0000907A0000}"/>
    <cellStyle name="Normal 7 2 3 8 5" xfId="36876" xr:uid="{00000000-0005-0000-0000-0000917A0000}"/>
    <cellStyle name="Normal 7 2 3 9" xfId="36877" xr:uid="{00000000-0005-0000-0000-0000927A0000}"/>
    <cellStyle name="Normal 7 2 3 9 2" xfId="36878" xr:uid="{00000000-0005-0000-0000-0000937A0000}"/>
    <cellStyle name="Normal 7 2 4" xfId="12187" xr:uid="{00000000-0005-0000-0000-0000947A0000}"/>
    <cellStyle name="Normal 7 2 4 10" xfId="36880" xr:uid="{00000000-0005-0000-0000-0000957A0000}"/>
    <cellStyle name="Normal 7 2 4 10 2" xfId="36881" xr:uid="{00000000-0005-0000-0000-0000967A0000}"/>
    <cellStyle name="Normal 7 2 4 11" xfId="36882" xr:uid="{00000000-0005-0000-0000-0000977A0000}"/>
    <cellStyle name="Normal 7 2 4 12" xfId="36883" xr:uid="{00000000-0005-0000-0000-0000987A0000}"/>
    <cellStyle name="Normal 7 2 4 13" xfId="36879" xr:uid="{00000000-0005-0000-0000-0000997A0000}"/>
    <cellStyle name="Normal 7 2 4 2" xfId="36884" xr:uid="{00000000-0005-0000-0000-00009A7A0000}"/>
    <cellStyle name="Normal 7 2 4 2 10" xfId="36885" xr:uid="{00000000-0005-0000-0000-00009B7A0000}"/>
    <cellStyle name="Normal 7 2 4 2 2" xfId="36886" xr:uid="{00000000-0005-0000-0000-00009C7A0000}"/>
    <cellStyle name="Normal 7 2 4 2 2 2" xfId="36887" xr:uid="{00000000-0005-0000-0000-00009D7A0000}"/>
    <cellStyle name="Normal 7 2 4 2 2 2 2" xfId="36888" xr:uid="{00000000-0005-0000-0000-00009E7A0000}"/>
    <cellStyle name="Normal 7 2 4 2 2 3" xfId="36889" xr:uid="{00000000-0005-0000-0000-00009F7A0000}"/>
    <cellStyle name="Normal 7 2 4 2 2 3 2" xfId="36890" xr:uid="{00000000-0005-0000-0000-0000A07A0000}"/>
    <cellStyle name="Normal 7 2 4 2 2 4" xfId="36891" xr:uid="{00000000-0005-0000-0000-0000A17A0000}"/>
    <cellStyle name="Normal 7 2 4 2 2 4 2" xfId="36892" xr:uid="{00000000-0005-0000-0000-0000A27A0000}"/>
    <cellStyle name="Normal 7 2 4 2 2 5" xfId="36893" xr:uid="{00000000-0005-0000-0000-0000A37A0000}"/>
    <cellStyle name="Normal 7 2 4 2 2 6" xfId="36894" xr:uid="{00000000-0005-0000-0000-0000A47A0000}"/>
    <cellStyle name="Normal 7 2 4 2 3" xfId="36895" xr:uid="{00000000-0005-0000-0000-0000A57A0000}"/>
    <cellStyle name="Normal 7 2 4 2 3 2" xfId="36896" xr:uid="{00000000-0005-0000-0000-0000A67A0000}"/>
    <cellStyle name="Normal 7 2 4 2 3 2 2" xfId="36897" xr:uid="{00000000-0005-0000-0000-0000A77A0000}"/>
    <cellStyle name="Normal 7 2 4 2 3 3" xfId="36898" xr:uid="{00000000-0005-0000-0000-0000A87A0000}"/>
    <cellStyle name="Normal 7 2 4 2 3 3 2" xfId="36899" xr:uid="{00000000-0005-0000-0000-0000A97A0000}"/>
    <cellStyle name="Normal 7 2 4 2 3 4" xfId="36900" xr:uid="{00000000-0005-0000-0000-0000AA7A0000}"/>
    <cellStyle name="Normal 7 2 4 2 3 4 2" xfId="36901" xr:uid="{00000000-0005-0000-0000-0000AB7A0000}"/>
    <cellStyle name="Normal 7 2 4 2 3 5" xfId="36902" xr:uid="{00000000-0005-0000-0000-0000AC7A0000}"/>
    <cellStyle name="Normal 7 2 4 2 3 6" xfId="36903" xr:uid="{00000000-0005-0000-0000-0000AD7A0000}"/>
    <cellStyle name="Normal 7 2 4 2 4" xfId="36904" xr:uid="{00000000-0005-0000-0000-0000AE7A0000}"/>
    <cellStyle name="Normal 7 2 4 2 4 2" xfId="36905" xr:uid="{00000000-0005-0000-0000-0000AF7A0000}"/>
    <cellStyle name="Normal 7 2 4 2 4 2 2" xfId="36906" xr:uid="{00000000-0005-0000-0000-0000B07A0000}"/>
    <cellStyle name="Normal 7 2 4 2 4 3" xfId="36907" xr:uid="{00000000-0005-0000-0000-0000B17A0000}"/>
    <cellStyle name="Normal 7 2 4 2 4 3 2" xfId="36908" xr:uid="{00000000-0005-0000-0000-0000B27A0000}"/>
    <cellStyle name="Normal 7 2 4 2 4 4" xfId="36909" xr:uid="{00000000-0005-0000-0000-0000B37A0000}"/>
    <cellStyle name="Normal 7 2 4 2 4 4 2" xfId="36910" xr:uid="{00000000-0005-0000-0000-0000B47A0000}"/>
    <cellStyle name="Normal 7 2 4 2 4 5" xfId="36911" xr:uid="{00000000-0005-0000-0000-0000B57A0000}"/>
    <cellStyle name="Normal 7 2 4 2 4 6" xfId="36912" xr:uid="{00000000-0005-0000-0000-0000B67A0000}"/>
    <cellStyle name="Normal 7 2 4 2 5" xfId="36913" xr:uid="{00000000-0005-0000-0000-0000B77A0000}"/>
    <cellStyle name="Normal 7 2 4 2 5 2" xfId="36914" xr:uid="{00000000-0005-0000-0000-0000B87A0000}"/>
    <cellStyle name="Normal 7 2 4 2 5 2 2" xfId="36915" xr:uid="{00000000-0005-0000-0000-0000B97A0000}"/>
    <cellStyle name="Normal 7 2 4 2 5 3" xfId="36916" xr:uid="{00000000-0005-0000-0000-0000BA7A0000}"/>
    <cellStyle name="Normal 7 2 4 2 5 3 2" xfId="36917" xr:uid="{00000000-0005-0000-0000-0000BB7A0000}"/>
    <cellStyle name="Normal 7 2 4 2 5 4" xfId="36918" xr:uid="{00000000-0005-0000-0000-0000BC7A0000}"/>
    <cellStyle name="Normal 7 2 4 2 5 5" xfId="36919" xr:uid="{00000000-0005-0000-0000-0000BD7A0000}"/>
    <cellStyle name="Normal 7 2 4 2 6" xfId="36920" xr:uid="{00000000-0005-0000-0000-0000BE7A0000}"/>
    <cellStyle name="Normal 7 2 4 2 6 2" xfId="36921" xr:uid="{00000000-0005-0000-0000-0000BF7A0000}"/>
    <cellStyle name="Normal 7 2 4 2 7" xfId="36922" xr:uid="{00000000-0005-0000-0000-0000C07A0000}"/>
    <cellStyle name="Normal 7 2 4 2 7 2" xfId="36923" xr:uid="{00000000-0005-0000-0000-0000C17A0000}"/>
    <cellStyle name="Normal 7 2 4 2 8" xfId="36924" xr:uid="{00000000-0005-0000-0000-0000C27A0000}"/>
    <cellStyle name="Normal 7 2 4 2 8 2" xfId="36925" xr:uid="{00000000-0005-0000-0000-0000C37A0000}"/>
    <cellStyle name="Normal 7 2 4 2 9" xfId="36926" xr:uid="{00000000-0005-0000-0000-0000C47A0000}"/>
    <cellStyle name="Normal 7 2 4 3" xfId="36927" xr:uid="{00000000-0005-0000-0000-0000C57A0000}"/>
    <cellStyle name="Normal 7 2 4 3 10" xfId="36928" xr:uid="{00000000-0005-0000-0000-0000C67A0000}"/>
    <cellStyle name="Normal 7 2 4 3 2" xfId="36929" xr:uid="{00000000-0005-0000-0000-0000C77A0000}"/>
    <cellStyle name="Normal 7 2 4 3 2 2" xfId="36930" xr:uid="{00000000-0005-0000-0000-0000C87A0000}"/>
    <cellStyle name="Normal 7 2 4 3 2 2 2" xfId="36931" xr:uid="{00000000-0005-0000-0000-0000C97A0000}"/>
    <cellStyle name="Normal 7 2 4 3 2 3" xfId="36932" xr:uid="{00000000-0005-0000-0000-0000CA7A0000}"/>
    <cellStyle name="Normal 7 2 4 3 2 3 2" xfId="36933" xr:uid="{00000000-0005-0000-0000-0000CB7A0000}"/>
    <cellStyle name="Normal 7 2 4 3 2 4" xfId="36934" xr:uid="{00000000-0005-0000-0000-0000CC7A0000}"/>
    <cellStyle name="Normal 7 2 4 3 2 4 2" xfId="36935" xr:uid="{00000000-0005-0000-0000-0000CD7A0000}"/>
    <cellStyle name="Normal 7 2 4 3 2 5" xfId="36936" xr:uid="{00000000-0005-0000-0000-0000CE7A0000}"/>
    <cellStyle name="Normal 7 2 4 3 2 6" xfId="36937" xr:uid="{00000000-0005-0000-0000-0000CF7A0000}"/>
    <cellStyle name="Normal 7 2 4 3 3" xfId="36938" xr:uid="{00000000-0005-0000-0000-0000D07A0000}"/>
    <cellStyle name="Normal 7 2 4 3 3 2" xfId="36939" xr:uid="{00000000-0005-0000-0000-0000D17A0000}"/>
    <cellStyle name="Normal 7 2 4 3 3 2 2" xfId="36940" xr:uid="{00000000-0005-0000-0000-0000D27A0000}"/>
    <cellStyle name="Normal 7 2 4 3 3 3" xfId="36941" xr:uid="{00000000-0005-0000-0000-0000D37A0000}"/>
    <cellStyle name="Normal 7 2 4 3 3 3 2" xfId="36942" xr:uid="{00000000-0005-0000-0000-0000D47A0000}"/>
    <cellStyle name="Normal 7 2 4 3 3 4" xfId="36943" xr:uid="{00000000-0005-0000-0000-0000D57A0000}"/>
    <cellStyle name="Normal 7 2 4 3 3 4 2" xfId="36944" xr:uid="{00000000-0005-0000-0000-0000D67A0000}"/>
    <cellStyle name="Normal 7 2 4 3 3 5" xfId="36945" xr:uid="{00000000-0005-0000-0000-0000D77A0000}"/>
    <cellStyle name="Normal 7 2 4 3 3 6" xfId="36946" xr:uid="{00000000-0005-0000-0000-0000D87A0000}"/>
    <cellStyle name="Normal 7 2 4 3 4" xfId="36947" xr:uid="{00000000-0005-0000-0000-0000D97A0000}"/>
    <cellStyle name="Normal 7 2 4 3 4 2" xfId="36948" xr:uid="{00000000-0005-0000-0000-0000DA7A0000}"/>
    <cellStyle name="Normal 7 2 4 3 4 2 2" xfId="36949" xr:uid="{00000000-0005-0000-0000-0000DB7A0000}"/>
    <cellStyle name="Normal 7 2 4 3 4 3" xfId="36950" xr:uid="{00000000-0005-0000-0000-0000DC7A0000}"/>
    <cellStyle name="Normal 7 2 4 3 4 3 2" xfId="36951" xr:uid="{00000000-0005-0000-0000-0000DD7A0000}"/>
    <cellStyle name="Normal 7 2 4 3 4 4" xfId="36952" xr:uid="{00000000-0005-0000-0000-0000DE7A0000}"/>
    <cellStyle name="Normal 7 2 4 3 4 4 2" xfId="36953" xr:uid="{00000000-0005-0000-0000-0000DF7A0000}"/>
    <cellStyle name="Normal 7 2 4 3 4 5" xfId="36954" xr:uid="{00000000-0005-0000-0000-0000E07A0000}"/>
    <cellStyle name="Normal 7 2 4 3 4 6" xfId="36955" xr:uid="{00000000-0005-0000-0000-0000E17A0000}"/>
    <cellStyle name="Normal 7 2 4 3 5" xfId="36956" xr:uid="{00000000-0005-0000-0000-0000E27A0000}"/>
    <cellStyle name="Normal 7 2 4 3 5 2" xfId="36957" xr:uid="{00000000-0005-0000-0000-0000E37A0000}"/>
    <cellStyle name="Normal 7 2 4 3 5 2 2" xfId="36958" xr:uid="{00000000-0005-0000-0000-0000E47A0000}"/>
    <cellStyle name="Normal 7 2 4 3 5 3" xfId="36959" xr:uid="{00000000-0005-0000-0000-0000E57A0000}"/>
    <cellStyle name="Normal 7 2 4 3 5 3 2" xfId="36960" xr:uid="{00000000-0005-0000-0000-0000E67A0000}"/>
    <cellStyle name="Normal 7 2 4 3 5 4" xfId="36961" xr:uid="{00000000-0005-0000-0000-0000E77A0000}"/>
    <cellStyle name="Normal 7 2 4 3 5 5" xfId="36962" xr:uid="{00000000-0005-0000-0000-0000E87A0000}"/>
    <cellStyle name="Normal 7 2 4 3 6" xfId="36963" xr:uid="{00000000-0005-0000-0000-0000E97A0000}"/>
    <cellStyle name="Normal 7 2 4 3 6 2" xfId="36964" xr:uid="{00000000-0005-0000-0000-0000EA7A0000}"/>
    <cellStyle name="Normal 7 2 4 3 7" xfId="36965" xr:uid="{00000000-0005-0000-0000-0000EB7A0000}"/>
    <cellStyle name="Normal 7 2 4 3 7 2" xfId="36966" xr:uid="{00000000-0005-0000-0000-0000EC7A0000}"/>
    <cellStyle name="Normal 7 2 4 3 8" xfId="36967" xr:uid="{00000000-0005-0000-0000-0000ED7A0000}"/>
    <cellStyle name="Normal 7 2 4 3 8 2" xfId="36968" xr:uid="{00000000-0005-0000-0000-0000EE7A0000}"/>
    <cellStyle name="Normal 7 2 4 3 9" xfId="36969" xr:uid="{00000000-0005-0000-0000-0000EF7A0000}"/>
    <cellStyle name="Normal 7 2 4 4" xfId="36970" xr:uid="{00000000-0005-0000-0000-0000F07A0000}"/>
    <cellStyle name="Normal 7 2 4 4 2" xfId="36971" xr:uid="{00000000-0005-0000-0000-0000F17A0000}"/>
    <cellStyle name="Normal 7 2 4 4 2 2" xfId="36972" xr:uid="{00000000-0005-0000-0000-0000F27A0000}"/>
    <cellStyle name="Normal 7 2 4 4 3" xfId="36973" xr:uid="{00000000-0005-0000-0000-0000F37A0000}"/>
    <cellStyle name="Normal 7 2 4 4 3 2" xfId="36974" xr:uid="{00000000-0005-0000-0000-0000F47A0000}"/>
    <cellStyle name="Normal 7 2 4 4 4" xfId="36975" xr:uid="{00000000-0005-0000-0000-0000F57A0000}"/>
    <cellStyle name="Normal 7 2 4 4 4 2" xfId="36976" xr:uid="{00000000-0005-0000-0000-0000F67A0000}"/>
    <cellStyle name="Normal 7 2 4 4 5" xfId="36977" xr:uid="{00000000-0005-0000-0000-0000F77A0000}"/>
    <cellStyle name="Normal 7 2 4 4 6" xfId="36978" xr:uid="{00000000-0005-0000-0000-0000F87A0000}"/>
    <cellStyle name="Normal 7 2 4 5" xfId="36979" xr:uid="{00000000-0005-0000-0000-0000F97A0000}"/>
    <cellStyle name="Normal 7 2 4 5 2" xfId="36980" xr:uid="{00000000-0005-0000-0000-0000FA7A0000}"/>
    <cellStyle name="Normal 7 2 4 5 2 2" xfId="36981" xr:uid="{00000000-0005-0000-0000-0000FB7A0000}"/>
    <cellStyle name="Normal 7 2 4 5 3" xfId="36982" xr:uid="{00000000-0005-0000-0000-0000FC7A0000}"/>
    <cellStyle name="Normal 7 2 4 5 3 2" xfId="36983" xr:uid="{00000000-0005-0000-0000-0000FD7A0000}"/>
    <cellStyle name="Normal 7 2 4 5 4" xfId="36984" xr:uid="{00000000-0005-0000-0000-0000FE7A0000}"/>
    <cellStyle name="Normal 7 2 4 5 4 2" xfId="36985" xr:uid="{00000000-0005-0000-0000-0000FF7A0000}"/>
    <cellStyle name="Normal 7 2 4 5 5" xfId="36986" xr:uid="{00000000-0005-0000-0000-0000007B0000}"/>
    <cellStyle name="Normal 7 2 4 5 6" xfId="36987" xr:uid="{00000000-0005-0000-0000-0000017B0000}"/>
    <cellStyle name="Normal 7 2 4 6" xfId="36988" xr:uid="{00000000-0005-0000-0000-0000027B0000}"/>
    <cellStyle name="Normal 7 2 4 6 2" xfId="36989" xr:uid="{00000000-0005-0000-0000-0000037B0000}"/>
    <cellStyle name="Normal 7 2 4 6 2 2" xfId="36990" xr:uid="{00000000-0005-0000-0000-0000047B0000}"/>
    <cellStyle name="Normal 7 2 4 6 3" xfId="36991" xr:uid="{00000000-0005-0000-0000-0000057B0000}"/>
    <cellStyle name="Normal 7 2 4 6 3 2" xfId="36992" xr:uid="{00000000-0005-0000-0000-0000067B0000}"/>
    <cellStyle name="Normal 7 2 4 6 4" xfId="36993" xr:uid="{00000000-0005-0000-0000-0000077B0000}"/>
    <cellStyle name="Normal 7 2 4 6 4 2" xfId="36994" xr:uid="{00000000-0005-0000-0000-0000087B0000}"/>
    <cellStyle name="Normal 7 2 4 6 5" xfId="36995" xr:uid="{00000000-0005-0000-0000-0000097B0000}"/>
    <cellStyle name="Normal 7 2 4 6 6" xfId="36996" xr:uid="{00000000-0005-0000-0000-00000A7B0000}"/>
    <cellStyle name="Normal 7 2 4 7" xfId="36997" xr:uid="{00000000-0005-0000-0000-00000B7B0000}"/>
    <cellStyle name="Normal 7 2 4 7 2" xfId="36998" xr:uid="{00000000-0005-0000-0000-00000C7B0000}"/>
    <cellStyle name="Normal 7 2 4 7 2 2" xfId="36999" xr:uid="{00000000-0005-0000-0000-00000D7B0000}"/>
    <cellStyle name="Normal 7 2 4 7 3" xfId="37000" xr:uid="{00000000-0005-0000-0000-00000E7B0000}"/>
    <cellStyle name="Normal 7 2 4 7 3 2" xfId="37001" xr:uid="{00000000-0005-0000-0000-00000F7B0000}"/>
    <cellStyle name="Normal 7 2 4 7 4" xfId="37002" xr:uid="{00000000-0005-0000-0000-0000107B0000}"/>
    <cellStyle name="Normal 7 2 4 7 5" xfId="37003" xr:uid="{00000000-0005-0000-0000-0000117B0000}"/>
    <cellStyle name="Normal 7 2 4 8" xfId="37004" xr:uid="{00000000-0005-0000-0000-0000127B0000}"/>
    <cellStyle name="Normal 7 2 4 8 2" xfId="37005" xr:uid="{00000000-0005-0000-0000-0000137B0000}"/>
    <cellStyle name="Normal 7 2 4 9" xfId="37006" xr:uid="{00000000-0005-0000-0000-0000147B0000}"/>
    <cellStyle name="Normal 7 2 4 9 2" xfId="37007" xr:uid="{00000000-0005-0000-0000-0000157B0000}"/>
    <cellStyle name="Normal 7 2 5" xfId="12188" xr:uid="{00000000-0005-0000-0000-0000167B0000}"/>
    <cellStyle name="Normal 7 2 5 10" xfId="37009" xr:uid="{00000000-0005-0000-0000-0000177B0000}"/>
    <cellStyle name="Normal 7 2 5 11" xfId="37010" xr:uid="{00000000-0005-0000-0000-0000187B0000}"/>
    <cellStyle name="Normal 7 2 5 12" xfId="37008" xr:uid="{00000000-0005-0000-0000-0000197B0000}"/>
    <cellStyle name="Normal 7 2 5 2" xfId="37011" xr:uid="{00000000-0005-0000-0000-00001A7B0000}"/>
    <cellStyle name="Normal 7 2 5 2 2" xfId="37012" xr:uid="{00000000-0005-0000-0000-00001B7B0000}"/>
    <cellStyle name="Normal 7 2 5 2 2 2" xfId="37013" xr:uid="{00000000-0005-0000-0000-00001C7B0000}"/>
    <cellStyle name="Normal 7 2 5 2 3" xfId="37014" xr:uid="{00000000-0005-0000-0000-00001D7B0000}"/>
    <cellStyle name="Normal 7 2 5 2 3 2" xfId="37015" xr:uid="{00000000-0005-0000-0000-00001E7B0000}"/>
    <cellStyle name="Normal 7 2 5 2 4" xfId="37016" xr:uid="{00000000-0005-0000-0000-00001F7B0000}"/>
    <cellStyle name="Normal 7 2 5 2 4 2" xfId="37017" xr:uid="{00000000-0005-0000-0000-0000207B0000}"/>
    <cellStyle name="Normal 7 2 5 2 5" xfId="37018" xr:uid="{00000000-0005-0000-0000-0000217B0000}"/>
    <cellStyle name="Normal 7 2 5 2 6" xfId="37019" xr:uid="{00000000-0005-0000-0000-0000227B0000}"/>
    <cellStyle name="Normal 7 2 5 3" xfId="37020" xr:uid="{00000000-0005-0000-0000-0000237B0000}"/>
    <cellStyle name="Normal 7 2 5 3 2" xfId="37021" xr:uid="{00000000-0005-0000-0000-0000247B0000}"/>
    <cellStyle name="Normal 7 2 5 3 2 2" xfId="37022" xr:uid="{00000000-0005-0000-0000-0000257B0000}"/>
    <cellStyle name="Normal 7 2 5 3 3" xfId="37023" xr:uid="{00000000-0005-0000-0000-0000267B0000}"/>
    <cellStyle name="Normal 7 2 5 3 3 2" xfId="37024" xr:uid="{00000000-0005-0000-0000-0000277B0000}"/>
    <cellStyle name="Normal 7 2 5 3 4" xfId="37025" xr:uid="{00000000-0005-0000-0000-0000287B0000}"/>
    <cellStyle name="Normal 7 2 5 3 4 2" xfId="37026" xr:uid="{00000000-0005-0000-0000-0000297B0000}"/>
    <cellStyle name="Normal 7 2 5 3 5" xfId="37027" xr:uid="{00000000-0005-0000-0000-00002A7B0000}"/>
    <cellStyle name="Normal 7 2 5 3 6" xfId="37028" xr:uid="{00000000-0005-0000-0000-00002B7B0000}"/>
    <cellStyle name="Normal 7 2 5 4" xfId="37029" xr:uid="{00000000-0005-0000-0000-00002C7B0000}"/>
    <cellStyle name="Normal 7 2 5 4 2" xfId="37030" xr:uid="{00000000-0005-0000-0000-00002D7B0000}"/>
    <cellStyle name="Normal 7 2 5 4 2 2" xfId="37031" xr:uid="{00000000-0005-0000-0000-00002E7B0000}"/>
    <cellStyle name="Normal 7 2 5 4 3" xfId="37032" xr:uid="{00000000-0005-0000-0000-00002F7B0000}"/>
    <cellStyle name="Normal 7 2 5 4 3 2" xfId="37033" xr:uid="{00000000-0005-0000-0000-0000307B0000}"/>
    <cellStyle name="Normal 7 2 5 4 4" xfId="37034" xr:uid="{00000000-0005-0000-0000-0000317B0000}"/>
    <cellStyle name="Normal 7 2 5 4 4 2" xfId="37035" xr:uid="{00000000-0005-0000-0000-0000327B0000}"/>
    <cellStyle name="Normal 7 2 5 4 5" xfId="37036" xr:uid="{00000000-0005-0000-0000-0000337B0000}"/>
    <cellStyle name="Normal 7 2 5 4 6" xfId="37037" xr:uid="{00000000-0005-0000-0000-0000347B0000}"/>
    <cellStyle name="Normal 7 2 5 5" xfId="37038" xr:uid="{00000000-0005-0000-0000-0000357B0000}"/>
    <cellStyle name="Normal 7 2 5 5 2" xfId="37039" xr:uid="{00000000-0005-0000-0000-0000367B0000}"/>
    <cellStyle name="Normal 7 2 5 5 2 2" xfId="37040" xr:uid="{00000000-0005-0000-0000-0000377B0000}"/>
    <cellStyle name="Normal 7 2 5 5 3" xfId="37041" xr:uid="{00000000-0005-0000-0000-0000387B0000}"/>
    <cellStyle name="Normal 7 2 5 5 3 2" xfId="37042" xr:uid="{00000000-0005-0000-0000-0000397B0000}"/>
    <cellStyle name="Normal 7 2 5 5 4" xfId="37043" xr:uid="{00000000-0005-0000-0000-00003A7B0000}"/>
    <cellStyle name="Normal 7 2 5 5 4 2" xfId="37044" xr:uid="{00000000-0005-0000-0000-00003B7B0000}"/>
    <cellStyle name="Normal 7 2 5 5 5" xfId="37045" xr:uid="{00000000-0005-0000-0000-00003C7B0000}"/>
    <cellStyle name="Normal 7 2 5 5 6" xfId="37046" xr:uid="{00000000-0005-0000-0000-00003D7B0000}"/>
    <cellStyle name="Normal 7 2 5 6" xfId="37047" xr:uid="{00000000-0005-0000-0000-00003E7B0000}"/>
    <cellStyle name="Normal 7 2 5 6 2" xfId="37048" xr:uid="{00000000-0005-0000-0000-00003F7B0000}"/>
    <cellStyle name="Normal 7 2 5 6 2 2" xfId="37049" xr:uid="{00000000-0005-0000-0000-0000407B0000}"/>
    <cellStyle name="Normal 7 2 5 6 3" xfId="37050" xr:uid="{00000000-0005-0000-0000-0000417B0000}"/>
    <cellStyle name="Normal 7 2 5 6 3 2" xfId="37051" xr:uid="{00000000-0005-0000-0000-0000427B0000}"/>
    <cellStyle name="Normal 7 2 5 6 4" xfId="37052" xr:uid="{00000000-0005-0000-0000-0000437B0000}"/>
    <cellStyle name="Normal 7 2 5 6 5" xfId="37053" xr:uid="{00000000-0005-0000-0000-0000447B0000}"/>
    <cellStyle name="Normal 7 2 5 7" xfId="37054" xr:uid="{00000000-0005-0000-0000-0000457B0000}"/>
    <cellStyle name="Normal 7 2 5 7 2" xfId="37055" xr:uid="{00000000-0005-0000-0000-0000467B0000}"/>
    <cellStyle name="Normal 7 2 5 8" xfId="37056" xr:uid="{00000000-0005-0000-0000-0000477B0000}"/>
    <cellStyle name="Normal 7 2 5 8 2" xfId="37057" xr:uid="{00000000-0005-0000-0000-0000487B0000}"/>
    <cellStyle name="Normal 7 2 5 9" xfId="37058" xr:uid="{00000000-0005-0000-0000-0000497B0000}"/>
    <cellStyle name="Normal 7 2 5 9 2" xfId="37059" xr:uid="{00000000-0005-0000-0000-00004A7B0000}"/>
    <cellStyle name="Normal 7 2 6" xfId="37060" xr:uid="{00000000-0005-0000-0000-00004B7B0000}"/>
    <cellStyle name="Normal 7 2 6 10" xfId="37061" xr:uid="{00000000-0005-0000-0000-00004C7B0000}"/>
    <cellStyle name="Normal 7 2 6 2" xfId="37062" xr:uid="{00000000-0005-0000-0000-00004D7B0000}"/>
    <cellStyle name="Normal 7 2 6 2 2" xfId="37063" xr:uid="{00000000-0005-0000-0000-00004E7B0000}"/>
    <cellStyle name="Normal 7 2 6 2 2 2" xfId="37064" xr:uid="{00000000-0005-0000-0000-00004F7B0000}"/>
    <cellStyle name="Normal 7 2 6 2 3" xfId="37065" xr:uid="{00000000-0005-0000-0000-0000507B0000}"/>
    <cellStyle name="Normal 7 2 6 2 3 2" xfId="37066" xr:uid="{00000000-0005-0000-0000-0000517B0000}"/>
    <cellStyle name="Normal 7 2 6 2 4" xfId="37067" xr:uid="{00000000-0005-0000-0000-0000527B0000}"/>
    <cellStyle name="Normal 7 2 6 2 4 2" xfId="37068" xr:uid="{00000000-0005-0000-0000-0000537B0000}"/>
    <cellStyle name="Normal 7 2 6 2 5" xfId="37069" xr:uid="{00000000-0005-0000-0000-0000547B0000}"/>
    <cellStyle name="Normal 7 2 6 2 6" xfId="37070" xr:uid="{00000000-0005-0000-0000-0000557B0000}"/>
    <cellStyle name="Normal 7 2 6 3" xfId="37071" xr:uid="{00000000-0005-0000-0000-0000567B0000}"/>
    <cellStyle name="Normal 7 2 6 3 2" xfId="37072" xr:uid="{00000000-0005-0000-0000-0000577B0000}"/>
    <cellStyle name="Normal 7 2 6 3 2 2" xfId="37073" xr:uid="{00000000-0005-0000-0000-0000587B0000}"/>
    <cellStyle name="Normal 7 2 6 3 3" xfId="37074" xr:uid="{00000000-0005-0000-0000-0000597B0000}"/>
    <cellStyle name="Normal 7 2 6 3 3 2" xfId="37075" xr:uid="{00000000-0005-0000-0000-00005A7B0000}"/>
    <cellStyle name="Normal 7 2 6 3 4" xfId="37076" xr:uid="{00000000-0005-0000-0000-00005B7B0000}"/>
    <cellStyle name="Normal 7 2 6 3 4 2" xfId="37077" xr:uid="{00000000-0005-0000-0000-00005C7B0000}"/>
    <cellStyle name="Normal 7 2 6 3 5" xfId="37078" xr:uid="{00000000-0005-0000-0000-00005D7B0000}"/>
    <cellStyle name="Normal 7 2 6 3 6" xfId="37079" xr:uid="{00000000-0005-0000-0000-00005E7B0000}"/>
    <cellStyle name="Normal 7 2 6 4" xfId="37080" xr:uid="{00000000-0005-0000-0000-00005F7B0000}"/>
    <cellStyle name="Normal 7 2 6 4 2" xfId="37081" xr:uid="{00000000-0005-0000-0000-0000607B0000}"/>
    <cellStyle name="Normal 7 2 6 4 2 2" xfId="37082" xr:uid="{00000000-0005-0000-0000-0000617B0000}"/>
    <cellStyle name="Normal 7 2 6 4 3" xfId="37083" xr:uid="{00000000-0005-0000-0000-0000627B0000}"/>
    <cellStyle name="Normal 7 2 6 4 3 2" xfId="37084" xr:uid="{00000000-0005-0000-0000-0000637B0000}"/>
    <cellStyle name="Normal 7 2 6 4 4" xfId="37085" xr:uid="{00000000-0005-0000-0000-0000647B0000}"/>
    <cellStyle name="Normal 7 2 6 4 4 2" xfId="37086" xr:uid="{00000000-0005-0000-0000-0000657B0000}"/>
    <cellStyle name="Normal 7 2 6 4 5" xfId="37087" xr:uid="{00000000-0005-0000-0000-0000667B0000}"/>
    <cellStyle name="Normal 7 2 6 4 6" xfId="37088" xr:uid="{00000000-0005-0000-0000-0000677B0000}"/>
    <cellStyle name="Normal 7 2 6 5" xfId="37089" xr:uid="{00000000-0005-0000-0000-0000687B0000}"/>
    <cellStyle name="Normal 7 2 6 5 2" xfId="37090" xr:uid="{00000000-0005-0000-0000-0000697B0000}"/>
    <cellStyle name="Normal 7 2 6 5 2 2" xfId="37091" xr:uid="{00000000-0005-0000-0000-00006A7B0000}"/>
    <cellStyle name="Normal 7 2 6 5 3" xfId="37092" xr:uid="{00000000-0005-0000-0000-00006B7B0000}"/>
    <cellStyle name="Normal 7 2 6 5 3 2" xfId="37093" xr:uid="{00000000-0005-0000-0000-00006C7B0000}"/>
    <cellStyle name="Normal 7 2 6 5 4" xfId="37094" xr:uid="{00000000-0005-0000-0000-00006D7B0000}"/>
    <cellStyle name="Normal 7 2 6 5 5" xfId="37095" xr:uid="{00000000-0005-0000-0000-00006E7B0000}"/>
    <cellStyle name="Normal 7 2 6 6" xfId="37096" xr:uid="{00000000-0005-0000-0000-00006F7B0000}"/>
    <cellStyle name="Normal 7 2 6 6 2" xfId="37097" xr:uid="{00000000-0005-0000-0000-0000707B0000}"/>
    <cellStyle name="Normal 7 2 6 7" xfId="37098" xr:uid="{00000000-0005-0000-0000-0000717B0000}"/>
    <cellStyle name="Normal 7 2 6 7 2" xfId="37099" xr:uid="{00000000-0005-0000-0000-0000727B0000}"/>
    <cellStyle name="Normal 7 2 6 8" xfId="37100" xr:uid="{00000000-0005-0000-0000-0000737B0000}"/>
    <cellStyle name="Normal 7 2 6 8 2" xfId="37101" xr:uid="{00000000-0005-0000-0000-0000747B0000}"/>
    <cellStyle name="Normal 7 2 6 9" xfId="37102" xr:uid="{00000000-0005-0000-0000-0000757B0000}"/>
    <cellStyle name="Normal 7 2 7" xfId="37103" xr:uid="{00000000-0005-0000-0000-0000767B0000}"/>
    <cellStyle name="Normal 7 2 7 10" xfId="37104" xr:uid="{00000000-0005-0000-0000-0000777B0000}"/>
    <cellStyle name="Normal 7 2 7 2" xfId="37105" xr:uid="{00000000-0005-0000-0000-0000787B0000}"/>
    <cellStyle name="Normal 7 2 7 2 2" xfId="37106" xr:uid="{00000000-0005-0000-0000-0000797B0000}"/>
    <cellStyle name="Normal 7 2 7 2 2 2" xfId="37107" xr:uid="{00000000-0005-0000-0000-00007A7B0000}"/>
    <cellStyle name="Normal 7 2 7 2 3" xfId="37108" xr:uid="{00000000-0005-0000-0000-00007B7B0000}"/>
    <cellStyle name="Normal 7 2 7 2 3 2" xfId="37109" xr:uid="{00000000-0005-0000-0000-00007C7B0000}"/>
    <cellStyle name="Normal 7 2 7 2 4" xfId="37110" xr:uid="{00000000-0005-0000-0000-00007D7B0000}"/>
    <cellStyle name="Normal 7 2 7 2 4 2" xfId="37111" xr:uid="{00000000-0005-0000-0000-00007E7B0000}"/>
    <cellStyle name="Normal 7 2 7 2 5" xfId="37112" xr:uid="{00000000-0005-0000-0000-00007F7B0000}"/>
    <cellStyle name="Normal 7 2 7 2 6" xfId="37113" xr:uid="{00000000-0005-0000-0000-0000807B0000}"/>
    <cellStyle name="Normal 7 2 7 3" xfId="37114" xr:uid="{00000000-0005-0000-0000-0000817B0000}"/>
    <cellStyle name="Normal 7 2 7 3 2" xfId="37115" xr:uid="{00000000-0005-0000-0000-0000827B0000}"/>
    <cellStyle name="Normal 7 2 7 3 2 2" xfId="37116" xr:uid="{00000000-0005-0000-0000-0000837B0000}"/>
    <cellStyle name="Normal 7 2 7 3 3" xfId="37117" xr:uid="{00000000-0005-0000-0000-0000847B0000}"/>
    <cellStyle name="Normal 7 2 7 3 3 2" xfId="37118" xr:uid="{00000000-0005-0000-0000-0000857B0000}"/>
    <cellStyle name="Normal 7 2 7 3 4" xfId="37119" xr:uid="{00000000-0005-0000-0000-0000867B0000}"/>
    <cellStyle name="Normal 7 2 7 3 4 2" xfId="37120" xr:uid="{00000000-0005-0000-0000-0000877B0000}"/>
    <cellStyle name="Normal 7 2 7 3 5" xfId="37121" xr:uid="{00000000-0005-0000-0000-0000887B0000}"/>
    <cellStyle name="Normal 7 2 7 3 6" xfId="37122" xr:uid="{00000000-0005-0000-0000-0000897B0000}"/>
    <cellStyle name="Normal 7 2 7 4" xfId="37123" xr:uid="{00000000-0005-0000-0000-00008A7B0000}"/>
    <cellStyle name="Normal 7 2 7 4 2" xfId="37124" xr:uid="{00000000-0005-0000-0000-00008B7B0000}"/>
    <cellStyle name="Normal 7 2 7 4 2 2" xfId="37125" xr:uid="{00000000-0005-0000-0000-00008C7B0000}"/>
    <cellStyle name="Normal 7 2 7 4 3" xfId="37126" xr:uid="{00000000-0005-0000-0000-00008D7B0000}"/>
    <cellStyle name="Normal 7 2 7 4 3 2" xfId="37127" xr:uid="{00000000-0005-0000-0000-00008E7B0000}"/>
    <cellStyle name="Normal 7 2 7 4 4" xfId="37128" xr:uid="{00000000-0005-0000-0000-00008F7B0000}"/>
    <cellStyle name="Normal 7 2 7 4 4 2" xfId="37129" xr:uid="{00000000-0005-0000-0000-0000907B0000}"/>
    <cellStyle name="Normal 7 2 7 4 5" xfId="37130" xr:uid="{00000000-0005-0000-0000-0000917B0000}"/>
    <cellStyle name="Normal 7 2 7 4 6" xfId="37131" xr:uid="{00000000-0005-0000-0000-0000927B0000}"/>
    <cellStyle name="Normal 7 2 7 5" xfId="37132" xr:uid="{00000000-0005-0000-0000-0000937B0000}"/>
    <cellStyle name="Normal 7 2 7 5 2" xfId="37133" xr:uid="{00000000-0005-0000-0000-0000947B0000}"/>
    <cellStyle name="Normal 7 2 7 5 2 2" xfId="37134" xr:uid="{00000000-0005-0000-0000-0000957B0000}"/>
    <cellStyle name="Normal 7 2 7 5 3" xfId="37135" xr:uid="{00000000-0005-0000-0000-0000967B0000}"/>
    <cellStyle name="Normal 7 2 7 5 3 2" xfId="37136" xr:uid="{00000000-0005-0000-0000-0000977B0000}"/>
    <cellStyle name="Normal 7 2 7 5 4" xfId="37137" xr:uid="{00000000-0005-0000-0000-0000987B0000}"/>
    <cellStyle name="Normal 7 2 7 5 5" xfId="37138" xr:uid="{00000000-0005-0000-0000-0000997B0000}"/>
    <cellStyle name="Normal 7 2 7 6" xfId="37139" xr:uid="{00000000-0005-0000-0000-00009A7B0000}"/>
    <cellStyle name="Normal 7 2 7 6 2" xfId="37140" xr:uid="{00000000-0005-0000-0000-00009B7B0000}"/>
    <cellStyle name="Normal 7 2 7 7" xfId="37141" xr:uid="{00000000-0005-0000-0000-00009C7B0000}"/>
    <cellStyle name="Normal 7 2 7 7 2" xfId="37142" xr:uid="{00000000-0005-0000-0000-00009D7B0000}"/>
    <cellStyle name="Normal 7 2 7 8" xfId="37143" xr:uid="{00000000-0005-0000-0000-00009E7B0000}"/>
    <cellStyle name="Normal 7 2 7 8 2" xfId="37144" xr:uid="{00000000-0005-0000-0000-00009F7B0000}"/>
    <cellStyle name="Normal 7 2 7 9" xfId="37145" xr:uid="{00000000-0005-0000-0000-0000A07B0000}"/>
    <cellStyle name="Normal 7 2 8" xfId="37146" xr:uid="{00000000-0005-0000-0000-0000A17B0000}"/>
    <cellStyle name="Normal 7 2 8 2" xfId="37147" xr:uid="{00000000-0005-0000-0000-0000A27B0000}"/>
    <cellStyle name="Normal 7 2 8 2 2" xfId="37148" xr:uid="{00000000-0005-0000-0000-0000A37B0000}"/>
    <cellStyle name="Normal 7 2 8 3" xfId="37149" xr:uid="{00000000-0005-0000-0000-0000A47B0000}"/>
    <cellStyle name="Normal 7 2 8 3 2" xfId="37150" xr:uid="{00000000-0005-0000-0000-0000A57B0000}"/>
    <cellStyle name="Normal 7 2 8 4" xfId="37151" xr:uid="{00000000-0005-0000-0000-0000A67B0000}"/>
    <cellStyle name="Normal 7 2 8 4 2" xfId="37152" xr:uid="{00000000-0005-0000-0000-0000A77B0000}"/>
    <cellStyle name="Normal 7 2 8 5" xfId="37153" xr:uid="{00000000-0005-0000-0000-0000A87B0000}"/>
    <cellStyle name="Normal 7 2 8 6" xfId="37154" xr:uid="{00000000-0005-0000-0000-0000A97B0000}"/>
    <cellStyle name="Normal 7 2 9" xfId="37155" xr:uid="{00000000-0005-0000-0000-0000AA7B0000}"/>
    <cellStyle name="Normal 7 2 9 2" xfId="37156" xr:uid="{00000000-0005-0000-0000-0000AB7B0000}"/>
    <cellStyle name="Normal 7 2 9 2 2" xfId="37157" xr:uid="{00000000-0005-0000-0000-0000AC7B0000}"/>
    <cellStyle name="Normal 7 2 9 3" xfId="37158" xr:uid="{00000000-0005-0000-0000-0000AD7B0000}"/>
    <cellStyle name="Normal 7 2 9 3 2" xfId="37159" xr:uid="{00000000-0005-0000-0000-0000AE7B0000}"/>
    <cellStyle name="Normal 7 2 9 4" xfId="37160" xr:uid="{00000000-0005-0000-0000-0000AF7B0000}"/>
    <cellStyle name="Normal 7 2 9 4 2" xfId="37161" xr:uid="{00000000-0005-0000-0000-0000B07B0000}"/>
    <cellStyle name="Normal 7 2 9 5" xfId="37162" xr:uid="{00000000-0005-0000-0000-0000B17B0000}"/>
    <cellStyle name="Normal 7 2 9 6" xfId="37163" xr:uid="{00000000-0005-0000-0000-0000B27B0000}"/>
    <cellStyle name="Normal 7 20" xfId="36448" xr:uid="{00000000-0005-0000-0000-0000B37B0000}"/>
    <cellStyle name="Normal 7 3" xfId="12189" xr:uid="{00000000-0005-0000-0000-0000B47B0000}"/>
    <cellStyle name="Normal 7 3 10" xfId="37165" xr:uid="{00000000-0005-0000-0000-0000B57B0000}"/>
    <cellStyle name="Normal 7 3 10 2" xfId="37166" xr:uid="{00000000-0005-0000-0000-0000B67B0000}"/>
    <cellStyle name="Normal 7 3 10 2 2" xfId="37167" xr:uid="{00000000-0005-0000-0000-0000B77B0000}"/>
    <cellStyle name="Normal 7 3 10 3" xfId="37168" xr:uid="{00000000-0005-0000-0000-0000B87B0000}"/>
    <cellStyle name="Normal 7 3 10 3 2" xfId="37169" xr:uid="{00000000-0005-0000-0000-0000B97B0000}"/>
    <cellStyle name="Normal 7 3 10 4" xfId="37170" xr:uid="{00000000-0005-0000-0000-0000BA7B0000}"/>
    <cellStyle name="Normal 7 3 10 4 2" xfId="37171" xr:uid="{00000000-0005-0000-0000-0000BB7B0000}"/>
    <cellStyle name="Normal 7 3 10 5" xfId="37172" xr:uid="{00000000-0005-0000-0000-0000BC7B0000}"/>
    <cellStyle name="Normal 7 3 10 6" xfId="37173" xr:uid="{00000000-0005-0000-0000-0000BD7B0000}"/>
    <cellStyle name="Normal 7 3 11" xfId="37174" xr:uid="{00000000-0005-0000-0000-0000BE7B0000}"/>
    <cellStyle name="Normal 7 3 11 2" xfId="37175" xr:uid="{00000000-0005-0000-0000-0000BF7B0000}"/>
    <cellStyle name="Normal 7 3 11 2 2" xfId="37176" xr:uid="{00000000-0005-0000-0000-0000C07B0000}"/>
    <cellStyle name="Normal 7 3 11 3" xfId="37177" xr:uid="{00000000-0005-0000-0000-0000C17B0000}"/>
    <cellStyle name="Normal 7 3 11 3 2" xfId="37178" xr:uid="{00000000-0005-0000-0000-0000C27B0000}"/>
    <cellStyle name="Normal 7 3 11 4" xfId="37179" xr:uid="{00000000-0005-0000-0000-0000C37B0000}"/>
    <cellStyle name="Normal 7 3 11 5" xfId="37180" xr:uid="{00000000-0005-0000-0000-0000C47B0000}"/>
    <cellStyle name="Normal 7 3 12" xfId="37181" xr:uid="{00000000-0005-0000-0000-0000C57B0000}"/>
    <cellStyle name="Normal 7 3 12 2" xfId="37182" xr:uid="{00000000-0005-0000-0000-0000C67B0000}"/>
    <cellStyle name="Normal 7 3 13" xfId="37183" xr:uid="{00000000-0005-0000-0000-0000C77B0000}"/>
    <cellStyle name="Normal 7 3 13 2" xfId="37184" xr:uid="{00000000-0005-0000-0000-0000C87B0000}"/>
    <cellStyle name="Normal 7 3 14" xfId="37185" xr:uid="{00000000-0005-0000-0000-0000C97B0000}"/>
    <cellStyle name="Normal 7 3 14 2" xfId="37186" xr:uid="{00000000-0005-0000-0000-0000CA7B0000}"/>
    <cellStyle name="Normal 7 3 15" xfId="37187" xr:uid="{00000000-0005-0000-0000-0000CB7B0000}"/>
    <cellStyle name="Normal 7 3 16" xfId="37188" xr:uid="{00000000-0005-0000-0000-0000CC7B0000}"/>
    <cellStyle name="Normal 7 3 17" xfId="37164" xr:uid="{00000000-0005-0000-0000-0000CD7B0000}"/>
    <cellStyle name="Normal 7 3 2" xfId="12190" xr:uid="{00000000-0005-0000-0000-0000CE7B0000}"/>
    <cellStyle name="Normal 7 3 2 10" xfId="37190" xr:uid="{00000000-0005-0000-0000-0000CF7B0000}"/>
    <cellStyle name="Normal 7 3 2 10 2" xfId="37191" xr:uid="{00000000-0005-0000-0000-0000D07B0000}"/>
    <cellStyle name="Normal 7 3 2 11" xfId="37192" xr:uid="{00000000-0005-0000-0000-0000D17B0000}"/>
    <cellStyle name="Normal 7 3 2 11 2" xfId="37193" xr:uid="{00000000-0005-0000-0000-0000D27B0000}"/>
    <cellStyle name="Normal 7 3 2 12" xfId="37194" xr:uid="{00000000-0005-0000-0000-0000D37B0000}"/>
    <cellStyle name="Normal 7 3 2 13" xfId="37195" xr:uid="{00000000-0005-0000-0000-0000D47B0000}"/>
    <cellStyle name="Normal 7 3 2 14" xfId="37189" xr:uid="{00000000-0005-0000-0000-0000D57B0000}"/>
    <cellStyle name="Normal 7 3 2 2" xfId="12191" xr:uid="{00000000-0005-0000-0000-0000D67B0000}"/>
    <cellStyle name="Normal 7 3 2 2 10" xfId="37197" xr:uid="{00000000-0005-0000-0000-0000D77B0000}"/>
    <cellStyle name="Normal 7 3 2 2 11" xfId="37198" xr:uid="{00000000-0005-0000-0000-0000D87B0000}"/>
    <cellStyle name="Normal 7 3 2 2 12" xfId="37196" xr:uid="{00000000-0005-0000-0000-0000D97B0000}"/>
    <cellStyle name="Normal 7 3 2 2 2" xfId="37199" xr:uid="{00000000-0005-0000-0000-0000DA7B0000}"/>
    <cellStyle name="Normal 7 3 2 2 2 2" xfId="37200" xr:uid="{00000000-0005-0000-0000-0000DB7B0000}"/>
    <cellStyle name="Normal 7 3 2 2 2 2 2" xfId="37201" xr:uid="{00000000-0005-0000-0000-0000DC7B0000}"/>
    <cellStyle name="Normal 7 3 2 2 2 3" xfId="37202" xr:uid="{00000000-0005-0000-0000-0000DD7B0000}"/>
    <cellStyle name="Normal 7 3 2 2 2 3 2" xfId="37203" xr:uid="{00000000-0005-0000-0000-0000DE7B0000}"/>
    <cellStyle name="Normal 7 3 2 2 2 4" xfId="37204" xr:uid="{00000000-0005-0000-0000-0000DF7B0000}"/>
    <cellStyle name="Normal 7 3 2 2 2 4 2" xfId="37205" xr:uid="{00000000-0005-0000-0000-0000E07B0000}"/>
    <cellStyle name="Normal 7 3 2 2 2 5" xfId="37206" xr:uid="{00000000-0005-0000-0000-0000E17B0000}"/>
    <cellStyle name="Normal 7 3 2 2 2 6" xfId="37207" xr:uid="{00000000-0005-0000-0000-0000E27B0000}"/>
    <cellStyle name="Normal 7 3 2 2 3" xfId="37208" xr:uid="{00000000-0005-0000-0000-0000E37B0000}"/>
    <cellStyle name="Normal 7 3 2 2 3 2" xfId="37209" xr:uid="{00000000-0005-0000-0000-0000E47B0000}"/>
    <cellStyle name="Normal 7 3 2 2 3 2 2" xfId="37210" xr:uid="{00000000-0005-0000-0000-0000E57B0000}"/>
    <cellStyle name="Normal 7 3 2 2 3 3" xfId="37211" xr:uid="{00000000-0005-0000-0000-0000E67B0000}"/>
    <cellStyle name="Normal 7 3 2 2 3 3 2" xfId="37212" xr:uid="{00000000-0005-0000-0000-0000E77B0000}"/>
    <cellStyle name="Normal 7 3 2 2 3 4" xfId="37213" xr:uid="{00000000-0005-0000-0000-0000E87B0000}"/>
    <cellStyle name="Normal 7 3 2 2 3 4 2" xfId="37214" xr:uid="{00000000-0005-0000-0000-0000E97B0000}"/>
    <cellStyle name="Normal 7 3 2 2 3 5" xfId="37215" xr:uid="{00000000-0005-0000-0000-0000EA7B0000}"/>
    <cellStyle name="Normal 7 3 2 2 3 6" xfId="37216" xr:uid="{00000000-0005-0000-0000-0000EB7B0000}"/>
    <cellStyle name="Normal 7 3 2 2 4" xfId="37217" xr:uid="{00000000-0005-0000-0000-0000EC7B0000}"/>
    <cellStyle name="Normal 7 3 2 2 4 2" xfId="37218" xr:uid="{00000000-0005-0000-0000-0000ED7B0000}"/>
    <cellStyle name="Normal 7 3 2 2 4 2 2" xfId="37219" xr:uid="{00000000-0005-0000-0000-0000EE7B0000}"/>
    <cellStyle name="Normal 7 3 2 2 4 3" xfId="37220" xr:uid="{00000000-0005-0000-0000-0000EF7B0000}"/>
    <cellStyle name="Normal 7 3 2 2 4 3 2" xfId="37221" xr:uid="{00000000-0005-0000-0000-0000F07B0000}"/>
    <cellStyle name="Normal 7 3 2 2 4 4" xfId="37222" xr:uid="{00000000-0005-0000-0000-0000F17B0000}"/>
    <cellStyle name="Normal 7 3 2 2 4 4 2" xfId="37223" xr:uid="{00000000-0005-0000-0000-0000F27B0000}"/>
    <cellStyle name="Normal 7 3 2 2 4 5" xfId="37224" xr:uid="{00000000-0005-0000-0000-0000F37B0000}"/>
    <cellStyle name="Normal 7 3 2 2 4 6" xfId="37225" xr:uid="{00000000-0005-0000-0000-0000F47B0000}"/>
    <cellStyle name="Normal 7 3 2 2 5" xfId="37226" xr:uid="{00000000-0005-0000-0000-0000F57B0000}"/>
    <cellStyle name="Normal 7 3 2 2 5 2" xfId="37227" xr:uid="{00000000-0005-0000-0000-0000F67B0000}"/>
    <cellStyle name="Normal 7 3 2 2 5 2 2" xfId="37228" xr:uid="{00000000-0005-0000-0000-0000F77B0000}"/>
    <cellStyle name="Normal 7 3 2 2 5 3" xfId="37229" xr:uid="{00000000-0005-0000-0000-0000F87B0000}"/>
    <cellStyle name="Normal 7 3 2 2 5 3 2" xfId="37230" xr:uid="{00000000-0005-0000-0000-0000F97B0000}"/>
    <cellStyle name="Normal 7 3 2 2 5 4" xfId="37231" xr:uid="{00000000-0005-0000-0000-0000FA7B0000}"/>
    <cellStyle name="Normal 7 3 2 2 5 4 2" xfId="37232" xr:uid="{00000000-0005-0000-0000-0000FB7B0000}"/>
    <cellStyle name="Normal 7 3 2 2 5 5" xfId="37233" xr:uid="{00000000-0005-0000-0000-0000FC7B0000}"/>
    <cellStyle name="Normal 7 3 2 2 5 6" xfId="37234" xr:uid="{00000000-0005-0000-0000-0000FD7B0000}"/>
    <cellStyle name="Normal 7 3 2 2 6" xfId="37235" xr:uid="{00000000-0005-0000-0000-0000FE7B0000}"/>
    <cellStyle name="Normal 7 3 2 2 6 2" xfId="37236" xr:uid="{00000000-0005-0000-0000-0000FF7B0000}"/>
    <cellStyle name="Normal 7 3 2 2 6 2 2" xfId="37237" xr:uid="{00000000-0005-0000-0000-0000007C0000}"/>
    <cellStyle name="Normal 7 3 2 2 6 3" xfId="37238" xr:uid="{00000000-0005-0000-0000-0000017C0000}"/>
    <cellStyle name="Normal 7 3 2 2 6 3 2" xfId="37239" xr:uid="{00000000-0005-0000-0000-0000027C0000}"/>
    <cellStyle name="Normal 7 3 2 2 6 4" xfId="37240" xr:uid="{00000000-0005-0000-0000-0000037C0000}"/>
    <cellStyle name="Normal 7 3 2 2 6 5" xfId="37241" xr:uid="{00000000-0005-0000-0000-0000047C0000}"/>
    <cellStyle name="Normal 7 3 2 2 7" xfId="37242" xr:uid="{00000000-0005-0000-0000-0000057C0000}"/>
    <cellStyle name="Normal 7 3 2 2 7 2" xfId="37243" xr:uid="{00000000-0005-0000-0000-0000067C0000}"/>
    <cellStyle name="Normal 7 3 2 2 8" xfId="37244" xr:uid="{00000000-0005-0000-0000-0000077C0000}"/>
    <cellStyle name="Normal 7 3 2 2 8 2" xfId="37245" xr:uid="{00000000-0005-0000-0000-0000087C0000}"/>
    <cellStyle name="Normal 7 3 2 2 9" xfId="37246" xr:uid="{00000000-0005-0000-0000-0000097C0000}"/>
    <cellStyle name="Normal 7 3 2 2 9 2" xfId="37247" xr:uid="{00000000-0005-0000-0000-00000A7C0000}"/>
    <cellStyle name="Normal 7 3 2 3" xfId="12192" xr:uid="{00000000-0005-0000-0000-00000B7C0000}"/>
    <cellStyle name="Normal 7 3 2 3 10" xfId="37249" xr:uid="{00000000-0005-0000-0000-00000C7C0000}"/>
    <cellStyle name="Normal 7 3 2 3 11" xfId="37248" xr:uid="{00000000-0005-0000-0000-00000D7C0000}"/>
    <cellStyle name="Normal 7 3 2 3 2" xfId="37250" xr:uid="{00000000-0005-0000-0000-00000E7C0000}"/>
    <cellStyle name="Normal 7 3 2 3 2 2" xfId="37251" xr:uid="{00000000-0005-0000-0000-00000F7C0000}"/>
    <cellStyle name="Normal 7 3 2 3 2 2 2" xfId="37252" xr:uid="{00000000-0005-0000-0000-0000107C0000}"/>
    <cellStyle name="Normal 7 3 2 3 2 3" xfId="37253" xr:uid="{00000000-0005-0000-0000-0000117C0000}"/>
    <cellStyle name="Normal 7 3 2 3 2 3 2" xfId="37254" xr:uid="{00000000-0005-0000-0000-0000127C0000}"/>
    <cellStyle name="Normal 7 3 2 3 2 4" xfId="37255" xr:uid="{00000000-0005-0000-0000-0000137C0000}"/>
    <cellStyle name="Normal 7 3 2 3 2 4 2" xfId="37256" xr:uid="{00000000-0005-0000-0000-0000147C0000}"/>
    <cellStyle name="Normal 7 3 2 3 2 5" xfId="37257" xr:uid="{00000000-0005-0000-0000-0000157C0000}"/>
    <cellStyle name="Normal 7 3 2 3 2 6" xfId="37258" xr:uid="{00000000-0005-0000-0000-0000167C0000}"/>
    <cellStyle name="Normal 7 3 2 3 3" xfId="37259" xr:uid="{00000000-0005-0000-0000-0000177C0000}"/>
    <cellStyle name="Normal 7 3 2 3 3 2" xfId="37260" xr:uid="{00000000-0005-0000-0000-0000187C0000}"/>
    <cellStyle name="Normal 7 3 2 3 3 2 2" xfId="37261" xr:uid="{00000000-0005-0000-0000-0000197C0000}"/>
    <cellStyle name="Normal 7 3 2 3 3 3" xfId="37262" xr:uid="{00000000-0005-0000-0000-00001A7C0000}"/>
    <cellStyle name="Normal 7 3 2 3 3 3 2" xfId="37263" xr:uid="{00000000-0005-0000-0000-00001B7C0000}"/>
    <cellStyle name="Normal 7 3 2 3 3 4" xfId="37264" xr:uid="{00000000-0005-0000-0000-00001C7C0000}"/>
    <cellStyle name="Normal 7 3 2 3 3 4 2" xfId="37265" xr:uid="{00000000-0005-0000-0000-00001D7C0000}"/>
    <cellStyle name="Normal 7 3 2 3 3 5" xfId="37266" xr:uid="{00000000-0005-0000-0000-00001E7C0000}"/>
    <cellStyle name="Normal 7 3 2 3 3 6" xfId="37267" xr:uid="{00000000-0005-0000-0000-00001F7C0000}"/>
    <cellStyle name="Normal 7 3 2 3 4" xfId="37268" xr:uid="{00000000-0005-0000-0000-0000207C0000}"/>
    <cellStyle name="Normal 7 3 2 3 4 2" xfId="37269" xr:uid="{00000000-0005-0000-0000-0000217C0000}"/>
    <cellStyle name="Normal 7 3 2 3 4 2 2" xfId="37270" xr:uid="{00000000-0005-0000-0000-0000227C0000}"/>
    <cellStyle name="Normal 7 3 2 3 4 3" xfId="37271" xr:uid="{00000000-0005-0000-0000-0000237C0000}"/>
    <cellStyle name="Normal 7 3 2 3 4 3 2" xfId="37272" xr:uid="{00000000-0005-0000-0000-0000247C0000}"/>
    <cellStyle name="Normal 7 3 2 3 4 4" xfId="37273" xr:uid="{00000000-0005-0000-0000-0000257C0000}"/>
    <cellStyle name="Normal 7 3 2 3 4 4 2" xfId="37274" xr:uid="{00000000-0005-0000-0000-0000267C0000}"/>
    <cellStyle name="Normal 7 3 2 3 4 5" xfId="37275" xr:uid="{00000000-0005-0000-0000-0000277C0000}"/>
    <cellStyle name="Normal 7 3 2 3 4 6" xfId="37276" xr:uid="{00000000-0005-0000-0000-0000287C0000}"/>
    <cellStyle name="Normal 7 3 2 3 5" xfId="37277" xr:uid="{00000000-0005-0000-0000-0000297C0000}"/>
    <cellStyle name="Normal 7 3 2 3 5 2" xfId="37278" xr:uid="{00000000-0005-0000-0000-00002A7C0000}"/>
    <cellStyle name="Normal 7 3 2 3 5 2 2" xfId="37279" xr:uid="{00000000-0005-0000-0000-00002B7C0000}"/>
    <cellStyle name="Normal 7 3 2 3 5 3" xfId="37280" xr:uid="{00000000-0005-0000-0000-00002C7C0000}"/>
    <cellStyle name="Normal 7 3 2 3 5 3 2" xfId="37281" xr:uid="{00000000-0005-0000-0000-00002D7C0000}"/>
    <cellStyle name="Normal 7 3 2 3 5 4" xfId="37282" xr:uid="{00000000-0005-0000-0000-00002E7C0000}"/>
    <cellStyle name="Normal 7 3 2 3 5 5" xfId="37283" xr:uid="{00000000-0005-0000-0000-00002F7C0000}"/>
    <cellStyle name="Normal 7 3 2 3 6" xfId="37284" xr:uid="{00000000-0005-0000-0000-0000307C0000}"/>
    <cellStyle name="Normal 7 3 2 3 6 2" xfId="37285" xr:uid="{00000000-0005-0000-0000-0000317C0000}"/>
    <cellStyle name="Normal 7 3 2 3 7" xfId="37286" xr:uid="{00000000-0005-0000-0000-0000327C0000}"/>
    <cellStyle name="Normal 7 3 2 3 7 2" xfId="37287" xr:uid="{00000000-0005-0000-0000-0000337C0000}"/>
    <cellStyle name="Normal 7 3 2 3 8" xfId="37288" xr:uid="{00000000-0005-0000-0000-0000347C0000}"/>
    <cellStyle name="Normal 7 3 2 3 8 2" xfId="37289" xr:uid="{00000000-0005-0000-0000-0000357C0000}"/>
    <cellStyle name="Normal 7 3 2 3 9" xfId="37290" xr:uid="{00000000-0005-0000-0000-0000367C0000}"/>
    <cellStyle name="Normal 7 3 2 4" xfId="37291" xr:uid="{00000000-0005-0000-0000-0000377C0000}"/>
    <cellStyle name="Normal 7 3 2 4 10" xfId="37292" xr:uid="{00000000-0005-0000-0000-0000387C0000}"/>
    <cellStyle name="Normal 7 3 2 4 2" xfId="37293" xr:uid="{00000000-0005-0000-0000-0000397C0000}"/>
    <cellStyle name="Normal 7 3 2 4 2 2" xfId="37294" xr:uid="{00000000-0005-0000-0000-00003A7C0000}"/>
    <cellStyle name="Normal 7 3 2 4 2 2 2" xfId="37295" xr:uid="{00000000-0005-0000-0000-00003B7C0000}"/>
    <cellStyle name="Normal 7 3 2 4 2 3" xfId="37296" xr:uid="{00000000-0005-0000-0000-00003C7C0000}"/>
    <cellStyle name="Normal 7 3 2 4 2 3 2" xfId="37297" xr:uid="{00000000-0005-0000-0000-00003D7C0000}"/>
    <cellStyle name="Normal 7 3 2 4 2 4" xfId="37298" xr:uid="{00000000-0005-0000-0000-00003E7C0000}"/>
    <cellStyle name="Normal 7 3 2 4 2 4 2" xfId="37299" xr:uid="{00000000-0005-0000-0000-00003F7C0000}"/>
    <cellStyle name="Normal 7 3 2 4 2 5" xfId="37300" xr:uid="{00000000-0005-0000-0000-0000407C0000}"/>
    <cellStyle name="Normal 7 3 2 4 2 6" xfId="37301" xr:uid="{00000000-0005-0000-0000-0000417C0000}"/>
    <cellStyle name="Normal 7 3 2 4 3" xfId="37302" xr:uid="{00000000-0005-0000-0000-0000427C0000}"/>
    <cellStyle name="Normal 7 3 2 4 3 2" xfId="37303" xr:uid="{00000000-0005-0000-0000-0000437C0000}"/>
    <cellStyle name="Normal 7 3 2 4 3 2 2" xfId="37304" xr:uid="{00000000-0005-0000-0000-0000447C0000}"/>
    <cellStyle name="Normal 7 3 2 4 3 3" xfId="37305" xr:uid="{00000000-0005-0000-0000-0000457C0000}"/>
    <cellStyle name="Normal 7 3 2 4 3 3 2" xfId="37306" xr:uid="{00000000-0005-0000-0000-0000467C0000}"/>
    <cellStyle name="Normal 7 3 2 4 3 4" xfId="37307" xr:uid="{00000000-0005-0000-0000-0000477C0000}"/>
    <cellStyle name="Normal 7 3 2 4 3 4 2" xfId="37308" xr:uid="{00000000-0005-0000-0000-0000487C0000}"/>
    <cellStyle name="Normal 7 3 2 4 3 5" xfId="37309" xr:uid="{00000000-0005-0000-0000-0000497C0000}"/>
    <cellStyle name="Normal 7 3 2 4 3 6" xfId="37310" xr:uid="{00000000-0005-0000-0000-00004A7C0000}"/>
    <cellStyle name="Normal 7 3 2 4 4" xfId="37311" xr:uid="{00000000-0005-0000-0000-00004B7C0000}"/>
    <cellStyle name="Normal 7 3 2 4 4 2" xfId="37312" xr:uid="{00000000-0005-0000-0000-00004C7C0000}"/>
    <cellStyle name="Normal 7 3 2 4 4 2 2" xfId="37313" xr:uid="{00000000-0005-0000-0000-00004D7C0000}"/>
    <cellStyle name="Normal 7 3 2 4 4 3" xfId="37314" xr:uid="{00000000-0005-0000-0000-00004E7C0000}"/>
    <cellStyle name="Normal 7 3 2 4 4 3 2" xfId="37315" xr:uid="{00000000-0005-0000-0000-00004F7C0000}"/>
    <cellStyle name="Normal 7 3 2 4 4 4" xfId="37316" xr:uid="{00000000-0005-0000-0000-0000507C0000}"/>
    <cellStyle name="Normal 7 3 2 4 4 4 2" xfId="37317" xr:uid="{00000000-0005-0000-0000-0000517C0000}"/>
    <cellStyle name="Normal 7 3 2 4 4 5" xfId="37318" xr:uid="{00000000-0005-0000-0000-0000527C0000}"/>
    <cellStyle name="Normal 7 3 2 4 4 6" xfId="37319" xr:uid="{00000000-0005-0000-0000-0000537C0000}"/>
    <cellStyle name="Normal 7 3 2 4 5" xfId="37320" xr:uid="{00000000-0005-0000-0000-0000547C0000}"/>
    <cellStyle name="Normal 7 3 2 4 5 2" xfId="37321" xr:uid="{00000000-0005-0000-0000-0000557C0000}"/>
    <cellStyle name="Normal 7 3 2 4 5 2 2" xfId="37322" xr:uid="{00000000-0005-0000-0000-0000567C0000}"/>
    <cellStyle name="Normal 7 3 2 4 5 3" xfId="37323" xr:uid="{00000000-0005-0000-0000-0000577C0000}"/>
    <cellStyle name="Normal 7 3 2 4 5 3 2" xfId="37324" xr:uid="{00000000-0005-0000-0000-0000587C0000}"/>
    <cellStyle name="Normal 7 3 2 4 5 4" xfId="37325" xr:uid="{00000000-0005-0000-0000-0000597C0000}"/>
    <cellStyle name="Normal 7 3 2 4 5 5" xfId="37326" xr:uid="{00000000-0005-0000-0000-00005A7C0000}"/>
    <cellStyle name="Normal 7 3 2 4 6" xfId="37327" xr:uid="{00000000-0005-0000-0000-00005B7C0000}"/>
    <cellStyle name="Normal 7 3 2 4 6 2" xfId="37328" xr:uid="{00000000-0005-0000-0000-00005C7C0000}"/>
    <cellStyle name="Normal 7 3 2 4 7" xfId="37329" xr:uid="{00000000-0005-0000-0000-00005D7C0000}"/>
    <cellStyle name="Normal 7 3 2 4 7 2" xfId="37330" xr:uid="{00000000-0005-0000-0000-00005E7C0000}"/>
    <cellStyle name="Normal 7 3 2 4 8" xfId="37331" xr:uid="{00000000-0005-0000-0000-00005F7C0000}"/>
    <cellStyle name="Normal 7 3 2 4 8 2" xfId="37332" xr:uid="{00000000-0005-0000-0000-0000607C0000}"/>
    <cellStyle name="Normal 7 3 2 4 9" xfId="37333" xr:uid="{00000000-0005-0000-0000-0000617C0000}"/>
    <cellStyle name="Normal 7 3 2 5" xfId="37334" xr:uid="{00000000-0005-0000-0000-0000627C0000}"/>
    <cellStyle name="Normal 7 3 2 5 2" xfId="37335" xr:uid="{00000000-0005-0000-0000-0000637C0000}"/>
    <cellStyle name="Normal 7 3 2 5 2 2" xfId="37336" xr:uid="{00000000-0005-0000-0000-0000647C0000}"/>
    <cellStyle name="Normal 7 3 2 5 3" xfId="37337" xr:uid="{00000000-0005-0000-0000-0000657C0000}"/>
    <cellStyle name="Normal 7 3 2 5 3 2" xfId="37338" xr:uid="{00000000-0005-0000-0000-0000667C0000}"/>
    <cellStyle name="Normal 7 3 2 5 4" xfId="37339" xr:uid="{00000000-0005-0000-0000-0000677C0000}"/>
    <cellStyle name="Normal 7 3 2 5 4 2" xfId="37340" xr:uid="{00000000-0005-0000-0000-0000687C0000}"/>
    <cellStyle name="Normal 7 3 2 5 5" xfId="37341" xr:uid="{00000000-0005-0000-0000-0000697C0000}"/>
    <cellStyle name="Normal 7 3 2 5 6" xfId="37342" xr:uid="{00000000-0005-0000-0000-00006A7C0000}"/>
    <cellStyle name="Normal 7 3 2 6" xfId="37343" xr:uid="{00000000-0005-0000-0000-00006B7C0000}"/>
    <cellStyle name="Normal 7 3 2 6 2" xfId="37344" xr:uid="{00000000-0005-0000-0000-00006C7C0000}"/>
    <cellStyle name="Normal 7 3 2 6 2 2" xfId="37345" xr:uid="{00000000-0005-0000-0000-00006D7C0000}"/>
    <cellStyle name="Normal 7 3 2 6 3" xfId="37346" xr:uid="{00000000-0005-0000-0000-00006E7C0000}"/>
    <cellStyle name="Normal 7 3 2 6 3 2" xfId="37347" xr:uid="{00000000-0005-0000-0000-00006F7C0000}"/>
    <cellStyle name="Normal 7 3 2 6 4" xfId="37348" xr:uid="{00000000-0005-0000-0000-0000707C0000}"/>
    <cellStyle name="Normal 7 3 2 6 4 2" xfId="37349" xr:uid="{00000000-0005-0000-0000-0000717C0000}"/>
    <cellStyle name="Normal 7 3 2 6 5" xfId="37350" xr:uid="{00000000-0005-0000-0000-0000727C0000}"/>
    <cellStyle name="Normal 7 3 2 6 6" xfId="37351" xr:uid="{00000000-0005-0000-0000-0000737C0000}"/>
    <cellStyle name="Normal 7 3 2 7" xfId="37352" xr:uid="{00000000-0005-0000-0000-0000747C0000}"/>
    <cellStyle name="Normal 7 3 2 7 2" xfId="37353" xr:uid="{00000000-0005-0000-0000-0000757C0000}"/>
    <cellStyle name="Normal 7 3 2 7 2 2" xfId="37354" xr:uid="{00000000-0005-0000-0000-0000767C0000}"/>
    <cellStyle name="Normal 7 3 2 7 3" xfId="37355" xr:uid="{00000000-0005-0000-0000-0000777C0000}"/>
    <cellStyle name="Normal 7 3 2 7 3 2" xfId="37356" xr:uid="{00000000-0005-0000-0000-0000787C0000}"/>
    <cellStyle name="Normal 7 3 2 7 4" xfId="37357" xr:uid="{00000000-0005-0000-0000-0000797C0000}"/>
    <cellStyle name="Normal 7 3 2 7 4 2" xfId="37358" xr:uid="{00000000-0005-0000-0000-00007A7C0000}"/>
    <cellStyle name="Normal 7 3 2 7 5" xfId="37359" xr:uid="{00000000-0005-0000-0000-00007B7C0000}"/>
    <cellStyle name="Normal 7 3 2 7 6" xfId="37360" xr:uid="{00000000-0005-0000-0000-00007C7C0000}"/>
    <cellStyle name="Normal 7 3 2 8" xfId="37361" xr:uid="{00000000-0005-0000-0000-00007D7C0000}"/>
    <cellStyle name="Normal 7 3 2 8 2" xfId="37362" xr:uid="{00000000-0005-0000-0000-00007E7C0000}"/>
    <cellStyle name="Normal 7 3 2 8 2 2" xfId="37363" xr:uid="{00000000-0005-0000-0000-00007F7C0000}"/>
    <cellStyle name="Normal 7 3 2 8 3" xfId="37364" xr:uid="{00000000-0005-0000-0000-0000807C0000}"/>
    <cellStyle name="Normal 7 3 2 8 3 2" xfId="37365" xr:uid="{00000000-0005-0000-0000-0000817C0000}"/>
    <cellStyle name="Normal 7 3 2 8 4" xfId="37366" xr:uid="{00000000-0005-0000-0000-0000827C0000}"/>
    <cellStyle name="Normal 7 3 2 8 5" xfId="37367" xr:uid="{00000000-0005-0000-0000-0000837C0000}"/>
    <cellStyle name="Normal 7 3 2 9" xfId="37368" xr:uid="{00000000-0005-0000-0000-0000847C0000}"/>
    <cellStyle name="Normal 7 3 2 9 2" xfId="37369" xr:uid="{00000000-0005-0000-0000-0000857C0000}"/>
    <cellStyle name="Normal 7 3 3" xfId="12193" xr:uid="{00000000-0005-0000-0000-0000867C0000}"/>
    <cellStyle name="Normal 7 3 3 10" xfId="37371" xr:uid="{00000000-0005-0000-0000-0000877C0000}"/>
    <cellStyle name="Normal 7 3 3 10 2" xfId="37372" xr:uid="{00000000-0005-0000-0000-0000887C0000}"/>
    <cellStyle name="Normal 7 3 3 11" xfId="37373" xr:uid="{00000000-0005-0000-0000-0000897C0000}"/>
    <cellStyle name="Normal 7 3 3 11 2" xfId="37374" xr:uid="{00000000-0005-0000-0000-00008A7C0000}"/>
    <cellStyle name="Normal 7 3 3 12" xfId="37375" xr:uid="{00000000-0005-0000-0000-00008B7C0000}"/>
    <cellStyle name="Normal 7 3 3 13" xfId="37376" xr:uid="{00000000-0005-0000-0000-00008C7C0000}"/>
    <cellStyle name="Normal 7 3 3 14" xfId="37370" xr:uid="{00000000-0005-0000-0000-00008D7C0000}"/>
    <cellStyle name="Normal 7 3 3 2" xfId="37377" xr:uid="{00000000-0005-0000-0000-00008E7C0000}"/>
    <cellStyle name="Normal 7 3 3 2 10" xfId="37378" xr:uid="{00000000-0005-0000-0000-00008F7C0000}"/>
    <cellStyle name="Normal 7 3 3 2 11" xfId="37379" xr:uid="{00000000-0005-0000-0000-0000907C0000}"/>
    <cellStyle name="Normal 7 3 3 2 2" xfId="37380" xr:uid="{00000000-0005-0000-0000-0000917C0000}"/>
    <cellStyle name="Normal 7 3 3 2 2 2" xfId="37381" xr:uid="{00000000-0005-0000-0000-0000927C0000}"/>
    <cellStyle name="Normal 7 3 3 2 2 2 2" xfId="37382" xr:uid="{00000000-0005-0000-0000-0000937C0000}"/>
    <cellStyle name="Normal 7 3 3 2 2 3" xfId="37383" xr:uid="{00000000-0005-0000-0000-0000947C0000}"/>
    <cellStyle name="Normal 7 3 3 2 2 3 2" xfId="37384" xr:uid="{00000000-0005-0000-0000-0000957C0000}"/>
    <cellStyle name="Normal 7 3 3 2 2 4" xfId="37385" xr:uid="{00000000-0005-0000-0000-0000967C0000}"/>
    <cellStyle name="Normal 7 3 3 2 2 4 2" xfId="37386" xr:uid="{00000000-0005-0000-0000-0000977C0000}"/>
    <cellStyle name="Normal 7 3 3 2 2 5" xfId="37387" xr:uid="{00000000-0005-0000-0000-0000987C0000}"/>
    <cellStyle name="Normal 7 3 3 2 2 6" xfId="37388" xr:uid="{00000000-0005-0000-0000-0000997C0000}"/>
    <cellStyle name="Normal 7 3 3 2 3" xfId="37389" xr:uid="{00000000-0005-0000-0000-00009A7C0000}"/>
    <cellStyle name="Normal 7 3 3 2 3 2" xfId="37390" xr:uid="{00000000-0005-0000-0000-00009B7C0000}"/>
    <cellStyle name="Normal 7 3 3 2 3 2 2" xfId="37391" xr:uid="{00000000-0005-0000-0000-00009C7C0000}"/>
    <cellStyle name="Normal 7 3 3 2 3 3" xfId="37392" xr:uid="{00000000-0005-0000-0000-00009D7C0000}"/>
    <cellStyle name="Normal 7 3 3 2 3 3 2" xfId="37393" xr:uid="{00000000-0005-0000-0000-00009E7C0000}"/>
    <cellStyle name="Normal 7 3 3 2 3 4" xfId="37394" xr:uid="{00000000-0005-0000-0000-00009F7C0000}"/>
    <cellStyle name="Normal 7 3 3 2 3 4 2" xfId="37395" xr:uid="{00000000-0005-0000-0000-0000A07C0000}"/>
    <cellStyle name="Normal 7 3 3 2 3 5" xfId="37396" xr:uid="{00000000-0005-0000-0000-0000A17C0000}"/>
    <cellStyle name="Normal 7 3 3 2 3 6" xfId="37397" xr:uid="{00000000-0005-0000-0000-0000A27C0000}"/>
    <cellStyle name="Normal 7 3 3 2 4" xfId="37398" xr:uid="{00000000-0005-0000-0000-0000A37C0000}"/>
    <cellStyle name="Normal 7 3 3 2 4 2" xfId="37399" xr:uid="{00000000-0005-0000-0000-0000A47C0000}"/>
    <cellStyle name="Normal 7 3 3 2 4 2 2" xfId="37400" xr:uid="{00000000-0005-0000-0000-0000A57C0000}"/>
    <cellStyle name="Normal 7 3 3 2 4 3" xfId="37401" xr:uid="{00000000-0005-0000-0000-0000A67C0000}"/>
    <cellStyle name="Normal 7 3 3 2 4 3 2" xfId="37402" xr:uid="{00000000-0005-0000-0000-0000A77C0000}"/>
    <cellStyle name="Normal 7 3 3 2 4 4" xfId="37403" xr:uid="{00000000-0005-0000-0000-0000A87C0000}"/>
    <cellStyle name="Normal 7 3 3 2 4 4 2" xfId="37404" xr:uid="{00000000-0005-0000-0000-0000A97C0000}"/>
    <cellStyle name="Normal 7 3 3 2 4 5" xfId="37405" xr:uid="{00000000-0005-0000-0000-0000AA7C0000}"/>
    <cellStyle name="Normal 7 3 3 2 4 6" xfId="37406" xr:uid="{00000000-0005-0000-0000-0000AB7C0000}"/>
    <cellStyle name="Normal 7 3 3 2 5" xfId="37407" xr:uid="{00000000-0005-0000-0000-0000AC7C0000}"/>
    <cellStyle name="Normal 7 3 3 2 5 2" xfId="37408" xr:uid="{00000000-0005-0000-0000-0000AD7C0000}"/>
    <cellStyle name="Normal 7 3 3 2 5 2 2" xfId="37409" xr:uid="{00000000-0005-0000-0000-0000AE7C0000}"/>
    <cellStyle name="Normal 7 3 3 2 5 3" xfId="37410" xr:uid="{00000000-0005-0000-0000-0000AF7C0000}"/>
    <cellStyle name="Normal 7 3 3 2 5 3 2" xfId="37411" xr:uid="{00000000-0005-0000-0000-0000B07C0000}"/>
    <cellStyle name="Normal 7 3 3 2 5 4" xfId="37412" xr:uid="{00000000-0005-0000-0000-0000B17C0000}"/>
    <cellStyle name="Normal 7 3 3 2 5 4 2" xfId="37413" xr:uid="{00000000-0005-0000-0000-0000B27C0000}"/>
    <cellStyle name="Normal 7 3 3 2 5 5" xfId="37414" xr:uid="{00000000-0005-0000-0000-0000B37C0000}"/>
    <cellStyle name="Normal 7 3 3 2 5 6" xfId="37415" xr:uid="{00000000-0005-0000-0000-0000B47C0000}"/>
    <cellStyle name="Normal 7 3 3 2 6" xfId="37416" xr:uid="{00000000-0005-0000-0000-0000B57C0000}"/>
    <cellStyle name="Normal 7 3 3 2 6 2" xfId="37417" xr:uid="{00000000-0005-0000-0000-0000B67C0000}"/>
    <cellStyle name="Normal 7 3 3 2 6 2 2" xfId="37418" xr:uid="{00000000-0005-0000-0000-0000B77C0000}"/>
    <cellStyle name="Normal 7 3 3 2 6 3" xfId="37419" xr:uid="{00000000-0005-0000-0000-0000B87C0000}"/>
    <cellStyle name="Normal 7 3 3 2 6 3 2" xfId="37420" xr:uid="{00000000-0005-0000-0000-0000B97C0000}"/>
    <cellStyle name="Normal 7 3 3 2 6 4" xfId="37421" xr:uid="{00000000-0005-0000-0000-0000BA7C0000}"/>
    <cellStyle name="Normal 7 3 3 2 6 5" xfId="37422" xr:uid="{00000000-0005-0000-0000-0000BB7C0000}"/>
    <cellStyle name="Normal 7 3 3 2 7" xfId="37423" xr:uid="{00000000-0005-0000-0000-0000BC7C0000}"/>
    <cellStyle name="Normal 7 3 3 2 7 2" xfId="37424" xr:uid="{00000000-0005-0000-0000-0000BD7C0000}"/>
    <cellStyle name="Normal 7 3 3 2 8" xfId="37425" xr:uid="{00000000-0005-0000-0000-0000BE7C0000}"/>
    <cellStyle name="Normal 7 3 3 2 8 2" xfId="37426" xr:uid="{00000000-0005-0000-0000-0000BF7C0000}"/>
    <cellStyle name="Normal 7 3 3 2 9" xfId="37427" xr:uid="{00000000-0005-0000-0000-0000C07C0000}"/>
    <cellStyle name="Normal 7 3 3 2 9 2" xfId="37428" xr:uid="{00000000-0005-0000-0000-0000C17C0000}"/>
    <cellStyle name="Normal 7 3 3 3" xfId="37429" xr:uid="{00000000-0005-0000-0000-0000C27C0000}"/>
    <cellStyle name="Normal 7 3 3 3 10" xfId="37430" xr:uid="{00000000-0005-0000-0000-0000C37C0000}"/>
    <cellStyle name="Normal 7 3 3 3 2" xfId="37431" xr:uid="{00000000-0005-0000-0000-0000C47C0000}"/>
    <cellStyle name="Normal 7 3 3 3 2 2" xfId="37432" xr:uid="{00000000-0005-0000-0000-0000C57C0000}"/>
    <cellStyle name="Normal 7 3 3 3 2 2 2" xfId="37433" xr:uid="{00000000-0005-0000-0000-0000C67C0000}"/>
    <cellStyle name="Normal 7 3 3 3 2 3" xfId="37434" xr:uid="{00000000-0005-0000-0000-0000C77C0000}"/>
    <cellStyle name="Normal 7 3 3 3 2 3 2" xfId="37435" xr:uid="{00000000-0005-0000-0000-0000C87C0000}"/>
    <cellStyle name="Normal 7 3 3 3 2 4" xfId="37436" xr:uid="{00000000-0005-0000-0000-0000C97C0000}"/>
    <cellStyle name="Normal 7 3 3 3 2 4 2" xfId="37437" xr:uid="{00000000-0005-0000-0000-0000CA7C0000}"/>
    <cellStyle name="Normal 7 3 3 3 2 5" xfId="37438" xr:uid="{00000000-0005-0000-0000-0000CB7C0000}"/>
    <cellStyle name="Normal 7 3 3 3 2 6" xfId="37439" xr:uid="{00000000-0005-0000-0000-0000CC7C0000}"/>
    <cellStyle name="Normal 7 3 3 3 3" xfId="37440" xr:uid="{00000000-0005-0000-0000-0000CD7C0000}"/>
    <cellStyle name="Normal 7 3 3 3 3 2" xfId="37441" xr:uid="{00000000-0005-0000-0000-0000CE7C0000}"/>
    <cellStyle name="Normal 7 3 3 3 3 2 2" xfId="37442" xr:uid="{00000000-0005-0000-0000-0000CF7C0000}"/>
    <cellStyle name="Normal 7 3 3 3 3 3" xfId="37443" xr:uid="{00000000-0005-0000-0000-0000D07C0000}"/>
    <cellStyle name="Normal 7 3 3 3 3 3 2" xfId="37444" xr:uid="{00000000-0005-0000-0000-0000D17C0000}"/>
    <cellStyle name="Normal 7 3 3 3 3 4" xfId="37445" xr:uid="{00000000-0005-0000-0000-0000D27C0000}"/>
    <cellStyle name="Normal 7 3 3 3 3 4 2" xfId="37446" xr:uid="{00000000-0005-0000-0000-0000D37C0000}"/>
    <cellStyle name="Normal 7 3 3 3 3 5" xfId="37447" xr:uid="{00000000-0005-0000-0000-0000D47C0000}"/>
    <cellStyle name="Normal 7 3 3 3 3 6" xfId="37448" xr:uid="{00000000-0005-0000-0000-0000D57C0000}"/>
    <cellStyle name="Normal 7 3 3 3 4" xfId="37449" xr:uid="{00000000-0005-0000-0000-0000D67C0000}"/>
    <cellStyle name="Normal 7 3 3 3 4 2" xfId="37450" xr:uid="{00000000-0005-0000-0000-0000D77C0000}"/>
    <cellStyle name="Normal 7 3 3 3 4 2 2" xfId="37451" xr:uid="{00000000-0005-0000-0000-0000D87C0000}"/>
    <cellStyle name="Normal 7 3 3 3 4 3" xfId="37452" xr:uid="{00000000-0005-0000-0000-0000D97C0000}"/>
    <cellStyle name="Normal 7 3 3 3 4 3 2" xfId="37453" xr:uid="{00000000-0005-0000-0000-0000DA7C0000}"/>
    <cellStyle name="Normal 7 3 3 3 4 4" xfId="37454" xr:uid="{00000000-0005-0000-0000-0000DB7C0000}"/>
    <cellStyle name="Normal 7 3 3 3 4 4 2" xfId="37455" xr:uid="{00000000-0005-0000-0000-0000DC7C0000}"/>
    <cellStyle name="Normal 7 3 3 3 4 5" xfId="37456" xr:uid="{00000000-0005-0000-0000-0000DD7C0000}"/>
    <cellStyle name="Normal 7 3 3 3 4 6" xfId="37457" xr:uid="{00000000-0005-0000-0000-0000DE7C0000}"/>
    <cellStyle name="Normal 7 3 3 3 5" xfId="37458" xr:uid="{00000000-0005-0000-0000-0000DF7C0000}"/>
    <cellStyle name="Normal 7 3 3 3 5 2" xfId="37459" xr:uid="{00000000-0005-0000-0000-0000E07C0000}"/>
    <cellStyle name="Normal 7 3 3 3 5 2 2" xfId="37460" xr:uid="{00000000-0005-0000-0000-0000E17C0000}"/>
    <cellStyle name="Normal 7 3 3 3 5 3" xfId="37461" xr:uid="{00000000-0005-0000-0000-0000E27C0000}"/>
    <cellStyle name="Normal 7 3 3 3 5 3 2" xfId="37462" xr:uid="{00000000-0005-0000-0000-0000E37C0000}"/>
    <cellStyle name="Normal 7 3 3 3 5 4" xfId="37463" xr:uid="{00000000-0005-0000-0000-0000E47C0000}"/>
    <cellStyle name="Normal 7 3 3 3 5 5" xfId="37464" xr:uid="{00000000-0005-0000-0000-0000E57C0000}"/>
    <cellStyle name="Normal 7 3 3 3 6" xfId="37465" xr:uid="{00000000-0005-0000-0000-0000E67C0000}"/>
    <cellStyle name="Normal 7 3 3 3 6 2" xfId="37466" xr:uid="{00000000-0005-0000-0000-0000E77C0000}"/>
    <cellStyle name="Normal 7 3 3 3 7" xfId="37467" xr:uid="{00000000-0005-0000-0000-0000E87C0000}"/>
    <cellStyle name="Normal 7 3 3 3 7 2" xfId="37468" xr:uid="{00000000-0005-0000-0000-0000E97C0000}"/>
    <cellStyle name="Normal 7 3 3 3 8" xfId="37469" xr:uid="{00000000-0005-0000-0000-0000EA7C0000}"/>
    <cellStyle name="Normal 7 3 3 3 8 2" xfId="37470" xr:uid="{00000000-0005-0000-0000-0000EB7C0000}"/>
    <cellStyle name="Normal 7 3 3 3 9" xfId="37471" xr:uid="{00000000-0005-0000-0000-0000EC7C0000}"/>
    <cellStyle name="Normal 7 3 3 4" xfId="37472" xr:uid="{00000000-0005-0000-0000-0000ED7C0000}"/>
    <cellStyle name="Normal 7 3 3 4 10" xfId="37473" xr:uid="{00000000-0005-0000-0000-0000EE7C0000}"/>
    <cellStyle name="Normal 7 3 3 4 2" xfId="37474" xr:uid="{00000000-0005-0000-0000-0000EF7C0000}"/>
    <cellStyle name="Normal 7 3 3 4 2 2" xfId="37475" xr:uid="{00000000-0005-0000-0000-0000F07C0000}"/>
    <cellStyle name="Normal 7 3 3 4 2 2 2" xfId="37476" xr:uid="{00000000-0005-0000-0000-0000F17C0000}"/>
    <cellStyle name="Normal 7 3 3 4 2 3" xfId="37477" xr:uid="{00000000-0005-0000-0000-0000F27C0000}"/>
    <cellStyle name="Normal 7 3 3 4 2 3 2" xfId="37478" xr:uid="{00000000-0005-0000-0000-0000F37C0000}"/>
    <cellStyle name="Normal 7 3 3 4 2 4" xfId="37479" xr:uid="{00000000-0005-0000-0000-0000F47C0000}"/>
    <cellStyle name="Normal 7 3 3 4 2 4 2" xfId="37480" xr:uid="{00000000-0005-0000-0000-0000F57C0000}"/>
    <cellStyle name="Normal 7 3 3 4 2 5" xfId="37481" xr:uid="{00000000-0005-0000-0000-0000F67C0000}"/>
    <cellStyle name="Normal 7 3 3 4 2 6" xfId="37482" xr:uid="{00000000-0005-0000-0000-0000F77C0000}"/>
    <cellStyle name="Normal 7 3 3 4 3" xfId="37483" xr:uid="{00000000-0005-0000-0000-0000F87C0000}"/>
    <cellStyle name="Normal 7 3 3 4 3 2" xfId="37484" xr:uid="{00000000-0005-0000-0000-0000F97C0000}"/>
    <cellStyle name="Normal 7 3 3 4 3 2 2" xfId="37485" xr:uid="{00000000-0005-0000-0000-0000FA7C0000}"/>
    <cellStyle name="Normal 7 3 3 4 3 3" xfId="37486" xr:uid="{00000000-0005-0000-0000-0000FB7C0000}"/>
    <cellStyle name="Normal 7 3 3 4 3 3 2" xfId="37487" xr:uid="{00000000-0005-0000-0000-0000FC7C0000}"/>
    <cellStyle name="Normal 7 3 3 4 3 4" xfId="37488" xr:uid="{00000000-0005-0000-0000-0000FD7C0000}"/>
    <cellStyle name="Normal 7 3 3 4 3 4 2" xfId="37489" xr:uid="{00000000-0005-0000-0000-0000FE7C0000}"/>
    <cellStyle name="Normal 7 3 3 4 3 5" xfId="37490" xr:uid="{00000000-0005-0000-0000-0000FF7C0000}"/>
    <cellStyle name="Normal 7 3 3 4 3 6" xfId="37491" xr:uid="{00000000-0005-0000-0000-0000007D0000}"/>
    <cellStyle name="Normal 7 3 3 4 4" xfId="37492" xr:uid="{00000000-0005-0000-0000-0000017D0000}"/>
    <cellStyle name="Normal 7 3 3 4 4 2" xfId="37493" xr:uid="{00000000-0005-0000-0000-0000027D0000}"/>
    <cellStyle name="Normal 7 3 3 4 4 2 2" xfId="37494" xr:uid="{00000000-0005-0000-0000-0000037D0000}"/>
    <cellStyle name="Normal 7 3 3 4 4 3" xfId="37495" xr:uid="{00000000-0005-0000-0000-0000047D0000}"/>
    <cellStyle name="Normal 7 3 3 4 4 3 2" xfId="37496" xr:uid="{00000000-0005-0000-0000-0000057D0000}"/>
    <cellStyle name="Normal 7 3 3 4 4 4" xfId="37497" xr:uid="{00000000-0005-0000-0000-0000067D0000}"/>
    <cellStyle name="Normal 7 3 3 4 4 4 2" xfId="37498" xr:uid="{00000000-0005-0000-0000-0000077D0000}"/>
    <cellStyle name="Normal 7 3 3 4 4 5" xfId="37499" xr:uid="{00000000-0005-0000-0000-0000087D0000}"/>
    <cellStyle name="Normal 7 3 3 4 4 6" xfId="37500" xr:uid="{00000000-0005-0000-0000-0000097D0000}"/>
    <cellStyle name="Normal 7 3 3 4 5" xfId="37501" xr:uid="{00000000-0005-0000-0000-00000A7D0000}"/>
    <cellStyle name="Normal 7 3 3 4 5 2" xfId="37502" xr:uid="{00000000-0005-0000-0000-00000B7D0000}"/>
    <cellStyle name="Normal 7 3 3 4 5 2 2" xfId="37503" xr:uid="{00000000-0005-0000-0000-00000C7D0000}"/>
    <cellStyle name="Normal 7 3 3 4 5 3" xfId="37504" xr:uid="{00000000-0005-0000-0000-00000D7D0000}"/>
    <cellStyle name="Normal 7 3 3 4 5 3 2" xfId="37505" xr:uid="{00000000-0005-0000-0000-00000E7D0000}"/>
    <cellStyle name="Normal 7 3 3 4 5 4" xfId="37506" xr:uid="{00000000-0005-0000-0000-00000F7D0000}"/>
    <cellStyle name="Normal 7 3 3 4 5 5" xfId="37507" xr:uid="{00000000-0005-0000-0000-0000107D0000}"/>
    <cellStyle name="Normal 7 3 3 4 6" xfId="37508" xr:uid="{00000000-0005-0000-0000-0000117D0000}"/>
    <cellStyle name="Normal 7 3 3 4 6 2" xfId="37509" xr:uid="{00000000-0005-0000-0000-0000127D0000}"/>
    <cellStyle name="Normal 7 3 3 4 7" xfId="37510" xr:uid="{00000000-0005-0000-0000-0000137D0000}"/>
    <cellStyle name="Normal 7 3 3 4 7 2" xfId="37511" xr:uid="{00000000-0005-0000-0000-0000147D0000}"/>
    <cellStyle name="Normal 7 3 3 4 8" xfId="37512" xr:uid="{00000000-0005-0000-0000-0000157D0000}"/>
    <cellStyle name="Normal 7 3 3 4 8 2" xfId="37513" xr:uid="{00000000-0005-0000-0000-0000167D0000}"/>
    <cellStyle name="Normal 7 3 3 4 9" xfId="37514" xr:uid="{00000000-0005-0000-0000-0000177D0000}"/>
    <cellStyle name="Normal 7 3 3 5" xfId="37515" xr:uid="{00000000-0005-0000-0000-0000187D0000}"/>
    <cellStyle name="Normal 7 3 3 5 2" xfId="37516" xr:uid="{00000000-0005-0000-0000-0000197D0000}"/>
    <cellStyle name="Normal 7 3 3 5 2 2" xfId="37517" xr:uid="{00000000-0005-0000-0000-00001A7D0000}"/>
    <cellStyle name="Normal 7 3 3 5 3" xfId="37518" xr:uid="{00000000-0005-0000-0000-00001B7D0000}"/>
    <cellStyle name="Normal 7 3 3 5 3 2" xfId="37519" xr:uid="{00000000-0005-0000-0000-00001C7D0000}"/>
    <cellStyle name="Normal 7 3 3 5 4" xfId="37520" xr:uid="{00000000-0005-0000-0000-00001D7D0000}"/>
    <cellStyle name="Normal 7 3 3 5 4 2" xfId="37521" xr:uid="{00000000-0005-0000-0000-00001E7D0000}"/>
    <cellStyle name="Normal 7 3 3 5 5" xfId="37522" xr:uid="{00000000-0005-0000-0000-00001F7D0000}"/>
    <cellStyle name="Normal 7 3 3 5 6" xfId="37523" xr:uid="{00000000-0005-0000-0000-0000207D0000}"/>
    <cellStyle name="Normal 7 3 3 6" xfId="37524" xr:uid="{00000000-0005-0000-0000-0000217D0000}"/>
    <cellStyle name="Normal 7 3 3 6 2" xfId="37525" xr:uid="{00000000-0005-0000-0000-0000227D0000}"/>
    <cellStyle name="Normal 7 3 3 6 2 2" xfId="37526" xr:uid="{00000000-0005-0000-0000-0000237D0000}"/>
    <cellStyle name="Normal 7 3 3 6 3" xfId="37527" xr:uid="{00000000-0005-0000-0000-0000247D0000}"/>
    <cellStyle name="Normal 7 3 3 6 3 2" xfId="37528" xr:uid="{00000000-0005-0000-0000-0000257D0000}"/>
    <cellStyle name="Normal 7 3 3 6 4" xfId="37529" xr:uid="{00000000-0005-0000-0000-0000267D0000}"/>
    <cellStyle name="Normal 7 3 3 6 4 2" xfId="37530" xr:uid="{00000000-0005-0000-0000-0000277D0000}"/>
    <cellStyle name="Normal 7 3 3 6 5" xfId="37531" xr:uid="{00000000-0005-0000-0000-0000287D0000}"/>
    <cellStyle name="Normal 7 3 3 6 6" xfId="37532" xr:uid="{00000000-0005-0000-0000-0000297D0000}"/>
    <cellStyle name="Normal 7 3 3 7" xfId="37533" xr:uid="{00000000-0005-0000-0000-00002A7D0000}"/>
    <cellStyle name="Normal 7 3 3 7 2" xfId="37534" xr:uid="{00000000-0005-0000-0000-00002B7D0000}"/>
    <cellStyle name="Normal 7 3 3 7 2 2" xfId="37535" xr:uid="{00000000-0005-0000-0000-00002C7D0000}"/>
    <cellStyle name="Normal 7 3 3 7 3" xfId="37536" xr:uid="{00000000-0005-0000-0000-00002D7D0000}"/>
    <cellStyle name="Normal 7 3 3 7 3 2" xfId="37537" xr:uid="{00000000-0005-0000-0000-00002E7D0000}"/>
    <cellStyle name="Normal 7 3 3 7 4" xfId="37538" xr:uid="{00000000-0005-0000-0000-00002F7D0000}"/>
    <cellStyle name="Normal 7 3 3 7 4 2" xfId="37539" xr:uid="{00000000-0005-0000-0000-0000307D0000}"/>
    <cellStyle name="Normal 7 3 3 7 5" xfId="37540" xr:uid="{00000000-0005-0000-0000-0000317D0000}"/>
    <cellStyle name="Normal 7 3 3 7 6" xfId="37541" xr:uid="{00000000-0005-0000-0000-0000327D0000}"/>
    <cellStyle name="Normal 7 3 3 8" xfId="37542" xr:uid="{00000000-0005-0000-0000-0000337D0000}"/>
    <cellStyle name="Normal 7 3 3 8 2" xfId="37543" xr:uid="{00000000-0005-0000-0000-0000347D0000}"/>
    <cellStyle name="Normal 7 3 3 8 2 2" xfId="37544" xr:uid="{00000000-0005-0000-0000-0000357D0000}"/>
    <cellStyle name="Normal 7 3 3 8 3" xfId="37545" xr:uid="{00000000-0005-0000-0000-0000367D0000}"/>
    <cellStyle name="Normal 7 3 3 8 3 2" xfId="37546" xr:uid="{00000000-0005-0000-0000-0000377D0000}"/>
    <cellStyle name="Normal 7 3 3 8 4" xfId="37547" xr:uid="{00000000-0005-0000-0000-0000387D0000}"/>
    <cellStyle name="Normal 7 3 3 8 5" xfId="37548" xr:uid="{00000000-0005-0000-0000-0000397D0000}"/>
    <cellStyle name="Normal 7 3 3 9" xfId="37549" xr:uid="{00000000-0005-0000-0000-00003A7D0000}"/>
    <cellStyle name="Normal 7 3 3 9 2" xfId="37550" xr:uid="{00000000-0005-0000-0000-00003B7D0000}"/>
    <cellStyle name="Normal 7 3 4" xfId="37551" xr:uid="{00000000-0005-0000-0000-00003C7D0000}"/>
    <cellStyle name="Normal 7 3 4 10" xfId="37552" xr:uid="{00000000-0005-0000-0000-00003D7D0000}"/>
    <cellStyle name="Normal 7 3 4 10 2" xfId="37553" xr:uid="{00000000-0005-0000-0000-00003E7D0000}"/>
    <cellStyle name="Normal 7 3 4 11" xfId="37554" xr:uid="{00000000-0005-0000-0000-00003F7D0000}"/>
    <cellStyle name="Normal 7 3 4 12" xfId="37555" xr:uid="{00000000-0005-0000-0000-0000407D0000}"/>
    <cellStyle name="Normal 7 3 4 2" xfId="37556" xr:uid="{00000000-0005-0000-0000-0000417D0000}"/>
    <cellStyle name="Normal 7 3 4 2 10" xfId="37557" xr:uid="{00000000-0005-0000-0000-0000427D0000}"/>
    <cellStyle name="Normal 7 3 4 2 2" xfId="37558" xr:uid="{00000000-0005-0000-0000-0000437D0000}"/>
    <cellStyle name="Normal 7 3 4 2 2 2" xfId="37559" xr:uid="{00000000-0005-0000-0000-0000447D0000}"/>
    <cellStyle name="Normal 7 3 4 2 2 2 2" xfId="37560" xr:uid="{00000000-0005-0000-0000-0000457D0000}"/>
    <cellStyle name="Normal 7 3 4 2 2 3" xfId="37561" xr:uid="{00000000-0005-0000-0000-0000467D0000}"/>
    <cellStyle name="Normal 7 3 4 2 2 3 2" xfId="37562" xr:uid="{00000000-0005-0000-0000-0000477D0000}"/>
    <cellStyle name="Normal 7 3 4 2 2 4" xfId="37563" xr:uid="{00000000-0005-0000-0000-0000487D0000}"/>
    <cellStyle name="Normal 7 3 4 2 2 4 2" xfId="37564" xr:uid="{00000000-0005-0000-0000-0000497D0000}"/>
    <cellStyle name="Normal 7 3 4 2 2 5" xfId="37565" xr:uid="{00000000-0005-0000-0000-00004A7D0000}"/>
    <cellStyle name="Normal 7 3 4 2 2 6" xfId="37566" xr:uid="{00000000-0005-0000-0000-00004B7D0000}"/>
    <cellStyle name="Normal 7 3 4 2 3" xfId="37567" xr:uid="{00000000-0005-0000-0000-00004C7D0000}"/>
    <cellStyle name="Normal 7 3 4 2 3 2" xfId="37568" xr:uid="{00000000-0005-0000-0000-00004D7D0000}"/>
    <cellStyle name="Normal 7 3 4 2 3 2 2" xfId="37569" xr:uid="{00000000-0005-0000-0000-00004E7D0000}"/>
    <cellStyle name="Normal 7 3 4 2 3 3" xfId="37570" xr:uid="{00000000-0005-0000-0000-00004F7D0000}"/>
    <cellStyle name="Normal 7 3 4 2 3 3 2" xfId="37571" xr:uid="{00000000-0005-0000-0000-0000507D0000}"/>
    <cellStyle name="Normal 7 3 4 2 3 4" xfId="37572" xr:uid="{00000000-0005-0000-0000-0000517D0000}"/>
    <cellStyle name="Normal 7 3 4 2 3 4 2" xfId="37573" xr:uid="{00000000-0005-0000-0000-0000527D0000}"/>
    <cellStyle name="Normal 7 3 4 2 3 5" xfId="37574" xr:uid="{00000000-0005-0000-0000-0000537D0000}"/>
    <cellStyle name="Normal 7 3 4 2 3 6" xfId="37575" xr:uid="{00000000-0005-0000-0000-0000547D0000}"/>
    <cellStyle name="Normal 7 3 4 2 4" xfId="37576" xr:uid="{00000000-0005-0000-0000-0000557D0000}"/>
    <cellStyle name="Normal 7 3 4 2 4 2" xfId="37577" xr:uid="{00000000-0005-0000-0000-0000567D0000}"/>
    <cellStyle name="Normal 7 3 4 2 4 2 2" xfId="37578" xr:uid="{00000000-0005-0000-0000-0000577D0000}"/>
    <cellStyle name="Normal 7 3 4 2 4 3" xfId="37579" xr:uid="{00000000-0005-0000-0000-0000587D0000}"/>
    <cellStyle name="Normal 7 3 4 2 4 3 2" xfId="37580" xr:uid="{00000000-0005-0000-0000-0000597D0000}"/>
    <cellStyle name="Normal 7 3 4 2 4 4" xfId="37581" xr:uid="{00000000-0005-0000-0000-00005A7D0000}"/>
    <cellStyle name="Normal 7 3 4 2 4 4 2" xfId="37582" xr:uid="{00000000-0005-0000-0000-00005B7D0000}"/>
    <cellStyle name="Normal 7 3 4 2 4 5" xfId="37583" xr:uid="{00000000-0005-0000-0000-00005C7D0000}"/>
    <cellStyle name="Normal 7 3 4 2 4 6" xfId="37584" xr:uid="{00000000-0005-0000-0000-00005D7D0000}"/>
    <cellStyle name="Normal 7 3 4 2 5" xfId="37585" xr:uid="{00000000-0005-0000-0000-00005E7D0000}"/>
    <cellStyle name="Normal 7 3 4 2 5 2" xfId="37586" xr:uid="{00000000-0005-0000-0000-00005F7D0000}"/>
    <cellStyle name="Normal 7 3 4 2 5 2 2" xfId="37587" xr:uid="{00000000-0005-0000-0000-0000607D0000}"/>
    <cellStyle name="Normal 7 3 4 2 5 3" xfId="37588" xr:uid="{00000000-0005-0000-0000-0000617D0000}"/>
    <cellStyle name="Normal 7 3 4 2 5 3 2" xfId="37589" xr:uid="{00000000-0005-0000-0000-0000627D0000}"/>
    <cellStyle name="Normal 7 3 4 2 5 4" xfId="37590" xr:uid="{00000000-0005-0000-0000-0000637D0000}"/>
    <cellStyle name="Normal 7 3 4 2 5 5" xfId="37591" xr:uid="{00000000-0005-0000-0000-0000647D0000}"/>
    <cellStyle name="Normal 7 3 4 2 6" xfId="37592" xr:uid="{00000000-0005-0000-0000-0000657D0000}"/>
    <cellStyle name="Normal 7 3 4 2 6 2" xfId="37593" xr:uid="{00000000-0005-0000-0000-0000667D0000}"/>
    <cellStyle name="Normal 7 3 4 2 7" xfId="37594" xr:uid="{00000000-0005-0000-0000-0000677D0000}"/>
    <cellStyle name="Normal 7 3 4 2 7 2" xfId="37595" xr:uid="{00000000-0005-0000-0000-0000687D0000}"/>
    <cellStyle name="Normal 7 3 4 2 8" xfId="37596" xr:uid="{00000000-0005-0000-0000-0000697D0000}"/>
    <cellStyle name="Normal 7 3 4 2 8 2" xfId="37597" xr:uid="{00000000-0005-0000-0000-00006A7D0000}"/>
    <cellStyle name="Normal 7 3 4 2 9" xfId="37598" xr:uid="{00000000-0005-0000-0000-00006B7D0000}"/>
    <cellStyle name="Normal 7 3 4 3" xfId="37599" xr:uid="{00000000-0005-0000-0000-00006C7D0000}"/>
    <cellStyle name="Normal 7 3 4 3 10" xfId="37600" xr:uid="{00000000-0005-0000-0000-00006D7D0000}"/>
    <cellStyle name="Normal 7 3 4 3 2" xfId="37601" xr:uid="{00000000-0005-0000-0000-00006E7D0000}"/>
    <cellStyle name="Normal 7 3 4 3 2 2" xfId="37602" xr:uid="{00000000-0005-0000-0000-00006F7D0000}"/>
    <cellStyle name="Normal 7 3 4 3 2 2 2" xfId="37603" xr:uid="{00000000-0005-0000-0000-0000707D0000}"/>
    <cellStyle name="Normal 7 3 4 3 2 3" xfId="37604" xr:uid="{00000000-0005-0000-0000-0000717D0000}"/>
    <cellStyle name="Normal 7 3 4 3 2 3 2" xfId="37605" xr:uid="{00000000-0005-0000-0000-0000727D0000}"/>
    <cellStyle name="Normal 7 3 4 3 2 4" xfId="37606" xr:uid="{00000000-0005-0000-0000-0000737D0000}"/>
    <cellStyle name="Normal 7 3 4 3 2 4 2" xfId="37607" xr:uid="{00000000-0005-0000-0000-0000747D0000}"/>
    <cellStyle name="Normal 7 3 4 3 2 5" xfId="37608" xr:uid="{00000000-0005-0000-0000-0000757D0000}"/>
    <cellStyle name="Normal 7 3 4 3 2 6" xfId="37609" xr:uid="{00000000-0005-0000-0000-0000767D0000}"/>
    <cellStyle name="Normal 7 3 4 3 3" xfId="37610" xr:uid="{00000000-0005-0000-0000-0000777D0000}"/>
    <cellStyle name="Normal 7 3 4 3 3 2" xfId="37611" xr:uid="{00000000-0005-0000-0000-0000787D0000}"/>
    <cellStyle name="Normal 7 3 4 3 3 2 2" xfId="37612" xr:uid="{00000000-0005-0000-0000-0000797D0000}"/>
    <cellStyle name="Normal 7 3 4 3 3 3" xfId="37613" xr:uid="{00000000-0005-0000-0000-00007A7D0000}"/>
    <cellStyle name="Normal 7 3 4 3 3 3 2" xfId="37614" xr:uid="{00000000-0005-0000-0000-00007B7D0000}"/>
    <cellStyle name="Normal 7 3 4 3 3 4" xfId="37615" xr:uid="{00000000-0005-0000-0000-00007C7D0000}"/>
    <cellStyle name="Normal 7 3 4 3 3 4 2" xfId="37616" xr:uid="{00000000-0005-0000-0000-00007D7D0000}"/>
    <cellStyle name="Normal 7 3 4 3 3 5" xfId="37617" xr:uid="{00000000-0005-0000-0000-00007E7D0000}"/>
    <cellStyle name="Normal 7 3 4 3 3 6" xfId="37618" xr:uid="{00000000-0005-0000-0000-00007F7D0000}"/>
    <cellStyle name="Normal 7 3 4 3 4" xfId="37619" xr:uid="{00000000-0005-0000-0000-0000807D0000}"/>
    <cellStyle name="Normal 7 3 4 3 4 2" xfId="37620" xr:uid="{00000000-0005-0000-0000-0000817D0000}"/>
    <cellStyle name="Normal 7 3 4 3 4 2 2" xfId="37621" xr:uid="{00000000-0005-0000-0000-0000827D0000}"/>
    <cellStyle name="Normal 7 3 4 3 4 3" xfId="37622" xr:uid="{00000000-0005-0000-0000-0000837D0000}"/>
    <cellStyle name="Normal 7 3 4 3 4 3 2" xfId="37623" xr:uid="{00000000-0005-0000-0000-0000847D0000}"/>
    <cellStyle name="Normal 7 3 4 3 4 4" xfId="37624" xr:uid="{00000000-0005-0000-0000-0000857D0000}"/>
    <cellStyle name="Normal 7 3 4 3 4 4 2" xfId="37625" xr:uid="{00000000-0005-0000-0000-0000867D0000}"/>
    <cellStyle name="Normal 7 3 4 3 4 5" xfId="37626" xr:uid="{00000000-0005-0000-0000-0000877D0000}"/>
    <cellStyle name="Normal 7 3 4 3 4 6" xfId="37627" xr:uid="{00000000-0005-0000-0000-0000887D0000}"/>
    <cellStyle name="Normal 7 3 4 3 5" xfId="37628" xr:uid="{00000000-0005-0000-0000-0000897D0000}"/>
    <cellStyle name="Normal 7 3 4 3 5 2" xfId="37629" xr:uid="{00000000-0005-0000-0000-00008A7D0000}"/>
    <cellStyle name="Normal 7 3 4 3 5 2 2" xfId="37630" xr:uid="{00000000-0005-0000-0000-00008B7D0000}"/>
    <cellStyle name="Normal 7 3 4 3 5 3" xfId="37631" xr:uid="{00000000-0005-0000-0000-00008C7D0000}"/>
    <cellStyle name="Normal 7 3 4 3 5 3 2" xfId="37632" xr:uid="{00000000-0005-0000-0000-00008D7D0000}"/>
    <cellStyle name="Normal 7 3 4 3 5 4" xfId="37633" xr:uid="{00000000-0005-0000-0000-00008E7D0000}"/>
    <cellStyle name="Normal 7 3 4 3 5 5" xfId="37634" xr:uid="{00000000-0005-0000-0000-00008F7D0000}"/>
    <cellStyle name="Normal 7 3 4 3 6" xfId="37635" xr:uid="{00000000-0005-0000-0000-0000907D0000}"/>
    <cellStyle name="Normal 7 3 4 3 6 2" xfId="37636" xr:uid="{00000000-0005-0000-0000-0000917D0000}"/>
    <cellStyle name="Normal 7 3 4 3 7" xfId="37637" xr:uid="{00000000-0005-0000-0000-0000927D0000}"/>
    <cellStyle name="Normal 7 3 4 3 7 2" xfId="37638" xr:uid="{00000000-0005-0000-0000-0000937D0000}"/>
    <cellStyle name="Normal 7 3 4 3 8" xfId="37639" xr:uid="{00000000-0005-0000-0000-0000947D0000}"/>
    <cellStyle name="Normal 7 3 4 3 8 2" xfId="37640" xr:uid="{00000000-0005-0000-0000-0000957D0000}"/>
    <cellStyle name="Normal 7 3 4 3 9" xfId="37641" xr:uid="{00000000-0005-0000-0000-0000967D0000}"/>
    <cellStyle name="Normal 7 3 4 4" xfId="37642" xr:uid="{00000000-0005-0000-0000-0000977D0000}"/>
    <cellStyle name="Normal 7 3 4 4 2" xfId="37643" xr:uid="{00000000-0005-0000-0000-0000987D0000}"/>
    <cellStyle name="Normal 7 3 4 4 2 2" xfId="37644" xr:uid="{00000000-0005-0000-0000-0000997D0000}"/>
    <cellStyle name="Normal 7 3 4 4 3" xfId="37645" xr:uid="{00000000-0005-0000-0000-00009A7D0000}"/>
    <cellStyle name="Normal 7 3 4 4 3 2" xfId="37646" xr:uid="{00000000-0005-0000-0000-00009B7D0000}"/>
    <cellStyle name="Normal 7 3 4 4 4" xfId="37647" xr:uid="{00000000-0005-0000-0000-00009C7D0000}"/>
    <cellStyle name="Normal 7 3 4 4 4 2" xfId="37648" xr:uid="{00000000-0005-0000-0000-00009D7D0000}"/>
    <cellStyle name="Normal 7 3 4 4 5" xfId="37649" xr:uid="{00000000-0005-0000-0000-00009E7D0000}"/>
    <cellStyle name="Normal 7 3 4 4 6" xfId="37650" xr:uid="{00000000-0005-0000-0000-00009F7D0000}"/>
    <cellStyle name="Normal 7 3 4 5" xfId="37651" xr:uid="{00000000-0005-0000-0000-0000A07D0000}"/>
    <cellStyle name="Normal 7 3 4 5 2" xfId="37652" xr:uid="{00000000-0005-0000-0000-0000A17D0000}"/>
    <cellStyle name="Normal 7 3 4 5 2 2" xfId="37653" xr:uid="{00000000-0005-0000-0000-0000A27D0000}"/>
    <cellStyle name="Normal 7 3 4 5 3" xfId="37654" xr:uid="{00000000-0005-0000-0000-0000A37D0000}"/>
    <cellStyle name="Normal 7 3 4 5 3 2" xfId="37655" xr:uid="{00000000-0005-0000-0000-0000A47D0000}"/>
    <cellStyle name="Normal 7 3 4 5 4" xfId="37656" xr:uid="{00000000-0005-0000-0000-0000A57D0000}"/>
    <cellStyle name="Normal 7 3 4 5 4 2" xfId="37657" xr:uid="{00000000-0005-0000-0000-0000A67D0000}"/>
    <cellStyle name="Normal 7 3 4 5 5" xfId="37658" xr:uid="{00000000-0005-0000-0000-0000A77D0000}"/>
    <cellStyle name="Normal 7 3 4 5 6" xfId="37659" xr:uid="{00000000-0005-0000-0000-0000A87D0000}"/>
    <cellStyle name="Normal 7 3 4 6" xfId="37660" xr:uid="{00000000-0005-0000-0000-0000A97D0000}"/>
    <cellStyle name="Normal 7 3 4 6 2" xfId="37661" xr:uid="{00000000-0005-0000-0000-0000AA7D0000}"/>
    <cellStyle name="Normal 7 3 4 6 2 2" xfId="37662" xr:uid="{00000000-0005-0000-0000-0000AB7D0000}"/>
    <cellStyle name="Normal 7 3 4 6 3" xfId="37663" xr:uid="{00000000-0005-0000-0000-0000AC7D0000}"/>
    <cellStyle name="Normal 7 3 4 6 3 2" xfId="37664" xr:uid="{00000000-0005-0000-0000-0000AD7D0000}"/>
    <cellStyle name="Normal 7 3 4 6 4" xfId="37665" xr:uid="{00000000-0005-0000-0000-0000AE7D0000}"/>
    <cellStyle name="Normal 7 3 4 6 4 2" xfId="37666" xr:uid="{00000000-0005-0000-0000-0000AF7D0000}"/>
    <cellStyle name="Normal 7 3 4 6 5" xfId="37667" xr:uid="{00000000-0005-0000-0000-0000B07D0000}"/>
    <cellStyle name="Normal 7 3 4 6 6" xfId="37668" xr:uid="{00000000-0005-0000-0000-0000B17D0000}"/>
    <cellStyle name="Normal 7 3 4 7" xfId="37669" xr:uid="{00000000-0005-0000-0000-0000B27D0000}"/>
    <cellStyle name="Normal 7 3 4 7 2" xfId="37670" xr:uid="{00000000-0005-0000-0000-0000B37D0000}"/>
    <cellStyle name="Normal 7 3 4 7 2 2" xfId="37671" xr:uid="{00000000-0005-0000-0000-0000B47D0000}"/>
    <cellStyle name="Normal 7 3 4 7 3" xfId="37672" xr:uid="{00000000-0005-0000-0000-0000B57D0000}"/>
    <cellStyle name="Normal 7 3 4 7 3 2" xfId="37673" xr:uid="{00000000-0005-0000-0000-0000B67D0000}"/>
    <cellStyle name="Normal 7 3 4 7 4" xfId="37674" xr:uid="{00000000-0005-0000-0000-0000B77D0000}"/>
    <cellStyle name="Normal 7 3 4 7 5" xfId="37675" xr:uid="{00000000-0005-0000-0000-0000B87D0000}"/>
    <cellStyle name="Normal 7 3 4 8" xfId="37676" xr:uid="{00000000-0005-0000-0000-0000B97D0000}"/>
    <cellStyle name="Normal 7 3 4 8 2" xfId="37677" xr:uid="{00000000-0005-0000-0000-0000BA7D0000}"/>
    <cellStyle name="Normal 7 3 4 9" xfId="37678" xr:uid="{00000000-0005-0000-0000-0000BB7D0000}"/>
    <cellStyle name="Normal 7 3 4 9 2" xfId="37679" xr:uid="{00000000-0005-0000-0000-0000BC7D0000}"/>
    <cellStyle name="Normal 7 3 5" xfId="37680" xr:uid="{00000000-0005-0000-0000-0000BD7D0000}"/>
    <cellStyle name="Normal 7 3 5 10" xfId="37681" xr:uid="{00000000-0005-0000-0000-0000BE7D0000}"/>
    <cellStyle name="Normal 7 3 5 11" xfId="37682" xr:uid="{00000000-0005-0000-0000-0000BF7D0000}"/>
    <cellStyle name="Normal 7 3 5 2" xfId="37683" xr:uid="{00000000-0005-0000-0000-0000C07D0000}"/>
    <cellStyle name="Normal 7 3 5 2 2" xfId="37684" xr:uid="{00000000-0005-0000-0000-0000C17D0000}"/>
    <cellStyle name="Normal 7 3 5 2 2 2" xfId="37685" xr:uid="{00000000-0005-0000-0000-0000C27D0000}"/>
    <cellStyle name="Normal 7 3 5 2 3" xfId="37686" xr:uid="{00000000-0005-0000-0000-0000C37D0000}"/>
    <cellStyle name="Normal 7 3 5 2 3 2" xfId="37687" xr:uid="{00000000-0005-0000-0000-0000C47D0000}"/>
    <cellStyle name="Normal 7 3 5 2 4" xfId="37688" xr:uid="{00000000-0005-0000-0000-0000C57D0000}"/>
    <cellStyle name="Normal 7 3 5 2 4 2" xfId="37689" xr:uid="{00000000-0005-0000-0000-0000C67D0000}"/>
    <cellStyle name="Normal 7 3 5 2 5" xfId="37690" xr:uid="{00000000-0005-0000-0000-0000C77D0000}"/>
    <cellStyle name="Normal 7 3 5 2 6" xfId="37691" xr:uid="{00000000-0005-0000-0000-0000C87D0000}"/>
    <cellStyle name="Normal 7 3 5 3" xfId="37692" xr:uid="{00000000-0005-0000-0000-0000C97D0000}"/>
    <cellStyle name="Normal 7 3 5 3 2" xfId="37693" xr:uid="{00000000-0005-0000-0000-0000CA7D0000}"/>
    <cellStyle name="Normal 7 3 5 3 2 2" xfId="37694" xr:uid="{00000000-0005-0000-0000-0000CB7D0000}"/>
    <cellStyle name="Normal 7 3 5 3 3" xfId="37695" xr:uid="{00000000-0005-0000-0000-0000CC7D0000}"/>
    <cellStyle name="Normal 7 3 5 3 3 2" xfId="37696" xr:uid="{00000000-0005-0000-0000-0000CD7D0000}"/>
    <cellStyle name="Normal 7 3 5 3 4" xfId="37697" xr:uid="{00000000-0005-0000-0000-0000CE7D0000}"/>
    <cellStyle name="Normal 7 3 5 3 4 2" xfId="37698" xr:uid="{00000000-0005-0000-0000-0000CF7D0000}"/>
    <cellStyle name="Normal 7 3 5 3 5" xfId="37699" xr:uid="{00000000-0005-0000-0000-0000D07D0000}"/>
    <cellStyle name="Normal 7 3 5 3 6" xfId="37700" xr:uid="{00000000-0005-0000-0000-0000D17D0000}"/>
    <cellStyle name="Normal 7 3 5 4" xfId="37701" xr:uid="{00000000-0005-0000-0000-0000D27D0000}"/>
    <cellStyle name="Normal 7 3 5 4 2" xfId="37702" xr:uid="{00000000-0005-0000-0000-0000D37D0000}"/>
    <cellStyle name="Normal 7 3 5 4 2 2" xfId="37703" xr:uid="{00000000-0005-0000-0000-0000D47D0000}"/>
    <cellStyle name="Normal 7 3 5 4 3" xfId="37704" xr:uid="{00000000-0005-0000-0000-0000D57D0000}"/>
    <cellStyle name="Normal 7 3 5 4 3 2" xfId="37705" xr:uid="{00000000-0005-0000-0000-0000D67D0000}"/>
    <cellStyle name="Normal 7 3 5 4 4" xfId="37706" xr:uid="{00000000-0005-0000-0000-0000D77D0000}"/>
    <cellStyle name="Normal 7 3 5 4 4 2" xfId="37707" xr:uid="{00000000-0005-0000-0000-0000D87D0000}"/>
    <cellStyle name="Normal 7 3 5 4 5" xfId="37708" xr:uid="{00000000-0005-0000-0000-0000D97D0000}"/>
    <cellStyle name="Normal 7 3 5 4 6" xfId="37709" xr:uid="{00000000-0005-0000-0000-0000DA7D0000}"/>
    <cellStyle name="Normal 7 3 5 5" xfId="37710" xr:uid="{00000000-0005-0000-0000-0000DB7D0000}"/>
    <cellStyle name="Normal 7 3 5 5 2" xfId="37711" xr:uid="{00000000-0005-0000-0000-0000DC7D0000}"/>
    <cellStyle name="Normal 7 3 5 5 2 2" xfId="37712" xr:uid="{00000000-0005-0000-0000-0000DD7D0000}"/>
    <cellStyle name="Normal 7 3 5 5 3" xfId="37713" xr:uid="{00000000-0005-0000-0000-0000DE7D0000}"/>
    <cellStyle name="Normal 7 3 5 5 3 2" xfId="37714" xr:uid="{00000000-0005-0000-0000-0000DF7D0000}"/>
    <cellStyle name="Normal 7 3 5 5 4" xfId="37715" xr:uid="{00000000-0005-0000-0000-0000E07D0000}"/>
    <cellStyle name="Normal 7 3 5 5 4 2" xfId="37716" xr:uid="{00000000-0005-0000-0000-0000E17D0000}"/>
    <cellStyle name="Normal 7 3 5 5 5" xfId="37717" xr:uid="{00000000-0005-0000-0000-0000E27D0000}"/>
    <cellStyle name="Normal 7 3 5 5 6" xfId="37718" xr:uid="{00000000-0005-0000-0000-0000E37D0000}"/>
    <cellStyle name="Normal 7 3 5 6" xfId="37719" xr:uid="{00000000-0005-0000-0000-0000E47D0000}"/>
    <cellStyle name="Normal 7 3 5 6 2" xfId="37720" xr:uid="{00000000-0005-0000-0000-0000E57D0000}"/>
    <cellStyle name="Normal 7 3 5 6 2 2" xfId="37721" xr:uid="{00000000-0005-0000-0000-0000E67D0000}"/>
    <cellStyle name="Normal 7 3 5 6 3" xfId="37722" xr:uid="{00000000-0005-0000-0000-0000E77D0000}"/>
    <cellStyle name="Normal 7 3 5 6 3 2" xfId="37723" xr:uid="{00000000-0005-0000-0000-0000E87D0000}"/>
    <cellStyle name="Normal 7 3 5 6 4" xfId="37724" xr:uid="{00000000-0005-0000-0000-0000E97D0000}"/>
    <cellStyle name="Normal 7 3 5 6 5" xfId="37725" xr:uid="{00000000-0005-0000-0000-0000EA7D0000}"/>
    <cellStyle name="Normal 7 3 5 7" xfId="37726" xr:uid="{00000000-0005-0000-0000-0000EB7D0000}"/>
    <cellStyle name="Normal 7 3 5 7 2" xfId="37727" xr:uid="{00000000-0005-0000-0000-0000EC7D0000}"/>
    <cellStyle name="Normal 7 3 5 8" xfId="37728" xr:uid="{00000000-0005-0000-0000-0000ED7D0000}"/>
    <cellStyle name="Normal 7 3 5 8 2" xfId="37729" xr:uid="{00000000-0005-0000-0000-0000EE7D0000}"/>
    <cellStyle name="Normal 7 3 5 9" xfId="37730" xr:uid="{00000000-0005-0000-0000-0000EF7D0000}"/>
    <cellStyle name="Normal 7 3 5 9 2" xfId="37731" xr:uid="{00000000-0005-0000-0000-0000F07D0000}"/>
    <cellStyle name="Normal 7 3 6" xfId="37732" xr:uid="{00000000-0005-0000-0000-0000F17D0000}"/>
    <cellStyle name="Normal 7 3 6 10" xfId="37733" xr:uid="{00000000-0005-0000-0000-0000F27D0000}"/>
    <cellStyle name="Normal 7 3 6 2" xfId="37734" xr:uid="{00000000-0005-0000-0000-0000F37D0000}"/>
    <cellStyle name="Normal 7 3 6 2 2" xfId="37735" xr:uid="{00000000-0005-0000-0000-0000F47D0000}"/>
    <cellStyle name="Normal 7 3 6 2 2 2" xfId="37736" xr:uid="{00000000-0005-0000-0000-0000F57D0000}"/>
    <cellStyle name="Normal 7 3 6 2 3" xfId="37737" xr:uid="{00000000-0005-0000-0000-0000F67D0000}"/>
    <cellStyle name="Normal 7 3 6 2 3 2" xfId="37738" xr:uid="{00000000-0005-0000-0000-0000F77D0000}"/>
    <cellStyle name="Normal 7 3 6 2 4" xfId="37739" xr:uid="{00000000-0005-0000-0000-0000F87D0000}"/>
    <cellStyle name="Normal 7 3 6 2 4 2" xfId="37740" xr:uid="{00000000-0005-0000-0000-0000F97D0000}"/>
    <cellStyle name="Normal 7 3 6 2 5" xfId="37741" xr:uid="{00000000-0005-0000-0000-0000FA7D0000}"/>
    <cellStyle name="Normal 7 3 6 2 6" xfId="37742" xr:uid="{00000000-0005-0000-0000-0000FB7D0000}"/>
    <cellStyle name="Normal 7 3 6 3" xfId="37743" xr:uid="{00000000-0005-0000-0000-0000FC7D0000}"/>
    <cellStyle name="Normal 7 3 6 3 2" xfId="37744" xr:uid="{00000000-0005-0000-0000-0000FD7D0000}"/>
    <cellStyle name="Normal 7 3 6 3 2 2" xfId="37745" xr:uid="{00000000-0005-0000-0000-0000FE7D0000}"/>
    <cellStyle name="Normal 7 3 6 3 3" xfId="37746" xr:uid="{00000000-0005-0000-0000-0000FF7D0000}"/>
    <cellStyle name="Normal 7 3 6 3 3 2" xfId="37747" xr:uid="{00000000-0005-0000-0000-0000007E0000}"/>
    <cellStyle name="Normal 7 3 6 3 4" xfId="37748" xr:uid="{00000000-0005-0000-0000-0000017E0000}"/>
    <cellStyle name="Normal 7 3 6 3 4 2" xfId="37749" xr:uid="{00000000-0005-0000-0000-0000027E0000}"/>
    <cellStyle name="Normal 7 3 6 3 5" xfId="37750" xr:uid="{00000000-0005-0000-0000-0000037E0000}"/>
    <cellStyle name="Normal 7 3 6 3 6" xfId="37751" xr:uid="{00000000-0005-0000-0000-0000047E0000}"/>
    <cellStyle name="Normal 7 3 6 4" xfId="37752" xr:uid="{00000000-0005-0000-0000-0000057E0000}"/>
    <cellStyle name="Normal 7 3 6 4 2" xfId="37753" xr:uid="{00000000-0005-0000-0000-0000067E0000}"/>
    <cellStyle name="Normal 7 3 6 4 2 2" xfId="37754" xr:uid="{00000000-0005-0000-0000-0000077E0000}"/>
    <cellStyle name="Normal 7 3 6 4 3" xfId="37755" xr:uid="{00000000-0005-0000-0000-0000087E0000}"/>
    <cellStyle name="Normal 7 3 6 4 3 2" xfId="37756" xr:uid="{00000000-0005-0000-0000-0000097E0000}"/>
    <cellStyle name="Normal 7 3 6 4 4" xfId="37757" xr:uid="{00000000-0005-0000-0000-00000A7E0000}"/>
    <cellStyle name="Normal 7 3 6 4 4 2" xfId="37758" xr:uid="{00000000-0005-0000-0000-00000B7E0000}"/>
    <cellStyle name="Normal 7 3 6 4 5" xfId="37759" xr:uid="{00000000-0005-0000-0000-00000C7E0000}"/>
    <cellStyle name="Normal 7 3 6 4 6" xfId="37760" xr:uid="{00000000-0005-0000-0000-00000D7E0000}"/>
    <cellStyle name="Normal 7 3 6 5" xfId="37761" xr:uid="{00000000-0005-0000-0000-00000E7E0000}"/>
    <cellStyle name="Normal 7 3 6 5 2" xfId="37762" xr:uid="{00000000-0005-0000-0000-00000F7E0000}"/>
    <cellStyle name="Normal 7 3 6 5 2 2" xfId="37763" xr:uid="{00000000-0005-0000-0000-0000107E0000}"/>
    <cellStyle name="Normal 7 3 6 5 3" xfId="37764" xr:uid="{00000000-0005-0000-0000-0000117E0000}"/>
    <cellStyle name="Normal 7 3 6 5 3 2" xfId="37765" xr:uid="{00000000-0005-0000-0000-0000127E0000}"/>
    <cellStyle name="Normal 7 3 6 5 4" xfId="37766" xr:uid="{00000000-0005-0000-0000-0000137E0000}"/>
    <cellStyle name="Normal 7 3 6 5 5" xfId="37767" xr:uid="{00000000-0005-0000-0000-0000147E0000}"/>
    <cellStyle name="Normal 7 3 6 6" xfId="37768" xr:uid="{00000000-0005-0000-0000-0000157E0000}"/>
    <cellStyle name="Normal 7 3 6 6 2" xfId="37769" xr:uid="{00000000-0005-0000-0000-0000167E0000}"/>
    <cellStyle name="Normal 7 3 6 7" xfId="37770" xr:uid="{00000000-0005-0000-0000-0000177E0000}"/>
    <cellStyle name="Normal 7 3 6 7 2" xfId="37771" xr:uid="{00000000-0005-0000-0000-0000187E0000}"/>
    <cellStyle name="Normal 7 3 6 8" xfId="37772" xr:uid="{00000000-0005-0000-0000-0000197E0000}"/>
    <cellStyle name="Normal 7 3 6 8 2" xfId="37773" xr:uid="{00000000-0005-0000-0000-00001A7E0000}"/>
    <cellStyle name="Normal 7 3 6 9" xfId="37774" xr:uid="{00000000-0005-0000-0000-00001B7E0000}"/>
    <cellStyle name="Normal 7 3 7" xfId="37775" xr:uid="{00000000-0005-0000-0000-00001C7E0000}"/>
    <cellStyle name="Normal 7 3 7 10" xfId="37776" xr:uid="{00000000-0005-0000-0000-00001D7E0000}"/>
    <cellStyle name="Normal 7 3 7 2" xfId="37777" xr:uid="{00000000-0005-0000-0000-00001E7E0000}"/>
    <cellStyle name="Normal 7 3 7 2 2" xfId="37778" xr:uid="{00000000-0005-0000-0000-00001F7E0000}"/>
    <cellStyle name="Normal 7 3 7 2 2 2" xfId="37779" xr:uid="{00000000-0005-0000-0000-0000207E0000}"/>
    <cellStyle name="Normal 7 3 7 2 3" xfId="37780" xr:uid="{00000000-0005-0000-0000-0000217E0000}"/>
    <cellStyle name="Normal 7 3 7 2 3 2" xfId="37781" xr:uid="{00000000-0005-0000-0000-0000227E0000}"/>
    <cellStyle name="Normal 7 3 7 2 4" xfId="37782" xr:uid="{00000000-0005-0000-0000-0000237E0000}"/>
    <cellStyle name="Normal 7 3 7 2 4 2" xfId="37783" xr:uid="{00000000-0005-0000-0000-0000247E0000}"/>
    <cellStyle name="Normal 7 3 7 2 5" xfId="37784" xr:uid="{00000000-0005-0000-0000-0000257E0000}"/>
    <cellStyle name="Normal 7 3 7 2 6" xfId="37785" xr:uid="{00000000-0005-0000-0000-0000267E0000}"/>
    <cellStyle name="Normal 7 3 7 3" xfId="37786" xr:uid="{00000000-0005-0000-0000-0000277E0000}"/>
    <cellStyle name="Normal 7 3 7 3 2" xfId="37787" xr:uid="{00000000-0005-0000-0000-0000287E0000}"/>
    <cellStyle name="Normal 7 3 7 3 2 2" xfId="37788" xr:uid="{00000000-0005-0000-0000-0000297E0000}"/>
    <cellStyle name="Normal 7 3 7 3 3" xfId="37789" xr:uid="{00000000-0005-0000-0000-00002A7E0000}"/>
    <cellStyle name="Normal 7 3 7 3 3 2" xfId="37790" xr:uid="{00000000-0005-0000-0000-00002B7E0000}"/>
    <cellStyle name="Normal 7 3 7 3 4" xfId="37791" xr:uid="{00000000-0005-0000-0000-00002C7E0000}"/>
    <cellStyle name="Normal 7 3 7 3 4 2" xfId="37792" xr:uid="{00000000-0005-0000-0000-00002D7E0000}"/>
    <cellStyle name="Normal 7 3 7 3 5" xfId="37793" xr:uid="{00000000-0005-0000-0000-00002E7E0000}"/>
    <cellStyle name="Normal 7 3 7 3 6" xfId="37794" xr:uid="{00000000-0005-0000-0000-00002F7E0000}"/>
    <cellStyle name="Normal 7 3 7 4" xfId="37795" xr:uid="{00000000-0005-0000-0000-0000307E0000}"/>
    <cellStyle name="Normal 7 3 7 4 2" xfId="37796" xr:uid="{00000000-0005-0000-0000-0000317E0000}"/>
    <cellStyle name="Normal 7 3 7 4 2 2" xfId="37797" xr:uid="{00000000-0005-0000-0000-0000327E0000}"/>
    <cellStyle name="Normal 7 3 7 4 3" xfId="37798" xr:uid="{00000000-0005-0000-0000-0000337E0000}"/>
    <cellStyle name="Normal 7 3 7 4 3 2" xfId="37799" xr:uid="{00000000-0005-0000-0000-0000347E0000}"/>
    <cellStyle name="Normal 7 3 7 4 4" xfId="37800" xr:uid="{00000000-0005-0000-0000-0000357E0000}"/>
    <cellStyle name="Normal 7 3 7 4 4 2" xfId="37801" xr:uid="{00000000-0005-0000-0000-0000367E0000}"/>
    <cellStyle name="Normal 7 3 7 4 5" xfId="37802" xr:uid="{00000000-0005-0000-0000-0000377E0000}"/>
    <cellStyle name="Normal 7 3 7 4 6" xfId="37803" xr:uid="{00000000-0005-0000-0000-0000387E0000}"/>
    <cellStyle name="Normal 7 3 7 5" xfId="37804" xr:uid="{00000000-0005-0000-0000-0000397E0000}"/>
    <cellStyle name="Normal 7 3 7 5 2" xfId="37805" xr:uid="{00000000-0005-0000-0000-00003A7E0000}"/>
    <cellStyle name="Normal 7 3 7 5 2 2" xfId="37806" xr:uid="{00000000-0005-0000-0000-00003B7E0000}"/>
    <cellStyle name="Normal 7 3 7 5 3" xfId="37807" xr:uid="{00000000-0005-0000-0000-00003C7E0000}"/>
    <cellStyle name="Normal 7 3 7 5 3 2" xfId="37808" xr:uid="{00000000-0005-0000-0000-00003D7E0000}"/>
    <cellStyle name="Normal 7 3 7 5 4" xfId="37809" xr:uid="{00000000-0005-0000-0000-00003E7E0000}"/>
    <cellStyle name="Normal 7 3 7 5 5" xfId="37810" xr:uid="{00000000-0005-0000-0000-00003F7E0000}"/>
    <cellStyle name="Normal 7 3 7 6" xfId="37811" xr:uid="{00000000-0005-0000-0000-0000407E0000}"/>
    <cellStyle name="Normal 7 3 7 6 2" xfId="37812" xr:uid="{00000000-0005-0000-0000-0000417E0000}"/>
    <cellStyle name="Normal 7 3 7 7" xfId="37813" xr:uid="{00000000-0005-0000-0000-0000427E0000}"/>
    <cellStyle name="Normal 7 3 7 7 2" xfId="37814" xr:uid="{00000000-0005-0000-0000-0000437E0000}"/>
    <cellStyle name="Normal 7 3 7 8" xfId="37815" xr:uid="{00000000-0005-0000-0000-0000447E0000}"/>
    <cellStyle name="Normal 7 3 7 8 2" xfId="37816" xr:uid="{00000000-0005-0000-0000-0000457E0000}"/>
    <cellStyle name="Normal 7 3 7 9" xfId="37817" xr:uid="{00000000-0005-0000-0000-0000467E0000}"/>
    <cellStyle name="Normal 7 3 8" xfId="37818" xr:uid="{00000000-0005-0000-0000-0000477E0000}"/>
    <cellStyle name="Normal 7 3 8 2" xfId="37819" xr:uid="{00000000-0005-0000-0000-0000487E0000}"/>
    <cellStyle name="Normal 7 3 8 2 2" xfId="37820" xr:uid="{00000000-0005-0000-0000-0000497E0000}"/>
    <cellStyle name="Normal 7 3 8 3" xfId="37821" xr:uid="{00000000-0005-0000-0000-00004A7E0000}"/>
    <cellStyle name="Normal 7 3 8 3 2" xfId="37822" xr:uid="{00000000-0005-0000-0000-00004B7E0000}"/>
    <cellStyle name="Normal 7 3 8 4" xfId="37823" xr:uid="{00000000-0005-0000-0000-00004C7E0000}"/>
    <cellStyle name="Normal 7 3 8 4 2" xfId="37824" xr:uid="{00000000-0005-0000-0000-00004D7E0000}"/>
    <cellStyle name="Normal 7 3 8 5" xfId="37825" xr:uid="{00000000-0005-0000-0000-00004E7E0000}"/>
    <cellStyle name="Normal 7 3 8 6" xfId="37826" xr:uid="{00000000-0005-0000-0000-00004F7E0000}"/>
    <cellStyle name="Normal 7 3 9" xfId="37827" xr:uid="{00000000-0005-0000-0000-0000507E0000}"/>
    <cellStyle name="Normal 7 3 9 2" xfId="37828" xr:uid="{00000000-0005-0000-0000-0000517E0000}"/>
    <cellStyle name="Normal 7 3 9 2 2" xfId="37829" xr:uid="{00000000-0005-0000-0000-0000527E0000}"/>
    <cellStyle name="Normal 7 3 9 3" xfId="37830" xr:uid="{00000000-0005-0000-0000-0000537E0000}"/>
    <cellStyle name="Normal 7 3 9 3 2" xfId="37831" xr:uid="{00000000-0005-0000-0000-0000547E0000}"/>
    <cellStyle name="Normal 7 3 9 4" xfId="37832" xr:uid="{00000000-0005-0000-0000-0000557E0000}"/>
    <cellStyle name="Normal 7 3 9 4 2" xfId="37833" xr:uid="{00000000-0005-0000-0000-0000567E0000}"/>
    <cellStyle name="Normal 7 3 9 5" xfId="37834" xr:uid="{00000000-0005-0000-0000-0000577E0000}"/>
    <cellStyle name="Normal 7 3 9 6" xfId="37835" xr:uid="{00000000-0005-0000-0000-0000587E0000}"/>
    <cellStyle name="Normal 7 4" xfId="12194" xr:uid="{00000000-0005-0000-0000-0000597E0000}"/>
    <cellStyle name="Normal 7 4 10" xfId="37837" xr:uid="{00000000-0005-0000-0000-00005A7E0000}"/>
    <cellStyle name="Normal 7 4 10 2" xfId="37838" xr:uid="{00000000-0005-0000-0000-00005B7E0000}"/>
    <cellStyle name="Normal 7 4 11" xfId="37839" xr:uid="{00000000-0005-0000-0000-00005C7E0000}"/>
    <cellStyle name="Normal 7 4 11 2" xfId="37840" xr:uid="{00000000-0005-0000-0000-00005D7E0000}"/>
    <cellStyle name="Normal 7 4 12" xfId="37841" xr:uid="{00000000-0005-0000-0000-00005E7E0000}"/>
    <cellStyle name="Normal 7 4 13" xfId="37842" xr:uid="{00000000-0005-0000-0000-00005F7E0000}"/>
    <cellStyle name="Normal 7 4 14" xfId="37836" xr:uid="{00000000-0005-0000-0000-0000607E0000}"/>
    <cellStyle name="Normal 7 4 2" xfId="12195" xr:uid="{00000000-0005-0000-0000-0000617E0000}"/>
    <cellStyle name="Normal 7 4 2 10" xfId="37844" xr:uid="{00000000-0005-0000-0000-0000627E0000}"/>
    <cellStyle name="Normal 7 4 2 11" xfId="37845" xr:uid="{00000000-0005-0000-0000-0000637E0000}"/>
    <cellStyle name="Normal 7 4 2 12" xfId="37843" xr:uid="{00000000-0005-0000-0000-0000647E0000}"/>
    <cellStyle name="Normal 7 4 2 2" xfId="12196" xr:uid="{00000000-0005-0000-0000-0000657E0000}"/>
    <cellStyle name="Normal 7 4 2 2 2" xfId="37847" xr:uid="{00000000-0005-0000-0000-0000667E0000}"/>
    <cellStyle name="Normal 7 4 2 2 2 2" xfId="37848" xr:uid="{00000000-0005-0000-0000-0000677E0000}"/>
    <cellStyle name="Normal 7 4 2 2 3" xfId="37849" xr:uid="{00000000-0005-0000-0000-0000687E0000}"/>
    <cellStyle name="Normal 7 4 2 2 3 2" xfId="37850" xr:uid="{00000000-0005-0000-0000-0000697E0000}"/>
    <cellStyle name="Normal 7 4 2 2 4" xfId="37851" xr:uid="{00000000-0005-0000-0000-00006A7E0000}"/>
    <cellStyle name="Normal 7 4 2 2 4 2" xfId="37852" xr:uid="{00000000-0005-0000-0000-00006B7E0000}"/>
    <cellStyle name="Normal 7 4 2 2 5" xfId="37853" xr:uid="{00000000-0005-0000-0000-00006C7E0000}"/>
    <cellStyle name="Normal 7 4 2 2 6" xfId="37854" xr:uid="{00000000-0005-0000-0000-00006D7E0000}"/>
    <cellStyle name="Normal 7 4 2 2 7" xfId="37846" xr:uid="{00000000-0005-0000-0000-00006E7E0000}"/>
    <cellStyle name="Normal 7 4 2 3" xfId="37855" xr:uid="{00000000-0005-0000-0000-00006F7E0000}"/>
    <cellStyle name="Normal 7 4 2 3 2" xfId="37856" xr:uid="{00000000-0005-0000-0000-0000707E0000}"/>
    <cellStyle name="Normal 7 4 2 3 2 2" xfId="37857" xr:uid="{00000000-0005-0000-0000-0000717E0000}"/>
    <cellStyle name="Normal 7 4 2 3 3" xfId="37858" xr:uid="{00000000-0005-0000-0000-0000727E0000}"/>
    <cellStyle name="Normal 7 4 2 3 3 2" xfId="37859" xr:uid="{00000000-0005-0000-0000-0000737E0000}"/>
    <cellStyle name="Normal 7 4 2 3 4" xfId="37860" xr:uid="{00000000-0005-0000-0000-0000747E0000}"/>
    <cellStyle name="Normal 7 4 2 3 4 2" xfId="37861" xr:uid="{00000000-0005-0000-0000-0000757E0000}"/>
    <cellStyle name="Normal 7 4 2 3 5" xfId="37862" xr:uid="{00000000-0005-0000-0000-0000767E0000}"/>
    <cellStyle name="Normal 7 4 2 3 6" xfId="37863" xr:uid="{00000000-0005-0000-0000-0000777E0000}"/>
    <cellStyle name="Normal 7 4 2 4" xfId="37864" xr:uid="{00000000-0005-0000-0000-0000787E0000}"/>
    <cellStyle name="Normal 7 4 2 4 2" xfId="37865" xr:uid="{00000000-0005-0000-0000-0000797E0000}"/>
    <cellStyle name="Normal 7 4 2 4 2 2" xfId="37866" xr:uid="{00000000-0005-0000-0000-00007A7E0000}"/>
    <cellStyle name="Normal 7 4 2 4 3" xfId="37867" xr:uid="{00000000-0005-0000-0000-00007B7E0000}"/>
    <cellStyle name="Normal 7 4 2 4 3 2" xfId="37868" xr:uid="{00000000-0005-0000-0000-00007C7E0000}"/>
    <cellStyle name="Normal 7 4 2 4 4" xfId="37869" xr:uid="{00000000-0005-0000-0000-00007D7E0000}"/>
    <cellStyle name="Normal 7 4 2 4 4 2" xfId="37870" xr:uid="{00000000-0005-0000-0000-00007E7E0000}"/>
    <cellStyle name="Normal 7 4 2 4 5" xfId="37871" xr:uid="{00000000-0005-0000-0000-00007F7E0000}"/>
    <cellStyle name="Normal 7 4 2 4 6" xfId="37872" xr:uid="{00000000-0005-0000-0000-0000807E0000}"/>
    <cellStyle name="Normal 7 4 2 5" xfId="37873" xr:uid="{00000000-0005-0000-0000-0000817E0000}"/>
    <cellStyle name="Normal 7 4 2 5 2" xfId="37874" xr:uid="{00000000-0005-0000-0000-0000827E0000}"/>
    <cellStyle name="Normal 7 4 2 5 2 2" xfId="37875" xr:uid="{00000000-0005-0000-0000-0000837E0000}"/>
    <cellStyle name="Normal 7 4 2 5 3" xfId="37876" xr:uid="{00000000-0005-0000-0000-0000847E0000}"/>
    <cellStyle name="Normal 7 4 2 5 3 2" xfId="37877" xr:uid="{00000000-0005-0000-0000-0000857E0000}"/>
    <cellStyle name="Normal 7 4 2 5 4" xfId="37878" xr:uid="{00000000-0005-0000-0000-0000867E0000}"/>
    <cellStyle name="Normal 7 4 2 5 4 2" xfId="37879" xr:uid="{00000000-0005-0000-0000-0000877E0000}"/>
    <cellStyle name="Normal 7 4 2 5 5" xfId="37880" xr:uid="{00000000-0005-0000-0000-0000887E0000}"/>
    <cellStyle name="Normal 7 4 2 5 6" xfId="37881" xr:uid="{00000000-0005-0000-0000-0000897E0000}"/>
    <cellStyle name="Normal 7 4 2 6" xfId="37882" xr:uid="{00000000-0005-0000-0000-00008A7E0000}"/>
    <cellStyle name="Normal 7 4 2 6 2" xfId="37883" xr:uid="{00000000-0005-0000-0000-00008B7E0000}"/>
    <cellStyle name="Normal 7 4 2 6 2 2" xfId="37884" xr:uid="{00000000-0005-0000-0000-00008C7E0000}"/>
    <cellStyle name="Normal 7 4 2 6 3" xfId="37885" xr:uid="{00000000-0005-0000-0000-00008D7E0000}"/>
    <cellStyle name="Normal 7 4 2 6 3 2" xfId="37886" xr:uid="{00000000-0005-0000-0000-00008E7E0000}"/>
    <cellStyle name="Normal 7 4 2 6 4" xfId="37887" xr:uid="{00000000-0005-0000-0000-00008F7E0000}"/>
    <cellStyle name="Normal 7 4 2 6 5" xfId="37888" xr:uid="{00000000-0005-0000-0000-0000907E0000}"/>
    <cellStyle name="Normal 7 4 2 7" xfId="37889" xr:uid="{00000000-0005-0000-0000-0000917E0000}"/>
    <cellStyle name="Normal 7 4 2 7 2" xfId="37890" xr:uid="{00000000-0005-0000-0000-0000927E0000}"/>
    <cellStyle name="Normal 7 4 2 8" xfId="37891" xr:uid="{00000000-0005-0000-0000-0000937E0000}"/>
    <cellStyle name="Normal 7 4 2 8 2" xfId="37892" xr:uid="{00000000-0005-0000-0000-0000947E0000}"/>
    <cellStyle name="Normal 7 4 2 9" xfId="37893" xr:uid="{00000000-0005-0000-0000-0000957E0000}"/>
    <cellStyle name="Normal 7 4 2 9 2" xfId="37894" xr:uid="{00000000-0005-0000-0000-0000967E0000}"/>
    <cellStyle name="Normal 7 4 3" xfId="12197" xr:uid="{00000000-0005-0000-0000-0000977E0000}"/>
    <cellStyle name="Normal 7 4 3 10" xfId="37896" xr:uid="{00000000-0005-0000-0000-0000987E0000}"/>
    <cellStyle name="Normal 7 4 3 11" xfId="37895" xr:uid="{00000000-0005-0000-0000-0000997E0000}"/>
    <cellStyle name="Normal 7 4 3 2" xfId="37897" xr:uid="{00000000-0005-0000-0000-00009A7E0000}"/>
    <cellStyle name="Normal 7 4 3 2 2" xfId="37898" xr:uid="{00000000-0005-0000-0000-00009B7E0000}"/>
    <cellStyle name="Normal 7 4 3 2 2 2" xfId="37899" xr:uid="{00000000-0005-0000-0000-00009C7E0000}"/>
    <cellStyle name="Normal 7 4 3 2 3" xfId="37900" xr:uid="{00000000-0005-0000-0000-00009D7E0000}"/>
    <cellStyle name="Normal 7 4 3 2 3 2" xfId="37901" xr:uid="{00000000-0005-0000-0000-00009E7E0000}"/>
    <cellStyle name="Normal 7 4 3 2 4" xfId="37902" xr:uid="{00000000-0005-0000-0000-00009F7E0000}"/>
    <cellStyle name="Normal 7 4 3 2 4 2" xfId="37903" xr:uid="{00000000-0005-0000-0000-0000A07E0000}"/>
    <cellStyle name="Normal 7 4 3 2 5" xfId="37904" xr:uid="{00000000-0005-0000-0000-0000A17E0000}"/>
    <cellStyle name="Normal 7 4 3 2 6" xfId="37905" xr:uid="{00000000-0005-0000-0000-0000A27E0000}"/>
    <cellStyle name="Normal 7 4 3 3" xfId="37906" xr:uid="{00000000-0005-0000-0000-0000A37E0000}"/>
    <cellStyle name="Normal 7 4 3 3 2" xfId="37907" xr:uid="{00000000-0005-0000-0000-0000A47E0000}"/>
    <cellStyle name="Normal 7 4 3 3 2 2" xfId="37908" xr:uid="{00000000-0005-0000-0000-0000A57E0000}"/>
    <cellStyle name="Normal 7 4 3 3 3" xfId="37909" xr:uid="{00000000-0005-0000-0000-0000A67E0000}"/>
    <cellStyle name="Normal 7 4 3 3 3 2" xfId="37910" xr:uid="{00000000-0005-0000-0000-0000A77E0000}"/>
    <cellStyle name="Normal 7 4 3 3 4" xfId="37911" xr:uid="{00000000-0005-0000-0000-0000A87E0000}"/>
    <cellStyle name="Normal 7 4 3 3 4 2" xfId="37912" xr:uid="{00000000-0005-0000-0000-0000A97E0000}"/>
    <cellStyle name="Normal 7 4 3 3 5" xfId="37913" xr:uid="{00000000-0005-0000-0000-0000AA7E0000}"/>
    <cellStyle name="Normal 7 4 3 3 6" xfId="37914" xr:uid="{00000000-0005-0000-0000-0000AB7E0000}"/>
    <cellStyle name="Normal 7 4 3 4" xfId="37915" xr:uid="{00000000-0005-0000-0000-0000AC7E0000}"/>
    <cellStyle name="Normal 7 4 3 4 2" xfId="37916" xr:uid="{00000000-0005-0000-0000-0000AD7E0000}"/>
    <cellStyle name="Normal 7 4 3 4 2 2" xfId="37917" xr:uid="{00000000-0005-0000-0000-0000AE7E0000}"/>
    <cellStyle name="Normal 7 4 3 4 3" xfId="37918" xr:uid="{00000000-0005-0000-0000-0000AF7E0000}"/>
    <cellStyle name="Normal 7 4 3 4 3 2" xfId="37919" xr:uid="{00000000-0005-0000-0000-0000B07E0000}"/>
    <cellStyle name="Normal 7 4 3 4 4" xfId="37920" xr:uid="{00000000-0005-0000-0000-0000B17E0000}"/>
    <cellStyle name="Normal 7 4 3 4 4 2" xfId="37921" xr:uid="{00000000-0005-0000-0000-0000B27E0000}"/>
    <cellStyle name="Normal 7 4 3 4 5" xfId="37922" xr:uid="{00000000-0005-0000-0000-0000B37E0000}"/>
    <cellStyle name="Normal 7 4 3 4 6" xfId="37923" xr:uid="{00000000-0005-0000-0000-0000B47E0000}"/>
    <cellStyle name="Normal 7 4 3 5" xfId="37924" xr:uid="{00000000-0005-0000-0000-0000B57E0000}"/>
    <cellStyle name="Normal 7 4 3 5 2" xfId="37925" xr:uid="{00000000-0005-0000-0000-0000B67E0000}"/>
    <cellStyle name="Normal 7 4 3 5 2 2" xfId="37926" xr:uid="{00000000-0005-0000-0000-0000B77E0000}"/>
    <cellStyle name="Normal 7 4 3 5 3" xfId="37927" xr:uid="{00000000-0005-0000-0000-0000B87E0000}"/>
    <cellStyle name="Normal 7 4 3 5 3 2" xfId="37928" xr:uid="{00000000-0005-0000-0000-0000B97E0000}"/>
    <cellStyle name="Normal 7 4 3 5 4" xfId="37929" xr:uid="{00000000-0005-0000-0000-0000BA7E0000}"/>
    <cellStyle name="Normal 7 4 3 5 5" xfId="37930" xr:uid="{00000000-0005-0000-0000-0000BB7E0000}"/>
    <cellStyle name="Normal 7 4 3 6" xfId="37931" xr:uid="{00000000-0005-0000-0000-0000BC7E0000}"/>
    <cellStyle name="Normal 7 4 3 6 2" xfId="37932" xr:uid="{00000000-0005-0000-0000-0000BD7E0000}"/>
    <cellStyle name="Normal 7 4 3 7" xfId="37933" xr:uid="{00000000-0005-0000-0000-0000BE7E0000}"/>
    <cellStyle name="Normal 7 4 3 7 2" xfId="37934" xr:uid="{00000000-0005-0000-0000-0000BF7E0000}"/>
    <cellStyle name="Normal 7 4 3 8" xfId="37935" xr:uid="{00000000-0005-0000-0000-0000C07E0000}"/>
    <cellStyle name="Normal 7 4 3 8 2" xfId="37936" xr:uid="{00000000-0005-0000-0000-0000C17E0000}"/>
    <cellStyle name="Normal 7 4 3 9" xfId="37937" xr:uid="{00000000-0005-0000-0000-0000C27E0000}"/>
    <cellStyle name="Normal 7 4 4" xfId="12198" xr:uid="{00000000-0005-0000-0000-0000C37E0000}"/>
    <cellStyle name="Normal 7 4 4 10" xfId="37939" xr:uid="{00000000-0005-0000-0000-0000C47E0000}"/>
    <cellStyle name="Normal 7 4 4 11" xfId="37938" xr:uid="{00000000-0005-0000-0000-0000C57E0000}"/>
    <cellStyle name="Normal 7 4 4 2" xfId="37940" xr:uid="{00000000-0005-0000-0000-0000C67E0000}"/>
    <cellStyle name="Normal 7 4 4 2 2" xfId="37941" xr:uid="{00000000-0005-0000-0000-0000C77E0000}"/>
    <cellStyle name="Normal 7 4 4 2 2 2" xfId="37942" xr:uid="{00000000-0005-0000-0000-0000C87E0000}"/>
    <cellStyle name="Normal 7 4 4 2 3" xfId="37943" xr:uid="{00000000-0005-0000-0000-0000C97E0000}"/>
    <cellStyle name="Normal 7 4 4 2 3 2" xfId="37944" xr:uid="{00000000-0005-0000-0000-0000CA7E0000}"/>
    <cellStyle name="Normal 7 4 4 2 4" xfId="37945" xr:uid="{00000000-0005-0000-0000-0000CB7E0000}"/>
    <cellStyle name="Normal 7 4 4 2 4 2" xfId="37946" xr:uid="{00000000-0005-0000-0000-0000CC7E0000}"/>
    <cellStyle name="Normal 7 4 4 2 5" xfId="37947" xr:uid="{00000000-0005-0000-0000-0000CD7E0000}"/>
    <cellStyle name="Normal 7 4 4 2 6" xfId="37948" xr:uid="{00000000-0005-0000-0000-0000CE7E0000}"/>
    <cellStyle name="Normal 7 4 4 3" xfId="37949" xr:uid="{00000000-0005-0000-0000-0000CF7E0000}"/>
    <cellStyle name="Normal 7 4 4 3 2" xfId="37950" xr:uid="{00000000-0005-0000-0000-0000D07E0000}"/>
    <cellStyle name="Normal 7 4 4 3 2 2" xfId="37951" xr:uid="{00000000-0005-0000-0000-0000D17E0000}"/>
    <cellStyle name="Normal 7 4 4 3 3" xfId="37952" xr:uid="{00000000-0005-0000-0000-0000D27E0000}"/>
    <cellStyle name="Normal 7 4 4 3 3 2" xfId="37953" xr:uid="{00000000-0005-0000-0000-0000D37E0000}"/>
    <cellStyle name="Normal 7 4 4 3 4" xfId="37954" xr:uid="{00000000-0005-0000-0000-0000D47E0000}"/>
    <cellStyle name="Normal 7 4 4 3 4 2" xfId="37955" xr:uid="{00000000-0005-0000-0000-0000D57E0000}"/>
    <cellStyle name="Normal 7 4 4 3 5" xfId="37956" xr:uid="{00000000-0005-0000-0000-0000D67E0000}"/>
    <cellStyle name="Normal 7 4 4 3 6" xfId="37957" xr:uid="{00000000-0005-0000-0000-0000D77E0000}"/>
    <cellStyle name="Normal 7 4 4 4" xfId="37958" xr:uid="{00000000-0005-0000-0000-0000D87E0000}"/>
    <cellStyle name="Normal 7 4 4 4 2" xfId="37959" xr:uid="{00000000-0005-0000-0000-0000D97E0000}"/>
    <cellStyle name="Normal 7 4 4 4 2 2" xfId="37960" xr:uid="{00000000-0005-0000-0000-0000DA7E0000}"/>
    <cellStyle name="Normal 7 4 4 4 3" xfId="37961" xr:uid="{00000000-0005-0000-0000-0000DB7E0000}"/>
    <cellStyle name="Normal 7 4 4 4 3 2" xfId="37962" xr:uid="{00000000-0005-0000-0000-0000DC7E0000}"/>
    <cellStyle name="Normal 7 4 4 4 4" xfId="37963" xr:uid="{00000000-0005-0000-0000-0000DD7E0000}"/>
    <cellStyle name="Normal 7 4 4 4 4 2" xfId="37964" xr:uid="{00000000-0005-0000-0000-0000DE7E0000}"/>
    <cellStyle name="Normal 7 4 4 4 5" xfId="37965" xr:uid="{00000000-0005-0000-0000-0000DF7E0000}"/>
    <cellStyle name="Normal 7 4 4 4 6" xfId="37966" xr:uid="{00000000-0005-0000-0000-0000E07E0000}"/>
    <cellStyle name="Normal 7 4 4 5" xfId="37967" xr:uid="{00000000-0005-0000-0000-0000E17E0000}"/>
    <cellStyle name="Normal 7 4 4 5 2" xfId="37968" xr:uid="{00000000-0005-0000-0000-0000E27E0000}"/>
    <cellStyle name="Normal 7 4 4 5 2 2" xfId="37969" xr:uid="{00000000-0005-0000-0000-0000E37E0000}"/>
    <cellStyle name="Normal 7 4 4 5 3" xfId="37970" xr:uid="{00000000-0005-0000-0000-0000E47E0000}"/>
    <cellStyle name="Normal 7 4 4 5 3 2" xfId="37971" xr:uid="{00000000-0005-0000-0000-0000E57E0000}"/>
    <cellStyle name="Normal 7 4 4 5 4" xfId="37972" xr:uid="{00000000-0005-0000-0000-0000E67E0000}"/>
    <cellStyle name="Normal 7 4 4 5 5" xfId="37973" xr:uid="{00000000-0005-0000-0000-0000E77E0000}"/>
    <cellStyle name="Normal 7 4 4 6" xfId="37974" xr:uid="{00000000-0005-0000-0000-0000E87E0000}"/>
    <cellStyle name="Normal 7 4 4 6 2" xfId="37975" xr:uid="{00000000-0005-0000-0000-0000E97E0000}"/>
    <cellStyle name="Normal 7 4 4 7" xfId="37976" xr:uid="{00000000-0005-0000-0000-0000EA7E0000}"/>
    <cellStyle name="Normal 7 4 4 7 2" xfId="37977" xr:uid="{00000000-0005-0000-0000-0000EB7E0000}"/>
    <cellStyle name="Normal 7 4 4 8" xfId="37978" xr:uid="{00000000-0005-0000-0000-0000EC7E0000}"/>
    <cellStyle name="Normal 7 4 4 8 2" xfId="37979" xr:uid="{00000000-0005-0000-0000-0000ED7E0000}"/>
    <cellStyle name="Normal 7 4 4 9" xfId="37980" xr:uid="{00000000-0005-0000-0000-0000EE7E0000}"/>
    <cellStyle name="Normal 7 4 5" xfId="37981" xr:uid="{00000000-0005-0000-0000-0000EF7E0000}"/>
    <cellStyle name="Normal 7 4 5 2" xfId="37982" xr:uid="{00000000-0005-0000-0000-0000F07E0000}"/>
    <cellStyle name="Normal 7 4 5 2 2" xfId="37983" xr:uid="{00000000-0005-0000-0000-0000F17E0000}"/>
    <cellStyle name="Normal 7 4 5 3" xfId="37984" xr:uid="{00000000-0005-0000-0000-0000F27E0000}"/>
    <cellStyle name="Normal 7 4 5 3 2" xfId="37985" xr:uid="{00000000-0005-0000-0000-0000F37E0000}"/>
    <cellStyle name="Normal 7 4 5 4" xfId="37986" xr:uid="{00000000-0005-0000-0000-0000F47E0000}"/>
    <cellStyle name="Normal 7 4 5 4 2" xfId="37987" xr:uid="{00000000-0005-0000-0000-0000F57E0000}"/>
    <cellStyle name="Normal 7 4 5 5" xfId="37988" xr:uid="{00000000-0005-0000-0000-0000F67E0000}"/>
    <cellStyle name="Normal 7 4 5 6" xfId="37989" xr:uid="{00000000-0005-0000-0000-0000F77E0000}"/>
    <cellStyle name="Normal 7 4 6" xfId="37990" xr:uid="{00000000-0005-0000-0000-0000F87E0000}"/>
    <cellStyle name="Normal 7 4 6 2" xfId="37991" xr:uid="{00000000-0005-0000-0000-0000F97E0000}"/>
    <cellStyle name="Normal 7 4 6 2 2" xfId="37992" xr:uid="{00000000-0005-0000-0000-0000FA7E0000}"/>
    <cellStyle name="Normal 7 4 6 3" xfId="37993" xr:uid="{00000000-0005-0000-0000-0000FB7E0000}"/>
    <cellStyle name="Normal 7 4 6 3 2" xfId="37994" xr:uid="{00000000-0005-0000-0000-0000FC7E0000}"/>
    <cellStyle name="Normal 7 4 6 4" xfId="37995" xr:uid="{00000000-0005-0000-0000-0000FD7E0000}"/>
    <cellStyle name="Normal 7 4 6 4 2" xfId="37996" xr:uid="{00000000-0005-0000-0000-0000FE7E0000}"/>
    <cellStyle name="Normal 7 4 6 5" xfId="37997" xr:uid="{00000000-0005-0000-0000-0000FF7E0000}"/>
    <cellStyle name="Normal 7 4 6 6" xfId="37998" xr:uid="{00000000-0005-0000-0000-0000007F0000}"/>
    <cellStyle name="Normal 7 4 7" xfId="37999" xr:uid="{00000000-0005-0000-0000-0000017F0000}"/>
    <cellStyle name="Normal 7 4 7 2" xfId="38000" xr:uid="{00000000-0005-0000-0000-0000027F0000}"/>
    <cellStyle name="Normal 7 4 7 2 2" xfId="38001" xr:uid="{00000000-0005-0000-0000-0000037F0000}"/>
    <cellStyle name="Normal 7 4 7 3" xfId="38002" xr:uid="{00000000-0005-0000-0000-0000047F0000}"/>
    <cellStyle name="Normal 7 4 7 3 2" xfId="38003" xr:uid="{00000000-0005-0000-0000-0000057F0000}"/>
    <cellStyle name="Normal 7 4 7 4" xfId="38004" xr:uid="{00000000-0005-0000-0000-0000067F0000}"/>
    <cellStyle name="Normal 7 4 7 4 2" xfId="38005" xr:uid="{00000000-0005-0000-0000-0000077F0000}"/>
    <cellStyle name="Normal 7 4 7 5" xfId="38006" xr:uid="{00000000-0005-0000-0000-0000087F0000}"/>
    <cellStyle name="Normal 7 4 7 6" xfId="38007" xr:uid="{00000000-0005-0000-0000-0000097F0000}"/>
    <cellStyle name="Normal 7 4 8" xfId="38008" xr:uid="{00000000-0005-0000-0000-00000A7F0000}"/>
    <cellStyle name="Normal 7 4 8 2" xfId="38009" xr:uid="{00000000-0005-0000-0000-00000B7F0000}"/>
    <cellStyle name="Normal 7 4 8 2 2" xfId="38010" xr:uid="{00000000-0005-0000-0000-00000C7F0000}"/>
    <cellStyle name="Normal 7 4 8 3" xfId="38011" xr:uid="{00000000-0005-0000-0000-00000D7F0000}"/>
    <cellStyle name="Normal 7 4 8 3 2" xfId="38012" xr:uid="{00000000-0005-0000-0000-00000E7F0000}"/>
    <cellStyle name="Normal 7 4 8 4" xfId="38013" xr:uid="{00000000-0005-0000-0000-00000F7F0000}"/>
    <cellStyle name="Normal 7 4 8 5" xfId="38014" xr:uid="{00000000-0005-0000-0000-0000107F0000}"/>
    <cellStyle name="Normal 7 4 9" xfId="38015" xr:uid="{00000000-0005-0000-0000-0000117F0000}"/>
    <cellStyle name="Normal 7 4 9 2" xfId="38016" xr:uid="{00000000-0005-0000-0000-0000127F0000}"/>
    <cellStyle name="Normal 7 5" xfId="12199" xr:uid="{00000000-0005-0000-0000-0000137F0000}"/>
    <cellStyle name="Normal 7 5 10" xfId="38018" xr:uid="{00000000-0005-0000-0000-0000147F0000}"/>
    <cellStyle name="Normal 7 5 10 2" xfId="38019" xr:uid="{00000000-0005-0000-0000-0000157F0000}"/>
    <cellStyle name="Normal 7 5 11" xfId="38020" xr:uid="{00000000-0005-0000-0000-0000167F0000}"/>
    <cellStyle name="Normal 7 5 11 2" xfId="38021" xr:uid="{00000000-0005-0000-0000-0000177F0000}"/>
    <cellStyle name="Normal 7 5 12" xfId="38022" xr:uid="{00000000-0005-0000-0000-0000187F0000}"/>
    <cellStyle name="Normal 7 5 13" xfId="38023" xr:uid="{00000000-0005-0000-0000-0000197F0000}"/>
    <cellStyle name="Normal 7 5 14" xfId="38017" xr:uid="{00000000-0005-0000-0000-00001A7F0000}"/>
    <cellStyle name="Normal 7 5 2" xfId="12200" xr:uid="{00000000-0005-0000-0000-00001B7F0000}"/>
    <cellStyle name="Normal 7 5 2 10" xfId="38025" xr:uid="{00000000-0005-0000-0000-00001C7F0000}"/>
    <cellStyle name="Normal 7 5 2 11" xfId="38026" xr:uid="{00000000-0005-0000-0000-00001D7F0000}"/>
    <cellStyle name="Normal 7 5 2 12" xfId="38024" xr:uid="{00000000-0005-0000-0000-00001E7F0000}"/>
    <cellStyle name="Normal 7 5 2 2" xfId="12201" xr:uid="{00000000-0005-0000-0000-00001F7F0000}"/>
    <cellStyle name="Normal 7 5 2 2 2" xfId="38028" xr:uid="{00000000-0005-0000-0000-0000207F0000}"/>
    <cellStyle name="Normal 7 5 2 2 2 2" xfId="38029" xr:uid="{00000000-0005-0000-0000-0000217F0000}"/>
    <cellStyle name="Normal 7 5 2 2 3" xfId="38030" xr:uid="{00000000-0005-0000-0000-0000227F0000}"/>
    <cellStyle name="Normal 7 5 2 2 3 2" xfId="38031" xr:uid="{00000000-0005-0000-0000-0000237F0000}"/>
    <cellStyle name="Normal 7 5 2 2 4" xfId="38032" xr:uid="{00000000-0005-0000-0000-0000247F0000}"/>
    <cellStyle name="Normal 7 5 2 2 4 2" xfId="38033" xr:uid="{00000000-0005-0000-0000-0000257F0000}"/>
    <cellStyle name="Normal 7 5 2 2 5" xfId="38034" xr:uid="{00000000-0005-0000-0000-0000267F0000}"/>
    <cellStyle name="Normal 7 5 2 2 6" xfId="38035" xr:uid="{00000000-0005-0000-0000-0000277F0000}"/>
    <cellStyle name="Normal 7 5 2 2 7" xfId="38027" xr:uid="{00000000-0005-0000-0000-0000287F0000}"/>
    <cellStyle name="Normal 7 5 2 3" xfId="38036" xr:uid="{00000000-0005-0000-0000-0000297F0000}"/>
    <cellStyle name="Normal 7 5 2 3 2" xfId="38037" xr:uid="{00000000-0005-0000-0000-00002A7F0000}"/>
    <cellStyle name="Normal 7 5 2 3 2 2" xfId="38038" xr:uid="{00000000-0005-0000-0000-00002B7F0000}"/>
    <cellStyle name="Normal 7 5 2 3 3" xfId="38039" xr:uid="{00000000-0005-0000-0000-00002C7F0000}"/>
    <cellStyle name="Normal 7 5 2 3 3 2" xfId="38040" xr:uid="{00000000-0005-0000-0000-00002D7F0000}"/>
    <cellStyle name="Normal 7 5 2 3 4" xfId="38041" xr:uid="{00000000-0005-0000-0000-00002E7F0000}"/>
    <cellStyle name="Normal 7 5 2 3 4 2" xfId="38042" xr:uid="{00000000-0005-0000-0000-00002F7F0000}"/>
    <cellStyle name="Normal 7 5 2 3 5" xfId="38043" xr:uid="{00000000-0005-0000-0000-0000307F0000}"/>
    <cellStyle name="Normal 7 5 2 3 6" xfId="38044" xr:uid="{00000000-0005-0000-0000-0000317F0000}"/>
    <cellStyle name="Normal 7 5 2 4" xfId="38045" xr:uid="{00000000-0005-0000-0000-0000327F0000}"/>
    <cellStyle name="Normal 7 5 2 4 2" xfId="38046" xr:uid="{00000000-0005-0000-0000-0000337F0000}"/>
    <cellStyle name="Normal 7 5 2 4 2 2" xfId="38047" xr:uid="{00000000-0005-0000-0000-0000347F0000}"/>
    <cellStyle name="Normal 7 5 2 4 3" xfId="38048" xr:uid="{00000000-0005-0000-0000-0000357F0000}"/>
    <cellStyle name="Normal 7 5 2 4 3 2" xfId="38049" xr:uid="{00000000-0005-0000-0000-0000367F0000}"/>
    <cellStyle name="Normal 7 5 2 4 4" xfId="38050" xr:uid="{00000000-0005-0000-0000-0000377F0000}"/>
    <cellStyle name="Normal 7 5 2 4 4 2" xfId="38051" xr:uid="{00000000-0005-0000-0000-0000387F0000}"/>
    <cellStyle name="Normal 7 5 2 4 5" xfId="38052" xr:uid="{00000000-0005-0000-0000-0000397F0000}"/>
    <cellStyle name="Normal 7 5 2 4 6" xfId="38053" xr:uid="{00000000-0005-0000-0000-00003A7F0000}"/>
    <cellStyle name="Normal 7 5 2 5" xfId="38054" xr:uid="{00000000-0005-0000-0000-00003B7F0000}"/>
    <cellStyle name="Normal 7 5 2 5 2" xfId="38055" xr:uid="{00000000-0005-0000-0000-00003C7F0000}"/>
    <cellStyle name="Normal 7 5 2 5 2 2" xfId="38056" xr:uid="{00000000-0005-0000-0000-00003D7F0000}"/>
    <cellStyle name="Normal 7 5 2 5 3" xfId="38057" xr:uid="{00000000-0005-0000-0000-00003E7F0000}"/>
    <cellStyle name="Normal 7 5 2 5 3 2" xfId="38058" xr:uid="{00000000-0005-0000-0000-00003F7F0000}"/>
    <cellStyle name="Normal 7 5 2 5 4" xfId="38059" xr:uid="{00000000-0005-0000-0000-0000407F0000}"/>
    <cellStyle name="Normal 7 5 2 5 4 2" xfId="38060" xr:uid="{00000000-0005-0000-0000-0000417F0000}"/>
    <cellStyle name="Normal 7 5 2 5 5" xfId="38061" xr:uid="{00000000-0005-0000-0000-0000427F0000}"/>
    <cellStyle name="Normal 7 5 2 5 6" xfId="38062" xr:uid="{00000000-0005-0000-0000-0000437F0000}"/>
    <cellStyle name="Normal 7 5 2 6" xfId="38063" xr:uid="{00000000-0005-0000-0000-0000447F0000}"/>
    <cellStyle name="Normal 7 5 2 6 2" xfId="38064" xr:uid="{00000000-0005-0000-0000-0000457F0000}"/>
    <cellStyle name="Normal 7 5 2 6 2 2" xfId="38065" xr:uid="{00000000-0005-0000-0000-0000467F0000}"/>
    <cellStyle name="Normal 7 5 2 6 3" xfId="38066" xr:uid="{00000000-0005-0000-0000-0000477F0000}"/>
    <cellStyle name="Normal 7 5 2 6 3 2" xfId="38067" xr:uid="{00000000-0005-0000-0000-0000487F0000}"/>
    <cellStyle name="Normal 7 5 2 6 4" xfId="38068" xr:uid="{00000000-0005-0000-0000-0000497F0000}"/>
    <cellStyle name="Normal 7 5 2 6 5" xfId="38069" xr:uid="{00000000-0005-0000-0000-00004A7F0000}"/>
    <cellStyle name="Normal 7 5 2 7" xfId="38070" xr:uid="{00000000-0005-0000-0000-00004B7F0000}"/>
    <cellStyle name="Normal 7 5 2 7 2" xfId="38071" xr:uid="{00000000-0005-0000-0000-00004C7F0000}"/>
    <cellStyle name="Normal 7 5 2 8" xfId="38072" xr:uid="{00000000-0005-0000-0000-00004D7F0000}"/>
    <cellStyle name="Normal 7 5 2 8 2" xfId="38073" xr:uid="{00000000-0005-0000-0000-00004E7F0000}"/>
    <cellStyle name="Normal 7 5 2 9" xfId="38074" xr:uid="{00000000-0005-0000-0000-00004F7F0000}"/>
    <cellStyle name="Normal 7 5 2 9 2" xfId="38075" xr:uid="{00000000-0005-0000-0000-0000507F0000}"/>
    <cellStyle name="Normal 7 5 3" xfId="12202" xr:uid="{00000000-0005-0000-0000-0000517F0000}"/>
    <cellStyle name="Normal 7 5 3 10" xfId="38077" xr:uid="{00000000-0005-0000-0000-0000527F0000}"/>
    <cellStyle name="Normal 7 5 3 11" xfId="38076" xr:uid="{00000000-0005-0000-0000-0000537F0000}"/>
    <cellStyle name="Normal 7 5 3 2" xfId="38078" xr:uid="{00000000-0005-0000-0000-0000547F0000}"/>
    <cellStyle name="Normal 7 5 3 2 2" xfId="38079" xr:uid="{00000000-0005-0000-0000-0000557F0000}"/>
    <cellStyle name="Normal 7 5 3 2 2 2" xfId="38080" xr:uid="{00000000-0005-0000-0000-0000567F0000}"/>
    <cellStyle name="Normal 7 5 3 2 3" xfId="38081" xr:uid="{00000000-0005-0000-0000-0000577F0000}"/>
    <cellStyle name="Normal 7 5 3 2 3 2" xfId="38082" xr:uid="{00000000-0005-0000-0000-0000587F0000}"/>
    <cellStyle name="Normal 7 5 3 2 4" xfId="38083" xr:uid="{00000000-0005-0000-0000-0000597F0000}"/>
    <cellStyle name="Normal 7 5 3 2 4 2" xfId="38084" xr:uid="{00000000-0005-0000-0000-00005A7F0000}"/>
    <cellStyle name="Normal 7 5 3 2 5" xfId="38085" xr:uid="{00000000-0005-0000-0000-00005B7F0000}"/>
    <cellStyle name="Normal 7 5 3 2 6" xfId="38086" xr:uid="{00000000-0005-0000-0000-00005C7F0000}"/>
    <cellStyle name="Normal 7 5 3 3" xfId="38087" xr:uid="{00000000-0005-0000-0000-00005D7F0000}"/>
    <cellStyle name="Normal 7 5 3 3 2" xfId="38088" xr:uid="{00000000-0005-0000-0000-00005E7F0000}"/>
    <cellStyle name="Normal 7 5 3 3 2 2" xfId="38089" xr:uid="{00000000-0005-0000-0000-00005F7F0000}"/>
    <cellStyle name="Normal 7 5 3 3 3" xfId="38090" xr:uid="{00000000-0005-0000-0000-0000607F0000}"/>
    <cellStyle name="Normal 7 5 3 3 3 2" xfId="38091" xr:uid="{00000000-0005-0000-0000-0000617F0000}"/>
    <cellStyle name="Normal 7 5 3 3 4" xfId="38092" xr:uid="{00000000-0005-0000-0000-0000627F0000}"/>
    <cellStyle name="Normal 7 5 3 3 4 2" xfId="38093" xr:uid="{00000000-0005-0000-0000-0000637F0000}"/>
    <cellStyle name="Normal 7 5 3 3 5" xfId="38094" xr:uid="{00000000-0005-0000-0000-0000647F0000}"/>
    <cellStyle name="Normal 7 5 3 3 6" xfId="38095" xr:uid="{00000000-0005-0000-0000-0000657F0000}"/>
    <cellStyle name="Normal 7 5 3 4" xfId="38096" xr:uid="{00000000-0005-0000-0000-0000667F0000}"/>
    <cellStyle name="Normal 7 5 3 4 2" xfId="38097" xr:uid="{00000000-0005-0000-0000-0000677F0000}"/>
    <cellStyle name="Normal 7 5 3 4 2 2" xfId="38098" xr:uid="{00000000-0005-0000-0000-0000687F0000}"/>
    <cellStyle name="Normal 7 5 3 4 3" xfId="38099" xr:uid="{00000000-0005-0000-0000-0000697F0000}"/>
    <cellStyle name="Normal 7 5 3 4 3 2" xfId="38100" xr:uid="{00000000-0005-0000-0000-00006A7F0000}"/>
    <cellStyle name="Normal 7 5 3 4 4" xfId="38101" xr:uid="{00000000-0005-0000-0000-00006B7F0000}"/>
    <cellStyle name="Normal 7 5 3 4 4 2" xfId="38102" xr:uid="{00000000-0005-0000-0000-00006C7F0000}"/>
    <cellStyle name="Normal 7 5 3 4 5" xfId="38103" xr:uid="{00000000-0005-0000-0000-00006D7F0000}"/>
    <cellStyle name="Normal 7 5 3 4 6" xfId="38104" xr:uid="{00000000-0005-0000-0000-00006E7F0000}"/>
    <cellStyle name="Normal 7 5 3 5" xfId="38105" xr:uid="{00000000-0005-0000-0000-00006F7F0000}"/>
    <cellStyle name="Normal 7 5 3 5 2" xfId="38106" xr:uid="{00000000-0005-0000-0000-0000707F0000}"/>
    <cellStyle name="Normal 7 5 3 5 2 2" xfId="38107" xr:uid="{00000000-0005-0000-0000-0000717F0000}"/>
    <cellStyle name="Normal 7 5 3 5 3" xfId="38108" xr:uid="{00000000-0005-0000-0000-0000727F0000}"/>
    <cellStyle name="Normal 7 5 3 5 3 2" xfId="38109" xr:uid="{00000000-0005-0000-0000-0000737F0000}"/>
    <cellStyle name="Normal 7 5 3 5 4" xfId="38110" xr:uid="{00000000-0005-0000-0000-0000747F0000}"/>
    <cellStyle name="Normal 7 5 3 5 5" xfId="38111" xr:uid="{00000000-0005-0000-0000-0000757F0000}"/>
    <cellStyle name="Normal 7 5 3 6" xfId="38112" xr:uid="{00000000-0005-0000-0000-0000767F0000}"/>
    <cellStyle name="Normal 7 5 3 6 2" xfId="38113" xr:uid="{00000000-0005-0000-0000-0000777F0000}"/>
    <cellStyle name="Normal 7 5 3 7" xfId="38114" xr:uid="{00000000-0005-0000-0000-0000787F0000}"/>
    <cellStyle name="Normal 7 5 3 7 2" xfId="38115" xr:uid="{00000000-0005-0000-0000-0000797F0000}"/>
    <cellStyle name="Normal 7 5 3 8" xfId="38116" xr:uid="{00000000-0005-0000-0000-00007A7F0000}"/>
    <cellStyle name="Normal 7 5 3 8 2" xfId="38117" xr:uid="{00000000-0005-0000-0000-00007B7F0000}"/>
    <cellStyle name="Normal 7 5 3 9" xfId="38118" xr:uid="{00000000-0005-0000-0000-00007C7F0000}"/>
    <cellStyle name="Normal 7 5 4" xfId="12203" xr:uid="{00000000-0005-0000-0000-00007D7F0000}"/>
    <cellStyle name="Normal 7 5 4 10" xfId="38120" xr:uid="{00000000-0005-0000-0000-00007E7F0000}"/>
    <cellStyle name="Normal 7 5 4 11" xfId="38119" xr:uid="{00000000-0005-0000-0000-00007F7F0000}"/>
    <cellStyle name="Normal 7 5 4 2" xfId="38121" xr:uid="{00000000-0005-0000-0000-0000807F0000}"/>
    <cellStyle name="Normal 7 5 4 2 2" xfId="38122" xr:uid="{00000000-0005-0000-0000-0000817F0000}"/>
    <cellStyle name="Normal 7 5 4 2 2 2" xfId="38123" xr:uid="{00000000-0005-0000-0000-0000827F0000}"/>
    <cellStyle name="Normal 7 5 4 2 3" xfId="38124" xr:uid="{00000000-0005-0000-0000-0000837F0000}"/>
    <cellStyle name="Normal 7 5 4 2 3 2" xfId="38125" xr:uid="{00000000-0005-0000-0000-0000847F0000}"/>
    <cellStyle name="Normal 7 5 4 2 4" xfId="38126" xr:uid="{00000000-0005-0000-0000-0000857F0000}"/>
    <cellStyle name="Normal 7 5 4 2 4 2" xfId="38127" xr:uid="{00000000-0005-0000-0000-0000867F0000}"/>
    <cellStyle name="Normal 7 5 4 2 5" xfId="38128" xr:uid="{00000000-0005-0000-0000-0000877F0000}"/>
    <cellStyle name="Normal 7 5 4 2 6" xfId="38129" xr:uid="{00000000-0005-0000-0000-0000887F0000}"/>
    <cellStyle name="Normal 7 5 4 3" xfId="38130" xr:uid="{00000000-0005-0000-0000-0000897F0000}"/>
    <cellStyle name="Normal 7 5 4 3 2" xfId="38131" xr:uid="{00000000-0005-0000-0000-00008A7F0000}"/>
    <cellStyle name="Normal 7 5 4 3 2 2" xfId="38132" xr:uid="{00000000-0005-0000-0000-00008B7F0000}"/>
    <cellStyle name="Normal 7 5 4 3 3" xfId="38133" xr:uid="{00000000-0005-0000-0000-00008C7F0000}"/>
    <cellStyle name="Normal 7 5 4 3 3 2" xfId="38134" xr:uid="{00000000-0005-0000-0000-00008D7F0000}"/>
    <cellStyle name="Normal 7 5 4 3 4" xfId="38135" xr:uid="{00000000-0005-0000-0000-00008E7F0000}"/>
    <cellStyle name="Normal 7 5 4 3 4 2" xfId="38136" xr:uid="{00000000-0005-0000-0000-00008F7F0000}"/>
    <cellStyle name="Normal 7 5 4 3 5" xfId="38137" xr:uid="{00000000-0005-0000-0000-0000907F0000}"/>
    <cellStyle name="Normal 7 5 4 3 6" xfId="38138" xr:uid="{00000000-0005-0000-0000-0000917F0000}"/>
    <cellStyle name="Normal 7 5 4 4" xfId="38139" xr:uid="{00000000-0005-0000-0000-0000927F0000}"/>
    <cellStyle name="Normal 7 5 4 4 2" xfId="38140" xr:uid="{00000000-0005-0000-0000-0000937F0000}"/>
    <cellStyle name="Normal 7 5 4 4 2 2" xfId="38141" xr:uid="{00000000-0005-0000-0000-0000947F0000}"/>
    <cellStyle name="Normal 7 5 4 4 3" xfId="38142" xr:uid="{00000000-0005-0000-0000-0000957F0000}"/>
    <cellStyle name="Normal 7 5 4 4 3 2" xfId="38143" xr:uid="{00000000-0005-0000-0000-0000967F0000}"/>
    <cellStyle name="Normal 7 5 4 4 4" xfId="38144" xr:uid="{00000000-0005-0000-0000-0000977F0000}"/>
    <cellStyle name="Normal 7 5 4 4 4 2" xfId="38145" xr:uid="{00000000-0005-0000-0000-0000987F0000}"/>
    <cellStyle name="Normal 7 5 4 4 5" xfId="38146" xr:uid="{00000000-0005-0000-0000-0000997F0000}"/>
    <cellStyle name="Normal 7 5 4 4 6" xfId="38147" xr:uid="{00000000-0005-0000-0000-00009A7F0000}"/>
    <cellStyle name="Normal 7 5 4 5" xfId="38148" xr:uid="{00000000-0005-0000-0000-00009B7F0000}"/>
    <cellStyle name="Normal 7 5 4 5 2" xfId="38149" xr:uid="{00000000-0005-0000-0000-00009C7F0000}"/>
    <cellStyle name="Normal 7 5 4 5 2 2" xfId="38150" xr:uid="{00000000-0005-0000-0000-00009D7F0000}"/>
    <cellStyle name="Normal 7 5 4 5 3" xfId="38151" xr:uid="{00000000-0005-0000-0000-00009E7F0000}"/>
    <cellStyle name="Normal 7 5 4 5 3 2" xfId="38152" xr:uid="{00000000-0005-0000-0000-00009F7F0000}"/>
    <cellStyle name="Normal 7 5 4 5 4" xfId="38153" xr:uid="{00000000-0005-0000-0000-0000A07F0000}"/>
    <cellStyle name="Normal 7 5 4 5 5" xfId="38154" xr:uid="{00000000-0005-0000-0000-0000A17F0000}"/>
    <cellStyle name="Normal 7 5 4 6" xfId="38155" xr:uid="{00000000-0005-0000-0000-0000A27F0000}"/>
    <cellStyle name="Normal 7 5 4 6 2" xfId="38156" xr:uid="{00000000-0005-0000-0000-0000A37F0000}"/>
    <cellStyle name="Normal 7 5 4 7" xfId="38157" xr:uid="{00000000-0005-0000-0000-0000A47F0000}"/>
    <cellStyle name="Normal 7 5 4 7 2" xfId="38158" xr:uid="{00000000-0005-0000-0000-0000A57F0000}"/>
    <cellStyle name="Normal 7 5 4 8" xfId="38159" xr:uid="{00000000-0005-0000-0000-0000A67F0000}"/>
    <cellStyle name="Normal 7 5 4 8 2" xfId="38160" xr:uid="{00000000-0005-0000-0000-0000A77F0000}"/>
    <cellStyle name="Normal 7 5 4 9" xfId="38161" xr:uid="{00000000-0005-0000-0000-0000A87F0000}"/>
    <cellStyle name="Normal 7 5 5" xfId="38162" xr:uid="{00000000-0005-0000-0000-0000A97F0000}"/>
    <cellStyle name="Normal 7 5 5 2" xfId="38163" xr:uid="{00000000-0005-0000-0000-0000AA7F0000}"/>
    <cellStyle name="Normal 7 5 5 2 2" xfId="38164" xr:uid="{00000000-0005-0000-0000-0000AB7F0000}"/>
    <cellStyle name="Normal 7 5 5 3" xfId="38165" xr:uid="{00000000-0005-0000-0000-0000AC7F0000}"/>
    <cellStyle name="Normal 7 5 5 3 2" xfId="38166" xr:uid="{00000000-0005-0000-0000-0000AD7F0000}"/>
    <cellStyle name="Normal 7 5 5 4" xfId="38167" xr:uid="{00000000-0005-0000-0000-0000AE7F0000}"/>
    <cellStyle name="Normal 7 5 5 4 2" xfId="38168" xr:uid="{00000000-0005-0000-0000-0000AF7F0000}"/>
    <cellStyle name="Normal 7 5 5 5" xfId="38169" xr:uid="{00000000-0005-0000-0000-0000B07F0000}"/>
    <cellStyle name="Normal 7 5 5 6" xfId="38170" xr:uid="{00000000-0005-0000-0000-0000B17F0000}"/>
    <cellStyle name="Normal 7 5 6" xfId="38171" xr:uid="{00000000-0005-0000-0000-0000B27F0000}"/>
    <cellStyle name="Normal 7 5 6 2" xfId="38172" xr:uid="{00000000-0005-0000-0000-0000B37F0000}"/>
    <cellStyle name="Normal 7 5 6 2 2" xfId="38173" xr:uid="{00000000-0005-0000-0000-0000B47F0000}"/>
    <cellStyle name="Normal 7 5 6 3" xfId="38174" xr:uid="{00000000-0005-0000-0000-0000B57F0000}"/>
    <cellStyle name="Normal 7 5 6 3 2" xfId="38175" xr:uid="{00000000-0005-0000-0000-0000B67F0000}"/>
    <cellStyle name="Normal 7 5 6 4" xfId="38176" xr:uid="{00000000-0005-0000-0000-0000B77F0000}"/>
    <cellStyle name="Normal 7 5 6 4 2" xfId="38177" xr:uid="{00000000-0005-0000-0000-0000B87F0000}"/>
    <cellStyle name="Normal 7 5 6 5" xfId="38178" xr:uid="{00000000-0005-0000-0000-0000B97F0000}"/>
    <cellStyle name="Normal 7 5 6 6" xfId="38179" xr:uid="{00000000-0005-0000-0000-0000BA7F0000}"/>
    <cellStyle name="Normal 7 5 7" xfId="38180" xr:uid="{00000000-0005-0000-0000-0000BB7F0000}"/>
    <cellStyle name="Normal 7 5 7 2" xfId="38181" xr:uid="{00000000-0005-0000-0000-0000BC7F0000}"/>
    <cellStyle name="Normal 7 5 7 2 2" xfId="38182" xr:uid="{00000000-0005-0000-0000-0000BD7F0000}"/>
    <cellStyle name="Normal 7 5 7 3" xfId="38183" xr:uid="{00000000-0005-0000-0000-0000BE7F0000}"/>
    <cellStyle name="Normal 7 5 7 3 2" xfId="38184" xr:uid="{00000000-0005-0000-0000-0000BF7F0000}"/>
    <cellStyle name="Normal 7 5 7 4" xfId="38185" xr:uid="{00000000-0005-0000-0000-0000C07F0000}"/>
    <cellStyle name="Normal 7 5 7 4 2" xfId="38186" xr:uid="{00000000-0005-0000-0000-0000C17F0000}"/>
    <cellStyle name="Normal 7 5 7 5" xfId="38187" xr:uid="{00000000-0005-0000-0000-0000C27F0000}"/>
    <cellStyle name="Normal 7 5 7 6" xfId="38188" xr:uid="{00000000-0005-0000-0000-0000C37F0000}"/>
    <cellStyle name="Normal 7 5 8" xfId="38189" xr:uid="{00000000-0005-0000-0000-0000C47F0000}"/>
    <cellStyle name="Normal 7 5 8 2" xfId="38190" xr:uid="{00000000-0005-0000-0000-0000C57F0000}"/>
    <cellStyle name="Normal 7 5 8 2 2" xfId="38191" xr:uid="{00000000-0005-0000-0000-0000C67F0000}"/>
    <cellStyle name="Normal 7 5 8 3" xfId="38192" xr:uid="{00000000-0005-0000-0000-0000C77F0000}"/>
    <cellStyle name="Normal 7 5 8 3 2" xfId="38193" xr:uid="{00000000-0005-0000-0000-0000C87F0000}"/>
    <cellStyle name="Normal 7 5 8 4" xfId="38194" xr:uid="{00000000-0005-0000-0000-0000C97F0000}"/>
    <cellStyle name="Normal 7 5 8 5" xfId="38195" xr:uid="{00000000-0005-0000-0000-0000CA7F0000}"/>
    <cellStyle name="Normal 7 5 9" xfId="38196" xr:uid="{00000000-0005-0000-0000-0000CB7F0000}"/>
    <cellStyle name="Normal 7 5 9 2" xfId="38197" xr:uid="{00000000-0005-0000-0000-0000CC7F0000}"/>
    <cellStyle name="Normal 7 6" xfId="12204" xr:uid="{00000000-0005-0000-0000-0000CD7F0000}"/>
    <cellStyle name="Normal 7 6 10" xfId="38199" xr:uid="{00000000-0005-0000-0000-0000CE7F0000}"/>
    <cellStyle name="Normal 7 6 10 2" xfId="38200" xr:uid="{00000000-0005-0000-0000-0000CF7F0000}"/>
    <cellStyle name="Normal 7 6 11" xfId="38201" xr:uid="{00000000-0005-0000-0000-0000D07F0000}"/>
    <cellStyle name="Normal 7 6 12" xfId="38202" xr:uid="{00000000-0005-0000-0000-0000D17F0000}"/>
    <cellStyle name="Normal 7 6 13" xfId="38198" xr:uid="{00000000-0005-0000-0000-0000D27F0000}"/>
    <cellStyle name="Normal 7 6 2" xfId="12205" xr:uid="{00000000-0005-0000-0000-0000D37F0000}"/>
    <cellStyle name="Normal 7 6 2 10" xfId="38204" xr:uid="{00000000-0005-0000-0000-0000D47F0000}"/>
    <cellStyle name="Normal 7 6 2 11" xfId="38203" xr:uid="{00000000-0005-0000-0000-0000D57F0000}"/>
    <cellStyle name="Normal 7 6 2 2" xfId="38205" xr:uid="{00000000-0005-0000-0000-0000D67F0000}"/>
    <cellStyle name="Normal 7 6 2 2 2" xfId="38206" xr:uid="{00000000-0005-0000-0000-0000D77F0000}"/>
    <cellStyle name="Normal 7 6 2 2 2 2" xfId="38207" xr:uid="{00000000-0005-0000-0000-0000D87F0000}"/>
    <cellStyle name="Normal 7 6 2 2 3" xfId="38208" xr:uid="{00000000-0005-0000-0000-0000D97F0000}"/>
    <cellStyle name="Normal 7 6 2 2 3 2" xfId="38209" xr:uid="{00000000-0005-0000-0000-0000DA7F0000}"/>
    <cellStyle name="Normal 7 6 2 2 4" xfId="38210" xr:uid="{00000000-0005-0000-0000-0000DB7F0000}"/>
    <cellStyle name="Normal 7 6 2 2 4 2" xfId="38211" xr:uid="{00000000-0005-0000-0000-0000DC7F0000}"/>
    <cellStyle name="Normal 7 6 2 2 5" xfId="38212" xr:uid="{00000000-0005-0000-0000-0000DD7F0000}"/>
    <cellStyle name="Normal 7 6 2 2 6" xfId="38213" xr:uid="{00000000-0005-0000-0000-0000DE7F0000}"/>
    <cellStyle name="Normal 7 6 2 3" xfId="38214" xr:uid="{00000000-0005-0000-0000-0000DF7F0000}"/>
    <cellStyle name="Normal 7 6 2 3 2" xfId="38215" xr:uid="{00000000-0005-0000-0000-0000E07F0000}"/>
    <cellStyle name="Normal 7 6 2 3 2 2" xfId="38216" xr:uid="{00000000-0005-0000-0000-0000E17F0000}"/>
    <cellStyle name="Normal 7 6 2 3 3" xfId="38217" xr:uid="{00000000-0005-0000-0000-0000E27F0000}"/>
    <cellStyle name="Normal 7 6 2 3 3 2" xfId="38218" xr:uid="{00000000-0005-0000-0000-0000E37F0000}"/>
    <cellStyle name="Normal 7 6 2 3 4" xfId="38219" xr:uid="{00000000-0005-0000-0000-0000E47F0000}"/>
    <cellStyle name="Normal 7 6 2 3 4 2" xfId="38220" xr:uid="{00000000-0005-0000-0000-0000E57F0000}"/>
    <cellStyle name="Normal 7 6 2 3 5" xfId="38221" xr:uid="{00000000-0005-0000-0000-0000E67F0000}"/>
    <cellStyle name="Normal 7 6 2 3 6" xfId="38222" xr:uid="{00000000-0005-0000-0000-0000E77F0000}"/>
    <cellStyle name="Normal 7 6 2 4" xfId="38223" xr:uid="{00000000-0005-0000-0000-0000E87F0000}"/>
    <cellStyle name="Normal 7 6 2 4 2" xfId="38224" xr:uid="{00000000-0005-0000-0000-0000E97F0000}"/>
    <cellStyle name="Normal 7 6 2 4 2 2" xfId="38225" xr:uid="{00000000-0005-0000-0000-0000EA7F0000}"/>
    <cellStyle name="Normal 7 6 2 4 3" xfId="38226" xr:uid="{00000000-0005-0000-0000-0000EB7F0000}"/>
    <cellStyle name="Normal 7 6 2 4 3 2" xfId="38227" xr:uid="{00000000-0005-0000-0000-0000EC7F0000}"/>
    <cellStyle name="Normal 7 6 2 4 4" xfId="38228" xr:uid="{00000000-0005-0000-0000-0000ED7F0000}"/>
    <cellStyle name="Normal 7 6 2 4 4 2" xfId="38229" xr:uid="{00000000-0005-0000-0000-0000EE7F0000}"/>
    <cellStyle name="Normal 7 6 2 4 5" xfId="38230" xr:uid="{00000000-0005-0000-0000-0000EF7F0000}"/>
    <cellStyle name="Normal 7 6 2 4 6" xfId="38231" xr:uid="{00000000-0005-0000-0000-0000F07F0000}"/>
    <cellStyle name="Normal 7 6 2 5" xfId="38232" xr:uid="{00000000-0005-0000-0000-0000F17F0000}"/>
    <cellStyle name="Normal 7 6 2 5 2" xfId="38233" xr:uid="{00000000-0005-0000-0000-0000F27F0000}"/>
    <cellStyle name="Normal 7 6 2 5 2 2" xfId="38234" xr:uid="{00000000-0005-0000-0000-0000F37F0000}"/>
    <cellStyle name="Normal 7 6 2 5 3" xfId="38235" xr:uid="{00000000-0005-0000-0000-0000F47F0000}"/>
    <cellStyle name="Normal 7 6 2 5 3 2" xfId="38236" xr:uid="{00000000-0005-0000-0000-0000F57F0000}"/>
    <cellStyle name="Normal 7 6 2 5 4" xfId="38237" xr:uid="{00000000-0005-0000-0000-0000F67F0000}"/>
    <cellStyle name="Normal 7 6 2 5 5" xfId="38238" xr:uid="{00000000-0005-0000-0000-0000F77F0000}"/>
    <cellStyle name="Normal 7 6 2 6" xfId="38239" xr:uid="{00000000-0005-0000-0000-0000F87F0000}"/>
    <cellStyle name="Normal 7 6 2 6 2" xfId="38240" xr:uid="{00000000-0005-0000-0000-0000F97F0000}"/>
    <cellStyle name="Normal 7 6 2 7" xfId="38241" xr:uid="{00000000-0005-0000-0000-0000FA7F0000}"/>
    <cellStyle name="Normal 7 6 2 7 2" xfId="38242" xr:uid="{00000000-0005-0000-0000-0000FB7F0000}"/>
    <cellStyle name="Normal 7 6 2 8" xfId="38243" xr:uid="{00000000-0005-0000-0000-0000FC7F0000}"/>
    <cellStyle name="Normal 7 6 2 8 2" xfId="38244" xr:uid="{00000000-0005-0000-0000-0000FD7F0000}"/>
    <cellStyle name="Normal 7 6 2 9" xfId="38245" xr:uid="{00000000-0005-0000-0000-0000FE7F0000}"/>
    <cellStyle name="Normal 7 6 3" xfId="38246" xr:uid="{00000000-0005-0000-0000-0000FF7F0000}"/>
    <cellStyle name="Normal 7 6 3 10" xfId="38247" xr:uid="{00000000-0005-0000-0000-000000800000}"/>
    <cellStyle name="Normal 7 6 3 2" xfId="38248" xr:uid="{00000000-0005-0000-0000-000001800000}"/>
    <cellStyle name="Normal 7 6 3 2 2" xfId="38249" xr:uid="{00000000-0005-0000-0000-000002800000}"/>
    <cellStyle name="Normal 7 6 3 2 2 2" xfId="38250" xr:uid="{00000000-0005-0000-0000-000003800000}"/>
    <cellStyle name="Normal 7 6 3 2 3" xfId="38251" xr:uid="{00000000-0005-0000-0000-000004800000}"/>
    <cellStyle name="Normal 7 6 3 2 3 2" xfId="38252" xr:uid="{00000000-0005-0000-0000-000005800000}"/>
    <cellStyle name="Normal 7 6 3 2 4" xfId="38253" xr:uid="{00000000-0005-0000-0000-000006800000}"/>
    <cellStyle name="Normal 7 6 3 2 4 2" xfId="38254" xr:uid="{00000000-0005-0000-0000-000007800000}"/>
    <cellStyle name="Normal 7 6 3 2 5" xfId="38255" xr:uid="{00000000-0005-0000-0000-000008800000}"/>
    <cellStyle name="Normal 7 6 3 2 6" xfId="38256" xr:uid="{00000000-0005-0000-0000-000009800000}"/>
    <cellStyle name="Normal 7 6 3 3" xfId="38257" xr:uid="{00000000-0005-0000-0000-00000A800000}"/>
    <cellStyle name="Normal 7 6 3 3 2" xfId="38258" xr:uid="{00000000-0005-0000-0000-00000B800000}"/>
    <cellStyle name="Normal 7 6 3 3 2 2" xfId="38259" xr:uid="{00000000-0005-0000-0000-00000C800000}"/>
    <cellStyle name="Normal 7 6 3 3 3" xfId="38260" xr:uid="{00000000-0005-0000-0000-00000D800000}"/>
    <cellStyle name="Normal 7 6 3 3 3 2" xfId="38261" xr:uid="{00000000-0005-0000-0000-00000E800000}"/>
    <cellStyle name="Normal 7 6 3 3 4" xfId="38262" xr:uid="{00000000-0005-0000-0000-00000F800000}"/>
    <cellStyle name="Normal 7 6 3 3 4 2" xfId="38263" xr:uid="{00000000-0005-0000-0000-000010800000}"/>
    <cellStyle name="Normal 7 6 3 3 5" xfId="38264" xr:uid="{00000000-0005-0000-0000-000011800000}"/>
    <cellStyle name="Normal 7 6 3 3 6" xfId="38265" xr:uid="{00000000-0005-0000-0000-000012800000}"/>
    <cellStyle name="Normal 7 6 3 4" xfId="38266" xr:uid="{00000000-0005-0000-0000-000013800000}"/>
    <cellStyle name="Normal 7 6 3 4 2" xfId="38267" xr:uid="{00000000-0005-0000-0000-000014800000}"/>
    <cellStyle name="Normal 7 6 3 4 2 2" xfId="38268" xr:uid="{00000000-0005-0000-0000-000015800000}"/>
    <cellStyle name="Normal 7 6 3 4 3" xfId="38269" xr:uid="{00000000-0005-0000-0000-000016800000}"/>
    <cellStyle name="Normal 7 6 3 4 3 2" xfId="38270" xr:uid="{00000000-0005-0000-0000-000017800000}"/>
    <cellStyle name="Normal 7 6 3 4 4" xfId="38271" xr:uid="{00000000-0005-0000-0000-000018800000}"/>
    <cellStyle name="Normal 7 6 3 4 4 2" xfId="38272" xr:uid="{00000000-0005-0000-0000-000019800000}"/>
    <cellStyle name="Normal 7 6 3 4 5" xfId="38273" xr:uid="{00000000-0005-0000-0000-00001A800000}"/>
    <cellStyle name="Normal 7 6 3 4 6" xfId="38274" xr:uid="{00000000-0005-0000-0000-00001B800000}"/>
    <cellStyle name="Normal 7 6 3 5" xfId="38275" xr:uid="{00000000-0005-0000-0000-00001C800000}"/>
    <cellStyle name="Normal 7 6 3 5 2" xfId="38276" xr:uid="{00000000-0005-0000-0000-00001D800000}"/>
    <cellStyle name="Normal 7 6 3 5 2 2" xfId="38277" xr:uid="{00000000-0005-0000-0000-00001E800000}"/>
    <cellStyle name="Normal 7 6 3 5 3" xfId="38278" xr:uid="{00000000-0005-0000-0000-00001F800000}"/>
    <cellStyle name="Normal 7 6 3 5 3 2" xfId="38279" xr:uid="{00000000-0005-0000-0000-000020800000}"/>
    <cellStyle name="Normal 7 6 3 5 4" xfId="38280" xr:uid="{00000000-0005-0000-0000-000021800000}"/>
    <cellStyle name="Normal 7 6 3 5 5" xfId="38281" xr:uid="{00000000-0005-0000-0000-000022800000}"/>
    <cellStyle name="Normal 7 6 3 6" xfId="38282" xr:uid="{00000000-0005-0000-0000-000023800000}"/>
    <cellStyle name="Normal 7 6 3 6 2" xfId="38283" xr:uid="{00000000-0005-0000-0000-000024800000}"/>
    <cellStyle name="Normal 7 6 3 7" xfId="38284" xr:uid="{00000000-0005-0000-0000-000025800000}"/>
    <cellStyle name="Normal 7 6 3 7 2" xfId="38285" xr:uid="{00000000-0005-0000-0000-000026800000}"/>
    <cellStyle name="Normal 7 6 3 8" xfId="38286" xr:uid="{00000000-0005-0000-0000-000027800000}"/>
    <cellStyle name="Normal 7 6 3 8 2" xfId="38287" xr:uid="{00000000-0005-0000-0000-000028800000}"/>
    <cellStyle name="Normal 7 6 3 9" xfId="38288" xr:uid="{00000000-0005-0000-0000-000029800000}"/>
    <cellStyle name="Normal 7 6 4" xfId="38289" xr:uid="{00000000-0005-0000-0000-00002A800000}"/>
    <cellStyle name="Normal 7 6 4 2" xfId="38290" xr:uid="{00000000-0005-0000-0000-00002B800000}"/>
    <cellStyle name="Normal 7 6 4 2 2" xfId="38291" xr:uid="{00000000-0005-0000-0000-00002C800000}"/>
    <cellStyle name="Normal 7 6 4 3" xfId="38292" xr:uid="{00000000-0005-0000-0000-00002D800000}"/>
    <cellStyle name="Normal 7 6 4 3 2" xfId="38293" xr:uid="{00000000-0005-0000-0000-00002E800000}"/>
    <cellStyle name="Normal 7 6 4 4" xfId="38294" xr:uid="{00000000-0005-0000-0000-00002F800000}"/>
    <cellStyle name="Normal 7 6 4 4 2" xfId="38295" xr:uid="{00000000-0005-0000-0000-000030800000}"/>
    <cellStyle name="Normal 7 6 4 5" xfId="38296" xr:uid="{00000000-0005-0000-0000-000031800000}"/>
    <cellStyle name="Normal 7 6 4 6" xfId="38297" xr:uid="{00000000-0005-0000-0000-000032800000}"/>
    <cellStyle name="Normal 7 6 5" xfId="38298" xr:uid="{00000000-0005-0000-0000-000033800000}"/>
    <cellStyle name="Normal 7 6 5 2" xfId="38299" xr:uid="{00000000-0005-0000-0000-000034800000}"/>
    <cellStyle name="Normal 7 6 5 2 2" xfId="38300" xr:uid="{00000000-0005-0000-0000-000035800000}"/>
    <cellStyle name="Normal 7 6 5 3" xfId="38301" xr:uid="{00000000-0005-0000-0000-000036800000}"/>
    <cellStyle name="Normal 7 6 5 3 2" xfId="38302" xr:uid="{00000000-0005-0000-0000-000037800000}"/>
    <cellStyle name="Normal 7 6 5 4" xfId="38303" xr:uid="{00000000-0005-0000-0000-000038800000}"/>
    <cellStyle name="Normal 7 6 5 4 2" xfId="38304" xr:uid="{00000000-0005-0000-0000-000039800000}"/>
    <cellStyle name="Normal 7 6 5 5" xfId="38305" xr:uid="{00000000-0005-0000-0000-00003A800000}"/>
    <cellStyle name="Normal 7 6 5 6" xfId="38306" xr:uid="{00000000-0005-0000-0000-00003B800000}"/>
    <cellStyle name="Normal 7 6 6" xfId="38307" xr:uid="{00000000-0005-0000-0000-00003C800000}"/>
    <cellStyle name="Normal 7 6 6 2" xfId="38308" xr:uid="{00000000-0005-0000-0000-00003D800000}"/>
    <cellStyle name="Normal 7 6 6 2 2" xfId="38309" xr:uid="{00000000-0005-0000-0000-00003E800000}"/>
    <cellStyle name="Normal 7 6 6 3" xfId="38310" xr:uid="{00000000-0005-0000-0000-00003F800000}"/>
    <cellStyle name="Normal 7 6 6 3 2" xfId="38311" xr:uid="{00000000-0005-0000-0000-000040800000}"/>
    <cellStyle name="Normal 7 6 6 4" xfId="38312" xr:uid="{00000000-0005-0000-0000-000041800000}"/>
    <cellStyle name="Normal 7 6 6 4 2" xfId="38313" xr:uid="{00000000-0005-0000-0000-000042800000}"/>
    <cellStyle name="Normal 7 6 6 5" xfId="38314" xr:uid="{00000000-0005-0000-0000-000043800000}"/>
    <cellStyle name="Normal 7 6 6 6" xfId="38315" xr:uid="{00000000-0005-0000-0000-000044800000}"/>
    <cellStyle name="Normal 7 6 7" xfId="38316" xr:uid="{00000000-0005-0000-0000-000045800000}"/>
    <cellStyle name="Normal 7 6 7 2" xfId="38317" xr:uid="{00000000-0005-0000-0000-000046800000}"/>
    <cellStyle name="Normal 7 6 7 2 2" xfId="38318" xr:uid="{00000000-0005-0000-0000-000047800000}"/>
    <cellStyle name="Normal 7 6 7 3" xfId="38319" xr:uid="{00000000-0005-0000-0000-000048800000}"/>
    <cellStyle name="Normal 7 6 7 3 2" xfId="38320" xr:uid="{00000000-0005-0000-0000-000049800000}"/>
    <cellStyle name="Normal 7 6 7 4" xfId="38321" xr:uid="{00000000-0005-0000-0000-00004A800000}"/>
    <cellStyle name="Normal 7 6 7 5" xfId="38322" xr:uid="{00000000-0005-0000-0000-00004B800000}"/>
    <cellStyle name="Normal 7 6 8" xfId="38323" xr:uid="{00000000-0005-0000-0000-00004C800000}"/>
    <cellStyle name="Normal 7 6 8 2" xfId="38324" xr:uid="{00000000-0005-0000-0000-00004D800000}"/>
    <cellStyle name="Normal 7 6 9" xfId="38325" xr:uid="{00000000-0005-0000-0000-00004E800000}"/>
    <cellStyle name="Normal 7 6 9 2" xfId="38326" xr:uid="{00000000-0005-0000-0000-00004F800000}"/>
    <cellStyle name="Normal 7 7" xfId="12206" xr:uid="{00000000-0005-0000-0000-000050800000}"/>
    <cellStyle name="Normal 7 7 10" xfId="38328" xr:uid="{00000000-0005-0000-0000-000051800000}"/>
    <cellStyle name="Normal 7 7 11" xfId="38329" xr:uid="{00000000-0005-0000-0000-000052800000}"/>
    <cellStyle name="Normal 7 7 12" xfId="38327" xr:uid="{00000000-0005-0000-0000-000053800000}"/>
    <cellStyle name="Normal 7 7 2" xfId="38330" xr:uid="{00000000-0005-0000-0000-000054800000}"/>
    <cellStyle name="Normal 7 7 2 2" xfId="38331" xr:uid="{00000000-0005-0000-0000-000055800000}"/>
    <cellStyle name="Normal 7 7 2 2 2" xfId="38332" xr:uid="{00000000-0005-0000-0000-000056800000}"/>
    <cellStyle name="Normal 7 7 2 3" xfId="38333" xr:uid="{00000000-0005-0000-0000-000057800000}"/>
    <cellStyle name="Normal 7 7 2 3 2" xfId="38334" xr:uid="{00000000-0005-0000-0000-000058800000}"/>
    <cellStyle name="Normal 7 7 2 4" xfId="38335" xr:uid="{00000000-0005-0000-0000-000059800000}"/>
    <cellStyle name="Normal 7 7 2 4 2" xfId="38336" xr:uid="{00000000-0005-0000-0000-00005A800000}"/>
    <cellStyle name="Normal 7 7 2 5" xfId="38337" xr:uid="{00000000-0005-0000-0000-00005B800000}"/>
    <cellStyle name="Normal 7 7 2 6" xfId="38338" xr:uid="{00000000-0005-0000-0000-00005C800000}"/>
    <cellStyle name="Normal 7 7 3" xfId="38339" xr:uid="{00000000-0005-0000-0000-00005D800000}"/>
    <cellStyle name="Normal 7 7 3 2" xfId="38340" xr:uid="{00000000-0005-0000-0000-00005E800000}"/>
    <cellStyle name="Normal 7 7 3 2 2" xfId="38341" xr:uid="{00000000-0005-0000-0000-00005F800000}"/>
    <cellStyle name="Normal 7 7 3 3" xfId="38342" xr:uid="{00000000-0005-0000-0000-000060800000}"/>
    <cellStyle name="Normal 7 7 3 3 2" xfId="38343" xr:uid="{00000000-0005-0000-0000-000061800000}"/>
    <cellStyle name="Normal 7 7 3 4" xfId="38344" xr:uid="{00000000-0005-0000-0000-000062800000}"/>
    <cellStyle name="Normal 7 7 3 4 2" xfId="38345" xr:uid="{00000000-0005-0000-0000-000063800000}"/>
    <cellStyle name="Normal 7 7 3 5" xfId="38346" xr:uid="{00000000-0005-0000-0000-000064800000}"/>
    <cellStyle name="Normal 7 7 3 6" xfId="38347" xr:uid="{00000000-0005-0000-0000-000065800000}"/>
    <cellStyle name="Normal 7 7 4" xfId="38348" xr:uid="{00000000-0005-0000-0000-000066800000}"/>
    <cellStyle name="Normal 7 7 4 2" xfId="38349" xr:uid="{00000000-0005-0000-0000-000067800000}"/>
    <cellStyle name="Normal 7 7 4 2 2" xfId="38350" xr:uid="{00000000-0005-0000-0000-000068800000}"/>
    <cellStyle name="Normal 7 7 4 3" xfId="38351" xr:uid="{00000000-0005-0000-0000-000069800000}"/>
    <cellStyle name="Normal 7 7 4 3 2" xfId="38352" xr:uid="{00000000-0005-0000-0000-00006A800000}"/>
    <cellStyle name="Normal 7 7 4 4" xfId="38353" xr:uid="{00000000-0005-0000-0000-00006B800000}"/>
    <cellStyle name="Normal 7 7 4 4 2" xfId="38354" xr:uid="{00000000-0005-0000-0000-00006C800000}"/>
    <cellStyle name="Normal 7 7 4 5" xfId="38355" xr:uid="{00000000-0005-0000-0000-00006D800000}"/>
    <cellStyle name="Normal 7 7 4 6" xfId="38356" xr:uid="{00000000-0005-0000-0000-00006E800000}"/>
    <cellStyle name="Normal 7 7 5" xfId="38357" xr:uid="{00000000-0005-0000-0000-00006F800000}"/>
    <cellStyle name="Normal 7 7 5 2" xfId="38358" xr:uid="{00000000-0005-0000-0000-000070800000}"/>
    <cellStyle name="Normal 7 7 5 2 2" xfId="38359" xr:uid="{00000000-0005-0000-0000-000071800000}"/>
    <cellStyle name="Normal 7 7 5 3" xfId="38360" xr:uid="{00000000-0005-0000-0000-000072800000}"/>
    <cellStyle name="Normal 7 7 5 3 2" xfId="38361" xr:uid="{00000000-0005-0000-0000-000073800000}"/>
    <cellStyle name="Normal 7 7 5 4" xfId="38362" xr:uid="{00000000-0005-0000-0000-000074800000}"/>
    <cellStyle name="Normal 7 7 5 4 2" xfId="38363" xr:uid="{00000000-0005-0000-0000-000075800000}"/>
    <cellStyle name="Normal 7 7 5 5" xfId="38364" xr:uid="{00000000-0005-0000-0000-000076800000}"/>
    <cellStyle name="Normal 7 7 5 6" xfId="38365" xr:uid="{00000000-0005-0000-0000-000077800000}"/>
    <cellStyle name="Normal 7 7 6" xfId="38366" xr:uid="{00000000-0005-0000-0000-000078800000}"/>
    <cellStyle name="Normal 7 7 6 2" xfId="38367" xr:uid="{00000000-0005-0000-0000-000079800000}"/>
    <cellStyle name="Normal 7 7 6 2 2" xfId="38368" xr:uid="{00000000-0005-0000-0000-00007A800000}"/>
    <cellStyle name="Normal 7 7 6 3" xfId="38369" xr:uid="{00000000-0005-0000-0000-00007B800000}"/>
    <cellStyle name="Normal 7 7 6 3 2" xfId="38370" xr:uid="{00000000-0005-0000-0000-00007C800000}"/>
    <cellStyle name="Normal 7 7 6 4" xfId="38371" xr:uid="{00000000-0005-0000-0000-00007D800000}"/>
    <cellStyle name="Normal 7 7 6 5" xfId="38372" xr:uid="{00000000-0005-0000-0000-00007E800000}"/>
    <cellStyle name="Normal 7 7 7" xfId="38373" xr:uid="{00000000-0005-0000-0000-00007F800000}"/>
    <cellStyle name="Normal 7 7 7 2" xfId="38374" xr:uid="{00000000-0005-0000-0000-000080800000}"/>
    <cellStyle name="Normal 7 7 8" xfId="38375" xr:uid="{00000000-0005-0000-0000-000081800000}"/>
    <cellStyle name="Normal 7 7 8 2" xfId="38376" xr:uid="{00000000-0005-0000-0000-000082800000}"/>
    <cellStyle name="Normal 7 7 9" xfId="38377" xr:uid="{00000000-0005-0000-0000-000083800000}"/>
    <cellStyle name="Normal 7 7 9 2" xfId="38378" xr:uid="{00000000-0005-0000-0000-000084800000}"/>
    <cellStyle name="Normal 7 8" xfId="38379" xr:uid="{00000000-0005-0000-0000-000085800000}"/>
    <cellStyle name="Normal 7 8 10" xfId="38380" xr:uid="{00000000-0005-0000-0000-000086800000}"/>
    <cellStyle name="Normal 7 8 2" xfId="38381" xr:uid="{00000000-0005-0000-0000-000087800000}"/>
    <cellStyle name="Normal 7 8 2 2" xfId="38382" xr:uid="{00000000-0005-0000-0000-000088800000}"/>
    <cellStyle name="Normal 7 8 2 2 2" xfId="38383" xr:uid="{00000000-0005-0000-0000-000089800000}"/>
    <cellStyle name="Normal 7 8 2 3" xfId="38384" xr:uid="{00000000-0005-0000-0000-00008A800000}"/>
    <cellStyle name="Normal 7 8 2 3 2" xfId="38385" xr:uid="{00000000-0005-0000-0000-00008B800000}"/>
    <cellStyle name="Normal 7 8 2 4" xfId="38386" xr:uid="{00000000-0005-0000-0000-00008C800000}"/>
    <cellStyle name="Normal 7 8 2 4 2" xfId="38387" xr:uid="{00000000-0005-0000-0000-00008D800000}"/>
    <cellStyle name="Normal 7 8 2 5" xfId="38388" xr:uid="{00000000-0005-0000-0000-00008E800000}"/>
    <cellStyle name="Normal 7 8 2 6" xfId="38389" xr:uid="{00000000-0005-0000-0000-00008F800000}"/>
    <cellStyle name="Normal 7 8 3" xfId="38390" xr:uid="{00000000-0005-0000-0000-000090800000}"/>
    <cellStyle name="Normal 7 8 3 2" xfId="38391" xr:uid="{00000000-0005-0000-0000-000091800000}"/>
    <cellStyle name="Normal 7 8 3 2 2" xfId="38392" xr:uid="{00000000-0005-0000-0000-000092800000}"/>
    <cellStyle name="Normal 7 8 3 3" xfId="38393" xr:uid="{00000000-0005-0000-0000-000093800000}"/>
    <cellStyle name="Normal 7 8 3 3 2" xfId="38394" xr:uid="{00000000-0005-0000-0000-000094800000}"/>
    <cellStyle name="Normal 7 8 3 4" xfId="38395" xr:uid="{00000000-0005-0000-0000-000095800000}"/>
    <cellStyle name="Normal 7 8 3 4 2" xfId="38396" xr:uid="{00000000-0005-0000-0000-000096800000}"/>
    <cellStyle name="Normal 7 8 3 5" xfId="38397" xr:uid="{00000000-0005-0000-0000-000097800000}"/>
    <cellStyle name="Normal 7 8 3 6" xfId="38398" xr:uid="{00000000-0005-0000-0000-000098800000}"/>
    <cellStyle name="Normal 7 8 4" xfId="38399" xr:uid="{00000000-0005-0000-0000-000099800000}"/>
    <cellStyle name="Normal 7 8 4 2" xfId="38400" xr:uid="{00000000-0005-0000-0000-00009A800000}"/>
    <cellStyle name="Normal 7 8 4 2 2" xfId="38401" xr:uid="{00000000-0005-0000-0000-00009B800000}"/>
    <cellStyle name="Normal 7 8 4 3" xfId="38402" xr:uid="{00000000-0005-0000-0000-00009C800000}"/>
    <cellStyle name="Normal 7 8 4 3 2" xfId="38403" xr:uid="{00000000-0005-0000-0000-00009D800000}"/>
    <cellStyle name="Normal 7 8 4 4" xfId="38404" xr:uid="{00000000-0005-0000-0000-00009E800000}"/>
    <cellStyle name="Normal 7 8 4 4 2" xfId="38405" xr:uid="{00000000-0005-0000-0000-00009F800000}"/>
    <cellStyle name="Normal 7 8 4 5" xfId="38406" xr:uid="{00000000-0005-0000-0000-0000A0800000}"/>
    <cellStyle name="Normal 7 8 4 6" xfId="38407" xr:uid="{00000000-0005-0000-0000-0000A1800000}"/>
    <cellStyle name="Normal 7 8 5" xfId="38408" xr:uid="{00000000-0005-0000-0000-0000A2800000}"/>
    <cellStyle name="Normal 7 8 5 2" xfId="38409" xr:uid="{00000000-0005-0000-0000-0000A3800000}"/>
    <cellStyle name="Normal 7 8 5 2 2" xfId="38410" xr:uid="{00000000-0005-0000-0000-0000A4800000}"/>
    <cellStyle name="Normal 7 8 5 3" xfId="38411" xr:uid="{00000000-0005-0000-0000-0000A5800000}"/>
    <cellStyle name="Normal 7 8 5 3 2" xfId="38412" xr:uid="{00000000-0005-0000-0000-0000A6800000}"/>
    <cellStyle name="Normal 7 8 5 4" xfId="38413" xr:uid="{00000000-0005-0000-0000-0000A7800000}"/>
    <cellStyle name="Normal 7 8 5 5" xfId="38414" xr:uid="{00000000-0005-0000-0000-0000A8800000}"/>
    <cellStyle name="Normal 7 8 6" xfId="38415" xr:uid="{00000000-0005-0000-0000-0000A9800000}"/>
    <cellStyle name="Normal 7 8 6 2" xfId="38416" xr:uid="{00000000-0005-0000-0000-0000AA800000}"/>
    <cellStyle name="Normal 7 8 7" xfId="38417" xr:uid="{00000000-0005-0000-0000-0000AB800000}"/>
    <cellStyle name="Normal 7 8 7 2" xfId="38418" xr:uid="{00000000-0005-0000-0000-0000AC800000}"/>
    <cellStyle name="Normal 7 8 8" xfId="38419" xr:uid="{00000000-0005-0000-0000-0000AD800000}"/>
    <cellStyle name="Normal 7 8 8 2" xfId="38420" xr:uid="{00000000-0005-0000-0000-0000AE800000}"/>
    <cellStyle name="Normal 7 8 9" xfId="38421" xr:uid="{00000000-0005-0000-0000-0000AF800000}"/>
    <cellStyle name="Normal 7 9" xfId="38422" xr:uid="{00000000-0005-0000-0000-0000B0800000}"/>
    <cellStyle name="Normal 7 9 10" xfId="38423" xr:uid="{00000000-0005-0000-0000-0000B1800000}"/>
    <cellStyle name="Normal 7 9 2" xfId="38424" xr:uid="{00000000-0005-0000-0000-0000B2800000}"/>
    <cellStyle name="Normal 7 9 2 2" xfId="38425" xr:uid="{00000000-0005-0000-0000-0000B3800000}"/>
    <cellStyle name="Normal 7 9 2 2 2" xfId="38426" xr:uid="{00000000-0005-0000-0000-0000B4800000}"/>
    <cellStyle name="Normal 7 9 2 3" xfId="38427" xr:uid="{00000000-0005-0000-0000-0000B5800000}"/>
    <cellStyle name="Normal 7 9 2 3 2" xfId="38428" xr:uid="{00000000-0005-0000-0000-0000B6800000}"/>
    <cellStyle name="Normal 7 9 2 4" xfId="38429" xr:uid="{00000000-0005-0000-0000-0000B7800000}"/>
    <cellStyle name="Normal 7 9 2 4 2" xfId="38430" xr:uid="{00000000-0005-0000-0000-0000B8800000}"/>
    <cellStyle name="Normal 7 9 2 5" xfId="38431" xr:uid="{00000000-0005-0000-0000-0000B9800000}"/>
    <cellStyle name="Normal 7 9 2 6" xfId="38432" xr:uid="{00000000-0005-0000-0000-0000BA800000}"/>
    <cellStyle name="Normal 7 9 3" xfId="38433" xr:uid="{00000000-0005-0000-0000-0000BB800000}"/>
    <cellStyle name="Normal 7 9 3 2" xfId="38434" xr:uid="{00000000-0005-0000-0000-0000BC800000}"/>
    <cellStyle name="Normal 7 9 3 2 2" xfId="38435" xr:uid="{00000000-0005-0000-0000-0000BD800000}"/>
    <cellStyle name="Normal 7 9 3 3" xfId="38436" xr:uid="{00000000-0005-0000-0000-0000BE800000}"/>
    <cellStyle name="Normal 7 9 3 3 2" xfId="38437" xr:uid="{00000000-0005-0000-0000-0000BF800000}"/>
    <cellStyle name="Normal 7 9 3 4" xfId="38438" xr:uid="{00000000-0005-0000-0000-0000C0800000}"/>
    <cellStyle name="Normal 7 9 3 4 2" xfId="38439" xr:uid="{00000000-0005-0000-0000-0000C1800000}"/>
    <cellStyle name="Normal 7 9 3 5" xfId="38440" xr:uid="{00000000-0005-0000-0000-0000C2800000}"/>
    <cellStyle name="Normal 7 9 3 6" xfId="38441" xr:uid="{00000000-0005-0000-0000-0000C3800000}"/>
    <cellStyle name="Normal 7 9 4" xfId="38442" xr:uid="{00000000-0005-0000-0000-0000C4800000}"/>
    <cellStyle name="Normal 7 9 4 2" xfId="38443" xr:uid="{00000000-0005-0000-0000-0000C5800000}"/>
    <cellStyle name="Normal 7 9 4 2 2" xfId="38444" xr:uid="{00000000-0005-0000-0000-0000C6800000}"/>
    <cellStyle name="Normal 7 9 4 3" xfId="38445" xr:uid="{00000000-0005-0000-0000-0000C7800000}"/>
    <cellStyle name="Normal 7 9 4 3 2" xfId="38446" xr:uid="{00000000-0005-0000-0000-0000C8800000}"/>
    <cellStyle name="Normal 7 9 4 4" xfId="38447" xr:uid="{00000000-0005-0000-0000-0000C9800000}"/>
    <cellStyle name="Normal 7 9 4 4 2" xfId="38448" xr:uid="{00000000-0005-0000-0000-0000CA800000}"/>
    <cellStyle name="Normal 7 9 4 5" xfId="38449" xr:uid="{00000000-0005-0000-0000-0000CB800000}"/>
    <cellStyle name="Normal 7 9 4 6" xfId="38450" xr:uid="{00000000-0005-0000-0000-0000CC800000}"/>
    <cellStyle name="Normal 7 9 5" xfId="38451" xr:uid="{00000000-0005-0000-0000-0000CD800000}"/>
    <cellStyle name="Normal 7 9 5 2" xfId="38452" xr:uid="{00000000-0005-0000-0000-0000CE800000}"/>
    <cellStyle name="Normal 7 9 5 2 2" xfId="38453" xr:uid="{00000000-0005-0000-0000-0000CF800000}"/>
    <cellStyle name="Normal 7 9 5 3" xfId="38454" xr:uid="{00000000-0005-0000-0000-0000D0800000}"/>
    <cellStyle name="Normal 7 9 5 3 2" xfId="38455" xr:uid="{00000000-0005-0000-0000-0000D1800000}"/>
    <cellStyle name="Normal 7 9 5 4" xfId="38456" xr:uid="{00000000-0005-0000-0000-0000D2800000}"/>
    <cellStyle name="Normal 7 9 5 5" xfId="38457" xr:uid="{00000000-0005-0000-0000-0000D3800000}"/>
    <cellStyle name="Normal 7 9 6" xfId="38458" xr:uid="{00000000-0005-0000-0000-0000D4800000}"/>
    <cellStyle name="Normal 7 9 6 2" xfId="38459" xr:uid="{00000000-0005-0000-0000-0000D5800000}"/>
    <cellStyle name="Normal 7 9 7" xfId="38460" xr:uid="{00000000-0005-0000-0000-0000D6800000}"/>
    <cellStyle name="Normal 7 9 7 2" xfId="38461" xr:uid="{00000000-0005-0000-0000-0000D7800000}"/>
    <cellStyle name="Normal 7 9 8" xfId="38462" xr:uid="{00000000-0005-0000-0000-0000D8800000}"/>
    <cellStyle name="Normal 7 9 8 2" xfId="38463" xr:uid="{00000000-0005-0000-0000-0000D9800000}"/>
    <cellStyle name="Normal 7 9 9" xfId="38464" xr:uid="{00000000-0005-0000-0000-0000DA800000}"/>
    <cellStyle name="Normal 70" xfId="12207" xr:uid="{00000000-0005-0000-0000-0000DB800000}"/>
    <cellStyle name="Normal 70 2" xfId="38465" xr:uid="{00000000-0005-0000-0000-0000DC800000}"/>
    <cellStyle name="Normal 71" xfId="12208" xr:uid="{00000000-0005-0000-0000-0000DD800000}"/>
    <cellStyle name="Normal 71 2" xfId="38466" xr:uid="{00000000-0005-0000-0000-0000DE800000}"/>
    <cellStyle name="Normal 72" xfId="12209" xr:uid="{00000000-0005-0000-0000-0000DF800000}"/>
    <cellStyle name="Normal 72 2" xfId="38467" xr:uid="{00000000-0005-0000-0000-0000E0800000}"/>
    <cellStyle name="Normal 73" xfId="12210" xr:uid="{00000000-0005-0000-0000-0000E1800000}"/>
    <cellStyle name="Normal 73 2" xfId="38468" xr:uid="{00000000-0005-0000-0000-0000E2800000}"/>
    <cellStyle name="Normal 74" xfId="12211" xr:uid="{00000000-0005-0000-0000-0000E3800000}"/>
    <cellStyle name="Normal 74 2" xfId="38469" xr:uid="{00000000-0005-0000-0000-0000E4800000}"/>
    <cellStyle name="Normal 75" xfId="12212" xr:uid="{00000000-0005-0000-0000-0000E5800000}"/>
    <cellStyle name="Normal 75 2" xfId="38470" xr:uid="{00000000-0005-0000-0000-0000E6800000}"/>
    <cellStyle name="Normal 76" xfId="12213" xr:uid="{00000000-0005-0000-0000-0000E7800000}"/>
    <cellStyle name="Normal 76 2" xfId="38471" xr:uid="{00000000-0005-0000-0000-0000E8800000}"/>
    <cellStyle name="Normal 77" xfId="12214" xr:uid="{00000000-0005-0000-0000-0000E9800000}"/>
    <cellStyle name="Normal 77 2" xfId="38472" xr:uid="{00000000-0005-0000-0000-0000EA800000}"/>
    <cellStyle name="Normal 78" xfId="12215" xr:uid="{00000000-0005-0000-0000-0000EB800000}"/>
    <cellStyle name="Normal 78 2" xfId="12216" xr:uid="{00000000-0005-0000-0000-0000EC800000}"/>
    <cellStyle name="Normal 78 3" xfId="38473" xr:uid="{00000000-0005-0000-0000-0000ED800000}"/>
    <cellStyle name="Normal 79" xfId="12217" xr:uid="{00000000-0005-0000-0000-0000EE800000}"/>
    <cellStyle name="Normal 79 2" xfId="12218" xr:uid="{00000000-0005-0000-0000-0000EF800000}"/>
    <cellStyle name="Normal 79 3" xfId="38474" xr:uid="{00000000-0005-0000-0000-0000F0800000}"/>
    <cellStyle name="Normal 8" xfId="7322" xr:uid="{00000000-0005-0000-0000-0000F1800000}"/>
    <cellStyle name="Normal 8 10" xfId="7323" xr:uid="{00000000-0005-0000-0000-0000F2800000}"/>
    <cellStyle name="Normal 8 10 2" xfId="7324" xr:uid="{00000000-0005-0000-0000-0000F3800000}"/>
    <cellStyle name="Normal 8 10 3" xfId="7325" xr:uid="{00000000-0005-0000-0000-0000F4800000}"/>
    <cellStyle name="Normal 8 11" xfId="7326" xr:uid="{00000000-0005-0000-0000-0000F5800000}"/>
    <cellStyle name="Normal 8 11 2" xfId="7327" xr:uid="{00000000-0005-0000-0000-0000F6800000}"/>
    <cellStyle name="Normal 8 12" xfId="7328" xr:uid="{00000000-0005-0000-0000-0000F7800000}"/>
    <cellStyle name="Normal 8 12 2" xfId="7329" xr:uid="{00000000-0005-0000-0000-0000F8800000}"/>
    <cellStyle name="Normal 8 13" xfId="7330" xr:uid="{00000000-0005-0000-0000-0000F9800000}"/>
    <cellStyle name="Normal 8 14" xfId="17679" xr:uid="{00000000-0005-0000-0000-0000FA800000}"/>
    <cellStyle name="Normal 8 2" xfId="7331" xr:uid="{00000000-0005-0000-0000-0000FB800000}"/>
    <cellStyle name="Normal 8 2 10" xfId="7332" xr:uid="{00000000-0005-0000-0000-0000FC800000}"/>
    <cellStyle name="Normal 8 2 10 2" xfId="7333" xr:uid="{00000000-0005-0000-0000-0000FD800000}"/>
    <cellStyle name="Normal 8 2 11" xfId="7334" xr:uid="{00000000-0005-0000-0000-0000FE800000}"/>
    <cellStyle name="Normal 8 2 12" xfId="38475" xr:uid="{00000000-0005-0000-0000-0000FF800000}"/>
    <cellStyle name="Normal 8 2 2" xfId="7335" xr:uid="{00000000-0005-0000-0000-000000810000}"/>
    <cellStyle name="Normal 8 2 2 2" xfId="7336" xr:uid="{00000000-0005-0000-0000-000001810000}"/>
    <cellStyle name="Normal 8 2 2 2 2" xfId="7337" xr:uid="{00000000-0005-0000-0000-000002810000}"/>
    <cellStyle name="Normal 8 2 2 2 2 2" xfId="7338" xr:uid="{00000000-0005-0000-0000-000003810000}"/>
    <cellStyle name="Normal 8 2 2 2 2 2 2" xfId="7339" xr:uid="{00000000-0005-0000-0000-000004810000}"/>
    <cellStyle name="Normal 8 2 2 2 2 2 3" xfId="7340" xr:uid="{00000000-0005-0000-0000-000005810000}"/>
    <cellStyle name="Normal 8 2 2 2 2 3" xfId="7341" xr:uid="{00000000-0005-0000-0000-000006810000}"/>
    <cellStyle name="Normal 8 2 2 2 2 3 2" xfId="7342" xr:uid="{00000000-0005-0000-0000-000007810000}"/>
    <cellStyle name="Normal 8 2 2 2 2 4" xfId="7343" xr:uid="{00000000-0005-0000-0000-000008810000}"/>
    <cellStyle name="Normal 8 2 2 2 2 4 2" xfId="7344" xr:uid="{00000000-0005-0000-0000-000009810000}"/>
    <cellStyle name="Normal 8 2 2 2 2 5" xfId="7345" xr:uid="{00000000-0005-0000-0000-00000A810000}"/>
    <cellStyle name="Normal 8 2 2 2 3" xfId="7346" xr:uid="{00000000-0005-0000-0000-00000B810000}"/>
    <cellStyle name="Normal 8 2 2 2 3 2" xfId="7347" xr:uid="{00000000-0005-0000-0000-00000C810000}"/>
    <cellStyle name="Normal 8 2 2 2 3 2 2" xfId="7348" xr:uid="{00000000-0005-0000-0000-00000D810000}"/>
    <cellStyle name="Normal 8 2 2 2 3 3" xfId="7349" xr:uid="{00000000-0005-0000-0000-00000E810000}"/>
    <cellStyle name="Normal 8 2 2 2 3 3 2" xfId="7350" xr:uid="{00000000-0005-0000-0000-00000F810000}"/>
    <cellStyle name="Normal 8 2 2 2 3 4" xfId="7351" xr:uid="{00000000-0005-0000-0000-000010810000}"/>
    <cellStyle name="Normal 8 2 2 2 4" xfId="7352" xr:uid="{00000000-0005-0000-0000-000011810000}"/>
    <cellStyle name="Normal 8 2 2 2 4 2" xfId="7353" xr:uid="{00000000-0005-0000-0000-000012810000}"/>
    <cellStyle name="Normal 8 2 2 2 4 3" xfId="7354" xr:uid="{00000000-0005-0000-0000-000013810000}"/>
    <cellStyle name="Normal 8 2 2 2 5" xfId="7355" xr:uid="{00000000-0005-0000-0000-000014810000}"/>
    <cellStyle name="Normal 8 2 2 2 5 2" xfId="7356" xr:uid="{00000000-0005-0000-0000-000015810000}"/>
    <cellStyle name="Normal 8 2 2 2 6" xfId="7357" xr:uid="{00000000-0005-0000-0000-000016810000}"/>
    <cellStyle name="Normal 8 2 2 2 6 2" xfId="7358" xr:uid="{00000000-0005-0000-0000-000017810000}"/>
    <cellStyle name="Normal 8 2 2 2 7" xfId="7359" xr:uid="{00000000-0005-0000-0000-000018810000}"/>
    <cellStyle name="Normal 8 2 2 3" xfId="7360" xr:uid="{00000000-0005-0000-0000-000019810000}"/>
    <cellStyle name="Normal 8 2 2 3 2" xfId="7361" xr:uid="{00000000-0005-0000-0000-00001A810000}"/>
    <cellStyle name="Normal 8 2 2 3 2 2" xfId="7362" xr:uid="{00000000-0005-0000-0000-00001B810000}"/>
    <cellStyle name="Normal 8 2 2 3 2 3" xfId="7363" xr:uid="{00000000-0005-0000-0000-00001C810000}"/>
    <cellStyle name="Normal 8 2 2 3 3" xfId="7364" xr:uid="{00000000-0005-0000-0000-00001D810000}"/>
    <cellStyle name="Normal 8 2 2 3 3 2" xfId="7365" xr:uid="{00000000-0005-0000-0000-00001E810000}"/>
    <cellStyle name="Normal 8 2 2 3 4" xfId="7366" xr:uid="{00000000-0005-0000-0000-00001F810000}"/>
    <cellStyle name="Normal 8 2 2 3 4 2" xfId="7367" xr:uid="{00000000-0005-0000-0000-000020810000}"/>
    <cellStyle name="Normal 8 2 2 3 5" xfId="7368" xr:uid="{00000000-0005-0000-0000-000021810000}"/>
    <cellStyle name="Normal 8 2 2 4" xfId="7369" xr:uid="{00000000-0005-0000-0000-000022810000}"/>
    <cellStyle name="Normal 8 2 2 4 2" xfId="7370" xr:uid="{00000000-0005-0000-0000-000023810000}"/>
    <cellStyle name="Normal 8 2 2 4 2 2" xfId="7371" xr:uid="{00000000-0005-0000-0000-000024810000}"/>
    <cellStyle name="Normal 8 2 2 4 3" xfId="7372" xr:uid="{00000000-0005-0000-0000-000025810000}"/>
    <cellStyle name="Normal 8 2 2 4 3 2" xfId="7373" xr:uid="{00000000-0005-0000-0000-000026810000}"/>
    <cellStyle name="Normal 8 2 2 4 4" xfId="7374" xr:uid="{00000000-0005-0000-0000-000027810000}"/>
    <cellStyle name="Normal 8 2 2 5" xfId="7375" xr:uid="{00000000-0005-0000-0000-000028810000}"/>
    <cellStyle name="Normal 8 2 2 5 2" xfId="7376" xr:uid="{00000000-0005-0000-0000-000029810000}"/>
    <cellStyle name="Normal 8 2 2 5 3" xfId="7377" xr:uid="{00000000-0005-0000-0000-00002A810000}"/>
    <cellStyle name="Normal 8 2 2 6" xfId="7378" xr:uid="{00000000-0005-0000-0000-00002B810000}"/>
    <cellStyle name="Normal 8 2 2 6 2" xfId="7379" xr:uid="{00000000-0005-0000-0000-00002C810000}"/>
    <cellStyle name="Normal 8 2 2 7" xfId="7380" xr:uid="{00000000-0005-0000-0000-00002D810000}"/>
    <cellStyle name="Normal 8 2 2 7 2" xfId="7381" xr:uid="{00000000-0005-0000-0000-00002E810000}"/>
    <cellStyle name="Normal 8 2 2 8" xfId="7382" xr:uid="{00000000-0005-0000-0000-00002F810000}"/>
    <cellStyle name="Normal 8 2 3" xfId="7383" xr:uid="{00000000-0005-0000-0000-000030810000}"/>
    <cellStyle name="Normal 8 2 3 2" xfId="7384" xr:uid="{00000000-0005-0000-0000-000031810000}"/>
    <cellStyle name="Normal 8 2 3 2 2" xfId="7385" xr:uid="{00000000-0005-0000-0000-000032810000}"/>
    <cellStyle name="Normal 8 2 3 2 2 2" xfId="7386" xr:uid="{00000000-0005-0000-0000-000033810000}"/>
    <cellStyle name="Normal 8 2 3 2 2 3" xfId="7387" xr:uid="{00000000-0005-0000-0000-000034810000}"/>
    <cellStyle name="Normal 8 2 3 2 3" xfId="7388" xr:uid="{00000000-0005-0000-0000-000035810000}"/>
    <cellStyle name="Normal 8 2 3 2 3 2" xfId="7389" xr:uid="{00000000-0005-0000-0000-000036810000}"/>
    <cellStyle name="Normal 8 2 3 2 4" xfId="7390" xr:uid="{00000000-0005-0000-0000-000037810000}"/>
    <cellStyle name="Normal 8 2 3 2 4 2" xfId="7391" xr:uid="{00000000-0005-0000-0000-000038810000}"/>
    <cellStyle name="Normal 8 2 3 2 5" xfId="7392" xr:uid="{00000000-0005-0000-0000-000039810000}"/>
    <cellStyle name="Normal 8 2 3 3" xfId="7393" xr:uid="{00000000-0005-0000-0000-00003A810000}"/>
    <cellStyle name="Normal 8 2 3 3 2" xfId="7394" xr:uid="{00000000-0005-0000-0000-00003B810000}"/>
    <cellStyle name="Normal 8 2 3 3 2 2" xfId="7395" xr:uid="{00000000-0005-0000-0000-00003C810000}"/>
    <cellStyle name="Normal 8 2 3 3 3" xfId="7396" xr:uid="{00000000-0005-0000-0000-00003D810000}"/>
    <cellStyle name="Normal 8 2 3 3 3 2" xfId="7397" xr:uid="{00000000-0005-0000-0000-00003E810000}"/>
    <cellStyle name="Normal 8 2 3 3 4" xfId="7398" xr:uid="{00000000-0005-0000-0000-00003F810000}"/>
    <cellStyle name="Normal 8 2 3 4" xfId="7399" xr:uid="{00000000-0005-0000-0000-000040810000}"/>
    <cellStyle name="Normal 8 2 3 4 2" xfId="7400" xr:uid="{00000000-0005-0000-0000-000041810000}"/>
    <cellStyle name="Normal 8 2 3 4 3" xfId="7401" xr:uid="{00000000-0005-0000-0000-000042810000}"/>
    <cellStyle name="Normal 8 2 3 5" xfId="7402" xr:uid="{00000000-0005-0000-0000-000043810000}"/>
    <cellStyle name="Normal 8 2 3 5 2" xfId="7403" xr:uid="{00000000-0005-0000-0000-000044810000}"/>
    <cellStyle name="Normal 8 2 3 6" xfId="7404" xr:uid="{00000000-0005-0000-0000-000045810000}"/>
    <cellStyle name="Normal 8 2 3 6 2" xfId="7405" xr:uid="{00000000-0005-0000-0000-000046810000}"/>
    <cellStyle name="Normal 8 2 3 7" xfId="7406" xr:uid="{00000000-0005-0000-0000-000047810000}"/>
    <cellStyle name="Normal 8 2 4" xfId="7407" xr:uid="{00000000-0005-0000-0000-000048810000}"/>
    <cellStyle name="Normal 8 2 4 2" xfId="7408" xr:uid="{00000000-0005-0000-0000-000049810000}"/>
    <cellStyle name="Normal 8 2 4 2 2" xfId="7409" xr:uid="{00000000-0005-0000-0000-00004A810000}"/>
    <cellStyle name="Normal 8 2 4 2 2 2" xfId="7410" xr:uid="{00000000-0005-0000-0000-00004B810000}"/>
    <cellStyle name="Normal 8 2 4 2 2 3" xfId="7411" xr:uid="{00000000-0005-0000-0000-00004C810000}"/>
    <cellStyle name="Normal 8 2 4 2 3" xfId="7412" xr:uid="{00000000-0005-0000-0000-00004D810000}"/>
    <cellStyle name="Normal 8 2 4 2 3 2" xfId="7413" xr:uid="{00000000-0005-0000-0000-00004E810000}"/>
    <cellStyle name="Normal 8 2 4 2 4" xfId="7414" xr:uid="{00000000-0005-0000-0000-00004F810000}"/>
    <cellStyle name="Normal 8 2 4 2 4 2" xfId="7415" xr:uid="{00000000-0005-0000-0000-000050810000}"/>
    <cellStyle name="Normal 8 2 4 2 5" xfId="7416" xr:uid="{00000000-0005-0000-0000-000051810000}"/>
    <cellStyle name="Normal 8 2 4 3" xfId="7417" xr:uid="{00000000-0005-0000-0000-000052810000}"/>
    <cellStyle name="Normal 8 2 4 3 2" xfId="7418" xr:uid="{00000000-0005-0000-0000-000053810000}"/>
    <cellStyle name="Normal 8 2 4 3 2 2" xfId="7419" xr:uid="{00000000-0005-0000-0000-000054810000}"/>
    <cellStyle name="Normal 8 2 4 3 3" xfId="7420" xr:uid="{00000000-0005-0000-0000-000055810000}"/>
    <cellStyle name="Normal 8 2 4 3 3 2" xfId="7421" xr:uid="{00000000-0005-0000-0000-000056810000}"/>
    <cellStyle name="Normal 8 2 4 3 4" xfId="7422" xr:uid="{00000000-0005-0000-0000-000057810000}"/>
    <cellStyle name="Normal 8 2 4 4" xfId="7423" xr:uid="{00000000-0005-0000-0000-000058810000}"/>
    <cellStyle name="Normal 8 2 4 4 2" xfId="7424" xr:uid="{00000000-0005-0000-0000-000059810000}"/>
    <cellStyle name="Normal 8 2 4 4 3" xfId="7425" xr:uid="{00000000-0005-0000-0000-00005A810000}"/>
    <cellStyle name="Normal 8 2 4 5" xfId="7426" xr:uid="{00000000-0005-0000-0000-00005B810000}"/>
    <cellStyle name="Normal 8 2 4 5 2" xfId="7427" xr:uid="{00000000-0005-0000-0000-00005C810000}"/>
    <cellStyle name="Normal 8 2 4 6" xfId="7428" xr:uid="{00000000-0005-0000-0000-00005D810000}"/>
    <cellStyle name="Normal 8 2 4 6 2" xfId="7429" xr:uid="{00000000-0005-0000-0000-00005E810000}"/>
    <cellStyle name="Normal 8 2 4 7" xfId="7430" xr:uid="{00000000-0005-0000-0000-00005F810000}"/>
    <cellStyle name="Normal 8 2 5" xfId="7431" xr:uid="{00000000-0005-0000-0000-000060810000}"/>
    <cellStyle name="Normal 8 2 5 2" xfId="7432" xr:uid="{00000000-0005-0000-0000-000061810000}"/>
    <cellStyle name="Normal 8 2 5 2 2" xfId="7433" xr:uid="{00000000-0005-0000-0000-000062810000}"/>
    <cellStyle name="Normal 8 2 5 2 2 2" xfId="7434" xr:uid="{00000000-0005-0000-0000-000063810000}"/>
    <cellStyle name="Normal 8 2 5 2 3" xfId="7435" xr:uid="{00000000-0005-0000-0000-000064810000}"/>
    <cellStyle name="Normal 8 2 5 2 3 2" xfId="7436" xr:uid="{00000000-0005-0000-0000-000065810000}"/>
    <cellStyle name="Normal 8 2 5 2 4" xfId="7437" xr:uid="{00000000-0005-0000-0000-000066810000}"/>
    <cellStyle name="Normal 8 2 5 3" xfId="7438" xr:uid="{00000000-0005-0000-0000-000067810000}"/>
    <cellStyle name="Normal 8 2 5 3 2" xfId="7439" xr:uid="{00000000-0005-0000-0000-000068810000}"/>
    <cellStyle name="Normal 8 2 5 3 3" xfId="7440" xr:uid="{00000000-0005-0000-0000-000069810000}"/>
    <cellStyle name="Normal 8 2 5 4" xfId="7441" xr:uid="{00000000-0005-0000-0000-00006A810000}"/>
    <cellStyle name="Normal 8 2 5 4 2" xfId="7442" xr:uid="{00000000-0005-0000-0000-00006B810000}"/>
    <cellStyle name="Normal 8 2 5 5" xfId="7443" xr:uid="{00000000-0005-0000-0000-00006C810000}"/>
    <cellStyle name="Normal 8 2 5 5 2" xfId="7444" xr:uid="{00000000-0005-0000-0000-00006D810000}"/>
    <cellStyle name="Normal 8 2 5 6" xfId="7445" xr:uid="{00000000-0005-0000-0000-00006E810000}"/>
    <cellStyle name="Normal 8 2 6" xfId="7446" xr:uid="{00000000-0005-0000-0000-00006F810000}"/>
    <cellStyle name="Normal 8 2 6 2" xfId="7447" xr:uid="{00000000-0005-0000-0000-000070810000}"/>
    <cellStyle name="Normal 8 2 6 2 2" xfId="7448" xr:uid="{00000000-0005-0000-0000-000071810000}"/>
    <cellStyle name="Normal 8 2 6 3" xfId="7449" xr:uid="{00000000-0005-0000-0000-000072810000}"/>
    <cellStyle name="Normal 8 2 6 3 2" xfId="7450" xr:uid="{00000000-0005-0000-0000-000073810000}"/>
    <cellStyle name="Normal 8 2 6 4" xfId="7451" xr:uid="{00000000-0005-0000-0000-000074810000}"/>
    <cellStyle name="Normal 8 2 7" xfId="7452" xr:uid="{00000000-0005-0000-0000-000075810000}"/>
    <cellStyle name="Normal 8 2 7 2" xfId="7453" xr:uid="{00000000-0005-0000-0000-000076810000}"/>
    <cellStyle name="Normal 8 2 7 2 2" xfId="7454" xr:uid="{00000000-0005-0000-0000-000077810000}"/>
    <cellStyle name="Normal 8 2 7 3" xfId="7455" xr:uid="{00000000-0005-0000-0000-000078810000}"/>
    <cellStyle name="Normal 8 2 7 3 2" xfId="7456" xr:uid="{00000000-0005-0000-0000-000079810000}"/>
    <cellStyle name="Normal 8 2 7 4" xfId="7457" xr:uid="{00000000-0005-0000-0000-00007A810000}"/>
    <cellStyle name="Normal 8 2 8" xfId="7458" xr:uid="{00000000-0005-0000-0000-00007B810000}"/>
    <cellStyle name="Normal 8 2 8 2" xfId="7459" xr:uid="{00000000-0005-0000-0000-00007C810000}"/>
    <cellStyle name="Normal 8 2 8 3" xfId="7460" xr:uid="{00000000-0005-0000-0000-00007D810000}"/>
    <cellStyle name="Normal 8 2 9" xfId="7461" xr:uid="{00000000-0005-0000-0000-00007E810000}"/>
    <cellStyle name="Normal 8 2 9 2" xfId="7462" xr:uid="{00000000-0005-0000-0000-00007F810000}"/>
    <cellStyle name="Normal 8 3" xfId="7463" xr:uid="{00000000-0005-0000-0000-000080810000}"/>
    <cellStyle name="Normal 8 3 10" xfId="7464" xr:uid="{00000000-0005-0000-0000-000081810000}"/>
    <cellStyle name="Normal 8 3 2" xfId="7465" xr:uid="{00000000-0005-0000-0000-000082810000}"/>
    <cellStyle name="Normal 8 3 2 2" xfId="7466" xr:uid="{00000000-0005-0000-0000-000083810000}"/>
    <cellStyle name="Normal 8 3 2 2 2" xfId="7467" xr:uid="{00000000-0005-0000-0000-000084810000}"/>
    <cellStyle name="Normal 8 3 2 2 2 2" xfId="7468" xr:uid="{00000000-0005-0000-0000-000085810000}"/>
    <cellStyle name="Normal 8 3 2 2 2 3" xfId="7469" xr:uid="{00000000-0005-0000-0000-000086810000}"/>
    <cellStyle name="Normal 8 3 2 2 3" xfId="7470" xr:uid="{00000000-0005-0000-0000-000087810000}"/>
    <cellStyle name="Normal 8 3 2 2 3 2" xfId="7471" xr:uid="{00000000-0005-0000-0000-000088810000}"/>
    <cellStyle name="Normal 8 3 2 2 4" xfId="7472" xr:uid="{00000000-0005-0000-0000-000089810000}"/>
    <cellStyle name="Normal 8 3 2 2 4 2" xfId="7473" xr:uid="{00000000-0005-0000-0000-00008A810000}"/>
    <cellStyle name="Normal 8 3 2 2 5" xfId="7474" xr:uid="{00000000-0005-0000-0000-00008B810000}"/>
    <cellStyle name="Normal 8 3 2 3" xfId="7475" xr:uid="{00000000-0005-0000-0000-00008C810000}"/>
    <cellStyle name="Normal 8 3 2 3 2" xfId="7476" xr:uid="{00000000-0005-0000-0000-00008D810000}"/>
    <cellStyle name="Normal 8 3 2 3 2 2" xfId="7477" xr:uid="{00000000-0005-0000-0000-00008E810000}"/>
    <cellStyle name="Normal 8 3 2 3 3" xfId="7478" xr:uid="{00000000-0005-0000-0000-00008F810000}"/>
    <cellStyle name="Normal 8 3 2 3 3 2" xfId="7479" xr:uid="{00000000-0005-0000-0000-000090810000}"/>
    <cellStyle name="Normal 8 3 2 3 4" xfId="7480" xr:uid="{00000000-0005-0000-0000-000091810000}"/>
    <cellStyle name="Normal 8 3 2 4" xfId="7481" xr:uid="{00000000-0005-0000-0000-000092810000}"/>
    <cellStyle name="Normal 8 3 2 4 2" xfId="7482" xr:uid="{00000000-0005-0000-0000-000093810000}"/>
    <cellStyle name="Normal 8 3 2 4 3" xfId="7483" xr:uid="{00000000-0005-0000-0000-000094810000}"/>
    <cellStyle name="Normal 8 3 2 5" xfId="7484" xr:uid="{00000000-0005-0000-0000-000095810000}"/>
    <cellStyle name="Normal 8 3 2 5 2" xfId="7485" xr:uid="{00000000-0005-0000-0000-000096810000}"/>
    <cellStyle name="Normal 8 3 2 6" xfId="7486" xr:uid="{00000000-0005-0000-0000-000097810000}"/>
    <cellStyle name="Normal 8 3 2 6 2" xfId="7487" xr:uid="{00000000-0005-0000-0000-000098810000}"/>
    <cellStyle name="Normal 8 3 2 7" xfId="7488" xr:uid="{00000000-0005-0000-0000-000099810000}"/>
    <cellStyle name="Normal 8 3 3" xfId="7489" xr:uid="{00000000-0005-0000-0000-00009A810000}"/>
    <cellStyle name="Normal 8 3 3 2" xfId="7490" xr:uid="{00000000-0005-0000-0000-00009B810000}"/>
    <cellStyle name="Normal 8 3 3 2 2" xfId="7491" xr:uid="{00000000-0005-0000-0000-00009C810000}"/>
    <cellStyle name="Normal 8 3 3 2 2 2" xfId="7492" xr:uid="{00000000-0005-0000-0000-00009D810000}"/>
    <cellStyle name="Normal 8 3 3 2 2 3" xfId="7493" xr:uid="{00000000-0005-0000-0000-00009E810000}"/>
    <cellStyle name="Normal 8 3 3 2 3" xfId="7494" xr:uid="{00000000-0005-0000-0000-00009F810000}"/>
    <cellStyle name="Normal 8 3 3 2 3 2" xfId="7495" xr:uid="{00000000-0005-0000-0000-0000A0810000}"/>
    <cellStyle name="Normal 8 3 3 2 4" xfId="7496" xr:uid="{00000000-0005-0000-0000-0000A1810000}"/>
    <cellStyle name="Normal 8 3 3 2 4 2" xfId="7497" xr:uid="{00000000-0005-0000-0000-0000A2810000}"/>
    <cellStyle name="Normal 8 3 3 2 5" xfId="7498" xr:uid="{00000000-0005-0000-0000-0000A3810000}"/>
    <cellStyle name="Normal 8 3 3 3" xfId="7499" xr:uid="{00000000-0005-0000-0000-0000A4810000}"/>
    <cellStyle name="Normal 8 3 3 3 2" xfId="7500" xr:uid="{00000000-0005-0000-0000-0000A5810000}"/>
    <cellStyle name="Normal 8 3 3 3 2 2" xfId="7501" xr:uid="{00000000-0005-0000-0000-0000A6810000}"/>
    <cellStyle name="Normal 8 3 3 3 3" xfId="7502" xr:uid="{00000000-0005-0000-0000-0000A7810000}"/>
    <cellStyle name="Normal 8 3 3 3 3 2" xfId="7503" xr:uid="{00000000-0005-0000-0000-0000A8810000}"/>
    <cellStyle name="Normal 8 3 3 3 4" xfId="7504" xr:uid="{00000000-0005-0000-0000-0000A9810000}"/>
    <cellStyle name="Normal 8 3 3 4" xfId="7505" xr:uid="{00000000-0005-0000-0000-0000AA810000}"/>
    <cellStyle name="Normal 8 3 3 4 2" xfId="7506" xr:uid="{00000000-0005-0000-0000-0000AB810000}"/>
    <cellStyle name="Normal 8 3 3 4 3" xfId="7507" xr:uid="{00000000-0005-0000-0000-0000AC810000}"/>
    <cellStyle name="Normal 8 3 3 5" xfId="7508" xr:uid="{00000000-0005-0000-0000-0000AD810000}"/>
    <cellStyle name="Normal 8 3 3 5 2" xfId="7509" xr:uid="{00000000-0005-0000-0000-0000AE810000}"/>
    <cellStyle name="Normal 8 3 3 6" xfId="7510" xr:uid="{00000000-0005-0000-0000-0000AF810000}"/>
    <cellStyle name="Normal 8 3 3 6 2" xfId="7511" xr:uid="{00000000-0005-0000-0000-0000B0810000}"/>
    <cellStyle name="Normal 8 3 3 7" xfId="7512" xr:uid="{00000000-0005-0000-0000-0000B1810000}"/>
    <cellStyle name="Normal 8 3 4" xfId="7513" xr:uid="{00000000-0005-0000-0000-0000B2810000}"/>
    <cellStyle name="Normal 8 3 4 2" xfId="7514" xr:uid="{00000000-0005-0000-0000-0000B3810000}"/>
    <cellStyle name="Normal 8 3 4 2 2" xfId="7515" xr:uid="{00000000-0005-0000-0000-0000B4810000}"/>
    <cellStyle name="Normal 8 3 4 2 2 2" xfId="7516" xr:uid="{00000000-0005-0000-0000-0000B5810000}"/>
    <cellStyle name="Normal 8 3 4 2 3" xfId="7517" xr:uid="{00000000-0005-0000-0000-0000B6810000}"/>
    <cellStyle name="Normal 8 3 4 2 3 2" xfId="7518" xr:uid="{00000000-0005-0000-0000-0000B7810000}"/>
    <cellStyle name="Normal 8 3 4 2 4" xfId="7519" xr:uid="{00000000-0005-0000-0000-0000B8810000}"/>
    <cellStyle name="Normal 8 3 4 3" xfId="7520" xr:uid="{00000000-0005-0000-0000-0000B9810000}"/>
    <cellStyle name="Normal 8 3 4 3 2" xfId="7521" xr:uid="{00000000-0005-0000-0000-0000BA810000}"/>
    <cellStyle name="Normal 8 3 4 3 3" xfId="7522" xr:uid="{00000000-0005-0000-0000-0000BB810000}"/>
    <cellStyle name="Normal 8 3 4 4" xfId="7523" xr:uid="{00000000-0005-0000-0000-0000BC810000}"/>
    <cellStyle name="Normal 8 3 4 4 2" xfId="7524" xr:uid="{00000000-0005-0000-0000-0000BD810000}"/>
    <cellStyle name="Normal 8 3 4 5" xfId="7525" xr:uid="{00000000-0005-0000-0000-0000BE810000}"/>
    <cellStyle name="Normal 8 3 4 5 2" xfId="7526" xr:uid="{00000000-0005-0000-0000-0000BF810000}"/>
    <cellStyle name="Normal 8 3 4 6" xfId="7527" xr:uid="{00000000-0005-0000-0000-0000C0810000}"/>
    <cellStyle name="Normal 8 3 5" xfId="7528" xr:uid="{00000000-0005-0000-0000-0000C1810000}"/>
    <cellStyle name="Normal 8 3 5 2" xfId="7529" xr:uid="{00000000-0005-0000-0000-0000C2810000}"/>
    <cellStyle name="Normal 8 3 5 2 2" xfId="7530" xr:uid="{00000000-0005-0000-0000-0000C3810000}"/>
    <cellStyle name="Normal 8 3 5 3" xfId="7531" xr:uid="{00000000-0005-0000-0000-0000C4810000}"/>
    <cellStyle name="Normal 8 3 5 3 2" xfId="7532" xr:uid="{00000000-0005-0000-0000-0000C5810000}"/>
    <cellStyle name="Normal 8 3 5 4" xfId="7533" xr:uid="{00000000-0005-0000-0000-0000C6810000}"/>
    <cellStyle name="Normal 8 3 6" xfId="7534" xr:uid="{00000000-0005-0000-0000-0000C7810000}"/>
    <cellStyle name="Normal 8 3 6 2" xfId="7535" xr:uid="{00000000-0005-0000-0000-0000C8810000}"/>
    <cellStyle name="Normal 8 3 6 2 2" xfId="7536" xr:uid="{00000000-0005-0000-0000-0000C9810000}"/>
    <cellStyle name="Normal 8 3 6 3" xfId="7537" xr:uid="{00000000-0005-0000-0000-0000CA810000}"/>
    <cellStyle name="Normal 8 3 6 3 2" xfId="7538" xr:uid="{00000000-0005-0000-0000-0000CB810000}"/>
    <cellStyle name="Normal 8 3 6 4" xfId="7539" xr:uid="{00000000-0005-0000-0000-0000CC810000}"/>
    <cellStyle name="Normal 8 3 7" xfId="7540" xr:uid="{00000000-0005-0000-0000-0000CD810000}"/>
    <cellStyle name="Normal 8 3 7 2" xfId="7541" xr:uid="{00000000-0005-0000-0000-0000CE810000}"/>
    <cellStyle name="Normal 8 3 7 3" xfId="7542" xr:uid="{00000000-0005-0000-0000-0000CF810000}"/>
    <cellStyle name="Normal 8 3 8" xfId="7543" xr:uid="{00000000-0005-0000-0000-0000D0810000}"/>
    <cellStyle name="Normal 8 3 8 2" xfId="7544" xr:uid="{00000000-0005-0000-0000-0000D1810000}"/>
    <cellStyle name="Normal 8 3 9" xfId="7545" xr:uid="{00000000-0005-0000-0000-0000D2810000}"/>
    <cellStyle name="Normal 8 3 9 2" xfId="7546" xr:uid="{00000000-0005-0000-0000-0000D3810000}"/>
    <cellStyle name="Normal 8 4" xfId="7547" xr:uid="{00000000-0005-0000-0000-0000D4810000}"/>
    <cellStyle name="Normal 8 4 2" xfId="7548" xr:uid="{00000000-0005-0000-0000-0000D5810000}"/>
    <cellStyle name="Normal 8 4 2 2" xfId="7549" xr:uid="{00000000-0005-0000-0000-0000D6810000}"/>
    <cellStyle name="Normal 8 4 2 2 2" xfId="7550" xr:uid="{00000000-0005-0000-0000-0000D7810000}"/>
    <cellStyle name="Normal 8 4 2 2 2 2" xfId="7551" xr:uid="{00000000-0005-0000-0000-0000D8810000}"/>
    <cellStyle name="Normal 8 4 2 2 2 3" xfId="7552" xr:uid="{00000000-0005-0000-0000-0000D9810000}"/>
    <cellStyle name="Normal 8 4 2 2 3" xfId="7553" xr:uid="{00000000-0005-0000-0000-0000DA810000}"/>
    <cellStyle name="Normal 8 4 2 2 3 2" xfId="7554" xr:uid="{00000000-0005-0000-0000-0000DB810000}"/>
    <cellStyle name="Normal 8 4 2 2 4" xfId="7555" xr:uid="{00000000-0005-0000-0000-0000DC810000}"/>
    <cellStyle name="Normal 8 4 2 2 4 2" xfId="7556" xr:uid="{00000000-0005-0000-0000-0000DD810000}"/>
    <cellStyle name="Normal 8 4 2 2 5" xfId="7557" xr:uid="{00000000-0005-0000-0000-0000DE810000}"/>
    <cellStyle name="Normal 8 4 2 3" xfId="7558" xr:uid="{00000000-0005-0000-0000-0000DF810000}"/>
    <cellStyle name="Normal 8 4 2 3 2" xfId="7559" xr:uid="{00000000-0005-0000-0000-0000E0810000}"/>
    <cellStyle name="Normal 8 4 2 3 2 2" xfId="7560" xr:uid="{00000000-0005-0000-0000-0000E1810000}"/>
    <cellStyle name="Normal 8 4 2 3 3" xfId="7561" xr:uid="{00000000-0005-0000-0000-0000E2810000}"/>
    <cellStyle name="Normal 8 4 2 3 3 2" xfId="7562" xr:uid="{00000000-0005-0000-0000-0000E3810000}"/>
    <cellStyle name="Normal 8 4 2 3 4" xfId="7563" xr:uid="{00000000-0005-0000-0000-0000E4810000}"/>
    <cellStyle name="Normal 8 4 2 4" xfId="7564" xr:uid="{00000000-0005-0000-0000-0000E5810000}"/>
    <cellStyle name="Normal 8 4 2 4 2" xfId="7565" xr:uid="{00000000-0005-0000-0000-0000E6810000}"/>
    <cellStyle name="Normal 8 4 2 4 3" xfId="7566" xr:uid="{00000000-0005-0000-0000-0000E7810000}"/>
    <cellStyle name="Normal 8 4 2 5" xfId="7567" xr:uid="{00000000-0005-0000-0000-0000E8810000}"/>
    <cellStyle name="Normal 8 4 2 5 2" xfId="7568" xr:uid="{00000000-0005-0000-0000-0000E9810000}"/>
    <cellStyle name="Normal 8 4 2 6" xfId="7569" xr:uid="{00000000-0005-0000-0000-0000EA810000}"/>
    <cellStyle name="Normal 8 4 2 6 2" xfId="7570" xr:uid="{00000000-0005-0000-0000-0000EB810000}"/>
    <cellStyle name="Normal 8 4 2 7" xfId="7571" xr:uid="{00000000-0005-0000-0000-0000EC810000}"/>
    <cellStyle name="Normal 8 4 3" xfId="7572" xr:uid="{00000000-0005-0000-0000-0000ED810000}"/>
    <cellStyle name="Normal 8 4 3 2" xfId="7573" xr:uid="{00000000-0005-0000-0000-0000EE810000}"/>
    <cellStyle name="Normal 8 4 3 2 2" xfId="7574" xr:uid="{00000000-0005-0000-0000-0000EF810000}"/>
    <cellStyle name="Normal 8 4 3 2 3" xfId="7575" xr:uid="{00000000-0005-0000-0000-0000F0810000}"/>
    <cellStyle name="Normal 8 4 3 3" xfId="7576" xr:uid="{00000000-0005-0000-0000-0000F1810000}"/>
    <cellStyle name="Normal 8 4 3 3 2" xfId="7577" xr:uid="{00000000-0005-0000-0000-0000F2810000}"/>
    <cellStyle name="Normal 8 4 3 4" xfId="7578" xr:uid="{00000000-0005-0000-0000-0000F3810000}"/>
    <cellStyle name="Normal 8 4 3 4 2" xfId="7579" xr:uid="{00000000-0005-0000-0000-0000F4810000}"/>
    <cellStyle name="Normal 8 4 3 5" xfId="7580" xr:uid="{00000000-0005-0000-0000-0000F5810000}"/>
    <cellStyle name="Normal 8 4 4" xfId="7581" xr:uid="{00000000-0005-0000-0000-0000F6810000}"/>
    <cellStyle name="Normal 8 4 4 2" xfId="7582" xr:uid="{00000000-0005-0000-0000-0000F7810000}"/>
    <cellStyle name="Normal 8 4 4 2 2" xfId="7583" xr:uid="{00000000-0005-0000-0000-0000F8810000}"/>
    <cellStyle name="Normal 8 4 4 3" xfId="7584" xr:uid="{00000000-0005-0000-0000-0000F9810000}"/>
    <cellStyle name="Normal 8 4 4 3 2" xfId="7585" xr:uid="{00000000-0005-0000-0000-0000FA810000}"/>
    <cellStyle name="Normal 8 4 4 4" xfId="7586" xr:uid="{00000000-0005-0000-0000-0000FB810000}"/>
    <cellStyle name="Normal 8 4 5" xfId="7587" xr:uid="{00000000-0005-0000-0000-0000FC810000}"/>
    <cellStyle name="Normal 8 4 5 2" xfId="7588" xr:uid="{00000000-0005-0000-0000-0000FD810000}"/>
    <cellStyle name="Normal 8 4 5 3" xfId="7589" xr:uid="{00000000-0005-0000-0000-0000FE810000}"/>
    <cellStyle name="Normal 8 4 6" xfId="7590" xr:uid="{00000000-0005-0000-0000-0000FF810000}"/>
    <cellStyle name="Normal 8 4 6 2" xfId="7591" xr:uid="{00000000-0005-0000-0000-000000820000}"/>
    <cellStyle name="Normal 8 4 7" xfId="7592" xr:uid="{00000000-0005-0000-0000-000001820000}"/>
    <cellStyle name="Normal 8 4 7 2" xfId="7593" xr:uid="{00000000-0005-0000-0000-000002820000}"/>
    <cellStyle name="Normal 8 4 8" xfId="7594" xr:uid="{00000000-0005-0000-0000-000003820000}"/>
    <cellStyle name="Normal 8 5" xfId="7595" xr:uid="{00000000-0005-0000-0000-000004820000}"/>
    <cellStyle name="Normal 8 5 2" xfId="7596" xr:uid="{00000000-0005-0000-0000-000005820000}"/>
    <cellStyle name="Normal 8 5 2 2" xfId="7597" xr:uid="{00000000-0005-0000-0000-000006820000}"/>
    <cellStyle name="Normal 8 5 2 2 2" xfId="7598" xr:uid="{00000000-0005-0000-0000-000007820000}"/>
    <cellStyle name="Normal 8 5 2 2 3" xfId="7599" xr:uid="{00000000-0005-0000-0000-000008820000}"/>
    <cellStyle name="Normal 8 5 2 3" xfId="7600" xr:uid="{00000000-0005-0000-0000-000009820000}"/>
    <cellStyle name="Normal 8 5 2 3 2" xfId="7601" xr:uid="{00000000-0005-0000-0000-00000A820000}"/>
    <cellStyle name="Normal 8 5 2 4" xfId="7602" xr:uid="{00000000-0005-0000-0000-00000B820000}"/>
    <cellStyle name="Normal 8 5 2 4 2" xfId="7603" xr:uid="{00000000-0005-0000-0000-00000C820000}"/>
    <cellStyle name="Normal 8 5 2 5" xfId="7604" xr:uid="{00000000-0005-0000-0000-00000D820000}"/>
    <cellStyle name="Normal 8 5 3" xfId="7605" xr:uid="{00000000-0005-0000-0000-00000E820000}"/>
    <cellStyle name="Normal 8 5 3 2" xfId="7606" xr:uid="{00000000-0005-0000-0000-00000F820000}"/>
    <cellStyle name="Normal 8 5 3 2 2" xfId="7607" xr:uid="{00000000-0005-0000-0000-000010820000}"/>
    <cellStyle name="Normal 8 5 3 3" xfId="7608" xr:uid="{00000000-0005-0000-0000-000011820000}"/>
    <cellStyle name="Normal 8 5 3 3 2" xfId="7609" xr:uid="{00000000-0005-0000-0000-000012820000}"/>
    <cellStyle name="Normal 8 5 3 4" xfId="7610" xr:uid="{00000000-0005-0000-0000-000013820000}"/>
    <cellStyle name="Normal 8 5 4" xfId="7611" xr:uid="{00000000-0005-0000-0000-000014820000}"/>
    <cellStyle name="Normal 8 5 4 2" xfId="7612" xr:uid="{00000000-0005-0000-0000-000015820000}"/>
    <cellStyle name="Normal 8 5 4 3" xfId="7613" xr:uid="{00000000-0005-0000-0000-000016820000}"/>
    <cellStyle name="Normal 8 5 5" xfId="7614" xr:uid="{00000000-0005-0000-0000-000017820000}"/>
    <cellStyle name="Normal 8 5 5 2" xfId="7615" xr:uid="{00000000-0005-0000-0000-000018820000}"/>
    <cellStyle name="Normal 8 5 6" xfId="7616" xr:uid="{00000000-0005-0000-0000-000019820000}"/>
    <cellStyle name="Normal 8 5 6 2" xfId="7617" xr:uid="{00000000-0005-0000-0000-00001A820000}"/>
    <cellStyle name="Normal 8 5 7" xfId="7618" xr:uid="{00000000-0005-0000-0000-00001B820000}"/>
    <cellStyle name="Normal 8 6" xfId="7619" xr:uid="{00000000-0005-0000-0000-00001C820000}"/>
    <cellStyle name="Normal 8 6 2" xfId="7620" xr:uid="{00000000-0005-0000-0000-00001D820000}"/>
    <cellStyle name="Normal 8 6 2 2" xfId="7621" xr:uid="{00000000-0005-0000-0000-00001E820000}"/>
    <cellStyle name="Normal 8 6 2 2 2" xfId="7622" xr:uid="{00000000-0005-0000-0000-00001F820000}"/>
    <cellStyle name="Normal 8 6 2 2 3" xfId="7623" xr:uid="{00000000-0005-0000-0000-000020820000}"/>
    <cellStyle name="Normal 8 6 2 3" xfId="7624" xr:uid="{00000000-0005-0000-0000-000021820000}"/>
    <cellStyle name="Normal 8 6 2 3 2" xfId="7625" xr:uid="{00000000-0005-0000-0000-000022820000}"/>
    <cellStyle name="Normal 8 6 2 4" xfId="7626" xr:uid="{00000000-0005-0000-0000-000023820000}"/>
    <cellStyle name="Normal 8 6 2 4 2" xfId="7627" xr:uid="{00000000-0005-0000-0000-000024820000}"/>
    <cellStyle name="Normal 8 6 2 5" xfId="7628" xr:uid="{00000000-0005-0000-0000-000025820000}"/>
    <cellStyle name="Normal 8 6 3" xfId="7629" xr:uid="{00000000-0005-0000-0000-000026820000}"/>
    <cellStyle name="Normal 8 6 3 2" xfId="7630" xr:uid="{00000000-0005-0000-0000-000027820000}"/>
    <cellStyle name="Normal 8 6 3 2 2" xfId="7631" xr:uid="{00000000-0005-0000-0000-000028820000}"/>
    <cellStyle name="Normal 8 6 3 3" xfId="7632" xr:uid="{00000000-0005-0000-0000-000029820000}"/>
    <cellStyle name="Normal 8 6 3 3 2" xfId="7633" xr:uid="{00000000-0005-0000-0000-00002A820000}"/>
    <cellStyle name="Normal 8 6 3 4" xfId="7634" xr:uid="{00000000-0005-0000-0000-00002B820000}"/>
    <cellStyle name="Normal 8 6 4" xfId="7635" xr:uid="{00000000-0005-0000-0000-00002C820000}"/>
    <cellStyle name="Normal 8 6 4 2" xfId="7636" xr:uid="{00000000-0005-0000-0000-00002D820000}"/>
    <cellStyle name="Normal 8 6 4 3" xfId="7637" xr:uid="{00000000-0005-0000-0000-00002E820000}"/>
    <cellStyle name="Normal 8 6 5" xfId="7638" xr:uid="{00000000-0005-0000-0000-00002F820000}"/>
    <cellStyle name="Normal 8 6 5 2" xfId="7639" xr:uid="{00000000-0005-0000-0000-000030820000}"/>
    <cellStyle name="Normal 8 6 6" xfId="7640" xr:uid="{00000000-0005-0000-0000-000031820000}"/>
    <cellStyle name="Normal 8 6 6 2" xfId="7641" xr:uid="{00000000-0005-0000-0000-000032820000}"/>
    <cellStyle name="Normal 8 6 7" xfId="7642" xr:uid="{00000000-0005-0000-0000-000033820000}"/>
    <cellStyle name="Normal 8 7" xfId="7643" xr:uid="{00000000-0005-0000-0000-000034820000}"/>
    <cellStyle name="Normal 8 7 2" xfId="7644" xr:uid="{00000000-0005-0000-0000-000035820000}"/>
    <cellStyle name="Normal 8 7 2 2" xfId="7645" xr:uid="{00000000-0005-0000-0000-000036820000}"/>
    <cellStyle name="Normal 8 7 2 2 2" xfId="7646" xr:uid="{00000000-0005-0000-0000-000037820000}"/>
    <cellStyle name="Normal 8 7 2 3" xfId="7647" xr:uid="{00000000-0005-0000-0000-000038820000}"/>
    <cellStyle name="Normal 8 7 2 3 2" xfId="7648" xr:uid="{00000000-0005-0000-0000-000039820000}"/>
    <cellStyle name="Normal 8 7 2 4" xfId="7649" xr:uid="{00000000-0005-0000-0000-00003A820000}"/>
    <cellStyle name="Normal 8 7 3" xfId="7650" xr:uid="{00000000-0005-0000-0000-00003B820000}"/>
    <cellStyle name="Normal 8 7 3 2" xfId="7651" xr:uid="{00000000-0005-0000-0000-00003C820000}"/>
    <cellStyle name="Normal 8 7 3 3" xfId="7652" xr:uid="{00000000-0005-0000-0000-00003D820000}"/>
    <cellStyle name="Normal 8 7 4" xfId="7653" xr:uid="{00000000-0005-0000-0000-00003E820000}"/>
    <cellStyle name="Normal 8 7 4 2" xfId="7654" xr:uid="{00000000-0005-0000-0000-00003F820000}"/>
    <cellStyle name="Normal 8 7 5" xfId="7655" xr:uid="{00000000-0005-0000-0000-000040820000}"/>
    <cellStyle name="Normal 8 7 5 2" xfId="7656" xr:uid="{00000000-0005-0000-0000-000041820000}"/>
    <cellStyle name="Normal 8 7 6" xfId="7657" xr:uid="{00000000-0005-0000-0000-000042820000}"/>
    <cellStyle name="Normal 8 8" xfId="7658" xr:uid="{00000000-0005-0000-0000-000043820000}"/>
    <cellStyle name="Normal 8 8 2" xfId="7659" xr:uid="{00000000-0005-0000-0000-000044820000}"/>
    <cellStyle name="Normal 8 8 2 2" xfId="7660" xr:uid="{00000000-0005-0000-0000-000045820000}"/>
    <cellStyle name="Normal 8 8 3" xfId="7661" xr:uid="{00000000-0005-0000-0000-000046820000}"/>
    <cellStyle name="Normal 8 8 3 2" xfId="7662" xr:uid="{00000000-0005-0000-0000-000047820000}"/>
    <cellStyle name="Normal 8 8 4" xfId="7663" xr:uid="{00000000-0005-0000-0000-000048820000}"/>
    <cellStyle name="Normal 8 9" xfId="7664" xr:uid="{00000000-0005-0000-0000-000049820000}"/>
    <cellStyle name="Normal 8 9 2" xfId="7665" xr:uid="{00000000-0005-0000-0000-00004A820000}"/>
    <cellStyle name="Normal 8 9 2 2" xfId="7666" xr:uid="{00000000-0005-0000-0000-00004B820000}"/>
    <cellStyle name="Normal 8 9 3" xfId="7667" xr:uid="{00000000-0005-0000-0000-00004C820000}"/>
    <cellStyle name="Normal 8 9 3 2" xfId="7668" xr:uid="{00000000-0005-0000-0000-00004D820000}"/>
    <cellStyle name="Normal 8 9 4" xfId="7669" xr:uid="{00000000-0005-0000-0000-00004E820000}"/>
    <cellStyle name="Normal 80" xfId="12219" xr:uid="{00000000-0005-0000-0000-00004F820000}"/>
    <cellStyle name="Normal 80 2" xfId="12220" xr:uid="{00000000-0005-0000-0000-000050820000}"/>
    <cellStyle name="Normal 80 3" xfId="38476" xr:uid="{00000000-0005-0000-0000-000051820000}"/>
    <cellStyle name="Normal 81" xfId="12221" xr:uid="{00000000-0005-0000-0000-000052820000}"/>
    <cellStyle name="Normal 81 2" xfId="12222" xr:uid="{00000000-0005-0000-0000-000053820000}"/>
    <cellStyle name="Normal 81 3" xfId="38477" xr:uid="{00000000-0005-0000-0000-000054820000}"/>
    <cellStyle name="Normal 82" xfId="12223" xr:uid="{00000000-0005-0000-0000-000055820000}"/>
    <cellStyle name="Normal 82 2" xfId="12224" xr:uid="{00000000-0005-0000-0000-000056820000}"/>
    <cellStyle name="Normal 82 3" xfId="38478" xr:uid="{00000000-0005-0000-0000-000057820000}"/>
    <cellStyle name="Normal 83" xfId="12225" xr:uid="{00000000-0005-0000-0000-000058820000}"/>
    <cellStyle name="Normal 83 2" xfId="12226" xr:uid="{00000000-0005-0000-0000-000059820000}"/>
    <cellStyle name="Normal 83 3" xfId="38479" xr:uid="{00000000-0005-0000-0000-00005A820000}"/>
    <cellStyle name="Normal 84" xfId="12227" xr:uid="{00000000-0005-0000-0000-00005B820000}"/>
    <cellStyle name="Normal 84 2" xfId="38480" xr:uid="{00000000-0005-0000-0000-00005C820000}"/>
    <cellStyle name="Normal 85" xfId="12228" xr:uid="{00000000-0005-0000-0000-00005D820000}"/>
    <cellStyle name="Normal 85 2" xfId="38481" xr:uid="{00000000-0005-0000-0000-00005E820000}"/>
    <cellStyle name="Normal 86" xfId="12229" xr:uid="{00000000-0005-0000-0000-00005F820000}"/>
    <cellStyle name="Normal 86 2" xfId="43975" xr:uid="{00000000-0005-0000-0000-000060820000}"/>
    <cellStyle name="Normal 87" xfId="12230" xr:uid="{00000000-0005-0000-0000-000061820000}"/>
    <cellStyle name="Normal 88" xfId="12231" xr:uid="{00000000-0005-0000-0000-000062820000}"/>
    <cellStyle name="Normal 89" xfId="12232" xr:uid="{00000000-0005-0000-0000-000063820000}"/>
    <cellStyle name="Normal 9" xfId="7670" xr:uid="{00000000-0005-0000-0000-000064820000}"/>
    <cellStyle name="Normal 9 10" xfId="7671" xr:uid="{00000000-0005-0000-0000-000065820000}"/>
    <cellStyle name="Normal 9 10 2" xfId="7672" xr:uid="{00000000-0005-0000-0000-000066820000}"/>
    <cellStyle name="Normal 9 10 2 2" xfId="38485" xr:uid="{00000000-0005-0000-0000-000067820000}"/>
    <cellStyle name="Normal 9 10 2 3" xfId="38484" xr:uid="{00000000-0005-0000-0000-000068820000}"/>
    <cellStyle name="Normal 9 10 3" xfId="38486" xr:uid="{00000000-0005-0000-0000-000069820000}"/>
    <cellStyle name="Normal 9 10 3 2" xfId="38487" xr:uid="{00000000-0005-0000-0000-00006A820000}"/>
    <cellStyle name="Normal 9 10 4" xfId="38488" xr:uid="{00000000-0005-0000-0000-00006B820000}"/>
    <cellStyle name="Normal 9 10 4 2" xfId="38489" xr:uid="{00000000-0005-0000-0000-00006C820000}"/>
    <cellStyle name="Normal 9 10 5" xfId="38490" xr:uid="{00000000-0005-0000-0000-00006D820000}"/>
    <cellStyle name="Normal 9 10 6" xfId="38491" xr:uid="{00000000-0005-0000-0000-00006E820000}"/>
    <cellStyle name="Normal 9 10 7" xfId="38483" xr:uid="{00000000-0005-0000-0000-00006F820000}"/>
    <cellStyle name="Normal 9 11" xfId="7673" xr:uid="{00000000-0005-0000-0000-000070820000}"/>
    <cellStyle name="Normal 9 11 2" xfId="38493" xr:uid="{00000000-0005-0000-0000-000071820000}"/>
    <cellStyle name="Normal 9 11 2 2" xfId="38494" xr:uid="{00000000-0005-0000-0000-000072820000}"/>
    <cellStyle name="Normal 9 11 3" xfId="38495" xr:uid="{00000000-0005-0000-0000-000073820000}"/>
    <cellStyle name="Normal 9 11 3 2" xfId="38496" xr:uid="{00000000-0005-0000-0000-000074820000}"/>
    <cellStyle name="Normal 9 11 4" xfId="38497" xr:uid="{00000000-0005-0000-0000-000075820000}"/>
    <cellStyle name="Normal 9 11 5" xfId="38498" xr:uid="{00000000-0005-0000-0000-000076820000}"/>
    <cellStyle name="Normal 9 11 6" xfId="38492" xr:uid="{00000000-0005-0000-0000-000077820000}"/>
    <cellStyle name="Normal 9 12" xfId="38499" xr:uid="{00000000-0005-0000-0000-000078820000}"/>
    <cellStyle name="Normal 9 12 2" xfId="38500" xr:uid="{00000000-0005-0000-0000-000079820000}"/>
    <cellStyle name="Normal 9 13" xfId="38501" xr:uid="{00000000-0005-0000-0000-00007A820000}"/>
    <cellStyle name="Normal 9 13 2" xfId="38502" xr:uid="{00000000-0005-0000-0000-00007B820000}"/>
    <cellStyle name="Normal 9 14" xfId="38503" xr:uid="{00000000-0005-0000-0000-00007C820000}"/>
    <cellStyle name="Normal 9 14 2" xfId="38504" xr:uid="{00000000-0005-0000-0000-00007D820000}"/>
    <cellStyle name="Normal 9 15" xfId="38505" xr:uid="{00000000-0005-0000-0000-00007E820000}"/>
    <cellStyle name="Normal 9 16" xfId="38506" xr:uid="{00000000-0005-0000-0000-00007F820000}"/>
    <cellStyle name="Normal 9 17" xfId="38507" xr:uid="{00000000-0005-0000-0000-000080820000}"/>
    <cellStyle name="Normal 9 18" xfId="38482" xr:uid="{00000000-0005-0000-0000-000081820000}"/>
    <cellStyle name="Normal 9 2" xfId="7674" xr:uid="{00000000-0005-0000-0000-000082820000}"/>
    <cellStyle name="Normal 9 2 10" xfId="38509" xr:uid="{00000000-0005-0000-0000-000083820000}"/>
    <cellStyle name="Normal 9 2 10 2" xfId="38510" xr:uid="{00000000-0005-0000-0000-000084820000}"/>
    <cellStyle name="Normal 9 2 11" xfId="38511" xr:uid="{00000000-0005-0000-0000-000085820000}"/>
    <cellStyle name="Normal 9 2 11 2" xfId="38512" xr:uid="{00000000-0005-0000-0000-000086820000}"/>
    <cellStyle name="Normal 9 2 12" xfId="38513" xr:uid="{00000000-0005-0000-0000-000087820000}"/>
    <cellStyle name="Normal 9 2 13" xfId="38514" xr:uid="{00000000-0005-0000-0000-000088820000}"/>
    <cellStyle name="Normal 9 2 14" xfId="38515" xr:uid="{00000000-0005-0000-0000-000089820000}"/>
    <cellStyle name="Normal 9 2 15" xfId="38508" xr:uid="{00000000-0005-0000-0000-00008A820000}"/>
    <cellStyle name="Normal 9 2 2" xfId="7675" xr:uid="{00000000-0005-0000-0000-00008B820000}"/>
    <cellStyle name="Normal 9 2 2 10" xfId="38517" xr:uid="{00000000-0005-0000-0000-00008C820000}"/>
    <cellStyle name="Normal 9 2 2 11" xfId="38518" xr:uid="{00000000-0005-0000-0000-00008D820000}"/>
    <cellStyle name="Normal 9 2 2 12" xfId="38516" xr:uid="{00000000-0005-0000-0000-00008E820000}"/>
    <cellStyle name="Normal 9 2 2 2" xfId="7676" xr:uid="{00000000-0005-0000-0000-00008F820000}"/>
    <cellStyle name="Normal 9 2 2 2 2" xfId="7677" xr:uid="{00000000-0005-0000-0000-000090820000}"/>
    <cellStyle name="Normal 9 2 2 2 2 2" xfId="7678" xr:uid="{00000000-0005-0000-0000-000091820000}"/>
    <cellStyle name="Normal 9 2 2 2 2 2 2" xfId="38521" xr:uid="{00000000-0005-0000-0000-000092820000}"/>
    <cellStyle name="Normal 9 2 2 2 2 3" xfId="7679" xr:uid="{00000000-0005-0000-0000-000093820000}"/>
    <cellStyle name="Normal 9 2 2 2 2 4" xfId="38520" xr:uid="{00000000-0005-0000-0000-000094820000}"/>
    <cellStyle name="Normal 9 2 2 2 3" xfId="7680" xr:uid="{00000000-0005-0000-0000-000095820000}"/>
    <cellStyle name="Normal 9 2 2 2 3 2" xfId="7681" xr:uid="{00000000-0005-0000-0000-000096820000}"/>
    <cellStyle name="Normal 9 2 2 2 3 2 2" xfId="38523" xr:uid="{00000000-0005-0000-0000-000097820000}"/>
    <cellStyle name="Normal 9 2 2 2 3 3" xfId="38522" xr:uid="{00000000-0005-0000-0000-000098820000}"/>
    <cellStyle name="Normal 9 2 2 2 4" xfId="7682" xr:uid="{00000000-0005-0000-0000-000099820000}"/>
    <cellStyle name="Normal 9 2 2 2 4 2" xfId="7683" xr:uid="{00000000-0005-0000-0000-00009A820000}"/>
    <cellStyle name="Normal 9 2 2 2 4 2 2" xfId="38525" xr:uid="{00000000-0005-0000-0000-00009B820000}"/>
    <cellStyle name="Normal 9 2 2 2 4 3" xfId="38524" xr:uid="{00000000-0005-0000-0000-00009C820000}"/>
    <cellStyle name="Normal 9 2 2 2 5" xfId="7684" xr:uid="{00000000-0005-0000-0000-00009D820000}"/>
    <cellStyle name="Normal 9 2 2 2 5 2" xfId="38526" xr:uid="{00000000-0005-0000-0000-00009E820000}"/>
    <cellStyle name="Normal 9 2 2 2 6" xfId="38527" xr:uid="{00000000-0005-0000-0000-00009F820000}"/>
    <cellStyle name="Normal 9 2 2 2 7" xfId="38519" xr:uid="{00000000-0005-0000-0000-0000A0820000}"/>
    <cellStyle name="Normal 9 2 2 3" xfId="7685" xr:uid="{00000000-0005-0000-0000-0000A1820000}"/>
    <cellStyle name="Normal 9 2 2 3 2" xfId="7686" xr:uid="{00000000-0005-0000-0000-0000A2820000}"/>
    <cellStyle name="Normal 9 2 2 3 2 2" xfId="7687" xr:uid="{00000000-0005-0000-0000-0000A3820000}"/>
    <cellStyle name="Normal 9 2 2 3 2 2 2" xfId="38530" xr:uid="{00000000-0005-0000-0000-0000A4820000}"/>
    <cellStyle name="Normal 9 2 2 3 2 3" xfId="38529" xr:uid="{00000000-0005-0000-0000-0000A5820000}"/>
    <cellStyle name="Normal 9 2 2 3 3" xfId="7688" xr:uid="{00000000-0005-0000-0000-0000A6820000}"/>
    <cellStyle name="Normal 9 2 2 3 3 2" xfId="7689" xr:uid="{00000000-0005-0000-0000-0000A7820000}"/>
    <cellStyle name="Normal 9 2 2 3 3 2 2" xfId="38532" xr:uid="{00000000-0005-0000-0000-0000A8820000}"/>
    <cellStyle name="Normal 9 2 2 3 3 3" xfId="38531" xr:uid="{00000000-0005-0000-0000-0000A9820000}"/>
    <cellStyle name="Normal 9 2 2 3 4" xfId="7690" xr:uid="{00000000-0005-0000-0000-0000AA820000}"/>
    <cellStyle name="Normal 9 2 2 3 4 2" xfId="38534" xr:uid="{00000000-0005-0000-0000-0000AB820000}"/>
    <cellStyle name="Normal 9 2 2 3 4 3" xfId="38533" xr:uid="{00000000-0005-0000-0000-0000AC820000}"/>
    <cellStyle name="Normal 9 2 2 3 5" xfId="38535" xr:uid="{00000000-0005-0000-0000-0000AD820000}"/>
    <cellStyle name="Normal 9 2 2 3 6" xfId="38536" xr:uid="{00000000-0005-0000-0000-0000AE820000}"/>
    <cellStyle name="Normal 9 2 2 3 7" xfId="38528" xr:uid="{00000000-0005-0000-0000-0000AF820000}"/>
    <cellStyle name="Normal 9 2 2 4" xfId="7691" xr:uid="{00000000-0005-0000-0000-0000B0820000}"/>
    <cellStyle name="Normal 9 2 2 4 2" xfId="7692" xr:uid="{00000000-0005-0000-0000-0000B1820000}"/>
    <cellStyle name="Normal 9 2 2 4 2 2" xfId="38539" xr:uid="{00000000-0005-0000-0000-0000B2820000}"/>
    <cellStyle name="Normal 9 2 2 4 2 3" xfId="38538" xr:uid="{00000000-0005-0000-0000-0000B3820000}"/>
    <cellStyle name="Normal 9 2 2 4 3" xfId="7693" xr:uid="{00000000-0005-0000-0000-0000B4820000}"/>
    <cellStyle name="Normal 9 2 2 4 3 2" xfId="38541" xr:uid="{00000000-0005-0000-0000-0000B5820000}"/>
    <cellStyle name="Normal 9 2 2 4 3 3" xfId="38540" xr:uid="{00000000-0005-0000-0000-0000B6820000}"/>
    <cellStyle name="Normal 9 2 2 4 4" xfId="38542" xr:uid="{00000000-0005-0000-0000-0000B7820000}"/>
    <cellStyle name="Normal 9 2 2 4 4 2" xfId="38543" xr:uid="{00000000-0005-0000-0000-0000B8820000}"/>
    <cellStyle name="Normal 9 2 2 4 5" xfId="38544" xr:uid="{00000000-0005-0000-0000-0000B9820000}"/>
    <cellStyle name="Normal 9 2 2 4 6" xfId="38545" xr:uid="{00000000-0005-0000-0000-0000BA820000}"/>
    <cellStyle name="Normal 9 2 2 4 7" xfId="38537" xr:uid="{00000000-0005-0000-0000-0000BB820000}"/>
    <cellStyle name="Normal 9 2 2 5" xfId="7694" xr:uid="{00000000-0005-0000-0000-0000BC820000}"/>
    <cellStyle name="Normal 9 2 2 5 2" xfId="7695" xr:uid="{00000000-0005-0000-0000-0000BD820000}"/>
    <cellStyle name="Normal 9 2 2 5 2 2" xfId="38548" xr:uid="{00000000-0005-0000-0000-0000BE820000}"/>
    <cellStyle name="Normal 9 2 2 5 2 3" xfId="38547" xr:uid="{00000000-0005-0000-0000-0000BF820000}"/>
    <cellStyle name="Normal 9 2 2 5 3" xfId="38549" xr:uid="{00000000-0005-0000-0000-0000C0820000}"/>
    <cellStyle name="Normal 9 2 2 5 3 2" xfId="38550" xr:uid="{00000000-0005-0000-0000-0000C1820000}"/>
    <cellStyle name="Normal 9 2 2 5 4" xfId="38551" xr:uid="{00000000-0005-0000-0000-0000C2820000}"/>
    <cellStyle name="Normal 9 2 2 5 4 2" xfId="38552" xr:uid="{00000000-0005-0000-0000-0000C3820000}"/>
    <cellStyle name="Normal 9 2 2 5 5" xfId="38553" xr:uid="{00000000-0005-0000-0000-0000C4820000}"/>
    <cellStyle name="Normal 9 2 2 5 6" xfId="38554" xr:uid="{00000000-0005-0000-0000-0000C5820000}"/>
    <cellStyle name="Normal 9 2 2 5 7" xfId="38546" xr:uid="{00000000-0005-0000-0000-0000C6820000}"/>
    <cellStyle name="Normal 9 2 2 6" xfId="7696" xr:uid="{00000000-0005-0000-0000-0000C7820000}"/>
    <cellStyle name="Normal 9 2 2 6 2" xfId="7697" xr:uid="{00000000-0005-0000-0000-0000C8820000}"/>
    <cellStyle name="Normal 9 2 2 6 2 2" xfId="38557" xr:uid="{00000000-0005-0000-0000-0000C9820000}"/>
    <cellStyle name="Normal 9 2 2 6 2 3" xfId="38556" xr:uid="{00000000-0005-0000-0000-0000CA820000}"/>
    <cellStyle name="Normal 9 2 2 6 3" xfId="38558" xr:uid="{00000000-0005-0000-0000-0000CB820000}"/>
    <cellStyle name="Normal 9 2 2 6 3 2" xfId="38559" xr:uid="{00000000-0005-0000-0000-0000CC820000}"/>
    <cellStyle name="Normal 9 2 2 6 4" xfId="38560" xr:uid="{00000000-0005-0000-0000-0000CD820000}"/>
    <cellStyle name="Normal 9 2 2 6 5" xfId="38561" xr:uid="{00000000-0005-0000-0000-0000CE820000}"/>
    <cellStyle name="Normal 9 2 2 6 6" xfId="38555" xr:uid="{00000000-0005-0000-0000-0000CF820000}"/>
    <cellStyle name="Normal 9 2 2 7" xfId="7698" xr:uid="{00000000-0005-0000-0000-0000D0820000}"/>
    <cellStyle name="Normal 9 2 2 7 2" xfId="38563" xr:uid="{00000000-0005-0000-0000-0000D1820000}"/>
    <cellStyle name="Normal 9 2 2 7 3" xfId="38562" xr:uid="{00000000-0005-0000-0000-0000D2820000}"/>
    <cellStyle name="Normal 9 2 2 8" xfId="38564" xr:uid="{00000000-0005-0000-0000-0000D3820000}"/>
    <cellStyle name="Normal 9 2 2 8 2" xfId="38565" xr:uid="{00000000-0005-0000-0000-0000D4820000}"/>
    <cellStyle name="Normal 9 2 2 9" xfId="38566" xr:uid="{00000000-0005-0000-0000-0000D5820000}"/>
    <cellStyle name="Normal 9 2 2 9 2" xfId="38567" xr:uid="{00000000-0005-0000-0000-0000D6820000}"/>
    <cellStyle name="Normal 9 2 3" xfId="7699" xr:uid="{00000000-0005-0000-0000-0000D7820000}"/>
    <cellStyle name="Normal 9 2 3 10" xfId="38569" xr:uid="{00000000-0005-0000-0000-0000D8820000}"/>
    <cellStyle name="Normal 9 2 3 11" xfId="38568" xr:uid="{00000000-0005-0000-0000-0000D9820000}"/>
    <cellStyle name="Normal 9 2 3 2" xfId="7700" xr:uid="{00000000-0005-0000-0000-0000DA820000}"/>
    <cellStyle name="Normal 9 2 3 2 2" xfId="7701" xr:uid="{00000000-0005-0000-0000-0000DB820000}"/>
    <cellStyle name="Normal 9 2 3 2 2 2" xfId="38572" xr:uid="{00000000-0005-0000-0000-0000DC820000}"/>
    <cellStyle name="Normal 9 2 3 2 2 3" xfId="38571" xr:uid="{00000000-0005-0000-0000-0000DD820000}"/>
    <cellStyle name="Normal 9 2 3 2 3" xfId="7702" xr:uid="{00000000-0005-0000-0000-0000DE820000}"/>
    <cellStyle name="Normal 9 2 3 2 3 2" xfId="38574" xr:uid="{00000000-0005-0000-0000-0000DF820000}"/>
    <cellStyle name="Normal 9 2 3 2 3 3" xfId="38573" xr:uid="{00000000-0005-0000-0000-0000E0820000}"/>
    <cellStyle name="Normal 9 2 3 2 4" xfId="38575" xr:uid="{00000000-0005-0000-0000-0000E1820000}"/>
    <cellStyle name="Normal 9 2 3 2 4 2" xfId="38576" xr:uid="{00000000-0005-0000-0000-0000E2820000}"/>
    <cellStyle name="Normal 9 2 3 2 5" xfId="38577" xr:uid="{00000000-0005-0000-0000-0000E3820000}"/>
    <cellStyle name="Normal 9 2 3 2 6" xfId="38578" xr:uid="{00000000-0005-0000-0000-0000E4820000}"/>
    <cellStyle name="Normal 9 2 3 2 7" xfId="38570" xr:uid="{00000000-0005-0000-0000-0000E5820000}"/>
    <cellStyle name="Normal 9 2 3 3" xfId="7703" xr:uid="{00000000-0005-0000-0000-0000E6820000}"/>
    <cellStyle name="Normal 9 2 3 3 2" xfId="7704" xr:uid="{00000000-0005-0000-0000-0000E7820000}"/>
    <cellStyle name="Normal 9 2 3 3 2 2" xfId="38581" xr:uid="{00000000-0005-0000-0000-0000E8820000}"/>
    <cellStyle name="Normal 9 2 3 3 2 3" xfId="38580" xr:uid="{00000000-0005-0000-0000-0000E9820000}"/>
    <cellStyle name="Normal 9 2 3 3 3" xfId="38582" xr:uid="{00000000-0005-0000-0000-0000EA820000}"/>
    <cellStyle name="Normal 9 2 3 3 3 2" xfId="38583" xr:uid="{00000000-0005-0000-0000-0000EB820000}"/>
    <cellStyle name="Normal 9 2 3 3 4" xfId="38584" xr:uid="{00000000-0005-0000-0000-0000EC820000}"/>
    <cellStyle name="Normal 9 2 3 3 4 2" xfId="38585" xr:uid="{00000000-0005-0000-0000-0000ED820000}"/>
    <cellStyle name="Normal 9 2 3 3 5" xfId="38586" xr:uid="{00000000-0005-0000-0000-0000EE820000}"/>
    <cellStyle name="Normal 9 2 3 3 6" xfId="38587" xr:uid="{00000000-0005-0000-0000-0000EF820000}"/>
    <cellStyle name="Normal 9 2 3 3 7" xfId="38579" xr:uid="{00000000-0005-0000-0000-0000F0820000}"/>
    <cellStyle name="Normal 9 2 3 4" xfId="7705" xr:uid="{00000000-0005-0000-0000-0000F1820000}"/>
    <cellStyle name="Normal 9 2 3 4 2" xfId="7706" xr:uid="{00000000-0005-0000-0000-0000F2820000}"/>
    <cellStyle name="Normal 9 2 3 4 2 2" xfId="38590" xr:uid="{00000000-0005-0000-0000-0000F3820000}"/>
    <cellStyle name="Normal 9 2 3 4 2 3" xfId="38589" xr:uid="{00000000-0005-0000-0000-0000F4820000}"/>
    <cellStyle name="Normal 9 2 3 4 3" xfId="38591" xr:uid="{00000000-0005-0000-0000-0000F5820000}"/>
    <cellStyle name="Normal 9 2 3 4 3 2" xfId="38592" xr:uid="{00000000-0005-0000-0000-0000F6820000}"/>
    <cellStyle name="Normal 9 2 3 4 4" xfId="38593" xr:uid="{00000000-0005-0000-0000-0000F7820000}"/>
    <cellStyle name="Normal 9 2 3 4 4 2" xfId="38594" xr:uid="{00000000-0005-0000-0000-0000F8820000}"/>
    <cellStyle name="Normal 9 2 3 4 5" xfId="38595" xr:uid="{00000000-0005-0000-0000-0000F9820000}"/>
    <cellStyle name="Normal 9 2 3 4 6" xfId="38596" xr:uid="{00000000-0005-0000-0000-0000FA820000}"/>
    <cellStyle name="Normal 9 2 3 4 7" xfId="38588" xr:uid="{00000000-0005-0000-0000-0000FB820000}"/>
    <cellStyle name="Normal 9 2 3 5" xfId="7707" xr:uid="{00000000-0005-0000-0000-0000FC820000}"/>
    <cellStyle name="Normal 9 2 3 5 2" xfId="38598" xr:uid="{00000000-0005-0000-0000-0000FD820000}"/>
    <cellStyle name="Normal 9 2 3 5 2 2" xfId="38599" xr:uid="{00000000-0005-0000-0000-0000FE820000}"/>
    <cellStyle name="Normal 9 2 3 5 3" xfId="38600" xr:uid="{00000000-0005-0000-0000-0000FF820000}"/>
    <cellStyle name="Normal 9 2 3 5 3 2" xfId="38601" xr:uid="{00000000-0005-0000-0000-000000830000}"/>
    <cellStyle name="Normal 9 2 3 5 4" xfId="38602" xr:uid="{00000000-0005-0000-0000-000001830000}"/>
    <cellStyle name="Normal 9 2 3 5 5" xfId="38603" xr:uid="{00000000-0005-0000-0000-000002830000}"/>
    <cellStyle name="Normal 9 2 3 5 6" xfId="38597" xr:uid="{00000000-0005-0000-0000-000003830000}"/>
    <cellStyle name="Normal 9 2 3 6" xfId="38604" xr:uid="{00000000-0005-0000-0000-000004830000}"/>
    <cellStyle name="Normal 9 2 3 6 2" xfId="38605" xr:uid="{00000000-0005-0000-0000-000005830000}"/>
    <cellStyle name="Normal 9 2 3 7" xfId="38606" xr:uid="{00000000-0005-0000-0000-000006830000}"/>
    <cellStyle name="Normal 9 2 3 7 2" xfId="38607" xr:uid="{00000000-0005-0000-0000-000007830000}"/>
    <cellStyle name="Normal 9 2 3 8" xfId="38608" xr:uid="{00000000-0005-0000-0000-000008830000}"/>
    <cellStyle name="Normal 9 2 3 8 2" xfId="38609" xr:uid="{00000000-0005-0000-0000-000009830000}"/>
    <cellStyle name="Normal 9 2 3 9" xfId="38610" xr:uid="{00000000-0005-0000-0000-00000A830000}"/>
    <cellStyle name="Normal 9 2 4" xfId="7708" xr:uid="{00000000-0005-0000-0000-00000B830000}"/>
    <cellStyle name="Normal 9 2 4 10" xfId="38612" xr:uid="{00000000-0005-0000-0000-00000C830000}"/>
    <cellStyle name="Normal 9 2 4 11" xfId="38611" xr:uid="{00000000-0005-0000-0000-00000D830000}"/>
    <cellStyle name="Normal 9 2 4 2" xfId="7709" xr:uid="{00000000-0005-0000-0000-00000E830000}"/>
    <cellStyle name="Normal 9 2 4 2 2" xfId="7710" xr:uid="{00000000-0005-0000-0000-00000F830000}"/>
    <cellStyle name="Normal 9 2 4 2 2 2" xfId="38615" xr:uid="{00000000-0005-0000-0000-000010830000}"/>
    <cellStyle name="Normal 9 2 4 2 2 3" xfId="38614" xr:uid="{00000000-0005-0000-0000-000011830000}"/>
    <cellStyle name="Normal 9 2 4 2 3" xfId="38616" xr:uid="{00000000-0005-0000-0000-000012830000}"/>
    <cellStyle name="Normal 9 2 4 2 3 2" xfId="38617" xr:uid="{00000000-0005-0000-0000-000013830000}"/>
    <cellStyle name="Normal 9 2 4 2 4" xfId="38618" xr:uid="{00000000-0005-0000-0000-000014830000}"/>
    <cellStyle name="Normal 9 2 4 2 4 2" xfId="38619" xr:uid="{00000000-0005-0000-0000-000015830000}"/>
    <cellStyle name="Normal 9 2 4 2 5" xfId="38620" xr:uid="{00000000-0005-0000-0000-000016830000}"/>
    <cellStyle name="Normal 9 2 4 2 6" xfId="38621" xr:uid="{00000000-0005-0000-0000-000017830000}"/>
    <cellStyle name="Normal 9 2 4 2 7" xfId="38613" xr:uid="{00000000-0005-0000-0000-000018830000}"/>
    <cellStyle name="Normal 9 2 4 3" xfId="7711" xr:uid="{00000000-0005-0000-0000-000019830000}"/>
    <cellStyle name="Normal 9 2 4 3 2" xfId="7712" xr:uid="{00000000-0005-0000-0000-00001A830000}"/>
    <cellStyle name="Normal 9 2 4 3 2 2" xfId="38624" xr:uid="{00000000-0005-0000-0000-00001B830000}"/>
    <cellStyle name="Normal 9 2 4 3 2 3" xfId="38623" xr:uid="{00000000-0005-0000-0000-00001C830000}"/>
    <cellStyle name="Normal 9 2 4 3 3" xfId="38625" xr:uid="{00000000-0005-0000-0000-00001D830000}"/>
    <cellStyle name="Normal 9 2 4 3 3 2" xfId="38626" xr:uid="{00000000-0005-0000-0000-00001E830000}"/>
    <cellStyle name="Normal 9 2 4 3 4" xfId="38627" xr:uid="{00000000-0005-0000-0000-00001F830000}"/>
    <cellStyle name="Normal 9 2 4 3 4 2" xfId="38628" xr:uid="{00000000-0005-0000-0000-000020830000}"/>
    <cellStyle name="Normal 9 2 4 3 5" xfId="38629" xr:uid="{00000000-0005-0000-0000-000021830000}"/>
    <cellStyle name="Normal 9 2 4 3 6" xfId="38630" xr:uid="{00000000-0005-0000-0000-000022830000}"/>
    <cellStyle name="Normal 9 2 4 3 7" xfId="38622" xr:uid="{00000000-0005-0000-0000-000023830000}"/>
    <cellStyle name="Normal 9 2 4 4" xfId="7713" xr:uid="{00000000-0005-0000-0000-000024830000}"/>
    <cellStyle name="Normal 9 2 4 4 2" xfId="38632" xr:uid="{00000000-0005-0000-0000-000025830000}"/>
    <cellStyle name="Normal 9 2 4 4 2 2" xfId="38633" xr:uid="{00000000-0005-0000-0000-000026830000}"/>
    <cellStyle name="Normal 9 2 4 4 3" xfId="38634" xr:uid="{00000000-0005-0000-0000-000027830000}"/>
    <cellStyle name="Normal 9 2 4 4 3 2" xfId="38635" xr:uid="{00000000-0005-0000-0000-000028830000}"/>
    <cellStyle name="Normal 9 2 4 4 4" xfId="38636" xr:uid="{00000000-0005-0000-0000-000029830000}"/>
    <cellStyle name="Normal 9 2 4 4 4 2" xfId="38637" xr:uid="{00000000-0005-0000-0000-00002A830000}"/>
    <cellStyle name="Normal 9 2 4 4 5" xfId="38638" xr:uid="{00000000-0005-0000-0000-00002B830000}"/>
    <cellStyle name="Normal 9 2 4 4 6" xfId="38639" xr:uid="{00000000-0005-0000-0000-00002C830000}"/>
    <cellStyle name="Normal 9 2 4 4 7" xfId="38631" xr:uid="{00000000-0005-0000-0000-00002D830000}"/>
    <cellStyle name="Normal 9 2 4 5" xfId="38640" xr:uid="{00000000-0005-0000-0000-00002E830000}"/>
    <cellStyle name="Normal 9 2 4 5 2" xfId="38641" xr:uid="{00000000-0005-0000-0000-00002F830000}"/>
    <cellStyle name="Normal 9 2 4 5 2 2" xfId="38642" xr:uid="{00000000-0005-0000-0000-000030830000}"/>
    <cellStyle name="Normal 9 2 4 5 3" xfId="38643" xr:uid="{00000000-0005-0000-0000-000031830000}"/>
    <cellStyle name="Normal 9 2 4 5 3 2" xfId="38644" xr:uid="{00000000-0005-0000-0000-000032830000}"/>
    <cellStyle name="Normal 9 2 4 5 4" xfId="38645" xr:uid="{00000000-0005-0000-0000-000033830000}"/>
    <cellStyle name="Normal 9 2 4 5 5" xfId="38646" xr:uid="{00000000-0005-0000-0000-000034830000}"/>
    <cellStyle name="Normal 9 2 4 6" xfId="38647" xr:uid="{00000000-0005-0000-0000-000035830000}"/>
    <cellStyle name="Normal 9 2 4 6 2" xfId="38648" xr:uid="{00000000-0005-0000-0000-000036830000}"/>
    <cellStyle name="Normal 9 2 4 7" xfId="38649" xr:uid="{00000000-0005-0000-0000-000037830000}"/>
    <cellStyle name="Normal 9 2 4 7 2" xfId="38650" xr:uid="{00000000-0005-0000-0000-000038830000}"/>
    <cellStyle name="Normal 9 2 4 8" xfId="38651" xr:uid="{00000000-0005-0000-0000-000039830000}"/>
    <cellStyle name="Normal 9 2 4 8 2" xfId="38652" xr:uid="{00000000-0005-0000-0000-00003A830000}"/>
    <cellStyle name="Normal 9 2 4 9" xfId="38653" xr:uid="{00000000-0005-0000-0000-00003B830000}"/>
    <cellStyle name="Normal 9 2 5" xfId="7714" xr:uid="{00000000-0005-0000-0000-00003C830000}"/>
    <cellStyle name="Normal 9 2 5 2" xfId="7715" xr:uid="{00000000-0005-0000-0000-00003D830000}"/>
    <cellStyle name="Normal 9 2 5 2 2" xfId="38656" xr:uid="{00000000-0005-0000-0000-00003E830000}"/>
    <cellStyle name="Normal 9 2 5 2 3" xfId="38655" xr:uid="{00000000-0005-0000-0000-00003F830000}"/>
    <cellStyle name="Normal 9 2 5 3" xfId="7716" xr:uid="{00000000-0005-0000-0000-000040830000}"/>
    <cellStyle name="Normal 9 2 5 3 2" xfId="38658" xr:uid="{00000000-0005-0000-0000-000041830000}"/>
    <cellStyle name="Normal 9 2 5 3 3" xfId="38657" xr:uid="{00000000-0005-0000-0000-000042830000}"/>
    <cellStyle name="Normal 9 2 5 4" xfId="38659" xr:uid="{00000000-0005-0000-0000-000043830000}"/>
    <cellStyle name="Normal 9 2 5 4 2" xfId="38660" xr:uid="{00000000-0005-0000-0000-000044830000}"/>
    <cellStyle name="Normal 9 2 5 5" xfId="38661" xr:uid="{00000000-0005-0000-0000-000045830000}"/>
    <cellStyle name="Normal 9 2 5 6" xfId="38662" xr:uid="{00000000-0005-0000-0000-000046830000}"/>
    <cellStyle name="Normal 9 2 5 7" xfId="38654" xr:uid="{00000000-0005-0000-0000-000047830000}"/>
    <cellStyle name="Normal 9 2 6" xfId="7717" xr:uid="{00000000-0005-0000-0000-000048830000}"/>
    <cellStyle name="Normal 9 2 6 2" xfId="7718" xr:uid="{00000000-0005-0000-0000-000049830000}"/>
    <cellStyle name="Normal 9 2 6 2 2" xfId="38665" xr:uid="{00000000-0005-0000-0000-00004A830000}"/>
    <cellStyle name="Normal 9 2 6 2 3" xfId="38664" xr:uid="{00000000-0005-0000-0000-00004B830000}"/>
    <cellStyle name="Normal 9 2 6 3" xfId="38666" xr:uid="{00000000-0005-0000-0000-00004C830000}"/>
    <cellStyle name="Normal 9 2 6 3 2" xfId="38667" xr:uid="{00000000-0005-0000-0000-00004D830000}"/>
    <cellStyle name="Normal 9 2 6 4" xfId="38668" xr:uid="{00000000-0005-0000-0000-00004E830000}"/>
    <cellStyle name="Normal 9 2 6 4 2" xfId="38669" xr:uid="{00000000-0005-0000-0000-00004F830000}"/>
    <cellStyle name="Normal 9 2 6 5" xfId="38670" xr:uid="{00000000-0005-0000-0000-000050830000}"/>
    <cellStyle name="Normal 9 2 6 6" xfId="38671" xr:uid="{00000000-0005-0000-0000-000051830000}"/>
    <cellStyle name="Normal 9 2 6 7" xfId="38663" xr:uid="{00000000-0005-0000-0000-000052830000}"/>
    <cellStyle name="Normal 9 2 7" xfId="7719" xr:uid="{00000000-0005-0000-0000-000053830000}"/>
    <cellStyle name="Normal 9 2 7 2" xfId="7720" xr:uid="{00000000-0005-0000-0000-000054830000}"/>
    <cellStyle name="Normal 9 2 7 2 2" xfId="38674" xr:uid="{00000000-0005-0000-0000-000055830000}"/>
    <cellStyle name="Normal 9 2 7 2 3" xfId="38673" xr:uid="{00000000-0005-0000-0000-000056830000}"/>
    <cellStyle name="Normal 9 2 7 3" xfId="38675" xr:uid="{00000000-0005-0000-0000-000057830000}"/>
    <cellStyle name="Normal 9 2 7 3 2" xfId="38676" xr:uid="{00000000-0005-0000-0000-000058830000}"/>
    <cellStyle name="Normal 9 2 7 4" xfId="38677" xr:uid="{00000000-0005-0000-0000-000059830000}"/>
    <cellStyle name="Normal 9 2 7 4 2" xfId="38678" xr:uid="{00000000-0005-0000-0000-00005A830000}"/>
    <cellStyle name="Normal 9 2 7 5" xfId="38679" xr:uid="{00000000-0005-0000-0000-00005B830000}"/>
    <cellStyle name="Normal 9 2 7 6" xfId="38680" xr:uid="{00000000-0005-0000-0000-00005C830000}"/>
    <cellStyle name="Normal 9 2 7 7" xfId="38672" xr:uid="{00000000-0005-0000-0000-00005D830000}"/>
    <cellStyle name="Normal 9 2 8" xfId="7721" xr:uid="{00000000-0005-0000-0000-00005E830000}"/>
    <cellStyle name="Normal 9 2 8 2" xfId="38682" xr:uid="{00000000-0005-0000-0000-00005F830000}"/>
    <cellStyle name="Normal 9 2 8 2 2" xfId="38683" xr:uid="{00000000-0005-0000-0000-000060830000}"/>
    <cellStyle name="Normal 9 2 8 3" xfId="38684" xr:uid="{00000000-0005-0000-0000-000061830000}"/>
    <cellStyle name="Normal 9 2 8 3 2" xfId="38685" xr:uid="{00000000-0005-0000-0000-000062830000}"/>
    <cellStyle name="Normal 9 2 8 4" xfId="38686" xr:uid="{00000000-0005-0000-0000-000063830000}"/>
    <cellStyle name="Normal 9 2 8 5" xfId="38687" xr:uid="{00000000-0005-0000-0000-000064830000}"/>
    <cellStyle name="Normal 9 2 8 6" xfId="38681" xr:uid="{00000000-0005-0000-0000-000065830000}"/>
    <cellStyle name="Normal 9 2 9" xfId="38688" xr:uid="{00000000-0005-0000-0000-000066830000}"/>
    <cellStyle name="Normal 9 2 9 2" xfId="38689" xr:uid="{00000000-0005-0000-0000-000067830000}"/>
    <cellStyle name="Normal 9 3" xfId="7722" xr:uid="{00000000-0005-0000-0000-000068830000}"/>
    <cellStyle name="Normal 9 3 10" xfId="38691" xr:uid="{00000000-0005-0000-0000-000069830000}"/>
    <cellStyle name="Normal 9 3 10 2" xfId="38692" xr:uid="{00000000-0005-0000-0000-00006A830000}"/>
    <cellStyle name="Normal 9 3 11" xfId="38693" xr:uid="{00000000-0005-0000-0000-00006B830000}"/>
    <cellStyle name="Normal 9 3 11 2" xfId="38694" xr:uid="{00000000-0005-0000-0000-00006C830000}"/>
    <cellStyle name="Normal 9 3 12" xfId="38695" xr:uid="{00000000-0005-0000-0000-00006D830000}"/>
    <cellStyle name="Normal 9 3 13" xfId="38696" xr:uid="{00000000-0005-0000-0000-00006E830000}"/>
    <cellStyle name="Normal 9 3 14" xfId="38690" xr:uid="{00000000-0005-0000-0000-00006F830000}"/>
    <cellStyle name="Normal 9 3 2" xfId="7723" xr:uid="{00000000-0005-0000-0000-000070830000}"/>
    <cellStyle name="Normal 9 3 2 10" xfId="38698" xr:uid="{00000000-0005-0000-0000-000071830000}"/>
    <cellStyle name="Normal 9 3 2 11" xfId="38699" xr:uid="{00000000-0005-0000-0000-000072830000}"/>
    <cellStyle name="Normal 9 3 2 12" xfId="38697" xr:uid="{00000000-0005-0000-0000-000073830000}"/>
    <cellStyle name="Normal 9 3 2 2" xfId="7724" xr:uid="{00000000-0005-0000-0000-000074830000}"/>
    <cellStyle name="Normal 9 3 2 2 2" xfId="7725" xr:uid="{00000000-0005-0000-0000-000075830000}"/>
    <cellStyle name="Normal 9 3 2 2 2 2" xfId="38702" xr:uid="{00000000-0005-0000-0000-000076830000}"/>
    <cellStyle name="Normal 9 3 2 2 2 3" xfId="38701" xr:uid="{00000000-0005-0000-0000-000077830000}"/>
    <cellStyle name="Normal 9 3 2 2 3" xfId="7726" xr:uid="{00000000-0005-0000-0000-000078830000}"/>
    <cellStyle name="Normal 9 3 2 2 3 2" xfId="38704" xr:uid="{00000000-0005-0000-0000-000079830000}"/>
    <cellStyle name="Normal 9 3 2 2 3 3" xfId="38703" xr:uid="{00000000-0005-0000-0000-00007A830000}"/>
    <cellStyle name="Normal 9 3 2 2 4" xfId="38705" xr:uid="{00000000-0005-0000-0000-00007B830000}"/>
    <cellStyle name="Normal 9 3 2 2 4 2" xfId="38706" xr:uid="{00000000-0005-0000-0000-00007C830000}"/>
    <cellStyle name="Normal 9 3 2 2 5" xfId="38707" xr:uid="{00000000-0005-0000-0000-00007D830000}"/>
    <cellStyle name="Normal 9 3 2 2 6" xfId="38708" xr:uid="{00000000-0005-0000-0000-00007E830000}"/>
    <cellStyle name="Normal 9 3 2 2 7" xfId="38700" xr:uid="{00000000-0005-0000-0000-00007F830000}"/>
    <cellStyle name="Normal 9 3 2 3" xfId="7727" xr:uid="{00000000-0005-0000-0000-000080830000}"/>
    <cellStyle name="Normal 9 3 2 3 2" xfId="7728" xr:uid="{00000000-0005-0000-0000-000081830000}"/>
    <cellStyle name="Normal 9 3 2 3 2 2" xfId="38711" xr:uid="{00000000-0005-0000-0000-000082830000}"/>
    <cellStyle name="Normal 9 3 2 3 2 3" xfId="38710" xr:uid="{00000000-0005-0000-0000-000083830000}"/>
    <cellStyle name="Normal 9 3 2 3 3" xfId="38712" xr:uid="{00000000-0005-0000-0000-000084830000}"/>
    <cellStyle name="Normal 9 3 2 3 3 2" xfId="38713" xr:uid="{00000000-0005-0000-0000-000085830000}"/>
    <cellStyle name="Normal 9 3 2 3 4" xfId="38714" xr:uid="{00000000-0005-0000-0000-000086830000}"/>
    <cellStyle name="Normal 9 3 2 3 4 2" xfId="38715" xr:uid="{00000000-0005-0000-0000-000087830000}"/>
    <cellStyle name="Normal 9 3 2 3 5" xfId="38716" xr:uid="{00000000-0005-0000-0000-000088830000}"/>
    <cellStyle name="Normal 9 3 2 3 6" xfId="38717" xr:uid="{00000000-0005-0000-0000-000089830000}"/>
    <cellStyle name="Normal 9 3 2 3 7" xfId="38709" xr:uid="{00000000-0005-0000-0000-00008A830000}"/>
    <cellStyle name="Normal 9 3 2 4" xfId="7729" xr:uid="{00000000-0005-0000-0000-00008B830000}"/>
    <cellStyle name="Normal 9 3 2 4 2" xfId="7730" xr:uid="{00000000-0005-0000-0000-00008C830000}"/>
    <cellStyle name="Normal 9 3 2 4 2 2" xfId="38720" xr:uid="{00000000-0005-0000-0000-00008D830000}"/>
    <cellStyle name="Normal 9 3 2 4 2 3" xfId="38719" xr:uid="{00000000-0005-0000-0000-00008E830000}"/>
    <cellStyle name="Normal 9 3 2 4 3" xfId="38721" xr:uid="{00000000-0005-0000-0000-00008F830000}"/>
    <cellStyle name="Normal 9 3 2 4 3 2" xfId="38722" xr:uid="{00000000-0005-0000-0000-000090830000}"/>
    <cellStyle name="Normal 9 3 2 4 4" xfId="38723" xr:uid="{00000000-0005-0000-0000-000091830000}"/>
    <cellStyle name="Normal 9 3 2 4 4 2" xfId="38724" xr:uid="{00000000-0005-0000-0000-000092830000}"/>
    <cellStyle name="Normal 9 3 2 4 5" xfId="38725" xr:uid="{00000000-0005-0000-0000-000093830000}"/>
    <cellStyle name="Normal 9 3 2 4 6" xfId="38726" xr:uid="{00000000-0005-0000-0000-000094830000}"/>
    <cellStyle name="Normal 9 3 2 4 7" xfId="38718" xr:uid="{00000000-0005-0000-0000-000095830000}"/>
    <cellStyle name="Normal 9 3 2 5" xfId="7731" xr:uid="{00000000-0005-0000-0000-000096830000}"/>
    <cellStyle name="Normal 9 3 2 5 2" xfId="38728" xr:uid="{00000000-0005-0000-0000-000097830000}"/>
    <cellStyle name="Normal 9 3 2 5 2 2" xfId="38729" xr:uid="{00000000-0005-0000-0000-000098830000}"/>
    <cellStyle name="Normal 9 3 2 5 3" xfId="38730" xr:uid="{00000000-0005-0000-0000-000099830000}"/>
    <cellStyle name="Normal 9 3 2 5 3 2" xfId="38731" xr:uid="{00000000-0005-0000-0000-00009A830000}"/>
    <cellStyle name="Normal 9 3 2 5 4" xfId="38732" xr:uid="{00000000-0005-0000-0000-00009B830000}"/>
    <cellStyle name="Normal 9 3 2 5 4 2" xfId="38733" xr:uid="{00000000-0005-0000-0000-00009C830000}"/>
    <cellStyle name="Normal 9 3 2 5 5" xfId="38734" xr:uid="{00000000-0005-0000-0000-00009D830000}"/>
    <cellStyle name="Normal 9 3 2 5 6" xfId="38735" xr:uid="{00000000-0005-0000-0000-00009E830000}"/>
    <cellStyle name="Normal 9 3 2 5 7" xfId="38727" xr:uid="{00000000-0005-0000-0000-00009F830000}"/>
    <cellStyle name="Normal 9 3 2 6" xfId="38736" xr:uid="{00000000-0005-0000-0000-0000A0830000}"/>
    <cellStyle name="Normal 9 3 2 6 2" xfId="38737" xr:uid="{00000000-0005-0000-0000-0000A1830000}"/>
    <cellStyle name="Normal 9 3 2 6 2 2" xfId="38738" xr:uid="{00000000-0005-0000-0000-0000A2830000}"/>
    <cellStyle name="Normal 9 3 2 6 3" xfId="38739" xr:uid="{00000000-0005-0000-0000-0000A3830000}"/>
    <cellStyle name="Normal 9 3 2 6 3 2" xfId="38740" xr:uid="{00000000-0005-0000-0000-0000A4830000}"/>
    <cellStyle name="Normal 9 3 2 6 4" xfId="38741" xr:uid="{00000000-0005-0000-0000-0000A5830000}"/>
    <cellStyle name="Normal 9 3 2 6 5" xfId="38742" xr:uid="{00000000-0005-0000-0000-0000A6830000}"/>
    <cellStyle name="Normal 9 3 2 7" xfId="38743" xr:uid="{00000000-0005-0000-0000-0000A7830000}"/>
    <cellStyle name="Normal 9 3 2 7 2" xfId="38744" xr:uid="{00000000-0005-0000-0000-0000A8830000}"/>
    <cellStyle name="Normal 9 3 2 8" xfId="38745" xr:uid="{00000000-0005-0000-0000-0000A9830000}"/>
    <cellStyle name="Normal 9 3 2 8 2" xfId="38746" xr:uid="{00000000-0005-0000-0000-0000AA830000}"/>
    <cellStyle name="Normal 9 3 2 9" xfId="38747" xr:uid="{00000000-0005-0000-0000-0000AB830000}"/>
    <cellStyle name="Normal 9 3 2 9 2" xfId="38748" xr:uid="{00000000-0005-0000-0000-0000AC830000}"/>
    <cellStyle name="Normal 9 3 3" xfId="7732" xr:uid="{00000000-0005-0000-0000-0000AD830000}"/>
    <cellStyle name="Normal 9 3 3 10" xfId="38750" xr:uid="{00000000-0005-0000-0000-0000AE830000}"/>
    <cellStyle name="Normal 9 3 3 11" xfId="38749" xr:uid="{00000000-0005-0000-0000-0000AF830000}"/>
    <cellStyle name="Normal 9 3 3 2" xfId="7733" xr:uid="{00000000-0005-0000-0000-0000B0830000}"/>
    <cellStyle name="Normal 9 3 3 2 2" xfId="7734" xr:uid="{00000000-0005-0000-0000-0000B1830000}"/>
    <cellStyle name="Normal 9 3 3 2 2 2" xfId="38753" xr:uid="{00000000-0005-0000-0000-0000B2830000}"/>
    <cellStyle name="Normal 9 3 3 2 2 3" xfId="38752" xr:uid="{00000000-0005-0000-0000-0000B3830000}"/>
    <cellStyle name="Normal 9 3 3 2 3" xfId="38754" xr:uid="{00000000-0005-0000-0000-0000B4830000}"/>
    <cellStyle name="Normal 9 3 3 2 3 2" xfId="38755" xr:uid="{00000000-0005-0000-0000-0000B5830000}"/>
    <cellStyle name="Normal 9 3 3 2 4" xfId="38756" xr:uid="{00000000-0005-0000-0000-0000B6830000}"/>
    <cellStyle name="Normal 9 3 3 2 4 2" xfId="38757" xr:uid="{00000000-0005-0000-0000-0000B7830000}"/>
    <cellStyle name="Normal 9 3 3 2 5" xfId="38758" xr:uid="{00000000-0005-0000-0000-0000B8830000}"/>
    <cellStyle name="Normal 9 3 3 2 6" xfId="38759" xr:uid="{00000000-0005-0000-0000-0000B9830000}"/>
    <cellStyle name="Normal 9 3 3 2 7" xfId="38751" xr:uid="{00000000-0005-0000-0000-0000BA830000}"/>
    <cellStyle name="Normal 9 3 3 3" xfId="7735" xr:uid="{00000000-0005-0000-0000-0000BB830000}"/>
    <cellStyle name="Normal 9 3 3 3 2" xfId="7736" xr:uid="{00000000-0005-0000-0000-0000BC830000}"/>
    <cellStyle name="Normal 9 3 3 3 2 2" xfId="38762" xr:uid="{00000000-0005-0000-0000-0000BD830000}"/>
    <cellStyle name="Normal 9 3 3 3 2 3" xfId="38761" xr:uid="{00000000-0005-0000-0000-0000BE830000}"/>
    <cellStyle name="Normal 9 3 3 3 3" xfId="38763" xr:uid="{00000000-0005-0000-0000-0000BF830000}"/>
    <cellStyle name="Normal 9 3 3 3 3 2" xfId="38764" xr:uid="{00000000-0005-0000-0000-0000C0830000}"/>
    <cellStyle name="Normal 9 3 3 3 4" xfId="38765" xr:uid="{00000000-0005-0000-0000-0000C1830000}"/>
    <cellStyle name="Normal 9 3 3 3 4 2" xfId="38766" xr:uid="{00000000-0005-0000-0000-0000C2830000}"/>
    <cellStyle name="Normal 9 3 3 3 5" xfId="38767" xr:uid="{00000000-0005-0000-0000-0000C3830000}"/>
    <cellStyle name="Normal 9 3 3 3 6" xfId="38768" xr:uid="{00000000-0005-0000-0000-0000C4830000}"/>
    <cellStyle name="Normal 9 3 3 3 7" xfId="38760" xr:uid="{00000000-0005-0000-0000-0000C5830000}"/>
    <cellStyle name="Normal 9 3 3 4" xfId="7737" xr:uid="{00000000-0005-0000-0000-0000C6830000}"/>
    <cellStyle name="Normal 9 3 3 4 2" xfId="38770" xr:uid="{00000000-0005-0000-0000-0000C7830000}"/>
    <cellStyle name="Normal 9 3 3 4 2 2" xfId="38771" xr:uid="{00000000-0005-0000-0000-0000C8830000}"/>
    <cellStyle name="Normal 9 3 3 4 3" xfId="38772" xr:uid="{00000000-0005-0000-0000-0000C9830000}"/>
    <cellStyle name="Normal 9 3 3 4 3 2" xfId="38773" xr:uid="{00000000-0005-0000-0000-0000CA830000}"/>
    <cellStyle name="Normal 9 3 3 4 4" xfId="38774" xr:uid="{00000000-0005-0000-0000-0000CB830000}"/>
    <cellStyle name="Normal 9 3 3 4 4 2" xfId="38775" xr:uid="{00000000-0005-0000-0000-0000CC830000}"/>
    <cellStyle name="Normal 9 3 3 4 5" xfId="38776" xr:uid="{00000000-0005-0000-0000-0000CD830000}"/>
    <cellStyle name="Normal 9 3 3 4 6" xfId="38777" xr:uid="{00000000-0005-0000-0000-0000CE830000}"/>
    <cellStyle name="Normal 9 3 3 4 7" xfId="38769" xr:uid="{00000000-0005-0000-0000-0000CF830000}"/>
    <cellStyle name="Normal 9 3 3 5" xfId="38778" xr:uid="{00000000-0005-0000-0000-0000D0830000}"/>
    <cellStyle name="Normal 9 3 3 5 2" xfId="38779" xr:uid="{00000000-0005-0000-0000-0000D1830000}"/>
    <cellStyle name="Normal 9 3 3 5 2 2" xfId="38780" xr:uid="{00000000-0005-0000-0000-0000D2830000}"/>
    <cellStyle name="Normal 9 3 3 5 3" xfId="38781" xr:uid="{00000000-0005-0000-0000-0000D3830000}"/>
    <cellStyle name="Normal 9 3 3 5 3 2" xfId="38782" xr:uid="{00000000-0005-0000-0000-0000D4830000}"/>
    <cellStyle name="Normal 9 3 3 5 4" xfId="38783" xr:uid="{00000000-0005-0000-0000-0000D5830000}"/>
    <cellStyle name="Normal 9 3 3 5 5" xfId="38784" xr:uid="{00000000-0005-0000-0000-0000D6830000}"/>
    <cellStyle name="Normal 9 3 3 6" xfId="38785" xr:uid="{00000000-0005-0000-0000-0000D7830000}"/>
    <cellStyle name="Normal 9 3 3 6 2" xfId="38786" xr:uid="{00000000-0005-0000-0000-0000D8830000}"/>
    <cellStyle name="Normal 9 3 3 7" xfId="38787" xr:uid="{00000000-0005-0000-0000-0000D9830000}"/>
    <cellStyle name="Normal 9 3 3 7 2" xfId="38788" xr:uid="{00000000-0005-0000-0000-0000DA830000}"/>
    <cellStyle name="Normal 9 3 3 8" xfId="38789" xr:uid="{00000000-0005-0000-0000-0000DB830000}"/>
    <cellStyle name="Normal 9 3 3 8 2" xfId="38790" xr:uid="{00000000-0005-0000-0000-0000DC830000}"/>
    <cellStyle name="Normal 9 3 3 9" xfId="38791" xr:uid="{00000000-0005-0000-0000-0000DD830000}"/>
    <cellStyle name="Normal 9 3 4" xfId="7738" xr:uid="{00000000-0005-0000-0000-0000DE830000}"/>
    <cellStyle name="Normal 9 3 4 10" xfId="38793" xr:uid="{00000000-0005-0000-0000-0000DF830000}"/>
    <cellStyle name="Normal 9 3 4 11" xfId="38792" xr:uid="{00000000-0005-0000-0000-0000E0830000}"/>
    <cellStyle name="Normal 9 3 4 2" xfId="7739" xr:uid="{00000000-0005-0000-0000-0000E1830000}"/>
    <cellStyle name="Normal 9 3 4 2 2" xfId="38795" xr:uid="{00000000-0005-0000-0000-0000E2830000}"/>
    <cellStyle name="Normal 9 3 4 2 2 2" xfId="38796" xr:uid="{00000000-0005-0000-0000-0000E3830000}"/>
    <cellStyle name="Normal 9 3 4 2 3" xfId="38797" xr:uid="{00000000-0005-0000-0000-0000E4830000}"/>
    <cellStyle name="Normal 9 3 4 2 3 2" xfId="38798" xr:uid="{00000000-0005-0000-0000-0000E5830000}"/>
    <cellStyle name="Normal 9 3 4 2 4" xfId="38799" xr:uid="{00000000-0005-0000-0000-0000E6830000}"/>
    <cellStyle name="Normal 9 3 4 2 4 2" xfId="38800" xr:uid="{00000000-0005-0000-0000-0000E7830000}"/>
    <cellStyle name="Normal 9 3 4 2 5" xfId="38801" xr:uid="{00000000-0005-0000-0000-0000E8830000}"/>
    <cellStyle name="Normal 9 3 4 2 6" xfId="38802" xr:uid="{00000000-0005-0000-0000-0000E9830000}"/>
    <cellStyle name="Normal 9 3 4 2 7" xfId="38794" xr:uid="{00000000-0005-0000-0000-0000EA830000}"/>
    <cellStyle name="Normal 9 3 4 3" xfId="7740" xr:uid="{00000000-0005-0000-0000-0000EB830000}"/>
    <cellStyle name="Normal 9 3 4 3 2" xfId="38804" xr:uid="{00000000-0005-0000-0000-0000EC830000}"/>
    <cellStyle name="Normal 9 3 4 3 2 2" xfId="38805" xr:uid="{00000000-0005-0000-0000-0000ED830000}"/>
    <cellStyle name="Normal 9 3 4 3 3" xfId="38806" xr:uid="{00000000-0005-0000-0000-0000EE830000}"/>
    <cellStyle name="Normal 9 3 4 3 3 2" xfId="38807" xr:uid="{00000000-0005-0000-0000-0000EF830000}"/>
    <cellStyle name="Normal 9 3 4 3 4" xfId="38808" xr:uid="{00000000-0005-0000-0000-0000F0830000}"/>
    <cellStyle name="Normal 9 3 4 3 4 2" xfId="38809" xr:uid="{00000000-0005-0000-0000-0000F1830000}"/>
    <cellStyle name="Normal 9 3 4 3 5" xfId="38810" xr:uid="{00000000-0005-0000-0000-0000F2830000}"/>
    <cellStyle name="Normal 9 3 4 3 6" xfId="38811" xr:uid="{00000000-0005-0000-0000-0000F3830000}"/>
    <cellStyle name="Normal 9 3 4 3 7" xfId="38803" xr:uid="{00000000-0005-0000-0000-0000F4830000}"/>
    <cellStyle name="Normal 9 3 4 4" xfId="38812" xr:uid="{00000000-0005-0000-0000-0000F5830000}"/>
    <cellStyle name="Normal 9 3 4 4 2" xfId="38813" xr:uid="{00000000-0005-0000-0000-0000F6830000}"/>
    <cellStyle name="Normal 9 3 4 4 2 2" xfId="38814" xr:uid="{00000000-0005-0000-0000-0000F7830000}"/>
    <cellStyle name="Normal 9 3 4 4 3" xfId="38815" xr:uid="{00000000-0005-0000-0000-0000F8830000}"/>
    <cellStyle name="Normal 9 3 4 4 3 2" xfId="38816" xr:uid="{00000000-0005-0000-0000-0000F9830000}"/>
    <cellStyle name="Normal 9 3 4 4 4" xfId="38817" xr:uid="{00000000-0005-0000-0000-0000FA830000}"/>
    <cellStyle name="Normal 9 3 4 4 4 2" xfId="38818" xr:uid="{00000000-0005-0000-0000-0000FB830000}"/>
    <cellStyle name="Normal 9 3 4 4 5" xfId="38819" xr:uid="{00000000-0005-0000-0000-0000FC830000}"/>
    <cellStyle name="Normal 9 3 4 4 6" xfId="38820" xr:uid="{00000000-0005-0000-0000-0000FD830000}"/>
    <cellStyle name="Normal 9 3 4 5" xfId="38821" xr:uid="{00000000-0005-0000-0000-0000FE830000}"/>
    <cellStyle name="Normal 9 3 4 5 2" xfId="38822" xr:uid="{00000000-0005-0000-0000-0000FF830000}"/>
    <cellStyle name="Normal 9 3 4 5 2 2" xfId="38823" xr:uid="{00000000-0005-0000-0000-000000840000}"/>
    <cellStyle name="Normal 9 3 4 5 3" xfId="38824" xr:uid="{00000000-0005-0000-0000-000001840000}"/>
    <cellStyle name="Normal 9 3 4 5 3 2" xfId="38825" xr:uid="{00000000-0005-0000-0000-000002840000}"/>
    <cellStyle name="Normal 9 3 4 5 4" xfId="38826" xr:uid="{00000000-0005-0000-0000-000003840000}"/>
    <cellStyle name="Normal 9 3 4 5 5" xfId="38827" xr:uid="{00000000-0005-0000-0000-000004840000}"/>
    <cellStyle name="Normal 9 3 4 6" xfId="38828" xr:uid="{00000000-0005-0000-0000-000005840000}"/>
    <cellStyle name="Normal 9 3 4 6 2" xfId="38829" xr:uid="{00000000-0005-0000-0000-000006840000}"/>
    <cellStyle name="Normal 9 3 4 7" xfId="38830" xr:uid="{00000000-0005-0000-0000-000007840000}"/>
    <cellStyle name="Normal 9 3 4 7 2" xfId="38831" xr:uid="{00000000-0005-0000-0000-000008840000}"/>
    <cellStyle name="Normal 9 3 4 8" xfId="38832" xr:uid="{00000000-0005-0000-0000-000009840000}"/>
    <cellStyle name="Normal 9 3 4 8 2" xfId="38833" xr:uid="{00000000-0005-0000-0000-00000A840000}"/>
    <cellStyle name="Normal 9 3 4 9" xfId="38834" xr:uid="{00000000-0005-0000-0000-00000B840000}"/>
    <cellStyle name="Normal 9 3 5" xfId="7741" xr:uid="{00000000-0005-0000-0000-00000C840000}"/>
    <cellStyle name="Normal 9 3 5 2" xfId="7742" xr:uid="{00000000-0005-0000-0000-00000D840000}"/>
    <cellStyle name="Normal 9 3 5 2 2" xfId="38837" xr:uid="{00000000-0005-0000-0000-00000E840000}"/>
    <cellStyle name="Normal 9 3 5 2 3" xfId="38836" xr:uid="{00000000-0005-0000-0000-00000F840000}"/>
    <cellStyle name="Normal 9 3 5 3" xfId="38838" xr:uid="{00000000-0005-0000-0000-000010840000}"/>
    <cellStyle name="Normal 9 3 5 3 2" xfId="38839" xr:uid="{00000000-0005-0000-0000-000011840000}"/>
    <cellStyle name="Normal 9 3 5 4" xfId="38840" xr:uid="{00000000-0005-0000-0000-000012840000}"/>
    <cellStyle name="Normal 9 3 5 4 2" xfId="38841" xr:uid="{00000000-0005-0000-0000-000013840000}"/>
    <cellStyle name="Normal 9 3 5 5" xfId="38842" xr:uid="{00000000-0005-0000-0000-000014840000}"/>
    <cellStyle name="Normal 9 3 5 6" xfId="38843" xr:uid="{00000000-0005-0000-0000-000015840000}"/>
    <cellStyle name="Normal 9 3 5 7" xfId="38835" xr:uid="{00000000-0005-0000-0000-000016840000}"/>
    <cellStyle name="Normal 9 3 6" xfId="7743" xr:uid="{00000000-0005-0000-0000-000017840000}"/>
    <cellStyle name="Normal 9 3 6 2" xfId="7744" xr:uid="{00000000-0005-0000-0000-000018840000}"/>
    <cellStyle name="Normal 9 3 6 2 2" xfId="38846" xr:uid="{00000000-0005-0000-0000-000019840000}"/>
    <cellStyle name="Normal 9 3 6 2 3" xfId="38845" xr:uid="{00000000-0005-0000-0000-00001A840000}"/>
    <cellStyle name="Normal 9 3 6 3" xfId="38847" xr:uid="{00000000-0005-0000-0000-00001B840000}"/>
    <cellStyle name="Normal 9 3 6 3 2" xfId="38848" xr:uid="{00000000-0005-0000-0000-00001C840000}"/>
    <cellStyle name="Normal 9 3 6 4" xfId="38849" xr:uid="{00000000-0005-0000-0000-00001D840000}"/>
    <cellStyle name="Normal 9 3 6 4 2" xfId="38850" xr:uid="{00000000-0005-0000-0000-00001E840000}"/>
    <cellStyle name="Normal 9 3 6 5" xfId="38851" xr:uid="{00000000-0005-0000-0000-00001F840000}"/>
    <cellStyle name="Normal 9 3 6 6" xfId="38852" xr:uid="{00000000-0005-0000-0000-000020840000}"/>
    <cellStyle name="Normal 9 3 6 7" xfId="38844" xr:uid="{00000000-0005-0000-0000-000021840000}"/>
    <cellStyle name="Normal 9 3 7" xfId="7745" xr:uid="{00000000-0005-0000-0000-000022840000}"/>
    <cellStyle name="Normal 9 3 7 2" xfId="38854" xr:uid="{00000000-0005-0000-0000-000023840000}"/>
    <cellStyle name="Normal 9 3 7 2 2" xfId="38855" xr:uid="{00000000-0005-0000-0000-000024840000}"/>
    <cellStyle name="Normal 9 3 7 3" xfId="38856" xr:uid="{00000000-0005-0000-0000-000025840000}"/>
    <cellStyle name="Normal 9 3 7 3 2" xfId="38857" xr:uid="{00000000-0005-0000-0000-000026840000}"/>
    <cellStyle name="Normal 9 3 7 4" xfId="38858" xr:uid="{00000000-0005-0000-0000-000027840000}"/>
    <cellStyle name="Normal 9 3 7 4 2" xfId="38859" xr:uid="{00000000-0005-0000-0000-000028840000}"/>
    <cellStyle name="Normal 9 3 7 5" xfId="38860" xr:uid="{00000000-0005-0000-0000-000029840000}"/>
    <cellStyle name="Normal 9 3 7 6" xfId="38861" xr:uid="{00000000-0005-0000-0000-00002A840000}"/>
    <cellStyle name="Normal 9 3 7 7" xfId="38853" xr:uid="{00000000-0005-0000-0000-00002B840000}"/>
    <cellStyle name="Normal 9 3 8" xfId="38862" xr:uid="{00000000-0005-0000-0000-00002C840000}"/>
    <cellStyle name="Normal 9 3 8 2" xfId="38863" xr:uid="{00000000-0005-0000-0000-00002D840000}"/>
    <cellStyle name="Normal 9 3 8 2 2" xfId="38864" xr:uid="{00000000-0005-0000-0000-00002E840000}"/>
    <cellStyle name="Normal 9 3 8 3" xfId="38865" xr:uid="{00000000-0005-0000-0000-00002F840000}"/>
    <cellStyle name="Normal 9 3 8 3 2" xfId="38866" xr:uid="{00000000-0005-0000-0000-000030840000}"/>
    <cellStyle name="Normal 9 3 8 4" xfId="38867" xr:uid="{00000000-0005-0000-0000-000031840000}"/>
    <cellStyle name="Normal 9 3 8 5" xfId="38868" xr:uid="{00000000-0005-0000-0000-000032840000}"/>
    <cellStyle name="Normal 9 3 9" xfId="38869" xr:uid="{00000000-0005-0000-0000-000033840000}"/>
    <cellStyle name="Normal 9 3 9 2" xfId="38870" xr:uid="{00000000-0005-0000-0000-000034840000}"/>
    <cellStyle name="Normal 9 4" xfId="7746" xr:uid="{00000000-0005-0000-0000-000035840000}"/>
    <cellStyle name="Normal 9 4 10" xfId="38872" xr:uid="{00000000-0005-0000-0000-000036840000}"/>
    <cellStyle name="Normal 9 4 10 2" xfId="38873" xr:uid="{00000000-0005-0000-0000-000037840000}"/>
    <cellStyle name="Normal 9 4 11" xfId="38874" xr:uid="{00000000-0005-0000-0000-000038840000}"/>
    <cellStyle name="Normal 9 4 12" xfId="38875" xr:uid="{00000000-0005-0000-0000-000039840000}"/>
    <cellStyle name="Normal 9 4 13" xfId="38871" xr:uid="{00000000-0005-0000-0000-00003A840000}"/>
    <cellStyle name="Normal 9 4 2" xfId="7747" xr:uid="{00000000-0005-0000-0000-00003B840000}"/>
    <cellStyle name="Normal 9 4 2 10" xfId="38877" xr:uid="{00000000-0005-0000-0000-00003C840000}"/>
    <cellStyle name="Normal 9 4 2 11" xfId="38876" xr:uid="{00000000-0005-0000-0000-00003D840000}"/>
    <cellStyle name="Normal 9 4 2 2" xfId="7748" xr:uid="{00000000-0005-0000-0000-00003E840000}"/>
    <cellStyle name="Normal 9 4 2 2 2" xfId="7749" xr:uid="{00000000-0005-0000-0000-00003F840000}"/>
    <cellStyle name="Normal 9 4 2 2 2 2" xfId="38880" xr:uid="{00000000-0005-0000-0000-000040840000}"/>
    <cellStyle name="Normal 9 4 2 2 2 3" xfId="38879" xr:uid="{00000000-0005-0000-0000-000041840000}"/>
    <cellStyle name="Normal 9 4 2 2 3" xfId="7750" xr:uid="{00000000-0005-0000-0000-000042840000}"/>
    <cellStyle name="Normal 9 4 2 2 3 2" xfId="38882" xr:uid="{00000000-0005-0000-0000-000043840000}"/>
    <cellStyle name="Normal 9 4 2 2 3 3" xfId="38881" xr:uid="{00000000-0005-0000-0000-000044840000}"/>
    <cellStyle name="Normal 9 4 2 2 4" xfId="38883" xr:uid="{00000000-0005-0000-0000-000045840000}"/>
    <cellStyle name="Normal 9 4 2 2 4 2" xfId="38884" xr:uid="{00000000-0005-0000-0000-000046840000}"/>
    <cellStyle name="Normal 9 4 2 2 5" xfId="38885" xr:uid="{00000000-0005-0000-0000-000047840000}"/>
    <cellStyle name="Normal 9 4 2 2 6" xfId="38886" xr:uid="{00000000-0005-0000-0000-000048840000}"/>
    <cellStyle name="Normal 9 4 2 2 7" xfId="38878" xr:uid="{00000000-0005-0000-0000-000049840000}"/>
    <cellStyle name="Normal 9 4 2 3" xfId="7751" xr:uid="{00000000-0005-0000-0000-00004A840000}"/>
    <cellStyle name="Normal 9 4 2 3 2" xfId="7752" xr:uid="{00000000-0005-0000-0000-00004B840000}"/>
    <cellStyle name="Normal 9 4 2 3 2 2" xfId="38889" xr:uid="{00000000-0005-0000-0000-00004C840000}"/>
    <cellStyle name="Normal 9 4 2 3 2 3" xfId="38888" xr:uid="{00000000-0005-0000-0000-00004D840000}"/>
    <cellStyle name="Normal 9 4 2 3 3" xfId="38890" xr:uid="{00000000-0005-0000-0000-00004E840000}"/>
    <cellStyle name="Normal 9 4 2 3 3 2" xfId="38891" xr:uid="{00000000-0005-0000-0000-00004F840000}"/>
    <cellStyle name="Normal 9 4 2 3 4" xfId="38892" xr:uid="{00000000-0005-0000-0000-000050840000}"/>
    <cellStyle name="Normal 9 4 2 3 4 2" xfId="38893" xr:uid="{00000000-0005-0000-0000-000051840000}"/>
    <cellStyle name="Normal 9 4 2 3 5" xfId="38894" xr:uid="{00000000-0005-0000-0000-000052840000}"/>
    <cellStyle name="Normal 9 4 2 3 6" xfId="38895" xr:uid="{00000000-0005-0000-0000-000053840000}"/>
    <cellStyle name="Normal 9 4 2 3 7" xfId="38887" xr:uid="{00000000-0005-0000-0000-000054840000}"/>
    <cellStyle name="Normal 9 4 2 4" xfId="7753" xr:uid="{00000000-0005-0000-0000-000055840000}"/>
    <cellStyle name="Normal 9 4 2 4 2" xfId="7754" xr:uid="{00000000-0005-0000-0000-000056840000}"/>
    <cellStyle name="Normal 9 4 2 4 2 2" xfId="38898" xr:uid="{00000000-0005-0000-0000-000057840000}"/>
    <cellStyle name="Normal 9 4 2 4 2 3" xfId="38897" xr:uid="{00000000-0005-0000-0000-000058840000}"/>
    <cellStyle name="Normal 9 4 2 4 3" xfId="38899" xr:uid="{00000000-0005-0000-0000-000059840000}"/>
    <cellStyle name="Normal 9 4 2 4 3 2" xfId="38900" xr:uid="{00000000-0005-0000-0000-00005A840000}"/>
    <cellStyle name="Normal 9 4 2 4 4" xfId="38901" xr:uid="{00000000-0005-0000-0000-00005B840000}"/>
    <cellStyle name="Normal 9 4 2 4 4 2" xfId="38902" xr:uid="{00000000-0005-0000-0000-00005C840000}"/>
    <cellStyle name="Normal 9 4 2 4 5" xfId="38903" xr:uid="{00000000-0005-0000-0000-00005D840000}"/>
    <cellStyle name="Normal 9 4 2 4 6" xfId="38904" xr:uid="{00000000-0005-0000-0000-00005E840000}"/>
    <cellStyle name="Normal 9 4 2 4 7" xfId="38896" xr:uid="{00000000-0005-0000-0000-00005F840000}"/>
    <cellStyle name="Normal 9 4 2 5" xfId="7755" xr:uid="{00000000-0005-0000-0000-000060840000}"/>
    <cellStyle name="Normal 9 4 2 5 2" xfId="38906" xr:uid="{00000000-0005-0000-0000-000061840000}"/>
    <cellStyle name="Normal 9 4 2 5 2 2" xfId="38907" xr:uid="{00000000-0005-0000-0000-000062840000}"/>
    <cellStyle name="Normal 9 4 2 5 3" xfId="38908" xr:uid="{00000000-0005-0000-0000-000063840000}"/>
    <cellStyle name="Normal 9 4 2 5 3 2" xfId="38909" xr:uid="{00000000-0005-0000-0000-000064840000}"/>
    <cellStyle name="Normal 9 4 2 5 4" xfId="38910" xr:uid="{00000000-0005-0000-0000-000065840000}"/>
    <cellStyle name="Normal 9 4 2 5 5" xfId="38911" xr:uid="{00000000-0005-0000-0000-000066840000}"/>
    <cellStyle name="Normal 9 4 2 5 6" xfId="38905" xr:uid="{00000000-0005-0000-0000-000067840000}"/>
    <cellStyle name="Normal 9 4 2 6" xfId="38912" xr:uid="{00000000-0005-0000-0000-000068840000}"/>
    <cellStyle name="Normal 9 4 2 6 2" xfId="38913" xr:uid="{00000000-0005-0000-0000-000069840000}"/>
    <cellStyle name="Normal 9 4 2 7" xfId="38914" xr:uid="{00000000-0005-0000-0000-00006A840000}"/>
    <cellStyle name="Normal 9 4 2 7 2" xfId="38915" xr:uid="{00000000-0005-0000-0000-00006B840000}"/>
    <cellStyle name="Normal 9 4 2 8" xfId="38916" xr:uid="{00000000-0005-0000-0000-00006C840000}"/>
    <cellStyle name="Normal 9 4 2 8 2" xfId="38917" xr:uid="{00000000-0005-0000-0000-00006D840000}"/>
    <cellStyle name="Normal 9 4 2 9" xfId="38918" xr:uid="{00000000-0005-0000-0000-00006E840000}"/>
    <cellStyle name="Normal 9 4 3" xfId="7756" xr:uid="{00000000-0005-0000-0000-00006F840000}"/>
    <cellStyle name="Normal 9 4 3 10" xfId="38920" xr:uid="{00000000-0005-0000-0000-000070840000}"/>
    <cellStyle name="Normal 9 4 3 11" xfId="38919" xr:uid="{00000000-0005-0000-0000-000071840000}"/>
    <cellStyle name="Normal 9 4 3 2" xfId="7757" xr:uid="{00000000-0005-0000-0000-000072840000}"/>
    <cellStyle name="Normal 9 4 3 2 2" xfId="7758" xr:uid="{00000000-0005-0000-0000-000073840000}"/>
    <cellStyle name="Normal 9 4 3 2 2 2" xfId="38923" xr:uid="{00000000-0005-0000-0000-000074840000}"/>
    <cellStyle name="Normal 9 4 3 2 2 3" xfId="38922" xr:uid="{00000000-0005-0000-0000-000075840000}"/>
    <cellStyle name="Normal 9 4 3 2 3" xfId="38924" xr:uid="{00000000-0005-0000-0000-000076840000}"/>
    <cellStyle name="Normal 9 4 3 2 3 2" xfId="38925" xr:uid="{00000000-0005-0000-0000-000077840000}"/>
    <cellStyle name="Normal 9 4 3 2 4" xfId="38926" xr:uid="{00000000-0005-0000-0000-000078840000}"/>
    <cellStyle name="Normal 9 4 3 2 4 2" xfId="38927" xr:uid="{00000000-0005-0000-0000-000079840000}"/>
    <cellStyle name="Normal 9 4 3 2 5" xfId="38928" xr:uid="{00000000-0005-0000-0000-00007A840000}"/>
    <cellStyle name="Normal 9 4 3 2 6" xfId="38929" xr:uid="{00000000-0005-0000-0000-00007B840000}"/>
    <cellStyle name="Normal 9 4 3 2 7" xfId="38921" xr:uid="{00000000-0005-0000-0000-00007C840000}"/>
    <cellStyle name="Normal 9 4 3 3" xfId="7759" xr:uid="{00000000-0005-0000-0000-00007D840000}"/>
    <cellStyle name="Normal 9 4 3 3 2" xfId="7760" xr:uid="{00000000-0005-0000-0000-00007E840000}"/>
    <cellStyle name="Normal 9 4 3 3 2 2" xfId="38932" xr:uid="{00000000-0005-0000-0000-00007F840000}"/>
    <cellStyle name="Normal 9 4 3 3 2 3" xfId="38931" xr:uid="{00000000-0005-0000-0000-000080840000}"/>
    <cellStyle name="Normal 9 4 3 3 3" xfId="38933" xr:uid="{00000000-0005-0000-0000-000081840000}"/>
    <cellStyle name="Normal 9 4 3 3 3 2" xfId="38934" xr:uid="{00000000-0005-0000-0000-000082840000}"/>
    <cellStyle name="Normal 9 4 3 3 4" xfId="38935" xr:uid="{00000000-0005-0000-0000-000083840000}"/>
    <cellStyle name="Normal 9 4 3 3 4 2" xfId="38936" xr:uid="{00000000-0005-0000-0000-000084840000}"/>
    <cellStyle name="Normal 9 4 3 3 5" xfId="38937" xr:uid="{00000000-0005-0000-0000-000085840000}"/>
    <cellStyle name="Normal 9 4 3 3 6" xfId="38938" xr:uid="{00000000-0005-0000-0000-000086840000}"/>
    <cellStyle name="Normal 9 4 3 3 7" xfId="38930" xr:uid="{00000000-0005-0000-0000-000087840000}"/>
    <cellStyle name="Normal 9 4 3 4" xfId="7761" xr:uid="{00000000-0005-0000-0000-000088840000}"/>
    <cellStyle name="Normal 9 4 3 4 2" xfId="38940" xr:uid="{00000000-0005-0000-0000-000089840000}"/>
    <cellStyle name="Normal 9 4 3 4 2 2" xfId="38941" xr:uid="{00000000-0005-0000-0000-00008A840000}"/>
    <cellStyle name="Normal 9 4 3 4 3" xfId="38942" xr:uid="{00000000-0005-0000-0000-00008B840000}"/>
    <cellStyle name="Normal 9 4 3 4 3 2" xfId="38943" xr:uid="{00000000-0005-0000-0000-00008C840000}"/>
    <cellStyle name="Normal 9 4 3 4 4" xfId="38944" xr:uid="{00000000-0005-0000-0000-00008D840000}"/>
    <cellStyle name="Normal 9 4 3 4 4 2" xfId="38945" xr:uid="{00000000-0005-0000-0000-00008E840000}"/>
    <cellStyle name="Normal 9 4 3 4 5" xfId="38946" xr:uid="{00000000-0005-0000-0000-00008F840000}"/>
    <cellStyle name="Normal 9 4 3 4 6" xfId="38947" xr:uid="{00000000-0005-0000-0000-000090840000}"/>
    <cellStyle name="Normal 9 4 3 4 7" xfId="38939" xr:uid="{00000000-0005-0000-0000-000091840000}"/>
    <cellStyle name="Normal 9 4 3 5" xfId="38948" xr:uid="{00000000-0005-0000-0000-000092840000}"/>
    <cellStyle name="Normal 9 4 3 5 2" xfId="38949" xr:uid="{00000000-0005-0000-0000-000093840000}"/>
    <cellStyle name="Normal 9 4 3 5 2 2" xfId="38950" xr:uid="{00000000-0005-0000-0000-000094840000}"/>
    <cellStyle name="Normal 9 4 3 5 3" xfId="38951" xr:uid="{00000000-0005-0000-0000-000095840000}"/>
    <cellStyle name="Normal 9 4 3 5 3 2" xfId="38952" xr:uid="{00000000-0005-0000-0000-000096840000}"/>
    <cellStyle name="Normal 9 4 3 5 4" xfId="38953" xr:uid="{00000000-0005-0000-0000-000097840000}"/>
    <cellStyle name="Normal 9 4 3 5 5" xfId="38954" xr:uid="{00000000-0005-0000-0000-000098840000}"/>
    <cellStyle name="Normal 9 4 3 6" xfId="38955" xr:uid="{00000000-0005-0000-0000-000099840000}"/>
    <cellStyle name="Normal 9 4 3 6 2" xfId="38956" xr:uid="{00000000-0005-0000-0000-00009A840000}"/>
    <cellStyle name="Normal 9 4 3 7" xfId="38957" xr:uid="{00000000-0005-0000-0000-00009B840000}"/>
    <cellStyle name="Normal 9 4 3 7 2" xfId="38958" xr:uid="{00000000-0005-0000-0000-00009C840000}"/>
    <cellStyle name="Normal 9 4 3 8" xfId="38959" xr:uid="{00000000-0005-0000-0000-00009D840000}"/>
    <cellStyle name="Normal 9 4 3 8 2" xfId="38960" xr:uid="{00000000-0005-0000-0000-00009E840000}"/>
    <cellStyle name="Normal 9 4 3 9" xfId="38961" xr:uid="{00000000-0005-0000-0000-00009F840000}"/>
    <cellStyle name="Normal 9 4 4" xfId="7762" xr:uid="{00000000-0005-0000-0000-0000A0840000}"/>
    <cellStyle name="Normal 9 4 4 2" xfId="7763" xr:uid="{00000000-0005-0000-0000-0000A1840000}"/>
    <cellStyle name="Normal 9 4 4 2 2" xfId="38964" xr:uid="{00000000-0005-0000-0000-0000A2840000}"/>
    <cellStyle name="Normal 9 4 4 2 3" xfId="38963" xr:uid="{00000000-0005-0000-0000-0000A3840000}"/>
    <cellStyle name="Normal 9 4 4 3" xfId="7764" xr:uid="{00000000-0005-0000-0000-0000A4840000}"/>
    <cellStyle name="Normal 9 4 4 3 2" xfId="38966" xr:uid="{00000000-0005-0000-0000-0000A5840000}"/>
    <cellStyle name="Normal 9 4 4 3 3" xfId="38965" xr:uid="{00000000-0005-0000-0000-0000A6840000}"/>
    <cellStyle name="Normal 9 4 4 4" xfId="38967" xr:uid="{00000000-0005-0000-0000-0000A7840000}"/>
    <cellStyle name="Normal 9 4 4 4 2" xfId="38968" xr:uid="{00000000-0005-0000-0000-0000A8840000}"/>
    <cellStyle name="Normal 9 4 4 5" xfId="38969" xr:uid="{00000000-0005-0000-0000-0000A9840000}"/>
    <cellStyle name="Normal 9 4 4 6" xfId="38970" xr:uid="{00000000-0005-0000-0000-0000AA840000}"/>
    <cellStyle name="Normal 9 4 4 7" xfId="38962" xr:uid="{00000000-0005-0000-0000-0000AB840000}"/>
    <cellStyle name="Normal 9 4 5" xfId="7765" xr:uid="{00000000-0005-0000-0000-0000AC840000}"/>
    <cellStyle name="Normal 9 4 5 2" xfId="7766" xr:uid="{00000000-0005-0000-0000-0000AD840000}"/>
    <cellStyle name="Normal 9 4 5 2 2" xfId="38973" xr:uid="{00000000-0005-0000-0000-0000AE840000}"/>
    <cellStyle name="Normal 9 4 5 2 3" xfId="38972" xr:uid="{00000000-0005-0000-0000-0000AF840000}"/>
    <cellStyle name="Normal 9 4 5 3" xfId="38974" xr:uid="{00000000-0005-0000-0000-0000B0840000}"/>
    <cellStyle name="Normal 9 4 5 3 2" xfId="38975" xr:uid="{00000000-0005-0000-0000-0000B1840000}"/>
    <cellStyle name="Normal 9 4 5 4" xfId="38976" xr:uid="{00000000-0005-0000-0000-0000B2840000}"/>
    <cellStyle name="Normal 9 4 5 4 2" xfId="38977" xr:uid="{00000000-0005-0000-0000-0000B3840000}"/>
    <cellStyle name="Normal 9 4 5 5" xfId="38978" xr:uid="{00000000-0005-0000-0000-0000B4840000}"/>
    <cellStyle name="Normal 9 4 5 6" xfId="38979" xr:uid="{00000000-0005-0000-0000-0000B5840000}"/>
    <cellStyle name="Normal 9 4 5 7" xfId="38971" xr:uid="{00000000-0005-0000-0000-0000B6840000}"/>
    <cellStyle name="Normal 9 4 6" xfId="7767" xr:uid="{00000000-0005-0000-0000-0000B7840000}"/>
    <cellStyle name="Normal 9 4 6 2" xfId="7768" xr:uid="{00000000-0005-0000-0000-0000B8840000}"/>
    <cellStyle name="Normal 9 4 6 2 2" xfId="38982" xr:uid="{00000000-0005-0000-0000-0000B9840000}"/>
    <cellStyle name="Normal 9 4 6 2 3" xfId="38981" xr:uid="{00000000-0005-0000-0000-0000BA840000}"/>
    <cellStyle name="Normal 9 4 6 3" xfId="38983" xr:uid="{00000000-0005-0000-0000-0000BB840000}"/>
    <cellStyle name="Normal 9 4 6 3 2" xfId="38984" xr:uid="{00000000-0005-0000-0000-0000BC840000}"/>
    <cellStyle name="Normal 9 4 6 4" xfId="38985" xr:uid="{00000000-0005-0000-0000-0000BD840000}"/>
    <cellStyle name="Normal 9 4 6 4 2" xfId="38986" xr:uid="{00000000-0005-0000-0000-0000BE840000}"/>
    <cellStyle name="Normal 9 4 6 5" xfId="38987" xr:uid="{00000000-0005-0000-0000-0000BF840000}"/>
    <cellStyle name="Normal 9 4 6 6" xfId="38988" xr:uid="{00000000-0005-0000-0000-0000C0840000}"/>
    <cellStyle name="Normal 9 4 6 7" xfId="38980" xr:uid="{00000000-0005-0000-0000-0000C1840000}"/>
    <cellStyle name="Normal 9 4 7" xfId="7769" xr:uid="{00000000-0005-0000-0000-0000C2840000}"/>
    <cellStyle name="Normal 9 4 7 2" xfId="38990" xr:uid="{00000000-0005-0000-0000-0000C3840000}"/>
    <cellStyle name="Normal 9 4 7 2 2" xfId="38991" xr:uid="{00000000-0005-0000-0000-0000C4840000}"/>
    <cellStyle name="Normal 9 4 7 3" xfId="38992" xr:uid="{00000000-0005-0000-0000-0000C5840000}"/>
    <cellStyle name="Normal 9 4 7 3 2" xfId="38993" xr:uid="{00000000-0005-0000-0000-0000C6840000}"/>
    <cellStyle name="Normal 9 4 7 4" xfId="38994" xr:uid="{00000000-0005-0000-0000-0000C7840000}"/>
    <cellStyle name="Normal 9 4 7 5" xfId="38995" xr:uid="{00000000-0005-0000-0000-0000C8840000}"/>
    <cellStyle name="Normal 9 4 7 6" xfId="38989" xr:uid="{00000000-0005-0000-0000-0000C9840000}"/>
    <cellStyle name="Normal 9 4 8" xfId="38996" xr:uid="{00000000-0005-0000-0000-0000CA840000}"/>
    <cellStyle name="Normal 9 4 8 2" xfId="38997" xr:uid="{00000000-0005-0000-0000-0000CB840000}"/>
    <cellStyle name="Normal 9 4 9" xfId="38998" xr:uid="{00000000-0005-0000-0000-0000CC840000}"/>
    <cellStyle name="Normal 9 4 9 2" xfId="38999" xr:uid="{00000000-0005-0000-0000-0000CD840000}"/>
    <cellStyle name="Normal 9 5" xfId="7770" xr:uid="{00000000-0005-0000-0000-0000CE840000}"/>
    <cellStyle name="Normal 9 5 10" xfId="39001" xr:uid="{00000000-0005-0000-0000-0000CF840000}"/>
    <cellStyle name="Normal 9 5 11" xfId="39002" xr:uid="{00000000-0005-0000-0000-0000D0840000}"/>
    <cellStyle name="Normal 9 5 12" xfId="39000" xr:uid="{00000000-0005-0000-0000-0000D1840000}"/>
    <cellStyle name="Normal 9 5 2" xfId="7771" xr:uid="{00000000-0005-0000-0000-0000D2840000}"/>
    <cellStyle name="Normal 9 5 2 2" xfId="7772" xr:uid="{00000000-0005-0000-0000-0000D3840000}"/>
    <cellStyle name="Normal 9 5 2 2 2" xfId="7773" xr:uid="{00000000-0005-0000-0000-0000D4840000}"/>
    <cellStyle name="Normal 9 5 2 2 2 2" xfId="39005" xr:uid="{00000000-0005-0000-0000-0000D5840000}"/>
    <cellStyle name="Normal 9 5 2 2 3" xfId="39004" xr:uid="{00000000-0005-0000-0000-0000D6840000}"/>
    <cellStyle name="Normal 9 5 2 3" xfId="7774" xr:uid="{00000000-0005-0000-0000-0000D7840000}"/>
    <cellStyle name="Normal 9 5 2 3 2" xfId="7775" xr:uid="{00000000-0005-0000-0000-0000D8840000}"/>
    <cellStyle name="Normal 9 5 2 3 2 2" xfId="39007" xr:uid="{00000000-0005-0000-0000-0000D9840000}"/>
    <cellStyle name="Normal 9 5 2 3 3" xfId="39006" xr:uid="{00000000-0005-0000-0000-0000DA840000}"/>
    <cellStyle name="Normal 9 5 2 4" xfId="7776" xr:uid="{00000000-0005-0000-0000-0000DB840000}"/>
    <cellStyle name="Normal 9 5 2 4 2" xfId="39009" xr:uid="{00000000-0005-0000-0000-0000DC840000}"/>
    <cellStyle name="Normal 9 5 2 4 3" xfId="39008" xr:uid="{00000000-0005-0000-0000-0000DD840000}"/>
    <cellStyle name="Normal 9 5 2 5" xfId="39010" xr:uid="{00000000-0005-0000-0000-0000DE840000}"/>
    <cellStyle name="Normal 9 5 2 6" xfId="39011" xr:uid="{00000000-0005-0000-0000-0000DF840000}"/>
    <cellStyle name="Normal 9 5 2 7" xfId="39003" xr:uid="{00000000-0005-0000-0000-0000E0840000}"/>
    <cellStyle name="Normal 9 5 3" xfId="7777" xr:uid="{00000000-0005-0000-0000-0000E1840000}"/>
    <cellStyle name="Normal 9 5 3 2" xfId="7778" xr:uid="{00000000-0005-0000-0000-0000E2840000}"/>
    <cellStyle name="Normal 9 5 3 2 2" xfId="39014" xr:uid="{00000000-0005-0000-0000-0000E3840000}"/>
    <cellStyle name="Normal 9 5 3 2 3" xfId="39013" xr:uid="{00000000-0005-0000-0000-0000E4840000}"/>
    <cellStyle name="Normal 9 5 3 3" xfId="7779" xr:uid="{00000000-0005-0000-0000-0000E5840000}"/>
    <cellStyle name="Normal 9 5 3 3 2" xfId="39016" xr:uid="{00000000-0005-0000-0000-0000E6840000}"/>
    <cellStyle name="Normal 9 5 3 3 3" xfId="39015" xr:uid="{00000000-0005-0000-0000-0000E7840000}"/>
    <cellStyle name="Normal 9 5 3 4" xfId="39017" xr:uid="{00000000-0005-0000-0000-0000E8840000}"/>
    <cellStyle name="Normal 9 5 3 4 2" xfId="39018" xr:uid="{00000000-0005-0000-0000-0000E9840000}"/>
    <cellStyle name="Normal 9 5 3 5" xfId="39019" xr:uid="{00000000-0005-0000-0000-0000EA840000}"/>
    <cellStyle name="Normal 9 5 3 6" xfId="39020" xr:uid="{00000000-0005-0000-0000-0000EB840000}"/>
    <cellStyle name="Normal 9 5 3 7" xfId="39012" xr:uid="{00000000-0005-0000-0000-0000EC840000}"/>
    <cellStyle name="Normal 9 5 4" xfId="7780" xr:uid="{00000000-0005-0000-0000-0000ED840000}"/>
    <cellStyle name="Normal 9 5 4 2" xfId="7781" xr:uid="{00000000-0005-0000-0000-0000EE840000}"/>
    <cellStyle name="Normal 9 5 4 2 2" xfId="39023" xr:uid="{00000000-0005-0000-0000-0000EF840000}"/>
    <cellStyle name="Normal 9 5 4 2 3" xfId="39022" xr:uid="{00000000-0005-0000-0000-0000F0840000}"/>
    <cellStyle name="Normal 9 5 4 3" xfId="39024" xr:uid="{00000000-0005-0000-0000-0000F1840000}"/>
    <cellStyle name="Normal 9 5 4 3 2" xfId="39025" xr:uid="{00000000-0005-0000-0000-0000F2840000}"/>
    <cellStyle name="Normal 9 5 4 4" xfId="39026" xr:uid="{00000000-0005-0000-0000-0000F3840000}"/>
    <cellStyle name="Normal 9 5 4 4 2" xfId="39027" xr:uid="{00000000-0005-0000-0000-0000F4840000}"/>
    <cellStyle name="Normal 9 5 4 5" xfId="39028" xr:uid="{00000000-0005-0000-0000-0000F5840000}"/>
    <cellStyle name="Normal 9 5 4 6" xfId="39029" xr:uid="{00000000-0005-0000-0000-0000F6840000}"/>
    <cellStyle name="Normal 9 5 4 7" xfId="39021" xr:uid="{00000000-0005-0000-0000-0000F7840000}"/>
    <cellStyle name="Normal 9 5 5" xfId="7782" xr:uid="{00000000-0005-0000-0000-0000F8840000}"/>
    <cellStyle name="Normal 9 5 5 2" xfId="7783" xr:uid="{00000000-0005-0000-0000-0000F9840000}"/>
    <cellStyle name="Normal 9 5 5 2 2" xfId="39032" xr:uid="{00000000-0005-0000-0000-0000FA840000}"/>
    <cellStyle name="Normal 9 5 5 2 3" xfId="39031" xr:uid="{00000000-0005-0000-0000-0000FB840000}"/>
    <cellStyle name="Normal 9 5 5 3" xfId="39033" xr:uid="{00000000-0005-0000-0000-0000FC840000}"/>
    <cellStyle name="Normal 9 5 5 3 2" xfId="39034" xr:uid="{00000000-0005-0000-0000-0000FD840000}"/>
    <cellStyle name="Normal 9 5 5 4" xfId="39035" xr:uid="{00000000-0005-0000-0000-0000FE840000}"/>
    <cellStyle name="Normal 9 5 5 4 2" xfId="39036" xr:uid="{00000000-0005-0000-0000-0000FF840000}"/>
    <cellStyle name="Normal 9 5 5 5" xfId="39037" xr:uid="{00000000-0005-0000-0000-000000850000}"/>
    <cellStyle name="Normal 9 5 5 6" xfId="39038" xr:uid="{00000000-0005-0000-0000-000001850000}"/>
    <cellStyle name="Normal 9 5 5 7" xfId="39030" xr:uid="{00000000-0005-0000-0000-000002850000}"/>
    <cellStyle name="Normal 9 5 6" xfId="7784" xr:uid="{00000000-0005-0000-0000-000003850000}"/>
    <cellStyle name="Normal 9 5 6 2" xfId="39040" xr:uid="{00000000-0005-0000-0000-000004850000}"/>
    <cellStyle name="Normal 9 5 6 2 2" xfId="39041" xr:uid="{00000000-0005-0000-0000-000005850000}"/>
    <cellStyle name="Normal 9 5 6 3" xfId="39042" xr:uid="{00000000-0005-0000-0000-000006850000}"/>
    <cellStyle name="Normal 9 5 6 3 2" xfId="39043" xr:uid="{00000000-0005-0000-0000-000007850000}"/>
    <cellStyle name="Normal 9 5 6 4" xfId="39044" xr:uid="{00000000-0005-0000-0000-000008850000}"/>
    <cellStyle name="Normal 9 5 6 5" xfId="39045" xr:uid="{00000000-0005-0000-0000-000009850000}"/>
    <cellStyle name="Normal 9 5 6 6" xfId="39039" xr:uid="{00000000-0005-0000-0000-00000A850000}"/>
    <cellStyle name="Normal 9 5 7" xfId="39046" xr:uid="{00000000-0005-0000-0000-00000B850000}"/>
    <cellStyle name="Normal 9 5 7 2" xfId="39047" xr:uid="{00000000-0005-0000-0000-00000C850000}"/>
    <cellStyle name="Normal 9 5 8" xfId="39048" xr:uid="{00000000-0005-0000-0000-00000D850000}"/>
    <cellStyle name="Normal 9 5 8 2" xfId="39049" xr:uid="{00000000-0005-0000-0000-00000E850000}"/>
    <cellStyle name="Normal 9 5 9" xfId="39050" xr:uid="{00000000-0005-0000-0000-00000F850000}"/>
    <cellStyle name="Normal 9 5 9 2" xfId="39051" xr:uid="{00000000-0005-0000-0000-000010850000}"/>
    <cellStyle name="Normal 9 6" xfId="7785" xr:uid="{00000000-0005-0000-0000-000011850000}"/>
    <cellStyle name="Normal 9 6 10" xfId="39053" xr:uid="{00000000-0005-0000-0000-000012850000}"/>
    <cellStyle name="Normal 9 6 11" xfId="39052" xr:uid="{00000000-0005-0000-0000-000013850000}"/>
    <cellStyle name="Normal 9 6 2" xfId="7786" xr:uid="{00000000-0005-0000-0000-000014850000}"/>
    <cellStyle name="Normal 9 6 2 2" xfId="7787" xr:uid="{00000000-0005-0000-0000-000015850000}"/>
    <cellStyle name="Normal 9 6 2 2 2" xfId="39056" xr:uid="{00000000-0005-0000-0000-000016850000}"/>
    <cellStyle name="Normal 9 6 2 2 3" xfId="39055" xr:uid="{00000000-0005-0000-0000-000017850000}"/>
    <cellStyle name="Normal 9 6 2 3" xfId="39057" xr:uid="{00000000-0005-0000-0000-000018850000}"/>
    <cellStyle name="Normal 9 6 2 3 2" xfId="39058" xr:uid="{00000000-0005-0000-0000-000019850000}"/>
    <cellStyle name="Normal 9 6 2 4" xfId="39059" xr:uid="{00000000-0005-0000-0000-00001A850000}"/>
    <cellStyle name="Normal 9 6 2 4 2" xfId="39060" xr:uid="{00000000-0005-0000-0000-00001B850000}"/>
    <cellStyle name="Normal 9 6 2 5" xfId="39061" xr:uid="{00000000-0005-0000-0000-00001C850000}"/>
    <cellStyle name="Normal 9 6 2 6" xfId="39062" xr:uid="{00000000-0005-0000-0000-00001D850000}"/>
    <cellStyle name="Normal 9 6 2 7" xfId="39054" xr:uid="{00000000-0005-0000-0000-00001E850000}"/>
    <cellStyle name="Normal 9 6 3" xfId="7788" xr:uid="{00000000-0005-0000-0000-00001F850000}"/>
    <cellStyle name="Normal 9 6 3 2" xfId="7789" xr:uid="{00000000-0005-0000-0000-000020850000}"/>
    <cellStyle name="Normal 9 6 3 2 2" xfId="39065" xr:uid="{00000000-0005-0000-0000-000021850000}"/>
    <cellStyle name="Normal 9 6 3 2 3" xfId="39064" xr:uid="{00000000-0005-0000-0000-000022850000}"/>
    <cellStyle name="Normal 9 6 3 3" xfId="39066" xr:uid="{00000000-0005-0000-0000-000023850000}"/>
    <cellStyle name="Normal 9 6 3 3 2" xfId="39067" xr:uid="{00000000-0005-0000-0000-000024850000}"/>
    <cellStyle name="Normal 9 6 3 4" xfId="39068" xr:uid="{00000000-0005-0000-0000-000025850000}"/>
    <cellStyle name="Normal 9 6 3 4 2" xfId="39069" xr:uid="{00000000-0005-0000-0000-000026850000}"/>
    <cellStyle name="Normal 9 6 3 5" xfId="39070" xr:uid="{00000000-0005-0000-0000-000027850000}"/>
    <cellStyle name="Normal 9 6 3 6" xfId="39071" xr:uid="{00000000-0005-0000-0000-000028850000}"/>
    <cellStyle name="Normal 9 6 3 7" xfId="39063" xr:uid="{00000000-0005-0000-0000-000029850000}"/>
    <cellStyle name="Normal 9 6 4" xfId="7790" xr:uid="{00000000-0005-0000-0000-00002A850000}"/>
    <cellStyle name="Normal 9 6 4 2" xfId="39073" xr:uid="{00000000-0005-0000-0000-00002B850000}"/>
    <cellStyle name="Normal 9 6 4 2 2" xfId="39074" xr:uid="{00000000-0005-0000-0000-00002C850000}"/>
    <cellStyle name="Normal 9 6 4 3" xfId="39075" xr:uid="{00000000-0005-0000-0000-00002D850000}"/>
    <cellStyle name="Normal 9 6 4 3 2" xfId="39076" xr:uid="{00000000-0005-0000-0000-00002E850000}"/>
    <cellStyle name="Normal 9 6 4 4" xfId="39077" xr:uid="{00000000-0005-0000-0000-00002F850000}"/>
    <cellStyle name="Normal 9 6 4 4 2" xfId="39078" xr:uid="{00000000-0005-0000-0000-000030850000}"/>
    <cellStyle name="Normal 9 6 4 5" xfId="39079" xr:uid="{00000000-0005-0000-0000-000031850000}"/>
    <cellStyle name="Normal 9 6 4 6" xfId="39080" xr:uid="{00000000-0005-0000-0000-000032850000}"/>
    <cellStyle name="Normal 9 6 4 7" xfId="39072" xr:uid="{00000000-0005-0000-0000-000033850000}"/>
    <cellStyle name="Normal 9 6 5" xfId="39081" xr:uid="{00000000-0005-0000-0000-000034850000}"/>
    <cellStyle name="Normal 9 6 5 2" xfId="39082" xr:uid="{00000000-0005-0000-0000-000035850000}"/>
    <cellStyle name="Normal 9 6 5 2 2" xfId="39083" xr:uid="{00000000-0005-0000-0000-000036850000}"/>
    <cellStyle name="Normal 9 6 5 3" xfId="39084" xr:uid="{00000000-0005-0000-0000-000037850000}"/>
    <cellStyle name="Normal 9 6 5 3 2" xfId="39085" xr:uid="{00000000-0005-0000-0000-000038850000}"/>
    <cellStyle name="Normal 9 6 5 4" xfId="39086" xr:uid="{00000000-0005-0000-0000-000039850000}"/>
    <cellStyle name="Normal 9 6 5 5" xfId="39087" xr:uid="{00000000-0005-0000-0000-00003A850000}"/>
    <cellStyle name="Normal 9 6 6" xfId="39088" xr:uid="{00000000-0005-0000-0000-00003B850000}"/>
    <cellStyle name="Normal 9 6 6 2" xfId="39089" xr:uid="{00000000-0005-0000-0000-00003C850000}"/>
    <cellStyle name="Normal 9 6 7" xfId="39090" xr:uid="{00000000-0005-0000-0000-00003D850000}"/>
    <cellStyle name="Normal 9 6 7 2" xfId="39091" xr:uid="{00000000-0005-0000-0000-00003E850000}"/>
    <cellStyle name="Normal 9 6 8" xfId="39092" xr:uid="{00000000-0005-0000-0000-00003F850000}"/>
    <cellStyle name="Normal 9 6 8 2" xfId="39093" xr:uid="{00000000-0005-0000-0000-000040850000}"/>
    <cellStyle name="Normal 9 6 9" xfId="39094" xr:uid="{00000000-0005-0000-0000-000041850000}"/>
    <cellStyle name="Normal 9 7" xfId="7791" xr:uid="{00000000-0005-0000-0000-000042850000}"/>
    <cellStyle name="Normal 9 7 10" xfId="39096" xr:uid="{00000000-0005-0000-0000-000043850000}"/>
    <cellStyle name="Normal 9 7 11" xfId="39095" xr:uid="{00000000-0005-0000-0000-000044850000}"/>
    <cellStyle name="Normal 9 7 2" xfId="7792" xr:uid="{00000000-0005-0000-0000-000045850000}"/>
    <cellStyle name="Normal 9 7 2 2" xfId="7793" xr:uid="{00000000-0005-0000-0000-000046850000}"/>
    <cellStyle name="Normal 9 7 2 2 2" xfId="39099" xr:uid="{00000000-0005-0000-0000-000047850000}"/>
    <cellStyle name="Normal 9 7 2 2 3" xfId="39098" xr:uid="{00000000-0005-0000-0000-000048850000}"/>
    <cellStyle name="Normal 9 7 2 3" xfId="39100" xr:uid="{00000000-0005-0000-0000-000049850000}"/>
    <cellStyle name="Normal 9 7 2 3 2" xfId="39101" xr:uid="{00000000-0005-0000-0000-00004A850000}"/>
    <cellStyle name="Normal 9 7 2 4" xfId="39102" xr:uid="{00000000-0005-0000-0000-00004B850000}"/>
    <cellStyle name="Normal 9 7 2 4 2" xfId="39103" xr:uid="{00000000-0005-0000-0000-00004C850000}"/>
    <cellStyle name="Normal 9 7 2 5" xfId="39104" xr:uid="{00000000-0005-0000-0000-00004D850000}"/>
    <cellStyle name="Normal 9 7 2 6" xfId="39105" xr:uid="{00000000-0005-0000-0000-00004E850000}"/>
    <cellStyle name="Normal 9 7 2 7" xfId="39097" xr:uid="{00000000-0005-0000-0000-00004F850000}"/>
    <cellStyle name="Normal 9 7 3" xfId="7794" xr:uid="{00000000-0005-0000-0000-000050850000}"/>
    <cellStyle name="Normal 9 7 3 2" xfId="7795" xr:uid="{00000000-0005-0000-0000-000051850000}"/>
    <cellStyle name="Normal 9 7 3 2 2" xfId="39108" xr:uid="{00000000-0005-0000-0000-000052850000}"/>
    <cellStyle name="Normal 9 7 3 2 3" xfId="39107" xr:uid="{00000000-0005-0000-0000-000053850000}"/>
    <cellStyle name="Normal 9 7 3 3" xfId="39109" xr:uid="{00000000-0005-0000-0000-000054850000}"/>
    <cellStyle name="Normal 9 7 3 3 2" xfId="39110" xr:uid="{00000000-0005-0000-0000-000055850000}"/>
    <cellStyle name="Normal 9 7 3 4" xfId="39111" xr:uid="{00000000-0005-0000-0000-000056850000}"/>
    <cellStyle name="Normal 9 7 3 4 2" xfId="39112" xr:uid="{00000000-0005-0000-0000-000057850000}"/>
    <cellStyle name="Normal 9 7 3 5" xfId="39113" xr:uid="{00000000-0005-0000-0000-000058850000}"/>
    <cellStyle name="Normal 9 7 3 6" xfId="39114" xr:uid="{00000000-0005-0000-0000-000059850000}"/>
    <cellStyle name="Normal 9 7 3 7" xfId="39106" xr:uid="{00000000-0005-0000-0000-00005A850000}"/>
    <cellStyle name="Normal 9 7 4" xfId="7796" xr:uid="{00000000-0005-0000-0000-00005B850000}"/>
    <cellStyle name="Normal 9 7 4 2" xfId="39116" xr:uid="{00000000-0005-0000-0000-00005C850000}"/>
    <cellStyle name="Normal 9 7 4 2 2" xfId="39117" xr:uid="{00000000-0005-0000-0000-00005D850000}"/>
    <cellStyle name="Normal 9 7 4 3" xfId="39118" xr:uid="{00000000-0005-0000-0000-00005E850000}"/>
    <cellStyle name="Normal 9 7 4 3 2" xfId="39119" xr:uid="{00000000-0005-0000-0000-00005F850000}"/>
    <cellStyle name="Normal 9 7 4 4" xfId="39120" xr:uid="{00000000-0005-0000-0000-000060850000}"/>
    <cellStyle name="Normal 9 7 4 4 2" xfId="39121" xr:uid="{00000000-0005-0000-0000-000061850000}"/>
    <cellStyle name="Normal 9 7 4 5" xfId="39122" xr:uid="{00000000-0005-0000-0000-000062850000}"/>
    <cellStyle name="Normal 9 7 4 6" xfId="39123" xr:uid="{00000000-0005-0000-0000-000063850000}"/>
    <cellStyle name="Normal 9 7 4 7" xfId="39115" xr:uid="{00000000-0005-0000-0000-000064850000}"/>
    <cellStyle name="Normal 9 7 5" xfId="39124" xr:uid="{00000000-0005-0000-0000-000065850000}"/>
    <cellStyle name="Normal 9 7 5 2" xfId="39125" xr:uid="{00000000-0005-0000-0000-000066850000}"/>
    <cellStyle name="Normal 9 7 5 2 2" xfId="39126" xr:uid="{00000000-0005-0000-0000-000067850000}"/>
    <cellStyle name="Normal 9 7 5 3" xfId="39127" xr:uid="{00000000-0005-0000-0000-000068850000}"/>
    <cellStyle name="Normal 9 7 5 3 2" xfId="39128" xr:uid="{00000000-0005-0000-0000-000069850000}"/>
    <cellStyle name="Normal 9 7 5 4" xfId="39129" xr:uid="{00000000-0005-0000-0000-00006A850000}"/>
    <cellStyle name="Normal 9 7 5 5" xfId="39130" xr:uid="{00000000-0005-0000-0000-00006B850000}"/>
    <cellStyle name="Normal 9 7 6" xfId="39131" xr:uid="{00000000-0005-0000-0000-00006C850000}"/>
    <cellStyle name="Normal 9 7 6 2" xfId="39132" xr:uid="{00000000-0005-0000-0000-00006D850000}"/>
    <cellStyle name="Normal 9 7 7" xfId="39133" xr:uid="{00000000-0005-0000-0000-00006E850000}"/>
    <cellStyle name="Normal 9 7 7 2" xfId="39134" xr:uid="{00000000-0005-0000-0000-00006F850000}"/>
    <cellStyle name="Normal 9 7 8" xfId="39135" xr:uid="{00000000-0005-0000-0000-000070850000}"/>
    <cellStyle name="Normal 9 7 8 2" xfId="39136" xr:uid="{00000000-0005-0000-0000-000071850000}"/>
    <cellStyle name="Normal 9 7 9" xfId="39137" xr:uid="{00000000-0005-0000-0000-000072850000}"/>
    <cellStyle name="Normal 9 8" xfId="7797" xr:uid="{00000000-0005-0000-0000-000073850000}"/>
    <cellStyle name="Normal 9 8 2" xfId="7798" xr:uid="{00000000-0005-0000-0000-000074850000}"/>
    <cellStyle name="Normal 9 8 2 2" xfId="39140" xr:uid="{00000000-0005-0000-0000-000075850000}"/>
    <cellStyle name="Normal 9 8 2 3" xfId="39139" xr:uid="{00000000-0005-0000-0000-000076850000}"/>
    <cellStyle name="Normal 9 8 3" xfId="7799" xr:uid="{00000000-0005-0000-0000-000077850000}"/>
    <cellStyle name="Normal 9 8 3 2" xfId="39142" xr:uid="{00000000-0005-0000-0000-000078850000}"/>
    <cellStyle name="Normal 9 8 3 3" xfId="39141" xr:uid="{00000000-0005-0000-0000-000079850000}"/>
    <cellStyle name="Normal 9 8 4" xfId="39143" xr:uid="{00000000-0005-0000-0000-00007A850000}"/>
    <cellStyle name="Normal 9 8 4 2" xfId="39144" xr:uid="{00000000-0005-0000-0000-00007B850000}"/>
    <cellStyle name="Normal 9 8 5" xfId="39145" xr:uid="{00000000-0005-0000-0000-00007C850000}"/>
    <cellStyle name="Normal 9 8 6" xfId="39146" xr:uid="{00000000-0005-0000-0000-00007D850000}"/>
    <cellStyle name="Normal 9 8 7" xfId="39138" xr:uid="{00000000-0005-0000-0000-00007E850000}"/>
    <cellStyle name="Normal 9 9" xfId="7800" xr:uid="{00000000-0005-0000-0000-00007F850000}"/>
    <cellStyle name="Normal 9 9 2" xfId="7801" xr:uid="{00000000-0005-0000-0000-000080850000}"/>
    <cellStyle name="Normal 9 9 2 2" xfId="39149" xr:uid="{00000000-0005-0000-0000-000081850000}"/>
    <cellStyle name="Normal 9 9 2 3" xfId="39148" xr:uid="{00000000-0005-0000-0000-000082850000}"/>
    <cellStyle name="Normal 9 9 3" xfId="39150" xr:uid="{00000000-0005-0000-0000-000083850000}"/>
    <cellStyle name="Normal 9 9 3 2" xfId="39151" xr:uid="{00000000-0005-0000-0000-000084850000}"/>
    <cellStyle name="Normal 9 9 4" xfId="39152" xr:uid="{00000000-0005-0000-0000-000085850000}"/>
    <cellStyle name="Normal 9 9 4 2" xfId="39153" xr:uid="{00000000-0005-0000-0000-000086850000}"/>
    <cellStyle name="Normal 9 9 5" xfId="39154" xr:uid="{00000000-0005-0000-0000-000087850000}"/>
    <cellStyle name="Normal 9 9 6" xfId="39155" xr:uid="{00000000-0005-0000-0000-000088850000}"/>
    <cellStyle name="Normal 9 9 7" xfId="39147" xr:uid="{00000000-0005-0000-0000-000089850000}"/>
    <cellStyle name="Normal 90" xfId="12233" xr:uid="{00000000-0005-0000-0000-00008A850000}"/>
    <cellStyle name="Normal 91" xfId="12234" xr:uid="{00000000-0005-0000-0000-00008B850000}"/>
    <cellStyle name="Normal 92" xfId="12235" xr:uid="{00000000-0005-0000-0000-00008C850000}"/>
    <cellStyle name="Normal 93" xfId="12316" xr:uid="{00000000-0005-0000-0000-00008D850000}"/>
    <cellStyle name="Normal 94" xfId="12317" xr:uid="{00000000-0005-0000-0000-00008E850000}"/>
    <cellStyle name="Normal 95" xfId="11391" xr:uid="{00000000-0005-0000-0000-00008F850000}"/>
    <cellStyle name="Normal 96" xfId="11390" xr:uid="{00000000-0005-0000-0000-000090850000}"/>
    <cellStyle name="Normal 97" xfId="11133" xr:uid="{00000000-0005-0000-0000-000091850000}"/>
    <cellStyle name="Normal 98" xfId="12318" xr:uid="{00000000-0005-0000-0000-000092850000}"/>
    <cellStyle name="Normal 99" xfId="15003" xr:uid="{00000000-0005-0000-0000-000093850000}"/>
    <cellStyle name="Normal_ACCTTABLE" xfId="2" xr:uid="{00000000-0005-0000-0000-000094850000}"/>
    <cellStyle name="Normal_Cinergy D-5" xfId="3" xr:uid="{00000000-0005-0000-0000-000095850000}"/>
    <cellStyle name="Normal_IURC SFR MODEL - UPDATE FILING August 2003" xfId="4" xr:uid="{00000000-0005-0000-0000-000096850000}"/>
    <cellStyle name="Normal_KPSC ELECTRIC SFRs" xfId="5" xr:uid="{00000000-0005-0000-0000-000097850000}"/>
    <cellStyle name="Normal_KPSC GAS SFRs" xfId="6" xr:uid="{00000000-0005-0000-0000-000098850000}"/>
    <cellStyle name="Normal_KPSC GAS SFRs-Forward Looking" xfId="7" xr:uid="{00000000-0005-0000-0000-00009A850000}"/>
    <cellStyle name="Normal_LOGO" xfId="8" xr:uid="{00000000-0005-0000-0000-00009B850000}"/>
    <cellStyle name="Normal_PRINT" xfId="9" xr:uid="{00000000-0005-0000-0000-00009C850000}"/>
    <cellStyle name="Normal_PUCO ELECTRIC SFRs 2" xfId="15053" xr:uid="{00000000-0005-0000-0000-00009D850000}"/>
    <cellStyle name="Normal_SCH_11" xfId="10" xr:uid="{00000000-0005-0000-0000-00009E850000}"/>
    <cellStyle name="Normal_SCH_A" xfId="11" xr:uid="{00000000-0005-0000-0000-00009F850000}"/>
    <cellStyle name="Normal_SCH_B1" xfId="12" xr:uid="{00000000-0005-0000-0000-0000A0850000}"/>
    <cellStyle name="Normal_SCH_B5s" xfId="13" xr:uid="{00000000-0005-0000-0000-0000A1850000}"/>
    <cellStyle name="Normal_SCH_B6" xfId="14" xr:uid="{00000000-0005-0000-0000-0000A2850000}"/>
    <cellStyle name="Normal_SCH_B7s" xfId="15" xr:uid="{00000000-0005-0000-0000-0000A3850000}"/>
    <cellStyle name="Normal_SCH_B8" xfId="16" xr:uid="{00000000-0005-0000-0000-0000A4850000}"/>
    <cellStyle name="Normal_SCH_C1" xfId="17" xr:uid="{00000000-0005-0000-0000-0000A5850000}"/>
    <cellStyle name="Normal_SCH_C2" xfId="18" xr:uid="{00000000-0005-0000-0000-0000A6850000}"/>
    <cellStyle name="Normal_SCH_C2.1" xfId="19" xr:uid="{00000000-0005-0000-0000-0000A7850000}"/>
    <cellStyle name="Normal_SCH_D1" xfId="20" xr:uid="{00000000-0005-0000-0000-0000A8850000}"/>
    <cellStyle name="Normal_SCH_D2.1" xfId="21" xr:uid="{00000000-0005-0000-0000-0000A9850000}"/>
    <cellStyle name="Normal_SCH_D2.10" xfId="22" xr:uid="{00000000-0005-0000-0000-0000AA850000}"/>
    <cellStyle name="Normal_SCH_D2.11" xfId="23" xr:uid="{00000000-0005-0000-0000-0000AB850000}"/>
    <cellStyle name="Normal_SCH_D2.12" xfId="24" xr:uid="{00000000-0005-0000-0000-0000AC850000}"/>
    <cellStyle name="Normal_SCH_D2.13" xfId="25" xr:uid="{00000000-0005-0000-0000-0000AD850000}"/>
    <cellStyle name="Normal_SCH_D2.14" xfId="26" xr:uid="{00000000-0005-0000-0000-0000AE850000}"/>
    <cellStyle name="Normal_SCH_D2.15" xfId="27" xr:uid="{00000000-0005-0000-0000-0000AF850000}"/>
    <cellStyle name="Normal_SCH_D2.17" xfId="28" xr:uid="{00000000-0005-0000-0000-0000B0850000}"/>
    <cellStyle name="Normal_SCH_D2.19" xfId="29" xr:uid="{00000000-0005-0000-0000-0000B1850000}"/>
    <cellStyle name="Normal_SCH_D2.2" xfId="30" xr:uid="{00000000-0005-0000-0000-0000B2850000}"/>
    <cellStyle name="Normal_SCH_D2.20" xfId="31" xr:uid="{00000000-0005-0000-0000-0000B3850000}"/>
    <cellStyle name="Normal_SCH_D2.3" xfId="32" xr:uid="{00000000-0005-0000-0000-0000B4850000}"/>
    <cellStyle name="Normal_SCH_D2.6" xfId="33" xr:uid="{00000000-0005-0000-0000-0000B5850000}"/>
    <cellStyle name="Normal_SCH_D2.7" xfId="34" xr:uid="{00000000-0005-0000-0000-0000B6850000}"/>
    <cellStyle name="Normal_SCH_D2.8" xfId="35" xr:uid="{00000000-0005-0000-0000-0000B7850000}"/>
    <cellStyle name="Normal_SCH_D3" xfId="36" xr:uid="{00000000-0005-0000-0000-0000B8850000}"/>
    <cellStyle name="Normal_SCH_D4" xfId="37" xr:uid="{00000000-0005-0000-0000-0000B9850000}"/>
    <cellStyle name="Normal_SCH_E1" xfId="38" xr:uid="{00000000-0005-0000-0000-0000BA850000}"/>
    <cellStyle name="Normal_SCH_E2" xfId="39" xr:uid="{00000000-0005-0000-0000-0000BB850000}"/>
    <cellStyle name="Normal_SCH_F1" xfId="40" xr:uid="{00000000-0005-0000-0000-0000BC850000}"/>
    <cellStyle name="Normal_SCH_F2.1" xfId="41" xr:uid="{00000000-0005-0000-0000-0000BD850000}"/>
    <cellStyle name="Normal_SCH_F2.2" xfId="42" xr:uid="{00000000-0005-0000-0000-0000BE850000}"/>
    <cellStyle name="Normal_SCH_F2.3" xfId="43" xr:uid="{00000000-0005-0000-0000-0000BF850000}"/>
    <cellStyle name="Normal_SCH_F3" xfId="44" xr:uid="{00000000-0005-0000-0000-0000C0850000}"/>
    <cellStyle name="Normal_SCH_F4" xfId="45" xr:uid="{00000000-0005-0000-0000-0000C1850000}"/>
    <cellStyle name="Normal_SCH_F5" xfId="46" xr:uid="{00000000-0005-0000-0000-0000C2850000}"/>
    <cellStyle name="Normal_SCH_F6" xfId="47" xr:uid="{00000000-0005-0000-0000-0000C3850000}"/>
    <cellStyle name="Normal_SCH_F7" xfId="48" xr:uid="{00000000-0005-0000-0000-0000C4850000}"/>
    <cellStyle name="Normal_SCH_G1" xfId="49" xr:uid="{00000000-0005-0000-0000-0000C5850000}"/>
    <cellStyle name="Normal_SCH_G2" xfId="50" xr:uid="{00000000-0005-0000-0000-0000C6850000}"/>
    <cellStyle name="Normal_SCH_H" xfId="51" xr:uid="{00000000-0005-0000-0000-0000C7850000}"/>
    <cellStyle name="Normal_SCH_I" xfId="52" xr:uid="{00000000-0005-0000-0000-0000C8850000}"/>
    <cellStyle name="Normal_SCH_I2.1" xfId="53" xr:uid="{00000000-0005-0000-0000-0000C9850000}"/>
    <cellStyle name="Normal_SCH_I3" xfId="54" xr:uid="{00000000-0005-0000-0000-0000CA850000}"/>
    <cellStyle name="Normal_SCH_I4" xfId="55" xr:uid="{00000000-0005-0000-0000-0000CB850000}"/>
    <cellStyle name="Normal_SCH_I5" xfId="56" xr:uid="{00000000-0005-0000-0000-0000CC850000}"/>
    <cellStyle name="Normal_SCH_J1" xfId="57" xr:uid="{00000000-0005-0000-0000-0000CD850000}"/>
    <cellStyle name="Normal_Schedule B-2" xfId="58" xr:uid="{00000000-0005-0000-0000-0000CE850000}"/>
    <cellStyle name="Normal_Schedule B-3" xfId="59" xr:uid="{00000000-0005-0000-0000-0000CF850000}"/>
    <cellStyle name="Normal_Schedule B-4" xfId="60" xr:uid="{00000000-0005-0000-0000-0000D0850000}"/>
    <cellStyle name="Normal_TAXTABLE" xfId="61" xr:uid="{00000000-0005-0000-0000-0000D1850000}"/>
    <cellStyle name="Normal_WPB-5's" xfId="62" xr:uid="{00000000-0005-0000-0000-0000D3850000}"/>
    <cellStyle name="Note 10" xfId="39156" xr:uid="{00000000-0005-0000-0000-0000D4850000}"/>
    <cellStyle name="Note 11" xfId="39157" xr:uid="{00000000-0005-0000-0000-0000D5850000}"/>
    <cellStyle name="Note 12" xfId="39158" xr:uid="{00000000-0005-0000-0000-0000D6850000}"/>
    <cellStyle name="Note 13" xfId="39159" xr:uid="{00000000-0005-0000-0000-0000D7850000}"/>
    <cellStyle name="Note 2" xfId="7802" xr:uid="{00000000-0005-0000-0000-0000D8850000}"/>
    <cellStyle name="Note 2 2" xfId="9287" xr:uid="{00000000-0005-0000-0000-0000D9850000}"/>
    <cellStyle name="Note 2 2 2" xfId="9816" xr:uid="{00000000-0005-0000-0000-0000DA850000}"/>
    <cellStyle name="Note 2 2 2 2" xfId="10870" xr:uid="{00000000-0005-0000-0000-0000DB850000}"/>
    <cellStyle name="Note 2 2 2 2 2" xfId="12237" xr:uid="{00000000-0005-0000-0000-0000DC850000}"/>
    <cellStyle name="Note 2 2 2 2 3" xfId="14464" xr:uid="{00000000-0005-0000-0000-0000DD850000}"/>
    <cellStyle name="Note 2 2 2 2 4" xfId="16383" xr:uid="{00000000-0005-0000-0000-0000DE850000}"/>
    <cellStyle name="Note 2 2 2 3" xfId="12236" xr:uid="{00000000-0005-0000-0000-0000DF850000}"/>
    <cellStyle name="Note 2 2 2 4" xfId="13411" xr:uid="{00000000-0005-0000-0000-0000E0850000}"/>
    <cellStyle name="Note 2 2 2 5" xfId="16382" xr:uid="{00000000-0005-0000-0000-0000E1850000}"/>
    <cellStyle name="Note 2 2 3" xfId="10344" xr:uid="{00000000-0005-0000-0000-0000E2850000}"/>
    <cellStyle name="Note 2 2 3 2" xfId="12238" xr:uid="{00000000-0005-0000-0000-0000E3850000}"/>
    <cellStyle name="Note 2 2 3 3" xfId="13938" xr:uid="{00000000-0005-0000-0000-0000E4850000}"/>
    <cellStyle name="Note 2 2 3 4" xfId="16384" xr:uid="{00000000-0005-0000-0000-0000E5850000}"/>
    <cellStyle name="Note 2 2 4" xfId="12239" xr:uid="{00000000-0005-0000-0000-0000E6850000}"/>
    <cellStyle name="Note 2 2 5" xfId="11132" xr:uid="{00000000-0005-0000-0000-0000E7850000}"/>
    <cellStyle name="Note 2 2 5 2" xfId="14725" xr:uid="{00000000-0005-0000-0000-0000E8850000}"/>
    <cellStyle name="Note 2 2 5 3" xfId="16385" xr:uid="{00000000-0005-0000-0000-0000E9850000}"/>
    <cellStyle name="Note 2 2 6" xfId="12885" xr:uid="{00000000-0005-0000-0000-0000EA850000}"/>
    <cellStyle name="Note 2 2 6 2" xfId="39160" xr:uid="{00000000-0005-0000-0000-0000EB850000}"/>
    <cellStyle name="Note 2 2 7" xfId="16381" xr:uid="{00000000-0005-0000-0000-0000EC850000}"/>
    <cellStyle name="Note 2 3" xfId="12240" xr:uid="{00000000-0005-0000-0000-0000ED850000}"/>
    <cellStyle name="Note 2 3 2" xfId="12241" xr:uid="{00000000-0005-0000-0000-0000EE850000}"/>
    <cellStyle name="Note 2 3 3" xfId="12242" xr:uid="{00000000-0005-0000-0000-0000EF850000}"/>
    <cellStyle name="Note 2 4" xfId="12243" xr:uid="{00000000-0005-0000-0000-0000F0850000}"/>
    <cellStyle name="Note 2 5" xfId="17687" xr:uid="{00000000-0005-0000-0000-0000F1850000}"/>
    <cellStyle name="Note 3" xfId="12244" xr:uid="{00000000-0005-0000-0000-0000F2850000}"/>
    <cellStyle name="Note 3 2" xfId="12245" xr:uid="{00000000-0005-0000-0000-0000F3850000}"/>
    <cellStyle name="Note 3 2 2" xfId="12246" xr:uid="{00000000-0005-0000-0000-0000F4850000}"/>
    <cellStyle name="Note 3 3" xfId="12247" xr:uid="{00000000-0005-0000-0000-0000F5850000}"/>
    <cellStyle name="Note 3 4" xfId="12248" xr:uid="{00000000-0005-0000-0000-0000F6850000}"/>
    <cellStyle name="Note 3 5" xfId="39161" xr:uid="{00000000-0005-0000-0000-0000F7850000}"/>
    <cellStyle name="Note 4" xfId="12249" xr:uid="{00000000-0005-0000-0000-0000F8850000}"/>
    <cellStyle name="Note 4 2" xfId="12250" xr:uid="{00000000-0005-0000-0000-0000F9850000}"/>
    <cellStyle name="Note 4 2 2" xfId="39164" xr:uid="{00000000-0005-0000-0000-0000FA850000}"/>
    <cellStyle name="Note 4 2 3" xfId="39163" xr:uid="{00000000-0005-0000-0000-0000FB850000}"/>
    <cellStyle name="Note 4 3" xfId="12251" xr:uid="{00000000-0005-0000-0000-0000FC850000}"/>
    <cellStyle name="Note 4 3 2" xfId="39166" xr:uid="{00000000-0005-0000-0000-0000FD850000}"/>
    <cellStyle name="Note 4 3 3" xfId="39165" xr:uid="{00000000-0005-0000-0000-0000FE850000}"/>
    <cellStyle name="Note 4 4" xfId="39167" xr:uid="{00000000-0005-0000-0000-0000FF850000}"/>
    <cellStyle name="Note 4 5" xfId="39168" xr:uid="{00000000-0005-0000-0000-000000860000}"/>
    <cellStyle name="Note 4 6" xfId="39162" xr:uid="{00000000-0005-0000-0000-000001860000}"/>
    <cellStyle name="Note 5" xfId="12252" xr:uid="{00000000-0005-0000-0000-000002860000}"/>
    <cellStyle name="Note 5 2" xfId="39169" xr:uid="{00000000-0005-0000-0000-000003860000}"/>
    <cellStyle name="Note 6" xfId="12253" xr:uid="{00000000-0005-0000-0000-000004860000}"/>
    <cellStyle name="Note 6 2" xfId="39170" xr:uid="{00000000-0005-0000-0000-000005860000}"/>
    <cellStyle name="Note 7" xfId="12254" xr:uid="{00000000-0005-0000-0000-000006860000}"/>
    <cellStyle name="Note 7 2" xfId="39171" xr:uid="{00000000-0005-0000-0000-000007860000}"/>
    <cellStyle name="Note 8" xfId="39172" xr:uid="{00000000-0005-0000-0000-000008860000}"/>
    <cellStyle name="Note 9" xfId="39173" xr:uid="{00000000-0005-0000-0000-000009860000}"/>
    <cellStyle name="Output" xfId="9255" builtinId="21" customBuiltin="1"/>
    <cellStyle name="Output 2" xfId="7803" xr:uid="{00000000-0005-0000-0000-00000B860000}"/>
    <cellStyle name="Output 2 2" xfId="39174" xr:uid="{00000000-0005-0000-0000-00000C860000}"/>
    <cellStyle name="Output 3" xfId="39175" xr:uid="{00000000-0005-0000-0000-00000D860000}"/>
    <cellStyle name="Output Report Heading_C_BS5_D_C_YTD_CONSG_ALL_U" xfId="12255" xr:uid="{00000000-0005-0000-0000-00000E860000}"/>
    <cellStyle name="Percent" xfId="63" builtinId="5"/>
    <cellStyle name="Percent [2]" xfId="12256" xr:uid="{00000000-0005-0000-0000-000010860000}"/>
    <cellStyle name="Percent 1" xfId="39176" xr:uid="{00000000-0005-0000-0000-000011860000}"/>
    <cellStyle name="Percent 10" xfId="12257" xr:uid="{00000000-0005-0000-0000-000012860000}"/>
    <cellStyle name="Percent 10 2" xfId="39178" xr:uid="{00000000-0005-0000-0000-000013860000}"/>
    <cellStyle name="Percent 10 3" xfId="39177" xr:uid="{00000000-0005-0000-0000-000014860000}"/>
    <cellStyle name="Percent 11" xfId="12258" xr:uid="{00000000-0005-0000-0000-000015860000}"/>
    <cellStyle name="Percent 11 2" xfId="39180" xr:uid="{00000000-0005-0000-0000-000016860000}"/>
    <cellStyle name="Percent 11 3" xfId="39179" xr:uid="{00000000-0005-0000-0000-000017860000}"/>
    <cellStyle name="Percent 12" xfId="39181" xr:uid="{00000000-0005-0000-0000-000018860000}"/>
    <cellStyle name="Percent 13" xfId="39182" xr:uid="{00000000-0005-0000-0000-000019860000}"/>
    <cellStyle name="Percent 14" xfId="39183" xr:uid="{00000000-0005-0000-0000-00001A860000}"/>
    <cellStyle name="Percent 15" xfId="39184" xr:uid="{00000000-0005-0000-0000-00001B860000}"/>
    <cellStyle name="Percent 16" xfId="39185" xr:uid="{00000000-0005-0000-0000-00001C860000}"/>
    <cellStyle name="Percent 17" xfId="39186" xr:uid="{00000000-0005-0000-0000-00001D860000}"/>
    <cellStyle name="Percent 18" xfId="39187" xr:uid="{00000000-0005-0000-0000-00001E860000}"/>
    <cellStyle name="Percent 19" xfId="39188" xr:uid="{00000000-0005-0000-0000-00001F860000}"/>
    <cellStyle name="Percent 2" xfId="69" xr:uid="{00000000-0005-0000-0000-000020860000}"/>
    <cellStyle name="Percent 2 10" xfId="7804" xr:uid="{00000000-0005-0000-0000-000021860000}"/>
    <cellStyle name="Percent 2 10 2" xfId="7805" xr:uid="{00000000-0005-0000-0000-000022860000}"/>
    <cellStyle name="Percent 2 11" xfId="7806" xr:uid="{00000000-0005-0000-0000-000023860000}"/>
    <cellStyle name="Percent 2 12" xfId="17678" xr:uid="{00000000-0005-0000-0000-000024860000}"/>
    <cellStyle name="Percent 2 2" xfId="7807" xr:uid="{00000000-0005-0000-0000-000025860000}"/>
    <cellStyle name="Percent 2 2 10" xfId="39189" xr:uid="{00000000-0005-0000-0000-000026860000}"/>
    <cellStyle name="Percent 2 2 10 2" xfId="39190" xr:uid="{00000000-0005-0000-0000-000027860000}"/>
    <cellStyle name="Percent 2 2 10 2 2" xfId="39191" xr:uid="{00000000-0005-0000-0000-000028860000}"/>
    <cellStyle name="Percent 2 2 10 3" xfId="39192" xr:uid="{00000000-0005-0000-0000-000029860000}"/>
    <cellStyle name="Percent 2 2 10 3 2" xfId="39193" xr:uid="{00000000-0005-0000-0000-00002A860000}"/>
    <cellStyle name="Percent 2 2 10 4" xfId="39194" xr:uid="{00000000-0005-0000-0000-00002B860000}"/>
    <cellStyle name="Percent 2 2 10 4 2" xfId="39195" xr:uid="{00000000-0005-0000-0000-00002C860000}"/>
    <cellStyle name="Percent 2 2 10 5" xfId="39196" xr:uid="{00000000-0005-0000-0000-00002D860000}"/>
    <cellStyle name="Percent 2 2 10 6" xfId="39197" xr:uid="{00000000-0005-0000-0000-00002E860000}"/>
    <cellStyle name="Percent 2 2 11" xfId="39198" xr:uid="{00000000-0005-0000-0000-00002F860000}"/>
    <cellStyle name="Percent 2 2 11 2" xfId="39199" xr:uid="{00000000-0005-0000-0000-000030860000}"/>
    <cellStyle name="Percent 2 2 11 2 2" xfId="39200" xr:uid="{00000000-0005-0000-0000-000031860000}"/>
    <cellStyle name="Percent 2 2 11 3" xfId="39201" xr:uid="{00000000-0005-0000-0000-000032860000}"/>
    <cellStyle name="Percent 2 2 11 3 2" xfId="39202" xr:uid="{00000000-0005-0000-0000-000033860000}"/>
    <cellStyle name="Percent 2 2 11 4" xfId="39203" xr:uid="{00000000-0005-0000-0000-000034860000}"/>
    <cellStyle name="Percent 2 2 11 5" xfId="39204" xr:uid="{00000000-0005-0000-0000-000035860000}"/>
    <cellStyle name="Percent 2 2 12" xfId="39205" xr:uid="{00000000-0005-0000-0000-000036860000}"/>
    <cellStyle name="Percent 2 2 12 2" xfId="39206" xr:uid="{00000000-0005-0000-0000-000037860000}"/>
    <cellStyle name="Percent 2 2 13" xfId="39207" xr:uid="{00000000-0005-0000-0000-000038860000}"/>
    <cellStyle name="Percent 2 2 13 2" xfId="39208" xr:uid="{00000000-0005-0000-0000-000039860000}"/>
    <cellStyle name="Percent 2 2 14" xfId="39209" xr:uid="{00000000-0005-0000-0000-00003A860000}"/>
    <cellStyle name="Percent 2 2 14 2" xfId="39210" xr:uid="{00000000-0005-0000-0000-00003B860000}"/>
    <cellStyle name="Percent 2 2 15" xfId="39211" xr:uid="{00000000-0005-0000-0000-00003C860000}"/>
    <cellStyle name="Percent 2 2 16" xfId="39212" xr:uid="{00000000-0005-0000-0000-00003D860000}"/>
    <cellStyle name="Percent 2 2 17" xfId="39213" xr:uid="{00000000-0005-0000-0000-00003E860000}"/>
    <cellStyle name="Percent 2 2 2" xfId="17695" xr:uid="{00000000-0005-0000-0000-00003F860000}"/>
    <cellStyle name="Percent 2 2 2 10" xfId="39214" xr:uid="{00000000-0005-0000-0000-000040860000}"/>
    <cellStyle name="Percent 2 2 2 10 2" xfId="39215" xr:uid="{00000000-0005-0000-0000-000041860000}"/>
    <cellStyle name="Percent 2 2 2 11" xfId="39216" xr:uid="{00000000-0005-0000-0000-000042860000}"/>
    <cellStyle name="Percent 2 2 2 11 2" xfId="39217" xr:uid="{00000000-0005-0000-0000-000043860000}"/>
    <cellStyle name="Percent 2 2 2 12" xfId="39218" xr:uid="{00000000-0005-0000-0000-000044860000}"/>
    <cellStyle name="Percent 2 2 2 13" xfId="39219" xr:uid="{00000000-0005-0000-0000-000045860000}"/>
    <cellStyle name="Percent 2 2 2 2" xfId="39220" xr:uid="{00000000-0005-0000-0000-000046860000}"/>
    <cellStyle name="Percent 2 2 2 2 10" xfId="39221" xr:uid="{00000000-0005-0000-0000-000047860000}"/>
    <cellStyle name="Percent 2 2 2 2 11" xfId="39222" xr:uid="{00000000-0005-0000-0000-000048860000}"/>
    <cellStyle name="Percent 2 2 2 2 2" xfId="39223" xr:uid="{00000000-0005-0000-0000-000049860000}"/>
    <cellStyle name="Percent 2 2 2 2 2 2" xfId="39224" xr:uid="{00000000-0005-0000-0000-00004A860000}"/>
    <cellStyle name="Percent 2 2 2 2 2 2 2" xfId="39225" xr:uid="{00000000-0005-0000-0000-00004B860000}"/>
    <cellStyle name="Percent 2 2 2 2 2 3" xfId="39226" xr:uid="{00000000-0005-0000-0000-00004C860000}"/>
    <cellStyle name="Percent 2 2 2 2 2 3 2" xfId="39227" xr:uid="{00000000-0005-0000-0000-00004D860000}"/>
    <cellStyle name="Percent 2 2 2 2 2 4" xfId="39228" xr:uid="{00000000-0005-0000-0000-00004E860000}"/>
    <cellStyle name="Percent 2 2 2 2 2 4 2" xfId="39229" xr:uid="{00000000-0005-0000-0000-00004F860000}"/>
    <cellStyle name="Percent 2 2 2 2 2 5" xfId="39230" xr:uid="{00000000-0005-0000-0000-000050860000}"/>
    <cellStyle name="Percent 2 2 2 2 2 6" xfId="39231" xr:uid="{00000000-0005-0000-0000-000051860000}"/>
    <cellStyle name="Percent 2 2 2 2 3" xfId="39232" xr:uid="{00000000-0005-0000-0000-000052860000}"/>
    <cellStyle name="Percent 2 2 2 2 3 2" xfId="39233" xr:uid="{00000000-0005-0000-0000-000053860000}"/>
    <cellStyle name="Percent 2 2 2 2 3 2 2" xfId="39234" xr:uid="{00000000-0005-0000-0000-000054860000}"/>
    <cellStyle name="Percent 2 2 2 2 3 3" xfId="39235" xr:uid="{00000000-0005-0000-0000-000055860000}"/>
    <cellStyle name="Percent 2 2 2 2 3 3 2" xfId="39236" xr:uid="{00000000-0005-0000-0000-000056860000}"/>
    <cellStyle name="Percent 2 2 2 2 3 4" xfId="39237" xr:uid="{00000000-0005-0000-0000-000057860000}"/>
    <cellStyle name="Percent 2 2 2 2 3 4 2" xfId="39238" xr:uid="{00000000-0005-0000-0000-000058860000}"/>
    <cellStyle name="Percent 2 2 2 2 3 5" xfId="39239" xr:uid="{00000000-0005-0000-0000-000059860000}"/>
    <cellStyle name="Percent 2 2 2 2 3 6" xfId="39240" xr:uid="{00000000-0005-0000-0000-00005A860000}"/>
    <cellStyle name="Percent 2 2 2 2 4" xfId="39241" xr:uid="{00000000-0005-0000-0000-00005B860000}"/>
    <cellStyle name="Percent 2 2 2 2 4 2" xfId="39242" xr:uid="{00000000-0005-0000-0000-00005C860000}"/>
    <cellStyle name="Percent 2 2 2 2 4 2 2" xfId="39243" xr:uid="{00000000-0005-0000-0000-00005D860000}"/>
    <cellStyle name="Percent 2 2 2 2 4 3" xfId="39244" xr:uid="{00000000-0005-0000-0000-00005E860000}"/>
    <cellStyle name="Percent 2 2 2 2 4 3 2" xfId="39245" xr:uid="{00000000-0005-0000-0000-00005F860000}"/>
    <cellStyle name="Percent 2 2 2 2 4 4" xfId="39246" xr:uid="{00000000-0005-0000-0000-000060860000}"/>
    <cellStyle name="Percent 2 2 2 2 4 4 2" xfId="39247" xr:uid="{00000000-0005-0000-0000-000061860000}"/>
    <cellStyle name="Percent 2 2 2 2 4 5" xfId="39248" xr:uid="{00000000-0005-0000-0000-000062860000}"/>
    <cellStyle name="Percent 2 2 2 2 4 6" xfId="39249" xr:uid="{00000000-0005-0000-0000-000063860000}"/>
    <cellStyle name="Percent 2 2 2 2 5" xfId="39250" xr:uid="{00000000-0005-0000-0000-000064860000}"/>
    <cellStyle name="Percent 2 2 2 2 5 2" xfId="39251" xr:uid="{00000000-0005-0000-0000-000065860000}"/>
    <cellStyle name="Percent 2 2 2 2 5 2 2" xfId="39252" xr:uid="{00000000-0005-0000-0000-000066860000}"/>
    <cellStyle name="Percent 2 2 2 2 5 3" xfId="39253" xr:uid="{00000000-0005-0000-0000-000067860000}"/>
    <cellStyle name="Percent 2 2 2 2 5 3 2" xfId="39254" xr:uid="{00000000-0005-0000-0000-000068860000}"/>
    <cellStyle name="Percent 2 2 2 2 5 4" xfId="39255" xr:uid="{00000000-0005-0000-0000-000069860000}"/>
    <cellStyle name="Percent 2 2 2 2 5 4 2" xfId="39256" xr:uid="{00000000-0005-0000-0000-00006A860000}"/>
    <cellStyle name="Percent 2 2 2 2 5 5" xfId="39257" xr:uid="{00000000-0005-0000-0000-00006B860000}"/>
    <cellStyle name="Percent 2 2 2 2 5 6" xfId="39258" xr:uid="{00000000-0005-0000-0000-00006C860000}"/>
    <cellStyle name="Percent 2 2 2 2 6" xfId="39259" xr:uid="{00000000-0005-0000-0000-00006D860000}"/>
    <cellStyle name="Percent 2 2 2 2 6 2" xfId="39260" xr:uid="{00000000-0005-0000-0000-00006E860000}"/>
    <cellStyle name="Percent 2 2 2 2 6 2 2" xfId="39261" xr:uid="{00000000-0005-0000-0000-00006F860000}"/>
    <cellStyle name="Percent 2 2 2 2 6 3" xfId="39262" xr:uid="{00000000-0005-0000-0000-000070860000}"/>
    <cellStyle name="Percent 2 2 2 2 6 3 2" xfId="39263" xr:uid="{00000000-0005-0000-0000-000071860000}"/>
    <cellStyle name="Percent 2 2 2 2 6 4" xfId="39264" xr:uid="{00000000-0005-0000-0000-000072860000}"/>
    <cellStyle name="Percent 2 2 2 2 6 5" xfId="39265" xr:uid="{00000000-0005-0000-0000-000073860000}"/>
    <cellStyle name="Percent 2 2 2 2 7" xfId="39266" xr:uid="{00000000-0005-0000-0000-000074860000}"/>
    <cellStyle name="Percent 2 2 2 2 7 2" xfId="39267" xr:uid="{00000000-0005-0000-0000-000075860000}"/>
    <cellStyle name="Percent 2 2 2 2 8" xfId="39268" xr:uid="{00000000-0005-0000-0000-000076860000}"/>
    <cellStyle name="Percent 2 2 2 2 8 2" xfId="39269" xr:uid="{00000000-0005-0000-0000-000077860000}"/>
    <cellStyle name="Percent 2 2 2 2 9" xfId="39270" xr:uid="{00000000-0005-0000-0000-000078860000}"/>
    <cellStyle name="Percent 2 2 2 2 9 2" xfId="39271" xr:uid="{00000000-0005-0000-0000-000079860000}"/>
    <cellStyle name="Percent 2 2 2 3" xfId="39272" xr:uid="{00000000-0005-0000-0000-00007A860000}"/>
    <cellStyle name="Percent 2 2 2 3 10" xfId="39273" xr:uid="{00000000-0005-0000-0000-00007B860000}"/>
    <cellStyle name="Percent 2 2 2 3 2" xfId="39274" xr:uid="{00000000-0005-0000-0000-00007C860000}"/>
    <cellStyle name="Percent 2 2 2 3 2 2" xfId="39275" xr:uid="{00000000-0005-0000-0000-00007D860000}"/>
    <cellStyle name="Percent 2 2 2 3 2 2 2" xfId="39276" xr:uid="{00000000-0005-0000-0000-00007E860000}"/>
    <cellStyle name="Percent 2 2 2 3 2 3" xfId="39277" xr:uid="{00000000-0005-0000-0000-00007F860000}"/>
    <cellStyle name="Percent 2 2 2 3 2 3 2" xfId="39278" xr:uid="{00000000-0005-0000-0000-000080860000}"/>
    <cellStyle name="Percent 2 2 2 3 2 4" xfId="39279" xr:uid="{00000000-0005-0000-0000-000081860000}"/>
    <cellStyle name="Percent 2 2 2 3 2 4 2" xfId="39280" xr:uid="{00000000-0005-0000-0000-000082860000}"/>
    <cellStyle name="Percent 2 2 2 3 2 5" xfId="39281" xr:uid="{00000000-0005-0000-0000-000083860000}"/>
    <cellStyle name="Percent 2 2 2 3 2 6" xfId="39282" xr:uid="{00000000-0005-0000-0000-000084860000}"/>
    <cellStyle name="Percent 2 2 2 3 3" xfId="39283" xr:uid="{00000000-0005-0000-0000-000085860000}"/>
    <cellStyle name="Percent 2 2 2 3 3 2" xfId="39284" xr:uid="{00000000-0005-0000-0000-000086860000}"/>
    <cellStyle name="Percent 2 2 2 3 3 2 2" xfId="39285" xr:uid="{00000000-0005-0000-0000-000087860000}"/>
    <cellStyle name="Percent 2 2 2 3 3 3" xfId="39286" xr:uid="{00000000-0005-0000-0000-000088860000}"/>
    <cellStyle name="Percent 2 2 2 3 3 3 2" xfId="39287" xr:uid="{00000000-0005-0000-0000-000089860000}"/>
    <cellStyle name="Percent 2 2 2 3 3 4" xfId="39288" xr:uid="{00000000-0005-0000-0000-00008A860000}"/>
    <cellStyle name="Percent 2 2 2 3 3 4 2" xfId="39289" xr:uid="{00000000-0005-0000-0000-00008B860000}"/>
    <cellStyle name="Percent 2 2 2 3 3 5" xfId="39290" xr:uid="{00000000-0005-0000-0000-00008C860000}"/>
    <cellStyle name="Percent 2 2 2 3 3 6" xfId="39291" xr:uid="{00000000-0005-0000-0000-00008D860000}"/>
    <cellStyle name="Percent 2 2 2 3 4" xfId="39292" xr:uid="{00000000-0005-0000-0000-00008E860000}"/>
    <cellStyle name="Percent 2 2 2 3 4 2" xfId="39293" xr:uid="{00000000-0005-0000-0000-00008F860000}"/>
    <cellStyle name="Percent 2 2 2 3 4 2 2" xfId="39294" xr:uid="{00000000-0005-0000-0000-000090860000}"/>
    <cellStyle name="Percent 2 2 2 3 4 3" xfId="39295" xr:uid="{00000000-0005-0000-0000-000091860000}"/>
    <cellStyle name="Percent 2 2 2 3 4 3 2" xfId="39296" xr:uid="{00000000-0005-0000-0000-000092860000}"/>
    <cellStyle name="Percent 2 2 2 3 4 4" xfId="39297" xr:uid="{00000000-0005-0000-0000-000093860000}"/>
    <cellStyle name="Percent 2 2 2 3 4 4 2" xfId="39298" xr:uid="{00000000-0005-0000-0000-000094860000}"/>
    <cellStyle name="Percent 2 2 2 3 4 5" xfId="39299" xr:uid="{00000000-0005-0000-0000-000095860000}"/>
    <cellStyle name="Percent 2 2 2 3 4 6" xfId="39300" xr:uid="{00000000-0005-0000-0000-000096860000}"/>
    <cellStyle name="Percent 2 2 2 3 5" xfId="39301" xr:uid="{00000000-0005-0000-0000-000097860000}"/>
    <cellStyle name="Percent 2 2 2 3 5 2" xfId="39302" xr:uid="{00000000-0005-0000-0000-000098860000}"/>
    <cellStyle name="Percent 2 2 2 3 5 2 2" xfId="39303" xr:uid="{00000000-0005-0000-0000-000099860000}"/>
    <cellStyle name="Percent 2 2 2 3 5 3" xfId="39304" xr:uid="{00000000-0005-0000-0000-00009A860000}"/>
    <cellStyle name="Percent 2 2 2 3 5 3 2" xfId="39305" xr:uid="{00000000-0005-0000-0000-00009B860000}"/>
    <cellStyle name="Percent 2 2 2 3 5 4" xfId="39306" xr:uid="{00000000-0005-0000-0000-00009C860000}"/>
    <cellStyle name="Percent 2 2 2 3 5 5" xfId="39307" xr:uid="{00000000-0005-0000-0000-00009D860000}"/>
    <cellStyle name="Percent 2 2 2 3 6" xfId="39308" xr:uid="{00000000-0005-0000-0000-00009E860000}"/>
    <cellStyle name="Percent 2 2 2 3 6 2" xfId="39309" xr:uid="{00000000-0005-0000-0000-00009F860000}"/>
    <cellStyle name="Percent 2 2 2 3 7" xfId="39310" xr:uid="{00000000-0005-0000-0000-0000A0860000}"/>
    <cellStyle name="Percent 2 2 2 3 7 2" xfId="39311" xr:uid="{00000000-0005-0000-0000-0000A1860000}"/>
    <cellStyle name="Percent 2 2 2 3 8" xfId="39312" xr:uid="{00000000-0005-0000-0000-0000A2860000}"/>
    <cellStyle name="Percent 2 2 2 3 8 2" xfId="39313" xr:uid="{00000000-0005-0000-0000-0000A3860000}"/>
    <cellStyle name="Percent 2 2 2 3 9" xfId="39314" xr:uid="{00000000-0005-0000-0000-0000A4860000}"/>
    <cellStyle name="Percent 2 2 2 4" xfId="39315" xr:uid="{00000000-0005-0000-0000-0000A5860000}"/>
    <cellStyle name="Percent 2 2 2 4 10" xfId="39316" xr:uid="{00000000-0005-0000-0000-0000A6860000}"/>
    <cellStyle name="Percent 2 2 2 4 2" xfId="39317" xr:uid="{00000000-0005-0000-0000-0000A7860000}"/>
    <cellStyle name="Percent 2 2 2 4 2 2" xfId="39318" xr:uid="{00000000-0005-0000-0000-0000A8860000}"/>
    <cellStyle name="Percent 2 2 2 4 2 2 2" xfId="39319" xr:uid="{00000000-0005-0000-0000-0000A9860000}"/>
    <cellStyle name="Percent 2 2 2 4 2 3" xfId="39320" xr:uid="{00000000-0005-0000-0000-0000AA860000}"/>
    <cellStyle name="Percent 2 2 2 4 2 3 2" xfId="39321" xr:uid="{00000000-0005-0000-0000-0000AB860000}"/>
    <cellStyle name="Percent 2 2 2 4 2 4" xfId="39322" xr:uid="{00000000-0005-0000-0000-0000AC860000}"/>
    <cellStyle name="Percent 2 2 2 4 2 4 2" xfId="39323" xr:uid="{00000000-0005-0000-0000-0000AD860000}"/>
    <cellStyle name="Percent 2 2 2 4 2 5" xfId="39324" xr:uid="{00000000-0005-0000-0000-0000AE860000}"/>
    <cellStyle name="Percent 2 2 2 4 2 6" xfId="39325" xr:uid="{00000000-0005-0000-0000-0000AF860000}"/>
    <cellStyle name="Percent 2 2 2 4 3" xfId="39326" xr:uid="{00000000-0005-0000-0000-0000B0860000}"/>
    <cellStyle name="Percent 2 2 2 4 3 2" xfId="39327" xr:uid="{00000000-0005-0000-0000-0000B1860000}"/>
    <cellStyle name="Percent 2 2 2 4 3 2 2" xfId="39328" xr:uid="{00000000-0005-0000-0000-0000B2860000}"/>
    <cellStyle name="Percent 2 2 2 4 3 3" xfId="39329" xr:uid="{00000000-0005-0000-0000-0000B3860000}"/>
    <cellStyle name="Percent 2 2 2 4 3 3 2" xfId="39330" xr:uid="{00000000-0005-0000-0000-0000B4860000}"/>
    <cellStyle name="Percent 2 2 2 4 3 4" xfId="39331" xr:uid="{00000000-0005-0000-0000-0000B5860000}"/>
    <cellStyle name="Percent 2 2 2 4 3 4 2" xfId="39332" xr:uid="{00000000-0005-0000-0000-0000B6860000}"/>
    <cellStyle name="Percent 2 2 2 4 3 5" xfId="39333" xr:uid="{00000000-0005-0000-0000-0000B7860000}"/>
    <cellStyle name="Percent 2 2 2 4 3 6" xfId="39334" xr:uid="{00000000-0005-0000-0000-0000B8860000}"/>
    <cellStyle name="Percent 2 2 2 4 4" xfId="39335" xr:uid="{00000000-0005-0000-0000-0000B9860000}"/>
    <cellStyle name="Percent 2 2 2 4 4 2" xfId="39336" xr:uid="{00000000-0005-0000-0000-0000BA860000}"/>
    <cellStyle name="Percent 2 2 2 4 4 2 2" xfId="39337" xr:uid="{00000000-0005-0000-0000-0000BB860000}"/>
    <cellStyle name="Percent 2 2 2 4 4 3" xfId="39338" xr:uid="{00000000-0005-0000-0000-0000BC860000}"/>
    <cellStyle name="Percent 2 2 2 4 4 3 2" xfId="39339" xr:uid="{00000000-0005-0000-0000-0000BD860000}"/>
    <cellStyle name="Percent 2 2 2 4 4 4" xfId="39340" xr:uid="{00000000-0005-0000-0000-0000BE860000}"/>
    <cellStyle name="Percent 2 2 2 4 4 4 2" xfId="39341" xr:uid="{00000000-0005-0000-0000-0000BF860000}"/>
    <cellStyle name="Percent 2 2 2 4 4 5" xfId="39342" xr:uid="{00000000-0005-0000-0000-0000C0860000}"/>
    <cellStyle name="Percent 2 2 2 4 4 6" xfId="39343" xr:uid="{00000000-0005-0000-0000-0000C1860000}"/>
    <cellStyle name="Percent 2 2 2 4 5" xfId="39344" xr:uid="{00000000-0005-0000-0000-0000C2860000}"/>
    <cellStyle name="Percent 2 2 2 4 5 2" xfId="39345" xr:uid="{00000000-0005-0000-0000-0000C3860000}"/>
    <cellStyle name="Percent 2 2 2 4 5 2 2" xfId="39346" xr:uid="{00000000-0005-0000-0000-0000C4860000}"/>
    <cellStyle name="Percent 2 2 2 4 5 3" xfId="39347" xr:uid="{00000000-0005-0000-0000-0000C5860000}"/>
    <cellStyle name="Percent 2 2 2 4 5 3 2" xfId="39348" xr:uid="{00000000-0005-0000-0000-0000C6860000}"/>
    <cellStyle name="Percent 2 2 2 4 5 4" xfId="39349" xr:uid="{00000000-0005-0000-0000-0000C7860000}"/>
    <cellStyle name="Percent 2 2 2 4 5 5" xfId="39350" xr:uid="{00000000-0005-0000-0000-0000C8860000}"/>
    <cellStyle name="Percent 2 2 2 4 6" xfId="39351" xr:uid="{00000000-0005-0000-0000-0000C9860000}"/>
    <cellStyle name="Percent 2 2 2 4 6 2" xfId="39352" xr:uid="{00000000-0005-0000-0000-0000CA860000}"/>
    <cellStyle name="Percent 2 2 2 4 7" xfId="39353" xr:uid="{00000000-0005-0000-0000-0000CB860000}"/>
    <cellStyle name="Percent 2 2 2 4 7 2" xfId="39354" xr:uid="{00000000-0005-0000-0000-0000CC860000}"/>
    <cellStyle name="Percent 2 2 2 4 8" xfId="39355" xr:uid="{00000000-0005-0000-0000-0000CD860000}"/>
    <cellStyle name="Percent 2 2 2 4 8 2" xfId="39356" xr:uid="{00000000-0005-0000-0000-0000CE860000}"/>
    <cellStyle name="Percent 2 2 2 4 9" xfId="39357" xr:uid="{00000000-0005-0000-0000-0000CF860000}"/>
    <cellStyle name="Percent 2 2 2 5" xfId="39358" xr:uid="{00000000-0005-0000-0000-0000D0860000}"/>
    <cellStyle name="Percent 2 2 2 5 2" xfId="39359" xr:uid="{00000000-0005-0000-0000-0000D1860000}"/>
    <cellStyle name="Percent 2 2 2 5 2 2" xfId="39360" xr:uid="{00000000-0005-0000-0000-0000D2860000}"/>
    <cellStyle name="Percent 2 2 2 5 3" xfId="39361" xr:uid="{00000000-0005-0000-0000-0000D3860000}"/>
    <cellStyle name="Percent 2 2 2 5 3 2" xfId="39362" xr:uid="{00000000-0005-0000-0000-0000D4860000}"/>
    <cellStyle name="Percent 2 2 2 5 4" xfId="39363" xr:uid="{00000000-0005-0000-0000-0000D5860000}"/>
    <cellStyle name="Percent 2 2 2 5 4 2" xfId="39364" xr:uid="{00000000-0005-0000-0000-0000D6860000}"/>
    <cellStyle name="Percent 2 2 2 5 5" xfId="39365" xr:uid="{00000000-0005-0000-0000-0000D7860000}"/>
    <cellStyle name="Percent 2 2 2 5 6" xfId="39366" xr:uid="{00000000-0005-0000-0000-0000D8860000}"/>
    <cellStyle name="Percent 2 2 2 6" xfId="39367" xr:uid="{00000000-0005-0000-0000-0000D9860000}"/>
    <cellStyle name="Percent 2 2 2 6 2" xfId="39368" xr:uid="{00000000-0005-0000-0000-0000DA860000}"/>
    <cellStyle name="Percent 2 2 2 6 2 2" xfId="39369" xr:uid="{00000000-0005-0000-0000-0000DB860000}"/>
    <cellStyle name="Percent 2 2 2 6 3" xfId="39370" xr:uid="{00000000-0005-0000-0000-0000DC860000}"/>
    <cellStyle name="Percent 2 2 2 6 3 2" xfId="39371" xr:uid="{00000000-0005-0000-0000-0000DD860000}"/>
    <cellStyle name="Percent 2 2 2 6 4" xfId="39372" xr:uid="{00000000-0005-0000-0000-0000DE860000}"/>
    <cellStyle name="Percent 2 2 2 6 4 2" xfId="39373" xr:uid="{00000000-0005-0000-0000-0000DF860000}"/>
    <cellStyle name="Percent 2 2 2 6 5" xfId="39374" xr:uid="{00000000-0005-0000-0000-0000E0860000}"/>
    <cellStyle name="Percent 2 2 2 6 6" xfId="39375" xr:uid="{00000000-0005-0000-0000-0000E1860000}"/>
    <cellStyle name="Percent 2 2 2 7" xfId="39376" xr:uid="{00000000-0005-0000-0000-0000E2860000}"/>
    <cellStyle name="Percent 2 2 2 7 2" xfId="39377" xr:uid="{00000000-0005-0000-0000-0000E3860000}"/>
    <cellStyle name="Percent 2 2 2 7 2 2" xfId="39378" xr:uid="{00000000-0005-0000-0000-0000E4860000}"/>
    <cellStyle name="Percent 2 2 2 7 3" xfId="39379" xr:uid="{00000000-0005-0000-0000-0000E5860000}"/>
    <cellStyle name="Percent 2 2 2 7 3 2" xfId="39380" xr:uid="{00000000-0005-0000-0000-0000E6860000}"/>
    <cellStyle name="Percent 2 2 2 7 4" xfId="39381" xr:uid="{00000000-0005-0000-0000-0000E7860000}"/>
    <cellStyle name="Percent 2 2 2 7 4 2" xfId="39382" xr:uid="{00000000-0005-0000-0000-0000E8860000}"/>
    <cellStyle name="Percent 2 2 2 7 5" xfId="39383" xr:uid="{00000000-0005-0000-0000-0000E9860000}"/>
    <cellStyle name="Percent 2 2 2 7 6" xfId="39384" xr:uid="{00000000-0005-0000-0000-0000EA860000}"/>
    <cellStyle name="Percent 2 2 2 8" xfId="39385" xr:uid="{00000000-0005-0000-0000-0000EB860000}"/>
    <cellStyle name="Percent 2 2 2 8 2" xfId="39386" xr:uid="{00000000-0005-0000-0000-0000EC860000}"/>
    <cellStyle name="Percent 2 2 2 8 2 2" xfId="39387" xr:uid="{00000000-0005-0000-0000-0000ED860000}"/>
    <cellStyle name="Percent 2 2 2 8 3" xfId="39388" xr:uid="{00000000-0005-0000-0000-0000EE860000}"/>
    <cellStyle name="Percent 2 2 2 8 3 2" xfId="39389" xr:uid="{00000000-0005-0000-0000-0000EF860000}"/>
    <cellStyle name="Percent 2 2 2 8 4" xfId="39390" xr:uid="{00000000-0005-0000-0000-0000F0860000}"/>
    <cellStyle name="Percent 2 2 2 8 5" xfId="39391" xr:uid="{00000000-0005-0000-0000-0000F1860000}"/>
    <cellStyle name="Percent 2 2 2 9" xfId="39392" xr:uid="{00000000-0005-0000-0000-0000F2860000}"/>
    <cellStyle name="Percent 2 2 2 9 2" xfId="39393" xr:uid="{00000000-0005-0000-0000-0000F3860000}"/>
    <cellStyle name="Percent 2 2 3" xfId="17693" xr:uid="{00000000-0005-0000-0000-0000F4860000}"/>
    <cellStyle name="Percent 2 2 3 10" xfId="39394" xr:uid="{00000000-0005-0000-0000-0000F5860000}"/>
    <cellStyle name="Percent 2 2 3 10 2" xfId="39395" xr:uid="{00000000-0005-0000-0000-0000F6860000}"/>
    <cellStyle name="Percent 2 2 3 11" xfId="39396" xr:uid="{00000000-0005-0000-0000-0000F7860000}"/>
    <cellStyle name="Percent 2 2 3 11 2" xfId="39397" xr:uid="{00000000-0005-0000-0000-0000F8860000}"/>
    <cellStyle name="Percent 2 2 3 12" xfId="39398" xr:uid="{00000000-0005-0000-0000-0000F9860000}"/>
    <cellStyle name="Percent 2 2 3 13" xfId="39399" xr:uid="{00000000-0005-0000-0000-0000FA860000}"/>
    <cellStyle name="Percent 2 2 3 2" xfId="39400" xr:uid="{00000000-0005-0000-0000-0000FB860000}"/>
    <cellStyle name="Percent 2 2 3 2 10" xfId="39401" xr:uid="{00000000-0005-0000-0000-0000FC860000}"/>
    <cellStyle name="Percent 2 2 3 2 11" xfId="39402" xr:uid="{00000000-0005-0000-0000-0000FD860000}"/>
    <cellStyle name="Percent 2 2 3 2 2" xfId="39403" xr:uid="{00000000-0005-0000-0000-0000FE860000}"/>
    <cellStyle name="Percent 2 2 3 2 2 2" xfId="39404" xr:uid="{00000000-0005-0000-0000-0000FF860000}"/>
    <cellStyle name="Percent 2 2 3 2 2 2 2" xfId="39405" xr:uid="{00000000-0005-0000-0000-000000870000}"/>
    <cellStyle name="Percent 2 2 3 2 2 3" xfId="39406" xr:uid="{00000000-0005-0000-0000-000001870000}"/>
    <cellStyle name="Percent 2 2 3 2 2 3 2" xfId="39407" xr:uid="{00000000-0005-0000-0000-000002870000}"/>
    <cellStyle name="Percent 2 2 3 2 2 4" xfId="39408" xr:uid="{00000000-0005-0000-0000-000003870000}"/>
    <cellStyle name="Percent 2 2 3 2 2 4 2" xfId="39409" xr:uid="{00000000-0005-0000-0000-000004870000}"/>
    <cellStyle name="Percent 2 2 3 2 2 5" xfId="39410" xr:uid="{00000000-0005-0000-0000-000005870000}"/>
    <cellStyle name="Percent 2 2 3 2 2 6" xfId="39411" xr:uid="{00000000-0005-0000-0000-000006870000}"/>
    <cellStyle name="Percent 2 2 3 2 3" xfId="39412" xr:uid="{00000000-0005-0000-0000-000007870000}"/>
    <cellStyle name="Percent 2 2 3 2 3 2" xfId="39413" xr:uid="{00000000-0005-0000-0000-000008870000}"/>
    <cellStyle name="Percent 2 2 3 2 3 2 2" xfId="39414" xr:uid="{00000000-0005-0000-0000-000009870000}"/>
    <cellStyle name="Percent 2 2 3 2 3 3" xfId="39415" xr:uid="{00000000-0005-0000-0000-00000A870000}"/>
    <cellStyle name="Percent 2 2 3 2 3 3 2" xfId="39416" xr:uid="{00000000-0005-0000-0000-00000B870000}"/>
    <cellStyle name="Percent 2 2 3 2 3 4" xfId="39417" xr:uid="{00000000-0005-0000-0000-00000C870000}"/>
    <cellStyle name="Percent 2 2 3 2 3 4 2" xfId="39418" xr:uid="{00000000-0005-0000-0000-00000D870000}"/>
    <cellStyle name="Percent 2 2 3 2 3 5" xfId="39419" xr:uid="{00000000-0005-0000-0000-00000E870000}"/>
    <cellStyle name="Percent 2 2 3 2 3 6" xfId="39420" xr:uid="{00000000-0005-0000-0000-00000F870000}"/>
    <cellStyle name="Percent 2 2 3 2 4" xfId="39421" xr:uid="{00000000-0005-0000-0000-000010870000}"/>
    <cellStyle name="Percent 2 2 3 2 4 2" xfId="39422" xr:uid="{00000000-0005-0000-0000-000011870000}"/>
    <cellStyle name="Percent 2 2 3 2 4 2 2" xfId="39423" xr:uid="{00000000-0005-0000-0000-000012870000}"/>
    <cellStyle name="Percent 2 2 3 2 4 3" xfId="39424" xr:uid="{00000000-0005-0000-0000-000013870000}"/>
    <cellStyle name="Percent 2 2 3 2 4 3 2" xfId="39425" xr:uid="{00000000-0005-0000-0000-000014870000}"/>
    <cellStyle name="Percent 2 2 3 2 4 4" xfId="39426" xr:uid="{00000000-0005-0000-0000-000015870000}"/>
    <cellStyle name="Percent 2 2 3 2 4 4 2" xfId="39427" xr:uid="{00000000-0005-0000-0000-000016870000}"/>
    <cellStyle name="Percent 2 2 3 2 4 5" xfId="39428" xr:uid="{00000000-0005-0000-0000-000017870000}"/>
    <cellStyle name="Percent 2 2 3 2 4 6" xfId="39429" xr:uid="{00000000-0005-0000-0000-000018870000}"/>
    <cellStyle name="Percent 2 2 3 2 5" xfId="39430" xr:uid="{00000000-0005-0000-0000-000019870000}"/>
    <cellStyle name="Percent 2 2 3 2 5 2" xfId="39431" xr:uid="{00000000-0005-0000-0000-00001A870000}"/>
    <cellStyle name="Percent 2 2 3 2 5 2 2" xfId="39432" xr:uid="{00000000-0005-0000-0000-00001B870000}"/>
    <cellStyle name="Percent 2 2 3 2 5 3" xfId="39433" xr:uid="{00000000-0005-0000-0000-00001C870000}"/>
    <cellStyle name="Percent 2 2 3 2 5 3 2" xfId="39434" xr:uid="{00000000-0005-0000-0000-00001D870000}"/>
    <cellStyle name="Percent 2 2 3 2 5 4" xfId="39435" xr:uid="{00000000-0005-0000-0000-00001E870000}"/>
    <cellStyle name="Percent 2 2 3 2 5 4 2" xfId="39436" xr:uid="{00000000-0005-0000-0000-00001F870000}"/>
    <cellStyle name="Percent 2 2 3 2 5 5" xfId="39437" xr:uid="{00000000-0005-0000-0000-000020870000}"/>
    <cellStyle name="Percent 2 2 3 2 5 6" xfId="39438" xr:uid="{00000000-0005-0000-0000-000021870000}"/>
    <cellStyle name="Percent 2 2 3 2 6" xfId="39439" xr:uid="{00000000-0005-0000-0000-000022870000}"/>
    <cellStyle name="Percent 2 2 3 2 6 2" xfId="39440" xr:uid="{00000000-0005-0000-0000-000023870000}"/>
    <cellStyle name="Percent 2 2 3 2 6 2 2" xfId="39441" xr:uid="{00000000-0005-0000-0000-000024870000}"/>
    <cellStyle name="Percent 2 2 3 2 6 3" xfId="39442" xr:uid="{00000000-0005-0000-0000-000025870000}"/>
    <cellStyle name="Percent 2 2 3 2 6 3 2" xfId="39443" xr:uid="{00000000-0005-0000-0000-000026870000}"/>
    <cellStyle name="Percent 2 2 3 2 6 4" xfId="39444" xr:uid="{00000000-0005-0000-0000-000027870000}"/>
    <cellStyle name="Percent 2 2 3 2 6 5" xfId="39445" xr:uid="{00000000-0005-0000-0000-000028870000}"/>
    <cellStyle name="Percent 2 2 3 2 7" xfId="39446" xr:uid="{00000000-0005-0000-0000-000029870000}"/>
    <cellStyle name="Percent 2 2 3 2 7 2" xfId="39447" xr:uid="{00000000-0005-0000-0000-00002A870000}"/>
    <cellStyle name="Percent 2 2 3 2 8" xfId="39448" xr:uid="{00000000-0005-0000-0000-00002B870000}"/>
    <cellStyle name="Percent 2 2 3 2 8 2" xfId="39449" xr:uid="{00000000-0005-0000-0000-00002C870000}"/>
    <cellStyle name="Percent 2 2 3 2 9" xfId="39450" xr:uid="{00000000-0005-0000-0000-00002D870000}"/>
    <cellStyle name="Percent 2 2 3 2 9 2" xfId="39451" xr:uid="{00000000-0005-0000-0000-00002E870000}"/>
    <cellStyle name="Percent 2 2 3 3" xfId="39452" xr:uid="{00000000-0005-0000-0000-00002F870000}"/>
    <cellStyle name="Percent 2 2 3 3 10" xfId="39453" xr:uid="{00000000-0005-0000-0000-000030870000}"/>
    <cellStyle name="Percent 2 2 3 3 2" xfId="39454" xr:uid="{00000000-0005-0000-0000-000031870000}"/>
    <cellStyle name="Percent 2 2 3 3 2 2" xfId="39455" xr:uid="{00000000-0005-0000-0000-000032870000}"/>
    <cellStyle name="Percent 2 2 3 3 2 2 2" xfId="39456" xr:uid="{00000000-0005-0000-0000-000033870000}"/>
    <cellStyle name="Percent 2 2 3 3 2 3" xfId="39457" xr:uid="{00000000-0005-0000-0000-000034870000}"/>
    <cellStyle name="Percent 2 2 3 3 2 3 2" xfId="39458" xr:uid="{00000000-0005-0000-0000-000035870000}"/>
    <cellStyle name="Percent 2 2 3 3 2 4" xfId="39459" xr:uid="{00000000-0005-0000-0000-000036870000}"/>
    <cellStyle name="Percent 2 2 3 3 2 4 2" xfId="39460" xr:uid="{00000000-0005-0000-0000-000037870000}"/>
    <cellStyle name="Percent 2 2 3 3 2 5" xfId="39461" xr:uid="{00000000-0005-0000-0000-000038870000}"/>
    <cellStyle name="Percent 2 2 3 3 2 6" xfId="39462" xr:uid="{00000000-0005-0000-0000-000039870000}"/>
    <cellStyle name="Percent 2 2 3 3 3" xfId="39463" xr:uid="{00000000-0005-0000-0000-00003A870000}"/>
    <cellStyle name="Percent 2 2 3 3 3 2" xfId="39464" xr:uid="{00000000-0005-0000-0000-00003B870000}"/>
    <cellStyle name="Percent 2 2 3 3 3 2 2" xfId="39465" xr:uid="{00000000-0005-0000-0000-00003C870000}"/>
    <cellStyle name="Percent 2 2 3 3 3 3" xfId="39466" xr:uid="{00000000-0005-0000-0000-00003D870000}"/>
    <cellStyle name="Percent 2 2 3 3 3 3 2" xfId="39467" xr:uid="{00000000-0005-0000-0000-00003E870000}"/>
    <cellStyle name="Percent 2 2 3 3 3 4" xfId="39468" xr:uid="{00000000-0005-0000-0000-00003F870000}"/>
    <cellStyle name="Percent 2 2 3 3 3 4 2" xfId="39469" xr:uid="{00000000-0005-0000-0000-000040870000}"/>
    <cellStyle name="Percent 2 2 3 3 3 5" xfId="39470" xr:uid="{00000000-0005-0000-0000-000041870000}"/>
    <cellStyle name="Percent 2 2 3 3 3 6" xfId="39471" xr:uid="{00000000-0005-0000-0000-000042870000}"/>
    <cellStyle name="Percent 2 2 3 3 4" xfId="39472" xr:uid="{00000000-0005-0000-0000-000043870000}"/>
    <cellStyle name="Percent 2 2 3 3 4 2" xfId="39473" xr:uid="{00000000-0005-0000-0000-000044870000}"/>
    <cellStyle name="Percent 2 2 3 3 4 2 2" xfId="39474" xr:uid="{00000000-0005-0000-0000-000045870000}"/>
    <cellStyle name="Percent 2 2 3 3 4 3" xfId="39475" xr:uid="{00000000-0005-0000-0000-000046870000}"/>
    <cellStyle name="Percent 2 2 3 3 4 3 2" xfId="39476" xr:uid="{00000000-0005-0000-0000-000047870000}"/>
    <cellStyle name="Percent 2 2 3 3 4 4" xfId="39477" xr:uid="{00000000-0005-0000-0000-000048870000}"/>
    <cellStyle name="Percent 2 2 3 3 4 4 2" xfId="39478" xr:uid="{00000000-0005-0000-0000-000049870000}"/>
    <cellStyle name="Percent 2 2 3 3 4 5" xfId="39479" xr:uid="{00000000-0005-0000-0000-00004A870000}"/>
    <cellStyle name="Percent 2 2 3 3 4 6" xfId="39480" xr:uid="{00000000-0005-0000-0000-00004B870000}"/>
    <cellStyle name="Percent 2 2 3 3 5" xfId="39481" xr:uid="{00000000-0005-0000-0000-00004C870000}"/>
    <cellStyle name="Percent 2 2 3 3 5 2" xfId="39482" xr:uid="{00000000-0005-0000-0000-00004D870000}"/>
    <cellStyle name="Percent 2 2 3 3 5 2 2" xfId="39483" xr:uid="{00000000-0005-0000-0000-00004E870000}"/>
    <cellStyle name="Percent 2 2 3 3 5 3" xfId="39484" xr:uid="{00000000-0005-0000-0000-00004F870000}"/>
    <cellStyle name="Percent 2 2 3 3 5 3 2" xfId="39485" xr:uid="{00000000-0005-0000-0000-000050870000}"/>
    <cellStyle name="Percent 2 2 3 3 5 4" xfId="39486" xr:uid="{00000000-0005-0000-0000-000051870000}"/>
    <cellStyle name="Percent 2 2 3 3 5 5" xfId="39487" xr:uid="{00000000-0005-0000-0000-000052870000}"/>
    <cellStyle name="Percent 2 2 3 3 6" xfId="39488" xr:uid="{00000000-0005-0000-0000-000053870000}"/>
    <cellStyle name="Percent 2 2 3 3 6 2" xfId="39489" xr:uid="{00000000-0005-0000-0000-000054870000}"/>
    <cellStyle name="Percent 2 2 3 3 7" xfId="39490" xr:uid="{00000000-0005-0000-0000-000055870000}"/>
    <cellStyle name="Percent 2 2 3 3 7 2" xfId="39491" xr:uid="{00000000-0005-0000-0000-000056870000}"/>
    <cellStyle name="Percent 2 2 3 3 8" xfId="39492" xr:uid="{00000000-0005-0000-0000-000057870000}"/>
    <cellStyle name="Percent 2 2 3 3 8 2" xfId="39493" xr:uid="{00000000-0005-0000-0000-000058870000}"/>
    <cellStyle name="Percent 2 2 3 3 9" xfId="39494" xr:uid="{00000000-0005-0000-0000-000059870000}"/>
    <cellStyle name="Percent 2 2 3 4" xfId="39495" xr:uid="{00000000-0005-0000-0000-00005A870000}"/>
    <cellStyle name="Percent 2 2 3 4 10" xfId="39496" xr:uid="{00000000-0005-0000-0000-00005B870000}"/>
    <cellStyle name="Percent 2 2 3 4 2" xfId="39497" xr:uid="{00000000-0005-0000-0000-00005C870000}"/>
    <cellStyle name="Percent 2 2 3 4 2 2" xfId="39498" xr:uid="{00000000-0005-0000-0000-00005D870000}"/>
    <cellStyle name="Percent 2 2 3 4 2 2 2" xfId="39499" xr:uid="{00000000-0005-0000-0000-00005E870000}"/>
    <cellStyle name="Percent 2 2 3 4 2 3" xfId="39500" xr:uid="{00000000-0005-0000-0000-00005F870000}"/>
    <cellStyle name="Percent 2 2 3 4 2 3 2" xfId="39501" xr:uid="{00000000-0005-0000-0000-000060870000}"/>
    <cellStyle name="Percent 2 2 3 4 2 4" xfId="39502" xr:uid="{00000000-0005-0000-0000-000061870000}"/>
    <cellStyle name="Percent 2 2 3 4 2 4 2" xfId="39503" xr:uid="{00000000-0005-0000-0000-000062870000}"/>
    <cellStyle name="Percent 2 2 3 4 2 5" xfId="39504" xr:uid="{00000000-0005-0000-0000-000063870000}"/>
    <cellStyle name="Percent 2 2 3 4 2 6" xfId="39505" xr:uid="{00000000-0005-0000-0000-000064870000}"/>
    <cellStyle name="Percent 2 2 3 4 3" xfId="39506" xr:uid="{00000000-0005-0000-0000-000065870000}"/>
    <cellStyle name="Percent 2 2 3 4 3 2" xfId="39507" xr:uid="{00000000-0005-0000-0000-000066870000}"/>
    <cellStyle name="Percent 2 2 3 4 3 2 2" xfId="39508" xr:uid="{00000000-0005-0000-0000-000067870000}"/>
    <cellStyle name="Percent 2 2 3 4 3 3" xfId="39509" xr:uid="{00000000-0005-0000-0000-000068870000}"/>
    <cellStyle name="Percent 2 2 3 4 3 3 2" xfId="39510" xr:uid="{00000000-0005-0000-0000-000069870000}"/>
    <cellStyle name="Percent 2 2 3 4 3 4" xfId="39511" xr:uid="{00000000-0005-0000-0000-00006A870000}"/>
    <cellStyle name="Percent 2 2 3 4 3 4 2" xfId="39512" xr:uid="{00000000-0005-0000-0000-00006B870000}"/>
    <cellStyle name="Percent 2 2 3 4 3 5" xfId="39513" xr:uid="{00000000-0005-0000-0000-00006C870000}"/>
    <cellStyle name="Percent 2 2 3 4 3 6" xfId="39514" xr:uid="{00000000-0005-0000-0000-00006D870000}"/>
    <cellStyle name="Percent 2 2 3 4 4" xfId="39515" xr:uid="{00000000-0005-0000-0000-00006E870000}"/>
    <cellStyle name="Percent 2 2 3 4 4 2" xfId="39516" xr:uid="{00000000-0005-0000-0000-00006F870000}"/>
    <cellStyle name="Percent 2 2 3 4 4 2 2" xfId="39517" xr:uid="{00000000-0005-0000-0000-000070870000}"/>
    <cellStyle name="Percent 2 2 3 4 4 3" xfId="39518" xr:uid="{00000000-0005-0000-0000-000071870000}"/>
    <cellStyle name="Percent 2 2 3 4 4 3 2" xfId="39519" xr:uid="{00000000-0005-0000-0000-000072870000}"/>
    <cellStyle name="Percent 2 2 3 4 4 4" xfId="39520" xr:uid="{00000000-0005-0000-0000-000073870000}"/>
    <cellStyle name="Percent 2 2 3 4 4 4 2" xfId="39521" xr:uid="{00000000-0005-0000-0000-000074870000}"/>
    <cellStyle name="Percent 2 2 3 4 4 5" xfId="39522" xr:uid="{00000000-0005-0000-0000-000075870000}"/>
    <cellStyle name="Percent 2 2 3 4 4 6" xfId="39523" xr:uid="{00000000-0005-0000-0000-000076870000}"/>
    <cellStyle name="Percent 2 2 3 4 5" xfId="39524" xr:uid="{00000000-0005-0000-0000-000077870000}"/>
    <cellStyle name="Percent 2 2 3 4 5 2" xfId="39525" xr:uid="{00000000-0005-0000-0000-000078870000}"/>
    <cellStyle name="Percent 2 2 3 4 5 2 2" xfId="39526" xr:uid="{00000000-0005-0000-0000-000079870000}"/>
    <cellStyle name="Percent 2 2 3 4 5 3" xfId="39527" xr:uid="{00000000-0005-0000-0000-00007A870000}"/>
    <cellStyle name="Percent 2 2 3 4 5 3 2" xfId="39528" xr:uid="{00000000-0005-0000-0000-00007B870000}"/>
    <cellStyle name="Percent 2 2 3 4 5 4" xfId="39529" xr:uid="{00000000-0005-0000-0000-00007C870000}"/>
    <cellStyle name="Percent 2 2 3 4 5 5" xfId="39530" xr:uid="{00000000-0005-0000-0000-00007D870000}"/>
    <cellStyle name="Percent 2 2 3 4 6" xfId="39531" xr:uid="{00000000-0005-0000-0000-00007E870000}"/>
    <cellStyle name="Percent 2 2 3 4 6 2" xfId="39532" xr:uid="{00000000-0005-0000-0000-00007F870000}"/>
    <cellStyle name="Percent 2 2 3 4 7" xfId="39533" xr:uid="{00000000-0005-0000-0000-000080870000}"/>
    <cellStyle name="Percent 2 2 3 4 7 2" xfId="39534" xr:uid="{00000000-0005-0000-0000-000081870000}"/>
    <cellStyle name="Percent 2 2 3 4 8" xfId="39535" xr:uid="{00000000-0005-0000-0000-000082870000}"/>
    <cellStyle name="Percent 2 2 3 4 8 2" xfId="39536" xr:uid="{00000000-0005-0000-0000-000083870000}"/>
    <cellStyle name="Percent 2 2 3 4 9" xfId="39537" xr:uid="{00000000-0005-0000-0000-000084870000}"/>
    <cellStyle name="Percent 2 2 3 5" xfId="39538" xr:uid="{00000000-0005-0000-0000-000085870000}"/>
    <cellStyle name="Percent 2 2 3 5 2" xfId="39539" xr:uid="{00000000-0005-0000-0000-000086870000}"/>
    <cellStyle name="Percent 2 2 3 5 2 2" xfId="39540" xr:uid="{00000000-0005-0000-0000-000087870000}"/>
    <cellStyle name="Percent 2 2 3 5 3" xfId="39541" xr:uid="{00000000-0005-0000-0000-000088870000}"/>
    <cellStyle name="Percent 2 2 3 5 3 2" xfId="39542" xr:uid="{00000000-0005-0000-0000-000089870000}"/>
    <cellStyle name="Percent 2 2 3 5 4" xfId="39543" xr:uid="{00000000-0005-0000-0000-00008A870000}"/>
    <cellStyle name="Percent 2 2 3 5 4 2" xfId="39544" xr:uid="{00000000-0005-0000-0000-00008B870000}"/>
    <cellStyle name="Percent 2 2 3 5 5" xfId="39545" xr:uid="{00000000-0005-0000-0000-00008C870000}"/>
    <cellStyle name="Percent 2 2 3 5 6" xfId="39546" xr:uid="{00000000-0005-0000-0000-00008D870000}"/>
    <cellStyle name="Percent 2 2 3 6" xfId="39547" xr:uid="{00000000-0005-0000-0000-00008E870000}"/>
    <cellStyle name="Percent 2 2 3 6 2" xfId="39548" xr:uid="{00000000-0005-0000-0000-00008F870000}"/>
    <cellStyle name="Percent 2 2 3 6 2 2" xfId="39549" xr:uid="{00000000-0005-0000-0000-000090870000}"/>
    <cellStyle name="Percent 2 2 3 6 3" xfId="39550" xr:uid="{00000000-0005-0000-0000-000091870000}"/>
    <cellStyle name="Percent 2 2 3 6 3 2" xfId="39551" xr:uid="{00000000-0005-0000-0000-000092870000}"/>
    <cellStyle name="Percent 2 2 3 6 4" xfId="39552" xr:uid="{00000000-0005-0000-0000-000093870000}"/>
    <cellStyle name="Percent 2 2 3 6 4 2" xfId="39553" xr:uid="{00000000-0005-0000-0000-000094870000}"/>
    <cellStyle name="Percent 2 2 3 6 5" xfId="39554" xr:uid="{00000000-0005-0000-0000-000095870000}"/>
    <cellStyle name="Percent 2 2 3 6 6" xfId="39555" xr:uid="{00000000-0005-0000-0000-000096870000}"/>
    <cellStyle name="Percent 2 2 3 7" xfId="39556" xr:uid="{00000000-0005-0000-0000-000097870000}"/>
    <cellStyle name="Percent 2 2 3 7 2" xfId="39557" xr:uid="{00000000-0005-0000-0000-000098870000}"/>
    <cellStyle name="Percent 2 2 3 7 2 2" xfId="39558" xr:uid="{00000000-0005-0000-0000-000099870000}"/>
    <cellStyle name="Percent 2 2 3 7 3" xfId="39559" xr:uid="{00000000-0005-0000-0000-00009A870000}"/>
    <cellStyle name="Percent 2 2 3 7 3 2" xfId="39560" xr:uid="{00000000-0005-0000-0000-00009B870000}"/>
    <cellStyle name="Percent 2 2 3 7 4" xfId="39561" xr:uid="{00000000-0005-0000-0000-00009C870000}"/>
    <cellStyle name="Percent 2 2 3 7 4 2" xfId="39562" xr:uid="{00000000-0005-0000-0000-00009D870000}"/>
    <cellStyle name="Percent 2 2 3 7 5" xfId="39563" xr:uid="{00000000-0005-0000-0000-00009E870000}"/>
    <cellStyle name="Percent 2 2 3 7 6" xfId="39564" xr:uid="{00000000-0005-0000-0000-00009F870000}"/>
    <cellStyle name="Percent 2 2 3 8" xfId="39565" xr:uid="{00000000-0005-0000-0000-0000A0870000}"/>
    <cellStyle name="Percent 2 2 3 8 2" xfId="39566" xr:uid="{00000000-0005-0000-0000-0000A1870000}"/>
    <cellStyle name="Percent 2 2 3 8 2 2" xfId="39567" xr:uid="{00000000-0005-0000-0000-0000A2870000}"/>
    <cellStyle name="Percent 2 2 3 8 3" xfId="39568" xr:uid="{00000000-0005-0000-0000-0000A3870000}"/>
    <cellStyle name="Percent 2 2 3 8 3 2" xfId="39569" xr:uid="{00000000-0005-0000-0000-0000A4870000}"/>
    <cellStyle name="Percent 2 2 3 8 4" xfId="39570" xr:uid="{00000000-0005-0000-0000-0000A5870000}"/>
    <cellStyle name="Percent 2 2 3 8 5" xfId="39571" xr:uid="{00000000-0005-0000-0000-0000A6870000}"/>
    <cellStyle name="Percent 2 2 3 9" xfId="39572" xr:uid="{00000000-0005-0000-0000-0000A7870000}"/>
    <cellStyle name="Percent 2 2 3 9 2" xfId="39573" xr:uid="{00000000-0005-0000-0000-0000A8870000}"/>
    <cellStyle name="Percent 2 2 4" xfId="39574" xr:uid="{00000000-0005-0000-0000-0000A9870000}"/>
    <cellStyle name="Percent 2 2 4 10" xfId="39575" xr:uid="{00000000-0005-0000-0000-0000AA870000}"/>
    <cellStyle name="Percent 2 2 4 10 2" xfId="39576" xr:uid="{00000000-0005-0000-0000-0000AB870000}"/>
    <cellStyle name="Percent 2 2 4 11" xfId="39577" xr:uid="{00000000-0005-0000-0000-0000AC870000}"/>
    <cellStyle name="Percent 2 2 4 12" xfId="39578" xr:uid="{00000000-0005-0000-0000-0000AD870000}"/>
    <cellStyle name="Percent 2 2 4 2" xfId="39579" xr:uid="{00000000-0005-0000-0000-0000AE870000}"/>
    <cellStyle name="Percent 2 2 4 2 10" xfId="39580" xr:uid="{00000000-0005-0000-0000-0000AF870000}"/>
    <cellStyle name="Percent 2 2 4 2 2" xfId="39581" xr:uid="{00000000-0005-0000-0000-0000B0870000}"/>
    <cellStyle name="Percent 2 2 4 2 2 2" xfId="39582" xr:uid="{00000000-0005-0000-0000-0000B1870000}"/>
    <cellStyle name="Percent 2 2 4 2 2 2 2" xfId="39583" xr:uid="{00000000-0005-0000-0000-0000B2870000}"/>
    <cellStyle name="Percent 2 2 4 2 2 3" xfId="39584" xr:uid="{00000000-0005-0000-0000-0000B3870000}"/>
    <cellStyle name="Percent 2 2 4 2 2 3 2" xfId="39585" xr:uid="{00000000-0005-0000-0000-0000B4870000}"/>
    <cellStyle name="Percent 2 2 4 2 2 4" xfId="39586" xr:uid="{00000000-0005-0000-0000-0000B5870000}"/>
    <cellStyle name="Percent 2 2 4 2 2 4 2" xfId="39587" xr:uid="{00000000-0005-0000-0000-0000B6870000}"/>
    <cellStyle name="Percent 2 2 4 2 2 5" xfId="39588" xr:uid="{00000000-0005-0000-0000-0000B7870000}"/>
    <cellStyle name="Percent 2 2 4 2 2 6" xfId="39589" xr:uid="{00000000-0005-0000-0000-0000B8870000}"/>
    <cellStyle name="Percent 2 2 4 2 3" xfId="39590" xr:uid="{00000000-0005-0000-0000-0000B9870000}"/>
    <cellStyle name="Percent 2 2 4 2 3 2" xfId="39591" xr:uid="{00000000-0005-0000-0000-0000BA870000}"/>
    <cellStyle name="Percent 2 2 4 2 3 2 2" xfId="39592" xr:uid="{00000000-0005-0000-0000-0000BB870000}"/>
    <cellStyle name="Percent 2 2 4 2 3 3" xfId="39593" xr:uid="{00000000-0005-0000-0000-0000BC870000}"/>
    <cellStyle name="Percent 2 2 4 2 3 3 2" xfId="39594" xr:uid="{00000000-0005-0000-0000-0000BD870000}"/>
    <cellStyle name="Percent 2 2 4 2 3 4" xfId="39595" xr:uid="{00000000-0005-0000-0000-0000BE870000}"/>
    <cellStyle name="Percent 2 2 4 2 3 4 2" xfId="39596" xr:uid="{00000000-0005-0000-0000-0000BF870000}"/>
    <cellStyle name="Percent 2 2 4 2 3 5" xfId="39597" xr:uid="{00000000-0005-0000-0000-0000C0870000}"/>
    <cellStyle name="Percent 2 2 4 2 3 6" xfId="39598" xr:uid="{00000000-0005-0000-0000-0000C1870000}"/>
    <cellStyle name="Percent 2 2 4 2 4" xfId="39599" xr:uid="{00000000-0005-0000-0000-0000C2870000}"/>
    <cellStyle name="Percent 2 2 4 2 4 2" xfId="39600" xr:uid="{00000000-0005-0000-0000-0000C3870000}"/>
    <cellStyle name="Percent 2 2 4 2 4 2 2" xfId="39601" xr:uid="{00000000-0005-0000-0000-0000C4870000}"/>
    <cellStyle name="Percent 2 2 4 2 4 3" xfId="39602" xr:uid="{00000000-0005-0000-0000-0000C5870000}"/>
    <cellStyle name="Percent 2 2 4 2 4 3 2" xfId="39603" xr:uid="{00000000-0005-0000-0000-0000C6870000}"/>
    <cellStyle name="Percent 2 2 4 2 4 4" xfId="39604" xr:uid="{00000000-0005-0000-0000-0000C7870000}"/>
    <cellStyle name="Percent 2 2 4 2 4 4 2" xfId="39605" xr:uid="{00000000-0005-0000-0000-0000C8870000}"/>
    <cellStyle name="Percent 2 2 4 2 4 5" xfId="39606" xr:uid="{00000000-0005-0000-0000-0000C9870000}"/>
    <cellStyle name="Percent 2 2 4 2 4 6" xfId="39607" xr:uid="{00000000-0005-0000-0000-0000CA870000}"/>
    <cellStyle name="Percent 2 2 4 2 5" xfId="39608" xr:uid="{00000000-0005-0000-0000-0000CB870000}"/>
    <cellStyle name="Percent 2 2 4 2 5 2" xfId="39609" xr:uid="{00000000-0005-0000-0000-0000CC870000}"/>
    <cellStyle name="Percent 2 2 4 2 5 2 2" xfId="39610" xr:uid="{00000000-0005-0000-0000-0000CD870000}"/>
    <cellStyle name="Percent 2 2 4 2 5 3" xfId="39611" xr:uid="{00000000-0005-0000-0000-0000CE870000}"/>
    <cellStyle name="Percent 2 2 4 2 5 3 2" xfId="39612" xr:uid="{00000000-0005-0000-0000-0000CF870000}"/>
    <cellStyle name="Percent 2 2 4 2 5 4" xfId="39613" xr:uid="{00000000-0005-0000-0000-0000D0870000}"/>
    <cellStyle name="Percent 2 2 4 2 5 5" xfId="39614" xr:uid="{00000000-0005-0000-0000-0000D1870000}"/>
    <cellStyle name="Percent 2 2 4 2 6" xfId="39615" xr:uid="{00000000-0005-0000-0000-0000D2870000}"/>
    <cellStyle name="Percent 2 2 4 2 6 2" xfId="39616" xr:uid="{00000000-0005-0000-0000-0000D3870000}"/>
    <cellStyle name="Percent 2 2 4 2 7" xfId="39617" xr:uid="{00000000-0005-0000-0000-0000D4870000}"/>
    <cellStyle name="Percent 2 2 4 2 7 2" xfId="39618" xr:uid="{00000000-0005-0000-0000-0000D5870000}"/>
    <cellStyle name="Percent 2 2 4 2 8" xfId="39619" xr:uid="{00000000-0005-0000-0000-0000D6870000}"/>
    <cellStyle name="Percent 2 2 4 2 8 2" xfId="39620" xr:uid="{00000000-0005-0000-0000-0000D7870000}"/>
    <cellStyle name="Percent 2 2 4 2 9" xfId="39621" xr:uid="{00000000-0005-0000-0000-0000D8870000}"/>
    <cellStyle name="Percent 2 2 4 3" xfId="39622" xr:uid="{00000000-0005-0000-0000-0000D9870000}"/>
    <cellStyle name="Percent 2 2 4 3 10" xfId="39623" xr:uid="{00000000-0005-0000-0000-0000DA870000}"/>
    <cellStyle name="Percent 2 2 4 3 2" xfId="39624" xr:uid="{00000000-0005-0000-0000-0000DB870000}"/>
    <cellStyle name="Percent 2 2 4 3 2 2" xfId="39625" xr:uid="{00000000-0005-0000-0000-0000DC870000}"/>
    <cellStyle name="Percent 2 2 4 3 2 2 2" xfId="39626" xr:uid="{00000000-0005-0000-0000-0000DD870000}"/>
    <cellStyle name="Percent 2 2 4 3 2 3" xfId="39627" xr:uid="{00000000-0005-0000-0000-0000DE870000}"/>
    <cellStyle name="Percent 2 2 4 3 2 3 2" xfId="39628" xr:uid="{00000000-0005-0000-0000-0000DF870000}"/>
    <cellStyle name="Percent 2 2 4 3 2 4" xfId="39629" xr:uid="{00000000-0005-0000-0000-0000E0870000}"/>
    <cellStyle name="Percent 2 2 4 3 2 4 2" xfId="39630" xr:uid="{00000000-0005-0000-0000-0000E1870000}"/>
    <cellStyle name="Percent 2 2 4 3 2 5" xfId="39631" xr:uid="{00000000-0005-0000-0000-0000E2870000}"/>
    <cellStyle name="Percent 2 2 4 3 2 6" xfId="39632" xr:uid="{00000000-0005-0000-0000-0000E3870000}"/>
    <cellStyle name="Percent 2 2 4 3 3" xfId="39633" xr:uid="{00000000-0005-0000-0000-0000E4870000}"/>
    <cellStyle name="Percent 2 2 4 3 3 2" xfId="39634" xr:uid="{00000000-0005-0000-0000-0000E5870000}"/>
    <cellStyle name="Percent 2 2 4 3 3 2 2" xfId="39635" xr:uid="{00000000-0005-0000-0000-0000E6870000}"/>
    <cellStyle name="Percent 2 2 4 3 3 3" xfId="39636" xr:uid="{00000000-0005-0000-0000-0000E7870000}"/>
    <cellStyle name="Percent 2 2 4 3 3 3 2" xfId="39637" xr:uid="{00000000-0005-0000-0000-0000E8870000}"/>
    <cellStyle name="Percent 2 2 4 3 3 4" xfId="39638" xr:uid="{00000000-0005-0000-0000-0000E9870000}"/>
    <cellStyle name="Percent 2 2 4 3 3 4 2" xfId="39639" xr:uid="{00000000-0005-0000-0000-0000EA870000}"/>
    <cellStyle name="Percent 2 2 4 3 3 5" xfId="39640" xr:uid="{00000000-0005-0000-0000-0000EB870000}"/>
    <cellStyle name="Percent 2 2 4 3 3 6" xfId="39641" xr:uid="{00000000-0005-0000-0000-0000EC870000}"/>
    <cellStyle name="Percent 2 2 4 3 4" xfId="39642" xr:uid="{00000000-0005-0000-0000-0000ED870000}"/>
    <cellStyle name="Percent 2 2 4 3 4 2" xfId="39643" xr:uid="{00000000-0005-0000-0000-0000EE870000}"/>
    <cellStyle name="Percent 2 2 4 3 4 2 2" xfId="39644" xr:uid="{00000000-0005-0000-0000-0000EF870000}"/>
    <cellStyle name="Percent 2 2 4 3 4 3" xfId="39645" xr:uid="{00000000-0005-0000-0000-0000F0870000}"/>
    <cellStyle name="Percent 2 2 4 3 4 3 2" xfId="39646" xr:uid="{00000000-0005-0000-0000-0000F1870000}"/>
    <cellStyle name="Percent 2 2 4 3 4 4" xfId="39647" xr:uid="{00000000-0005-0000-0000-0000F2870000}"/>
    <cellStyle name="Percent 2 2 4 3 4 4 2" xfId="39648" xr:uid="{00000000-0005-0000-0000-0000F3870000}"/>
    <cellStyle name="Percent 2 2 4 3 4 5" xfId="39649" xr:uid="{00000000-0005-0000-0000-0000F4870000}"/>
    <cellStyle name="Percent 2 2 4 3 4 6" xfId="39650" xr:uid="{00000000-0005-0000-0000-0000F5870000}"/>
    <cellStyle name="Percent 2 2 4 3 5" xfId="39651" xr:uid="{00000000-0005-0000-0000-0000F6870000}"/>
    <cellStyle name="Percent 2 2 4 3 5 2" xfId="39652" xr:uid="{00000000-0005-0000-0000-0000F7870000}"/>
    <cellStyle name="Percent 2 2 4 3 5 2 2" xfId="39653" xr:uid="{00000000-0005-0000-0000-0000F8870000}"/>
    <cellStyle name="Percent 2 2 4 3 5 3" xfId="39654" xr:uid="{00000000-0005-0000-0000-0000F9870000}"/>
    <cellStyle name="Percent 2 2 4 3 5 3 2" xfId="39655" xr:uid="{00000000-0005-0000-0000-0000FA870000}"/>
    <cellStyle name="Percent 2 2 4 3 5 4" xfId="39656" xr:uid="{00000000-0005-0000-0000-0000FB870000}"/>
    <cellStyle name="Percent 2 2 4 3 5 5" xfId="39657" xr:uid="{00000000-0005-0000-0000-0000FC870000}"/>
    <cellStyle name="Percent 2 2 4 3 6" xfId="39658" xr:uid="{00000000-0005-0000-0000-0000FD870000}"/>
    <cellStyle name="Percent 2 2 4 3 6 2" xfId="39659" xr:uid="{00000000-0005-0000-0000-0000FE870000}"/>
    <cellStyle name="Percent 2 2 4 3 7" xfId="39660" xr:uid="{00000000-0005-0000-0000-0000FF870000}"/>
    <cellStyle name="Percent 2 2 4 3 7 2" xfId="39661" xr:uid="{00000000-0005-0000-0000-000000880000}"/>
    <cellStyle name="Percent 2 2 4 3 8" xfId="39662" xr:uid="{00000000-0005-0000-0000-000001880000}"/>
    <cellStyle name="Percent 2 2 4 3 8 2" xfId="39663" xr:uid="{00000000-0005-0000-0000-000002880000}"/>
    <cellStyle name="Percent 2 2 4 3 9" xfId="39664" xr:uid="{00000000-0005-0000-0000-000003880000}"/>
    <cellStyle name="Percent 2 2 4 4" xfId="39665" xr:uid="{00000000-0005-0000-0000-000004880000}"/>
    <cellStyle name="Percent 2 2 4 4 2" xfId="39666" xr:uid="{00000000-0005-0000-0000-000005880000}"/>
    <cellStyle name="Percent 2 2 4 4 2 2" xfId="39667" xr:uid="{00000000-0005-0000-0000-000006880000}"/>
    <cellStyle name="Percent 2 2 4 4 3" xfId="39668" xr:uid="{00000000-0005-0000-0000-000007880000}"/>
    <cellStyle name="Percent 2 2 4 4 3 2" xfId="39669" xr:uid="{00000000-0005-0000-0000-000008880000}"/>
    <cellStyle name="Percent 2 2 4 4 4" xfId="39670" xr:uid="{00000000-0005-0000-0000-000009880000}"/>
    <cellStyle name="Percent 2 2 4 4 4 2" xfId="39671" xr:uid="{00000000-0005-0000-0000-00000A880000}"/>
    <cellStyle name="Percent 2 2 4 4 5" xfId="39672" xr:uid="{00000000-0005-0000-0000-00000B880000}"/>
    <cellStyle name="Percent 2 2 4 4 6" xfId="39673" xr:uid="{00000000-0005-0000-0000-00000C880000}"/>
    <cellStyle name="Percent 2 2 4 5" xfId="39674" xr:uid="{00000000-0005-0000-0000-00000D880000}"/>
    <cellStyle name="Percent 2 2 4 5 2" xfId="39675" xr:uid="{00000000-0005-0000-0000-00000E880000}"/>
    <cellStyle name="Percent 2 2 4 5 2 2" xfId="39676" xr:uid="{00000000-0005-0000-0000-00000F880000}"/>
    <cellStyle name="Percent 2 2 4 5 3" xfId="39677" xr:uid="{00000000-0005-0000-0000-000010880000}"/>
    <cellStyle name="Percent 2 2 4 5 3 2" xfId="39678" xr:uid="{00000000-0005-0000-0000-000011880000}"/>
    <cellStyle name="Percent 2 2 4 5 4" xfId="39679" xr:uid="{00000000-0005-0000-0000-000012880000}"/>
    <cellStyle name="Percent 2 2 4 5 4 2" xfId="39680" xr:uid="{00000000-0005-0000-0000-000013880000}"/>
    <cellStyle name="Percent 2 2 4 5 5" xfId="39681" xr:uid="{00000000-0005-0000-0000-000014880000}"/>
    <cellStyle name="Percent 2 2 4 5 6" xfId="39682" xr:uid="{00000000-0005-0000-0000-000015880000}"/>
    <cellStyle name="Percent 2 2 4 6" xfId="39683" xr:uid="{00000000-0005-0000-0000-000016880000}"/>
    <cellStyle name="Percent 2 2 4 6 2" xfId="39684" xr:uid="{00000000-0005-0000-0000-000017880000}"/>
    <cellStyle name="Percent 2 2 4 6 2 2" xfId="39685" xr:uid="{00000000-0005-0000-0000-000018880000}"/>
    <cellStyle name="Percent 2 2 4 6 3" xfId="39686" xr:uid="{00000000-0005-0000-0000-000019880000}"/>
    <cellStyle name="Percent 2 2 4 6 3 2" xfId="39687" xr:uid="{00000000-0005-0000-0000-00001A880000}"/>
    <cellStyle name="Percent 2 2 4 6 4" xfId="39688" xr:uid="{00000000-0005-0000-0000-00001B880000}"/>
    <cellStyle name="Percent 2 2 4 6 4 2" xfId="39689" xr:uid="{00000000-0005-0000-0000-00001C880000}"/>
    <cellStyle name="Percent 2 2 4 6 5" xfId="39690" xr:uid="{00000000-0005-0000-0000-00001D880000}"/>
    <cellStyle name="Percent 2 2 4 6 6" xfId="39691" xr:uid="{00000000-0005-0000-0000-00001E880000}"/>
    <cellStyle name="Percent 2 2 4 7" xfId="39692" xr:uid="{00000000-0005-0000-0000-00001F880000}"/>
    <cellStyle name="Percent 2 2 4 7 2" xfId="39693" xr:uid="{00000000-0005-0000-0000-000020880000}"/>
    <cellStyle name="Percent 2 2 4 7 2 2" xfId="39694" xr:uid="{00000000-0005-0000-0000-000021880000}"/>
    <cellStyle name="Percent 2 2 4 7 3" xfId="39695" xr:uid="{00000000-0005-0000-0000-000022880000}"/>
    <cellStyle name="Percent 2 2 4 7 3 2" xfId="39696" xr:uid="{00000000-0005-0000-0000-000023880000}"/>
    <cellStyle name="Percent 2 2 4 7 4" xfId="39697" xr:uid="{00000000-0005-0000-0000-000024880000}"/>
    <cellStyle name="Percent 2 2 4 7 5" xfId="39698" xr:uid="{00000000-0005-0000-0000-000025880000}"/>
    <cellStyle name="Percent 2 2 4 8" xfId="39699" xr:uid="{00000000-0005-0000-0000-000026880000}"/>
    <cellStyle name="Percent 2 2 4 8 2" xfId="39700" xr:uid="{00000000-0005-0000-0000-000027880000}"/>
    <cellStyle name="Percent 2 2 4 9" xfId="39701" xr:uid="{00000000-0005-0000-0000-000028880000}"/>
    <cellStyle name="Percent 2 2 4 9 2" xfId="39702" xr:uid="{00000000-0005-0000-0000-000029880000}"/>
    <cellStyle name="Percent 2 2 5" xfId="39703" xr:uid="{00000000-0005-0000-0000-00002A880000}"/>
    <cellStyle name="Percent 2 2 5 10" xfId="39704" xr:uid="{00000000-0005-0000-0000-00002B880000}"/>
    <cellStyle name="Percent 2 2 5 11" xfId="39705" xr:uid="{00000000-0005-0000-0000-00002C880000}"/>
    <cellStyle name="Percent 2 2 5 2" xfId="39706" xr:uid="{00000000-0005-0000-0000-00002D880000}"/>
    <cellStyle name="Percent 2 2 5 2 2" xfId="39707" xr:uid="{00000000-0005-0000-0000-00002E880000}"/>
    <cellStyle name="Percent 2 2 5 2 2 2" xfId="39708" xr:uid="{00000000-0005-0000-0000-00002F880000}"/>
    <cellStyle name="Percent 2 2 5 2 3" xfId="39709" xr:uid="{00000000-0005-0000-0000-000030880000}"/>
    <cellStyle name="Percent 2 2 5 2 3 2" xfId="39710" xr:uid="{00000000-0005-0000-0000-000031880000}"/>
    <cellStyle name="Percent 2 2 5 2 4" xfId="39711" xr:uid="{00000000-0005-0000-0000-000032880000}"/>
    <cellStyle name="Percent 2 2 5 2 4 2" xfId="39712" xr:uid="{00000000-0005-0000-0000-000033880000}"/>
    <cellStyle name="Percent 2 2 5 2 5" xfId="39713" xr:uid="{00000000-0005-0000-0000-000034880000}"/>
    <cellStyle name="Percent 2 2 5 2 6" xfId="39714" xr:uid="{00000000-0005-0000-0000-000035880000}"/>
    <cellStyle name="Percent 2 2 5 3" xfId="39715" xr:uid="{00000000-0005-0000-0000-000036880000}"/>
    <cellStyle name="Percent 2 2 5 3 2" xfId="39716" xr:uid="{00000000-0005-0000-0000-000037880000}"/>
    <cellStyle name="Percent 2 2 5 3 2 2" xfId="39717" xr:uid="{00000000-0005-0000-0000-000038880000}"/>
    <cellStyle name="Percent 2 2 5 3 3" xfId="39718" xr:uid="{00000000-0005-0000-0000-000039880000}"/>
    <cellStyle name="Percent 2 2 5 3 3 2" xfId="39719" xr:uid="{00000000-0005-0000-0000-00003A880000}"/>
    <cellStyle name="Percent 2 2 5 3 4" xfId="39720" xr:uid="{00000000-0005-0000-0000-00003B880000}"/>
    <cellStyle name="Percent 2 2 5 3 4 2" xfId="39721" xr:uid="{00000000-0005-0000-0000-00003C880000}"/>
    <cellStyle name="Percent 2 2 5 3 5" xfId="39722" xr:uid="{00000000-0005-0000-0000-00003D880000}"/>
    <cellStyle name="Percent 2 2 5 3 6" xfId="39723" xr:uid="{00000000-0005-0000-0000-00003E880000}"/>
    <cellStyle name="Percent 2 2 5 4" xfId="39724" xr:uid="{00000000-0005-0000-0000-00003F880000}"/>
    <cellStyle name="Percent 2 2 5 4 2" xfId="39725" xr:uid="{00000000-0005-0000-0000-000040880000}"/>
    <cellStyle name="Percent 2 2 5 4 2 2" xfId="39726" xr:uid="{00000000-0005-0000-0000-000041880000}"/>
    <cellStyle name="Percent 2 2 5 4 3" xfId="39727" xr:uid="{00000000-0005-0000-0000-000042880000}"/>
    <cellStyle name="Percent 2 2 5 4 3 2" xfId="39728" xr:uid="{00000000-0005-0000-0000-000043880000}"/>
    <cellStyle name="Percent 2 2 5 4 4" xfId="39729" xr:uid="{00000000-0005-0000-0000-000044880000}"/>
    <cellStyle name="Percent 2 2 5 4 4 2" xfId="39730" xr:uid="{00000000-0005-0000-0000-000045880000}"/>
    <cellStyle name="Percent 2 2 5 4 5" xfId="39731" xr:uid="{00000000-0005-0000-0000-000046880000}"/>
    <cellStyle name="Percent 2 2 5 4 6" xfId="39732" xr:uid="{00000000-0005-0000-0000-000047880000}"/>
    <cellStyle name="Percent 2 2 5 5" xfId="39733" xr:uid="{00000000-0005-0000-0000-000048880000}"/>
    <cellStyle name="Percent 2 2 5 5 2" xfId="39734" xr:uid="{00000000-0005-0000-0000-000049880000}"/>
    <cellStyle name="Percent 2 2 5 5 2 2" xfId="39735" xr:uid="{00000000-0005-0000-0000-00004A880000}"/>
    <cellStyle name="Percent 2 2 5 5 3" xfId="39736" xr:uid="{00000000-0005-0000-0000-00004B880000}"/>
    <cellStyle name="Percent 2 2 5 5 3 2" xfId="39737" xr:uid="{00000000-0005-0000-0000-00004C880000}"/>
    <cellStyle name="Percent 2 2 5 5 4" xfId="39738" xr:uid="{00000000-0005-0000-0000-00004D880000}"/>
    <cellStyle name="Percent 2 2 5 5 4 2" xfId="39739" xr:uid="{00000000-0005-0000-0000-00004E880000}"/>
    <cellStyle name="Percent 2 2 5 5 5" xfId="39740" xr:uid="{00000000-0005-0000-0000-00004F880000}"/>
    <cellStyle name="Percent 2 2 5 5 6" xfId="39741" xr:uid="{00000000-0005-0000-0000-000050880000}"/>
    <cellStyle name="Percent 2 2 5 6" xfId="39742" xr:uid="{00000000-0005-0000-0000-000051880000}"/>
    <cellStyle name="Percent 2 2 5 6 2" xfId="39743" xr:uid="{00000000-0005-0000-0000-000052880000}"/>
    <cellStyle name="Percent 2 2 5 6 2 2" xfId="39744" xr:uid="{00000000-0005-0000-0000-000053880000}"/>
    <cellStyle name="Percent 2 2 5 6 3" xfId="39745" xr:uid="{00000000-0005-0000-0000-000054880000}"/>
    <cellStyle name="Percent 2 2 5 6 3 2" xfId="39746" xr:uid="{00000000-0005-0000-0000-000055880000}"/>
    <cellStyle name="Percent 2 2 5 6 4" xfId="39747" xr:uid="{00000000-0005-0000-0000-000056880000}"/>
    <cellStyle name="Percent 2 2 5 6 5" xfId="39748" xr:uid="{00000000-0005-0000-0000-000057880000}"/>
    <cellStyle name="Percent 2 2 5 7" xfId="39749" xr:uid="{00000000-0005-0000-0000-000058880000}"/>
    <cellStyle name="Percent 2 2 5 7 2" xfId="39750" xr:uid="{00000000-0005-0000-0000-000059880000}"/>
    <cellStyle name="Percent 2 2 5 8" xfId="39751" xr:uid="{00000000-0005-0000-0000-00005A880000}"/>
    <cellStyle name="Percent 2 2 5 8 2" xfId="39752" xr:uid="{00000000-0005-0000-0000-00005B880000}"/>
    <cellStyle name="Percent 2 2 5 9" xfId="39753" xr:uid="{00000000-0005-0000-0000-00005C880000}"/>
    <cellStyle name="Percent 2 2 5 9 2" xfId="39754" xr:uid="{00000000-0005-0000-0000-00005D880000}"/>
    <cellStyle name="Percent 2 2 6" xfId="39755" xr:uid="{00000000-0005-0000-0000-00005E880000}"/>
    <cellStyle name="Percent 2 2 6 10" xfId="39756" xr:uid="{00000000-0005-0000-0000-00005F880000}"/>
    <cellStyle name="Percent 2 2 6 2" xfId="39757" xr:uid="{00000000-0005-0000-0000-000060880000}"/>
    <cellStyle name="Percent 2 2 6 2 2" xfId="39758" xr:uid="{00000000-0005-0000-0000-000061880000}"/>
    <cellStyle name="Percent 2 2 6 2 2 2" xfId="39759" xr:uid="{00000000-0005-0000-0000-000062880000}"/>
    <cellStyle name="Percent 2 2 6 2 3" xfId="39760" xr:uid="{00000000-0005-0000-0000-000063880000}"/>
    <cellStyle name="Percent 2 2 6 2 3 2" xfId="39761" xr:uid="{00000000-0005-0000-0000-000064880000}"/>
    <cellStyle name="Percent 2 2 6 2 4" xfId="39762" xr:uid="{00000000-0005-0000-0000-000065880000}"/>
    <cellStyle name="Percent 2 2 6 2 4 2" xfId="39763" xr:uid="{00000000-0005-0000-0000-000066880000}"/>
    <cellStyle name="Percent 2 2 6 2 5" xfId="39764" xr:uid="{00000000-0005-0000-0000-000067880000}"/>
    <cellStyle name="Percent 2 2 6 2 6" xfId="39765" xr:uid="{00000000-0005-0000-0000-000068880000}"/>
    <cellStyle name="Percent 2 2 6 3" xfId="39766" xr:uid="{00000000-0005-0000-0000-000069880000}"/>
    <cellStyle name="Percent 2 2 6 3 2" xfId="39767" xr:uid="{00000000-0005-0000-0000-00006A880000}"/>
    <cellStyle name="Percent 2 2 6 3 2 2" xfId="39768" xr:uid="{00000000-0005-0000-0000-00006B880000}"/>
    <cellStyle name="Percent 2 2 6 3 3" xfId="39769" xr:uid="{00000000-0005-0000-0000-00006C880000}"/>
    <cellStyle name="Percent 2 2 6 3 3 2" xfId="39770" xr:uid="{00000000-0005-0000-0000-00006D880000}"/>
    <cellStyle name="Percent 2 2 6 3 4" xfId="39771" xr:uid="{00000000-0005-0000-0000-00006E880000}"/>
    <cellStyle name="Percent 2 2 6 3 4 2" xfId="39772" xr:uid="{00000000-0005-0000-0000-00006F880000}"/>
    <cellStyle name="Percent 2 2 6 3 5" xfId="39773" xr:uid="{00000000-0005-0000-0000-000070880000}"/>
    <cellStyle name="Percent 2 2 6 3 6" xfId="39774" xr:uid="{00000000-0005-0000-0000-000071880000}"/>
    <cellStyle name="Percent 2 2 6 4" xfId="39775" xr:uid="{00000000-0005-0000-0000-000072880000}"/>
    <cellStyle name="Percent 2 2 6 4 2" xfId="39776" xr:uid="{00000000-0005-0000-0000-000073880000}"/>
    <cellStyle name="Percent 2 2 6 4 2 2" xfId="39777" xr:uid="{00000000-0005-0000-0000-000074880000}"/>
    <cellStyle name="Percent 2 2 6 4 3" xfId="39778" xr:uid="{00000000-0005-0000-0000-000075880000}"/>
    <cellStyle name="Percent 2 2 6 4 3 2" xfId="39779" xr:uid="{00000000-0005-0000-0000-000076880000}"/>
    <cellStyle name="Percent 2 2 6 4 4" xfId="39780" xr:uid="{00000000-0005-0000-0000-000077880000}"/>
    <cellStyle name="Percent 2 2 6 4 4 2" xfId="39781" xr:uid="{00000000-0005-0000-0000-000078880000}"/>
    <cellStyle name="Percent 2 2 6 4 5" xfId="39782" xr:uid="{00000000-0005-0000-0000-000079880000}"/>
    <cellStyle name="Percent 2 2 6 4 6" xfId="39783" xr:uid="{00000000-0005-0000-0000-00007A880000}"/>
    <cellStyle name="Percent 2 2 6 5" xfId="39784" xr:uid="{00000000-0005-0000-0000-00007B880000}"/>
    <cellStyle name="Percent 2 2 6 5 2" xfId="39785" xr:uid="{00000000-0005-0000-0000-00007C880000}"/>
    <cellStyle name="Percent 2 2 6 5 2 2" xfId="39786" xr:uid="{00000000-0005-0000-0000-00007D880000}"/>
    <cellStyle name="Percent 2 2 6 5 3" xfId="39787" xr:uid="{00000000-0005-0000-0000-00007E880000}"/>
    <cellStyle name="Percent 2 2 6 5 3 2" xfId="39788" xr:uid="{00000000-0005-0000-0000-00007F880000}"/>
    <cellStyle name="Percent 2 2 6 5 4" xfId="39789" xr:uid="{00000000-0005-0000-0000-000080880000}"/>
    <cellStyle name="Percent 2 2 6 5 5" xfId="39790" xr:uid="{00000000-0005-0000-0000-000081880000}"/>
    <cellStyle name="Percent 2 2 6 6" xfId="39791" xr:uid="{00000000-0005-0000-0000-000082880000}"/>
    <cellStyle name="Percent 2 2 6 6 2" xfId="39792" xr:uid="{00000000-0005-0000-0000-000083880000}"/>
    <cellStyle name="Percent 2 2 6 7" xfId="39793" xr:uid="{00000000-0005-0000-0000-000084880000}"/>
    <cellStyle name="Percent 2 2 6 7 2" xfId="39794" xr:uid="{00000000-0005-0000-0000-000085880000}"/>
    <cellStyle name="Percent 2 2 6 8" xfId="39795" xr:uid="{00000000-0005-0000-0000-000086880000}"/>
    <cellStyle name="Percent 2 2 6 8 2" xfId="39796" xr:uid="{00000000-0005-0000-0000-000087880000}"/>
    <cellStyle name="Percent 2 2 6 9" xfId="39797" xr:uid="{00000000-0005-0000-0000-000088880000}"/>
    <cellStyle name="Percent 2 2 7" xfId="39798" xr:uid="{00000000-0005-0000-0000-000089880000}"/>
    <cellStyle name="Percent 2 2 7 10" xfId="39799" xr:uid="{00000000-0005-0000-0000-00008A880000}"/>
    <cellStyle name="Percent 2 2 7 2" xfId="39800" xr:uid="{00000000-0005-0000-0000-00008B880000}"/>
    <cellStyle name="Percent 2 2 7 2 2" xfId="39801" xr:uid="{00000000-0005-0000-0000-00008C880000}"/>
    <cellStyle name="Percent 2 2 7 2 2 2" xfId="39802" xr:uid="{00000000-0005-0000-0000-00008D880000}"/>
    <cellStyle name="Percent 2 2 7 2 3" xfId="39803" xr:uid="{00000000-0005-0000-0000-00008E880000}"/>
    <cellStyle name="Percent 2 2 7 2 3 2" xfId="39804" xr:uid="{00000000-0005-0000-0000-00008F880000}"/>
    <cellStyle name="Percent 2 2 7 2 4" xfId="39805" xr:uid="{00000000-0005-0000-0000-000090880000}"/>
    <cellStyle name="Percent 2 2 7 2 4 2" xfId="39806" xr:uid="{00000000-0005-0000-0000-000091880000}"/>
    <cellStyle name="Percent 2 2 7 2 5" xfId="39807" xr:uid="{00000000-0005-0000-0000-000092880000}"/>
    <cellStyle name="Percent 2 2 7 2 6" xfId="39808" xr:uid="{00000000-0005-0000-0000-000093880000}"/>
    <cellStyle name="Percent 2 2 7 3" xfId="39809" xr:uid="{00000000-0005-0000-0000-000094880000}"/>
    <cellStyle name="Percent 2 2 7 3 2" xfId="39810" xr:uid="{00000000-0005-0000-0000-000095880000}"/>
    <cellStyle name="Percent 2 2 7 3 2 2" xfId="39811" xr:uid="{00000000-0005-0000-0000-000096880000}"/>
    <cellStyle name="Percent 2 2 7 3 3" xfId="39812" xr:uid="{00000000-0005-0000-0000-000097880000}"/>
    <cellStyle name="Percent 2 2 7 3 3 2" xfId="39813" xr:uid="{00000000-0005-0000-0000-000098880000}"/>
    <cellStyle name="Percent 2 2 7 3 4" xfId="39814" xr:uid="{00000000-0005-0000-0000-000099880000}"/>
    <cellStyle name="Percent 2 2 7 3 4 2" xfId="39815" xr:uid="{00000000-0005-0000-0000-00009A880000}"/>
    <cellStyle name="Percent 2 2 7 3 5" xfId="39816" xr:uid="{00000000-0005-0000-0000-00009B880000}"/>
    <cellStyle name="Percent 2 2 7 3 6" xfId="39817" xr:uid="{00000000-0005-0000-0000-00009C880000}"/>
    <cellStyle name="Percent 2 2 7 4" xfId="39818" xr:uid="{00000000-0005-0000-0000-00009D880000}"/>
    <cellStyle name="Percent 2 2 7 4 2" xfId="39819" xr:uid="{00000000-0005-0000-0000-00009E880000}"/>
    <cellStyle name="Percent 2 2 7 4 2 2" xfId="39820" xr:uid="{00000000-0005-0000-0000-00009F880000}"/>
    <cellStyle name="Percent 2 2 7 4 3" xfId="39821" xr:uid="{00000000-0005-0000-0000-0000A0880000}"/>
    <cellStyle name="Percent 2 2 7 4 3 2" xfId="39822" xr:uid="{00000000-0005-0000-0000-0000A1880000}"/>
    <cellStyle name="Percent 2 2 7 4 4" xfId="39823" xr:uid="{00000000-0005-0000-0000-0000A2880000}"/>
    <cellStyle name="Percent 2 2 7 4 4 2" xfId="39824" xr:uid="{00000000-0005-0000-0000-0000A3880000}"/>
    <cellStyle name="Percent 2 2 7 4 5" xfId="39825" xr:uid="{00000000-0005-0000-0000-0000A4880000}"/>
    <cellStyle name="Percent 2 2 7 4 6" xfId="39826" xr:uid="{00000000-0005-0000-0000-0000A5880000}"/>
    <cellStyle name="Percent 2 2 7 5" xfId="39827" xr:uid="{00000000-0005-0000-0000-0000A6880000}"/>
    <cellStyle name="Percent 2 2 7 5 2" xfId="39828" xr:uid="{00000000-0005-0000-0000-0000A7880000}"/>
    <cellStyle name="Percent 2 2 7 5 2 2" xfId="39829" xr:uid="{00000000-0005-0000-0000-0000A8880000}"/>
    <cellStyle name="Percent 2 2 7 5 3" xfId="39830" xr:uid="{00000000-0005-0000-0000-0000A9880000}"/>
    <cellStyle name="Percent 2 2 7 5 3 2" xfId="39831" xr:uid="{00000000-0005-0000-0000-0000AA880000}"/>
    <cellStyle name="Percent 2 2 7 5 4" xfId="39832" xr:uid="{00000000-0005-0000-0000-0000AB880000}"/>
    <cellStyle name="Percent 2 2 7 5 5" xfId="39833" xr:uid="{00000000-0005-0000-0000-0000AC880000}"/>
    <cellStyle name="Percent 2 2 7 6" xfId="39834" xr:uid="{00000000-0005-0000-0000-0000AD880000}"/>
    <cellStyle name="Percent 2 2 7 6 2" xfId="39835" xr:uid="{00000000-0005-0000-0000-0000AE880000}"/>
    <cellStyle name="Percent 2 2 7 7" xfId="39836" xr:uid="{00000000-0005-0000-0000-0000AF880000}"/>
    <cellStyle name="Percent 2 2 7 7 2" xfId="39837" xr:uid="{00000000-0005-0000-0000-0000B0880000}"/>
    <cellStyle name="Percent 2 2 7 8" xfId="39838" xr:uid="{00000000-0005-0000-0000-0000B1880000}"/>
    <cellStyle name="Percent 2 2 7 8 2" xfId="39839" xr:uid="{00000000-0005-0000-0000-0000B2880000}"/>
    <cellStyle name="Percent 2 2 7 9" xfId="39840" xr:uid="{00000000-0005-0000-0000-0000B3880000}"/>
    <cellStyle name="Percent 2 2 8" xfId="39841" xr:uid="{00000000-0005-0000-0000-0000B4880000}"/>
    <cellStyle name="Percent 2 2 8 2" xfId="39842" xr:uid="{00000000-0005-0000-0000-0000B5880000}"/>
    <cellStyle name="Percent 2 2 8 2 2" xfId="39843" xr:uid="{00000000-0005-0000-0000-0000B6880000}"/>
    <cellStyle name="Percent 2 2 8 3" xfId="39844" xr:uid="{00000000-0005-0000-0000-0000B7880000}"/>
    <cellStyle name="Percent 2 2 8 3 2" xfId="39845" xr:uid="{00000000-0005-0000-0000-0000B8880000}"/>
    <cellStyle name="Percent 2 2 8 4" xfId="39846" xr:uid="{00000000-0005-0000-0000-0000B9880000}"/>
    <cellStyle name="Percent 2 2 8 4 2" xfId="39847" xr:uid="{00000000-0005-0000-0000-0000BA880000}"/>
    <cellStyle name="Percent 2 2 8 5" xfId="39848" xr:uid="{00000000-0005-0000-0000-0000BB880000}"/>
    <cellStyle name="Percent 2 2 8 6" xfId="39849" xr:uid="{00000000-0005-0000-0000-0000BC880000}"/>
    <cellStyle name="Percent 2 2 9" xfId="39850" xr:uid="{00000000-0005-0000-0000-0000BD880000}"/>
    <cellStyle name="Percent 2 2 9 2" xfId="39851" xr:uid="{00000000-0005-0000-0000-0000BE880000}"/>
    <cellStyle name="Percent 2 2 9 2 2" xfId="39852" xr:uid="{00000000-0005-0000-0000-0000BF880000}"/>
    <cellStyle name="Percent 2 2 9 3" xfId="39853" xr:uid="{00000000-0005-0000-0000-0000C0880000}"/>
    <cellStyle name="Percent 2 2 9 3 2" xfId="39854" xr:uid="{00000000-0005-0000-0000-0000C1880000}"/>
    <cellStyle name="Percent 2 2 9 4" xfId="39855" xr:uid="{00000000-0005-0000-0000-0000C2880000}"/>
    <cellStyle name="Percent 2 2 9 4 2" xfId="39856" xr:uid="{00000000-0005-0000-0000-0000C3880000}"/>
    <cellStyle name="Percent 2 2 9 5" xfId="39857" xr:uid="{00000000-0005-0000-0000-0000C4880000}"/>
    <cellStyle name="Percent 2 2 9 6" xfId="39858" xr:uid="{00000000-0005-0000-0000-0000C5880000}"/>
    <cellStyle name="Percent 2 3" xfId="7808" xr:uid="{00000000-0005-0000-0000-0000C6880000}"/>
    <cellStyle name="Percent 2 3 10" xfId="39860" xr:uid="{00000000-0005-0000-0000-0000C7880000}"/>
    <cellStyle name="Percent 2 3 10 2" xfId="39861" xr:uid="{00000000-0005-0000-0000-0000C8880000}"/>
    <cellStyle name="Percent 2 3 10 2 2" xfId="39862" xr:uid="{00000000-0005-0000-0000-0000C9880000}"/>
    <cellStyle name="Percent 2 3 10 3" xfId="39863" xr:uid="{00000000-0005-0000-0000-0000CA880000}"/>
    <cellStyle name="Percent 2 3 10 3 2" xfId="39864" xr:uid="{00000000-0005-0000-0000-0000CB880000}"/>
    <cellStyle name="Percent 2 3 10 4" xfId="39865" xr:uid="{00000000-0005-0000-0000-0000CC880000}"/>
    <cellStyle name="Percent 2 3 10 4 2" xfId="39866" xr:uid="{00000000-0005-0000-0000-0000CD880000}"/>
    <cellStyle name="Percent 2 3 10 5" xfId="39867" xr:uid="{00000000-0005-0000-0000-0000CE880000}"/>
    <cellStyle name="Percent 2 3 10 6" xfId="39868" xr:uid="{00000000-0005-0000-0000-0000CF880000}"/>
    <cellStyle name="Percent 2 3 11" xfId="39869" xr:uid="{00000000-0005-0000-0000-0000D0880000}"/>
    <cellStyle name="Percent 2 3 11 2" xfId="39870" xr:uid="{00000000-0005-0000-0000-0000D1880000}"/>
    <cellStyle name="Percent 2 3 11 2 2" xfId="39871" xr:uid="{00000000-0005-0000-0000-0000D2880000}"/>
    <cellStyle name="Percent 2 3 11 3" xfId="39872" xr:uid="{00000000-0005-0000-0000-0000D3880000}"/>
    <cellStyle name="Percent 2 3 11 3 2" xfId="39873" xr:uid="{00000000-0005-0000-0000-0000D4880000}"/>
    <cellStyle name="Percent 2 3 11 4" xfId="39874" xr:uid="{00000000-0005-0000-0000-0000D5880000}"/>
    <cellStyle name="Percent 2 3 11 4 2" xfId="39875" xr:uid="{00000000-0005-0000-0000-0000D6880000}"/>
    <cellStyle name="Percent 2 3 11 5" xfId="39876" xr:uid="{00000000-0005-0000-0000-0000D7880000}"/>
    <cellStyle name="Percent 2 3 11 6" xfId="39877" xr:uid="{00000000-0005-0000-0000-0000D8880000}"/>
    <cellStyle name="Percent 2 3 12" xfId="39878" xr:uid="{00000000-0005-0000-0000-0000D9880000}"/>
    <cellStyle name="Percent 2 3 12 2" xfId="39879" xr:uid="{00000000-0005-0000-0000-0000DA880000}"/>
    <cellStyle name="Percent 2 3 12 2 2" xfId="39880" xr:uid="{00000000-0005-0000-0000-0000DB880000}"/>
    <cellStyle name="Percent 2 3 12 3" xfId="39881" xr:uid="{00000000-0005-0000-0000-0000DC880000}"/>
    <cellStyle name="Percent 2 3 12 3 2" xfId="39882" xr:uid="{00000000-0005-0000-0000-0000DD880000}"/>
    <cellStyle name="Percent 2 3 12 4" xfId="39883" xr:uid="{00000000-0005-0000-0000-0000DE880000}"/>
    <cellStyle name="Percent 2 3 12 5" xfId="39884" xr:uid="{00000000-0005-0000-0000-0000DF880000}"/>
    <cellStyle name="Percent 2 3 13" xfId="39885" xr:uid="{00000000-0005-0000-0000-0000E0880000}"/>
    <cellStyle name="Percent 2 3 13 2" xfId="39886" xr:uid="{00000000-0005-0000-0000-0000E1880000}"/>
    <cellStyle name="Percent 2 3 14" xfId="39887" xr:uid="{00000000-0005-0000-0000-0000E2880000}"/>
    <cellStyle name="Percent 2 3 14 2" xfId="39888" xr:uid="{00000000-0005-0000-0000-0000E3880000}"/>
    <cellStyle name="Percent 2 3 15" xfId="39889" xr:uid="{00000000-0005-0000-0000-0000E4880000}"/>
    <cellStyle name="Percent 2 3 15 2" xfId="39890" xr:uid="{00000000-0005-0000-0000-0000E5880000}"/>
    <cellStyle name="Percent 2 3 16" xfId="39891" xr:uid="{00000000-0005-0000-0000-0000E6880000}"/>
    <cellStyle name="Percent 2 3 17" xfId="39892" xr:uid="{00000000-0005-0000-0000-0000E7880000}"/>
    <cellStyle name="Percent 2 3 18" xfId="39893" xr:uid="{00000000-0005-0000-0000-0000E8880000}"/>
    <cellStyle name="Percent 2 3 19" xfId="39859" xr:uid="{00000000-0005-0000-0000-0000E9880000}"/>
    <cellStyle name="Percent 2 3 2" xfId="39894" xr:uid="{00000000-0005-0000-0000-0000EA880000}"/>
    <cellStyle name="Percent 2 3 3" xfId="39895" xr:uid="{00000000-0005-0000-0000-0000EB880000}"/>
    <cellStyle name="Percent 2 3 3 10" xfId="39896" xr:uid="{00000000-0005-0000-0000-0000EC880000}"/>
    <cellStyle name="Percent 2 3 3 10 2" xfId="39897" xr:uid="{00000000-0005-0000-0000-0000ED880000}"/>
    <cellStyle name="Percent 2 3 3 11" xfId="39898" xr:uid="{00000000-0005-0000-0000-0000EE880000}"/>
    <cellStyle name="Percent 2 3 3 11 2" xfId="39899" xr:uid="{00000000-0005-0000-0000-0000EF880000}"/>
    <cellStyle name="Percent 2 3 3 12" xfId="39900" xr:uid="{00000000-0005-0000-0000-0000F0880000}"/>
    <cellStyle name="Percent 2 3 3 13" xfId="39901" xr:uid="{00000000-0005-0000-0000-0000F1880000}"/>
    <cellStyle name="Percent 2 3 3 2" xfId="39902" xr:uid="{00000000-0005-0000-0000-0000F2880000}"/>
    <cellStyle name="Percent 2 3 3 2 10" xfId="39903" xr:uid="{00000000-0005-0000-0000-0000F3880000}"/>
    <cellStyle name="Percent 2 3 3 2 11" xfId="39904" xr:uid="{00000000-0005-0000-0000-0000F4880000}"/>
    <cellStyle name="Percent 2 3 3 2 2" xfId="39905" xr:uid="{00000000-0005-0000-0000-0000F5880000}"/>
    <cellStyle name="Percent 2 3 3 2 2 2" xfId="39906" xr:uid="{00000000-0005-0000-0000-0000F6880000}"/>
    <cellStyle name="Percent 2 3 3 2 2 2 2" xfId="39907" xr:uid="{00000000-0005-0000-0000-0000F7880000}"/>
    <cellStyle name="Percent 2 3 3 2 2 3" xfId="39908" xr:uid="{00000000-0005-0000-0000-0000F8880000}"/>
    <cellStyle name="Percent 2 3 3 2 2 3 2" xfId="39909" xr:uid="{00000000-0005-0000-0000-0000F9880000}"/>
    <cellStyle name="Percent 2 3 3 2 2 4" xfId="39910" xr:uid="{00000000-0005-0000-0000-0000FA880000}"/>
    <cellStyle name="Percent 2 3 3 2 2 4 2" xfId="39911" xr:uid="{00000000-0005-0000-0000-0000FB880000}"/>
    <cellStyle name="Percent 2 3 3 2 2 5" xfId="39912" xr:uid="{00000000-0005-0000-0000-0000FC880000}"/>
    <cellStyle name="Percent 2 3 3 2 2 6" xfId="39913" xr:uid="{00000000-0005-0000-0000-0000FD880000}"/>
    <cellStyle name="Percent 2 3 3 2 3" xfId="39914" xr:uid="{00000000-0005-0000-0000-0000FE880000}"/>
    <cellStyle name="Percent 2 3 3 2 3 2" xfId="39915" xr:uid="{00000000-0005-0000-0000-0000FF880000}"/>
    <cellStyle name="Percent 2 3 3 2 3 2 2" xfId="39916" xr:uid="{00000000-0005-0000-0000-000000890000}"/>
    <cellStyle name="Percent 2 3 3 2 3 3" xfId="39917" xr:uid="{00000000-0005-0000-0000-000001890000}"/>
    <cellStyle name="Percent 2 3 3 2 3 3 2" xfId="39918" xr:uid="{00000000-0005-0000-0000-000002890000}"/>
    <cellStyle name="Percent 2 3 3 2 3 4" xfId="39919" xr:uid="{00000000-0005-0000-0000-000003890000}"/>
    <cellStyle name="Percent 2 3 3 2 3 4 2" xfId="39920" xr:uid="{00000000-0005-0000-0000-000004890000}"/>
    <cellStyle name="Percent 2 3 3 2 3 5" xfId="39921" xr:uid="{00000000-0005-0000-0000-000005890000}"/>
    <cellStyle name="Percent 2 3 3 2 3 6" xfId="39922" xr:uid="{00000000-0005-0000-0000-000006890000}"/>
    <cellStyle name="Percent 2 3 3 2 4" xfId="39923" xr:uid="{00000000-0005-0000-0000-000007890000}"/>
    <cellStyle name="Percent 2 3 3 2 4 2" xfId="39924" xr:uid="{00000000-0005-0000-0000-000008890000}"/>
    <cellStyle name="Percent 2 3 3 2 4 2 2" xfId="39925" xr:uid="{00000000-0005-0000-0000-000009890000}"/>
    <cellStyle name="Percent 2 3 3 2 4 3" xfId="39926" xr:uid="{00000000-0005-0000-0000-00000A890000}"/>
    <cellStyle name="Percent 2 3 3 2 4 3 2" xfId="39927" xr:uid="{00000000-0005-0000-0000-00000B890000}"/>
    <cellStyle name="Percent 2 3 3 2 4 4" xfId="39928" xr:uid="{00000000-0005-0000-0000-00000C890000}"/>
    <cellStyle name="Percent 2 3 3 2 4 4 2" xfId="39929" xr:uid="{00000000-0005-0000-0000-00000D890000}"/>
    <cellStyle name="Percent 2 3 3 2 4 5" xfId="39930" xr:uid="{00000000-0005-0000-0000-00000E890000}"/>
    <cellStyle name="Percent 2 3 3 2 4 6" xfId="39931" xr:uid="{00000000-0005-0000-0000-00000F890000}"/>
    <cellStyle name="Percent 2 3 3 2 5" xfId="39932" xr:uid="{00000000-0005-0000-0000-000010890000}"/>
    <cellStyle name="Percent 2 3 3 2 5 2" xfId="39933" xr:uid="{00000000-0005-0000-0000-000011890000}"/>
    <cellStyle name="Percent 2 3 3 2 5 2 2" xfId="39934" xr:uid="{00000000-0005-0000-0000-000012890000}"/>
    <cellStyle name="Percent 2 3 3 2 5 3" xfId="39935" xr:uid="{00000000-0005-0000-0000-000013890000}"/>
    <cellStyle name="Percent 2 3 3 2 5 3 2" xfId="39936" xr:uid="{00000000-0005-0000-0000-000014890000}"/>
    <cellStyle name="Percent 2 3 3 2 5 4" xfId="39937" xr:uid="{00000000-0005-0000-0000-000015890000}"/>
    <cellStyle name="Percent 2 3 3 2 5 4 2" xfId="39938" xr:uid="{00000000-0005-0000-0000-000016890000}"/>
    <cellStyle name="Percent 2 3 3 2 5 5" xfId="39939" xr:uid="{00000000-0005-0000-0000-000017890000}"/>
    <cellStyle name="Percent 2 3 3 2 5 6" xfId="39940" xr:uid="{00000000-0005-0000-0000-000018890000}"/>
    <cellStyle name="Percent 2 3 3 2 6" xfId="39941" xr:uid="{00000000-0005-0000-0000-000019890000}"/>
    <cellStyle name="Percent 2 3 3 2 6 2" xfId="39942" xr:uid="{00000000-0005-0000-0000-00001A890000}"/>
    <cellStyle name="Percent 2 3 3 2 6 2 2" xfId="39943" xr:uid="{00000000-0005-0000-0000-00001B890000}"/>
    <cellStyle name="Percent 2 3 3 2 6 3" xfId="39944" xr:uid="{00000000-0005-0000-0000-00001C890000}"/>
    <cellStyle name="Percent 2 3 3 2 6 3 2" xfId="39945" xr:uid="{00000000-0005-0000-0000-00001D890000}"/>
    <cellStyle name="Percent 2 3 3 2 6 4" xfId="39946" xr:uid="{00000000-0005-0000-0000-00001E890000}"/>
    <cellStyle name="Percent 2 3 3 2 6 5" xfId="39947" xr:uid="{00000000-0005-0000-0000-00001F890000}"/>
    <cellStyle name="Percent 2 3 3 2 7" xfId="39948" xr:uid="{00000000-0005-0000-0000-000020890000}"/>
    <cellStyle name="Percent 2 3 3 2 7 2" xfId="39949" xr:uid="{00000000-0005-0000-0000-000021890000}"/>
    <cellStyle name="Percent 2 3 3 2 8" xfId="39950" xr:uid="{00000000-0005-0000-0000-000022890000}"/>
    <cellStyle name="Percent 2 3 3 2 8 2" xfId="39951" xr:uid="{00000000-0005-0000-0000-000023890000}"/>
    <cellStyle name="Percent 2 3 3 2 9" xfId="39952" xr:uid="{00000000-0005-0000-0000-000024890000}"/>
    <cellStyle name="Percent 2 3 3 2 9 2" xfId="39953" xr:uid="{00000000-0005-0000-0000-000025890000}"/>
    <cellStyle name="Percent 2 3 3 3" xfId="39954" xr:uid="{00000000-0005-0000-0000-000026890000}"/>
    <cellStyle name="Percent 2 3 3 3 10" xfId="39955" xr:uid="{00000000-0005-0000-0000-000027890000}"/>
    <cellStyle name="Percent 2 3 3 3 2" xfId="39956" xr:uid="{00000000-0005-0000-0000-000028890000}"/>
    <cellStyle name="Percent 2 3 3 3 2 2" xfId="39957" xr:uid="{00000000-0005-0000-0000-000029890000}"/>
    <cellStyle name="Percent 2 3 3 3 2 2 2" xfId="39958" xr:uid="{00000000-0005-0000-0000-00002A890000}"/>
    <cellStyle name="Percent 2 3 3 3 2 3" xfId="39959" xr:uid="{00000000-0005-0000-0000-00002B890000}"/>
    <cellStyle name="Percent 2 3 3 3 2 3 2" xfId="39960" xr:uid="{00000000-0005-0000-0000-00002C890000}"/>
    <cellStyle name="Percent 2 3 3 3 2 4" xfId="39961" xr:uid="{00000000-0005-0000-0000-00002D890000}"/>
    <cellStyle name="Percent 2 3 3 3 2 4 2" xfId="39962" xr:uid="{00000000-0005-0000-0000-00002E890000}"/>
    <cellStyle name="Percent 2 3 3 3 2 5" xfId="39963" xr:uid="{00000000-0005-0000-0000-00002F890000}"/>
    <cellStyle name="Percent 2 3 3 3 2 6" xfId="39964" xr:uid="{00000000-0005-0000-0000-000030890000}"/>
    <cellStyle name="Percent 2 3 3 3 3" xfId="39965" xr:uid="{00000000-0005-0000-0000-000031890000}"/>
    <cellStyle name="Percent 2 3 3 3 3 2" xfId="39966" xr:uid="{00000000-0005-0000-0000-000032890000}"/>
    <cellStyle name="Percent 2 3 3 3 3 2 2" xfId="39967" xr:uid="{00000000-0005-0000-0000-000033890000}"/>
    <cellStyle name="Percent 2 3 3 3 3 3" xfId="39968" xr:uid="{00000000-0005-0000-0000-000034890000}"/>
    <cellStyle name="Percent 2 3 3 3 3 3 2" xfId="39969" xr:uid="{00000000-0005-0000-0000-000035890000}"/>
    <cellStyle name="Percent 2 3 3 3 3 4" xfId="39970" xr:uid="{00000000-0005-0000-0000-000036890000}"/>
    <cellStyle name="Percent 2 3 3 3 3 4 2" xfId="39971" xr:uid="{00000000-0005-0000-0000-000037890000}"/>
    <cellStyle name="Percent 2 3 3 3 3 5" xfId="39972" xr:uid="{00000000-0005-0000-0000-000038890000}"/>
    <cellStyle name="Percent 2 3 3 3 3 6" xfId="39973" xr:uid="{00000000-0005-0000-0000-000039890000}"/>
    <cellStyle name="Percent 2 3 3 3 4" xfId="39974" xr:uid="{00000000-0005-0000-0000-00003A890000}"/>
    <cellStyle name="Percent 2 3 3 3 4 2" xfId="39975" xr:uid="{00000000-0005-0000-0000-00003B890000}"/>
    <cellStyle name="Percent 2 3 3 3 4 2 2" xfId="39976" xr:uid="{00000000-0005-0000-0000-00003C890000}"/>
    <cellStyle name="Percent 2 3 3 3 4 3" xfId="39977" xr:uid="{00000000-0005-0000-0000-00003D890000}"/>
    <cellStyle name="Percent 2 3 3 3 4 3 2" xfId="39978" xr:uid="{00000000-0005-0000-0000-00003E890000}"/>
    <cellStyle name="Percent 2 3 3 3 4 4" xfId="39979" xr:uid="{00000000-0005-0000-0000-00003F890000}"/>
    <cellStyle name="Percent 2 3 3 3 4 4 2" xfId="39980" xr:uid="{00000000-0005-0000-0000-000040890000}"/>
    <cellStyle name="Percent 2 3 3 3 4 5" xfId="39981" xr:uid="{00000000-0005-0000-0000-000041890000}"/>
    <cellStyle name="Percent 2 3 3 3 4 6" xfId="39982" xr:uid="{00000000-0005-0000-0000-000042890000}"/>
    <cellStyle name="Percent 2 3 3 3 5" xfId="39983" xr:uid="{00000000-0005-0000-0000-000043890000}"/>
    <cellStyle name="Percent 2 3 3 3 5 2" xfId="39984" xr:uid="{00000000-0005-0000-0000-000044890000}"/>
    <cellStyle name="Percent 2 3 3 3 5 2 2" xfId="39985" xr:uid="{00000000-0005-0000-0000-000045890000}"/>
    <cellStyle name="Percent 2 3 3 3 5 3" xfId="39986" xr:uid="{00000000-0005-0000-0000-000046890000}"/>
    <cellStyle name="Percent 2 3 3 3 5 3 2" xfId="39987" xr:uid="{00000000-0005-0000-0000-000047890000}"/>
    <cellStyle name="Percent 2 3 3 3 5 4" xfId="39988" xr:uid="{00000000-0005-0000-0000-000048890000}"/>
    <cellStyle name="Percent 2 3 3 3 5 5" xfId="39989" xr:uid="{00000000-0005-0000-0000-000049890000}"/>
    <cellStyle name="Percent 2 3 3 3 6" xfId="39990" xr:uid="{00000000-0005-0000-0000-00004A890000}"/>
    <cellStyle name="Percent 2 3 3 3 6 2" xfId="39991" xr:uid="{00000000-0005-0000-0000-00004B890000}"/>
    <cellStyle name="Percent 2 3 3 3 7" xfId="39992" xr:uid="{00000000-0005-0000-0000-00004C890000}"/>
    <cellStyle name="Percent 2 3 3 3 7 2" xfId="39993" xr:uid="{00000000-0005-0000-0000-00004D890000}"/>
    <cellStyle name="Percent 2 3 3 3 8" xfId="39994" xr:uid="{00000000-0005-0000-0000-00004E890000}"/>
    <cellStyle name="Percent 2 3 3 3 8 2" xfId="39995" xr:uid="{00000000-0005-0000-0000-00004F890000}"/>
    <cellStyle name="Percent 2 3 3 3 9" xfId="39996" xr:uid="{00000000-0005-0000-0000-000050890000}"/>
    <cellStyle name="Percent 2 3 3 4" xfId="39997" xr:uid="{00000000-0005-0000-0000-000051890000}"/>
    <cellStyle name="Percent 2 3 3 4 10" xfId="39998" xr:uid="{00000000-0005-0000-0000-000052890000}"/>
    <cellStyle name="Percent 2 3 3 4 2" xfId="39999" xr:uid="{00000000-0005-0000-0000-000053890000}"/>
    <cellStyle name="Percent 2 3 3 4 2 2" xfId="40000" xr:uid="{00000000-0005-0000-0000-000054890000}"/>
    <cellStyle name="Percent 2 3 3 4 2 2 2" xfId="40001" xr:uid="{00000000-0005-0000-0000-000055890000}"/>
    <cellStyle name="Percent 2 3 3 4 2 3" xfId="40002" xr:uid="{00000000-0005-0000-0000-000056890000}"/>
    <cellStyle name="Percent 2 3 3 4 2 3 2" xfId="40003" xr:uid="{00000000-0005-0000-0000-000057890000}"/>
    <cellStyle name="Percent 2 3 3 4 2 4" xfId="40004" xr:uid="{00000000-0005-0000-0000-000058890000}"/>
    <cellStyle name="Percent 2 3 3 4 2 4 2" xfId="40005" xr:uid="{00000000-0005-0000-0000-000059890000}"/>
    <cellStyle name="Percent 2 3 3 4 2 5" xfId="40006" xr:uid="{00000000-0005-0000-0000-00005A890000}"/>
    <cellStyle name="Percent 2 3 3 4 2 6" xfId="40007" xr:uid="{00000000-0005-0000-0000-00005B890000}"/>
    <cellStyle name="Percent 2 3 3 4 3" xfId="40008" xr:uid="{00000000-0005-0000-0000-00005C890000}"/>
    <cellStyle name="Percent 2 3 3 4 3 2" xfId="40009" xr:uid="{00000000-0005-0000-0000-00005D890000}"/>
    <cellStyle name="Percent 2 3 3 4 3 2 2" xfId="40010" xr:uid="{00000000-0005-0000-0000-00005E890000}"/>
    <cellStyle name="Percent 2 3 3 4 3 3" xfId="40011" xr:uid="{00000000-0005-0000-0000-00005F890000}"/>
    <cellStyle name="Percent 2 3 3 4 3 3 2" xfId="40012" xr:uid="{00000000-0005-0000-0000-000060890000}"/>
    <cellStyle name="Percent 2 3 3 4 3 4" xfId="40013" xr:uid="{00000000-0005-0000-0000-000061890000}"/>
    <cellStyle name="Percent 2 3 3 4 3 4 2" xfId="40014" xr:uid="{00000000-0005-0000-0000-000062890000}"/>
    <cellStyle name="Percent 2 3 3 4 3 5" xfId="40015" xr:uid="{00000000-0005-0000-0000-000063890000}"/>
    <cellStyle name="Percent 2 3 3 4 3 6" xfId="40016" xr:uid="{00000000-0005-0000-0000-000064890000}"/>
    <cellStyle name="Percent 2 3 3 4 4" xfId="40017" xr:uid="{00000000-0005-0000-0000-000065890000}"/>
    <cellStyle name="Percent 2 3 3 4 4 2" xfId="40018" xr:uid="{00000000-0005-0000-0000-000066890000}"/>
    <cellStyle name="Percent 2 3 3 4 4 2 2" xfId="40019" xr:uid="{00000000-0005-0000-0000-000067890000}"/>
    <cellStyle name="Percent 2 3 3 4 4 3" xfId="40020" xr:uid="{00000000-0005-0000-0000-000068890000}"/>
    <cellStyle name="Percent 2 3 3 4 4 3 2" xfId="40021" xr:uid="{00000000-0005-0000-0000-000069890000}"/>
    <cellStyle name="Percent 2 3 3 4 4 4" xfId="40022" xr:uid="{00000000-0005-0000-0000-00006A890000}"/>
    <cellStyle name="Percent 2 3 3 4 4 4 2" xfId="40023" xr:uid="{00000000-0005-0000-0000-00006B890000}"/>
    <cellStyle name="Percent 2 3 3 4 4 5" xfId="40024" xr:uid="{00000000-0005-0000-0000-00006C890000}"/>
    <cellStyle name="Percent 2 3 3 4 4 6" xfId="40025" xr:uid="{00000000-0005-0000-0000-00006D890000}"/>
    <cellStyle name="Percent 2 3 3 4 5" xfId="40026" xr:uid="{00000000-0005-0000-0000-00006E890000}"/>
    <cellStyle name="Percent 2 3 3 4 5 2" xfId="40027" xr:uid="{00000000-0005-0000-0000-00006F890000}"/>
    <cellStyle name="Percent 2 3 3 4 5 2 2" xfId="40028" xr:uid="{00000000-0005-0000-0000-000070890000}"/>
    <cellStyle name="Percent 2 3 3 4 5 3" xfId="40029" xr:uid="{00000000-0005-0000-0000-000071890000}"/>
    <cellStyle name="Percent 2 3 3 4 5 3 2" xfId="40030" xr:uid="{00000000-0005-0000-0000-000072890000}"/>
    <cellStyle name="Percent 2 3 3 4 5 4" xfId="40031" xr:uid="{00000000-0005-0000-0000-000073890000}"/>
    <cellStyle name="Percent 2 3 3 4 5 5" xfId="40032" xr:uid="{00000000-0005-0000-0000-000074890000}"/>
    <cellStyle name="Percent 2 3 3 4 6" xfId="40033" xr:uid="{00000000-0005-0000-0000-000075890000}"/>
    <cellStyle name="Percent 2 3 3 4 6 2" xfId="40034" xr:uid="{00000000-0005-0000-0000-000076890000}"/>
    <cellStyle name="Percent 2 3 3 4 7" xfId="40035" xr:uid="{00000000-0005-0000-0000-000077890000}"/>
    <cellStyle name="Percent 2 3 3 4 7 2" xfId="40036" xr:uid="{00000000-0005-0000-0000-000078890000}"/>
    <cellStyle name="Percent 2 3 3 4 8" xfId="40037" xr:uid="{00000000-0005-0000-0000-000079890000}"/>
    <cellStyle name="Percent 2 3 3 4 8 2" xfId="40038" xr:uid="{00000000-0005-0000-0000-00007A890000}"/>
    <cellStyle name="Percent 2 3 3 4 9" xfId="40039" xr:uid="{00000000-0005-0000-0000-00007B890000}"/>
    <cellStyle name="Percent 2 3 3 5" xfId="40040" xr:uid="{00000000-0005-0000-0000-00007C890000}"/>
    <cellStyle name="Percent 2 3 3 5 2" xfId="40041" xr:uid="{00000000-0005-0000-0000-00007D890000}"/>
    <cellStyle name="Percent 2 3 3 5 2 2" xfId="40042" xr:uid="{00000000-0005-0000-0000-00007E890000}"/>
    <cellStyle name="Percent 2 3 3 5 3" xfId="40043" xr:uid="{00000000-0005-0000-0000-00007F890000}"/>
    <cellStyle name="Percent 2 3 3 5 3 2" xfId="40044" xr:uid="{00000000-0005-0000-0000-000080890000}"/>
    <cellStyle name="Percent 2 3 3 5 4" xfId="40045" xr:uid="{00000000-0005-0000-0000-000081890000}"/>
    <cellStyle name="Percent 2 3 3 5 4 2" xfId="40046" xr:uid="{00000000-0005-0000-0000-000082890000}"/>
    <cellStyle name="Percent 2 3 3 5 5" xfId="40047" xr:uid="{00000000-0005-0000-0000-000083890000}"/>
    <cellStyle name="Percent 2 3 3 5 6" xfId="40048" xr:uid="{00000000-0005-0000-0000-000084890000}"/>
    <cellStyle name="Percent 2 3 3 6" xfId="40049" xr:uid="{00000000-0005-0000-0000-000085890000}"/>
    <cellStyle name="Percent 2 3 3 6 2" xfId="40050" xr:uid="{00000000-0005-0000-0000-000086890000}"/>
    <cellStyle name="Percent 2 3 3 6 2 2" xfId="40051" xr:uid="{00000000-0005-0000-0000-000087890000}"/>
    <cellStyle name="Percent 2 3 3 6 3" xfId="40052" xr:uid="{00000000-0005-0000-0000-000088890000}"/>
    <cellStyle name="Percent 2 3 3 6 3 2" xfId="40053" xr:uid="{00000000-0005-0000-0000-000089890000}"/>
    <cellStyle name="Percent 2 3 3 6 4" xfId="40054" xr:uid="{00000000-0005-0000-0000-00008A890000}"/>
    <cellStyle name="Percent 2 3 3 6 4 2" xfId="40055" xr:uid="{00000000-0005-0000-0000-00008B890000}"/>
    <cellStyle name="Percent 2 3 3 6 5" xfId="40056" xr:uid="{00000000-0005-0000-0000-00008C890000}"/>
    <cellStyle name="Percent 2 3 3 6 6" xfId="40057" xr:uid="{00000000-0005-0000-0000-00008D890000}"/>
    <cellStyle name="Percent 2 3 3 7" xfId="40058" xr:uid="{00000000-0005-0000-0000-00008E890000}"/>
    <cellStyle name="Percent 2 3 3 7 2" xfId="40059" xr:uid="{00000000-0005-0000-0000-00008F890000}"/>
    <cellStyle name="Percent 2 3 3 7 2 2" xfId="40060" xr:uid="{00000000-0005-0000-0000-000090890000}"/>
    <cellStyle name="Percent 2 3 3 7 3" xfId="40061" xr:uid="{00000000-0005-0000-0000-000091890000}"/>
    <cellStyle name="Percent 2 3 3 7 3 2" xfId="40062" xr:uid="{00000000-0005-0000-0000-000092890000}"/>
    <cellStyle name="Percent 2 3 3 7 4" xfId="40063" xr:uid="{00000000-0005-0000-0000-000093890000}"/>
    <cellStyle name="Percent 2 3 3 7 4 2" xfId="40064" xr:uid="{00000000-0005-0000-0000-000094890000}"/>
    <cellStyle name="Percent 2 3 3 7 5" xfId="40065" xr:uid="{00000000-0005-0000-0000-000095890000}"/>
    <cellStyle name="Percent 2 3 3 7 6" xfId="40066" xr:uid="{00000000-0005-0000-0000-000096890000}"/>
    <cellStyle name="Percent 2 3 3 8" xfId="40067" xr:uid="{00000000-0005-0000-0000-000097890000}"/>
    <cellStyle name="Percent 2 3 3 8 2" xfId="40068" xr:uid="{00000000-0005-0000-0000-000098890000}"/>
    <cellStyle name="Percent 2 3 3 8 2 2" xfId="40069" xr:uid="{00000000-0005-0000-0000-000099890000}"/>
    <cellStyle name="Percent 2 3 3 8 3" xfId="40070" xr:uid="{00000000-0005-0000-0000-00009A890000}"/>
    <cellStyle name="Percent 2 3 3 8 3 2" xfId="40071" xr:uid="{00000000-0005-0000-0000-00009B890000}"/>
    <cellStyle name="Percent 2 3 3 8 4" xfId="40072" xr:uid="{00000000-0005-0000-0000-00009C890000}"/>
    <cellStyle name="Percent 2 3 3 8 5" xfId="40073" xr:uid="{00000000-0005-0000-0000-00009D890000}"/>
    <cellStyle name="Percent 2 3 3 9" xfId="40074" xr:uid="{00000000-0005-0000-0000-00009E890000}"/>
    <cellStyle name="Percent 2 3 3 9 2" xfId="40075" xr:uid="{00000000-0005-0000-0000-00009F890000}"/>
    <cellStyle name="Percent 2 3 4" xfId="40076" xr:uid="{00000000-0005-0000-0000-0000A0890000}"/>
    <cellStyle name="Percent 2 3 4 10" xfId="40077" xr:uid="{00000000-0005-0000-0000-0000A1890000}"/>
    <cellStyle name="Percent 2 3 4 10 2" xfId="40078" xr:uid="{00000000-0005-0000-0000-0000A2890000}"/>
    <cellStyle name="Percent 2 3 4 11" xfId="40079" xr:uid="{00000000-0005-0000-0000-0000A3890000}"/>
    <cellStyle name="Percent 2 3 4 11 2" xfId="40080" xr:uid="{00000000-0005-0000-0000-0000A4890000}"/>
    <cellStyle name="Percent 2 3 4 12" xfId="40081" xr:uid="{00000000-0005-0000-0000-0000A5890000}"/>
    <cellStyle name="Percent 2 3 4 13" xfId="40082" xr:uid="{00000000-0005-0000-0000-0000A6890000}"/>
    <cellStyle name="Percent 2 3 4 2" xfId="40083" xr:uid="{00000000-0005-0000-0000-0000A7890000}"/>
    <cellStyle name="Percent 2 3 4 2 10" xfId="40084" xr:uid="{00000000-0005-0000-0000-0000A8890000}"/>
    <cellStyle name="Percent 2 3 4 2 11" xfId="40085" xr:uid="{00000000-0005-0000-0000-0000A9890000}"/>
    <cellStyle name="Percent 2 3 4 2 2" xfId="40086" xr:uid="{00000000-0005-0000-0000-0000AA890000}"/>
    <cellStyle name="Percent 2 3 4 2 2 2" xfId="40087" xr:uid="{00000000-0005-0000-0000-0000AB890000}"/>
    <cellStyle name="Percent 2 3 4 2 2 2 2" xfId="40088" xr:uid="{00000000-0005-0000-0000-0000AC890000}"/>
    <cellStyle name="Percent 2 3 4 2 2 3" xfId="40089" xr:uid="{00000000-0005-0000-0000-0000AD890000}"/>
    <cellStyle name="Percent 2 3 4 2 2 3 2" xfId="40090" xr:uid="{00000000-0005-0000-0000-0000AE890000}"/>
    <cellStyle name="Percent 2 3 4 2 2 4" xfId="40091" xr:uid="{00000000-0005-0000-0000-0000AF890000}"/>
    <cellStyle name="Percent 2 3 4 2 2 4 2" xfId="40092" xr:uid="{00000000-0005-0000-0000-0000B0890000}"/>
    <cellStyle name="Percent 2 3 4 2 2 5" xfId="40093" xr:uid="{00000000-0005-0000-0000-0000B1890000}"/>
    <cellStyle name="Percent 2 3 4 2 2 6" xfId="40094" xr:uid="{00000000-0005-0000-0000-0000B2890000}"/>
    <cellStyle name="Percent 2 3 4 2 3" xfId="40095" xr:uid="{00000000-0005-0000-0000-0000B3890000}"/>
    <cellStyle name="Percent 2 3 4 2 3 2" xfId="40096" xr:uid="{00000000-0005-0000-0000-0000B4890000}"/>
    <cellStyle name="Percent 2 3 4 2 3 2 2" xfId="40097" xr:uid="{00000000-0005-0000-0000-0000B5890000}"/>
    <cellStyle name="Percent 2 3 4 2 3 3" xfId="40098" xr:uid="{00000000-0005-0000-0000-0000B6890000}"/>
    <cellStyle name="Percent 2 3 4 2 3 3 2" xfId="40099" xr:uid="{00000000-0005-0000-0000-0000B7890000}"/>
    <cellStyle name="Percent 2 3 4 2 3 4" xfId="40100" xr:uid="{00000000-0005-0000-0000-0000B8890000}"/>
    <cellStyle name="Percent 2 3 4 2 3 4 2" xfId="40101" xr:uid="{00000000-0005-0000-0000-0000B9890000}"/>
    <cellStyle name="Percent 2 3 4 2 3 5" xfId="40102" xr:uid="{00000000-0005-0000-0000-0000BA890000}"/>
    <cellStyle name="Percent 2 3 4 2 3 6" xfId="40103" xr:uid="{00000000-0005-0000-0000-0000BB890000}"/>
    <cellStyle name="Percent 2 3 4 2 4" xfId="40104" xr:uid="{00000000-0005-0000-0000-0000BC890000}"/>
    <cellStyle name="Percent 2 3 4 2 4 2" xfId="40105" xr:uid="{00000000-0005-0000-0000-0000BD890000}"/>
    <cellStyle name="Percent 2 3 4 2 4 2 2" xfId="40106" xr:uid="{00000000-0005-0000-0000-0000BE890000}"/>
    <cellStyle name="Percent 2 3 4 2 4 3" xfId="40107" xr:uid="{00000000-0005-0000-0000-0000BF890000}"/>
    <cellStyle name="Percent 2 3 4 2 4 3 2" xfId="40108" xr:uid="{00000000-0005-0000-0000-0000C0890000}"/>
    <cellStyle name="Percent 2 3 4 2 4 4" xfId="40109" xr:uid="{00000000-0005-0000-0000-0000C1890000}"/>
    <cellStyle name="Percent 2 3 4 2 4 4 2" xfId="40110" xr:uid="{00000000-0005-0000-0000-0000C2890000}"/>
    <cellStyle name="Percent 2 3 4 2 4 5" xfId="40111" xr:uid="{00000000-0005-0000-0000-0000C3890000}"/>
    <cellStyle name="Percent 2 3 4 2 4 6" xfId="40112" xr:uid="{00000000-0005-0000-0000-0000C4890000}"/>
    <cellStyle name="Percent 2 3 4 2 5" xfId="40113" xr:uid="{00000000-0005-0000-0000-0000C5890000}"/>
    <cellStyle name="Percent 2 3 4 2 5 2" xfId="40114" xr:uid="{00000000-0005-0000-0000-0000C6890000}"/>
    <cellStyle name="Percent 2 3 4 2 5 2 2" xfId="40115" xr:uid="{00000000-0005-0000-0000-0000C7890000}"/>
    <cellStyle name="Percent 2 3 4 2 5 3" xfId="40116" xr:uid="{00000000-0005-0000-0000-0000C8890000}"/>
    <cellStyle name="Percent 2 3 4 2 5 3 2" xfId="40117" xr:uid="{00000000-0005-0000-0000-0000C9890000}"/>
    <cellStyle name="Percent 2 3 4 2 5 4" xfId="40118" xr:uid="{00000000-0005-0000-0000-0000CA890000}"/>
    <cellStyle name="Percent 2 3 4 2 5 4 2" xfId="40119" xr:uid="{00000000-0005-0000-0000-0000CB890000}"/>
    <cellStyle name="Percent 2 3 4 2 5 5" xfId="40120" xr:uid="{00000000-0005-0000-0000-0000CC890000}"/>
    <cellStyle name="Percent 2 3 4 2 5 6" xfId="40121" xr:uid="{00000000-0005-0000-0000-0000CD890000}"/>
    <cellStyle name="Percent 2 3 4 2 6" xfId="40122" xr:uid="{00000000-0005-0000-0000-0000CE890000}"/>
    <cellStyle name="Percent 2 3 4 2 6 2" xfId="40123" xr:uid="{00000000-0005-0000-0000-0000CF890000}"/>
    <cellStyle name="Percent 2 3 4 2 6 2 2" xfId="40124" xr:uid="{00000000-0005-0000-0000-0000D0890000}"/>
    <cellStyle name="Percent 2 3 4 2 6 3" xfId="40125" xr:uid="{00000000-0005-0000-0000-0000D1890000}"/>
    <cellStyle name="Percent 2 3 4 2 6 3 2" xfId="40126" xr:uid="{00000000-0005-0000-0000-0000D2890000}"/>
    <cellStyle name="Percent 2 3 4 2 6 4" xfId="40127" xr:uid="{00000000-0005-0000-0000-0000D3890000}"/>
    <cellStyle name="Percent 2 3 4 2 6 5" xfId="40128" xr:uid="{00000000-0005-0000-0000-0000D4890000}"/>
    <cellStyle name="Percent 2 3 4 2 7" xfId="40129" xr:uid="{00000000-0005-0000-0000-0000D5890000}"/>
    <cellStyle name="Percent 2 3 4 2 7 2" xfId="40130" xr:uid="{00000000-0005-0000-0000-0000D6890000}"/>
    <cellStyle name="Percent 2 3 4 2 8" xfId="40131" xr:uid="{00000000-0005-0000-0000-0000D7890000}"/>
    <cellStyle name="Percent 2 3 4 2 8 2" xfId="40132" xr:uid="{00000000-0005-0000-0000-0000D8890000}"/>
    <cellStyle name="Percent 2 3 4 2 9" xfId="40133" xr:uid="{00000000-0005-0000-0000-0000D9890000}"/>
    <cellStyle name="Percent 2 3 4 2 9 2" xfId="40134" xr:uid="{00000000-0005-0000-0000-0000DA890000}"/>
    <cellStyle name="Percent 2 3 4 3" xfId="40135" xr:uid="{00000000-0005-0000-0000-0000DB890000}"/>
    <cellStyle name="Percent 2 3 4 3 10" xfId="40136" xr:uid="{00000000-0005-0000-0000-0000DC890000}"/>
    <cellStyle name="Percent 2 3 4 3 2" xfId="40137" xr:uid="{00000000-0005-0000-0000-0000DD890000}"/>
    <cellStyle name="Percent 2 3 4 3 2 2" xfId="40138" xr:uid="{00000000-0005-0000-0000-0000DE890000}"/>
    <cellStyle name="Percent 2 3 4 3 2 2 2" xfId="40139" xr:uid="{00000000-0005-0000-0000-0000DF890000}"/>
    <cellStyle name="Percent 2 3 4 3 2 3" xfId="40140" xr:uid="{00000000-0005-0000-0000-0000E0890000}"/>
    <cellStyle name="Percent 2 3 4 3 2 3 2" xfId="40141" xr:uid="{00000000-0005-0000-0000-0000E1890000}"/>
    <cellStyle name="Percent 2 3 4 3 2 4" xfId="40142" xr:uid="{00000000-0005-0000-0000-0000E2890000}"/>
    <cellStyle name="Percent 2 3 4 3 2 4 2" xfId="40143" xr:uid="{00000000-0005-0000-0000-0000E3890000}"/>
    <cellStyle name="Percent 2 3 4 3 2 5" xfId="40144" xr:uid="{00000000-0005-0000-0000-0000E4890000}"/>
    <cellStyle name="Percent 2 3 4 3 2 6" xfId="40145" xr:uid="{00000000-0005-0000-0000-0000E5890000}"/>
    <cellStyle name="Percent 2 3 4 3 3" xfId="40146" xr:uid="{00000000-0005-0000-0000-0000E6890000}"/>
    <cellStyle name="Percent 2 3 4 3 3 2" xfId="40147" xr:uid="{00000000-0005-0000-0000-0000E7890000}"/>
    <cellStyle name="Percent 2 3 4 3 3 2 2" xfId="40148" xr:uid="{00000000-0005-0000-0000-0000E8890000}"/>
    <cellStyle name="Percent 2 3 4 3 3 3" xfId="40149" xr:uid="{00000000-0005-0000-0000-0000E9890000}"/>
    <cellStyle name="Percent 2 3 4 3 3 3 2" xfId="40150" xr:uid="{00000000-0005-0000-0000-0000EA890000}"/>
    <cellStyle name="Percent 2 3 4 3 3 4" xfId="40151" xr:uid="{00000000-0005-0000-0000-0000EB890000}"/>
    <cellStyle name="Percent 2 3 4 3 3 4 2" xfId="40152" xr:uid="{00000000-0005-0000-0000-0000EC890000}"/>
    <cellStyle name="Percent 2 3 4 3 3 5" xfId="40153" xr:uid="{00000000-0005-0000-0000-0000ED890000}"/>
    <cellStyle name="Percent 2 3 4 3 3 6" xfId="40154" xr:uid="{00000000-0005-0000-0000-0000EE890000}"/>
    <cellStyle name="Percent 2 3 4 3 4" xfId="40155" xr:uid="{00000000-0005-0000-0000-0000EF890000}"/>
    <cellStyle name="Percent 2 3 4 3 4 2" xfId="40156" xr:uid="{00000000-0005-0000-0000-0000F0890000}"/>
    <cellStyle name="Percent 2 3 4 3 4 2 2" xfId="40157" xr:uid="{00000000-0005-0000-0000-0000F1890000}"/>
    <cellStyle name="Percent 2 3 4 3 4 3" xfId="40158" xr:uid="{00000000-0005-0000-0000-0000F2890000}"/>
    <cellStyle name="Percent 2 3 4 3 4 3 2" xfId="40159" xr:uid="{00000000-0005-0000-0000-0000F3890000}"/>
    <cellStyle name="Percent 2 3 4 3 4 4" xfId="40160" xr:uid="{00000000-0005-0000-0000-0000F4890000}"/>
    <cellStyle name="Percent 2 3 4 3 4 4 2" xfId="40161" xr:uid="{00000000-0005-0000-0000-0000F5890000}"/>
    <cellStyle name="Percent 2 3 4 3 4 5" xfId="40162" xr:uid="{00000000-0005-0000-0000-0000F6890000}"/>
    <cellStyle name="Percent 2 3 4 3 4 6" xfId="40163" xr:uid="{00000000-0005-0000-0000-0000F7890000}"/>
    <cellStyle name="Percent 2 3 4 3 5" xfId="40164" xr:uid="{00000000-0005-0000-0000-0000F8890000}"/>
    <cellStyle name="Percent 2 3 4 3 5 2" xfId="40165" xr:uid="{00000000-0005-0000-0000-0000F9890000}"/>
    <cellStyle name="Percent 2 3 4 3 5 2 2" xfId="40166" xr:uid="{00000000-0005-0000-0000-0000FA890000}"/>
    <cellStyle name="Percent 2 3 4 3 5 3" xfId="40167" xr:uid="{00000000-0005-0000-0000-0000FB890000}"/>
    <cellStyle name="Percent 2 3 4 3 5 3 2" xfId="40168" xr:uid="{00000000-0005-0000-0000-0000FC890000}"/>
    <cellStyle name="Percent 2 3 4 3 5 4" xfId="40169" xr:uid="{00000000-0005-0000-0000-0000FD890000}"/>
    <cellStyle name="Percent 2 3 4 3 5 5" xfId="40170" xr:uid="{00000000-0005-0000-0000-0000FE890000}"/>
    <cellStyle name="Percent 2 3 4 3 6" xfId="40171" xr:uid="{00000000-0005-0000-0000-0000FF890000}"/>
    <cellStyle name="Percent 2 3 4 3 6 2" xfId="40172" xr:uid="{00000000-0005-0000-0000-0000008A0000}"/>
    <cellStyle name="Percent 2 3 4 3 7" xfId="40173" xr:uid="{00000000-0005-0000-0000-0000018A0000}"/>
    <cellStyle name="Percent 2 3 4 3 7 2" xfId="40174" xr:uid="{00000000-0005-0000-0000-0000028A0000}"/>
    <cellStyle name="Percent 2 3 4 3 8" xfId="40175" xr:uid="{00000000-0005-0000-0000-0000038A0000}"/>
    <cellStyle name="Percent 2 3 4 3 8 2" xfId="40176" xr:uid="{00000000-0005-0000-0000-0000048A0000}"/>
    <cellStyle name="Percent 2 3 4 3 9" xfId="40177" xr:uid="{00000000-0005-0000-0000-0000058A0000}"/>
    <cellStyle name="Percent 2 3 4 4" xfId="40178" xr:uid="{00000000-0005-0000-0000-0000068A0000}"/>
    <cellStyle name="Percent 2 3 4 4 10" xfId="40179" xr:uid="{00000000-0005-0000-0000-0000078A0000}"/>
    <cellStyle name="Percent 2 3 4 4 2" xfId="40180" xr:uid="{00000000-0005-0000-0000-0000088A0000}"/>
    <cellStyle name="Percent 2 3 4 4 2 2" xfId="40181" xr:uid="{00000000-0005-0000-0000-0000098A0000}"/>
    <cellStyle name="Percent 2 3 4 4 2 2 2" xfId="40182" xr:uid="{00000000-0005-0000-0000-00000A8A0000}"/>
    <cellStyle name="Percent 2 3 4 4 2 3" xfId="40183" xr:uid="{00000000-0005-0000-0000-00000B8A0000}"/>
    <cellStyle name="Percent 2 3 4 4 2 3 2" xfId="40184" xr:uid="{00000000-0005-0000-0000-00000C8A0000}"/>
    <cellStyle name="Percent 2 3 4 4 2 4" xfId="40185" xr:uid="{00000000-0005-0000-0000-00000D8A0000}"/>
    <cellStyle name="Percent 2 3 4 4 2 4 2" xfId="40186" xr:uid="{00000000-0005-0000-0000-00000E8A0000}"/>
    <cellStyle name="Percent 2 3 4 4 2 5" xfId="40187" xr:uid="{00000000-0005-0000-0000-00000F8A0000}"/>
    <cellStyle name="Percent 2 3 4 4 2 6" xfId="40188" xr:uid="{00000000-0005-0000-0000-0000108A0000}"/>
    <cellStyle name="Percent 2 3 4 4 3" xfId="40189" xr:uid="{00000000-0005-0000-0000-0000118A0000}"/>
    <cellStyle name="Percent 2 3 4 4 3 2" xfId="40190" xr:uid="{00000000-0005-0000-0000-0000128A0000}"/>
    <cellStyle name="Percent 2 3 4 4 3 2 2" xfId="40191" xr:uid="{00000000-0005-0000-0000-0000138A0000}"/>
    <cellStyle name="Percent 2 3 4 4 3 3" xfId="40192" xr:uid="{00000000-0005-0000-0000-0000148A0000}"/>
    <cellStyle name="Percent 2 3 4 4 3 3 2" xfId="40193" xr:uid="{00000000-0005-0000-0000-0000158A0000}"/>
    <cellStyle name="Percent 2 3 4 4 3 4" xfId="40194" xr:uid="{00000000-0005-0000-0000-0000168A0000}"/>
    <cellStyle name="Percent 2 3 4 4 3 4 2" xfId="40195" xr:uid="{00000000-0005-0000-0000-0000178A0000}"/>
    <cellStyle name="Percent 2 3 4 4 3 5" xfId="40196" xr:uid="{00000000-0005-0000-0000-0000188A0000}"/>
    <cellStyle name="Percent 2 3 4 4 3 6" xfId="40197" xr:uid="{00000000-0005-0000-0000-0000198A0000}"/>
    <cellStyle name="Percent 2 3 4 4 4" xfId="40198" xr:uid="{00000000-0005-0000-0000-00001A8A0000}"/>
    <cellStyle name="Percent 2 3 4 4 4 2" xfId="40199" xr:uid="{00000000-0005-0000-0000-00001B8A0000}"/>
    <cellStyle name="Percent 2 3 4 4 4 2 2" xfId="40200" xr:uid="{00000000-0005-0000-0000-00001C8A0000}"/>
    <cellStyle name="Percent 2 3 4 4 4 3" xfId="40201" xr:uid="{00000000-0005-0000-0000-00001D8A0000}"/>
    <cellStyle name="Percent 2 3 4 4 4 3 2" xfId="40202" xr:uid="{00000000-0005-0000-0000-00001E8A0000}"/>
    <cellStyle name="Percent 2 3 4 4 4 4" xfId="40203" xr:uid="{00000000-0005-0000-0000-00001F8A0000}"/>
    <cellStyle name="Percent 2 3 4 4 4 4 2" xfId="40204" xr:uid="{00000000-0005-0000-0000-0000208A0000}"/>
    <cellStyle name="Percent 2 3 4 4 4 5" xfId="40205" xr:uid="{00000000-0005-0000-0000-0000218A0000}"/>
    <cellStyle name="Percent 2 3 4 4 4 6" xfId="40206" xr:uid="{00000000-0005-0000-0000-0000228A0000}"/>
    <cellStyle name="Percent 2 3 4 4 5" xfId="40207" xr:uid="{00000000-0005-0000-0000-0000238A0000}"/>
    <cellStyle name="Percent 2 3 4 4 5 2" xfId="40208" xr:uid="{00000000-0005-0000-0000-0000248A0000}"/>
    <cellStyle name="Percent 2 3 4 4 5 2 2" xfId="40209" xr:uid="{00000000-0005-0000-0000-0000258A0000}"/>
    <cellStyle name="Percent 2 3 4 4 5 3" xfId="40210" xr:uid="{00000000-0005-0000-0000-0000268A0000}"/>
    <cellStyle name="Percent 2 3 4 4 5 3 2" xfId="40211" xr:uid="{00000000-0005-0000-0000-0000278A0000}"/>
    <cellStyle name="Percent 2 3 4 4 5 4" xfId="40212" xr:uid="{00000000-0005-0000-0000-0000288A0000}"/>
    <cellStyle name="Percent 2 3 4 4 5 5" xfId="40213" xr:uid="{00000000-0005-0000-0000-0000298A0000}"/>
    <cellStyle name="Percent 2 3 4 4 6" xfId="40214" xr:uid="{00000000-0005-0000-0000-00002A8A0000}"/>
    <cellStyle name="Percent 2 3 4 4 6 2" xfId="40215" xr:uid="{00000000-0005-0000-0000-00002B8A0000}"/>
    <cellStyle name="Percent 2 3 4 4 7" xfId="40216" xr:uid="{00000000-0005-0000-0000-00002C8A0000}"/>
    <cellStyle name="Percent 2 3 4 4 7 2" xfId="40217" xr:uid="{00000000-0005-0000-0000-00002D8A0000}"/>
    <cellStyle name="Percent 2 3 4 4 8" xfId="40218" xr:uid="{00000000-0005-0000-0000-00002E8A0000}"/>
    <cellStyle name="Percent 2 3 4 4 8 2" xfId="40219" xr:uid="{00000000-0005-0000-0000-00002F8A0000}"/>
    <cellStyle name="Percent 2 3 4 4 9" xfId="40220" xr:uid="{00000000-0005-0000-0000-0000308A0000}"/>
    <cellStyle name="Percent 2 3 4 5" xfId="40221" xr:uid="{00000000-0005-0000-0000-0000318A0000}"/>
    <cellStyle name="Percent 2 3 4 5 2" xfId="40222" xr:uid="{00000000-0005-0000-0000-0000328A0000}"/>
    <cellStyle name="Percent 2 3 4 5 2 2" xfId="40223" xr:uid="{00000000-0005-0000-0000-0000338A0000}"/>
    <cellStyle name="Percent 2 3 4 5 3" xfId="40224" xr:uid="{00000000-0005-0000-0000-0000348A0000}"/>
    <cellStyle name="Percent 2 3 4 5 3 2" xfId="40225" xr:uid="{00000000-0005-0000-0000-0000358A0000}"/>
    <cellStyle name="Percent 2 3 4 5 4" xfId="40226" xr:uid="{00000000-0005-0000-0000-0000368A0000}"/>
    <cellStyle name="Percent 2 3 4 5 4 2" xfId="40227" xr:uid="{00000000-0005-0000-0000-0000378A0000}"/>
    <cellStyle name="Percent 2 3 4 5 5" xfId="40228" xr:uid="{00000000-0005-0000-0000-0000388A0000}"/>
    <cellStyle name="Percent 2 3 4 5 6" xfId="40229" xr:uid="{00000000-0005-0000-0000-0000398A0000}"/>
    <cellStyle name="Percent 2 3 4 6" xfId="40230" xr:uid="{00000000-0005-0000-0000-00003A8A0000}"/>
    <cellStyle name="Percent 2 3 4 6 2" xfId="40231" xr:uid="{00000000-0005-0000-0000-00003B8A0000}"/>
    <cellStyle name="Percent 2 3 4 6 2 2" xfId="40232" xr:uid="{00000000-0005-0000-0000-00003C8A0000}"/>
    <cellStyle name="Percent 2 3 4 6 3" xfId="40233" xr:uid="{00000000-0005-0000-0000-00003D8A0000}"/>
    <cellStyle name="Percent 2 3 4 6 3 2" xfId="40234" xr:uid="{00000000-0005-0000-0000-00003E8A0000}"/>
    <cellStyle name="Percent 2 3 4 6 4" xfId="40235" xr:uid="{00000000-0005-0000-0000-00003F8A0000}"/>
    <cellStyle name="Percent 2 3 4 6 4 2" xfId="40236" xr:uid="{00000000-0005-0000-0000-0000408A0000}"/>
    <cellStyle name="Percent 2 3 4 6 5" xfId="40237" xr:uid="{00000000-0005-0000-0000-0000418A0000}"/>
    <cellStyle name="Percent 2 3 4 6 6" xfId="40238" xr:uid="{00000000-0005-0000-0000-0000428A0000}"/>
    <cellStyle name="Percent 2 3 4 7" xfId="40239" xr:uid="{00000000-0005-0000-0000-0000438A0000}"/>
    <cellStyle name="Percent 2 3 4 7 2" xfId="40240" xr:uid="{00000000-0005-0000-0000-0000448A0000}"/>
    <cellStyle name="Percent 2 3 4 7 2 2" xfId="40241" xr:uid="{00000000-0005-0000-0000-0000458A0000}"/>
    <cellStyle name="Percent 2 3 4 7 3" xfId="40242" xr:uid="{00000000-0005-0000-0000-0000468A0000}"/>
    <cellStyle name="Percent 2 3 4 7 3 2" xfId="40243" xr:uid="{00000000-0005-0000-0000-0000478A0000}"/>
    <cellStyle name="Percent 2 3 4 7 4" xfId="40244" xr:uid="{00000000-0005-0000-0000-0000488A0000}"/>
    <cellStyle name="Percent 2 3 4 7 4 2" xfId="40245" xr:uid="{00000000-0005-0000-0000-0000498A0000}"/>
    <cellStyle name="Percent 2 3 4 7 5" xfId="40246" xr:uid="{00000000-0005-0000-0000-00004A8A0000}"/>
    <cellStyle name="Percent 2 3 4 7 6" xfId="40247" xr:uid="{00000000-0005-0000-0000-00004B8A0000}"/>
    <cellStyle name="Percent 2 3 4 8" xfId="40248" xr:uid="{00000000-0005-0000-0000-00004C8A0000}"/>
    <cellStyle name="Percent 2 3 4 8 2" xfId="40249" xr:uid="{00000000-0005-0000-0000-00004D8A0000}"/>
    <cellStyle name="Percent 2 3 4 8 2 2" xfId="40250" xr:uid="{00000000-0005-0000-0000-00004E8A0000}"/>
    <cellStyle name="Percent 2 3 4 8 3" xfId="40251" xr:uid="{00000000-0005-0000-0000-00004F8A0000}"/>
    <cellStyle name="Percent 2 3 4 8 3 2" xfId="40252" xr:uid="{00000000-0005-0000-0000-0000508A0000}"/>
    <cellStyle name="Percent 2 3 4 8 4" xfId="40253" xr:uid="{00000000-0005-0000-0000-0000518A0000}"/>
    <cellStyle name="Percent 2 3 4 8 5" xfId="40254" xr:uid="{00000000-0005-0000-0000-0000528A0000}"/>
    <cellStyle name="Percent 2 3 4 9" xfId="40255" xr:uid="{00000000-0005-0000-0000-0000538A0000}"/>
    <cellStyle name="Percent 2 3 4 9 2" xfId="40256" xr:uid="{00000000-0005-0000-0000-0000548A0000}"/>
    <cellStyle name="Percent 2 3 5" xfId="40257" xr:uid="{00000000-0005-0000-0000-0000558A0000}"/>
    <cellStyle name="Percent 2 3 5 10" xfId="40258" xr:uid="{00000000-0005-0000-0000-0000568A0000}"/>
    <cellStyle name="Percent 2 3 5 10 2" xfId="40259" xr:uid="{00000000-0005-0000-0000-0000578A0000}"/>
    <cellStyle name="Percent 2 3 5 11" xfId="40260" xr:uid="{00000000-0005-0000-0000-0000588A0000}"/>
    <cellStyle name="Percent 2 3 5 12" xfId="40261" xr:uid="{00000000-0005-0000-0000-0000598A0000}"/>
    <cellStyle name="Percent 2 3 5 2" xfId="40262" xr:uid="{00000000-0005-0000-0000-00005A8A0000}"/>
    <cellStyle name="Percent 2 3 5 2 10" xfId="40263" xr:uid="{00000000-0005-0000-0000-00005B8A0000}"/>
    <cellStyle name="Percent 2 3 5 2 2" xfId="40264" xr:uid="{00000000-0005-0000-0000-00005C8A0000}"/>
    <cellStyle name="Percent 2 3 5 2 2 2" xfId="40265" xr:uid="{00000000-0005-0000-0000-00005D8A0000}"/>
    <cellStyle name="Percent 2 3 5 2 2 2 2" xfId="40266" xr:uid="{00000000-0005-0000-0000-00005E8A0000}"/>
    <cellStyle name="Percent 2 3 5 2 2 3" xfId="40267" xr:uid="{00000000-0005-0000-0000-00005F8A0000}"/>
    <cellStyle name="Percent 2 3 5 2 2 3 2" xfId="40268" xr:uid="{00000000-0005-0000-0000-0000608A0000}"/>
    <cellStyle name="Percent 2 3 5 2 2 4" xfId="40269" xr:uid="{00000000-0005-0000-0000-0000618A0000}"/>
    <cellStyle name="Percent 2 3 5 2 2 4 2" xfId="40270" xr:uid="{00000000-0005-0000-0000-0000628A0000}"/>
    <cellStyle name="Percent 2 3 5 2 2 5" xfId="40271" xr:uid="{00000000-0005-0000-0000-0000638A0000}"/>
    <cellStyle name="Percent 2 3 5 2 2 6" xfId="40272" xr:uid="{00000000-0005-0000-0000-0000648A0000}"/>
    <cellStyle name="Percent 2 3 5 2 3" xfId="40273" xr:uid="{00000000-0005-0000-0000-0000658A0000}"/>
    <cellStyle name="Percent 2 3 5 2 3 2" xfId="40274" xr:uid="{00000000-0005-0000-0000-0000668A0000}"/>
    <cellStyle name="Percent 2 3 5 2 3 2 2" xfId="40275" xr:uid="{00000000-0005-0000-0000-0000678A0000}"/>
    <cellStyle name="Percent 2 3 5 2 3 3" xfId="40276" xr:uid="{00000000-0005-0000-0000-0000688A0000}"/>
    <cellStyle name="Percent 2 3 5 2 3 3 2" xfId="40277" xr:uid="{00000000-0005-0000-0000-0000698A0000}"/>
    <cellStyle name="Percent 2 3 5 2 3 4" xfId="40278" xr:uid="{00000000-0005-0000-0000-00006A8A0000}"/>
    <cellStyle name="Percent 2 3 5 2 3 4 2" xfId="40279" xr:uid="{00000000-0005-0000-0000-00006B8A0000}"/>
    <cellStyle name="Percent 2 3 5 2 3 5" xfId="40280" xr:uid="{00000000-0005-0000-0000-00006C8A0000}"/>
    <cellStyle name="Percent 2 3 5 2 3 6" xfId="40281" xr:uid="{00000000-0005-0000-0000-00006D8A0000}"/>
    <cellStyle name="Percent 2 3 5 2 4" xfId="40282" xr:uid="{00000000-0005-0000-0000-00006E8A0000}"/>
    <cellStyle name="Percent 2 3 5 2 4 2" xfId="40283" xr:uid="{00000000-0005-0000-0000-00006F8A0000}"/>
    <cellStyle name="Percent 2 3 5 2 4 2 2" xfId="40284" xr:uid="{00000000-0005-0000-0000-0000708A0000}"/>
    <cellStyle name="Percent 2 3 5 2 4 3" xfId="40285" xr:uid="{00000000-0005-0000-0000-0000718A0000}"/>
    <cellStyle name="Percent 2 3 5 2 4 3 2" xfId="40286" xr:uid="{00000000-0005-0000-0000-0000728A0000}"/>
    <cellStyle name="Percent 2 3 5 2 4 4" xfId="40287" xr:uid="{00000000-0005-0000-0000-0000738A0000}"/>
    <cellStyle name="Percent 2 3 5 2 4 4 2" xfId="40288" xr:uid="{00000000-0005-0000-0000-0000748A0000}"/>
    <cellStyle name="Percent 2 3 5 2 4 5" xfId="40289" xr:uid="{00000000-0005-0000-0000-0000758A0000}"/>
    <cellStyle name="Percent 2 3 5 2 4 6" xfId="40290" xr:uid="{00000000-0005-0000-0000-0000768A0000}"/>
    <cellStyle name="Percent 2 3 5 2 5" xfId="40291" xr:uid="{00000000-0005-0000-0000-0000778A0000}"/>
    <cellStyle name="Percent 2 3 5 2 5 2" xfId="40292" xr:uid="{00000000-0005-0000-0000-0000788A0000}"/>
    <cellStyle name="Percent 2 3 5 2 5 2 2" xfId="40293" xr:uid="{00000000-0005-0000-0000-0000798A0000}"/>
    <cellStyle name="Percent 2 3 5 2 5 3" xfId="40294" xr:uid="{00000000-0005-0000-0000-00007A8A0000}"/>
    <cellStyle name="Percent 2 3 5 2 5 3 2" xfId="40295" xr:uid="{00000000-0005-0000-0000-00007B8A0000}"/>
    <cellStyle name="Percent 2 3 5 2 5 4" xfId="40296" xr:uid="{00000000-0005-0000-0000-00007C8A0000}"/>
    <cellStyle name="Percent 2 3 5 2 5 5" xfId="40297" xr:uid="{00000000-0005-0000-0000-00007D8A0000}"/>
    <cellStyle name="Percent 2 3 5 2 6" xfId="40298" xr:uid="{00000000-0005-0000-0000-00007E8A0000}"/>
    <cellStyle name="Percent 2 3 5 2 6 2" xfId="40299" xr:uid="{00000000-0005-0000-0000-00007F8A0000}"/>
    <cellStyle name="Percent 2 3 5 2 7" xfId="40300" xr:uid="{00000000-0005-0000-0000-0000808A0000}"/>
    <cellStyle name="Percent 2 3 5 2 7 2" xfId="40301" xr:uid="{00000000-0005-0000-0000-0000818A0000}"/>
    <cellStyle name="Percent 2 3 5 2 8" xfId="40302" xr:uid="{00000000-0005-0000-0000-0000828A0000}"/>
    <cellStyle name="Percent 2 3 5 2 8 2" xfId="40303" xr:uid="{00000000-0005-0000-0000-0000838A0000}"/>
    <cellStyle name="Percent 2 3 5 2 9" xfId="40304" xr:uid="{00000000-0005-0000-0000-0000848A0000}"/>
    <cellStyle name="Percent 2 3 5 3" xfId="40305" xr:uid="{00000000-0005-0000-0000-0000858A0000}"/>
    <cellStyle name="Percent 2 3 5 3 10" xfId="40306" xr:uid="{00000000-0005-0000-0000-0000868A0000}"/>
    <cellStyle name="Percent 2 3 5 3 2" xfId="40307" xr:uid="{00000000-0005-0000-0000-0000878A0000}"/>
    <cellStyle name="Percent 2 3 5 3 2 2" xfId="40308" xr:uid="{00000000-0005-0000-0000-0000888A0000}"/>
    <cellStyle name="Percent 2 3 5 3 2 2 2" xfId="40309" xr:uid="{00000000-0005-0000-0000-0000898A0000}"/>
    <cellStyle name="Percent 2 3 5 3 2 3" xfId="40310" xr:uid="{00000000-0005-0000-0000-00008A8A0000}"/>
    <cellStyle name="Percent 2 3 5 3 2 3 2" xfId="40311" xr:uid="{00000000-0005-0000-0000-00008B8A0000}"/>
    <cellStyle name="Percent 2 3 5 3 2 4" xfId="40312" xr:uid="{00000000-0005-0000-0000-00008C8A0000}"/>
    <cellStyle name="Percent 2 3 5 3 2 4 2" xfId="40313" xr:uid="{00000000-0005-0000-0000-00008D8A0000}"/>
    <cellStyle name="Percent 2 3 5 3 2 5" xfId="40314" xr:uid="{00000000-0005-0000-0000-00008E8A0000}"/>
    <cellStyle name="Percent 2 3 5 3 2 6" xfId="40315" xr:uid="{00000000-0005-0000-0000-00008F8A0000}"/>
    <cellStyle name="Percent 2 3 5 3 3" xfId="40316" xr:uid="{00000000-0005-0000-0000-0000908A0000}"/>
    <cellStyle name="Percent 2 3 5 3 3 2" xfId="40317" xr:uid="{00000000-0005-0000-0000-0000918A0000}"/>
    <cellStyle name="Percent 2 3 5 3 3 2 2" xfId="40318" xr:uid="{00000000-0005-0000-0000-0000928A0000}"/>
    <cellStyle name="Percent 2 3 5 3 3 3" xfId="40319" xr:uid="{00000000-0005-0000-0000-0000938A0000}"/>
    <cellStyle name="Percent 2 3 5 3 3 3 2" xfId="40320" xr:uid="{00000000-0005-0000-0000-0000948A0000}"/>
    <cellStyle name="Percent 2 3 5 3 3 4" xfId="40321" xr:uid="{00000000-0005-0000-0000-0000958A0000}"/>
    <cellStyle name="Percent 2 3 5 3 3 4 2" xfId="40322" xr:uid="{00000000-0005-0000-0000-0000968A0000}"/>
    <cellStyle name="Percent 2 3 5 3 3 5" xfId="40323" xr:uid="{00000000-0005-0000-0000-0000978A0000}"/>
    <cellStyle name="Percent 2 3 5 3 3 6" xfId="40324" xr:uid="{00000000-0005-0000-0000-0000988A0000}"/>
    <cellStyle name="Percent 2 3 5 3 4" xfId="40325" xr:uid="{00000000-0005-0000-0000-0000998A0000}"/>
    <cellStyle name="Percent 2 3 5 3 4 2" xfId="40326" xr:uid="{00000000-0005-0000-0000-00009A8A0000}"/>
    <cellStyle name="Percent 2 3 5 3 4 2 2" xfId="40327" xr:uid="{00000000-0005-0000-0000-00009B8A0000}"/>
    <cellStyle name="Percent 2 3 5 3 4 3" xfId="40328" xr:uid="{00000000-0005-0000-0000-00009C8A0000}"/>
    <cellStyle name="Percent 2 3 5 3 4 3 2" xfId="40329" xr:uid="{00000000-0005-0000-0000-00009D8A0000}"/>
    <cellStyle name="Percent 2 3 5 3 4 4" xfId="40330" xr:uid="{00000000-0005-0000-0000-00009E8A0000}"/>
    <cellStyle name="Percent 2 3 5 3 4 4 2" xfId="40331" xr:uid="{00000000-0005-0000-0000-00009F8A0000}"/>
    <cellStyle name="Percent 2 3 5 3 4 5" xfId="40332" xr:uid="{00000000-0005-0000-0000-0000A08A0000}"/>
    <cellStyle name="Percent 2 3 5 3 4 6" xfId="40333" xr:uid="{00000000-0005-0000-0000-0000A18A0000}"/>
    <cellStyle name="Percent 2 3 5 3 5" xfId="40334" xr:uid="{00000000-0005-0000-0000-0000A28A0000}"/>
    <cellStyle name="Percent 2 3 5 3 5 2" xfId="40335" xr:uid="{00000000-0005-0000-0000-0000A38A0000}"/>
    <cellStyle name="Percent 2 3 5 3 5 2 2" xfId="40336" xr:uid="{00000000-0005-0000-0000-0000A48A0000}"/>
    <cellStyle name="Percent 2 3 5 3 5 3" xfId="40337" xr:uid="{00000000-0005-0000-0000-0000A58A0000}"/>
    <cellStyle name="Percent 2 3 5 3 5 3 2" xfId="40338" xr:uid="{00000000-0005-0000-0000-0000A68A0000}"/>
    <cellStyle name="Percent 2 3 5 3 5 4" xfId="40339" xr:uid="{00000000-0005-0000-0000-0000A78A0000}"/>
    <cellStyle name="Percent 2 3 5 3 5 5" xfId="40340" xr:uid="{00000000-0005-0000-0000-0000A88A0000}"/>
    <cellStyle name="Percent 2 3 5 3 6" xfId="40341" xr:uid="{00000000-0005-0000-0000-0000A98A0000}"/>
    <cellStyle name="Percent 2 3 5 3 6 2" xfId="40342" xr:uid="{00000000-0005-0000-0000-0000AA8A0000}"/>
    <cellStyle name="Percent 2 3 5 3 7" xfId="40343" xr:uid="{00000000-0005-0000-0000-0000AB8A0000}"/>
    <cellStyle name="Percent 2 3 5 3 7 2" xfId="40344" xr:uid="{00000000-0005-0000-0000-0000AC8A0000}"/>
    <cellStyle name="Percent 2 3 5 3 8" xfId="40345" xr:uid="{00000000-0005-0000-0000-0000AD8A0000}"/>
    <cellStyle name="Percent 2 3 5 3 8 2" xfId="40346" xr:uid="{00000000-0005-0000-0000-0000AE8A0000}"/>
    <cellStyle name="Percent 2 3 5 3 9" xfId="40347" xr:uid="{00000000-0005-0000-0000-0000AF8A0000}"/>
    <cellStyle name="Percent 2 3 5 4" xfId="40348" xr:uid="{00000000-0005-0000-0000-0000B08A0000}"/>
    <cellStyle name="Percent 2 3 5 4 2" xfId="40349" xr:uid="{00000000-0005-0000-0000-0000B18A0000}"/>
    <cellStyle name="Percent 2 3 5 4 2 2" xfId="40350" xr:uid="{00000000-0005-0000-0000-0000B28A0000}"/>
    <cellStyle name="Percent 2 3 5 4 3" xfId="40351" xr:uid="{00000000-0005-0000-0000-0000B38A0000}"/>
    <cellStyle name="Percent 2 3 5 4 3 2" xfId="40352" xr:uid="{00000000-0005-0000-0000-0000B48A0000}"/>
    <cellStyle name="Percent 2 3 5 4 4" xfId="40353" xr:uid="{00000000-0005-0000-0000-0000B58A0000}"/>
    <cellStyle name="Percent 2 3 5 4 4 2" xfId="40354" xr:uid="{00000000-0005-0000-0000-0000B68A0000}"/>
    <cellStyle name="Percent 2 3 5 4 5" xfId="40355" xr:uid="{00000000-0005-0000-0000-0000B78A0000}"/>
    <cellStyle name="Percent 2 3 5 4 6" xfId="40356" xr:uid="{00000000-0005-0000-0000-0000B88A0000}"/>
    <cellStyle name="Percent 2 3 5 5" xfId="40357" xr:uid="{00000000-0005-0000-0000-0000B98A0000}"/>
    <cellStyle name="Percent 2 3 5 5 2" xfId="40358" xr:uid="{00000000-0005-0000-0000-0000BA8A0000}"/>
    <cellStyle name="Percent 2 3 5 5 2 2" xfId="40359" xr:uid="{00000000-0005-0000-0000-0000BB8A0000}"/>
    <cellStyle name="Percent 2 3 5 5 3" xfId="40360" xr:uid="{00000000-0005-0000-0000-0000BC8A0000}"/>
    <cellStyle name="Percent 2 3 5 5 3 2" xfId="40361" xr:uid="{00000000-0005-0000-0000-0000BD8A0000}"/>
    <cellStyle name="Percent 2 3 5 5 4" xfId="40362" xr:uid="{00000000-0005-0000-0000-0000BE8A0000}"/>
    <cellStyle name="Percent 2 3 5 5 4 2" xfId="40363" xr:uid="{00000000-0005-0000-0000-0000BF8A0000}"/>
    <cellStyle name="Percent 2 3 5 5 5" xfId="40364" xr:uid="{00000000-0005-0000-0000-0000C08A0000}"/>
    <cellStyle name="Percent 2 3 5 5 6" xfId="40365" xr:uid="{00000000-0005-0000-0000-0000C18A0000}"/>
    <cellStyle name="Percent 2 3 5 6" xfId="40366" xr:uid="{00000000-0005-0000-0000-0000C28A0000}"/>
    <cellStyle name="Percent 2 3 5 6 2" xfId="40367" xr:uid="{00000000-0005-0000-0000-0000C38A0000}"/>
    <cellStyle name="Percent 2 3 5 6 2 2" xfId="40368" xr:uid="{00000000-0005-0000-0000-0000C48A0000}"/>
    <cellStyle name="Percent 2 3 5 6 3" xfId="40369" xr:uid="{00000000-0005-0000-0000-0000C58A0000}"/>
    <cellStyle name="Percent 2 3 5 6 3 2" xfId="40370" xr:uid="{00000000-0005-0000-0000-0000C68A0000}"/>
    <cellStyle name="Percent 2 3 5 6 4" xfId="40371" xr:uid="{00000000-0005-0000-0000-0000C78A0000}"/>
    <cellStyle name="Percent 2 3 5 6 4 2" xfId="40372" xr:uid="{00000000-0005-0000-0000-0000C88A0000}"/>
    <cellStyle name="Percent 2 3 5 6 5" xfId="40373" xr:uid="{00000000-0005-0000-0000-0000C98A0000}"/>
    <cellStyle name="Percent 2 3 5 6 6" xfId="40374" xr:uid="{00000000-0005-0000-0000-0000CA8A0000}"/>
    <cellStyle name="Percent 2 3 5 7" xfId="40375" xr:uid="{00000000-0005-0000-0000-0000CB8A0000}"/>
    <cellStyle name="Percent 2 3 5 7 2" xfId="40376" xr:uid="{00000000-0005-0000-0000-0000CC8A0000}"/>
    <cellStyle name="Percent 2 3 5 7 2 2" xfId="40377" xr:uid="{00000000-0005-0000-0000-0000CD8A0000}"/>
    <cellStyle name="Percent 2 3 5 7 3" xfId="40378" xr:uid="{00000000-0005-0000-0000-0000CE8A0000}"/>
    <cellStyle name="Percent 2 3 5 7 3 2" xfId="40379" xr:uid="{00000000-0005-0000-0000-0000CF8A0000}"/>
    <cellStyle name="Percent 2 3 5 7 4" xfId="40380" xr:uid="{00000000-0005-0000-0000-0000D08A0000}"/>
    <cellStyle name="Percent 2 3 5 7 5" xfId="40381" xr:uid="{00000000-0005-0000-0000-0000D18A0000}"/>
    <cellStyle name="Percent 2 3 5 8" xfId="40382" xr:uid="{00000000-0005-0000-0000-0000D28A0000}"/>
    <cellStyle name="Percent 2 3 5 8 2" xfId="40383" xr:uid="{00000000-0005-0000-0000-0000D38A0000}"/>
    <cellStyle name="Percent 2 3 5 9" xfId="40384" xr:uid="{00000000-0005-0000-0000-0000D48A0000}"/>
    <cellStyle name="Percent 2 3 5 9 2" xfId="40385" xr:uid="{00000000-0005-0000-0000-0000D58A0000}"/>
    <cellStyle name="Percent 2 3 6" xfId="40386" xr:uid="{00000000-0005-0000-0000-0000D68A0000}"/>
    <cellStyle name="Percent 2 3 6 10" xfId="40387" xr:uid="{00000000-0005-0000-0000-0000D78A0000}"/>
    <cellStyle name="Percent 2 3 6 11" xfId="40388" xr:uid="{00000000-0005-0000-0000-0000D88A0000}"/>
    <cellStyle name="Percent 2 3 6 2" xfId="40389" xr:uid="{00000000-0005-0000-0000-0000D98A0000}"/>
    <cellStyle name="Percent 2 3 6 2 2" xfId="40390" xr:uid="{00000000-0005-0000-0000-0000DA8A0000}"/>
    <cellStyle name="Percent 2 3 6 2 2 2" xfId="40391" xr:uid="{00000000-0005-0000-0000-0000DB8A0000}"/>
    <cellStyle name="Percent 2 3 6 2 3" xfId="40392" xr:uid="{00000000-0005-0000-0000-0000DC8A0000}"/>
    <cellStyle name="Percent 2 3 6 2 3 2" xfId="40393" xr:uid="{00000000-0005-0000-0000-0000DD8A0000}"/>
    <cellStyle name="Percent 2 3 6 2 4" xfId="40394" xr:uid="{00000000-0005-0000-0000-0000DE8A0000}"/>
    <cellStyle name="Percent 2 3 6 2 4 2" xfId="40395" xr:uid="{00000000-0005-0000-0000-0000DF8A0000}"/>
    <cellStyle name="Percent 2 3 6 2 5" xfId="40396" xr:uid="{00000000-0005-0000-0000-0000E08A0000}"/>
    <cellStyle name="Percent 2 3 6 2 6" xfId="40397" xr:uid="{00000000-0005-0000-0000-0000E18A0000}"/>
    <cellStyle name="Percent 2 3 6 3" xfId="40398" xr:uid="{00000000-0005-0000-0000-0000E28A0000}"/>
    <cellStyle name="Percent 2 3 6 3 2" xfId="40399" xr:uid="{00000000-0005-0000-0000-0000E38A0000}"/>
    <cellStyle name="Percent 2 3 6 3 2 2" xfId="40400" xr:uid="{00000000-0005-0000-0000-0000E48A0000}"/>
    <cellStyle name="Percent 2 3 6 3 3" xfId="40401" xr:uid="{00000000-0005-0000-0000-0000E58A0000}"/>
    <cellStyle name="Percent 2 3 6 3 3 2" xfId="40402" xr:uid="{00000000-0005-0000-0000-0000E68A0000}"/>
    <cellStyle name="Percent 2 3 6 3 4" xfId="40403" xr:uid="{00000000-0005-0000-0000-0000E78A0000}"/>
    <cellStyle name="Percent 2 3 6 3 4 2" xfId="40404" xr:uid="{00000000-0005-0000-0000-0000E88A0000}"/>
    <cellStyle name="Percent 2 3 6 3 5" xfId="40405" xr:uid="{00000000-0005-0000-0000-0000E98A0000}"/>
    <cellStyle name="Percent 2 3 6 3 6" xfId="40406" xr:uid="{00000000-0005-0000-0000-0000EA8A0000}"/>
    <cellStyle name="Percent 2 3 6 4" xfId="40407" xr:uid="{00000000-0005-0000-0000-0000EB8A0000}"/>
    <cellStyle name="Percent 2 3 6 4 2" xfId="40408" xr:uid="{00000000-0005-0000-0000-0000EC8A0000}"/>
    <cellStyle name="Percent 2 3 6 4 2 2" xfId="40409" xr:uid="{00000000-0005-0000-0000-0000ED8A0000}"/>
    <cellStyle name="Percent 2 3 6 4 3" xfId="40410" xr:uid="{00000000-0005-0000-0000-0000EE8A0000}"/>
    <cellStyle name="Percent 2 3 6 4 3 2" xfId="40411" xr:uid="{00000000-0005-0000-0000-0000EF8A0000}"/>
    <cellStyle name="Percent 2 3 6 4 4" xfId="40412" xr:uid="{00000000-0005-0000-0000-0000F08A0000}"/>
    <cellStyle name="Percent 2 3 6 4 4 2" xfId="40413" xr:uid="{00000000-0005-0000-0000-0000F18A0000}"/>
    <cellStyle name="Percent 2 3 6 4 5" xfId="40414" xr:uid="{00000000-0005-0000-0000-0000F28A0000}"/>
    <cellStyle name="Percent 2 3 6 4 6" xfId="40415" xr:uid="{00000000-0005-0000-0000-0000F38A0000}"/>
    <cellStyle name="Percent 2 3 6 5" xfId="40416" xr:uid="{00000000-0005-0000-0000-0000F48A0000}"/>
    <cellStyle name="Percent 2 3 6 5 2" xfId="40417" xr:uid="{00000000-0005-0000-0000-0000F58A0000}"/>
    <cellStyle name="Percent 2 3 6 5 2 2" xfId="40418" xr:uid="{00000000-0005-0000-0000-0000F68A0000}"/>
    <cellStyle name="Percent 2 3 6 5 3" xfId="40419" xr:uid="{00000000-0005-0000-0000-0000F78A0000}"/>
    <cellStyle name="Percent 2 3 6 5 3 2" xfId="40420" xr:uid="{00000000-0005-0000-0000-0000F88A0000}"/>
    <cellStyle name="Percent 2 3 6 5 4" xfId="40421" xr:uid="{00000000-0005-0000-0000-0000F98A0000}"/>
    <cellStyle name="Percent 2 3 6 5 4 2" xfId="40422" xr:uid="{00000000-0005-0000-0000-0000FA8A0000}"/>
    <cellStyle name="Percent 2 3 6 5 5" xfId="40423" xr:uid="{00000000-0005-0000-0000-0000FB8A0000}"/>
    <cellStyle name="Percent 2 3 6 5 6" xfId="40424" xr:uid="{00000000-0005-0000-0000-0000FC8A0000}"/>
    <cellStyle name="Percent 2 3 6 6" xfId="40425" xr:uid="{00000000-0005-0000-0000-0000FD8A0000}"/>
    <cellStyle name="Percent 2 3 6 6 2" xfId="40426" xr:uid="{00000000-0005-0000-0000-0000FE8A0000}"/>
    <cellStyle name="Percent 2 3 6 6 2 2" xfId="40427" xr:uid="{00000000-0005-0000-0000-0000FF8A0000}"/>
    <cellStyle name="Percent 2 3 6 6 3" xfId="40428" xr:uid="{00000000-0005-0000-0000-0000008B0000}"/>
    <cellStyle name="Percent 2 3 6 6 3 2" xfId="40429" xr:uid="{00000000-0005-0000-0000-0000018B0000}"/>
    <cellStyle name="Percent 2 3 6 6 4" xfId="40430" xr:uid="{00000000-0005-0000-0000-0000028B0000}"/>
    <cellStyle name="Percent 2 3 6 6 5" xfId="40431" xr:uid="{00000000-0005-0000-0000-0000038B0000}"/>
    <cellStyle name="Percent 2 3 6 7" xfId="40432" xr:uid="{00000000-0005-0000-0000-0000048B0000}"/>
    <cellStyle name="Percent 2 3 6 7 2" xfId="40433" xr:uid="{00000000-0005-0000-0000-0000058B0000}"/>
    <cellStyle name="Percent 2 3 6 8" xfId="40434" xr:uid="{00000000-0005-0000-0000-0000068B0000}"/>
    <cellStyle name="Percent 2 3 6 8 2" xfId="40435" xr:uid="{00000000-0005-0000-0000-0000078B0000}"/>
    <cellStyle name="Percent 2 3 6 9" xfId="40436" xr:uid="{00000000-0005-0000-0000-0000088B0000}"/>
    <cellStyle name="Percent 2 3 6 9 2" xfId="40437" xr:uid="{00000000-0005-0000-0000-0000098B0000}"/>
    <cellStyle name="Percent 2 3 7" xfId="40438" xr:uid="{00000000-0005-0000-0000-00000A8B0000}"/>
    <cellStyle name="Percent 2 3 7 10" xfId="40439" xr:uid="{00000000-0005-0000-0000-00000B8B0000}"/>
    <cellStyle name="Percent 2 3 7 2" xfId="40440" xr:uid="{00000000-0005-0000-0000-00000C8B0000}"/>
    <cellStyle name="Percent 2 3 7 2 2" xfId="40441" xr:uid="{00000000-0005-0000-0000-00000D8B0000}"/>
    <cellStyle name="Percent 2 3 7 2 2 2" xfId="40442" xr:uid="{00000000-0005-0000-0000-00000E8B0000}"/>
    <cellStyle name="Percent 2 3 7 2 3" xfId="40443" xr:uid="{00000000-0005-0000-0000-00000F8B0000}"/>
    <cellStyle name="Percent 2 3 7 2 3 2" xfId="40444" xr:uid="{00000000-0005-0000-0000-0000108B0000}"/>
    <cellStyle name="Percent 2 3 7 2 4" xfId="40445" xr:uid="{00000000-0005-0000-0000-0000118B0000}"/>
    <cellStyle name="Percent 2 3 7 2 4 2" xfId="40446" xr:uid="{00000000-0005-0000-0000-0000128B0000}"/>
    <cellStyle name="Percent 2 3 7 2 5" xfId="40447" xr:uid="{00000000-0005-0000-0000-0000138B0000}"/>
    <cellStyle name="Percent 2 3 7 2 6" xfId="40448" xr:uid="{00000000-0005-0000-0000-0000148B0000}"/>
    <cellStyle name="Percent 2 3 7 3" xfId="40449" xr:uid="{00000000-0005-0000-0000-0000158B0000}"/>
    <cellStyle name="Percent 2 3 7 3 2" xfId="40450" xr:uid="{00000000-0005-0000-0000-0000168B0000}"/>
    <cellStyle name="Percent 2 3 7 3 2 2" xfId="40451" xr:uid="{00000000-0005-0000-0000-0000178B0000}"/>
    <cellStyle name="Percent 2 3 7 3 3" xfId="40452" xr:uid="{00000000-0005-0000-0000-0000188B0000}"/>
    <cellStyle name="Percent 2 3 7 3 3 2" xfId="40453" xr:uid="{00000000-0005-0000-0000-0000198B0000}"/>
    <cellStyle name="Percent 2 3 7 3 4" xfId="40454" xr:uid="{00000000-0005-0000-0000-00001A8B0000}"/>
    <cellStyle name="Percent 2 3 7 3 4 2" xfId="40455" xr:uid="{00000000-0005-0000-0000-00001B8B0000}"/>
    <cellStyle name="Percent 2 3 7 3 5" xfId="40456" xr:uid="{00000000-0005-0000-0000-00001C8B0000}"/>
    <cellStyle name="Percent 2 3 7 3 6" xfId="40457" xr:uid="{00000000-0005-0000-0000-00001D8B0000}"/>
    <cellStyle name="Percent 2 3 7 4" xfId="40458" xr:uid="{00000000-0005-0000-0000-00001E8B0000}"/>
    <cellStyle name="Percent 2 3 7 4 2" xfId="40459" xr:uid="{00000000-0005-0000-0000-00001F8B0000}"/>
    <cellStyle name="Percent 2 3 7 4 2 2" xfId="40460" xr:uid="{00000000-0005-0000-0000-0000208B0000}"/>
    <cellStyle name="Percent 2 3 7 4 3" xfId="40461" xr:uid="{00000000-0005-0000-0000-0000218B0000}"/>
    <cellStyle name="Percent 2 3 7 4 3 2" xfId="40462" xr:uid="{00000000-0005-0000-0000-0000228B0000}"/>
    <cellStyle name="Percent 2 3 7 4 4" xfId="40463" xr:uid="{00000000-0005-0000-0000-0000238B0000}"/>
    <cellStyle name="Percent 2 3 7 4 4 2" xfId="40464" xr:uid="{00000000-0005-0000-0000-0000248B0000}"/>
    <cellStyle name="Percent 2 3 7 4 5" xfId="40465" xr:uid="{00000000-0005-0000-0000-0000258B0000}"/>
    <cellStyle name="Percent 2 3 7 4 6" xfId="40466" xr:uid="{00000000-0005-0000-0000-0000268B0000}"/>
    <cellStyle name="Percent 2 3 7 5" xfId="40467" xr:uid="{00000000-0005-0000-0000-0000278B0000}"/>
    <cellStyle name="Percent 2 3 7 5 2" xfId="40468" xr:uid="{00000000-0005-0000-0000-0000288B0000}"/>
    <cellStyle name="Percent 2 3 7 5 2 2" xfId="40469" xr:uid="{00000000-0005-0000-0000-0000298B0000}"/>
    <cellStyle name="Percent 2 3 7 5 3" xfId="40470" xr:uid="{00000000-0005-0000-0000-00002A8B0000}"/>
    <cellStyle name="Percent 2 3 7 5 3 2" xfId="40471" xr:uid="{00000000-0005-0000-0000-00002B8B0000}"/>
    <cellStyle name="Percent 2 3 7 5 4" xfId="40472" xr:uid="{00000000-0005-0000-0000-00002C8B0000}"/>
    <cellStyle name="Percent 2 3 7 5 5" xfId="40473" xr:uid="{00000000-0005-0000-0000-00002D8B0000}"/>
    <cellStyle name="Percent 2 3 7 6" xfId="40474" xr:uid="{00000000-0005-0000-0000-00002E8B0000}"/>
    <cellStyle name="Percent 2 3 7 6 2" xfId="40475" xr:uid="{00000000-0005-0000-0000-00002F8B0000}"/>
    <cellStyle name="Percent 2 3 7 7" xfId="40476" xr:uid="{00000000-0005-0000-0000-0000308B0000}"/>
    <cellStyle name="Percent 2 3 7 7 2" xfId="40477" xr:uid="{00000000-0005-0000-0000-0000318B0000}"/>
    <cellStyle name="Percent 2 3 7 8" xfId="40478" xr:uid="{00000000-0005-0000-0000-0000328B0000}"/>
    <cellStyle name="Percent 2 3 7 8 2" xfId="40479" xr:uid="{00000000-0005-0000-0000-0000338B0000}"/>
    <cellStyle name="Percent 2 3 7 9" xfId="40480" xr:uid="{00000000-0005-0000-0000-0000348B0000}"/>
    <cellStyle name="Percent 2 3 8" xfId="40481" xr:uid="{00000000-0005-0000-0000-0000358B0000}"/>
    <cellStyle name="Percent 2 3 8 10" xfId="40482" xr:uid="{00000000-0005-0000-0000-0000368B0000}"/>
    <cellStyle name="Percent 2 3 8 2" xfId="40483" xr:uid="{00000000-0005-0000-0000-0000378B0000}"/>
    <cellStyle name="Percent 2 3 8 2 2" xfId="40484" xr:uid="{00000000-0005-0000-0000-0000388B0000}"/>
    <cellStyle name="Percent 2 3 8 2 2 2" xfId="40485" xr:uid="{00000000-0005-0000-0000-0000398B0000}"/>
    <cellStyle name="Percent 2 3 8 2 3" xfId="40486" xr:uid="{00000000-0005-0000-0000-00003A8B0000}"/>
    <cellStyle name="Percent 2 3 8 2 3 2" xfId="40487" xr:uid="{00000000-0005-0000-0000-00003B8B0000}"/>
    <cellStyle name="Percent 2 3 8 2 4" xfId="40488" xr:uid="{00000000-0005-0000-0000-00003C8B0000}"/>
    <cellStyle name="Percent 2 3 8 2 4 2" xfId="40489" xr:uid="{00000000-0005-0000-0000-00003D8B0000}"/>
    <cellStyle name="Percent 2 3 8 2 5" xfId="40490" xr:uid="{00000000-0005-0000-0000-00003E8B0000}"/>
    <cellStyle name="Percent 2 3 8 2 6" xfId="40491" xr:uid="{00000000-0005-0000-0000-00003F8B0000}"/>
    <cellStyle name="Percent 2 3 8 3" xfId="40492" xr:uid="{00000000-0005-0000-0000-0000408B0000}"/>
    <cellStyle name="Percent 2 3 8 3 2" xfId="40493" xr:uid="{00000000-0005-0000-0000-0000418B0000}"/>
    <cellStyle name="Percent 2 3 8 3 2 2" xfId="40494" xr:uid="{00000000-0005-0000-0000-0000428B0000}"/>
    <cellStyle name="Percent 2 3 8 3 3" xfId="40495" xr:uid="{00000000-0005-0000-0000-0000438B0000}"/>
    <cellStyle name="Percent 2 3 8 3 3 2" xfId="40496" xr:uid="{00000000-0005-0000-0000-0000448B0000}"/>
    <cellStyle name="Percent 2 3 8 3 4" xfId="40497" xr:uid="{00000000-0005-0000-0000-0000458B0000}"/>
    <cellStyle name="Percent 2 3 8 3 4 2" xfId="40498" xr:uid="{00000000-0005-0000-0000-0000468B0000}"/>
    <cellStyle name="Percent 2 3 8 3 5" xfId="40499" xr:uid="{00000000-0005-0000-0000-0000478B0000}"/>
    <cellStyle name="Percent 2 3 8 3 6" xfId="40500" xr:uid="{00000000-0005-0000-0000-0000488B0000}"/>
    <cellStyle name="Percent 2 3 8 4" xfId="40501" xr:uid="{00000000-0005-0000-0000-0000498B0000}"/>
    <cellStyle name="Percent 2 3 8 4 2" xfId="40502" xr:uid="{00000000-0005-0000-0000-00004A8B0000}"/>
    <cellStyle name="Percent 2 3 8 4 2 2" xfId="40503" xr:uid="{00000000-0005-0000-0000-00004B8B0000}"/>
    <cellStyle name="Percent 2 3 8 4 3" xfId="40504" xr:uid="{00000000-0005-0000-0000-00004C8B0000}"/>
    <cellStyle name="Percent 2 3 8 4 3 2" xfId="40505" xr:uid="{00000000-0005-0000-0000-00004D8B0000}"/>
    <cellStyle name="Percent 2 3 8 4 4" xfId="40506" xr:uid="{00000000-0005-0000-0000-00004E8B0000}"/>
    <cellStyle name="Percent 2 3 8 4 4 2" xfId="40507" xr:uid="{00000000-0005-0000-0000-00004F8B0000}"/>
    <cellStyle name="Percent 2 3 8 4 5" xfId="40508" xr:uid="{00000000-0005-0000-0000-0000508B0000}"/>
    <cellStyle name="Percent 2 3 8 4 6" xfId="40509" xr:uid="{00000000-0005-0000-0000-0000518B0000}"/>
    <cellStyle name="Percent 2 3 8 5" xfId="40510" xr:uid="{00000000-0005-0000-0000-0000528B0000}"/>
    <cellStyle name="Percent 2 3 8 5 2" xfId="40511" xr:uid="{00000000-0005-0000-0000-0000538B0000}"/>
    <cellStyle name="Percent 2 3 8 5 2 2" xfId="40512" xr:uid="{00000000-0005-0000-0000-0000548B0000}"/>
    <cellStyle name="Percent 2 3 8 5 3" xfId="40513" xr:uid="{00000000-0005-0000-0000-0000558B0000}"/>
    <cellStyle name="Percent 2 3 8 5 3 2" xfId="40514" xr:uid="{00000000-0005-0000-0000-0000568B0000}"/>
    <cellStyle name="Percent 2 3 8 5 4" xfId="40515" xr:uid="{00000000-0005-0000-0000-0000578B0000}"/>
    <cellStyle name="Percent 2 3 8 5 5" xfId="40516" xr:uid="{00000000-0005-0000-0000-0000588B0000}"/>
    <cellStyle name="Percent 2 3 8 6" xfId="40517" xr:uid="{00000000-0005-0000-0000-0000598B0000}"/>
    <cellStyle name="Percent 2 3 8 6 2" xfId="40518" xr:uid="{00000000-0005-0000-0000-00005A8B0000}"/>
    <cellStyle name="Percent 2 3 8 7" xfId="40519" xr:uid="{00000000-0005-0000-0000-00005B8B0000}"/>
    <cellStyle name="Percent 2 3 8 7 2" xfId="40520" xr:uid="{00000000-0005-0000-0000-00005C8B0000}"/>
    <cellStyle name="Percent 2 3 8 8" xfId="40521" xr:uid="{00000000-0005-0000-0000-00005D8B0000}"/>
    <cellStyle name="Percent 2 3 8 8 2" xfId="40522" xr:uid="{00000000-0005-0000-0000-00005E8B0000}"/>
    <cellStyle name="Percent 2 3 8 9" xfId="40523" xr:uid="{00000000-0005-0000-0000-00005F8B0000}"/>
    <cellStyle name="Percent 2 3 9" xfId="40524" xr:uid="{00000000-0005-0000-0000-0000608B0000}"/>
    <cellStyle name="Percent 2 3 9 2" xfId="40525" xr:uid="{00000000-0005-0000-0000-0000618B0000}"/>
    <cellStyle name="Percent 2 3 9 2 2" xfId="40526" xr:uid="{00000000-0005-0000-0000-0000628B0000}"/>
    <cellStyle name="Percent 2 3 9 3" xfId="40527" xr:uid="{00000000-0005-0000-0000-0000638B0000}"/>
    <cellStyle name="Percent 2 3 9 3 2" xfId="40528" xr:uid="{00000000-0005-0000-0000-0000648B0000}"/>
    <cellStyle name="Percent 2 3 9 4" xfId="40529" xr:uid="{00000000-0005-0000-0000-0000658B0000}"/>
    <cellStyle name="Percent 2 3 9 4 2" xfId="40530" xr:uid="{00000000-0005-0000-0000-0000668B0000}"/>
    <cellStyle name="Percent 2 3 9 5" xfId="40531" xr:uid="{00000000-0005-0000-0000-0000678B0000}"/>
    <cellStyle name="Percent 2 3 9 6" xfId="40532" xr:uid="{00000000-0005-0000-0000-0000688B0000}"/>
    <cellStyle name="Percent 2 4" xfId="7809" xr:uid="{00000000-0005-0000-0000-0000698B0000}"/>
    <cellStyle name="Percent 2 4 10" xfId="40534" xr:uid="{00000000-0005-0000-0000-00006A8B0000}"/>
    <cellStyle name="Percent 2 4 10 2" xfId="40535" xr:uid="{00000000-0005-0000-0000-00006B8B0000}"/>
    <cellStyle name="Percent 2 4 10 2 2" xfId="40536" xr:uid="{00000000-0005-0000-0000-00006C8B0000}"/>
    <cellStyle name="Percent 2 4 10 3" xfId="40537" xr:uid="{00000000-0005-0000-0000-00006D8B0000}"/>
    <cellStyle name="Percent 2 4 10 3 2" xfId="40538" xr:uid="{00000000-0005-0000-0000-00006E8B0000}"/>
    <cellStyle name="Percent 2 4 10 4" xfId="40539" xr:uid="{00000000-0005-0000-0000-00006F8B0000}"/>
    <cellStyle name="Percent 2 4 10 4 2" xfId="40540" xr:uid="{00000000-0005-0000-0000-0000708B0000}"/>
    <cellStyle name="Percent 2 4 10 5" xfId="40541" xr:uid="{00000000-0005-0000-0000-0000718B0000}"/>
    <cellStyle name="Percent 2 4 10 6" xfId="40542" xr:uid="{00000000-0005-0000-0000-0000728B0000}"/>
    <cellStyle name="Percent 2 4 11" xfId="40543" xr:uid="{00000000-0005-0000-0000-0000738B0000}"/>
    <cellStyle name="Percent 2 4 11 2" xfId="40544" xr:uid="{00000000-0005-0000-0000-0000748B0000}"/>
    <cellStyle name="Percent 2 4 11 2 2" xfId="40545" xr:uid="{00000000-0005-0000-0000-0000758B0000}"/>
    <cellStyle name="Percent 2 4 11 3" xfId="40546" xr:uid="{00000000-0005-0000-0000-0000768B0000}"/>
    <cellStyle name="Percent 2 4 11 3 2" xfId="40547" xr:uid="{00000000-0005-0000-0000-0000778B0000}"/>
    <cellStyle name="Percent 2 4 11 4" xfId="40548" xr:uid="{00000000-0005-0000-0000-0000788B0000}"/>
    <cellStyle name="Percent 2 4 11 5" xfId="40549" xr:uid="{00000000-0005-0000-0000-0000798B0000}"/>
    <cellStyle name="Percent 2 4 12" xfId="40550" xr:uid="{00000000-0005-0000-0000-00007A8B0000}"/>
    <cellStyle name="Percent 2 4 12 2" xfId="40551" xr:uid="{00000000-0005-0000-0000-00007B8B0000}"/>
    <cellStyle name="Percent 2 4 13" xfId="40552" xr:uid="{00000000-0005-0000-0000-00007C8B0000}"/>
    <cellStyle name="Percent 2 4 13 2" xfId="40553" xr:uid="{00000000-0005-0000-0000-00007D8B0000}"/>
    <cellStyle name="Percent 2 4 14" xfId="40554" xr:uid="{00000000-0005-0000-0000-00007E8B0000}"/>
    <cellStyle name="Percent 2 4 14 2" xfId="40555" xr:uid="{00000000-0005-0000-0000-00007F8B0000}"/>
    <cellStyle name="Percent 2 4 15" xfId="40556" xr:uid="{00000000-0005-0000-0000-0000808B0000}"/>
    <cellStyle name="Percent 2 4 16" xfId="40557" xr:uid="{00000000-0005-0000-0000-0000818B0000}"/>
    <cellStyle name="Percent 2 4 17" xfId="40533" xr:uid="{00000000-0005-0000-0000-0000828B0000}"/>
    <cellStyle name="Percent 2 4 2" xfId="40558" xr:uid="{00000000-0005-0000-0000-0000838B0000}"/>
    <cellStyle name="Percent 2 4 2 10" xfId="40559" xr:uid="{00000000-0005-0000-0000-0000848B0000}"/>
    <cellStyle name="Percent 2 4 2 10 2" xfId="40560" xr:uid="{00000000-0005-0000-0000-0000858B0000}"/>
    <cellStyle name="Percent 2 4 2 11" xfId="40561" xr:uid="{00000000-0005-0000-0000-0000868B0000}"/>
    <cellStyle name="Percent 2 4 2 11 2" xfId="40562" xr:uid="{00000000-0005-0000-0000-0000878B0000}"/>
    <cellStyle name="Percent 2 4 2 12" xfId="40563" xr:uid="{00000000-0005-0000-0000-0000888B0000}"/>
    <cellStyle name="Percent 2 4 2 13" xfId="40564" xr:uid="{00000000-0005-0000-0000-0000898B0000}"/>
    <cellStyle name="Percent 2 4 2 2" xfId="40565" xr:uid="{00000000-0005-0000-0000-00008A8B0000}"/>
    <cellStyle name="Percent 2 4 2 2 10" xfId="40566" xr:uid="{00000000-0005-0000-0000-00008B8B0000}"/>
    <cellStyle name="Percent 2 4 2 2 11" xfId="40567" xr:uid="{00000000-0005-0000-0000-00008C8B0000}"/>
    <cellStyle name="Percent 2 4 2 2 2" xfId="40568" xr:uid="{00000000-0005-0000-0000-00008D8B0000}"/>
    <cellStyle name="Percent 2 4 2 2 2 2" xfId="40569" xr:uid="{00000000-0005-0000-0000-00008E8B0000}"/>
    <cellStyle name="Percent 2 4 2 2 2 2 2" xfId="40570" xr:uid="{00000000-0005-0000-0000-00008F8B0000}"/>
    <cellStyle name="Percent 2 4 2 2 2 3" xfId="40571" xr:uid="{00000000-0005-0000-0000-0000908B0000}"/>
    <cellStyle name="Percent 2 4 2 2 2 3 2" xfId="40572" xr:uid="{00000000-0005-0000-0000-0000918B0000}"/>
    <cellStyle name="Percent 2 4 2 2 2 4" xfId="40573" xr:uid="{00000000-0005-0000-0000-0000928B0000}"/>
    <cellStyle name="Percent 2 4 2 2 2 4 2" xfId="40574" xr:uid="{00000000-0005-0000-0000-0000938B0000}"/>
    <cellStyle name="Percent 2 4 2 2 2 5" xfId="40575" xr:uid="{00000000-0005-0000-0000-0000948B0000}"/>
    <cellStyle name="Percent 2 4 2 2 2 6" xfId="40576" xr:uid="{00000000-0005-0000-0000-0000958B0000}"/>
    <cellStyle name="Percent 2 4 2 2 3" xfId="40577" xr:uid="{00000000-0005-0000-0000-0000968B0000}"/>
    <cellStyle name="Percent 2 4 2 2 3 2" xfId="40578" xr:uid="{00000000-0005-0000-0000-0000978B0000}"/>
    <cellStyle name="Percent 2 4 2 2 3 2 2" xfId="40579" xr:uid="{00000000-0005-0000-0000-0000988B0000}"/>
    <cellStyle name="Percent 2 4 2 2 3 3" xfId="40580" xr:uid="{00000000-0005-0000-0000-0000998B0000}"/>
    <cellStyle name="Percent 2 4 2 2 3 3 2" xfId="40581" xr:uid="{00000000-0005-0000-0000-00009A8B0000}"/>
    <cellStyle name="Percent 2 4 2 2 3 4" xfId="40582" xr:uid="{00000000-0005-0000-0000-00009B8B0000}"/>
    <cellStyle name="Percent 2 4 2 2 3 4 2" xfId="40583" xr:uid="{00000000-0005-0000-0000-00009C8B0000}"/>
    <cellStyle name="Percent 2 4 2 2 3 5" xfId="40584" xr:uid="{00000000-0005-0000-0000-00009D8B0000}"/>
    <cellStyle name="Percent 2 4 2 2 3 6" xfId="40585" xr:uid="{00000000-0005-0000-0000-00009E8B0000}"/>
    <cellStyle name="Percent 2 4 2 2 4" xfId="40586" xr:uid="{00000000-0005-0000-0000-00009F8B0000}"/>
    <cellStyle name="Percent 2 4 2 2 4 2" xfId="40587" xr:uid="{00000000-0005-0000-0000-0000A08B0000}"/>
    <cellStyle name="Percent 2 4 2 2 4 2 2" xfId="40588" xr:uid="{00000000-0005-0000-0000-0000A18B0000}"/>
    <cellStyle name="Percent 2 4 2 2 4 3" xfId="40589" xr:uid="{00000000-0005-0000-0000-0000A28B0000}"/>
    <cellStyle name="Percent 2 4 2 2 4 3 2" xfId="40590" xr:uid="{00000000-0005-0000-0000-0000A38B0000}"/>
    <cellStyle name="Percent 2 4 2 2 4 4" xfId="40591" xr:uid="{00000000-0005-0000-0000-0000A48B0000}"/>
    <cellStyle name="Percent 2 4 2 2 4 4 2" xfId="40592" xr:uid="{00000000-0005-0000-0000-0000A58B0000}"/>
    <cellStyle name="Percent 2 4 2 2 4 5" xfId="40593" xr:uid="{00000000-0005-0000-0000-0000A68B0000}"/>
    <cellStyle name="Percent 2 4 2 2 4 6" xfId="40594" xr:uid="{00000000-0005-0000-0000-0000A78B0000}"/>
    <cellStyle name="Percent 2 4 2 2 5" xfId="40595" xr:uid="{00000000-0005-0000-0000-0000A88B0000}"/>
    <cellStyle name="Percent 2 4 2 2 5 2" xfId="40596" xr:uid="{00000000-0005-0000-0000-0000A98B0000}"/>
    <cellStyle name="Percent 2 4 2 2 5 2 2" xfId="40597" xr:uid="{00000000-0005-0000-0000-0000AA8B0000}"/>
    <cellStyle name="Percent 2 4 2 2 5 3" xfId="40598" xr:uid="{00000000-0005-0000-0000-0000AB8B0000}"/>
    <cellStyle name="Percent 2 4 2 2 5 3 2" xfId="40599" xr:uid="{00000000-0005-0000-0000-0000AC8B0000}"/>
    <cellStyle name="Percent 2 4 2 2 5 4" xfId="40600" xr:uid="{00000000-0005-0000-0000-0000AD8B0000}"/>
    <cellStyle name="Percent 2 4 2 2 5 4 2" xfId="40601" xr:uid="{00000000-0005-0000-0000-0000AE8B0000}"/>
    <cellStyle name="Percent 2 4 2 2 5 5" xfId="40602" xr:uid="{00000000-0005-0000-0000-0000AF8B0000}"/>
    <cellStyle name="Percent 2 4 2 2 5 6" xfId="40603" xr:uid="{00000000-0005-0000-0000-0000B08B0000}"/>
    <cellStyle name="Percent 2 4 2 2 6" xfId="40604" xr:uid="{00000000-0005-0000-0000-0000B18B0000}"/>
    <cellStyle name="Percent 2 4 2 2 6 2" xfId="40605" xr:uid="{00000000-0005-0000-0000-0000B28B0000}"/>
    <cellStyle name="Percent 2 4 2 2 6 2 2" xfId="40606" xr:uid="{00000000-0005-0000-0000-0000B38B0000}"/>
    <cellStyle name="Percent 2 4 2 2 6 3" xfId="40607" xr:uid="{00000000-0005-0000-0000-0000B48B0000}"/>
    <cellStyle name="Percent 2 4 2 2 6 3 2" xfId="40608" xr:uid="{00000000-0005-0000-0000-0000B58B0000}"/>
    <cellStyle name="Percent 2 4 2 2 6 4" xfId="40609" xr:uid="{00000000-0005-0000-0000-0000B68B0000}"/>
    <cellStyle name="Percent 2 4 2 2 6 5" xfId="40610" xr:uid="{00000000-0005-0000-0000-0000B78B0000}"/>
    <cellStyle name="Percent 2 4 2 2 7" xfId="40611" xr:uid="{00000000-0005-0000-0000-0000B88B0000}"/>
    <cellStyle name="Percent 2 4 2 2 7 2" xfId="40612" xr:uid="{00000000-0005-0000-0000-0000B98B0000}"/>
    <cellStyle name="Percent 2 4 2 2 8" xfId="40613" xr:uid="{00000000-0005-0000-0000-0000BA8B0000}"/>
    <cellStyle name="Percent 2 4 2 2 8 2" xfId="40614" xr:uid="{00000000-0005-0000-0000-0000BB8B0000}"/>
    <cellStyle name="Percent 2 4 2 2 9" xfId="40615" xr:uid="{00000000-0005-0000-0000-0000BC8B0000}"/>
    <cellStyle name="Percent 2 4 2 2 9 2" xfId="40616" xr:uid="{00000000-0005-0000-0000-0000BD8B0000}"/>
    <cellStyle name="Percent 2 4 2 3" xfId="40617" xr:uid="{00000000-0005-0000-0000-0000BE8B0000}"/>
    <cellStyle name="Percent 2 4 2 3 10" xfId="40618" xr:uid="{00000000-0005-0000-0000-0000BF8B0000}"/>
    <cellStyle name="Percent 2 4 2 3 2" xfId="40619" xr:uid="{00000000-0005-0000-0000-0000C08B0000}"/>
    <cellStyle name="Percent 2 4 2 3 2 2" xfId="40620" xr:uid="{00000000-0005-0000-0000-0000C18B0000}"/>
    <cellStyle name="Percent 2 4 2 3 2 2 2" xfId="40621" xr:uid="{00000000-0005-0000-0000-0000C28B0000}"/>
    <cellStyle name="Percent 2 4 2 3 2 3" xfId="40622" xr:uid="{00000000-0005-0000-0000-0000C38B0000}"/>
    <cellStyle name="Percent 2 4 2 3 2 3 2" xfId="40623" xr:uid="{00000000-0005-0000-0000-0000C48B0000}"/>
    <cellStyle name="Percent 2 4 2 3 2 4" xfId="40624" xr:uid="{00000000-0005-0000-0000-0000C58B0000}"/>
    <cellStyle name="Percent 2 4 2 3 2 4 2" xfId="40625" xr:uid="{00000000-0005-0000-0000-0000C68B0000}"/>
    <cellStyle name="Percent 2 4 2 3 2 5" xfId="40626" xr:uid="{00000000-0005-0000-0000-0000C78B0000}"/>
    <cellStyle name="Percent 2 4 2 3 2 6" xfId="40627" xr:uid="{00000000-0005-0000-0000-0000C88B0000}"/>
    <cellStyle name="Percent 2 4 2 3 3" xfId="40628" xr:uid="{00000000-0005-0000-0000-0000C98B0000}"/>
    <cellStyle name="Percent 2 4 2 3 3 2" xfId="40629" xr:uid="{00000000-0005-0000-0000-0000CA8B0000}"/>
    <cellStyle name="Percent 2 4 2 3 3 2 2" xfId="40630" xr:uid="{00000000-0005-0000-0000-0000CB8B0000}"/>
    <cellStyle name="Percent 2 4 2 3 3 3" xfId="40631" xr:uid="{00000000-0005-0000-0000-0000CC8B0000}"/>
    <cellStyle name="Percent 2 4 2 3 3 3 2" xfId="40632" xr:uid="{00000000-0005-0000-0000-0000CD8B0000}"/>
    <cellStyle name="Percent 2 4 2 3 3 4" xfId="40633" xr:uid="{00000000-0005-0000-0000-0000CE8B0000}"/>
    <cellStyle name="Percent 2 4 2 3 3 4 2" xfId="40634" xr:uid="{00000000-0005-0000-0000-0000CF8B0000}"/>
    <cellStyle name="Percent 2 4 2 3 3 5" xfId="40635" xr:uid="{00000000-0005-0000-0000-0000D08B0000}"/>
    <cellStyle name="Percent 2 4 2 3 3 6" xfId="40636" xr:uid="{00000000-0005-0000-0000-0000D18B0000}"/>
    <cellStyle name="Percent 2 4 2 3 4" xfId="40637" xr:uid="{00000000-0005-0000-0000-0000D28B0000}"/>
    <cellStyle name="Percent 2 4 2 3 4 2" xfId="40638" xr:uid="{00000000-0005-0000-0000-0000D38B0000}"/>
    <cellStyle name="Percent 2 4 2 3 4 2 2" xfId="40639" xr:uid="{00000000-0005-0000-0000-0000D48B0000}"/>
    <cellStyle name="Percent 2 4 2 3 4 3" xfId="40640" xr:uid="{00000000-0005-0000-0000-0000D58B0000}"/>
    <cellStyle name="Percent 2 4 2 3 4 3 2" xfId="40641" xr:uid="{00000000-0005-0000-0000-0000D68B0000}"/>
    <cellStyle name="Percent 2 4 2 3 4 4" xfId="40642" xr:uid="{00000000-0005-0000-0000-0000D78B0000}"/>
    <cellStyle name="Percent 2 4 2 3 4 4 2" xfId="40643" xr:uid="{00000000-0005-0000-0000-0000D88B0000}"/>
    <cellStyle name="Percent 2 4 2 3 4 5" xfId="40644" xr:uid="{00000000-0005-0000-0000-0000D98B0000}"/>
    <cellStyle name="Percent 2 4 2 3 4 6" xfId="40645" xr:uid="{00000000-0005-0000-0000-0000DA8B0000}"/>
    <cellStyle name="Percent 2 4 2 3 5" xfId="40646" xr:uid="{00000000-0005-0000-0000-0000DB8B0000}"/>
    <cellStyle name="Percent 2 4 2 3 5 2" xfId="40647" xr:uid="{00000000-0005-0000-0000-0000DC8B0000}"/>
    <cellStyle name="Percent 2 4 2 3 5 2 2" xfId="40648" xr:uid="{00000000-0005-0000-0000-0000DD8B0000}"/>
    <cellStyle name="Percent 2 4 2 3 5 3" xfId="40649" xr:uid="{00000000-0005-0000-0000-0000DE8B0000}"/>
    <cellStyle name="Percent 2 4 2 3 5 3 2" xfId="40650" xr:uid="{00000000-0005-0000-0000-0000DF8B0000}"/>
    <cellStyle name="Percent 2 4 2 3 5 4" xfId="40651" xr:uid="{00000000-0005-0000-0000-0000E08B0000}"/>
    <cellStyle name="Percent 2 4 2 3 5 5" xfId="40652" xr:uid="{00000000-0005-0000-0000-0000E18B0000}"/>
    <cellStyle name="Percent 2 4 2 3 6" xfId="40653" xr:uid="{00000000-0005-0000-0000-0000E28B0000}"/>
    <cellStyle name="Percent 2 4 2 3 6 2" xfId="40654" xr:uid="{00000000-0005-0000-0000-0000E38B0000}"/>
    <cellStyle name="Percent 2 4 2 3 7" xfId="40655" xr:uid="{00000000-0005-0000-0000-0000E48B0000}"/>
    <cellStyle name="Percent 2 4 2 3 7 2" xfId="40656" xr:uid="{00000000-0005-0000-0000-0000E58B0000}"/>
    <cellStyle name="Percent 2 4 2 3 8" xfId="40657" xr:uid="{00000000-0005-0000-0000-0000E68B0000}"/>
    <cellStyle name="Percent 2 4 2 3 8 2" xfId="40658" xr:uid="{00000000-0005-0000-0000-0000E78B0000}"/>
    <cellStyle name="Percent 2 4 2 3 9" xfId="40659" xr:uid="{00000000-0005-0000-0000-0000E88B0000}"/>
    <cellStyle name="Percent 2 4 2 4" xfId="40660" xr:uid="{00000000-0005-0000-0000-0000E98B0000}"/>
    <cellStyle name="Percent 2 4 2 4 10" xfId="40661" xr:uid="{00000000-0005-0000-0000-0000EA8B0000}"/>
    <cellStyle name="Percent 2 4 2 4 2" xfId="40662" xr:uid="{00000000-0005-0000-0000-0000EB8B0000}"/>
    <cellStyle name="Percent 2 4 2 4 2 2" xfId="40663" xr:uid="{00000000-0005-0000-0000-0000EC8B0000}"/>
    <cellStyle name="Percent 2 4 2 4 2 2 2" xfId="40664" xr:uid="{00000000-0005-0000-0000-0000ED8B0000}"/>
    <cellStyle name="Percent 2 4 2 4 2 3" xfId="40665" xr:uid="{00000000-0005-0000-0000-0000EE8B0000}"/>
    <cellStyle name="Percent 2 4 2 4 2 3 2" xfId="40666" xr:uid="{00000000-0005-0000-0000-0000EF8B0000}"/>
    <cellStyle name="Percent 2 4 2 4 2 4" xfId="40667" xr:uid="{00000000-0005-0000-0000-0000F08B0000}"/>
    <cellStyle name="Percent 2 4 2 4 2 4 2" xfId="40668" xr:uid="{00000000-0005-0000-0000-0000F18B0000}"/>
    <cellStyle name="Percent 2 4 2 4 2 5" xfId="40669" xr:uid="{00000000-0005-0000-0000-0000F28B0000}"/>
    <cellStyle name="Percent 2 4 2 4 2 6" xfId="40670" xr:uid="{00000000-0005-0000-0000-0000F38B0000}"/>
    <cellStyle name="Percent 2 4 2 4 3" xfId="40671" xr:uid="{00000000-0005-0000-0000-0000F48B0000}"/>
    <cellStyle name="Percent 2 4 2 4 3 2" xfId="40672" xr:uid="{00000000-0005-0000-0000-0000F58B0000}"/>
    <cellStyle name="Percent 2 4 2 4 3 2 2" xfId="40673" xr:uid="{00000000-0005-0000-0000-0000F68B0000}"/>
    <cellStyle name="Percent 2 4 2 4 3 3" xfId="40674" xr:uid="{00000000-0005-0000-0000-0000F78B0000}"/>
    <cellStyle name="Percent 2 4 2 4 3 3 2" xfId="40675" xr:uid="{00000000-0005-0000-0000-0000F88B0000}"/>
    <cellStyle name="Percent 2 4 2 4 3 4" xfId="40676" xr:uid="{00000000-0005-0000-0000-0000F98B0000}"/>
    <cellStyle name="Percent 2 4 2 4 3 4 2" xfId="40677" xr:uid="{00000000-0005-0000-0000-0000FA8B0000}"/>
    <cellStyle name="Percent 2 4 2 4 3 5" xfId="40678" xr:uid="{00000000-0005-0000-0000-0000FB8B0000}"/>
    <cellStyle name="Percent 2 4 2 4 3 6" xfId="40679" xr:uid="{00000000-0005-0000-0000-0000FC8B0000}"/>
    <cellStyle name="Percent 2 4 2 4 4" xfId="40680" xr:uid="{00000000-0005-0000-0000-0000FD8B0000}"/>
    <cellStyle name="Percent 2 4 2 4 4 2" xfId="40681" xr:uid="{00000000-0005-0000-0000-0000FE8B0000}"/>
    <cellStyle name="Percent 2 4 2 4 4 2 2" xfId="40682" xr:uid="{00000000-0005-0000-0000-0000FF8B0000}"/>
    <cellStyle name="Percent 2 4 2 4 4 3" xfId="40683" xr:uid="{00000000-0005-0000-0000-0000008C0000}"/>
    <cellStyle name="Percent 2 4 2 4 4 3 2" xfId="40684" xr:uid="{00000000-0005-0000-0000-0000018C0000}"/>
    <cellStyle name="Percent 2 4 2 4 4 4" xfId="40685" xr:uid="{00000000-0005-0000-0000-0000028C0000}"/>
    <cellStyle name="Percent 2 4 2 4 4 4 2" xfId="40686" xr:uid="{00000000-0005-0000-0000-0000038C0000}"/>
    <cellStyle name="Percent 2 4 2 4 4 5" xfId="40687" xr:uid="{00000000-0005-0000-0000-0000048C0000}"/>
    <cellStyle name="Percent 2 4 2 4 4 6" xfId="40688" xr:uid="{00000000-0005-0000-0000-0000058C0000}"/>
    <cellStyle name="Percent 2 4 2 4 5" xfId="40689" xr:uid="{00000000-0005-0000-0000-0000068C0000}"/>
    <cellStyle name="Percent 2 4 2 4 5 2" xfId="40690" xr:uid="{00000000-0005-0000-0000-0000078C0000}"/>
    <cellStyle name="Percent 2 4 2 4 5 2 2" xfId="40691" xr:uid="{00000000-0005-0000-0000-0000088C0000}"/>
    <cellStyle name="Percent 2 4 2 4 5 3" xfId="40692" xr:uid="{00000000-0005-0000-0000-0000098C0000}"/>
    <cellStyle name="Percent 2 4 2 4 5 3 2" xfId="40693" xr:uid="{00000000-0005-0000-0000-00000A8C0000}"/>
    <cellStyle name="Percent 2 4 2 4 5 4" xfId="40694" xr:uid="{00000000-0005-0000-0000-00000B8C0000}"/>
    <cellStyle name="Percent 2 4 2 4 5 5" xfId="40695" xr:uid="{00000000-0005-0000-0000-00000C8C0000}"/>
    <cellStyle name="Percent 2 4 2 4 6" xfId="40696" xr:uid="{00000000-0005-0000-0000-00000D8C0000}"/>
    <cellStyle name="Percent 2 4 2 4 6 2" xfId="40697" xr:uid="{00000000-0005-0000-0000-00000E8C0000}"/>
    <cellStyle name="Percent 2 4 2 4 7" xfId="40698" xr:uid="{00000000-0005-0000-0000-00000F8C0000}"/>
    <cellStyle name="Percent 2 4 2 4 7 2" xfId="40699" xr:uid="{00000000-0005-0000-0000-0000108C0000}"/>
    <cellStyle name="Percent 2 4 2 4 8" xfId="40700" xr:uid="{00000000-0005-0000-0000-0000118C0000}"/>
    <cellStyle name="Percent 2 4 2 4 8 2" xfId="40701" xr:uid="{00000000-0005-0000-0000-0000128C0000}"/>
    <cellStyle name="Percent 2 4 2 4 9" xfId="40702" xr:uid="{00000000-0005-0000-0000-0000138C0000}"/>
    <cellStyle name="Percent 2 4 2 5" xfId="40703" xr:uid="{00000000-0005-0000-0000-0000148C0000}"/>
    <cellStyle name="Percent 2 4 2 5 2" xfId="40704" xr:uid="{00000000-0005-0000-0000-0000158C0000}"/>
    <cellStyle name="Percent 2 4 2 5 2 2" xfId="40705" xr:uid="{00000000-0005-0000-0000-0000168C0000}"/>
    <cellStyle name="Percent 2 4 2 5 3" xfId="40706" xr:uid="{00000000-0005-0000-0000-0000178C0000}"/>
    <cellStyle name="Percent 2 4 2 5 3 2" xfId="40707" xr:uid="{00000000-0005-0000-0000-0000188C0000}"/>
    <cellStyle name="Percent 2 4 2 5 4" xfId="40708" xr:uid="{00000000-0005-0000-0000-0000198C0000}"/>
    <cellStyle name="Percent 2 4 2 5 4 2" xfId="40709" xr:uid="{00000000-0005-0000-0000-00001A8C0000}"/>
    <cellStyle name="Percent 2 4 2 5 5" xfId="40710" xr:uid="{00000000-0005-0000-0000-00001B8C0000}"/>
    <cellStyle name="Percent 2 4 2 5 6" xfId="40711" xr:uid="{00000000-0005-0000-0000-00001C8C0000}"/>
    <cellStyle name="Percent 2 4 2 6" xfId="40712" xr:uid="{00000000-0005-0000-0000-00001D8C0000}"/>
    <cellStyle name="Percent 2 4 2 6 2" xfId="40713" xr:uid="{00000000-0005-0000-0000-00001E8C0000}"/>
    <cellStyle name="Percent 2 4 2 6 2 2" xfId="40714" xr:uid="{00000000-0005-0000-0000-00001F8C0000}"/>
    <cellStyle name="Percent 2 4 2 6 3" xfId="40715" xr:uid="{00000000-0005-0000-0000-0000208C0000}"/>
    <cellStyle name="Percent 2 4 2 6 3 2" xfId="40716" xr:uid="{00000000-0005-0000-0000-0000218C0000}"/>
    <cellStyle name="Percent 2 4 2 6 4" xfId="40717" xr:uid="{00000000-0005-0000-0000-0000228C0000}"/>
    <cellStyle name="Percent 2 4 2 6 4 2" xfId="40718" xr:uid="{00000000-0005-0000-0000-0000238C0000}"/>
    <cellStyle name="Percent 2 4 2 6 5" xfId="40719" xr:uid="{00000000-0005-0000-0000-0000248C0000}"/>
    <cellStyle name="Percent 2 4 2 6 6" xfId="40720" xr:uid="{00000000-0005-0000-0000-0000258C0000}"/>
    <cellStyle name="Percent 2 4 2 7" xfId="40721" xr:uid="{00000000-0005-0000-0000-0000268C0000}"/>
    <cellStyle name="Percent 2 4 2 7 2" xfId="40722" xr:uid="{00000000-0005-0000-0000-0000278C0000}"/>
    <cellStyle name="Percent 2 4 2 7 2 2" xfId="40723" xr:uid="{00000000-0005-0000-0000-0000288C0000}"/>
    <cellStyle name="Percent 2 4 2 7 3" xfId="40724" xr:uid="{00000000-0005-0000-0000-0000298C0000}"/>
    <cellStyle name="Percent 2 4 2 7 3 2" xfId="40725" xr:uid="{00000000-0005-0000-0000-00002A8C0000}"/>
    <cellStyle name="Percent 2 4 2 7 4" xfId="40726" xr:uid="{00000000-0005-0000-0000-00002B8C0000}"/>
    <cellStyle name="Percent 2 4 2 7 4 2" xfId="40727" xr:uid="{00000000-0005-0000-0000-00002C8C0000}"/>
    <cellStyle name="Percent 2 4 2 7 5" xfId="40728" xr:uid="{00000000-0005-0000-0000-00002D8C0000}"/>
    <cellStyle name="Percent 2 4 2 7 6" xfId="40729" xr:uid="{00000000-0005-0000-0000-00002E8C0000}"/>
    <cellStyle name="Percent 2 4 2 8" xfId="40730" xr:uid="{00000000-0005-0000-0000-00002F8C0000}"/>
    <cellStyle name="Percent 2 4 2 8 2" xfId="40731" xr:uid="{00000000-0005-0000-0000-0000308C0000}"/>
    <cellStyle name="Percent 2 4 2 8 2 2" xfId="40732" xr:uid="{00000000-0005-0000-0000-0000318C0000}"/>
    <cellStyle name="Percent 2 4 2 8 3" xfId="40733" xr:uid="{00000000-0005-0000-0000-0000328C0000}"/>
    <cellStyle name="Percent 2 4 2 8 3 2" xfId="40734" xr:uid="{00000000-0005-0000-0000-0000338C0000}"/>
    <cellStyle name="Percent 2 4 2 8 4" xfId="40735" xr:uid="{00000000-0005-0000-0000-0000348C0000}"/>
    <cellStyle name="Percent 2 4 2 8 5" xfId="40736" xr:uid="{00000000-0005-0000-0000-0000358C0000}"/>
    <cellStyle name="Percent 2 4 2 9" xfId="40737" xr:uid="{00000000-0005-0000-0000-0000368C0000}"/>
    <cellStyle name="Percent 2 4 2 9 2" xfId="40738" xr:uid="{00000000-0005-0000-0000-0000378C0000}"/>
    <cellStyle name="Percent 2 4 3" xfId="40739" xr:uid="{00000000-0005-0000-0000-0000388C0000}"/>
    <cellStyle name="Percent 2 4 3 10" xfId="40740" xr:uid="{00000000-0005-0000-0000-0000398C0000}"/>
    <cellStyle name="Percent 2 4 3 10 2" xfId="40741" xr:uid="{00000000-0005-0000-0000-00003A8C0000}"/>
    <cellStyle name="Percent 2 4 3 11" xfId="40742" xr:uid="{00000000-0005-0000-0000-00003B8C0000}"/>
    <cellStyle name="Percent 2 4 3 11 2" xfId="40743" xr:uid="{00000000-0005-0000-0000-00003C8C0000}"/>
    <cellStyle name="Percent 2 4 3 12" xfId="40744" xr:uid="{00000000-0005-0000-0000-00003D8C0000}"/>
    <cellStyle name="Percent 2 4 3 13" xfId="40745" xr:uid="{00000000-0005-0000-0000-00003E8C0000}"/>
    <cellStyle name="Percent 2 4 3 2" xfId="40746" xr:uid="{00000000-0005-0000-0000-00003F8C0000}"/>
    <cellStyle name="Percent 2 4 3 2 10" xfId="40747" xr:uid="{00000000-0005-0000-0000-0000408C0000}"/>
    <cellStyle name="Percent 2 4 3 2 11" xfId="40748" xr:uid="{00000000-0005-0000-0000-0000418C0000}"/>
    <cellStyle name="Percent 2 4 3 2 2" xfId="40749" xr:uid="{00000000-0005-0000-0000-0000428C0000}"/>
    <cellStyle name="Percent 2 4 3 2 2 2" xfId="40750" xr:uid="{00000000-0005-0000-0000-0000438C0000}"/>
    <cellStyle name="Percent 2 4 3 2 2 2 2" xfId="40751" xr:uid="{00000000-0005-0000-0000-0000448C0000}"/>
    <cellStyle name="Percent 2 4 3 2 2 3" xfId="40752" xr:uid="{00000000-0005-0000-0000-0000458C0000}"/>
    <cellStyle name="Percent 2 4 3 2 2 3 2" xfId="40753" xr:uid="{00000000-0005-0000-0000-0000468C0000}"/>
    <cellStyle name="Percent 2 4 3 2 2 4" xfId="40754" xr:uid="{00000000-0005-0000-0000-0000478C0000}"/>
    <cellStyle name="Percent 2 4 3 2 2 4 2" xfId="40755" xr:uid="{00000000-0005-0000-0000-0000488C0000}"/>
    <cellStyle name="Percent 2 4 3 2 2 5" xfId="40756" xr:uid="{00000000-0005-0000-0000-0000498C0000}"/>
    <cellStyle name="Percent 2 4 3 2 2 6" xfId="40757" xr:uid="{00000000-0005-0000-0000-00004A8C0000}"/>
    <cellStyle name="Percent 2 4 3 2 3" xfId="40758" xr:uid="{00000000-0005-0000-0000-00004B8C0000}"/>
    <cellStyle name="Percent 2 4 3 2 3 2" xfId="40759" xr:uid="{00000000-0005-0000-0000-00004C8C0000}"/>
    <cellStyle name="Percent 2 4 3 2 3 2 2" xfId="40760" xr:uid="{00000000-0005-0000-0000-00004D8C0000}"/>
    <cellStyle name="Percent 2 4 3 2 3 3" xfId="40761" xr:uid="{00000000-0005-0000-0000-00004E8C0000}"/>
    <cellStyle name="Percent 2 4 3 2 3 3 2" xfId="40762" xr:uid="{00000000-0005-0000-0000-00004F8C0000}"/>
    <cellStyle name="Percent 2 4 3 2 3 4" xfId="40763" xr:uid="{00000000-0005-0000-0000-0000508C0000}"/>
    <cellStyle name="Percent 2 4 3 2 3 4 2" xfId="40764" xr:uid="{00000000-0005-0000-0000-0000518C0000}"/>
    <cellStyle name="Percent 2 4 3 2 3 5" xfId="40765" xr:uid="{00000000-0005-0000-0000-0000528C0000}"/>
    <cellStyle name="Percent 2 4 3 2 3 6" xfId="40766" xr:uid="{00000000-0005-0000-0000-0000538C0000}"/>
    <cellStyle name="Percent 2 4 3 2 4" xfId="40767" xr:uid="{00000000-0005-0000-0000-0000548C0000}"/>
    <cellStyle name="Percent 2 4 3 2 4 2" xfId="40768" xr:uid="{00000000-0005-0000-0000-0000558C0000}"/>
    <cellStyle name="Percent 2 4 3 2 4 2 2" xfId="40769" xr:uid="{00000000-0005-0000-0000-0000568C0000}"/>
    <cellStyle name="Percent 2 4 3 2 4 3" xfId="40770" xr:uid="{00000000-0005-0000-0000-0000578C0000}"/>
    <cellStyle name="Percent 2 4 3 2 4 3 2" xfId="40771" xr:uid="{00000000-0005-0000-0000-0000588C0000}"/>
    <cellStyle name="Percent 2 4 3 2 4 4" xfId="40772" xr:uid="{00000000-0005-0000-0000-0000598C0000}"/>
    <cellStyle name="Percent 2 4 3 2 4 4 2" xfId="40773" xr:uid="{00000000-0005-0000-0000-00005A8C0000}"/>
    <cellStyle name="Percent 2 4 3 2 4 5" xfId="40774" xr:uid="{00000000-0005-0000-0000-00005B8C0000}"/>
    <cellStyle name="Percent 2 4 3 2 4 6" xfId="40775" xr:uid="{00000000-0005-0000-0000-00005C8C0000}"/>
    <cellStyle name="Percent 2 4 3 2 5" xfId="40776" xr:uid="{00000000-0005-0000-0000-00005D8C0000}"/>
    <cellStyle name="Percent 2 4 3 2 5 2" xfId="40777" xr:uid="{00000000-0005-0000-0000-00005E8C0000}"/>
    <cellStyle name="Percent 2 4 3 2 5 2 2" xfId="40778" xr:uid="{00000000-0005-0000-0000-00005F8C0000}"/>
    <cellStyle name="Percent 2 4 3 2 5 3" xfId="40779" xr:uid="{00000000-0005-0000-0000-0000608C0000}"/>
    <cellStyle name="Percent 2 4 3 2 5 3 2" xfId="40780" xr:uid="{00000000-0005-0000-0000-0000618C0000}"/>
    <cellStyle name="Percent 2 4 3 2 5 4" xfId="40781" xr:uid="{00000000-0005-0000-0000-0000628C0000}"/>
    <cellStyle name="Percent 2 4 3 2 5 4 2" xfId="40782" xr:uid="{00000000-0005-0000-0000-0000638C0000}"/>
    <cellStyle name="Percent 2 4 3 2 5 5" xfId="40783" xr:uid="{00000000-0005-0000-0000-0000648C0000}"/>
    <cellStyle name="Percent 2 4 3 2 5 6" xfId="40784" xr:uid="{00000000-0005-0000-0000-0000658C0000}"/>
    <cellStyle name="Percent 2 4 3 2 6" xfId="40785" xr:uid="{00000000-0005-0000-0000-0000668C0000}"/>
    <cellStyle name="Percent 2 4 3 2 6 2" xfId="40786" xr:uid="{00000000-0005-0000-0000-0000678C0000}"/>
    <cellStyle name="Percent 2 4 3 2 6 2 2" xfId="40787" xr:uid="{00000000-0005-0000-0000-0000688C0000}"/>
    <cellStyle name="Percent 2 4 3 2 6 3" xfId="40788" xr:uid="{00000000-0005-0000-0000-0000698C0000}"/>
    <cellStyle name="Percent 2 4 3 2 6 3 2" xfId="40789" xr:uid="{00000000-0005-0000-0000-00006A8C0000}"/>
    <cellStyle name="Percent 2 4 3 2 6 4" xfId="40790" xr:uid="{00000000-0005-0000-0000-00006B8C0000}"/>
    <cellStyle name="Percent 2 4 3 2 6 5" xfId="40791" xr:uid="{00000000-0005-0000-0000-00006C8C0000}"/>
    <cellStyle name="Percent 2 4 3 2 7" xfId="40792" xr:uid="{00000000-0005-0000-0000-00006D8C0000}"/>
    <cellStyle name="Percent 2 4 3 2 7 2" xfId="40793" xr:uid="{00000000-0005-0000-0000-00006E8C0000}"/>
    <cellStyle name="Percent 2 4 3 2 8" xfId="40794" xr:uid="{00000000-0005-0000-0000-00006F8C0000}"/>
    <cellStyle name="Percent 2 4 3 2 8 2" xfId="40795" xr:uid="{00000000-0005-0000-0000-0000708C0000}"/>
    <cellStyle name="Percent 2 4 3 2 9" xfId="40796" xr:uid="{00000000-0005-0000-0000-0000718C0000}"/>
    <cellStyle name="Percent 2 4 3 2 9 2" xfId="40797" xr:uid="{00000000-0005-0000-0000-0000728C0000}"/>
    <cellStyle name="Percent 2 4 3 3" xfId="40798" xr:uid="{00000000-0005-0000-0000-0000738C0000}"/>
    <cellStyle name="Percent 2 4 3 3 10" xfId="40799" xr:uid="{00000000-0005-0000-0000-0000748C0000}"/>
    <cellStyle name="Percent 2 4 3 3 2" xfId="40800" xr:uid="{00000000-0005-0000-0000-0000758C0000}"/>
    <cellStyle name="Percent 2 4 3 3 2 2" xfId="40801" xr:uid="{00000000-0005-0000-0000-0000768C0000}"/>
    <cellStyle name="Percent 2 4 3 3 2 2 2" xfId="40802" xr:uid="{00000000-0005-0000-0000-0000778C0000}"/>
    <cellStyle name="Percent 2 4 3 3 2 3" xfId="40803" xr:uid="{00000000-0005-0000-0000-0000788C0000}"/>
    <cellStyle name="Percent 2 4 3 3 2 3 2" xfId="40804" xr:uid="{00000000-0005-0000-0000-0000798C0000}"/>
    <cellStyle name="Percent 2 4 3 3 2 4" xfId="40805" xr:uid="{00000000-0005-0000-0000-00007A8C0000}"/>
    <cellStyle name="Percent 2 4 3 3 2 4 2" xfId="40806" xr:uid="{00000000-0005-0000-0000-00007B8C0000}"/>
    <cellStyle name="Percent 2 4 3 3 2 5" xfId="40807" xr:uid="{00000000-0005-0000-0000-00007C8C0000}"/>
    <cellStyle name="Percent 2 4 3 3 2 6" xfId="40808" xr:uid="{00000000-0005-0000-0000-00007D8C0000}"/>
    <cellStyle name="Percent 2 4 3 3 3" xfId="40809" xr:uid="{00000000-0005-0000-0000-00007E8C0000}"/>
    <cellStyle name="Percent 2 4 3 3 3 2" xfId="40810" xr:uid="{00000000-0005-0000-0000-00007F8C0000}"/>
    <cellStyle name="Percent 2 4 3 3 3 2 2" xfId="40811" xr:uid="{00000000-0005-0000-0000-0000808C0000}"/>
    <cellStyle name="Percent 2 4 3 3 3 3" xfId="40812" xr:uid="{00000000-0005-0000-0000-0000818C0000}"/>
    <cellStyle name="Percent 2 4 3 3 3 3 2" xfId="40813" xr:uid="{00000000-0005-0000-0000-0000828C0000}"/>
    <cellStyle name="Percent 2 4 3 3 3 4" xfId="40814" xr:uid="{00000000-0005-0000-0000-0000838C0000}"/>
    <cellStyle name="Percent 2 4 3 3 3 4 2" xfId="40815" xr:uid="{00000000-0005-0000-0000-0000848C0000}"/>
    <cellStyle name="Percent 2 4 3 3 3 5" xfId="40816" xr:uid="{00000000-0005-0000-0000-0000858C0000}"/>
    <cellStyle name="Percent 2 4 3 3 3 6" xfId="40817" xr:uid="{00000000-0005-0000-0000-0000868C0000}"/>
    <cellStyle name="Percent 2 4 3 3 4" xfId="40818" xr:uid="{00000000-0005-0000-0000-0000878C0000}"/>
    <cellStyle name="Percent 2 4 3 3 4 2" xfId="40819" xr:uid="{00000000-0005-0000-0000-0000888C0000}"/>
    <cellStyle name="Percent 2 4 3 3 4 2 2" xfId="40820" xr:uid="{00000000-0005-0000-0000-0000898C0000}"/>
    <cellStyle name="Percent 2 4 3 3 4 3" xfId="40821" xr:uid="{00000000-0005-0000-0000-00008A8C0000}"/>
    <cellStyle name="Percent 2 4 3 3 4 3 2" xfId="40822" xr:uid="{00000000-0005-0000-0000-00008B8C0000}"/>
    <cellStyle name="Percent 2 4 3 3 4 4" xfId="40823" xr:uid="{00000000-0005-0000-0000-00008C8C0000}"/>
    <cellStyle name="Percent 2 4 3 3 4 4 2" xfId="40824" xr:uid="{00000000-0005-0000-0000-00008D8C0000}"/>
    <cellStyle name="Percent 2 4 3 3 4 5" xfId="40825" xr:uid="{00000000-0005-0000-0000-00008E8C0000}"/>
    <cellStyle name="Percent 2 4 3 3 4 6" xfId="40826" xr:uid="{00000000-0005-0000-0000-00008F8C0000}"/>
    <cellStyle name="Percent 2 4 3 3 5" xfId="40827" xr:uid="{00000000-0005-0000-0000-0000908C0000}"/>
    <cellStyle name="Percent 2 4 3 3 5 2" xfId="40828" xr:uid="{00000000-0005-0000-0000-0000918C0000}"/>
    <cellStyle name="Percent 2 4 3 3 5 2 2" xfId="40829" xr:uid="{00000000-0005-0000-0000-0000928C0000}"/>
    <cellStyle name="Percent 2 4 3 3 5 3" xfId="40830" xr:uid="{00000000-0005-0000-0000-0000938C0000}"/>
    <cellStyle name="Percent 2 4 3 3 5 3 2" xfId="40831" xr:uid="{00000000-0005-0000-0000-0000948C0000}"/>
    <cellStyle name="Percent 2 4 3 3 5 4" xfId="40832" xr:uid="{00000000-0005-0000-0000-0000958C0000}"/>
    <cellStyle name="Percent 2 4 3 3 5 5" xfId="40833" xr:uid="{00000000-0005-0000-0000-0000968C0000}"/>
    <cellStyle name="Percent 2 4 3 3 6" xfId="40834" xr:uid="{00000000-0005-0000-0000-0000978C0000}"/>
    <cellStyle name="Percent 2 4 3 3 6 2" xfId="40835" xr:uid="{00000000-0005-0000-0000-0000988C0000}"/>
    <cellStyle name="Percent 2 4 3 3 7" xfId="40836" xr:uid="{00000000-0005-0000-0000-0000998C0000}"/>
    <cellStyle name="Percent 2 4 3 3 7 2" xfId="40837" xr:uid="{00000000-0005-0000-0000-00009A8C0000}"/>
    <cellStyle name="Percent 2 4 3 3 8" xfId="40838" xr:uid="{00000000-0005-0000-0000-00009B8C0000}"/>
    <cellStyle name="Percent 2 4 3 3 8 2" xfId="40839" xr:uid="{00000000-0005-0000-0000-00009C8C0000}"/>
    <cellStyle name="Percent 2 4 3 3 9" xfId="40840" xr:uid="{00000000-0005-0000-0000-00009D8C0000}"/>
    <cellStyle name="Percent 2 4 3 4" xfId="40841" xr:uid="{00000000-0005-0000-0000-00009E8C0000}"/>
    <cellStyle name="Percent 2 4 3 4 10" xfId="40842" xr:uid="{00000000-0005-0000-0000-00009F8C0000}"/>
    <cellStyle name="Percent 2 4 3 4 2" xfId="40843" xr:uid="{00000000-0005-0000-0000-0000A08C0000}"/>
    <cellStyle name="Percent 2 4 3 4 2 2" xfId="40844" xr:uid="{00000000-0005-0000-0000-0000A18C0000}"/>
    <cellStyle name="Percent 2 4 3 4 2 2 2" xfId="40845" xr:uid="{00000000-0005-0000-0000-0000A28C0000}"/>
    <cellStyle name="Percent 2 4 3 4 2 3" xfId="40846" xr:uid="{00000000-0005-0000-0000-0000A38C0000}"/>
    <cellStyle name="Percent 2 4 3 4 2 3 2" xfId="40847" xr:uid="{00000000-0005-0000-0000-0000A48C0000}"/>
    <cellStyle name="Percent 2 4 3 4 2 4" xfId="40848" xr:uid="{00000000-0005-0000-0000-0000A58C0000}"/>
    <cellStyle name="Percent 2 4 3 4 2 4 2" xfId="40849" xr:uid="{00000000-0005-0000-0000-0000A68C0000}"/>
    <cellStyle name="Percent 2 4 3 4 2 5" xfId="40850" xr:uid="{00000000-0005-0000-0000-0000A78C0000}"/>
    <cellStyle name="Percent 2 4 3 4 2 6" xfId="40851" xr:uid="{00000000-0005-0000-0000-0000A88C0000}"/>
    <cellStyle name="Percent 2 4 3 4 3" xfId="40852" xr:uid="{00000000-0005-0000-0000-0000A98C0000}"/>
    <cellStyle name="Percent 2 4 3 4 3 2" xfId="40853" xr:uid="{00000000-0005-0000-0000-0000AA8C0000}"/>
    <cellStyle name="Percent 2 4 3 4 3 2 2" xfId="40854" xr:uid="{00000000-0005-0000-0000-0000AB8C0000}"/>
    <cellStyle name="Percent 2 4 3 4 3 3" xfId="40855" xr:uid="{00000000-0005-0000-0000-0000AC8C0000}"/>
    <cellStyle name="Percent 2 4 3 4 3 3 2" xfId="40856" xr:uid="{00000000-0005-0000-0000-0000AD8C0000}"/>
    <cellStyle name="Percent 2 4 3 4 3 4" xfId="40857" xr:uid="{00000000-0005-0000-0000-0000AE8C0000}"/>
    <cellStyle name="Percent 2 4 3 4 3 4 2" xfId="40858" xr:uid="{00000000-0005-0000-0000-0000AF8C0000}"/>
    <cellStyle name="Percent 2 4 3 4 3 5" xfId="40859" xr:uid="{00000000-0005-0000-0000-0000B08C0000}"/>
    <cellStyle name="Percent 2 4 3 4 3 6" xfId="40860" xr:uid="{00000000-0005-0000-0000-0000B18C0000}"/>
    <cellStyle name="Percent 2 4 3 4 4" xfId="40861" xr:uid="{00000000-0005-0000-0000-0000B28C0000}"/>
    <cellStyle name="Percent 2 4 3 4 4 2" xfId="40862" xr:uid="{00000000-0005-0000-0000-0000B38C0000}"/>
    <cellStyle name="Percent 2 4 3 4 4 2 2" xfId="40863" xr:uid="{00000000-0005-0000-0000-0000B48C0000}"/>
    <cellStyle name="Percent 2 4 3 4 4 3" xfId="40864" xr:uid="{00000000-0005-0000-0000-0000B58C0000}"/>
    <cellStyle name="Percent 2 4 3 4 4 3 2" xfId="40865" xr:uid="{00000000-0005-0000-0000-0000B68C0000}"/>
    <cellStyle name="Percent 2 4 3 4 4 4" xfId="40866" xr:uid="{00000000-0005-0000-0000-0000B78C0000}"/>
    <cellStyle name="Percent 2 4 3 4 4 4 2" xfId="40867" xr:uid="{00000000-0005-0000-0000-0000B88C0000}"/>
    <cellStyle name="Percent 2 4 3 4 4 5" xfId="40868" xr:uid="{00000000-0005-0000-0000-0000B98C0000}"/>
    <cellStyle name="Percent 2 4 3 4 4 6" xfId="40869" xr:uid="{00000000-0005-0000-0000-0000BA8C0000}"/>
    <cellStyle name="Percent 2 4 3 4 5" xfId="40870" xr:uid="{00000000-0005-0000-0000-0000BB8C0000}"/>
    <cellStyle name="Percent 2 4 3 4 5 2" xfId="40871" xr:uid="{00000000-0005-0000-0000-0000BC8C0000}"/>
    <cellStyle name="Percent 2 4 3 4 5 2 2" xfId="40872" xr:uid="{00000000-0005-0000-0000-0000BD8C0000}"/>
    <cellStyle name="Percent 2 4 3 4 5 3" xfId="40873" xr:uid="{00000000-0005-0000-0000-0000BE8C0000}"/>
    <cellStyle name="Percent 2 4 3 4 5 3 2" xfId="40874" xr:uid="{00000000-0005-0000-0000-0000BF8C0000}"/>
    <cellStyle name="Percent 2 4 3 4 5 4" xfId="40875" xr:uid="{00000000-0005-0000-0000-0000C08C0000}"/>
    <cellStyle name="Percent 2 4 3 4 5 5" xfId="40876" xr:uid="{00000000-0005-0000-0000-0000C18C0000}"/>
    <cellStyle name="Percent 2 4 3 4 6" xfId="40877" xr:uid="{00000000-0005-0000-0000-0000C28C0000}"/>
    <cellStyle name="Percent 2 4 3 4 6 2" xfId="40878" xr:uid="{00000000-0005-0000-0000-0000C38C0000}"/>
    <cellStyle name="Percent 2 4 3 4 7" xfId="40879" xr:uid="{00000000-0005-0000-0000-0000C48C0000}"/>
    <cellStyle name="Percent 2 4 3 4 7 2" xfId="40880" xr:uid="{00000000-0005-0000-0000-0000C58C0000}"/>
    <cellStyle name="Percent 2 4 3 4 8" xfId="40881" xr:uid="{00000000-0005-0000-0000-0000C68C0000}"/>
    <cellStyle name="Percent 2 4 3 4 8 2" xfId="40882" xr:uid="{00000000-0005-0000-0000-0000C78C0000}"/>
    <cellStyle name="Percent 2 4 3 4 9" xfId="40883" xr:uid="{00000000-0005-0000-0000-0000C88C0000}"/>
    <cellStyle name="Percent 2 4 3 5" xfId="40884" xr:uid="{00000000-0005-0000-0000-0000C98C0000}"/>
    <cellStyle name="Percent 2 4 3 5 2" xfId="40885" xr:uid="{00000000-0005-0000-0000-0000CA8C0000}"/>
    <cellStyle name="Percent 2 4 3 5 2 2" xfId="40886" xr:uid="{00000000-0005-0000-0000-0000CB8C0000}"/>
    <cellStyle name="Percent 2 4 3 5 3" xfId="40887" xr:uid="{00000000-0005-0000-0000-0000CC8C0000}"/>
    <cellStyle name="Percent 2 4 3 5 3 2" xfId="40888" xr:uid="{00000000-0005-0000-0000-0000CD8C0000}"/>
    <cellStyle name="Percent 2 4 3 5 4" xfId="40889" xr:uid="{00000000-0005-0000-0000-0000CE8C0000}"/>
    <cellStyle name="Percent 2 4 3 5 4 2" xfId="40890" xr:uid="{00000000-0005-0000-0000-0000CF8C0000}"/>
    <cellStyle name="Percent 2 4 3 5 5" xfId="40891" xr:uid="{00000000-0005-0000-0000-0000D08C0000}"/>
    <cellStyle name="Percent 2 4 3 5 6" xfId="40892" xr:uid="{00000000-0005-0000-0000-0000D18C0000}"/>
    <cellStyle name="Percent 2 4 3 6" xfId="40893" xr:uid="{00000000-0005-0000-0000-0000D28C0000}"/>
    <cellStyle name="Percent 2 4 3 6 2" xfId="40894" xr:uid="{00000000-0005-0000-0000-0000D38C0000}"/>
    <cellStyle name="Percent 2 4 3 6 2 2" xfId="40895" xr:uid="{00000000-0005-0000-0000-0000D48C0000}"/>
    <cellStyle name="Percent 2 4 3 6 3" xfId="40896" xr:uid="{00000000-0005-0000-0000-0000D58C0000}"/>
    <cellStyle name="Percent 2 4 3 6 3 2" xfId="40897" xr:uid="{00000000-0005-0000-0000-0000D68C0000}"/>
    <cellStyle name="Percent 2 4 3 6 4" xfId="40898" xr:uid="{00000000-0005-0000-0000-0000D78C0000}"/>
    <cellStyle name="Percent 2 4 3 6 4 2" xfId="40899" xr:uid="{00000000-0005-0000-0000-0000D88C0000}"/>
    <cellStyle name="Percent 2 4 3 6 5" xfId="40900" xr:uid="{00000000-0005-0000-0000-0000D98C0000}"/>
    <cellStyle name="Percent 2 4 3 6 6" xfId="40901" xr:uid="{00000000-0005-0000-0000-0000DA8C0000}"/>
    <cellStyle name="Percent 2 4 3 7" xfId="40902" xr:uid="{00000000-0005-0000-0000-0000DB8C0000}"/>
    <cellStyle name="Percent 2 4 3 7 2" xfId="40903" xr:uid="{00000000-0005-0000-0000-0000DC8C0000}"/>
    <cellStyle name="Percent 2 4 3 7 2 2" xfId="40904" xr:uid="{00000000-0005-0000-0000-0000DD8C0000}"/>
    <cellStyle name="Percent 2 4 3 7 3" xfId="40905" xr:uid="{00000000-0005-0000-0000-0000DE8C0000}"/>
    <cellStyle name="Percent 2 4 3 7 3 2" xfId="40906" xr:uid="{00000000-0005-0000-0000-0000DF8C0000}"/>
    <cellStyle name="Percent 2 4 3 7 4" xfId="40907" xr:uid="{00000000-0005-0000-0000-0000E08C0000}"/>
    <cellStyle name="Percent 2 4 3 7 4 2" xfId="40908" xr:uid="{00000000-0005-0000-0000-0000E18C0000}"/>
    <cellStyle name="Percent 2 4 3 7 5" xfId="40909" xr:uid="{00000000-0005-0000-0000-0000E28C0000}"/>
    <cellStyle name="Percent 2 4 3 7 6" xfId="40910" xr:uid="{00000000-0005-0000-0000-0000E38C0000}"/>
    <cellStyle name="Percent 2 4 3 8" xfId="40911" xr:uid="{00000000-0005-0000-0000-0000E48C0000}"/>
    <cellStyle name="Percent 2 4 3 8 2" xfId="40912" xr:uid="{00000000-0005-0000-0000-0000E58C0000}"/>
    <cellStyle name="Percent 2 4 3 8 2 2" xfId="40913" xr:uid="{00000000-0005-0000-0000-0000E68C0000}"/>
    <cellStyle name="Percent 2 4 3 8 3" xfId="40914" xr:uid="{00000000-0005-0000-0000-0000E78C0000}"/>
    <cellStyle name="Percent 2 4 3 8 3 2" xfId="40915" xr:uid="{00000000-0005-0000-0000-0000E88C0000}"/>
    <cellStyle name="Percent 2 4 3 8 4" xfId="40916" xr:uid="{00000000-0005-0000-0000-0000E98C0000}"/>
    <cellStyle name="Percent 2 4 3 8 5" xfId="40917" xr:uid="{00000000-0005-0000-0000-0000EA8C0000}"/>
    <cellStyle name="Percent 2 4 3 9" xfId="40918" xr:uid="{00000000-0005-0000-0000-0000EB8C0000}"/>
    <cellStyle name="Percent 2 4 3 9 2" xfId="40919" xr:uid="{00000000-0005-0000-0000-0000EC8C0000}"/>
    <cellStyle name="Percent 2 4 4" xfId="40920" xr:uid="{00000000-0005-0000-0000-0000ED8C0000}"/>
    <cellStyle name="Percent 2 4 4 10" xfId="40921" xr:uid="{00000000-0005-0000-0000-0000EE8C0000}"/>
    <cellStyle name="Percent 2 4 4 10 2" xfId="40922" xr:uid="{00000000-0005-0000-0000-0000EF8C0000}"/>
    <cellStyle name="Percent 2 4 4 11" xfId="40923" xr:uid="{00000000-0005-0000-0000-0000F08C0000}"/>
    <cellStyle name="Percent 2 4 4 12" xfId="40924" xr:uid="{00000000-0005-0000-0000-0000F18C0000}"/>
    <cellStyle name="Percent 2 4 4 2" xfId="40925" xr:uid="{00000000-0005-0000-0000-0000F28C0000}"/>
    <cellStyle name="Percent 2 4 4 2 10" xfId="40926" xr:uid="{00000000-0005-0000-0000-0000F38C0000}"/>
    <cellStyle name="Percent 2 4 4 2 2" xfId="40927" xr:uid="{00000000-0005-0000-0000-0000F48C0000}"/>
    <cellStyle name="Percent 2 4 4 2 2 2" xfId="40928" xr:uid="{00000000-0005-0000-0000-0000F58C0000}"/>
    <cellStyle name="Percent 2 4 4 2 2 2 2" xfId="40929" xr:uid="{00000000-0005-0000-0000-0000F68C0000}"/>
    <cellStyle name="Percent 2 4 4 2 2 3" xfId="40930" xr:uid="{00000000-0005-0000-0000-0000F78C0000}"/>
    <cellStyle name="Percent 2 4 4 2 2 3 2" xfId="40931" xr:uid="{00000000-0005-0000-0000-0000F88C0000}"/>
    <cellStyle name="Percent 2 4 4 2 2 4" xfId="40932" xr:uid="{00000000-0005-0000-0000-0000F98C0000}"/>
    <cellStyle name="Percent 2 4 4 2 2 4 2" xfId="40933" xr:uid="{00000000-0005-0000-0000-0000FA8C0000}"/>
    <cellStyle name="Percent 2 4 4 2 2 5" xfId="40934" xr:uid="{00000000-0005-0000-0000-0000FB8C0000}"/>
    <cellStyle name="Percent 2 4 4 2 2 6" xfId="40935" xr:uid="{00000000-0005-0000-0000-0000FC8C0000}"/>
    <cellStyle name="Percent 2 4 4 2 3" xfId="40936" xr:uid="{00000000-0005-0000-0000-0000FD8C0000}"/>
    <cellStyle name="Percent 2 4 4 2 3 2" xfId="40937" xr:uid="{00000000-0005-0000-0000-0000FE8C0000}"/>
    <cellStyle name="Percent 2 4 4 2 3 2 2" xfId="40938" xr:uid="{00000000-0005-0000-0000-0000FF8C0000}"/>
    <cellStyle name="Percent 2 4 4 2 3 3" xfId="40939" xr:uid="{00000000-0005-0000-0000-0000008D0000}"/>
    <cellStyle name="Percent 2 4 4 2 3 3 2" xfId="40940" xr:uid="{00000000-0005-0000-0000-0000018D0000}"/>
    <cellStyle name="Percent 2 4 4 2 3 4" xfId="40941" xr:uid="{00000000-0005-0000-0000-0000028D0000}"/>
    <cellStyle name="Percent 2 4 4 2 3 4 2" xfId="40942" xr:uid="{00000000-0005-0000-0000-0000038D0000}"/>
    <cellStyle name="Percent 2 4 4 2 3 5" xfId="40943" xr:uid="{00000000-0005-0000-0000-0000048D0000}"/>
    <cellStyle name="Percent 2 4 4 2 3 6" xfId="40944" xr:uid="{00000000-0005-0000-0000-0000058D0000}"/>
    <cellStyle name="Percent 2 4 4 2 4" xfId="40945" xr:uid="{00000000-0005-0000-0000-0000068D0000}"/>
    <cellStyle name="Percent 2 4 4 2 4 2" xfId="40946" xr:uid="{00000000-0005-0000-0000-0000078D0000}"/>
    <cellStyle name="Percent 2 4 4 2 4 2 2" xfId="40947" xr:uid="{00000000-0005-0000-0000-0000088D0000}"/>
    <cellStyle name="Percent 2 4 4 2 4 3" xfId="40948" xr:uid="{00000000-0005-0000-0000-0000098D0000}"/>
    <cellStyle name="Percent 2 4 4 2 4 3 2" xfId="40949" xr:uid="{00000000-0005-0000-0000-00000A8D0000}"/>
    <cellStyle name="Percent 2 4 4 2 4 4" xfId="40950" xr:uid="{00000000-0005-0000-0000-00000B8D0000}"/>
    <cellStyle name="Percent 2 4 4 2 4 4 2" xfId="40951" xr:uid="{00000000-0005-0000-0000-00000C8D0000}"/>
    <cellStyle name="Percent 2 4 4 2 4 5" xfId="40952" xr:uid="{00000000-0005-0000-0000-00000D8D0000}"/>
    <cellStyle name="Percent 2 4 4 2 4 6" xfId="40953" xr:uid="{00000000-0005-0000-0000-00000E8D0000}"/>
    <cellStyle name="Percent 2 4 4 2 5" xfId="40954" xr:uid="{00000000-0005-0000-0000-00000F8D0000}"/>
    <cellStyle name="Percent 2 4 4 2 5 2" xfId="40955" xr:uid="{00000000-0005-0000-0000-0000108D0000}"/>
    <cellStyle name="Percent 2 4 4 2 5 2 2" xfId="40956" xr:uid="{00000000-0005-0000-0000-0000118D0000}"/>
    <cellStyle name="Percent 2 4 4 2 5 3" xfId="40957" xr:uid="{00000000-0005-0000-0000-0000128D0000}"/>
    <cellStyle name="Percent 2 4 4 2 5 3 2" xfId="40958" xr:uid="{00000000-0005-0000-0000-0000138D0000}"/>
    <cellStyle name="Percent 2 4 4 2 5 4" xfId="40959" xr:uid="{00000000-0005-0000-0000-0000148D0000}"/>
    <cellStyle name="Percent 2 4 4 2 5 5" xfId="40960" xr:uid="{00000000-0005-0000-0000-0000158D0000}"/>
    <cellStyle name="Percent 2 4 4 2 6" xfId="40961" xr:uid="{00000000-0005-0000-0000-0000168D0000}"/>
    <cellStyle name="Percent 2 4 4 2 6 2" xfId="40962" xr:uid="{00000000-0005-0000-0000-0000178D0000}"/>
    <cellStyle name="Percent 2 4 4 2 7" xfId="40963" xr:uid="{00000000-0005-0000-0000-0000188D0000}"/>
    <cellStyle name="Percent 2 4 4 2 7 2" xfId="40964" xr:uid="{00000000-0005-0000-0000-0000198D0000}"/>
    <cellStyle name="Percent 2 4 4 2 8" xfId="40965" xr:uid="{00000000-0005-0000-0000-00001A8D0000}"/>
    <cellStyle name="Percent 2 4 4 2 8 2" xfId="40966" xr:uid="{00000000-0005-0000-0000-00001B8D0000}"/>
    <cellStyle name="Percent 2 4 4 2 9" xfId="40967" xr:uid="{00000000-0005-0000-0000-00001C8D0000}"/>
    <cellStyle name="Percent 2 4 4 3" xfId="40968" xr:uid="{00000000-0005-0000-0000-00001D8D0000}"/>
    <cellStyle name="Percent 2 4 4 3 10" xfId="40969" xr:uid="{00000000-0005-0000-0000-00001E8D0000}"/>
    <cellStyle name="Percent 2 4 4 3 2" xfId="40970" xr:uid="{00000000-0005-0000-0000-00001F8D0000}"/>
    <cellStyle name="Percent 2 4 4 3 2 2" xfId="40971" xr:uid="{00000000-0005-0000-0000-0000208D0000}"/>
    <cellStyle name="Percent 2 4 4 3 2 2 2" xfId="40972" xr:uid="{00000000-0005-0000-0000-0000218D0000}"/>
    <cellStyle name="Percent 2 4 4 3 2 3" xfId="40973" xr:uid="{00000000-0005-0000-0000-0000228D0000}"/>
    <cellStyle name="Percent 2 4 4 3 2 3 2" xfId="40974" xr:uid="{00000000-0005-0000-0000-0000238D0000}"/>
    <cellStyle name="Percent 2 4 4 3 2 4" xfId="40975" xr:uid="{00000000-0005-0000-0000-0000248D0000}"/>
    <cellStyle name="Percent 2 4 4 3 2 4 2" xfId="40976" xr:uid="{00000000-0005-0000-0000-0000258D0000}"/>
    <cellStyle name="Percent 2 4 4 3 2 5" xfId="40977" xr:uid="{00000000-0005-0000-0000-0000268D0000}"/>
    <cellStyle name="Percent 2 4 4 3 2 6" xfId="40978" xr:uid="{00000000-0005-0000-0000-0000278D0000}"/>
    <cellStyle name="Percent 2 4 4 3 3" xfId="40979" xr:uid="{00000000-0005-0000-0000-0000288D0000}"/>
    <cellStyle name="Percent 2 4 4 3 3 2" xfId="40980" xr:uid="{00000000-0005-0000-0000-0000298D0000}"/>
    <cellStyle name="Percent 2 4 4 3 3 2 2" xfId="40981" xr:uid="{00000000-0005-0000-0000-00002A8D0000}"/>
    <cellStyle name="Percent 2 4 4 3 3 3" xfId="40982" xr:uid="{00000000-0005-0000-0000-00002B8D0000}"/>
    <cellStyle name="Percent 2 4 4 3 3 3 2" xfId="40983" xr:uid="{00000000-0005-0000-0000-00002C8D0000}"/>
    <cellStyle name="Percent 2 4 4 3 3 4" xfId="40984" xr:uid="{00000000-0005-0000-0000-00002D8D0000}"/>
    <cellStyle name="Percent 2 4 4 3 3 4 2" xfId="40985" xr:uid="{00000000-0005-0000-0000-00002E8D0000}"/>
    <cellStyle name="Percent 2 4 4 3 3 5" xfId="40986" xr:uid="{00000000-0005-0000-0000-00002F8D0000}"/>
    <cellStyle name="Percent 2 4 4 3 3 6" xfId="40987" xr:uid="{00000000-0005-0000-0000-0000308D0000}"/>
    <cellStyle name="Percent 2 4 4 3 4" xfId="40988" xr:uid="{00000000-0005-0000-0000-0000318D0000}"/>
    <cellStyle name="Percent 2 4 4 3 4 2" xfId="40989" xr:uid="{00000000-0005-0000-0000-0000328D0000}"/>
    <cellStyle name="Percent 2 4 4 3 4 2 2" xfId="40990" xr:uid="{00000000-0005-0000-0000-0000338D0000}"/>
    <cellStyle name="Percent 2 4 4 3 4 3" xfId="40991" xr:uid="{00000000-0005-0000-0000-0000348D0000}"/>
    <cellStyle name="Percent 2 4 4 3 4 3 2" xfId="40992" xr:uid="{00000000-0005-0000-0000-0000358D0000}"/>
    <cellStyle name="Percent 2 4 4 3 4 4" xfId="40993" xr:uid="{00000000-0005-0000-0000-0000368D0000}"/>
    <cellStyle name="Percent 2 4 4 3 4 4 2" xfId="40994" xr:uid="{00000000-0005-0000-0000-0000378D0000}"/>
    <cellStyle name="Percent 2 4 4 3 4 5" xfId="40995" xr:uid="{00000000-0005-0000-0000-0000388D0000}"/>
    <cellStyle name="Percent 2 4 4 3 4 6" xfId="40996" xr:uid="{00000000-0005-0000-0000-0000398D0000}"/>
    <cellStyle name="Percent 2 4 4 3 5" xfId="40997" xr:uid="{00000000-0005-0000-0000-00003A8D0000}"/>
    <cellStyle name="Percent 2 4 4 3 5 2" xfId="40998" xr:uid="{00000000-0005-0000-0000-00003B8D0000}"/>
    <cellStyle name="Percent 2 4 4 3 5 2 2" xfId="40999" xr:uid="{00000000-0005-0000-0000-00003C8D0000}"/>
    <cellStyle name="Percent 2 4 4 3 5 3" xfId="41000" xr:uid="{00000000-0005-0000-0000-00003D8D0000}"/>
    <cellStyle name="Percent 2 4 4 3 5 3 2" xfId="41001" xr:uid="{00000000-0005-0000-0000-00003E8D0000}"/>
    <cellStyle name="Percent 2 4 4 3 5 4" xfId="41002" xr:uid="{00000000-0005-0000-0000-00003F8D0000}"/>
    <cellStyle name="Percent 2 4 4 3 5 5" xfId="41003" xr:uid="{00000000-0005-0000-0000-0000408D0000}"/>
    <cellStyle name="Percent 2 4 4 3 6" xfId="41004" xr:uid="{00000000-0005-0000-0000-0000418D0000}"/>
    <cellStyle name="Percent 2 4 4 3 6 2" xfId="41005" xr:uid="{00000000-0005-0000-0000-0000428D0000}"/>
    <cellStyle name="Percent 2 4 4 3 7" xfId="41006" xr:uid="{00000000-0005-0000-0000-0000438D0000}"/>
    <cellStyle name="Percent 2 4 4 3 7 2" xfId="41007" xr:uid="{00000000-0005-0000-0000-0000448D0000}"/>
    <cellStyle name="Percent 2 4 4 3 8" xfId="41008" xr:uid="{00000000-0005-0000-0000-0000458D0000}"/>
    <cellStyle name="Percent 2 4 4 3 8 2" xfId="41009" xr:uid="{00000000-0005-0000-0000-0000468D0000}"/>
    <cellStyle name="Percent 2 4 4 3 9" xfId="41010" xr:uid="{00000000-0005-0000-0000-0000478D0000}"/>
    <cellStyle name="Percent 2 4 4 4" xfId="41011" xr:uid="{00000000-0005-0000-0000-0000488D0000}"/>
    <cellStyle name="Percent 2 4 4 4 2" xfId="41012" xr:uid="{00000000-0005-0000-0000-0000498D0000}"/>
    <cellStyle name="Percent 2 4 4 4 2 2" xfId="41013" xr:uid="{00000000-0005-0000-0000-00004A8D0000}"/>
    <cellStyle name="Percent 2 4 4 4 3" xfId="41014" xr:uid="{00000000-0005-0000-0000-00004B8D0000}"/>
    <cellStyle name="Percent 2 4 4 4 3 2" xfId="41015" xr:uid="{00000000-0005-0000-0000-00004C8D0000}"/>
    <cellStyle name="Percent 2 4 4 4 4" xfId="41016" xr:uid="{00000000-0005-0000-0000-00004D8D0000}"/>
    <cellStyle name="Percent 2 4 4 4 4 2" xfId="41017" xr:uid="{00000000-0005-0000-0000-00004E8D0000}"/>
    <cellStyle name="Percent 2 4 4 4 5" xfId="41018" xr:uid="{00000000-0005-0000-0000-00004F8D0000}"/>
    <cellStyle name="Percent 2 4 4 4 6" xfId="41019" xr:uid="{00000000-0005-0000-0000-0000508D0000}"/>
    <cellStyle name="Percent 2 4 4 5" xfId="41020" xr:uid="{00000000-0005-0000-0000-0000518D0000}"/>
    <cellStyle name="Percent 2 4 4 5 2" xfId="41021" xr:uid="{00000000-0005-0000-0000-0000528D0000}"/>
    <cellStyle name="Percent 2 4 4 5 2 2" xfId="41022" xr:uid="{00000000-0005-0000-0000-0000538D0000}"/>
    <cellStyle name="Percent 2 4 4 5 3" xfId="41023" xr:uid="{00000000-0005-0000-0000-0000548D0000}"/>
    <cellStyle name="Percent 2 4 4 5 3 2" xfId="41024" xr:uid="{00000000-0005-0000-0000-0000558D0000}"/>
    <cellStyle name="Percent 2 4 4 5 4" xfId="41025" xr:uid="{00000000-0005-0000-0000-0000568D0000}"/>
    <cellStyle name="Percent 2 4 4 5 4 2" xfId="41026" xr:uid="{00000000-0005-0000-0000-0000578D0000}"/>
    <cellStyle name="Percent 2 4 4 5 5" xfId="41027" xr:uid="{00000000-0005-0000-0000-0000588D0000}"/>
    <cellStyle name="Percent 2 4 4 5 6" xfId="41028" xr:uid="{00000000-0005-0000-0000-0000598D0000}"/>
    <cellStyle name="Percent 2 4 4 6" xfId="41029" xr:uid="{00000000-0005-0000-0000-00005A8D0000}"/>
    <cellStyle name="Percent 2 4 4 6 2" xfId="41030" xr:uid="{00000000-0005-0000-0000-00005B8D0000}"/>
    <cellStyle name="Percent 2 4 4 6 2 2" xfId="41031" xr:uid="{00000000-0005-0000-0000-00005C8D0000}"/>
    <cellStyle name="Percent 2 4 4 6 3" xfId="41032" xr:uid="{00000000-0005-0000-0000-00005D8D0000}"/>
    <cellStyle name="Percent 2 4 4 6 3 2" xfId="41033" xr:uid="{00000000-0005-0000-0000-00005E8D0000}"/>
    <cellStyle name="Percent 2 4 4 6 4" xfId="41034" xr:uid="{00000000-0005-0000-0000-00005F8D0000}"/>
    <cellStyle name="Percent 2 4 4 6 4 2" xfId="41035" xr:uid="{00000000-0005-0000-0000-0000608D0000}"/>
    <cellStyle name="Percent 2 4 4 6 5" xfId="41036" xr:uid="{00000000-0005-0000-0000-0000618D0000}"/>
    <cellStyle name="Percent 2 4 4 6 6" xfId="41037" xr:uid="{00000000-0005-0000-0000-0000628D0000}"/>
    <cellStyle name="Percent 2 4 4 7" xfId="41038" xr:uid="{00000000-0005-0000-0000-0000638D0000}"/>
    <cellStyle name="Percent 2 4 4 7 2" xfId="41039" xr:uid="{00000000-0005-0000-0000-0000648D0000}"/>
    <cellStyle name="Percent 2 4 4 7 2 2" xfId="41040" xr:uid="{00000000-0005-0000-0000-0000658D0000}"/>
    <cellStyle name="Percent 2 4 4 7 3" xfId="41041" xr:uid="{00000000-0005-0000-0000-0000668D0000}"/>
    <cellStyle name="Percent 2 4 4 7 3 2" xfId="41042" xr:uid="{00000000-0005-0000-0000-0000678D0000}"/>
    <cellStyle name="Percent 2 4 4 7 4" xfId="41043" xr:uid="{00000000-0005-0000-0000-0000688D0000}"/>
    <cellStyle name="Percent 2 4 4 7 5" xfId="41044" xr:uid="{00000000-0005-0000-0000-0000698D0000}"/>
    <cellStyle name="Percent 2 4 4 8" xfId="41045" xr:uid="{00000000-0005-0000-0000-00006A8D0000}"/>
    <cellStyle name="Percent 2 4 4 8 2" xfId="41046" xr:uid="{00000000-0005-0000-0000-00006B8D0000}"/>
    <cellStyle name="Percent 2 4 4 9" xfId="41047" xr:uid="{00000000-0005-0000-0000-00006C8D0000}"/>
    <cellStyle name="Percent 2 4 4 9 2" xfId="41048" xr:uid="{00000000-0005-0000-0000-00006D8D0000}"/>
    <cellStyle name="Percent 2 4 5" xfId="41049" xr:uid="{00000000-0005-0000-0000-00006E8D0000}"/>
    <cellStyle name="Percent 2 4 5 10" xfId="41050" xr:uid="{00000000-0005-0000-0000-00006F8D0000}"/>
    <cellStyle name="Percent 2 4 5 11" xfId="41051" xr:uid="{00000000-0005-0000-0000-0000708D0000}"/>
    <cellStyle name="Percent 2 4 5 2" xfId="41052" xr:uid="{00000000-0005-0000-0000-0000718D0000}"/>
    <cellStyle name="Percent 2 4 5 2 2" xfId="41053" xr:uid="{00000000-0005-0000-0000-0000728D0000}"/>
    <cellStyle name="Percent 2 4 5 2 2 2" xfId="41054" xr:uid="{00000000-0005-0000-0000-0000738D0000}"/>
    <cellStyle name="Percent 2 4 5 2 3" xfId="41055" xr:uid="{00000000-0005-0000-0000-0000748D0000}"/>
    <cellStyle name="Percent 2 4 5 2 3 2" xfId="41056" xr:uid="{00000000-0005-0000-0000-0000758D0000}"/>
    <cellStyle name="Percent 2 4 5 2 4" xfId="41057" xr:uid="{00000000-0005-0000-0000-0000768D0000}"/>
    <cellStyle name="Percent 2 4 5 2 4 2" xfId="41058" xr:uid="{00000000-0005-0000-0000-0000778D0000}"/>
    <cellStyle name="Percent 2 4 5 2 5" xfId="41059" xr:uid="{00000000-0005-0000-0000-0000788D0000}"/>
    <cellStyle name="Percent 2 4 5 2 6" xfId="41060" xr:uid="{00000000-0005-0000-0000-0000798D0000}"/>
    <cellStyle name="Percent 2 4 5 3" xfId="41061" xr:uid="{00000000-0005-0000-0000-00007A8D0000}"/>
    <cellStyle name="Percent 2 4 5 3 2" xfId="41062" xr:uid="{00000000-0005-0000-0000-00007B8D0000}"/>
    <cellStyle name="Percent 2 4 5 3 2 2" xfId="41063" xr:uid="{00000000-0005-0000-0000-00007C8D0000}"/>
    <cellStyle name="Percent 2 4 5 3 3" xfId="41064" xr:uid="{00000000-0005-0000-0000-00007D8D0000}"/>
    <cellStyle name="Percent 2 4 5 3 3 2" xfId="41065" xr:uid="{00000000-0005-0000-0000-00007E8D0000}"/>
    <cellStyle name="Percent 2 4 5 3 4" xfId="41066" xr:uid="{00000000-0005-0000-0000-00007F8D0000}"/>
    <cellStyle name="Percent 2 4 5 3 4 2" xfId="41067" xr:uid="{00000000-0005-0000-0000-0000808D0000}"/>
    <cellStyle name="Percent 2 4 5 3 5" xfId="41068" xr:uid="{00000000-0005-0000-0000-0000818D0000}"/>
    <cellStyle name="Percent 2 4 5 3 6" xfId="41069" xr:uid="{00000000-0005-0000-0000-0000828D0000}"/>
    <cellStyle name="Percent 2 4 5 4" xfId="41070" xr:uid="{00000000-0005-0000-0000-0000838D0000}"/>
    <cellStyle name="Percent 2 4 5 4 2" xfId="41071" xr:uid="{00000000-0005-0000-0000-0000848D0000}"/>
    <cellStyle name="Percent 2 4 5 4 2 2" xfId="41072" xr:uid="{00000000-0005-0000-0000-0000858D0000}"/>
    <cellStyle name="Percent 2 4 5 4 3" xfId="41073" xr:uid="{00000000-0005-0000-0000-0000868D0000}"/>
    <cellStyle name="Percent 2 4 5 4 3 2" xfId="41074" xr:uid="{00000000-0005-0000-0000-0000878D0000}"/>
    <cellStyle name="Percent 2 4 5 4 4" xfId="41075" xr:uid="{00000000-0005-0000-0000-0000888D0000}"/>
    <cellStyle name="Percent 2 4 5 4 4 2" xfId="41076" xr:uid="{00000000-0005-0000-0000-0000898D0000}"/>
    <cellStyle name="Percent 2 4 5 4 5" xfId="41077" xr:uid="{00000000-0005-0000-0000-00008A8D0000}"/>
    <cellStyle name="Percent 2 4 5 4 6" xfId="41078" xr:uid="{00000000-0005-0000-0000-00008B8D0000}"/>
    <cellStyle name="Percent 2 4 5 5" xfId="41079" xr:uid="{00000000-0005-0000-0000-00008C8D0000}"/>
    <cellStyle name="Percent 2 4 5 5 2" xfId="41080" xr:uid="{00000000-0005-0000-0000-00008D8D0000}"/>
    <cellStyle name="Percent 2 4 5 5 2 2" xfId="41081" xr:uid="{00000000-0005-0000-0000-00008E8D0000}"/>
    <cellStyle name="Percent 2 4 5 5 3" xfId="41082" xr:uid="{00000000-0005-0000-0000-00008F8D0000}"/>
    <cellStyle name="Percent 2 4 5 5 3 2" xfId="41083" xr:uid="{00000000-0005-0000-0000-0000908D0000}"/>
    <cellStyle name="Percent 2 4 5 5 4" xfId="41084" xr:uid="{00000000-0005-0000-0000-0000918D0000}"/>
    <cellStyle name="Percent 2 4 5 5 4 2" xfId="41085" xr:uid="{00000000-0005-0000-0000-0000928D0000}"/>
    <cellStyle name="Percent 2 4 5 5 5" xfId="41086" xr:uid="{00000000-0005-0000-0000-0000938D0000}"/>
    <cellStyle name="Percent 2 4 5 5 6" xfId="41087" xr:uid="{00000000-0005-0000-0000-0000948D0000}"/>
    <cellStyle name="Percent 2 4 5 6" xfId="41088" xr:uid="{00000000-0005-0000-0000-0000958D0000}"/>
    <cellStyle name="Percent 2 4 5 6 2" xfId="41089" xr:uid="{00000000-0005-0000-0000-0000968D0000}"/>
    <cellStyle name="Percent 2 4 5 6 2 2" xfId="41090" xr:uid="{00000000-0005-0000-0000-0000978D0000}"/>
    <cellStyle name="Percent 2 4 5 6 3" xfId="41091" xr:uid="{00000000-0005-0000-0000-0000988D0000}"/>
    <cellStyle name="Percent 2 4 5 6 3 2" xfId="41092" xr:uid="{00000000-0005-0000-0000-0000998D0000}"/>
    <cellStyle name="Percent 2 4 5 6 4" xfId="41093" xr:uid="{00000000-0005-0000-0000-00009A8D0000}"/>
    <cellStyle name="Percent 2 4 5 6 5" xfId="41094" xr:uid="{00000000-0005-0000-0000-00009B8D0000}"/>
    <cellStyle name="Percent 2 4 5 7" xfId="41095" xr:uid="{00000000-0005-0000-0000-00009C8D0000}"/>
    <cellStyle name="Percent 2 4 5 7 2" xfId="41096" xr:uid="{00000000-0005-0000-0000-00009D8D0000}"/>
    <cellStyle name="Percent 2 4 5 8" xfId="41097" xr:uid="{00000000-0005-0000-0000-00009E8D0000}"/>
    <cellStyle name="Percent 2 4 5 8 2" xfId="41098" xr:uid="{00000000-0005-0000-0000-00009F8D0000}"/>
    <cellStyle name="Percent 2 4 5 9" xfId="41099" xr:uid="{00000000-0005-0000-0000-0000A08D0000}"/>
    <cellStyle name="Percent 2 4 5 9 2" xfId="41100" xr:uid="{00000000-0005-0000-0000-0000A18D0000}"/>
    <cellStyle name="Percent 2 4 6" xfId="41101" xr:uid="{00000000-0005-0000-0000-0000A28D0000}"/>
    <cellStyle name="Percent 2 4 6 10" xfId="41102" xr:uid="{00000000-0005-0000-0000-0000A38D0000}"/>
    <cellStyle name="Percent 2 4 6 2" xfId="41103" xr:uid="{00000000-0005-0000-0000-0000A48D0000}"/>
    <cellStyle name="Percent 2 4 6 2 2" xfId="41104" xr:uid="{00000000-0005-0000-0000-0000A58D0000}"/>
    <cellStyle name="Percent 2 4 6 2 2 2" xfId="41105" xr:uid="{00000000-0005-0000-0000-0000A68D0000}"/>
    <cellStyle name="Percent 2 4 6 2 3" xfId="41106" xr:uid="{00000000-0005-0000-0000-0000A78D0000}"/>
    <cellStyle name="Percent 2 4 6 2 3 2" xfId="41107" xr:uid="{00000000-0005-0000-0000-0000A88D0000}"/>
    <cellStyle name="Percent 2 4 6 2 4" xfId="41108" xr:uid="{00000000-0005-0000-0000-0000A98D0000}"/>
    <cellStyle name="Percent 2 4 6 2 4 2" xfId="41109" xr:uid="{00000000-0005-0000-0000-0000AA8D0000}"/>
    <cellStyle name="Percent 2 4 6 2 5" xfId="41110" xr:uid="{00000000-0005-0000-0000-0000AB8D0000}"/>
    <cellStyle name="Percent 2 4 6 2 6" xfId="41111" xr:uid="{00000000-0005-0000-0000-0000AC8D0000}"/>
    <cellStyle name="Percent 2 4 6 3" xfId="41112" xr:uid="{00000000-0005-0000-0000-0000AD8D0000}"/>
    <cellStyle name="Percent 2 4 6 3 2" xfId="41113" xr:uid="{00000000-0005-0000-0000-0000AE8D0000}"/>
    <cellStyle name="Percent 2 4 6 3 2 2" xfId="41114" xr:uid="{00000000-0005-0000-0000-0000AF8D0000}"/>
    <cellStyle name="Percent 2 4 6 3 3" xfId="41115" xr:uid="{00000000-0005-0000-0000-0000B08D0000}"/>
    <cellStyle name="Percent 2 4 6 3 3 2" xfId="41116" xr:uid="{00000000-0005-0000-0000-0000B18D0000}"/>
    <cellStyle name="Percent 2 4 6 3 4" xfId="41117" xr:uid="{00000000-0005-0000-0000-0000B28D0000}"/>
    <cellStyle name="Percent 2 4 6 3 4 2" xfId="41118" xr:uid="{00000000-0005-0000-0000-0000B38D0000}"/>
    <cellStyle name="Percent 2 4 6 3 5" xfId="41119" xr:uid="{00000000-0005-0000-0000-0000B48D0000}"/>
    <cellStyle name="Percent 2 4 6 3 6" xfId="41120" xr:uid="{00000000-0005-0000-0000-0000B58D0000}"/>
    <cellStyle name="Percent 2 4 6 4" xfId="41121" xr:uid="{00000000-0005-0000-0000-0000B68D0000}"/>
    <cellStyle name="Percent 2 4 6 4 2" xfId="41122" xr:uid="{00000000-0005-0000-0000-0000B78D0000}"/>
    <cellStyle name="Percent 2 4 6 4 2 2" xfId="41123" xr:uid="{00000000-0005-0000-0000-0000B88D0000}"/>
    <cellStyle name="Percent 2 4 6 4 3" xfId="41124" xr:uid="{00000000-0005-0000-0000-0000B98D0000}"/>
    <cellStyle name="Percent 2 4 6 4 3 2" xfId="41125" xr:uid="{00000000-0005-0000-0000-0000BA8D0000}"/>
    <cellStyle name="Percent 2 4 6 4 4" xfId="41126" xr:uid="{00000000-0005-0000-0000-0000BB8D0000}"/>
    <cellStyle name="Percent 2 4 6 4 4 2" xfId="41127" xr:uid="{00000000-0005-0000-0000-0000BC8D0000}"/>
    <cellStyle name="Percent 2 4 6 4 5" xfId="41128" xr:uid="{00000000-0005-0000-0000-0000BD8D0000}"/>
    <cellStyle name="Percent 2 4 6 4 6" xfId="41129" xr:uid="{00000000-0005-0000-0000-0000BE8D0000}"/>
    <cellStyle name="Percent 2 4 6 5" xfId="41130" xr:uid="{00000000-0005-0000-0000-0000BF8D0000}"/>
    <cellStyle name="Percent 2 4 6 5 2" xfId="41131" xr:uid="{00000000-0005-0000-0000-0000C08D0000}"/>
    <cellStyle name="Percent 2 4 6 5 2 2" xfId="41132" xr:uid="{00000000-0005-0000-0000-0000C18D0000}"/>
    <cellStyle name="Percent 2 4 6 5 3" xfId="41133" xr:uid="{00000000-0005-0000-0000-0000C28D0000}"/>
    <cellStyle name="Percent 2 4 6 5 3 2" xfId="41134" xr:uid="{00000000-0005-0000-0000-0000C38D0000}"/>
    <cellStyle name="Percent 2 4 6 5 4" xfId="41135" xr:uid="{00000000-0005-0000-0000-0000C48D0000}"/>
    <cellStyle name="Percent 2 4 6 5 5" xfId="41136" xr:uid="{00000000-0005-0000-0000-0000C58D0000}"/>
    <cellStyle name="Percent 2 4 6 6" xfId="41137" xr:uid="{00000000-0005-0000-0000-0000C68D0000}"/>
    <cellStyle name="Percent 2 4 6 6 2" xfId="41138" xr:uid="{00000000-0005-0000-0000-0000C78D0000}"/>
    <cellStyle name="Percent 2 4 6 7" xfId="41139" xr:uid="{00000000-0005-0000-0000-0000C88D0000}"/>
    <cellStyle name="Percent 2 4 6 7 2" xfId="41140" xr:uid="{00000000-0005-0000-0000-0000C98D0000}"/>
    <cellStyle name="Percent 2 4 6 8" xfId="41141" xr:uid="{00000000-0005-0000-0000-0000CA8D0000}"/>
    <cellStyle name="Percent 2 4 6 8 2" xfId="41142" xr:uid="{00000000-0005-0000-0000-0000CB8D0000}"/>
    <cellStyle name="Percent 2 4 6 9" xfId="41143" xr:uid="{00000000-0005-0000-0000-0000CC8D0000}"/>
    <cellStyle name="Percent 2 4 7" xfId="41144" xr:uid="{00000000-0005-0000-0000-0000CD8D0000}"/>
    <cellStyle name="Percent 2 4 7 10" xfId="41145" xr:uid="{00000000-0005-0000-0000-0000CE8D0000}"/>
    <cellStyle name="Percent 2 4 7 2" xfId="41146" xr:uid="{00000000-0005-0000-0000-0000CF8D0000}"/>
    <cellStyle name="Percent 2 4 7 2 2" xfId="41147" xr:uid="{00000000-0005-0000-0000-0000D08D0000}"/>
    <cellStyle name="Percent 2 4 7 2 2 2" xfId="41148" xr:uid="{00000000-0005-0000-0000-0000D18D0000}"/>
    <cellStyle name="Percent 2 4 7 2 3" xfId="41149" xr:uid="{00000000-0005-0000-0000-0000D28D0000}"/>
    <cellStyle name="Percent 2 4 7 2 3 2" xfId="41150" xr:uid="{00000000-0005-0000-0000-0000D38D0000}"/>
    <cellStyle name="Percent 2 4 7 2 4" xfId="41151" xr:uid="{00000000-0005-0000-0000-0000D48D0000}"/>
    <cellStyle name="Percent 2 4 7 2 4 2" xfId="41152" xr:uid="{00000000-0005-0000-0000-0000D58D0000}"/>
    <cellStyle name="Percent 2 4 7 2 5" xfId="41153" xr:uid="{00000000-0005-0000-0000-0000D68D0000}"/>
    <cellStyle name="Percent 2 4 7 2 6" xfId="41154" xr:uid="{00000000-0005-0000-0000-0000D78D0000}"/>
    <cellStyle name="Percent 2 4 7 3" xfId="41155" xr:uid="{00000000-0005-0000-0000-0000D88D0000}"/>
    <cellStyle name="Percent 2 4 7 3 2" xfId="41156" xr:uid="{00000000-0005-0000-0000-0000D98D0000}"/>
    <cellStyle name="Percent 2 4 7 3 2 2" xfId="41157" xr:uid="{00000000-0005-0000-0000-0000DA8D0000}"/>
    <cellStyle name="Percent 2 4 7 3 3" xfId="41158" xr:uid="{00000000-0005-0000-0000-0000DB8D0000}"/>
    <cellStyle name="Percent 2 4 7 3 3 2" xfId="41159" xr:uid="{00000000-0005-0000-0000-0000DC8D0000}"/>
    <cellStyle name="Percent 2 4 7 3 4" xfId="41160" xr:uid="{00000000-0005-0000-0000-0000DD8D0000}"/>
    <cellStyle name="Percent 2 4 7 3 4 2" xfId="41161" xr:uid="{00000000-0005-0000-0000-0000DE8D0000}"/>
    <cellStyle name="Percent 2 4 7 3 5" xfId="41162" xr:uid="{00000000-0005-0000-0000-0000DF8D0000}"/>
    <cellStyle name="Percent 2 4 7 3 6" xfId="41163" xr:uid="{00000000-0005-0000-0000-0000E08D0000}"/>
    <cellStyle name="Percent 2 4 7 4" xfId="41164" xr:uid="{00000000-0005-0000-0000-0000E18D0000}"/>
    <cellStyle name="Percent 2 4 7 4 2" xfId="41165" xr:uid="{00000000-0005-0000-0000-0000E28D0000}"/>
    <cellStyle name="Percent 2 4 7 4 2 2" xfId="41166" xr:uid="{00000000-0005-0000-0000-0000E38D0000}"/>
    <cellStyle name="Percent 2 4 7 4 3" xfId="41167" xr:uid="{00000000-0005-0000-0000-0000E48D0000}"/>
    <cellStyle name="Percent 2 4 7 4 3 2" xfId="41168" xr:uid="{00000000-0005-0000-0000-0000E58D0000}"/>
    <cellStyle name="Percent 2 4 7 4 4" xfId="41169" xr:uid="{00000000-0005-0000-0000-0000E68D0000}"/>
    <cellStyle name="Percent 2 4 7 4 4 2" xfId="41170" xr:uid="{00000000-0005-0000-0000-0000E78D0000}"/>
    <cellStyle name="Percent 2 4 7 4 5" xfId="41171" xr:uid="{00000000-0005-0000-0000-0000E88D0000}"/>
    <cellStyle name="Percent 2 4 7 4 6" xfId="41172" xr:uid="{00000000-0005-0000-0000-0000E98D0000}"/>
    <cellStyle name="Percent 2 4 7 5" xfId="41173" xr:uid="{00000000-0005-0000-0000-0000EA8D0000}"/>
    <cellStyle name="Percent 2 4 7 5 2" xfId="41174" xr:uid="{00000000-0005-0000-0000-0000EB8D0000}"/>
    <cellStyle name="Percent 2 4 7 5 2 2" xfId="41175" xr:uid="{00000000-0005-0000-0000-0000EC8D0000}"/>
    <cellStyle name="Percent 2 4 7 5 3" xfId="41176" xr:uid="{00000000-0005-0000-0000-0000ED8D0000}"/>
    <cellStyle name="Percent 2 4 7 5 3 2" xfId="41177" xr:uid="{00000000-0005-0000-0000-0000EE8D0000}"/>
    <cellStyle name="Percent 2 4 7 5 4" xfId="41178" xr:uid="{00000000-0005-0000-0000-0000EF8D0000}"/>
    <cellStyle name="Percent 2 4 7 5 5" xfId="41179" xr:uid="{00000000-0005-0000-0000-0000F08D0000}"/>
    <cellStyle name="Percent 2 4 7 6" xfId="41180" xr:uid="{00000000-0005-0000-0000-0000F18D0000}"/>
    <cellStyle name="Percent 2 4 7 6 2" xfId="41181" xr:uid="{00000000-0005-0000-0000-0000F28D0000}"/>
    <cellStyle name="Percent 2 4 7 7" xfId="41182" xr:uid="{00000000-0005-0000-0000-0000F38D0000}"/>
    <cellStyle name="Percent 2 4 7 7 2" xfId="41183" xr:uid="{00000000-0005-0000-0000-0000F48D0000}"/>
    <cellStyle name="Percent 2 4 7 8" xfId="41184" xr:uid="{00000000-0005-0000-0000-0000F58D0000}"/>
    <cellStyle name="Percent 2 4 7 8 2" xfId="41185" xr:uid="{00000000-0005-0000-0000-0000F68D0000}"/>
    <cellStyle name="Percent 2 4 7 9" xfId="41186" xr:uid="{00000000-0005-0000-0000-0000F78D0000}"/>
    <cellStyle name="Percent 2 4 8" xfId="41187" xr:uid="{00000000-0005-0000-0000-0000F88D0000}"/>
    <cellStyle name="Percent 2 4 8 2" xfId="41188" xr:uid="{00000000-0005-0000-0000-0000F98D0000}"/>
    <cellStyle name="Percent 2 4 8 2 2" xfId="41189" xr:uid="{00000000-0005-0000-0000-0000FA8D0000}"/>
    <cellStyle name="Percent 2 4 8 3" xfId="41190" xr:uid="{00000000-0005-0000-0000-0000FB8D0000}"/>
    <cellStyle name="Percent 2 4 8 3 2" xfId="41191" xr:uid="{00000000-0005-0000-0000-0000FC8D0000}"/>
    <cellStyle name="Percent 2 4 8 4" xfId="41192" xr:uid="{00000000-0005-0000-0000-0000FD8D0000}"/>
    <cellStyle name="Percent 2 4 8 4 2" xfId="41193" xr:uid="{00000000-0005-0000-0000-0000FE8D0000}"/>
    <cellStyle name="Percent 2 4 8 5" xfId="41194" xr:uid="{00000000-0005-0000-0000-0000FF8D0000}"/>
    <cellStyle name="Percent 2 4 8 6" xfId="41195" xr:uid="{00000000-0005-0000-0000-0000008E0000}"/>
    <cellStyle name="Percent 2 4 9" xfId="41196" xr:uid="{00000000-0005-0000-0000-0000018E0000}"/>
    <cellStyle name="Percent 2 4 9 2" xfId="41197" xr:uid="{00000000-0005-0000-0000-0000028E0000}"/>
    <cellStyle name="Percent 2 4 9 2 2" xfId="41198" xr:uid="{00000000-0005-0000-0000-0000038E0000}"/>
    <cellStyle name="Percent 2 4 9 3" xfId="41199" xr:uid="{00000000-0005-0000-0000-0000048E0000}"/>
    <cellStyle name="Percent 2 4 9 3 2" xfId="41200" xr:uid="{00000000-0005-0000-0000-0000058E0000}"/>
    <cellStyle name="Percent 2 4 9 4" xfId="41201" xr:uid="{00000000-0005-0000-0000-0000068E0000}"/>
    <cellStyle name="Percent 2 4 9 4 2" xfId="41202" xr:uid="{00000000-0005-0000-0000-0000078E0000}"/>
    <cellStyle name="Percent 2 4 9 5" xfId="41203" xr:uid="{00000000-0005-0000-0000-0000088E0000}"/>
    <cellStyle name="Percent 2 4 9 6" xfId="41204" xr:uid="{00000000-0005-0000-0000-0000098E0000}"/>
    <cellStyle name="Percent 2 5" xfId="7810" xr:uid="{00000000-0005-0000-0000-00000A8E0000}"/>
    <cellStyle name="Percent 2 5 10" xfId="7811" xr:uid="{00000000-0005-0000-0000-00000B8E0000}"/>
    <cellStyle name="Percent 2 5 10 2" xfId="7812" xr:uid="{00000000-0005-0000-0000-00000C8E0000}"/>
    <cellStyle name="Percent 2 5 10 2 2" xfId="7813" xr:uid="{00000000-0005-0000-0000-00000D8E0000}"/>
    <cellStyle name="Percent 2 5 10 3" xfId="7814" xr:uid="{00000000-0005-0000-0000-00000E8E0000}"/>
    <cellStyle name="Percent 2 5 10 3 2" xfId="7815" xr:uid="{00000000-0005-0000-0000-00000F8E0000}"/>
    <cellStyle name="Percent 2 5 10 4" xfId="7816" xr:uid="{00000000-0005-0000-0000-0000108E0000}"/>
    <cellStyle name="Percent 2 5 11" xfId="7817" xr:uid="{00000000-0005-0000-0000-0000118E0000}"/>
    <cellStyle name="Percent 2 5 11 2" xfId="7818" xr:uid="{00000000-0005-0000-0000-0000128E0000}"/>
    <cellStyle name="Percent 2 5 11 3" xfId="7819" xr:uid="{00000000-0005-0000-0000-0000138E0000}"/>
    <cellStyle name="Percent 2 5 12" xfId="7820" xr:uid="{00000000-0005-0000-0000-0000148E0000}"/>
    <cellStyle name="Percent 2 5 12 2" xfId="7821" xr:uid="{00000000-0005-0000-0000-0000158E0000}"/>
    <cellStyle name="Percent 2 5 13" xfId="7822" xr:uid="{00000000-0005-0000-0000-0000168E0000}"/>
    <cellStyle name="Percent 2 5 13 2" xfId="7823" xr:uid="{00000000-0005-0000-0000-0000178E0000}"/>
    <cellStyle name="Percent 2 5 14" xfId="7824" xr:uid="{00000000-0005-0000-0000-0000188E0000}"/>
    <cellStyle name="Percent 2 5 15" xfId="41205" xr:uid="{00000000-0005-0000-0000-0000198E0000}"/>
    <cellStyle name="Percent 2 5 2" xfId="7825" xr:uid="{00000000-0005-0000-0000-00001A8E0000}"/>
    <cellStyle name="Percent 2 5 2 10" xfId="7826" xr:uid="{00000000-0005-0000-0000-00001B8E0000}"/>
    <cellStyle name="Percent 2 5 2 10 2" xfId="7827" xr:uid="{00000000-0005-0000-0000-00001C8E0000}"/>
    <cellStyle name="Percent 2 5 2 11" xfId="7828" xr:uid="{00000000-0005-0000-0000-00001D8E0000}"/>
    <cellStyle name="Percent 2 5 2 11 2" xfId="7829" xr:uid="{00000000-0005-0000-0000-00001E8E0000}"/>
    <cellStyle name="Percent 2 5 2 12" xfId="7830" xr:uid="{00000000-0005-0000-0000-00001F8E0000}"/>
    <cellStyle name="Percent 2 5 2 2" xfId="7831" xr:uid="{00000000-0005-0000-0000-0000208E0000}"/>
    <cellStyle name="Percent 2 5 2 2 10" xfId="7832" xr:uid="{00000000-0005-0000-0000-0000218E0000}"/>
    <cellStyle name="Percent 2 5 2 2 2" xfId="7833" xr:uid="{00000000-0005-0000-0000-0000228E0000}"/>
    <cellStyle name="Percent 2 5 2 2 2 2" xfId="7834" xr:uid="{00000000-0005-0000-0000-0000238E0000}"/>
    <cellStyle name="Percent 2 5 2 2 2 2 2" xfId="7835" xr:uid="{00000000-0005-0000-0000-0000248E0000}"/>
    <cellStyle name="Percent 2 5 2 2 2 2 2 2" xfId="7836" xr:uid="{00000000-0005-0000-0000-0000258E0000}"/>
    <cellStyle name="Percent 2 5 2 2 2 2 2 3" xfId="7837" xr:uid="{00000000-0005-0000-0000-0000268E0000}"/>
    <cellStyle name="Percent 2 5 2 2 2 2 3" xfId="7838" xr:uid="{00000000-0005-0000-0000-0000278E0000}"/>
    <cellStyle name="Percent 2 5 2 2 2 2 3 2" xfId="7839" xr:uid="{00000000-0005-0000-0000-0000288E0000}"/>
    <cellStyle name="Percent 2 5 2 2 2 2 4" xfId="7840" xr:uid="{00000000-0005-0000-0000-0000298E0000}"/>
    <cellStyle name="Percent 2 5 2 2 2 2 4 2" xfId="7841" xr:uid="{00000000-0005-0000-0000-00002A8E0000}"/>
    <cellStyle name="Percent 2 5 2 2 2 2 5" xfId="7842" xr:uid="{00000000-0005-0000-0000-00002B8E0000}"/>
    <cellStyle name="Percent 2 5 2 2 2 3" xfId="7843" xr:uid="{00000000-0005-0000-0000-00002C8E0000}"/>
    <cellStyle name="Percent 2 5 2 2 2 3 2" xfId="7844" xr:uid="{00000000-0005-0000-0000-00002D8E0000}"/>
    <cellStyle name="Percent 2 5 2 2 2 3 2 2" xfId="7845" xr:uid="{00000000-0005-0000-0000-00002E8E0000}"/>
    <cellStyle name="Percent 2 5 2 2 2 3 3" xfId="7846" xr:uid="{00000000-0005-0000-0000-00002F8E0000}"/>
    <cellStyle name="Percent 2 5 2 2 2 3 3 2" xfId="7847" xr:uid="{00000000-0005-0000-0000-0000308E0000}"/>
    <cellStyle name="Percent 2 5 2 2 2 3 4" xfId="7848" xr:uid="{00000000-0005-0000-0000-0000318E0000}"/>
    <cellStyle name="Percent 2 5 2 2 2 4" xfId="7849" xr:uid="{00000000-0005-0000-0000-0000328E0000}"/>
    <cellStyle name="Percent 2 5 2 2 2 4 2" xfId="7850" xr:uid="{00000000-0005-0000-0000-0000338E0000}"/>
    <cellStyle name="Percent 2 5 2 2 2 4 3" xfId="7851" xr:uid="{00000000-0005-0000-0000-0000348E0000}"/>
    <cellStyle name="Percent 2 5 2 2 2 5" xfId="7852" xr:uid="{00000000-0005-0000-0000-0000358E0000}"/>
    <cellStyle name="Percent 2 5 2 2 2 5 2" xfId="7853" xr:uid="{00000000-0005-0000-0000-0000368E0000}"/>
    <cellStyle name="Percent 2 5 2 2 2 6" xfId="7854" xr:uid="{00000000-0005-0000-0000-0000378E0000}"/>
    <cellStyle name="Percent 2 5 2 2 2 6 2" xfId="7855" xr:uid="{00000000-0005-0000-0000-0000388E0000}"/>
    <cellStyle name="Percent 2 5 2 2 2 7" xfId="7856" xr:uid="{00000000-0005-0000-0000-0000398E0000}"/>
    <cellStyle name="Percent 2 5 2 2 3" xfId="7857" xr:uid="{00000000-0005-0000-0000-00003A8E0000}"/>
    <cellStyle name="Percent 2 5 2 2 3 2" xfId="7858" xr:uid="{00000000-0005-0000-0000-00003B8E0000}"/>
    <cellStyle name="Percent 2 5 2 2 3 2 2" xfId="7859" xr:uid="{00000000-0005-0000-0000-00003C8E0000}"/>
    <cellStyle name="Percent 2 5 2 2 3 2 2 2" xfId="7860" xr:uid="{00000000-0005-0000-0000-00003D8E0000}"/>
    <cellStyle name="Percent 2 5 2 2 3 2 2 3" xfId="7861" xr:uid="{00000000-0005-0000-0000-00003E8E0000}"/>
    <cellStyle name="Percent 2 5 2 2 3 2 3" xfId="7862" xr:uid="{00000000-0005-0000-0000-00003F8E0000}"/>
    <cellStyle name="Percent 2 5 2 2 3 2 3 2" xfId="7863" xr:uid="{00000000-0005-0000-0000-0000408E0000}"/>
    <cellStyle name="Percent 2 5 2 2 3 2 4" xfId="7864" xr:uid="{00000000-0005-0000-0000-0000418E0000}"/>
    <cellStyle name="Percent 2 5 2 2 3 2 4 2" xfId="7865" xr:uid="{00000000-0005-0000-0000-0000428E0000}"/>
    <cellStyle name="Percent 2 5 2 2 3 2 5" xfId="7866" xr:uid="{00000000-0005-0000-0000-0000438E0000}"/>
    <cellStyle name="Percent 2 5 2 2 3 3" xfId="7867" xr:uid="{00000000-0005-0000-0000-0000448E0000}"/>
    <cellStyle name="Percent 2 5 2 2 3 3 2" xfId="7868" xr:uid="{00000000-0005-0000-0000-0000458E0000}"/>
    <cellStyle name="Percent 2 5 2 2 3 3 2 2" xfId="7869" xr:uid="{00000000-0005-0000-0000-0000468E0000}"/>
    <cellStyle name="Percent 2 5 2 2 3 3 3" xfId="7870" xr:uid="{00000000-0005-0000-0000-0000478E0000}"/>
    <cellStyle name="Percent 2 5 2 2 3 3 3 2" xfId="7871" xr:uid="{00000000-0005-0000-0000-0000488E0000}"/>
    <cellStyle name="Percent 2 5 2 2 3 3 4" xfId="7872" xr:uid="{00000000-0005-0000-0000-0000498E0000}"/>
    <cellStyle name="Percent 2 5 2 2 3 4" xfId="7873" xr:uid="{00000000-0005-0000-0000-00004A8E0000}"/>
    <cellStyle name="Percent 2 5 2 2 3 4 2" xfId="7874" xr:uid="{00000000-0005-0000-0000-00004B8E0000}"/>
    <cellStyle name="Percent 2 5 2 2 3 4 3" xfId="7875" xr:uid="{00000000-0005-0000-0000-00004C8E0000}"/>
    <cellStyle name="Percent 2 5 2 2 3 5" xfId="7876" xr:uid="{00000000-0005-0000-0000-00004D8E0000}"/>
    <cellStyle name="Percent 2 5 2 2 3 5 2" xfId="7877" xr:uid="{00000000-0005-0000-0000-00004E8E0000}"/>
    <cellStyle name="Percent 2 5 2 2 3 6" xfId="7878" xr:uid="{00000000-0005-0000-0000-00004F8E0000}"/>
    <cellStyle name="Percent 2 5 2 2 3 6 2" xfId="7879" xr:uid="{00000000-0005-0000-0000-0000508E0000}"/>
    <cellStyle name="Percent 2 5 2 2 3 7" xfId="7880" xr:uid="{00000000-0005-0000-0000-0000518E0000}"/>
    <cellStyle name="Percent 2 5 2 2 4" xfId="7881" xr:uid="{00000000-0005-0000-0000-0000528E0000}"/>
    <cellStyle name="Percent 2 5 2 2 4 2" xfId="7882" xr:uid="{00000000-0005-0000-0000-0000538E0000}"/>
    <cellStyle name="Percent 2 5 2 2 4 2 2" xfId="7883" xr:uid="{00000000-0005-0000-0000-0000548E0000}"/>
    <cellStyle name="Percent 2 5 2 2 4 2 2 2" xfId="7884" xr:uid="{00000000-0005-0000-0000-0000558E0000}"/>
    <cellStyle name="Percent 2 5 2 2 4 2 3" xfId="7885" xr:uid="{00000000-0005-0000-0000-0000568E0000}"/>
    <cellStyle name="Percent 2 5 2 2 4 2 3 2" xfId="7886" xr:uid="{00000000-0005-0000-0000-0000578E0000}"/>
    <cellStyle name="Percent 2 5 2 2 4 2 4" xfId="7887" xr:uid="{00000000-0005-0000-0000-0000588E0000}"/>
    <cellStyle name="Percent 2 5 2 2 4 3" xfId="7888" xr:uid="{00000000-0005-0000-0000-0000598E0000}"/>
    <cellStyle name="Percent 2 5 2 2 4 3 2" xfId="7889" xr:uid="{00000000-0005-0000-0000-00005A8E0000}"/>
    <cellStyle name="Percent 2 5 2 2 4 3 3" xfId="7890" xr:uid="{00000000-0005-0000-0000-00005B8E0000}"/>
    <cellStyle name="Percent 2 5 2 2 4 4" xfId="7891" xr:uid="{00000000-0005-0000-0000-00005C8E0000}"/>
    <cellStyle name="Percent 2 5 2 2 4 4 2" xfId="7892" xr:uid="{00000000-0005-0000-0000-00005D8E0000}"/>
    <cellStyle name="Percent 2 5 2 2 4 5" xfId="7893" xr:uid="{00000000-0005-0000-0000-00005E8E0000}"/>
    <cellStyle name="Percent 2 5 2 2 4 5 2" xfId="7894" xr:uid="{00000000-0005-0000-0000-00005F8E0000}"/>
    <cellStyle name="Percent 2 5 2 2 4 6" xfId="7895" xr:uid="{00000000-0005-0000-0000-0000608E0000}"/>
    <cellStyle name="Percent 2 5 2 2 5" xfId="7896" xr:uid="{00000000-0005-0000-0000-0000618E0000}"/>
    <cellStyle name="Percent 2 5 2 2 5 2" xfId="7897" xr:uid="{00000000-0005-0000-0000-0000628E0000}"/>
    <cellStyle name="Percent 2 5 2 2 5 2 2" xfId="7898" xr:uid="{00000000-0005-0000-0000-0000638E0000}"/>
    <cellStyle name="Percent 2 5 2 2 5 3" xfId="7899" xr:uid="{00000000-0005-0000-0000-0000648E0000}"/>
    <cellStyle name="Percent 2 5 2 2 5 3 2" xfId="7900" xr:uid="{00000000-0005-0000-0000-0000658E0000}"/>
    <cellStyle name="Percent 2 5 2 2 5 4" xfId="7901" xr:uid="{00000000-0005-0000-0000-0000668E0000}"/>
    <cellStyle name="Percent 2 5 2 2 6" xfId="7902" xr:uid="{00000000-0005-0000-0000-0000678E0000}"/>
    <cellStyle name="Percent 2 5 2 2 6 2" xfId="7903" xr:uid="{00000000-0005-0000-0000-0000688E0000}"/>
    <cellStyle name="Percent 2 5 2 2 6 2 2" xfId="7904" xr:uid="{00000000-0005-0000-0000-0000698E0000}"/>
    <cellStyle name="Percent 2 5 2 2 6 3" xfId="7905" xr:uid="{00000000-0005-0000-0000-00006A8E0000}"/>
    <cellStyle name="Percent 2 5 2 2 6 3 2" xfId="7906" xr:uid="{00000000-0005-0000-0000-00006B8E0000}"/>
    <cellStyle name="Percent 2 5 2 2 6 4" xfId="7907" xr:uid="{00000000-0005-0000-0000-00006C8E0000}"/>
    <cellStyle name="Percent 2 5 2 2 7" xfId="7908" xr:uid="{00000000-0005-0000-0000-00006D8E0000}"/>
    <cellStyle name="Percent 2 5 2 2 7 2" xfId="7909" xr:uid="{00000000-0005-0000-0000-00006E8E0000}"/>
    <cellStyle name="Percent 2 5 2 2 7 3" xfId="7910" xr:uid="{00000000-0005-0000-0000-00006F8E0000}"/>
    <cellStyle name="Percent 2 5 2 2 8" xfId="7911" xr:uid="{00000000-0005-0000-0000-0000708E0000}"/>
    <cellStyle name="Percent 2 5 2 2 8 2" xfId="7912" xr:uid="{00000000-0005-0000-0000-0000718E0000}"/>
    <cellStyle name="Percent 2 5 2 2 9" xfId="7913" xr:uid="{00000000-0005-0000-0000-0000728E0000}"/>
    <cellStyle name="Percent 2 5 2 2 9 2" xfId="7914" xr:uid="{00000000-0005-0000-0000-0000738E0000}"/>
    <cellStyle name="Percent 2 5 2 3" xfId="7915" xr:uid="{00000000-0005-0000-0000-0000748E0000}"/>
    <cellStyle name="Percent 2 5 2 3 2" xfId="7916" xr:uid="{00000000-0005-0000-0000-0000758E0000}"/>
    <cellStyle name="Percent 2 5 2 3 2 2" xfId="7917" xr:uid="{00000000-0005-0000-0000-0000768E0000}"/>
    <cellStyle name="Percent 2 5 2 3 2 2 2" xfId="7918" xr:uid="{00000000-0005-0000-0000-0000778E0000}"/>
    <cellStyle name="Percent 2 5 2 3 2 2 2 2" xfId="7919" xr:uid="{00000000-0005-0000-0000-0000788E0000}"/>
    <cellStyle name="Percent 2 5 2 3 2 2 2 3" xfId="7920" xr:uid="{00000000-0005-0000-0000-0000798E0000}"/>
    <cellStyle name="Percent 2 5 2 3 2 2 3" xfId="7921" xr:uid="{00000000-0005-0000-0000-00007A8E0000}"/>
    <cellStyle name="Percent 2 5 2 3 2 2 3 2" xfId="7922" xr:uid="{00000000-0005-0000-0000-00007B8E0000}"/>
    <cellStyle name="Percent 2 5 2 3 2 2 4" xfId="7923" xr:uid="{00000000-0005-0000-0000-00007C8E0000}"/>
    <cellStyle name="Percent 2 5 2 3 2 2 4 2" xfId="7924" xr:uid="{00000000-0005-0000-0000-00007D8E0000}"/>
    <cellStyle name="Percent 2 5 2 3 2 2 5" xfId="7925" xr:uid="{00000000-0005-0000-0000-00007E8E0000}"/>
    <cellStyle name="Percent 2 5 2 3 2 3" xfId="7926" xr:uid="{00000000-0005-0000-0000-00007F8E0000}"/>
    <cellStyle name="Percent 2 5 2 3 2 3 2" xfId="7927" xr:uid="{00000000-0005-0000-0000-0000808E0000}"/>
    <cellStyle name="Percent 2 5 2 3 2 3 2 2" xfId="7928" xr:uid="{00000000-0005-0000-0000-0000818E0000}"/>
    <cellStyle name="Percent 2 5 2 3 2 3 3" xfId="7929" xr:uid="{00000000-0005-0000-0000-0000828E0000}"/>
    <cellStyle name="Percent 2 5 2 3 2 3 3 2" xfId="7930" xr:uid="{00000000-0005-0000-0000-0000838E0000}"/>
    <cellStyle name="Percent 2 5 2 3 2 3 4" xfId="7931" xr:uid="{00000000-0005-0000-0000-0000848E0000}"/>
    <cellStyle name="Percent 2 5 2 3 2 4" xfId="7932" xr:uid="{00000000-0005-0000-0000-0000858E0000}"/>
    <cellStyle name="Percent 2 5 2 3 2 4 2" xfId="7933" xr:uid="{00000000-0005-0000-0000-0000868E0000}"/>
    <cellStyle name="Percent 2 5 2 3 2 4 3" xfId="7934" xr:uid="{00000000-0005-0000-0000-0000878E0000}"/>
    <cellStyle name="Percent 2 5 2 3 2 5" xfId="7935" xr:uid="{00000000-0005-0000-0000-0000888E0000}"/>
    <cellStyle name="Percent 2 5 2 3 2 5 2" xfId="7936" xr:uid="{00000000-0005-0000-0000-0000898E0000}"/>
    <cellStyle name="Percent 2 5 2 3 2 6" xfId="7937" xr:uid="{00000000-0005-0000-0000-00008A8E0000}"/>
    <cellStyle name="Percent 2 5 2 3 2 6 2" xfId="7938" xr:uid="{00000000-0005-0000-0000-00008B8E0000}"/>
    <cellStyle name="Percent 2 5 2 3 2 7" xfId="7939" xr:uid="{00000000-0005-0000-0000-00008C8E0000}"/>
    <cellStyle name="Percent 2 5 2 3 3" xfId="7940" xr:uid="{00000000-0005-0000-0000-00008D8E0000}"/>
    <cellStyle name="Percent 2 5 2 3 3 2" xfId="7941" xr:uid="{00000000-0005-0000-0000-00008E8E0000}"/>
    <cellStyle name="Percent 2 5 2 3 3 2 2" xfId="7942" xr:uid="{00000000-0005-0000-0000-00008F8E0000}"/>
    <cellStyle name="Percent 2 5 2 3 3 2 3" xfId="7943" xr:uid="{00000000-0005-0000-0000-0000908E0000}"/>
    <cellStyle name="Percent 2 5 2 3 3 3" xfId="7944" xr:uid="{00000000-0005-0000-0000-0000918E0000}"/>
    <cellStyle name="Percent 2 5 2 3 3 3 2" xfId="7945" xr:uid="{00000000-0005-0000-0000-0000928E0000}"/>
    <cellStyle name="Percent 2 5 2 3 3 4" xfId="7946" xr:uid="{00000000-0005-0000-0000-0000938E0000}"/>
    <cellStyle name="Percent 2 5 2 3 3 4 2" xfId="7947" xr:uid="{00000000-0005-0000-0000-0000948E0000}"/>
    <cellStyle name="Percent 2 5 2 3 3 5" xfId="7948" xr:uid="{00000000-0005-0000-0000-0000958E0000}"/>
    <cellStyle name="Percent 2 5 2 3 4" xfId="7949" xr:uid="{00000000-0005-0000-0000-0000968E0000}"/>
    <cellStyle name="Percent 2 5 2 3 4 2" xfId="7950" xr:uid="{00000000-0005-0000-0000-0000978E0000}"/>
    <cellStyle name="Percent 2 5 2 3 4 2 2" xfId="7951" xr:uid="{00000000-0005-0000-0000-0000988E0000}"/>
    <cellStyle name="Percent 2 5 2 3 4 3" xfId="7952" xr:uid="{00000000-0005-0000-0000-0000998E0000}"/>
    <cellStyle name="Percent 2 5 2 3 4 3 2" xfId="7953" xr:uid="{00000000-0005-0000-0000-00009A8E0000}"/>
    <cellStyle name="Percent 2 5 2 3 4 4" xfId="7954" xr:uid="{00000000-0005-0000-0000-00009B8E0000}"/>
    <cellStyle name="Percent 2 5 2 3 5" xfId="7955" xr:uid="{00000000-0005-0000-0000-00009C8E0000}"/>
    <cellStyle name="Percent 2 5 2 3 5 2" xfId="7956" xr:uid="{00000000-0005-0000-0000-00009D8E0000}"/>
    <cellStyle name="Percent 2 5 2 3 5 3" xfId="7957" xr:uid="{00000000-0005-0000-0000-00009E8E0000}"/>
    <cellStyle name="Percent 2 5 2 3 6" xfId="7958" xr:uid="{00000000-0005-0000-0000-00009F8E0000}"/>
    <cellStyle name="Percent 2 5 2 3 6 2" xfId="7959" xr:uid="{00000000-0005-0000-0000-0000A08E0000}"/>
    <cellStyle name="Percent 2 5 2 3 7" xfId="7960" xr:uid="{00000000-0005-0000-0000-0000A18E0000}"/>
    <cellStyle name="Percent 2 5 2 3 7 2" xfId="7961" xr:uid="{00000000-0005-0000-0000-0000A28E0000}"/>
    <cellStyle name="Percent 2 5 2 3 8" xfId="7962" xr:uid="{00000000-0005-0000-0000-0000A38E0000}"/>
    <cellStyle name="Percent 2 5 2 4" xfId="7963" xr:uid="{00000000-0005-0000-0000-0000A48E0000}"/>
    <cellStyle name="Percent 2 5 2 4 2" xfId="7964" xr:uid="{00000000-0005-0000-0000-0000A58E0000}"/>
    <cellStyle name="Percent 2 5 2 4 2 2" xfId="7965" xr:uid="{00000000-0005-0000-0000-0000A68E0000}"/>
    <cellStyle name="Percent 2 5 2 4 2 2 2" xfId="7966" xr:uid="{00000000-0005-0000-0000-0000A78E0000}"/>
    <cellStyle name="Percent 2 5 2 4 2 2 3" xfId="7967" xr:uid="{00000000-0005-0000-0000-0000A88E0000}"/>
    <cellStyle name="Percent 2 5 2 4 2 3" xfId="7968" xr:uid="{00000000-0005-0000-0000-0000A98E0000}"/>
    <cellStyle name="Percent 2 5 2 4 2 3 2" xfId="7969" xr:uid="{00000000-0005-0000-0000-0000AA8E0000}"/>
    <cellStyle name="Percent 2 5 2 4 2 4" xfId="7970" xr:uid="{00000000-0005-0000-0000-0000AB8E0000}"/>
    <cellStyle name="Percent 2 5 2 4 2 4 2" xfId="7971" xr:uid="{00000000-0005-0000-0000-0000AC8E0000}"/>
    <cellStyle name="Percent 2 5 2 4 2 5" xfId="7972" xr:uid="{00000000-0005-0000-0000-0000AD8E0000}"/>
    <cellStyle name="Percent 2 5 2 4 3" xfId="7973" xr:uid="{00000000-0005-0000-0000-0000AE8E0000}"/>
    <cellStyle name="Percent 2 5 2 4 3 2" xfId="7974" xr:uid="{00000000-0005-0000-0000-0000AF8E0000}"/>
    <cellStyle name="Percent 2 5 2 4 3 2 2" xfId="7975" xr:uid="{00000000-0005-0000-0000-0000B08E0000}"/>
    <cellStyle name="Percent 2 5 2 4 3 3" xfId="7976" xr:uid="{00000000-0005-0000-0000-0000B18E0000}"/>
    <cellStyle name="Percent 2 5 2 4 3 3 2" xfId="7977" xr:uid="{00000000-0005-0000-0000-0000B28E0000}"/>
    <cellStyle name="Percent 2 5 2 4 3 4" xfId="7978" xr:uid="{00000000-0005-0000-0000-0000B38E0000}"/>
    <cellStyle name="Percent 2 5 2 4 4" xfId="7979" xr:uid="{00000000-0005-0000-0000-0000B48E0000}"/>
    <cellStyle name="Percent 2 5 2 4 4 2" xfId="7980" xr:uid="{00000000-0005-0000-0000-0000B58E0000}"/>
    <cellStyle name="Percent 2 5 2 4 4 3" xfId="7981" xr:uid="{00000000-0005-0000-0000-0000B68E0000}"/>
    <cellStyle name="Percent 2 5 2 4 5" xfId="7982" xr:uid="{00000000-0005-0000-0000-0000B78E0000}"/>
    <cellStyle name="Percent 2 5 2 4 5 2" xfId="7983" xr:uid="{00000000-0005-0000-0000-0000B88E0000}"/>
    <cellStyle name="Percent 2 5 2 4 6" xfId="7984" xr:uid="{00000000-0005-0000-0000-0000B98E0000}"/>
    <cellStyle name="Percent 2 5 2 4 6 2" xfId="7985" xr:uid="{00000000-0005-0000-0000-0000BA8E0000}"/>
    <cellStyle name="Percent 2 5 2 4 7" xfId="7986" xr:uid="{00000000-0005-0000-0000-0000BB8E0000}"/>
    <cellStyle name="Percent 2 5 2 5" xfId="7987" xr:uid="{00000000-0005-0000-0000-0000BC8E0000}"/>
    <cellStyle name="Percent 2 5 2 5 2" xfId="7988" xr:uid="{00000000-0005-0000-0000-0000BD8E0000}"/>
    <cellStyle name="Percent 2 5 2 5 2 2" xfId="7989" xr:uid="{00000000-0005-0000-0000-0000BE8E0000}"/>
    <cellStyle name="Percent 2 5 2 5 2 2 2" xfId="7990" xr:uid="{00000000-0005-0000-0000-0000BF8E0000}"/>
    <cellStyle name="Percent 2 5 2 5 2 2 3" xfId="7991" xr:uid="{00000000-0005-0000-0000-0000C08E0000}"/>
    <cellStyle name="Percent 2 5 2 5 2 3" xfId="7992" xr:uid="{00000000-0005-0000-0000-0000C18E0000}"/>
    <cellStyle name="Percent 2 5 2 5 2 3 2" xfId="7993" xr:uid="{00000000-0005-0000-0000-0000C28E0000}"/>
    <cellStyle name="Percent 2 5 2 5 2 4" xfId="7994" xr:uid="{00000000-0005-0000-0000-0000C38E0000}"/>
    <cellStyle name="Percent 2 5 2 5 2 4 2" xfId="7995" xr:uid="{00000000-0005-0000-0000-0000C48E0000}"/>
    <cellStyle name="Percent 2 5 2 5 2 5" xfId="7996" xr:uid="{00000000-0005-0000-0000-0000C58E0000}"/>
    <cellStyle name="Percent 2 5 2 5 3" xfId="7997" xr:uid="{00000000-0005-0000-0000-0000C68E0000}"/>
    <cellStyle name="Percent 2 5 2 5 3 2" xfId="7998" xr:uid="{00000000-0005-0000-0000-0000C78E0000}"/>
    <cellStyle name="Percent 2 5 2 5 3 2 2" xfId="7999" xr:uid="{00000000-0005-0000-0000-0000C88E0000}"/>
    <cellStyle name="Percent 2 5 2 5 3 3" xfId="8000" xr:uid="{00000000-0005-0000-0000-0000C98E0000}"/>
    <cellStyle name="Percent 2 5 2 5 3 3 2" xfId="8001" xr:uid="{00000000-0005-0000-0000-0000CA8E0000}"/>
    <cellStyle name="Percent 2 5 2 5 3 4" xfId="8002" xr:uid="{00000000-0005-0000-0000-0000CB8E0000}"/>
    <cellStyle name="Percent 2 5 2 5 4" xfId="8003" xr:uid="{00000000-0005-0000-0000-0000CC8E0000}"/>
    <cellStyle name="Percent 2 5 2 5 4 2" xfId="8004" xr:uid="{00000000-0005-0000-0000-0000CD8E0000}"/>
    <cellStyle name="Percent 2 5 2 5 4 3" xfId="8005" xr:uid="{00000000-0005-0000-0000-0000CE8E0000}"/>
    <cellStyle name="Percent 2 5 2 5 5" xfId="8006" xr:uid="{00000000-0005-0000-0000-0000CF8E0000}"/>
    <cellStyle name="Percent 2 5 2 5 5 2" xfId="8007" xr:uid="{00000000-0005-0000-0000-0000D08E0000}"/>
    <cellStyle name="Percent 2 5 2 5 6" xfId="8008" xr:uid="{00000000-0005-0000-0000-0000D18E0000}"/>
    <cellStyle name="Percent 2 5 2 5 6 2" xfId="8009" xr:uid="{00000000-0005-0000-0000-0000D28E0000}"/>
    <cellStyle name="Percent 2 5 2 5 7" xfId="8010" xr:uid="{00000000-0005-0000-0000-0000D38E0000}"/>
    <cellStyle name="Percent 2 5 2 6" xfId="8011" xr:uid="{00000000-0005-0000-0000-0000D48E0000}"/>
    <cellStyle name="Percent 2 5 2 6 2" xfId="8012" xr:uid="{00000000-0005-0000-0000-0000D58E0000}"/>
    <cellStyle name="Percent 2 5 2 6 2 2" xfId="8013" xr:uid="{00000000-0005-0000-0000-0000D68E0000}"/>
    <cellStyle name="Percent 2 5 2 6 2 2 2" xfId="8014" xr:uid="{00000000-0005-0000-0000-0000D78E0000}"/>
    <cellStyle name="Percent 2 5 2 6 2 3" xfId="8015" xr:uid="{00000000-0005-0000-0000-0000D88E0000}"/>
    <cellStyle name="Percent 2 5 2 6 2 3 2" xfId="8016" xr:uid="{00000000-0005-0000-0000-0000D98E0000}"/>
    <cellStyle name="Percent 2 5 2 6 2 4" xfId="8017" xr:uid="{00000000-0005-0000-0000-0000DA8E0000}"/>
    <cellStyle name="Percent 2 5 2 6 3" xfId="8018" xr:uid="{00000000-0005-0000-0000-0000DB8E0000}"/>
    <cellStyle name="Percent 2 5 2 6 3 2" xfId="8019" xr:uid="{00000000-0005-0000-0000-0000DC8E0000}"/>
    <cellStyle name="Percent 2 5 2 6 3 3" xfId="8020" xr:uid="{00000000-0005-0000-0000-0000DD8E0000}"/>
    <cellStyle name="Percent 2 5 2 6 4" xfId="8021" xr:uid="{00000000-0005-0000-0000-0000DE8E0000}"/>
    <cellStyle name="Percent 2 5 2 6 4 2" xfId="8022" xr:uid="{00000000-0005-0000-0000-0000DF8E0000}"/>
    <cellStyle name="Percent 2 5 2 6 5" xfId="8023" xr:uid="{00000000-0005-0000-0000-0000E08E0000}"/>
    <cellStyle name="Percent 2 5 2 6 5 2" xfId="8024" xr:uid="{00000000-0005-0000-0000-0000E18E0000}"/>
    <cellStyle name="Percent 2 5 2 6 6" xfId="8025" xr:uid="{00000000-0005-0000-0000-0000E28E0000}"/>
    <cellStyle name="Percent 2 5 2 7" xfId="8026" xr:uid="{00000000-0005-0000-0000-0000E38E0000}"/>
    <cellStyle name="Percent 2 5 2 7 2" xfId="8027" xr:uid="{00000000-0005-0000-0000-0000E48E0000}"/>
    <cellStyle name="Percent 2 5 2 7 2 2" xfId="8028" xr:uid="{00000000-0005-0000-0000-0000E58E0000}"/>
    <cellStyle name="Percent 2 5 2 7 3" xfId="8029" xr:uid="{00000000-0005-0000-0000-0000E68E0000}"/>
    <cellStyle name="Percent 2 5 2 7 3 2" xfId="8030" xr:uid="{00000000-0005-0000-0000-0000E78E0000}"/>
    <cellStyle name="Percent 2 5 2 7 4" xfId="8031" xr:uid="{00000000-0005-0000-0000-0000E88E0000}"/>
    <cellStyle name="Percent 2 5 2 8" xfId="8032" xr:uid="{00000000-0005-0000-0000-0000E98E0000}"/>
    <cellStyle name="Percent 2 5 2 8 2" xfId="8033" xr:uid="{00000000-0005-0000-0000-0000EA8E0000}"/>
    <cellStyle name="Percent 2 5 2 8 2 2" xfId="8034" xr:uid="{00000000-0005-0000-0000-0000EB8E0000}"/>
    <cellStyle name="Percent 2 5 2 8 3" xfId="8035" xr:uid="{00000000-0005-0000-0000-0000EC8E0000}"/>
    <cellStyle name="Percent 2 5 2 8 3 2" xfId="8036" xr:uid="{00000000-0005-0000-0000-0000ED8E0000}"/>
    <cellStyle name="Percent 2 5 2 8 4" xfId="8037" xr:uid="{00000000-0005-0000-0000-0000EE8E0000}"/>
    <cellStyle name="Percent 2 5 2 9" xfId="8038" xr:uid="{00000000-0005-0000-0000-0000EF8E0000}"/>
    <cellStyle name="Percent 2 5 2 9 2" xfId="8039" xr:uid="{00000000-0005-0000-0000-0000F08E0000}"/>
    <cellStyle name="Percent 2 5 2 9 3" xfId="8040" xr:uid="{00000000-0005-0000-0000-0000F18E0000}"/>
    <cellStyle name="Percent 2 5 3" xfId="8041" xr:uid="{00000000-0005-0000-0000-0000F28E0000}"/>
    <cellStyle name="Percent 2 5 3 10" xfId="8042" xr:uid="{00000000-0005-0000-0000-0000F38E0000}"/>
    <cellStyle name="Percent 2 5 3 10 2" xfId="8043" xr:uid="{00000000-0005-0000-0000-0000F48E0000}"/>
    <cellStyle name="Percent 2 5 3 11" xfId="8044" xr:uid="{00000000-0005-0000-0000-0000F58E0000}"/>
    <cellStyle name="Percent 2 5 3 2" xfId="8045" xr:uid="{00000000-0005-0000-0000-0000F68E0000}"/>
    <cellStyle name="Percent 2 5 3 2 2" xfId="8046" xr:uid="{00000000-0005-0000-0000-0000F78E0000}"/>
    <cellStyle name="Percent 2 5 3 2 2 2" xfId="8047" xr:uid="{00000000-0005-0000-0000-0000F88E0000}"/>
    <cellStyle name="Percent 2 5 3 2 2 2 2" xfId="8048" xr:uid="{00000000-0005-0000-0000-0000F98E0000}"/>
    <cellStyle name="Percent 2 5 3 2 2 2 2 2" xfId="8049" xr:uid="{00000000-0005-0000-0000-0000FA8E0000}"/>
    <cellStyle name="Percent 2 5 3 2 2 2 2 3" xfId="8050" xr:uid="{00000000-0005-0000-0000-0000FB8E0000}"/>
    <cellStyle name="Percent 2 5 3 2 2 2 3" xfId="8051" xr:uid="{00000000-0005-0000-0000-0000FC8E0000}"/>
    <cellStyle name="Percent 2 5 3 2 2 2 3 2" xfId="8052" xr:uid="{00000000-0005-0000-0000-0000FD8E0000}"/>
    <cellStyle name="Percent 2 5 3 2 2 2 4" xfId="8053" xr:uid="{00000000-0005-0000-0000-0000FE8E0000}"/>
    <cellStyle name="Percent 2 5 3 2 2 2 4 2" xfId="8054" xr:uid="{00000000-0005-0000-0000-0000FF8E0000}"/>
    <cellStyle name="Percent 2 5 3 2 2 2 5" xfId="8055" xr:uid="{00000000-0005-0000-0000-0000008F0000}"/>
    <cellStyle name="Percent 2 5 3 2 2 3" xfId="8056" xr:uid="{00000000-0005-0000-0000-0000018F0000}"/>
    <cellStyle name="Percent 2 5 3 2 2 3 2" xfId="8057" xr:uid="{00000000-0005-0000-0000-0000028F0000}"/>
    <cellStyle name="Percent 2 5 3 2 2 3 2 2" xfId="8058" xr:uid="{00000000-0005-0000-0000-0000038F0000}"/>
    <cellStyle name="Percent 2 5 3 2 2 3 3" xfId="8059" xr:uid="{00000000-0005-0000-0000-0000048F0000}"/>
    <cellStyle name="Percent 2 5 3 2 2 3 3 2" xfId="8060" xr:uid="{00000000-0005-0000-0000-0000058F0000}"/>
    <cellStyle name="Percent 2 5 3 2 2 3 4" xfId="8061" xr:uid="{00000000-0005-0000-0000-0000068F0000}"/>
    <cellStyle name="Percent 2 5 3 2 2 4" xfId="8062" xr:uid="{00000000-0005-0000-0000-0000078F0000}"/>
    <cellStyle name="Percent 2 5 3 2 2 4 2" xfId="8063" xr:uid="{00000000-0005-0000-0000-0000088F0000}"/>
    <cellStyle name="Percent 2 5 3 2 2 4 3" xfId="8064" xr:uid="{00000000-0005-0000-0000-0000098F0000}"/>
    <cellStyle name="Percent 2 5 3 2 2 5" xfId="8065" xr:uid="{00000000-0005-0000-0000-00000A8F0000}"/>
    <cellStyle name="Percent 2 5 3 2 2 5 2" xfId="8066" xr:uid="{00000000-0005-0000-0000-00000B8F0000}"/>
    <cellStyle name="Percent 2 5 3 2 2 6" xfId="8067" xr:uid="{00000000-0005-0000-0000-00000C8F0000}"/>
    <cellStyle name="Percent 2 5 3 2 2 6 2" xfId="8068" xr:uid="{00000000-0005-0000-0000-00000D8F0000}"/>
    <cellStyle name="Percent 2 5 3 2 2 7" xfId="8069" xr:uid="{00000000-0005-0000-0000-00000E8F0000}"/>
    <cellStyle name="Percent 2 5 3 2 3" xfId="8070" xr:uid="{00000000-0005-0000-0000-00000F8F0000}"/>
    <cellStyle name="Percent 2 5 3 2 3 2" xfId="8071" xr:uid="{00000000-0005-0000-0000-0000108F0000}"/>
    <cellStyle name="Percent 2 5 3 2 3 2 2" xfId="8072" xr:uid="{00000000-0005-0000-0000-0000118F0000}"/>
    <cellStyle name="Percent 2 5 3 2 3 2 3" xfId="8073" xr:uid="{00000000-0005-0000-0000-0000128F0000}"/>
    <cellStyle name="Percent 2 5 3 2 3 3" xfId="8074" xr:uid="{00000000-0005-0000-0000-0000138F0000}"/>
    <cellStyle name="Percent 2 5 3 2 3 3 2" xfId="8075" xr:uid="{00000000-0005-0000-0000-0000148F0000}"/>
    <cellStyle name="Percent 2 5 3 2 3 4" xfId="8076" xr:uid="{00000000-0005-0000-0000-0000158F0000}"/>
    <cellStyle name="Percent 2 5 3 2 3 4 2" xfId="8077" xr:uid="{00000000-0005-0000-0000-0000168F0000}"/>
    <cellStyle name="Percent 2 5 3 2 3 5" xfId="8078" xr:uid="{00000000-0005-0000-0000-0000178F0000}"/>
    <cellStyle name="Percent 2 5 3 2 4" xfId="8079" xr:uid="{00000000-0005-0000-0000-0000188F0000}"/>
    <cellStyle name="Percent 2 5 3 2 4 2" xfId="8080" xr:uid="{00000000-0005-0000-0000-0000198F0000}"/>
    <cellStyle name="Percent 2 5 3 2 4 2 2" xfId="8081" xr:uid="{00000000-0005-0000-0000-00001A8F0000}"/>
    <cellStyle name="Percent 2 5 3 2 4 3" xfId="8082" xr:uid="{00000000-0005-0000-0000-00001B8F0000}"/>
    <cellStyle name="Percent 2 5 3 2 4 3 2" xfId="8083" xr:uid="{00000000-0005-0000-0000-00001C8F0000}"/>
    <cellStyle name="Percent 2 5 3 2 4 4" xfId="8084" xr:uid="{00000000-0005-0000-0000-00001D8F0000}"/>
    <cellStyle name="Percent 2 5 3 2 5" xfId="8085" xr:uid="{00000000-0005-0000-0000-00001E8F0000}"/>
    <cellStyle name="Percent 2 5 3 2 5 2" xfId="8086" xr:uid="{00000000-0005-0000-0000-00001F8F0000}"/>
    <cellStyle name="Percent 2 5 3 2 5 3" xfId="8087" xr:uid="{00000000-0005-0000-0000-0000208F0000}"/>
    <cellStyle name="Percent 2 5 3 2 6" xfId="8088" xr:uid="{00000000-0005-0000-0000-0000218F0000}"/>
    <cellStyle name="Percent 2 5 3 2 6 2" xfId="8089" xr:uid="{00000000-0005-0000-0000-0000228F0000}"/>
    <cellStyle name="Percent 2 5 3 2 7" xfId="8090" xr:uid="{00000000-0005-0000-0000-0000238F0000}"/>
    <cellStyle name="Percent 2 5 3 2 7 2" xfId="8091" xr:uid="{00000000-0005-0000-0000-0000248F0000}"/>
    <cellStyle name="Percent 2 5 3 2 8" xfId="8092" xr:uid="{00000000-0005-0000-0000-0000258F0000}"/>
    <cellStyle name="Percent 2 5 3 3" xfId="8093" xr:uid="{00000000-0005-0000-0000-0000268F0000}"/>
    <cellStyle name="Percent 2 5 3 3 2" xfId="8094" xr:uid="{00000000-0005-0000-0000-0000278F0000}"/>
    <cellStyle name="Percent 2 5 3 3 2 2" xfId="8095" xr:uid="{00000000-0005-0000-0000-0000288F0000}"/>
    <cellStyle name="Percent 2 5 3 3 2 2 2" xfId="8096" xr:uid="{00000000-0005-0000-0000-0000298F0000}"/>
    <cellStyle name="Percent 2 5 3 3 2 2 3" xfId="8097" xr:uid="{00000000-0005-0000-0000-00002A8F0000}"/>
    <cellStyle name="Percent 2 5 3 3 2 3" xfId="8098" xr:uid="{00000000-0005-0000-0000-00002B8F0000}"/>
    <cellStyle name="Percent 2 5 3 3 2 3 2" xfId="8099" xr:uid="{00000000-0005-0000-0000-00002C8F0000}"/>
    <cellStyle name="Percent 2 5 3 3 2 4" xfId="8100" xr:uid="{00000000-0005-0000-0000-00002D8F0000}"/>
    <cellStyle name="Percent 2 5 3 3 2 4 2" xfId="8101" xr:uid="{00000000-0005-0000-0000-00002E8F0000}"/>
    <cellStyle name="Percent 2 5 3 3 2 5" xfId="8102" xr:uid="{00000000-0005-0000-0000-00002F8F0000}"/>
    <cellStyle name="Percent 2 5 3 3 3" xfId="8103" xr:uid="{00000000-0005-0000-0000-0000308F0000}"/>
    <cellStyle name="Percent 2 5 3 3 3 2" xfId="8104" xr:uid="{00000000-0005-0000-0000-0000318F0000}"/>
    <cellStyle name="Percent 2 5 3 3 3 2 2" xfId="8105" xr:uid="{00000000-0005-0000-0000-0000328F0000}"/>
    <cellStyle name="Percent 2 5 3 3 3 3" xfId="8106" xr:uid="{00000000-0005-0000-0000-0000338F0000}"/>
    <cellStyle name="Percent 2 5 3 3 3 3 2" xfId="8107" xr:uid="{00000000-0005-0000-0000-0000348F0000}"/>
    <cellStyle name="Percent 2 5 3 3 3 4" xfId="8108" xr:uid="{00000000-0005-0000-0000-0000358F0000}"/>
    <cellStyle name="Percent 2 5 3 3 4" xfId="8109" xr:uid="{00000000-0005-0000-0000-0000368F0000}"/>
    <cellStyle name="Percent 2 5 3 3 4 2" xfId="8110" xr:uid="{00000000-0005-0000-0000-0000378F0000}"/>
    <cellStyle name="Percent 2 5 3 3 4 3" xfId="8111" xr:uid="{00000000-0005-0000-0000-0000388F0000}"/>
    <cellStyle name="Percent 2 5 3 3 5" xfId="8112" xr:uid="{00000000-0005-0000-0000-0000398F0000}"/>
    <cellStyle name="Percent 2 5 3 3 5 2" xfId="8113" xr:uid="{00000000-0005-0000-0000-00003A8F0000}"/>
    <cellStyle name="Percent 2 5 3 3 6" xfId="8114" xr:uid="{00000000-0005-0000-0000-00003B8F0000}"/>
    <cellStyle name="Percent 2 5 3 3 6 2" xfId="8115" xr:uid="{00000000-0005-0000-0000-00003C8F0000}"/>
    <cellStyle name="Percent 2 5 3 3 7" xfId="8116" xr:uid="{00000000-0005-0000-0000-00003D8F0000}"/>
    <cellStyle name="Percent 2 5 3 4" xfId="8117" xr:uid="{00000000-0005-0000-0000-00003E8F0000}"/>
    <cellStyle name="Percent 2 5 3 4 2" xfId="8118" xr:uid="{00000000-0005-0000-0000-00003F8F0000}"/>
    <cellStyle name="Percent 2 5 3 4 2 2" xfId="8119" xr:uid="{00000000-0005-0000-0000-0000408F0000}"/>
    <cellStyle name="Percent 2 5 3 4 2 2 2" xfId="8120" xr:uid="{00000000-0005-0000-0000-0000418F0000}"/>
    <cellStyle name="Percent 2 5 3 4 2 2 3" xfId="8121" xr:uid="{00000000-0005-0000-0000-0000428F0000}"/>
    <cellStyle name="Percent 2 5 3 4 2 3" xfId="8122" xr:uid="{00000000-0005-0000-0000-0000438F0000}"/>
    <cellStyle name="Percent 2 5 3 4 2 3 2" xfId="8123" xr:uid="{00000000-0005-0000-0000-0000448F0000}"/>
    <cellStyle name="Percent 2 5 3 4 2 4" xfId="8124" xr:uid="{00000000-0005-0000-0000-0000458F0000}"/>
    <cellStyle name="Percent 2 5 3 4 2 4 2" xfId="8125" xr:uid="{00000000-0005-0000-0000-0000468F0000}"/>
    <cellStyle name="Percent 2 5 3 4 2 5" xfId="8126" xr:uid="{00000000-0005-0000-0000-0000478F0000}"/>
    <cellStyle name="Percent 2 5 3 4 3" xfId="8127" xr:uid="{00000000-0005-0000-0000-0000488F0000}"/>
    <cellStyle name="Percent 2 5 3 4 3 2" xfId="8128" xr:uid="{00000000-0005-0000-0000-0000498F0000}"/>
    <cellStyle name="Percent 2 5 3 4 3 2 2" xfId="8129" xr:uid="{00000000-0005-0000-0000-00004A8F0000}"/>
    <cellStyle name="Percent 2 5 3 4 3 3" xfId="8130" xr:uid="{00000000-0005-0000-0000-00004B8F0000}"/>
    <cellStyle name="Percent 2 5 3 4 3 3 2" xfId="8131" xr:uid="{00000000-0005-0000-0000-00004C8F0000}"/>
    <cellStyle name="Percent 2 5 3 4 3 4" xfId="8132" xr:uid="{00000000-0005-0000-0000-00004D8F0000}"/>
    <cellStyle name="Percent 2 5 3 4 4" xfId="8133" xr:uid="{00000000-0005-0000-0000-00004E8F0000}"/>
    <cellStyle name="Percent 2 5 3 4 4 2" xfId="8134" xr:uid="{00000000-0005-0000-0000-00004F8F0000}"/>
    <cellStyle name="Percent 2 5 3 4 4 3" xfId="8135" xr:uid="{00000000-0005-0000-0000-0000508F0000}"/>
    <cellStyle name="Percent 2 5 3 4 5" xfId="8136" xr:uid="{00000000-0005-0000-0000-0000518F0000}"/>
    <cellStyle name="Percent 2 5 3 4 5 2" xfId="8137" xr:uid="{00000000-0005-0000-0000-0000528F0000}"/>
    <cellStyle name="Percent 2 5 3 4 6" xfId="8138" xr:uid="{00000000-0005-0000-0000-0000538F0000}"/>
    <cellStyle name="Percent 2 5 3 4 6 2" xfId="8139" xr:uid="{00000000-0005-0000-0000-0000548F0000}"/>
    <cellStyle name="Percent 2 5 3 4 7" xfId="8140" xr:uid="{00000000-0005-0000-0000-0000558F0000}"/>
    <cellStyle name="Percent 2 5 3 5" xfId="8141" xr:uid="{00000000-0005-0000-0000-0000568F0000}"/>
    <cellStyle name="Percent 2 5 3 5 2" xfId="8142" xr:uid="{00000000-0005-0000-0000-0000578F0000}"/>
    <cellStyle name="Percent 2 5 3 5 2 2" xfId="8143" xr:uid="{00000000-0005-0000-0000-0000588F0000}"/>
    <cellStyle name="Percent 2 5 3 5 2 2 2" xfId="8144" xr:uid="{00000000-0005-0000-0000-0000598F0000}"/>
    <cellStyle name="Percent 2 5 3 5 2 3" xfId="8145" xr:uid="{00000000-0005-0000-0000-00005A8F0000}"/>
    <cellStyle name="Percent 2 5 3 5 2 3 2" xfId="8146" xr:uid="{00000000-0005-0000-0000-00005B8F0000}"/>
    <cellStyle name="Percent 2 5 3 5 2 4" xfId="8147" xr:uid="{00000000-0005-0000-0000-00005C8F0000}"/>
    <cellStyle name="Percent 2 5 3 5 3" xfId="8148" xr:uid="{00000000-0005-0000-0000-00005D8F0000}"/>
    <cellStyle name="Percent 2 5 3 5 3 2" xfId="8149" xr:uid="{00000000-0005-0000-0000-00005E8F0000}"/>
    <cellStyle name="Percent 2 5 3 5 3 3" xfId="8150" xr:uid="{00000000-0005-0000-0000-00005F8F0000}"/>
    <cellStyle name="Percent 2 5 3 5 4" xfId="8151" xr:uid="{00000000-0005-0000-0000-0000608F0000}"/>
    <cellStyle name="Percent 2 5 3 5 4 2" xfId="8152" xr:uid="{00000000-0005-0000-0000-0000618F0000}"/>
    <cellStyle name="Percent 2 5 3 5 5" xfId="8153" xr:uid="{00000000-0005-0000-0000-0000628F0000}"/>
    <cellStyle name="Percent 2 5 3 5 5 2" xfId="8154" xr:uid="{00000000-0005-0000-0000-0000638F0000}"/>
    <cellStyle name="Percent 2 5 3 5 6" xfId="8155" xr:uid="{00000000-0005-0000-0000-0000648F0000}"/>
    <cellStyle name="Percent 2 5 3 6" xfId="8156" xr:uid="{00000000-0005-0000-0000-0000658F0000}"/>
    <cellStyle name="Percent 2 5 3 6 2" xfId="8157" xr:uid="{00000000-0005-0000-0000-0000668F0000}"/>
    <cellStyle name="Percent 2 5 3 6 2 2" xfId="8158" xr:uid="{00000000-0005-0000-0000-0000678F0000}"/>
    <cellStyle name="Percent 2 5 3 6 3" xfId="8159" xr:uid="{00000000-0005-0000-0000-0000688F0000}"/>
    <cellStyle name="Percent 2 5 3 6 3 2" xfId="8160" xr:uid="{00000000-0005-0000-0000-0000698F0000}"/>
    <cellStyle name="Percent 2 5 3 6 4" xfId="8161" xr:uid="{00000000-0005-0000-0000-00006A8F0000}"/>
    <cellStyle name="Percent 2 5 3 7" xfId="8162" xr:uid="{00000000-0005-0000-0000-00006B8F0000}"/>
    <cellStyle name="Percent 2 5 3 7 2" xfId="8163" xr:uid="{00000000-0005-0000-0000-00006C8F0000}"/>
    <cellStyle name="Percent 2 5 3 7 2 2" xfId="8164" xr:uid="{00000000-0005-0000-0000-00006D8F0000}"/>
    <cellStyle name="Percent 2 5 3 7 3" xfId="8165" xr:uid="{00000000-0005-0000-0000-00006E8F0000}"/>
    <cellStyle name="Percent 2 5 3 7 3 2" xfId="8166" xr:uid="{00000000-0005-0000-0000-00006F8F0000}"/>
    <cellStyle name="Percent 2 5 3 7 4" xfId="8167" xr:uid="{00000000-0005-0000-0000-0000708F0000}"/>
    <cellStyle name="Percent 2 5 3 8" xfId="8168" xr:uid="{00000000-0005-0000-0000-0000718F0000}"/>
    <cellStyle name="Percent 2 5 3 8 2" xfId="8169" xr:uid="{00000000-0005-0000-0000-0000728F0000}"/>
    <cellStyle name="Percent 2 5 3 8 3" xfId="8170" xr:uid="{00000000-0005-0000-0000-0000738F0000}"/>
    <cellStyle name="Percent 2 5 3 9" xfId="8171" xr:uid="{00000000-0005-0000-0000-0000748F0000}"/>
    <cellStyle name="Percent 2 5 3 9 2" xfId="8172" xr:uid="{00000000-0005-0000-0000-0000758F0000}"/>
    <cellStyle name="Percent 2 5 4" xfId="8173" xr:uid="{00000000-0005-0000-0000-0000768F0000}"/>
    <cellStyle name="Percent 2 5 4 10" xfId="8174" xr:uid="{00000000-0005-0000-0000-0000778F0000}"/>
    <cellStyle name="Percent 2 5 4 2" xfId="8175" xr:uid="{00000000-0005-0000-0000-0000788F0000}"/>
    <cellStyle name="Percent 2 5 4 2 2" xfId="8176" xr:uid="{00000000-0005-0000-0000-0000798F0000}"/>
    <cellStyle name="Percent 2 5 4 2 2 2" xfId="8177" xr:uid="{00000000-0005-0000-0000-00007A8F0000}"/>
    <cellStyle name="Percent 2 5 4 2 2 2 2" xfId="8178" xr:uid="{00000000-0005-0000-0000-00007B8F0000}"/>
    <cellStyle name="Percent 2 5 4 2 2 2 3" xfId="8179" xr:uid="{00000000-0005-0000-0000-00007C8F0000}"/>
    <cellStyle name="Percent 2 5 4 2 2 3" xfId="8180" xr:uid="{00000000-0005-0000-0000-00007D8F0000}"/>
    <cellStyle name="Percent 2 5 4 2 2 3 2" xfId="8181" xr:uid="{00000000-0005-0000-0000-00007E8F0000}"/>
    <cellStyle name="Percent 2 5 4 2 2 4" xfId="8182" xr:uid="{00000000-0005-0000-0000-00007F8F0000}"/>
    <cellStyle name="Percent 2 5 4 2 2 4 2" xfId="8183" xr:uid="{00000000-0005-0000-0000-0000808F0000}"/>
    <cellStyle name="Percent 2 5 4 2 2 5" xfId="8184" xr:uid="{00000000-0005-0000-0000-0000818F0000}"/>
    <cellStyle name="Percent 2 5 4 2 3" xfId="8185" xr:uid="{00000000-0005-0000-0000-0000828F0000}"/>
    <cellStyle name="Percent 2 5 4 2 3 2" xfId="8186" xr:uid="{00000000-0005-0000-0000-0000838F0000}"/>
    <cellStyle name="Percent 2 5 4 2 3 2 2" xfId="8187" xr:uid="{00000000-0005-0000-0000-0000848F0000}"/>
    <cellStyle name="Percent 2 5 4 2 3 3" xfId="8188" xr:uid="{00000000-0005-0000-0000-0000858F0000}"/>
    <cellStyle name="Percent 2 5 4 2 3 3 2" xfId="8189" xr:uid="{00000000-0005-0000-0000-0000868F0000}"/>
    <cellStyle name="Percent 2 5 4 2 3 4" xfId="8190" xr:uid="{00000000-0005-0000-0000-0000878F0000}"/>
    <cellStyle name="Percent 2 5 4 2 4" xfId="8191" xr:uid="{00000000-0005-0000-0000-0000888F0000}"/>
    <cellStyle name="Percent 2 5 4 2 4 2" xfId="8192" xr:uid="{00000000-0005-0000-0000-0000898F0000}"/>
    <cellStyle name="Percent 2 5 4 2 4 3" xfId="8193" xr:uid="{00000000-0005-0000-0000-00008A8F0000}"/>
    <cellStyle name="Percent 2 5 4 2 5" xfId="8194" xr:uid="{00000000-0005-0000-0000-00008B8F0000}"/>
    <cellStyle name="Percent 2 5 4 2 5 2" xfId="8195" xr:uid="{00000000-0005-0000-0000-00008C8F0000}"/>
    <cellStyle name="Percent 2 5 4 2 6" xfId="8196" xr:uid="{00000000-0005-0000-0000-00008D8F0000}"/>
    <cellStyle name="Percent 2 5 4 2 6 2" xfId="8197" xr:uid="{00000000-0005-0000-0000-00008E8F0000}"/>
    <cellStyle name="Percent 2 5 4 2 7" xfId="8198" xr:uid="{00000000-0005-0000-0000-00008F8F0000}"/>
    <cellStyle name="Percent 2 5 4 3" xfId="8199" xr:uid="{00000000-0005-0000-0000-0000908F0000}"/>
    <cellStyle name="Percent 2 5 4 3 2" xfId="8200" xr:uid="{00000000-0005-0000-0000-0000918F0000}"/>
    <cellStyle name="Percent 2 5 4 3 2 2" xfId="8201" xr:uid="{00000000-0005-0000-0000-0000928F0000}"/>
    <cellStyle name="Percent 2 5 4 3 2 2 2" xfId="8202" xr:uid="{00000000-0005-0000-0000-0000938F0000}"/>
    <cellStyle name="Percent 2 5 4 3 2 2 3" xfId="8203" xr:uid="{00000000-0005-0000-0000-0000948F0000}"/>
    <cellStyle name="Percent 2 5 4 3 2 3" xfId="8204" xr:uid="{00000000-0005-0000-0000-0000958F0000}"/>
    <cellStyle name="Percent 2 5 4 3 2 3 2" xfId="8205" xr:uid="{00000000-0005-0000-0000-0000968F0000}"/>
    <cellStyle name="Percent 2 5 4 3 2 4" xfId="8206" xr:uid="{00000000-0005-0000-0000-0000978F0000}"/>
    <cellStyle name="Percent 2 5 4 3 2 4 2" xfId="8207" xr:uid="{00000000-0005-0000-0000-0000988F0000}"/>
    <cellStyle name="Percent 2 5 4 3 2 5" xfId="8208" xr:uid="{00000000-0005-0000-0000-0000998F0000}"/>
    <cellStyle name="Percent 2 5 4 3 3" xfId="8209" xr:uid="{00000000-0005-0000-0000-00009A8F0000}"/>
    <cellStyle name="Percent 2 5 4 3 3 2" xfId="8210" xr:uid="{00000000-0005-0000-0000-00009B8F0000}"/>
    <cellStyle name="Percent 2 5 4 3 3 2 2" xfId="8211" xr:uid="{00000000-0005-0000-0000-00009C8F0000}"/>
    <cellStyle name="Percent 2 5 4 3 3 3" xfId="8212" xr:uid="{00000000-0005-0000-0000-00009D8F0000}"/>
    <cellStyle name="Percent 2 5 4 3 3 3 2" xfId="8213" xr:uid="{00000000-0005-0000-0000-00009E8F0000}"/>
    <cellStyle name="Percent 2 5 4 3 3 4" xfId="8214" xr:uid="{00000000-0005-0000-0000-00009F8F0000}"/>
    <cellStyle name="Percent 2 5 4 3 4" xfId="8215" xr:uid="{00000000-0005-0000-0000-0000A08F0000}"/>
    <cellStyle name="Percent 2 5 4 3 4 2" xfId="8216" xr:uid="{00000000-0005-0000-0000-0000A18F0000}"/>
    <cellStyle name="Percent 2 5 4 3 4 3" xfId="8217" xr:uid="{00000000-0005-0000-0000-0000A28F0000}"/>
    <cellStyle name="Percent 2 5 4 3 5" xfId="8218" xr:uid="{00000000-0005-0000-0000-0000A38F0000}"/>
    <cellStyle name="Percent 2 5 4 3 5 2" xfId="8219" xr:uid="{00000000-0005-0000-0000-0000A48F0000}"/>
    <cellStyle name="Percent 2 5 4 3 6" xfId="8220" xr:uid="{00000000-0005-0000-0000-0000A58F0000}"/>
    <cellStyle name="Percent 2 5 4 3 6 2" xfId="8221" xr:uid="{00000000-0005-0000-0000-0000A68F0000}"/>
    <cellStyle name="Percent 2 5 4 3 7" xfId="8222" xr:uid="{00000000-0005-0000-0000-0000A78F0000}"/>
    <cellStyle name="Percent 2 5 4 4" xfId="8223" xr:uid="{00000000-0005-0000-0000-0000A88F0000}"/>
    <cellStyle name="Percent 2 5 4 4 2" xfId="8224" xr:uid="{00000000-0005-0000-0000-0000A98F0000}"/>
    <cellStyle name="Percent 2 5 4 4 2 2" xfId="8225" xr:uid="{00000000-0005-0000-0000-0000AA8F0000}"/>
    <cellStyle name="Percent 2 5 4 4 2 2 2" xfId="8226" xr:uid="{00000000-0005-0000-0000-0000AB8F0000}"/>
    <cellStyle name="Percent 2 5 4 4 2 3" xfId="8227" xr:uid="{00000000-0005-0000-0000-0000AC8F0000}"/>
    <cellStyle name="Percent 2 5 4 4 2 3 2" xfId="8228" xr:uid="{00000000-0005-0000-0000-0000AD8F0000}"/>
    <cellStyle name="Percent 2 5 4 4 2 4" xfId="8229" xr:uid="{00000000-0005-0000-0000-0000AE8F0000}"/>
    <cellStyle name="Percent 2 5 4 4 3" xfId="8230" xr:uid="{00000000-0005-0000-0000-0000AF8F0000}"/>
    <cellStyle name="Percent 2 5 4 4 3 2" xfId="8231" xr:uid="{00000000-0005-0000-0000-0000B08F0000}"/>
    <cellStyle name="Percent 2 5 4 4 3 3" xfId="8232" xr:uid="{00000000-0005-0000-0000-0000B18F0000}"/>
    <cellStyle name="Percent 2 5 4 4 4" xfId="8233" xr:uid="{00000000-0005-0000-0000-0000B28F0000}"/>
    <cellStyle name="Percent 2 5 4 4 4 2" xfId="8234" xr:uid="{00000000-0005-0000-0000-0000B38F0000}"/>
    <cellStyle name="Percent 2 5 4 4 5" xfId="8235" xr:uid="{00000000-0005-0000-0000-0000B48F0000}"/>
    <cellStyle name="Percent 2 5 4 4 5 2" xfId="8236" xr:uid="{00000000-0005-0000-0000-0000B58F0000}"/>
    <cellStyle name="Percent 2 5 4 4 6" xfId="8237" xr:uid="{00000000-0005-0000-0000-0000B68F0000}"/>
    <cellStyle name="Percent 2 5 4 5" xfId="8238" xr:uid="{00000000-0005-0000-0000-0000B78F0000}"/>
    <cellStyle name="Percent 2 5 4 5 2" xfId="8239" xr:uid="{00000000-0005-0000-0000-0000B88F0000}"/>
    <cellStyle name="Percent 2 5 4 5 2 2" xfId="8240" xr:uid="{00000000-0005-0000-0000-0000B98F0000}"/>
    <cellStyle name="Percent 2 5 4 5 3" xfId="8241" xr:uid="{00000000-0005-0000-0000-0000BA8F0000}"/>
    <cellStyle name="Percent 2 5 4 5 3 2" xfId="8242" xr:uid="{00000000-0005-0000-0000-0000BB8F0000}"/>
    <cellStyle name="Percent 2 5 4 5 4" xfId="8243" xr:uid="{00000000-0005-0000-0000-0000BC8F0000}"/>
    <cellStyle name="Percent 2 5 4 6" xfId="8244" xr:uid="{00000000-0005-0000-0000-0000BD8F0000}"/>
    <cellStyle name="Percent 2 5 4 6 2" xfId="8245" xr:uid="{00000000-0005-0000-0000-0000BE8F0000}"/>
    <cellStyle name="Percent 2 5 4 6 2 2" xfId="8246" xr:uid="{00000000-0005-0000-0000-0000BF8F0000}"/>
    <cellStyle name="Percent 2 5 4 6 3" xfId="8247" xr:uid="{00000000-0005-0000-0000-0000C08F0000}"/>
    <cellStyle name="Percent 2 5 4 6 3 2" xfId="8248" xr:uid="{00000000-0005-0000-0000-0000C18F0000}"/>
    <cellStyle name="Percent 2 5 4 6 4" xfId="8249" xr:uid="{00000000-0005-0000-0000-0000C28F0000}"/>
    <cellStyle name="Percent 2 5 4 7" xfId="8250" xr:uid="{00000000-0005-0000-0000-0000C38F0000}"/>
    <cellStyle name="Percent 2 5 4 7 2" xfId="8251" xr:uid="{00000000-0005-0000-0000-0000C48F0000}"/>
    <cellStyle name="Percent 2 5 4 7 3" xfId="8252" xr:uid="{00000000-0005-0000-0000-0000C58F0000}"/>
    <cellStyle name="Percent 2 5 4 8" xfId="8253" xr:uid="{00000000-0005-0000-0000-0000C68F0000}"/>
    <cellStyle name="Percent 2 5 4 8 2" xfId="8254" xr:uid="{00000000-0005-0000-0000-0000C78F0000}"/>
    <cellStyle name="Percent 2 5 4 9" xfId="8255" xr:uid="{00000000-0005-0000-0000-0000C88F0000}"/>
    <cellStyle name="Percent 2 5 4 9 2" xfId="8256" xr:uid="{00000000-0005-0000-0000-0000C98F0000}"/>
    <cellStyle name="Percent 2 5 5" xfId="8257" xr:uid="{00000000-0005-0000-0000-0000CA8F0000}"/>
    <cellStyle name="Percent 2 5 5 2" xfId="8258" xr:uid="{00000000-0005-0000-0000-0000CB8F0000}"/>
    <cellStyle name="Percent 2 5 5 2 2" xfId="8259" xr:uid="{00000000-0005-0000-0000-0000CC8F0000}"/>
    <cellStyle name="Percent 2 5 5 2 2 2" xfId="8260" xr:uid="{00000000-0005-0000-0000-0000CD8F0000}"/>
    <cellStyle name="Percent 2 5 5 2 2 2 2" xfId="8261" xr:uid="{00000000-0005-0000-0000-0000CE8F0000}"/>
    <cellStyle name="Percent 2 5 5 2 2 2 3" xfId="8262" xr:uid="{00000000-0005-0000-0000-0000CF8F0000}"/>
    <cellStyle name="Percent 2 5 5 2 2 3" xfId="8263" xr:uid="{00000000-0005-0000-0000-0000D08F0000}"/>
    <cellStyle name="Percent 2 5 5 2 2 3 2" xfId="8264" xr:uid="{00000000-0005-0000-0000-0000D18F0000}"/>
    <cellStyle name="Percent 2 5 5 2 2 4" xfId="8265" xr:uid="{00000000-0005-0000-0000-0000D28F0000}"/>
    <cellStyle name="Percent 2 5 5 2 2 4 2" xfId="8266" xr:uid="{00000000-0005-0000-0000-0000D38F0000}"/>
    <cellStyle name="Percent 2 5 5 2 2 5" xfId="8267" xr:uid="{00000000-0005-0000-0000-0000D48F0000}"/>
    <cellStyle name="Percent 2 5 5 2 3" xfId="8268" xr:uid="{00000000-0005-0000-0000-0000D58F0000}"/>
    <cellStyle name="Percent 2 5 5 2 3 2" xfId="8269" xr:uid="{00000000-0005-0000-0000-0000D68F0000}"/>
    <cellStyle name="Percent 2 5 5 2 3 2 2" xfId="8270" xr:uid="{00000000-0005-0000-0000-0000D78F0000}"/>
    <cellStyle name="Percent 2 5 5 2 3 3" xfId="8271" xr:uid="{00000000-0005-0000-0000-0000D88F0000}"/>
    <cellStyle name="Percent 2 5 5 2 3 3 2" xfId="8272" xr:uid="{00000000-0005-0000-0000-0000D98F0000}"/>
    <cellStyle name="Percent 2 5 5 2 3 4" xfId="8273" xr:uid="{00000000-0005-0000-0000-0000DA8F0000}"/>
    <cellStyle name="Percent 2 5 5 2 4" xfId="8274" xr:uid="{00000000-0005-0000-0000-0000DB8F0000}"/>
    <cellStyle name="Percent 2 5 5 2 4 2" xfId="8275" xr:uid="{00000000-0005-0000-0000-0000DC8F0000}"/>
    <cellStyle name="Percent 2 5 5 2 4 3" xfId="8276" xr:uid="{00000000-0005-0000-0000-0000DD8F0000}"/>
    <cellStyle name="Percent 2 5 5 2 5" xfId="8277" xr:uid="{00000000-0005-0000-0000-0000DE8F0000}"/>
    <cellStyle name="Percent 2 5 5 2 5 2" xfId="8278" xr:uid="{00000000-0005-0000-0000-0000DF8F0000}"/>
    <cellStyle name="Percent 2 5 5 2 6" xfId="8279" xr:uid="{00000000-0005-0000-0000-0000E08F0000}"/>
    <cellStyle name="Percent 2 5 5 2 6 2" xfId="8280" xr:uid="{00000000-0005-0000-0000-0000E18F0000}"/>
    <cellStyle name="Percent 2 5 5 2 7" xfId="8281" xr:uid="{00000000-0005-0000-0000-0000E28F0000}"/>
    <cellStyle name="Percent 2 5 5 3" xfId="8282" xr:uid="{00000000-0005-0000-0000-0000E38F0000}"/>
    <cellStyle name="Percent 2 5 5 3 2" xfId="8283" xr:uid="{00000000-0005-0000-0000-0000E48F0000}"/>
    <cellStyle name="Percent 2 5 5 3 2 2" xfId="8284" xr:uid="{00000000-0005-0000-0000-0000E58F0000}"/>
    <cellStyle name="Percent 2 5 5 3 2 3" xfId="8285" xr:uid="{00000000-0005-0000-0000-0000E68F0000}"/>
    <cellStyle name="Percent 2 5 5 3 3" xfId="8286" xr:uid="{00000000-0005-0000-0000-0000E78F0000}"/>
    <cellStyle name="Percent 2 5 5 3 3 2" xfId="8287" xr:uid="{00000000-0005-0000-0000-0000E88F0000}"/>
    <cellStyle name="Percent 2 5 5 3 4" xfId="8288" xr:uid="{00000000-0005-0000-0000-0000E98F0000}"/>
    <cellStyle name="Percent 2 5 5 3 4 2" xfId="8289" xr:uid="{00000000-0005-0000-0000-0000EA8F0000}"/>
    <cellStyle name="Percent 2 5 5 3 5" xfId="8290" xr:uid="{00000000-0005-0000-0000-0000EB8F0000}"/>
    <cellStyle name="Percent 2 5 5 4" xfId="8291" xr:uid="{00000000-0005-0000-0000-0000EC8F0000}"/>
    <cellStyle name="Percent 2 5 5 4 2" xfId="8292" xr:uid="{00000000-0005-0000-0000-0000ED8F0000}"/>
    <cellStyle name="Percent 2 5 5 4 2 2" xfId="8293" xr:uid="{00000000-0005-0000-0000-0000EE8F0000}"/>
    <cellStyle name="Percent 2 5 5 4 3" xfId="8294" xr:uid="{00000000-0005-0000-0000-0000EF8F0000}"/>
    <cellStyle name="Percent 2 5 5 4 3 2" xfId="8295" xr:uid="{00000000-0005-0000-0000-0000F08F0000}"/>
    <cellStyle name="Percent 2 5 5 4 4" xfId="8296" xr:uid="{00000000-0005-0000-0000-0000F18F0000}"/>
    <cellStyle name="Percent 2 5 5 5" xfId="8297" xr:uid="{00000000-0005-0000-0000-0000F28F0000}"/>
    <cellStyle name="Percent 2 5 5 5 2" xfId="8298" xr:uid="{00000000-0005-0000-0000-0000F38F0000}"/>
    <cellStyle name="Percent 2 5 5 5 3" xfId="8299" xr:uid="{00000000-0005-0000-0000-0000F48F0000}"/>
    <cellStyle name="Percent 2 5 5 6" xfId="8300" xr:uid="{00000000-0005-0000-0000-0000F58F0000}"/>
    <cellStyle name="Percent 2 5 5 6 2" xfId="8301" xr:uid="{00000000-0005-0000-0000-0000F68F0000}"/>
    <cellStyle name="Percent 2 5 5 7" xfId="8302" xr:uid="{00000000-0005-0000-0000-0000F78F0000}"/>
    <cellStyle name="Percent 2 5 5 7 2" xfId="8303" xr:uid="{00000000-0005-0000-0000-0000F88F0000}"/>
    <cellStyle name="Percent 2 5 5 8" xfId="8304" xr:uid="{00000000-0005-0000-0000-0000F98F0000}"/>
    <cellStyle name="Percent 2 5 6" xfId="8305" xr:uid="{00000000-0005-0000-0000-0000FA8F0000}"/>
    <cellStyle name="Percent 2 5 6 2" xfId="8306" xr:uid="{00000000-0005-0000-0000-0000FB8F0000}"/>
    <cellStyle name="Percent 2 5 6 2 2" xfId="8307" xr:uid="{00000000-0005-0000-0000-0000FC8F0000}"/>
    <cellStyle name="Percent 2 5 6 2 2 2" xfId="8308" xr:uid="{00000000-0005-0000-0000-0000FD8F0000}"/>
    <cellStyle name="Percent 2 5 6 2 2 3" xfId="8309" xr:uid="{00000000-0005-0000-0000-0000FE8F0000}"/>
    <cellStyle name="Percent 2 5 6 2 3" xfId="8310" xr:uid="{00000000-0005-0000-0000-0000FF8F0000}"/>
    <cellStyle name="Percent 2 5 6 2 3 2" xfId="8311" xr:uid="{00000000-0005-0000-0000-000000900000}"/>
    <cellStyle name="Percent 2 5 6 2 4" xfId="8312" xr:uid="{00000000-0005-0000-0000-000001900000}"/>
    <cellStyle name="Percent 2 5 6 2 4 2" xfId="8313" xr:uid="{00000000-0005-0000-0000-000002900000}"/>
    <cellStyle name="Percent 2 5 6 2 5" xfId="8314" xr:uid="{00000000-0005-0000-0000-000003900000}"/>
    <cellStyle name="Percent 2 5 6 3" xfId="8315" xr:uid="{00000000-0005-0000-0000-000004900000}"/>
    <cellStyle name="Percent 2 5 6 3 2" xfId="8316" xr:uid="{00000000-0005-0000-0000-000005900000}"/>
    <cellStyle name="Percent 2 5 6 3 2 2" xfId="8317" xr:uid="{00000000-0005-0000-0000-000006900000}"/>
    <cellStyle name="Percent 2 5 6 3 3" xfId="8318" xr:uid="{00000000-0005-0000-0000-000007900000}"/>
    <cellStyle name="Percent 2 5 6 3 3 2" xfId="8319" xr:uid="{00000000-0005-0000-0000-000008900000}"/>
    <cellStyle name="Percent 2 5 6 3 4" xfId="8320" xr:uid="{00000000-0005-0000-0000-000009900000}"/>
    <cellStyle name="Percent 2 5 6 4" xfId="8321" xr:uid="{00000000-0005-0000-0000-00000A900000}"/>
    <cellStyle name="Percent 2 5 6 4 2" xfId="8322" xr:uid="{00000000-0005-0000-0000-00000B900000}"/>
    <cellStyle name="Percent 2 5 6 4 3" xfId="8323" xr:uid="{00000000-0005-0000-0000-00000C900000}"/>
    <cellStyle name="Percent 2 5 6 5" xfId="8324" xr:uid="{00000000-0005-0000-0000-00000D900000}"/>
    <cellStyle name="Percent 2 5 6 5 2" xfId="8325" xr:uid="{00000000-0005-0000-0000-00000E900000}"/>
    <cellStyle name="Percent 2 5 6 6" xfId="8326" xr:uid="{00000000-0005-0000-0000-00000F900000}"/>
    <cellStyle name="Percent 2 5 6 6 2" xfId="8327" xr:uid="{00000000-0005-0000-0000-000010900000}"/>
    <cellStyle name="Percent 2 5 6 7" xfId="8328" xr:uid="{00000000-0005-0000-0000-000011900000}"/>
    <cellStyle name="Percent 2 5 7" xfId="8329" xr:uid="{00000000-0005-0000-0000-000012900000}"/>
    <cellStyle name="Percent 2 5 7 2" xfId="8330" xr:uid="{00000000-0005-0000-0000-000013900000}"/>
    <cellStyle name="Percent 2 5 7 2 2" xfId="8331" xr:uid="{00000000-0005-0000-0000-000014900000}"/>
    <cellStyle name="Percent 2 5 7 2 2 2" xfId="8332" xr:uid="{00000000-0005-0000-0000-000015900000}"/>
    <cellStyle name="Percent 2 5 7 2 2 3" xfId="8333" xr:uid="{00000000-0005-0000-0000-000016900000}"/>
    <cellStyle name="Percent 2 5 7 2 3" xfId="8334" xr:uid="{00000000-0005-0000-0000-000017900000}"/>
    <cellStyle name="Percent 2 5 7 2 3 2" xfId="8335" xr:uid="{00000000-0005-0000-0000-000018900000}"/>
    <cellStyle name="Percent 2 5 7 2 4" xfId="8336" xr:uid="{00000000-0005-0000-0000-000019900000}"/>
    <cellStyle name="Percent 2 5 7 2 4 2" xfId="8337" xr:uid="{00000000-0005-0000-0000-00001A900000}"/>
    <cellStyle name="Percent 2 5 7 2 5" xfId="8338" xr:uid="{00000000-0005-0000-0000-00001B900000}"/>
    <cellStyle name="Percent 2 5 7 3" xfId="8339" xr:uid="{00000000-0005-0000-0000-00001C900000}"/>
    <cellStyle name="Percent 2 5 7 3 2" xfId="8340" xr:uid="{00000000-0005-0000-0000-00001D900000}"/>
    <cellStyle name="Percent 2 5 7 3 2 2" xfId="8341" xr:uid="{00000000-0005-0000-0000-00001E900000}"/>
    <cellStyle name="Percent 2 5 7 3 3" xfId="8342" xr:uid="{00000000-0005-0000-0000-00001F900000}"/>
    <cellStyle name="Percent 2 5 7 3 3 2" xfId="8343" xr:uid="{00000000-0005-0000-0000-000020900000}"/>
    <cellStyle name="Percent 2 5 7 3 4" xfId="8344" xr:uid="{00000000-0005-0000-0000-000021900000}"/>
    <cellStyle name="Percent 2 5 7 4" xfId="8345" xr:uid="{00000000-0005-0000-0000-000022900000}"/>
    <cellStyle name="Percent 2 5 7 4 2" xfId="8346" xr:uid="{00000000-0005-0000-0000-000023900000}"/>
    <cellStyle name="Percent 2 5 7 4 3" xfId="8347" xr:uid="{00000000-0005-0000-0000-000024900000}"/>
    <cellStyle name="Percent 2 5 7 5" xfId="8348" xr:uid="{00000000-0005-0000-0000-000025900000}"/>
    <cellStyle name="Percent 2 5 7 5 2" xfId="8349" xr:uid="{00000000-0005-0000-0000-000026900000}"/>
    <cellStyle name="Percent 2 5 7 6" xfId="8350" xr:uid="{00000000-0005-0000-0000-000027900000}"/>
    <cellStyle name="Percent 2 5 7 6 2" xfId="8351" xr:uid="{00000000-0005-0000-0000-000028900000}"/>
    <cellStyle name="Percent 2 5 7 7" xfId="8352" xr:uid="{00000000-0005-0000-0000-000029900000}"/>
    <cellStyle name="Percent 2 5 8" xfId="8353" xr:uid="{00000000-0005-0000-0000-00002A900000}"/>
    <cellStyle name="Percent 2 5 8 2" xfId="8354" xr:uid="{00000000-0005-0000-0000-00002B900000}"/>
    <cellStyle name="Percent 2 5 8 2 2" xfId="8355" xr:uid="{00000000-0005-0000-0000-00002C900000}"/>
    <cellStyle name="Percent 2 5 8 2 2 2" xfId="8356" xr:uid="{00000000-0005-0000-0000-00002D900000}"/>
    <cellStyle name="Percent 2 5 8 2 3" xfId="8357" xr:uid="{00000000-0005-0000-0000-00002E900000}"/>
    <cellStyle name="Percent 2 5 8 2 3 2" xfId="8358" xr:uid="{00000000-0005-0000-0000-00002F900000}"/>
    <cellStyle name="Percent 2 5 8 2 4" xfId="8359" xr:uid="{00000000-0005-0000-0000-000030900000}"/>
    <cellStyle name="Percent 2 5 8 3" xfId="8360" xr:uid="{00000000-0005-0000-0000-000031900000}"/>
    <cellStyle name="Percent 2 5 8 3 2" xfId="8361" xr:uid="{00000000-0005-0000-0000-000032900000}"/>
    <cellStyle name="Percent 2 5 8 3 3" xfId="8362" xr:uid="{00000000-0005-0000-0000-000033900000}"/>
    <cellStyle name="Percent 2 5 8 4" xfId="8363" xr:uid="{00000000-0005-0000-0000-000034900000}"/>
    <cellStyle name="Percent 2 5 8 4 2" xfId="8364" xr:uid="{00000000-0005-0000-0000-000035900000}"/>
    <cellStyle name="Percent 2 5 8 5" xfId="8365" xr:uid="{00000000-0005-0000-0000-000036900000}"/>
    <cellStyle name="Percent 2 5 8 5 2" xfId="8366" xr:uid="{00000000-0005-0000-0000-000037900000}"/>
    <cellStyle name="Percent 2 5 8 6" xfId="8367" xr:uid="{00000000-0005-0000-0000-000038900000}"/>
    <cellStyle name="Percent 2 5 9" xfId="8368" xr:uid="{00000000-0005-0000-0000-000039900000}"/>
    <cellStyle name="Percent 2 5 9 2" xfId="8369" xr:uid="{00000000-0005-0000-0000-00003A900000}"/>
    <cellStyle name="Percent 2 5 9 2 2" xfId="8370" xr:uid="{00000000-0005-0000-0000-00003B900000}"/>
    <cellStyle name="Percent 2 5 9 3" xfId="8371" xr:uid="{00000000-0005-0000-0000-00003C900000}"/>
    <cellStyle name="Percent 2 5 9 3 2" xfId="8372" xr:uid="{00000000-0005-0000-0000-00003D900000}"/>
    <cellStyle name="Percent 2 5 9 4" xfId="8373" xr:uid="{00000000-0005-0000-0000-00003E900000}"/>
    <cellStyle name="Percent 2 6" xfId="8374" xr:uid="{00000000-0005-0000-0000-00003F900000}"/>
    <cellStyle name="Percent 2 6 10" xfId="8375" xr:uid="{00000000-0005-0000-0000-000040900000}"/>
    <cellStyle name="Percent 2 6 10 2" xfId="8376" xr:uid="{00000000-0005-0000-0000-000041900000}"/>
    <cellStyle name="Percent 2 6 11" xfId="8377" xr:uid="{00000000-0005-0000-0000-000042900000}"/>
    <cellStyle name="Percent 2 6 2" xfId="8378" xr:uid="{00000000-0005-0000-0000-000043900000}"/>
    <cellStyle name="Percent 2 6 2 2" xfId="8379" xr:uid="{00000000-0005-0000-0000-000044900000}"/>
    <cellStyle name="Percent 2 6 2 2 2" xfId="8380" xr:uid="{00000000-0005-0000-0000-000045900000}"/>
    <cellStyle name="Percent 2 6 2 2 2 2" xfId="8381" xr:uid="{00000000-0005-0000-0000-000046900000}"/>
    <cellStyle name="Percent 2 6 2 2 2 2 2" xfId="8382" xr:uid="{00000000-0005-0000-0000-000047900000}"/>
    <cellStyle name="Percent 2 6 2 2 2 2 3" xfId="8383" xr:uid="{00000000-0005-0000-0000-000048900000}"/>
    <cellStyle name="Percent 2 6 2 2 2 3" xfId="8384" xr:uid="{00000000-0005-0000-0000-000049900000}"/>
    <cellStyle name="Percent 2 6 2 2 2 3 2" xfId="8385" xr:uid="{00000000-0005-0000-0000-00004A900000}"/>
    <cellStyle name="Percent 2 6 2 2 2 4" xfId="8386" xr:uid="{00000000-0005-0000-0000-00004B900000}"/>
    <cellStyle name="Percent 2 6 2 2 2 4 2" xfId="8387" xr:uid="{00000000-0005-0000-0000-00004C900000}"/>
    <cellStyle name="Percent 2 6 2 2 2 5" xfId="8388" xr:uid="{00000000-0005-0000-0000-00004D900000}"/>
    <cellStyle name="Percent 2 6 2 2 3" xfId="8389" xr:uid="{00000000-0005-0000-0000-00004E900000}"/>
    <cellStyle name="Percent 2 6 2 2 3 2" xfId="8390" xr:uid="{00000000-0005-0000-0000-00004F900000}"/>
    <cellStyle name="Percent 2 6 2 2 3 2 2" xfId="8391" xr:uid="{00000000-0005-0000-0000-000050900000}"/>
    <cellStyle name="Percent 2 6 2 2 3 3" xfId="8392" xr:uid="{00000000-0005-0000-0000-000051900000}"/>
    <cellStyle name="Percent 2 6 2 2 3 3 2" xfId="8393" xr:uid="{00000000-0005-0000-0000-000052900000}"/>
    <cellStyle name="Percent 2 6 2 2 3 4" xfId="8394" xr:uid="{00000000-0005-0000-0000-000053900000}"/>
    <cellStyle name="Percent 2 6 2 2 4" xfId="8395" xr:uid="{00000000-0005-0000-0000-000054900000}"/>
    <cellStyle name="Percent 2 6 2 2 4 2" xfId="8396" xr:uid="{00000000-0005-0000-0000-000055900000}"/>
    <cellStyle name="Percent 2 6 2 2 4 3" xfId="8397" xr:uid="{00000000-0005-0000-0000-000056900000}"/>
    <cellStyle name="Percent 2 6 2 2 5" xfId="8398" xr:uid="{00000000-0005-0000-0000-000057900000}"/>
    <cellStyle name="Percent 2 6 2 2 5 2" xfId="8399" xr:uid="{00000000-0005-0000-0000-000058900000}"/>
    <cellStyle name="Percent 2 6 2 2 6" xfId="8400" xr:uid="{00000000-0005-0000-0000-000059900000}"/>
    <cellStyle name="Percent 2 6 2 2 6 2" xfId="8401" xr:uid="{00000000-0005-0000-0000-00005A900000}"/>
    <cellStyle name="Percent 2 6 2 2 7" xfId="8402" xr:uid="{00000000-0005-0000-0000-00005B900000}"/>
    <cellStyle name="Percent 2 6 2 3" xfId="8403" xr:uid="{00000000-0005-0000-0000-00005C900000}"/>
    <cellStyle name="Percent 2 6 2 3 2" xfId="8404" xr:uid="{00000000-0005-0000-0000-00005D900000}"/>
    <cellStyle name="Percent 2 6 2 3 2 2" xfId="8405" xr:uid="{00000000-0005-0000-0000-00005E900000}"/>
    <cellStyle name="Percent 2 6 2 3 2 3" xfId="8406" xr:uid="{00000000-0005-0000-0000-00005F900000}"/>
    <cellStyle name="Percent 2 6 2 3 3" xfId="8407" xr:uid="{00000000-0005-0000-0000-000060900000}"/>
    <cellStyle name="Percent 2 6 2 3 3 2" xfId="8408" xr:uid="{00000000-0005-0000-0000-000061900000}"/>
    <cellStyle name="Percent 2 6 2 3 4" xfId="8409" xr:uid="{00000000-0005-0000-0000-000062900000}"/>
    <cellStyle name="Percent 2 6 2 3 4 2" xfId="8410" xr:uid="{00000000-0005-0000-0000-000063900000}"/>
    <cellStyle name="Percent 2 6 2 3 5" xfId="8411" xr:uid="{00000000-0005-0000-0000-000064900000}"/>
    <cellStyle name="Percent 2 6 2 4" xfId="8412" xr:uid="{00000000-0005-0000-0000-000065900000}"/>
    <cellStyle name="Percent 2 6 2 4 2" xfId="8413" xr:uid="{00000000-0005-0000-0000-000066900000}"/>
    <cellStyle name="Percent 2 6 2 4 2 2" xfId="8414" xr:uid="{00000000-0005-0000-0000-000067900000}"/>
    <cellStyle name="Percent 2 6 2 4 3" xfId="8415" xr:uid="{00000000-0005-0000-0000-000068900000}"/>
    <cellStyle name="Percent 2 6 2 4 3 2" xfId="8416" xr:uid="{00000000-0005-0000-0000-000069900000}"/>
    <cellStyle name="Percent 2 6 2 4 4" xfId="8417" xr:uid="{00000000-0005-0000-0000-00006A900000}"/>
    <cellStyle name="Percent 2 6 2 5" xfId="8418" xr:uid="{00000000-0005-0000-0000-00006B900000}"/>
    <cellStyle name="Percent 2 6 2 5 2" xfId="8419" xr:uid="{00000000-0005-0000-0000-00006C900000}"/>
    <cellStyle name="Percent 2 6 2 5 3" xfId="8420" xr:uid="{00000000-0005-0000-0000-00006D900000}"/>
    <cellStyle name="Percent 2 6 2 6" xfId="8421" xr:uid="{00000000-0005-0000-0000-00006E900000}"/>
    <cellStyle name="Percent 2 6 2 6 2" xfId="8422" xr:uid="{00000000-0005-0000-0000-00006F900000}"/>
    <cellStyle name="Percent 2 6 2 7" xfId="8423" xr:uid="{00000000-0005-0000-0000-000070900000}"/>
    <cellStyle name="Percent 2 6 2 7 2" xfId="8424" xr:uid="{00000000-0005-0000-0000-000071900000}"/>
    <cellStyle name="Percent 2 6 2 8" xfId="8425" xr:uid="{00000000-0005-0000-0000-000072900000}"/>
    <cellStyle name="Percent 2 6 3" xfId="8426" xr:uid="{00000000-0005-0000-0000-000073900000}"/>
    <cellStyle name="Percent 2 6 3 2" xfId="8427" xr:uid="{00000000-0005-0000-0000-000074900000}"/>
    <cellStyle name="Percent 2 6 3 2 2" xfId="8428" xr:uid="{00000000-0005-0000-0000-000075900000}"/>
    <cellStyle name="Percent 2 6 3 2 2 2" xfId="8429" xr:uid="{00000000-0005-0000-0000-000076900000}"/>
    <cellStyle name="Percent 2 6 3 2 2 3" xfId="8430" xr:uid="{00000000-0005-0000-0000-000077900000}"/>
    <cellStyle name="Percent 2 6 3 2 3" xfId="8431" xr:uid="{00000000-0005-0000-0000-000078900000}"/>
    <cellStyle name="Percent 2 6 3 2 3 2" xfId="8432" xr:uid="{00000000-0005-0000-0000-000079900000}"/>
    <cellStyle name="Percent 2 6 3 2 4" xfId="8433" xr:uid="{00000000-0005-0000-0000-00007A900000}"/>
    <cellStyle name="Percent 2 6 3 2 4 2" xfId="8434" xr:uid="{00000000-0005-0000-0000-00007B900000}"/>
    <cellStyle name="Percent 2 6 3 2 5" xfId="8435" xr:uid="{00000000-0005-0000-0000-00007C900000}"/>
    <cellStyle name="Percent 2 6 3 3" xfId="8436" xr:uid="{00000000-0005-0000-0000-00007D900000}"/>
    <cellStyle name="Percent 2 6 3 3 2" xfId="8437" xr:uid="{00000000-0005-0000-0000-00007E900000}"/>
    <cellStyle name="Percent 2 6 3 3 2 2" xfId="8438" xr:uid="{00000000-0005-0000-0000-00007F900000}"/>
    <cellStyle name="Percent 2 6 3 3 3" xfId="8439" xr:uid="{00000000-0005-0000-0000-000080900000}"/>
    <cellStyle name="Percent 2 6 3 3 3 2" xfId="8440" xr:uid="{00000000-0005-0000-0000-000081900000}"/>
    <cellStyle name="Percent 2 6 3 3 4" xfId="8441" xr:uid="{00000000-0005-0000-0000-000082900000}"/>
    <cellStyle name="Percent 2 6 3 4" xfId="8442" xr:uid="{00000000-0005-0000-0000-000083900000}"/>
    <cellStyle name="Percent 2 6 3 4 2" xfId="8443" xr:uid="{00000000-0005-0000-0000-000084900000}"/>
    <cellStyle name="Percent 2 6 3 4 3" xfId="8444" xr:uid="{00000000-0005-0000-0000-000085900000}"/>
    <cellStyle name="Percent 2 6 3 5" xfId="8445" xr:uid="{00000000-0005-0000-0000-000086900000}"/>
    <cellStyle name="Percent 2 6 3 5 2" xfId="8446" xr:uid="{00000000-0005-0000-0000-000087900000}"/>
    <cellStyle name="Percent 2 6 3 6" xfId="8447" xr:uid="{00000000-0005-0000-0000-000088900000}"/>
    <cellStyle name="Percent 2 6 3 6 2" xfId="8448" xr:uid="{00000000-0005-0000-0000-000089900000}"/>
    <cellStyle name="Percent 2 6 3 7" xfId="8449" xr:uid="{00000000-0005-0000-0000-00008A900000}"/>
    <cellStyle name="Percent 2 6 4" xfId="8450" xr:uid="{00000000-0005-0000-0000-00008B900000}"/>
    <cellStyle name="Percent 2 6 4 2" xfId="8451" xr:uid="{00000000-0005-0000-0000-00008C900000}"/>
    <cellStyle name="Percent 2 6 4 2 2" xfId="8452" xr:uid="{00000000-0005-0000-0000-00008D900000}"/>
    <cellStyle name="Percent 2 6 4 2 2 2" xfId="8453" xr:uid="{00000000-0005-0000-0000-00008E900000}"/>
    <cellStyle name="Percent 2 6 4 2 2 3" xfId="8454" xr:uid="{00000000-0005-0000-0000-00008F900000}"/>
    <cellStyle name="Percent 2 6 4 2 3" xfId="8455" xr:uid="{00000000-0005-0000-0000-000090900000}"/>
    <cellStyle name="Percent 2 6 4 2 3 2" xfId="8456" xr:uid="{00000000-0005-0000-0000-000091900000}"/>
    <cellStyle name="Percent 2 6 4 2 4" xfId="8457" xr:uid="{00000000-0005-0000-0000-000092900000}"/>
    <cellStyle name="Percent 2 6 4 2 4 2" xfId="8458" xr:uid="{00000000-0005-0000-0000-000093900000}"/>
    <cellStyle name="Percent 2 6 4 2 5" xfId="8459" xr:uid="{00000000-0005-0000-0000-000094900000}"/>
    <cellStyle name="Percent 2 6 4 3" xfId="8460" xr:uid="{00000000-0005-0000-0000-000095900000}"/>
    <cellStyle name="Percent 2 6 4 3 2" xfId="8461" xr:uid="{00000000-0005-0000-0000-000096900000}"/>
    <cellStyle name="Percent 2 6 4 3 2 2" xfId="8462" xr:uid="{00000000-0005-0000-0000-000097900000}"/>
    <cellStyle name="Percent 2 6 4 3 3" xfId="8463" xr:uid="{00000000-0005-0000-0000-000098900000}"/>
    <cellStyle name="Percent 2 6 4 3 3 2" xfId="8464" xr:uid="{00000000-0005-0000-0000-000099900000}"/>
    <cellStyle name="Percent 2 6 4 3 4" xfId="8465" xr:uid="{00000000-0005-0000-0000-00009A900000}"/>
    <cellStyle name="Percent 2 6 4 4" xfId="8466" xr:uid="{00000000-0005-0000-0000-00009B900000}"/>
    <cellStyle name="Percent 2 6 4 4 2" xfId="8467" xr:uid="{00000000-0005-0000-0000-00009C900000}"/>
    <cellStyle name="Percent 2 6 4 4 3" xfId="8468" xr:uid="{00000000-0005-0000-0000-00009D900000}"/>
    <cellStyle name="Percent 2 6 4 5" xfId="8469" xr:uid="{00000000-0005-0000-0000-00009E900000}"/>
    <cellStyle name="Percent 2 6 4 5 2" xfId="8470" xr:uid="{00000000-0005-0000-0000-00009F900000}"/>
    <cellStyle name="Percent 2 6 4 6" xfId="8471" xr:uid="{00000000-0005-0000-0000-0000A0900000}"/>
    <cellStyle name="Percent 2 6 4 6 2" xfId="8472" xr:uid="{00000000-0005-0000-0000-0000A1900000}"/>
    <cellStyle name="Percent 2 6 4 7" xfId="8473" xr:uid="{00000000-0005-0000-0000-0000A2900000}"/>
    <cellStyle name="Percent 2 6 5" xfId="8474" xr:uid="{00000000-0005-0000-0000-0000A3900000}"/>
    <cellStyle name="Percent 2 6 5 2" xfId="8475" xr:uid="{00000000-0005-0000-0000-0000A4900000}"/>
    <cellStyle name="Percent 2 6 5 2 2" xfId="8476" xr:uid="{00000000-0005-0000-0000-0000A5900000}"/>
    <cellStyle name="Percent 2 6 5 2 2 2" xfId="8477" xr:uid="{00000000-0005-0000-0000-0000A6900000}"/>
    <cellStyle name="Percent 2 6 5 2 3" xfId="8478" xr:uid="{00000000-0005-0000-0000-0000A7900000}"/>
    <cellStyle name="Percent 2 6 5 2 3 2" xfId="8479" xr:uid="{00000000-0005-0000-0000-0000A8900000}"/>
    <cellStyle name="Percent 2 6 5 2 4" xfId="8480" xr:uid="{00000000-0005-0000-0000-0000A9900000}"/>
    <cellStyle name="Percent 2 6 5 3" xfId="8481" xr:uid="{00000000-0005-0000-0000-0000AA900000}"/>
    <cellStyle name="Percent 2 6 5 3 2" xfId="8482" xr:uid="{00000000-0005-0000-0000-0000AB900000}"/>
    <cellStyle name="Percent 2 6 5 3 3" xfId="8483" xr:uid="{00000000-0005-0000-0000-0000AC900000}"/>
    <cellStyle name="Percent 2 6 5 4" xfId="8484" xr:uid="{00000000-0005-0000-0000-0000AD900000}"/>
    <cellStyle name="Percent 2 6 5 4 2" xfId="8485" xr:uid="{00000000-0005-0000-0000-0000AE900000}"/>
    <cellStyle name="Percent 2 6 5 5" xfId="8486" xr:uid="{00000000-0005-0000-0000-0000AF900000}"/>
    <cellStyle name="Percent 2 6 5 5 2" xfId="8487" xr:uid="{00000000-0005-0000-0000-0000B0900000}"/>
    <cellStyle name="Percent 2 6 5 6" xfId="8488" xr:uid="{00000000-0005-0000-0000-0000B1900000}"/>
    <cellStyle name="Percent 2 6 6" xfId="8489" xr:uid="{00000000-0005-0000-0000-0000B2900000}"/>
    <cellStyle name="Percent 2 6 6 2" xfId="8490" xr:uid="{00000000-0005-0000-0000-0000B3900000}"/>
    <cellStyle name="Percent 2 6 6 2 2" xfId="8491" xr:uid="{00000000-0005-0000-0000-0000B4900000}"/>
    <cellStyle name="Percent 2 6 6 3" xfId="8492" xr:uid="{00000000-0005-0000-0000-0000B5900000}"/>
    <cellStyle name="Percent 2 6 6 3 2" xfId="8493" xr:uid="{00000000-0005-0000-0000-0000B6900000}"/>
    <cellStyle name="Percent 2 6 6 4" xfId="8494" xr:uid="{00000000-0005-0000-0000-0000B7900000}"/>
    <cellStyle name="Percent 2 6 7" xfId="8495" xr:uid="{00000000-0005-0000-0000-0000B8900000}"/>
    <cellStyle name="Percent 2 6 7 2" xfId="8496" xr:uid="{00000000-0005-0000-0000-0000B9900000}"/>
    <cellStyle name="Percent 2 6 7 2 2" xfId="8497" xr:uid="{00000000-0005-0000-0000-0000BA900000}"/>
    <cellStyle name="Percent 2 6 7 3" xfId="8498" xr:uid="{00000000-0005-0000-0000-0000BB900000}"/>
    <cellStyle name="Percent 2 6 7 3 2" xfId="8499" xr:uid="{00000000-0005-0000-0000-0000BC900000}"/>
    <cellStyle name="Percent 2 6 7 4" xfId="8500" xr:uid="{00000000-0005-0000-0000-0000BD900000}"/>
    <cellStyle name="Percent 2 6 8" xfId="8501" xr:uid="{00000000-0005-0000-0000-0000BE900000}"/>
    <cellStyle name="Percent 2 6 8 2" xfId="8502" xr:uid="{00000000-0005-0000-0000-0000BF900000}"/>
    <cellStyle name="Percent 2 6 8 3" xfId="8503" xr:uid="{00000000-0005-0000-0000-0000C0900000}"/>
    <cellStyle name="Percent 2 6 9" xfId="8504" xr:uid="{00000000-0005-0000-0000-0000C1900000}"/>
    <cellStyle name="Percent 2 6 9 2" xfId="8505" xr:uid="{00000000-0005-0000-0000-0000C2900000}"/>
    <cellStyle name="Percent 2 7" xfId="8506" xr:uid="{00000000-0005-0000-0000-0000C3900000}"/>
    <cellStyle name="Percent 2 7 10" xfId="8507" xr:uid="{00000000-0005-0000-0000-0000C4900000}"/>
    <cellStyle name="Percent 2 7 2" xfId="8508" xr:uid="{00000000-0005-0000-0000-0000C5900000}"/>
    <cellStyle name="Percent 2 7 2 2" xfId="8509" xr:uid="{00000000-0005-0000-0000-0000C6900000}"/>
    <cellStyle name="Percent 2 7 2 2 2" xfId="8510" xr:uid="{00000000-0005-0000-0000-0000C7900000}"/>
    <cellStyle name="Percent 2 7 2 2 2 2" xfId="8511" xr:uid="{00000000-0005-0000-0000-0000C8900000}"/>
    <cellStyle name="Percent 2 7 2 2 2 3" xfId="8512" xr:uid="{00000000-0005-0000-0000-0000C9900000}"/>
    <cellStyle name="Percent 2 7 2 2 3" xfId="8513" xr:uid="{00000000-0005-0000-0000-0000CA900000}"/>
    <cellStyle name="Percent 2 7 2 2 3 2" xfId="8514" xr:uid="{00000000-0005-0000-0000-0000CB900000}"/>
    <cellStyle name="Percent 2 7 2 2 4" xfId="8515" xr:uid="{00000000-0005-0000-0000-0000CC900000}"/>
    <cellStyle name="Percent 2 7 2 2 4 2" xfId="8516" xr:uid="{00000000-0005-0000-0000-0000CD900000}"/>
    <cellStyle name="Percent 2 7 2 2 5" xfId="8517" xr:uid="{00000000-0005-0000-0000-0000CE900000}"/>
    <cellStyle name="Percent 2 7 2 3" xfId="8518" xr:uid="{00000000-0005-0000-0000-0000CF900000}"/>
    <cellStyle name="Percent 2 7 2 3 2" xfId="8519" xr:uid="{00000000-0005-0000-0000-0000D0900000}"/>
    <cellStyle name="Percent 2 7 2 3 2 2" xfId="8520" xr:uid="{00000000-0005-0000-0000-0000D1900000}"/>
    <cellStyle name="Percent 2 7 2 3 3" xfId="8521" xr:uid="{00000000-0005-0000-0000-0000D2900000}"/>
    <cellStyle name="Percent 2 7 2 3 3 2" xfId="8522" xr:uid="{00000000-0005-0000-0000-0000D3900000}"/>
    <cellStyle name="Percent 2 7 2 3 4" xfId="8523" xr:uid="{00000000-0005-0000-0000-0000D4900000}"/>
    <cellStyle name="Percent 2 7 2 4" xfId="8524" xr:uid="{00000000-0005-0000-0000-0000D5900000}"/>
    <cellStyle name="Percent 2 7 2 4 2" xfId="8525" xr:uid="{00000000-0005-0000-0000-0000D6900000}"/>
    <cellStyle name="Percent 2 7 2 4 3" xfId="8526" xr:uid="{00000000-0005-0000-0000-0000D7900000}"/>
    <cellStyle name="Percent 2 7 2 5" xfId="8527" xr:uid="{00000000-0005-0000-0000-0000D8900000}"/>
    <cellStyle name="Percent 2 7 2 5 2" xfId="8528" xr:uid="{00000000-0005-0000-0000-0000D9900000}"/>
    <cellStyle name="Percent 2 7 2 6" xfId="8529" xr:uid="{00000000-0005-0000-0000-0000DA900000}"/>
    <cellStyle name="Percent 2 7 2 6 2" xfId="8530" xr:uid="{00000000-0005-0000-0000-0000DB900000}"/>
    <cellStyle name="Percent 2 7 2 7" xfId="8531" xr:uid="{00000000-0005-0000-0000-0000DC900000}"/>
    <cellStyle name="Percent 2 7 3" xfId="8532" xr:uid="{00000000-0005-0000-0000-0000DD900000}"/>
    <cellStyle name="Percent 2 7 3 2" xfId="8533" xr:uid="{00000000-0005-0000-0000-0000DE900000}"/>
    <cellStyle name="Percent 2 7 3 2 2" xfId="8534" xr:uid="{00000000-0005-0000-0000-0000DF900000}"/>
    <cellStyle name="Percent 2 7 3 2 2 2" xfId="8535" xr:uid="{00000000-0005-0000-0000-0000E0900000}"/>
    <cellStyle name="Percent 2 7 3 2 2 3" xfId="8536" xr:uid="{00000000-0005-0000-0000-0000E1900000}"/>
    <cellStyle name="Percent 2 7 3 2 3" xfId="8537" xr:uid="{00000000-0005-0000-0000-0000E2900000}"/>
    <cellStyle name="Percent 2 7 3 2 3 2" xfId="8538" xr:uid="{00000000-0005-0000-0000-0000E3900000}"/>
    <cellStyle name="Percent 2 7 3 2 4" xfId="8539" xr:uid="{00000000-0005-0000-0000-0000E4900000}"/>
    <cellStyle name="Percent 2 7 3 2 4 2" xfId="8540" xr:uid="{00000000-0005-0000-0000-0000E5900000}"/>
    <cellStyle name="Percent 2 7 3 2 5" xfId="8541" xr:uid="{00000000-0005-0000-0000-0000E6900000}"/>
    <cellStyle name="Percent 2 7 3 3" xfId="8542" xr:uid="{00000000-0005-0000-0000-0000E7900000}"/>
    <cellStyle name="Percent 2 7 3 3 2" xfId="8543" xr:uid="{00000000-0005-0000-0000-0000E8900000}"/>
    <cellStyle name="Percent 2 7 3 3 2 2" xfId="8544" xr:uid="{00000000-0005-0000-0000-0000E9900000}"/>
    <cellStyle name="Percent 2 7 3 3 3" xfId="8545" xr:uid="{00000000-0005-0000-0000-0000EA900000}"/>
    <cellStyle name="Percent 2 7 3 3 3 2" xfId="8546" xr:uid="{00000000-0005-0000-0000-0000EB900000}"/>
    <cellStyle name="Percent 2 7 3 3 4" xfId="8547" xr:uid="{00000000-0005-0000-0000-0000EC900000}"/>
    <cellStyle name="Percent 2 7 3 4" xfId="8548" xr:uid="{00000000-0005-0000-0000-0000ED900000}"/>
    <cellStyle name="Percent 2 7 3 4 2" xfId="8549" xr:uid="{00000000-0005-0000-0000-0000EE900000}"/>
    <cellStyle name="Percent 2 7 3 4 3" xfId="8550" xr:uid="{00000000-0005-0000-0000-0000EF900000}"/>
    <cellStyle name="Percent 2 7 3 5" xfId="8551" xr:uid="{00000000-0005-0000-0000-0000F0900000}"/>
    <cellStyle name="Percent 2 7 3 5 2" xfId="8552" xr:uid="{00000000-0005-0000-0000-0000F1900000}"/>
    <cellStyle name="Percent 2 7 3 6" xfId="8553" xr:uid="{00000000-0005-0000-0000-0000F2900000}"/>
    <cellStyle name="Percent 2 7 3 6 2" xfId="8554" xr:uid="{00000000-0005-0000-0000-0000F3900000}"/>
    <cellStyle name="Percent 2 7 3 7" xfId="8555" xr:uid="{00000000-0005-0000-0000-0000F4900000}"/>
    <cellStyle name="Percent 2 7 4" xfId="8556" xr:uid="{00000000-0005-0000-0000-0000F5900000}"/>
    <cellStyle name="Percent 2 7 4 2" xfId="8557" xr:uid="{00000000-0005-0000-0000-0000F6900000}"/>
    <cellStyle name="Percent 2 7 4 2 2" xfId="8558" xr:uid="{00000000-0005-0000-0000-0000F7900000}"/>
    <cellStyle name="Percent 2 7 4 2 2 2" xfId="8559" xr:uid="{00000000-0005-0000-0000-0000F8900000}"/>
    <cellStyle name="Percent 2 7 4 2 3" xfId="8560" xr:uid="{00000000-0005-0000-0000-0000F9900000}"/>
    <cellStyle name="Percent 2 7 4 2 3 2" xfId="8561" xr:uid="{00000000-0005-0000-0000-0000FA900000}"/>
    <cellStyle name="Percent 2 7 4 2 4" xfId="8562" xr:uid="{00000000-0005-0000-0000-0000FB900000}"/>
    <cellStyle name="Percent 2 7 4 3" xfId="8563" xr:uid="{00000000-0005-0000-0000-0000FC900000}"/>
    <cellStyle name="Percent 2 7 4 3 2" xfId="8564" xr:uid="{00000000-0005-0000-0000-0000FD900000}"/>
    <cellStyle name="Percent 2 7 4 3 3" xfId="8565" xr:uid="{00000000-0005-0000-0000-0000FE900000}"/>
    <cellStyle name="Percent 2 7 4 4" xfId="8566" xr:uid="{00000000-0005-0000-0000-0000FF900000}"/>
    <cellStyle name="Percent 2 7 4 4 2" xfId="8567" xr:uid="{00000000-0005-0000-0000-000000910000}"/>
    <cellStyle name="Percent 2 7 4 5" xfId="8568" xr:uid="{00000000-0005-0000-0000-000001910000}"/>
    <cellStyle name="Percent 2 7 4 5 2" xfId="8569" xr:uid="{00000000-0005-0000-0000-000002910000}"/>
    <cellStyle name="Percent 2 7 4 6" xfId="8570" xr:uid="{00000000-0005-0000-0000-000003910000}"/>
    <cellStyle name="Percent 2 7 5" xfId="8571" xr:uid="{00000000-0005-0000-0000-000004910000}"/>
    <cellStyle name="Percent 2 7 5 2" xfId="8572" xr:uid="{00000000-0005-0000-0000-000005910000}"/>
    <cellStyle name="Percent 2 7 5 2 2" xfId="8573" xr:uid="{00000000-0005-0000-0000-000006910000}"/>
    <cellStyle name="Percent 2 7 5 3" xfId="8574" xr:uid="{00000000-0005-0000-0000-000007910000}"/>
    <cellStyle name="Percent 2 7 5 3 2" xfId="8575" xr:uid="{00000000-0005-0000-0000-000008910000}"/>
    <cellStyle name="Percent 2 7 5 4" xfId="8576" xr:uid="{00000000-0005-0000-0000-000009910000}"/>
    <cellStyle name="Percent 2 7 6" xfId="8577" xr:uid="{00000000-0005-0000-0000-00000A910000}"/>
    <cellStyle name="Percent 2 7 6 2" xfId="8578" xr:uid="{00000000-0005-0000-0000-00000B910000}"/>
    <cellStyle name="Percent 2 7 6 2 2" xfId="8579" xr:uid="{00000000-0005-0000-0000-00000C910000}"/>
    <cellStyle name="Percent 2 7 6 3" xfId="8580" xr:uid="{00000000-0005-0000-0000-00000D910000}"/>
    <cellStyle name="Percent 2 7 6 3 2" xfId="8581" xr:uid="{00000000-0005-0000-0000-00000E910000}"/>
    <cellStyle name="Percent 2 7 6 4" xfId="8582" xr:uid="{00000000-0005-0000-0000-00000F910000}"/>
    <cellStyle name="Percent 2 7 7" xfId="8583" xr:uid="{00000000-0005-0000-0000-000010910000}"/>
    <cellStyle name="Percent 2 7 7 2" xfId="8584" xr:uid="{00000000-0005-0000-0000-000011910000}"/>
    <cellStyle name="Percent 2 7 7 3" xfId="8585" xr:uid="{00000000-0005-0000-0000-000012910000}"/>
    <cellStyle name="Percent 2 7 8" xfId="8586" xr:uid="{00000000-0005-0000-0000-000013910000}"/>
    <cellStyle name="Percent 2 7 8 2" xfId="8587" xr:uid="{00000000-0005-0000-0000-000014910000}"/>
    <cellStyle name="Percent 2 7 9" xfId="8588" xr:uid="{00000000-0005-0000-0000-000015910000}"/>
    <cellStyle name="Percent 2 7 9 2" xfId="8589" xr:uid="{00000000-0005-0000-0000-000016910000}"/>
    <cellStyle name="Percent 2 8" xfId="8590" xr:uid="{00000000-0005-0000-0000-000017910000}"/>
    <cellStyle name="Percent 2 8 2" xfId="8591" xr:uid="{00000000-0005-0000-0000-000018910000}"/>
    <cellStyle name="Percent 2 8 2 2" xfId="8592" xr:uid="{00000000-0005-0000-0000-000019910000}"/>
    <cellStyle name="Percent 2 8 2 2 2" xfId="8593" xr:uid="{00000000-0005-0000-0000-00001A910000}"/>
    <cellStyle name="Percent 2 8 2 3" xfId="8594" xr:uid="{00000000-0005-0000-0000-00001B910000}"/>
    <cellStyle name="Percent 2 8 2 3 2" xfId="8595" xr:uid="{00000000-0005-0000-0000-00001C910000}"/>
    <cellStyle name="Percent 2 8 2 4" xfId="8596" xr:uid="{00000000-0005-0000-0000-00001D910000}"/>
    <cellStyle name="Percent 2 8 3" xfId="8597" xr:uid="{00000000-0005-0000-0000-00001E910000}"/>
    <cellStyle name="Percent 2 8 3 2" xfId="8598" xr:uid="{00000000-0005-0000-0000-00001F910000}"/>
    <cellStyle name="Percent 2 8 3 3" xfId="8599" xr:uid="{00000000-0005-0000-0000-000020910000}"/>
    <cellStyle name="Percent 2 8 4" xfId="8600" xr:uid="{00000000-0005-0000-0000-000021910000}"/>
    <cellStyle name="Percent 2 8 4 2" xfId="8601" xr:uid="{00000000-0005-0000-0000-000022910000}"/>
    <cellStyle name="Percent 2 8 5" xfId="8602" xr:uid="{00000000-0005-0000-0000-000023910000}"/>
    <cellStyle name="Percent 2 8 5 2" xfId="8603" xr:uid="{00000000-0005-0000-0000-000024910000}"/>
    <cellStyle name="Percent 2 8 6" xfId="8604" xr:uid="{00000000-0005-0000-0000-000025910000}"/>
    <cellStyle name="Percent 2 9" xfId="8605" xr:uid="{00000000-0005-0000-0000-000026910000}"/>
    <cellStyle name="Percent 2 9 2" xfId="8606" xr:uid="{00000000-0005-0000-0000-000027910000}"/>
    <cellStyle name="Percent 2 9 2 2" xfId="8607" xr:uid="{00000000-0005-0000-0000-000028910000}"/>
    <cellStyle name="Percent 2 9 3" xfId="8608" xr:uid="{00000000-0005-0000-0000-000029910000}"/>
    <cellStyle name="Percent 2 9 3 2" xfId="8609" xr:uid="{00000000-0005-0000-0000-00002A910000}"/>
    <cellStyle name="Percent 2 9 4" xfId="8610" xr:uid="{00000000-0005-0000-0000-00002B910000}"/>
    <cellStyle name="Percent 20" xfId="41206" xr:uid="{00000000-0005-0000-0000-00002C910000}"/>
    <cellStyle name="Percent 21" xfId="41207" xr:uid="{00000000-0005-0000-0000-00002D910000}"/>
    <cellStyle name="Percent 22" xfId="41208" xr:uid="{00000000-0005-0000-0000-00002E910000}"/>
    <cellStyle name="Percent 23" xfId="41209" xr:uid="{00000000-0005-0000-0000-00002F910000}"/>
    <cellStyle name="Percent 24" xfId="41210" xr:uid="{00000000-0005-0000-0000-000030910000}"/>
    <cellStyle name="Percent 25" xfId="41211" xr:uid="{00000000-0005-0000-0000-000031910000}"/>
    <cellStyle name="Percent 26" xfId="41212" xr:uid="{00000000-0005-0000-0000-000032910000}"/>
    <cellStyle name="Percent 27" xfId="41213" xr:uid="{00000000-0005-0000-0000-000033910000}"/>
    <cellStyle name="Percent 28" xfId="41214" xr:uid="{00000000-0005-0000-0000-000034910000}"/>
    <cellStyle name="Percent 29" xfId="41215" xr:uid="{00000000-0005-0000-0000-000035910000}"/>
    <cellStyle name="Percent 3" xfId="8611" xr:uid="{00000000-0005-0000-0000-000036910000}"/>
    <cellStyle name="Percent 3 2" xfId="8612" xr:uid="{00000000-0005-0000-0000-000037910000}"/>
    <cellStyle name="Percent 3 2 2" xfId="41216" xr:uid="{00000000-0005-0000-0000-000038910000}"/>
    <cellStyle name="Percent 3 3" xfId="8613" xr:uid="{00000000-0005-0000-0000-000039910000}"/>
    <cellStyle name="Percent 30" xfId="41217" xr:uid="{00000000-0005-0000-0000-00003A910000}"/>
    <cellStyle name="Percent 31" xfId="41218" xr:uid="{00000000-0005-0000-0000-00003B910000}"/>
    <cellStyle name="Percent 32" xfId="41219" xr:uid="{00000000-0005-0000-0000-00003C910000}"/>
    <cellStyle name="Percent 33" xfId="41220" xr:uid="{00000000-0005-0000-0000-00003D910000}"/>
    <cellStyle name="Percent 34" xfId="41221" xr:uid="{00000000-0005-0000-0000-00003E910000}"/>
    <cellStyle name="Percent 35" xfId="41222" xr:uid="{00000000-0005-0000-0000-00003F910000}"/>
    <cellStyle name="Percent 36" xfId="41223" xr:uid="{00000000-0005-0000-0000-000040910000}"/>
    <cellStyle name="Percent 37" xfId="41224" xr:uid="{00000000-0005-0000-0000-000041910000}"/>
    <cellStyle name="Percent 38" xfId="41225" xr:uid="{00000000-0005-0000-0000-000042910000}"/>
    <cellStyle name="Percent 39" xfId="41226" xr:uid="{00000000-0005-0000-0000-000043910000}"/>
    <cellStyle name="Percent 4" xfId="8614" xr:uid="{00000000-0005-0000-0000-000044910000}"/>
    <cellStyle name="Percent 4 2" xfId="12259" xr:uid="{00000000-0005-0000-0000-000045910000}"/>
    <cellStyle name="Percent 4 2 2" xfId="12260" xr:uid="{00000000-0005-0000-0000-000046910000}"/>
    <cellStyle name="Percent 4 2 2 2" xfId="12261" xr:uid="{00000000-0005-0000-0000-000047910000}"/>
    <cellStyle name="Percent 4 2 2 2 2" xfId="12262" xr:uid="{00000000-0005-0000-0000-000048910000}"/>
    <cellStyle name="Percent 4 2 2 3" xfId="12263" xr:uid="{00000000-0005-0000-0000-000049910000}"/>
    <cellStyle name="Percent 4 2 2 4" xfId="12264" xr:uid="{00000000-0005-0000-0000-00004A910000}"/>
    <cellStyle name="Percent 4 2 3" xfId="12265" xr:uid="{00000000-0005-0000-0000-00004B910000}"/>
    <cellStyle name="Percent 4 2 3 2" xfId="12266" xr:uid="{00000000-0005-0000-0000-00004C910000}"/>
    <cellStyle name="Percent 4 2 4" xfId="12267" xr:uid="{00000000-0005-0000-0000-00004D910000}"/>
    <cellStyle name="Percent 4 2 5" xfId="12268" xr:uid="{00000000-0005-0000-0000-00004E910000}"/>
    <cellStyle name="Percent 4 2 6" xfId="41228" xr:uid="{00000000-0005-0000-0000-00004F910000}"/>
    <cellStyle name="Percent 4 3" xfId="12269" xr:uid="{00000000-0005-0000-0000-000050910000}"/>
    <cellStyle name="Percent 4 3 2" xfId="12270" xr:uid="{00000000-0005-0000-0000-000051910000}"/>
    <cellStyle name="Percent 4 3 2 2" xfId="12271" xr:uid="{00000000-0005-0000-0000-000052910000}"/>
    <cellStyle name="Percent 4 3 3" xfId="12272" xr:uid="{00000000-0005-0000-0000-000053910000}"/>
    <cellStyle name="Percent 4 3 4" xfId="12273" xr:uid="{00000000-0005-0000-0000-000054910000}"/>
    <cellStyle name="Percent 4 3 5" xfId="41229" xr:uid="{00000000-0005-0000-0000-000055910000}"/>
    <cellStyle name="Percent 4 4" xfId="12274" xr:uid="{00000000-0005-0000-0000-000056910000}"/>
    <cellStyle name="Percent 4 4 2" xfId="12275" xr:uid="{00000000-0005-0000-0000-000057910000}"/>
    <cellStyle name="Percent 4 4 2 2" xfId="12276" xr:uid="{00000000-0005-0000-0000-000058910000}"/>
    <cellStyle name="Percent 4 4 3" xfId="12277" xr:uid="{00000000-0005-0000-0000-000059910000}"/>
    <cellStyle name="Percent 4 4 4" xfId="12278" xr:uid="{00000000-0005-0000-0000-00005A910000}"/>
    <cellStyle name="Percent 4 4 5" xfId="41230" xr:uid="{00000000-0005-0000-0000-00005B910000}"/>
    <cellStyle name="Percent 4 5" xfId="12279" xr:uid="{00000000-0005-0000-0000-00005C910000}"/>
    <cellStyle name="Percent 4 5 2" xfId="12280" xr:uid="{00000000-0005-0000-0000-00005D910000}"/>
    <cellStyle name="Percent 4 5 2 2" xfId="12281" xr:uid="{00000000-0005-0000-0000-00005E910000}"/>
    <cellStyle name="Percent 4 5 3" xfId="12282" xr:uid="{00000000-0005-0000-0000-00005F910000}"/>
    <cellStyle name="Percent 4 5 4" xfId="12283" xr:uid="{00000000-0005-0000-0000-000060910000}"/>
    <cellStyle name="Percent 4 6" xfId="12284" xr:uid="{00000000-0005-0000-0000-000061910000}"/>
    <cellStyle name="Percent 4 6 2" xfId="12285" xr:uid="{00000000-0005-0000-0000-000062910000}"/>
    <cellStyle name="Percent 4 7" xfId="12286" xr:uid="{00000000-0005-0000-0000-000063910000}"/>
    <cellStyle name="Percent 4 8" xfId="12287" xr:uid="{00000000-0005-0000-0000-000064910000}"/>
    <cellStyle name="Percent 4 9" xfId="41227" xr:uid="{00000000-0005-0000-0000-000065910000}"/>
    <cellStyle name="Percent 40" xfId="41231" xr:uid="{00000000-0005-0000-0000-000066910000}"/>
    <cellStyle name="Percent 41" xfId="41232" xr:uid="{00000000-0005-0000-0000-000067910000}"/>
    <cellStyle name="Percent 42" xfId="41233" xr:uid="{00000000-0005-0000-0000-000068910000}"/>
    <cellStyle name="Percent 43" xfId="41234" xr:uid="{00000000-0005-0000-0000-000069910000}"/>
    <cellStyle name="Percent 44" xfId="41235" xr:uid="{00000000-0005-0000-0000-00006A910000}"/>
    <cellStyle name="Percent 45" xfId="41236" xr:uid="{00000000-0005-0000-0000-00006B910000}"/>
    <cellStyle name="Percent 46" xfId="41237" xr:uid="{00000000-0005-0000-0000-00006C910000}"/>
    <cellStyle name="Percent 47" xfId="41238" xr:uid="{00000000-0005-0000-0000-00006D910000}"/>
    <cellStyle name="Percent 48" xfId="41239" xr:uid="{00000000-0005-0000-0000-00006E910000}"/>
    <cellStyle name="Percent 49" xfId="41240" xr:uid="{00000000-0005-0000-0000-00006F910000}"/>
    <cellStyle name="Percent 5" xfId="8615" xr:uid="{00000000-0005-0000-0000-000070910000}"/>
    <cellStyle name="Percent 5 10" xfId="8616" xr:uid="{00000000-0005-0000-0000-000071910000}"/>
    <cellStyle name="Percent 5 10 2" xfId="8617" xr:uid="{00000000-0005-0000-0000-000072910000}"/>
    <cellStyle name="Percent 5 11" xfId="8618" xr:uid="{00000000-0005-0000-0000-000073910000}"/>
    <cellStyle name="Percent 5 12" xfId="41241" xr:uid="{00000000-0005-0000-0000-000074910000}"/>
    <cellStyle name="Percent 5 2" xfId="8619" xr:uid="{00000000-0005-0000-0000-000075910000}"/>
    <cellStyle name="Percent 5 2 2" xfId="8620" xr:uid="{00000000-0005-0000-0000-000076910000}"/>
    <cellStyle name="Percent 5 2 2 2" xfId="8621" xr:uid="{00000000-0005-0000-0000-000077910000}"/>
    <cellStyle name="Percent 5 2 2 2 2" xfId="8622" xr:uid="{00000000-0005-0000-0000-000078910000}"/>
    <cellStyle name="Percent 5 2 2 2 2 2" xfId="8623" xr:uid="{00000000-0005-0000-0000-000079910000}"/>
    <cellStyle name="Percent 5 2 2 2 2 3" xfId="8624" xr:uid="{00000000-0005-0000-0000-00007A910000}"/>
    <cellStyle name="Percent 5 2 2 2 3" xfId="8625" xr:uid="{00000000-0005-0000-0000-00007B910000}"/>
    <cellStyle name="Percent 5 2 2 2 3 2" xfId="8626" xr:uid="{00000000-0005-0000-0000-00007C910000}"/>
    <cellStyle name="Percent 5 2 2 2 4" xfId="8627" xr:uid="{00000000-0005-0000-0000-00007D910000}"/>
    <cellStyle name="Percent 5 2 2 2 4 2" xfId="8628" xr:uid="{00000000-0005-0000-0000-00007E910000}"/>
    <cellStyle name="Percent 5 2 2 2 5" xfId="8629" xr:uid="{00000000-0005-0000-0000-00007F910000}"/>
    <cellStyle name="Percent 5 2 2 3" xfId="8630" xr:uid="{00000000-0005-0000-0000-000080910000}"/>
    <cellStyle name="Percent 5 2 2 3 2" xfId="8631" xr:uid="{00000000-0005-0000-0000-000081910000}"/>
    <cellStyle name="Percent 5 2 2 3 2 2" xfId="8632" xr:uid="{00000000-0005-0000-0000-000082910000}"/>
    <cellStyle name="Percent 5 2 2 3 3" xfId="8633" xr:uid="{00000000-0005-0000-0000-000083910000}"/>
    <cellStyle name="Percent 5 2 2 3 3 2" xfId="8634" xr:uid="{00000000-0005-0000-0000-000084910000}"/>
    <cellStyle name="Percent 5 2 2 3 4" xfId="8635" xr:uid="{00000000-0005-0000-0000-000085910000}"/>
    <cellStyle name="Percent 5 2 2 4" xfId="8636" xr:uid="{00000000-0005-0000-0000-000086910000}"/>
    <cellStyle name="Percent 5 2 2 4 2" xfId="8637" xr:uid="{00000000-0005-0000-0000-000087910000}"/>
    <cellStyle name="Percent 5 2 2 4 3" xfId="8638" xr:uid="{00000000-0005-0000-0000-000088910000}"/>
    <cellStyle name="Percent 5 2 2 5" xfId="8639" xr:uid="{00000000-0005-0000-0000-000089910000}"/>
    <cellStyle name="Percent 5 2 2 5 2" xfId="8640" xr:uid="{00000000-0005-0000-0000-00008A910000}"/>
    <cellStyle name="Percent 5 2 2 6" xfId="8641" xr:uid="{00000000-0005-0000-0000-00008B910000}"/>
    <cellStyle name="Percent 5 2 2 6 2" xfId="8642" xr:uid="{00000000-0005-0000-0000-00008C910000}"/>
    <cellStyle name="Percent 5 2 2 7" xfId="8643" xr:uid="{00000000-0005-0000-0000-00008D910000}"/>
    <cellStyle name="Percent 5 2 3" xfId="8644" xr:uid="{00000000-0005-0000-0000-00008E910000}"/>
    <cellStyle name="Percent 5 2 3 2" xfId="8645" xr:uid="{00000000-0005-0000-0000-00008F910000}"/>
    <cellStyle name="Percent 5 2 3 2 2" xfId="8646" xr:uid="{00000000-0005-0000-0000-000090910000}"/>
    <cellStyle name="Percent 5 2 3 2 3" xfId="8647" xr:uid="{00000000-0005-0000-0000-000091910000}"/>
    <cellStyle name="Percent 5 2 3 3" xfId="8648" xr:uid="{00000000-0005-0000-0000-000092910000}"/>
    <cellStyle name="Percent 5 2 3 3 2" xfId="8649" xr:uid="{00000000-0005-0000-0000-000093910000}"/>
    <cellStyle name="Percent 5 2 3 4" xfId="8650" xr:uid="{00000000-0005-0000-0000-000094910000}"/>
    <cellStyle name="Percent 5 2 3 4 2" xfId="8651" xr:uid="{00000000-0005-0000-0000-000095910000}"/>
    <cellStyle name="Percent 5 2 3 5" xfId="8652" xr:uid="{00000000-0005-0000-0000-000096910000}"/>
    <cellStyle name="Percent 5 2 4" xfId="8653" xr:uid="{00000000-0005-0000-0000-000097910000}"/>
    <cellStyle name="Percent 5 2 4 2" xfId="8654" xr:uid="{00000000-0005-0000-0000-000098910000}"/>
    <cellStyle name="Percent 5 2 4 2 2" xfId="8655" xr:uid="{00000000-0005-0000-0000-000099910000}"/>
    <cellStyle name="Percent 5 2 4 3" xfId="8656" xr:uid="{00000000-0005-0000-0000-00009A910000}"/>
    <cellStyle name="Percent 5 2 4 3 2" xfId="8657" xr:uid="{00000000-0005-0000-0000-00009B910000}"/>
    <cellStyle name="Percent 5 2 4 4" xfId="8658" xr:uid="{00000000-0005-0000-0000-00009C910000}"/>
    <cellStyle name="Percent 5 2 5" xfId="8659" xr:uid="{00000000-0005-0000-0000-00009D910000}"/>
    <cellStyle name="Percent 5 2 5 2" xfId="8660" xr:uid="{00000000-0005-0000-0000-00009E910000}"/>
    <cellStyle name="Percent 5 2 5 3" xfId="8661" xr:uid="{00000000-0005-0000-0000-00009F910000}"/>
    <cellStyle name="Percent 5 2 6" xfId="8662" xr:uid="{00000000-0005-0000-0000-0000A0910000}"/>
    <cellStyle name="Percent 5 2 6 2" xfId="8663" xr:uid="{00000000-0005-0000-0000-0000A1910000}"/>
    <cellStyle name="Percent 5 2 7" xfId="8664" xr:uid="{00000000-0005-0000-0000-0000A2910000}"/>
    <cellStyle name="Percent 5 2 7 2" xfId="8665" xr:uid="{00000000-0005-0000-0000-0000A3910000}"/>
    <cellStyle name="Percent 5 2 8" xfId="8666" xr:uid="{00000000-0005-0000-0000-0000A4910000}"/>
    <cellStyle name="Percent 5 2 9" xfId="41242" xr:uid="{00000000-0005-0000-0000-0000A5910000}"/>
    <cellStyle name="Percent 5 3" xfId="8667" xr:uid="{00000000-0005-0000-0000-0000A6910000}"/>
    <cellStyle name="Percent 5 3 2" xfId="8668" xr:uid="{00000000-0005-0000-0000-0000A7910000}"/>
    <cellStyle name="Percent 5 3 2 2" xfId="8669" xr:uid="{00000000-0005-0000-0000-0000A8910000}"/>
    <cellStyle name="Percent 5 3 2 2 2" xfId="8670" xr:uid="{00000000-0005-0000-0000-0000A9910000}"/>
    <cellStyle name="Percent 5 3 2 2 3" xfId="8671" xr:uid="{00000000-0005-0000-0000-0000AA910000}"/>
    <cellStyle name="Percent 5 3 2 3" xfId="8672" xr:uid="{00000000-0005-0000-0000-0000AB910000}"/>
    <cellStyle name="Percent 5 3 2 3 2" xfId="8673" xr:uid="{00000000-0005-0000-0000-0000AC910000}"/>
    <cellStyle name="Percent 5 3 2 4" xfId="8674" xr:uid="{00000000-0005-0000-0000-0000AD910000}"/>
    <cellStyle name="Percent 5 3 2 4 2" xfId="8675" xr:uid="{00000000-0005-0000-0000-0000AE910000}"/>
    <cellStyle name="Percent 5 3 2 5" xfId="8676" xr:uid="{00000000-0005-0000-0000-0000AF910000}"/>
    <cellStyle name="Percent 5 3 3" xfId="8677" xr:uid="{00000000-0005-0000-0000-0000B0910000}"/>
    <cellStyle name="Percent 5 3 3 2" xfId="8678" xr:uid="{00000000-0005-0000-0000-0000B1910000}"/>
    <cellStyle name="Percent 5 3 3 2 2" xfId="8679" xr:uid="{00000000-0005-0000-0000-0000B2910000}"/>
    <cellStyle name="Percent 5 3 3 3" xfId="8680" xr:uid="{00000000-0005-0000-0000-0000B3910000}"/>
    <cellStyle name="Percent 5 3 3 3 2" xfId="8681" xr:uid="{00000000-0005-0000-0000-0000B4910000}"/>
    <cellStyle name="Percent 5 3 3 4" xfId="8682" xr:uid="{00000000-0005-0000-0000-0000B5910000}"/>
    <cellStyle name="Percent 5 3 4" xfId="8683" xr:uid="{00000000-0005-0000-0000-0000B6910000}"/>
    <cellStyle name="Percent 5 3 4 2" xfId="8684" xr:uid="{00000000-0005-0000-0000-0000B7910000}"/>
    <cellStyle name="Percent 5 3 4 3" xfId="8685" xr:uid="{00000000-0005-0000-0000-0000B8910000}"/>
    <cellStyle name="Percent 5 3 5" xfId="8686" xr:uid="{00000000-0005-0000-0000-0000B9910000}"/>
    <cellStyle name="Percent 5 3 5 2" xfId="8687" xr:uid="{00000000-0005-0000-0000-0000BA910000}"/>
    <cellStyle name="Percent 5 3 6" xfId="8688" xr:uid="{00000000-0005-0000-0000-0000BB910000}"/>
    <cellStyle name="Percent 5 3 6 2" xfId="8689" xr:uid="{00000000-0005-0000-0000-0000BC910000}"/>
    <cellStyle name="Percent 5 3 7" xfId="8690" xr:uid="{00000000-0005-0000-0000-0000BD910000}"/>
    <cellStyle name="Percent 5 4" xfId="8691" xr:uid="{00000000-0005-0000-0000-0000BE910000}"/>
    <cellStyle name="Percent 5 4 2" xfId="8692" xr:uid="{00000000-0005-0000-0000-0000BF910000}"/>
    <cellStyle name="Percent 5 4 2 2" xfId="8693" xr:uid="{00000000-0005-0000-0000-0000C0910000}"/>
    <cellStyle name="Percent 5 4 2 2 2" xfId="8694" xr:uid="{00000000-0005-0000-0000-0000C1910000}"/>
    <cellStyle name="Percent 5 4 2 2 3" xfId="8695" xr:uid="{00000000-0005-0000-0000-0000C2910000}"/>
    <cellStyle name="Percent 5 4 2 3" xfId="8696" xr:uid="{00000000-0005-0000-0000-0000C3910000}"/>
    <cellStyle name="Percent 5 4 2 3 2" xfId="8697" xr:uid="{00000000-0005-0000-0000-0000C4910000}"/>
    <cellStyle name="Percent 5 4 2 4" xfId="8698" xr:uid="{00000000-0005-0000-0000-0000C5910000}"/>
    <cellStyle name="Percent 5 4 2 4 2" xfId="8699" xr:uid="{00000000-0005-0000-0000-0000C6910000}"/>
    <cellStyle name="Percent 5 4 2 5" xfId="8700" xr:uid="{00000000-0005-0000-0000-0000C7910000}"/>
    <cellStyle name="Percent 5 4 3" xfId="8701" xr:uid="{00000000-0005-0000-0000-0000C8910000}"/>
    <cellStyle name="Percent 5 4 3 2" xfId="8702" xr:uid="{00000000-0005-0000-0000-0000C9910000}"/>
    <cellStyle name="Percent 5 4 3 2 2" xfId="8703" xr:uid="{00000000-0005-0000-0000-0000CA910000}"/>
    <cellStyle name="Percent 5 4 3 3" xfId="8704" xr:uid="{00000000-0005-0000-0000-0000CB910000}"/>
    <cellStyle name="Percent 5 4 3 3 2" xfId="8705" xr:uid="{00000000-0005-0000-0000-0000CC910000}"/>
    <cellStyle name="Percent 5 4 3 4" xfId="8706" xr:uid="{00000000-0005-0000-0000-0000CD910000}"/>
    <cellStyle name="Percent 5 4 4" xfId="8707" xr:uid="{00000000-0005-0000-0000-0000CE910000}"/>
    <cellStyle name="Percent 5 4 4 2" xfId="8708" xr:uid="{00000000-0005-0000-0000-0000CF910000}"/>
    <cellStyle name="Percent 5 4 4 3" xfId="8709" xr:uid="{00000000-0005-0000-0000-0000D0910000}"/>
    <cellStyle name="Percent 5 4 5" xfId="8710" xr:uid="{00000000-0005-0000-0000-0000D1910000}"/>
    <cellStyle name="Percent 5 4 5 2" xfId="8711" xr:uid="{00000000-0005-0000-0000-0000D2910000}"/>
    <cellStyle name="Percent 5 4 6" xfId="8712" xr:uid="{00000000-0005-0000-0000-0000D3910000}"/>
    <cellStyle name="Percent 5 4 6 2" xfId="8713" xr:uid="{00000000-0005-0000-0000-0000D4910000}"/>
    <cellStyle name="Percent 5 4 7" xfId="8714" xr:uid="{00000000-0005-0000-0000-0000D5910000}"/>
    <cellStyle name="Percent 5 5" xfId="8715" xr:uid="{00000000-0005-0000-0000-0000D6910000}"/>
    <cellStyle name="Percent 5 5 2" xfId="8716" xr:uid="{00000000-0005-0000-0000-0000D7910000}"/>
    <cellStyle name="Percent 5 5 2 2" xfId="8717" xr:uid="{00000000-0005-0000-0000-0000D8910000}"/>
    <cellStyle name="Percent 5 5 2 2 2" xfId="8718" xr:uid="{00000000-0005-0000-0000-0000D9910000}"/>
    <cellStyle name="Percent 5 5 2 3" xfId="8719" xr:uid="{00000000-0005-0000-0000-0000DA910000}"/>
    <cellStyle name="Percent 5 5 2 3 2" xfId="8720" xr:uid="{00000000-0005-0000-0000-0000DB910000}"/>
    <cellStyle name="Percent 5 5 2 4" xfId="8721" xr:uid="{00000000-0005-0000-0000-0000DC910000}"/>
    <cellStyle name="Percent 5 5 3" xfId="8722" xr:uid="{00000000-0005-0000-0000-0000DD910000}"/>
    <cellStyle name="Percent 5 5 3 2" xfId="8723" xr:uid="{00000000-0005-0000-0000-0000DE910000}"/>
    <cellStyle name="Percent 5 5 3 3" xfId="8724" xr:uid="{00000000-0005-0000-0000-0000DF910000}"/>
    <cellStyle name="Percent 5 5 4" xfId="8725" xr:uid="{00000000-0005-0000-0000-0000E0910000}"/>
    <cellStyle name="Percent 5 5 4 2" xfId="8726" xr:uid="{00000000-0005-0000-0000-0000E1910000}"/>
    <cellStyle name="Percent 5 5 5" xfId="8727" xr:uid="{00000000-0005-0000-0000-0000E2910000}"/>
    <cellStyle name="Percent 5 5 5 2" xfId="8728" xr:uid="{00000000-0005-0000-0000-0000E3910000}"/>
    <cellStyle name="Percent 5 5 6" xfId="8729" xr:uid="{00000000-0005-0000-0000-0000E4910000}"/>
    <cellStyle name="Percent 5 6" xfId="8730" xr:uid="{00000000-0005-0000-0000-0000E5910000}"/>
    <cellStyle name="Percent 5 6 2" xfId="8731" xr:uid="{00000000-0005-0000-0000-0000E6910000}"/>
    <cellStyle name="Percent 5 6 2 2" xfId="8732" xr:uid="{00000000-0005-0000-0000-0000E7910000}"/>
    <cellStyle name="Percent 5 6 3" xfId="8733" xr:uid="{00000000-0005-0000-0000-0000E8910000}"/>
    <cellStyle name="Percent 5 6 3 2" xfId="8734" xr:uid="{00000000-0005-0000-0000-0000E9910000}"/>
    <cellStyle name="Percent 5 6 4" xfId="8735" xr:uid="{00000000-0005-0000-0000-0000EA910000}"/>
    <cellStyle name="Percent 5 7" xfId="8736" xr:uid="{00000000-0005-0000-0000-0000EB910000}"/>
    <cellStyle name="Percent 5 7 2" xfId="8737" xr:uid="{00000000-0005-0000-0000-0000EC910000}"/>
    <cellStyle name="Percent 5 7 2 2" xfId="8738" xr:uid="{00000000-0005-0000-0000-0000ED910000}"/>
    <cellStyle name="Percent 5 7 3" xfId="8739" xr:uid="{00000000-0005-0000-0000-0000EE910000}"/>
    <cellStyle name="Percent 5 7 3 2" xfId="8740" xr:uid="{00000000-0005-0000-0000-0000EF910000}"/>
    <cellStyle name="Percent 5 7 4" xfId="8741" xr:uid="{00000000-0005-0000-0000-0000F0910000}"/>
    <cellStyle name="Percent 5 8" xfId="8742" xr:uid="{00000000-0005-0000-0000-0000F1910000}"/>
    <cellStyle name="Percent 5 8 2" xfId="8743" xr:uid="{00000000-0005-0000-0000-0000F2910000}"/>
    <cellStyle name="Percent 5 8 3" xfId="8744" xr:uid="{00000000-0005-0000-0000-0000F3910000}"/>
    <cellStyle name="Percent 5 9" xfId="8745" xr:uid="{00000000-0005-0000-0000-0000F4910000}"/>
    <cellStyle name="Percent 5 9 2" xfId="8746" xr:uid="{00000000-0005-0000-0000-0000F5910000}"/>
    <cellStyle name="Percent 50" xfId="41243" xr:uid="{00000000-0005-0000-0000-0000F6910000}"/>
    <cellStyle name="Percent 51" xfId="41244" xr:uid="{00000000-0005-0000-0000-0000F7910000}"/>
    <cellStyle name="Percent 52" xfId="43981" xr:uid="{00000000-0005-0000-0000-0000F8910000}"/>
    <cellStyle name="Percent 6" xfId="8747" xr:uid="{00000000-0005-0000-0000-0000F9910000}"/>
    <cellStyle name="Percent 6 2" xfId="41246" xr:uid="{00000000-0005-0000-0000-0000FA910000}"/>
    <cellStyle name="Percent 6 3" xfId="41245" xr:uid="{00000000-0005-0000-0000-0000FB910000}"/>
    <cellStyle name="Percent 7" xfId="8748" xr:uid="{00000000-0005-0000-0000-0000FC910000}"/>
    <cellStyle name="Percent 7 10" xfId="9007" xr:uid="{00000000-0005-0000-0000-0000FD910000}"/>
    <cellStyle name="Percent 7 10 2" xfId="9575" xr:uid="{00000000-0005-0000-0000-0000FE910000}"/>
    <cellStyle name="Percent 7 10 2 2" xfId="10629" xr:uid="{00000000-0005-0000-0000-0000FF910000}"/>
    <cellStyle name="Percent 7 10 2 2 2" xfId="14223" xr:uid="{00000000-0005-0000-0000-000000920000}"/>
    <cellStyle name="Percent 7 10 2 2 2 2" xfId="41250" xr:uid="{00000000-0005-0000-0000-000001920000}"/>
    <cellStyle name="Percent 7 10 2 2 3" xfId="16389" xr:uid="{00000000-0005-0000-0000-000002920000}"/>
    <cellStyle name="Percent 7 10 2 3" xfId="13170" xr:uid="{00000000-0005-0000-0000-000003920000}"/>
    <cellStyle name="Percent 7 10 2 3 2" xfId="41249" xr:uid="{00000000-0005-0000-0000-000004920000}"/>
    <cellStyle name="Percent 7 10 2 4" xfId="16388" xr:uid="{00000000-0005-0000-0000-000005920000}"/>
    <cellStyle name="Percent 7 10 3" xfId="10091" xr:uid="{00000000-0005-0000-0000-000006920000}"/>
    <cellStyle name="Percent 7 10 3 2" xfId="13685" xr:uid="{00000000-0005-0000-0000-000007920000}"/>
    <cellStyle name="Percent 7 10 3 2 2" xfId="41252" xr:uid="{00000000-0005-0000-0000-000008920000}"/>
    <cellStyle name="Percent 7 10 3 3" xfId="41251" xr:uid="{00000000-0005-0000-0000-000009920000}"/>
    <cellStyle name="Percent 7 10 3 4" xfId="16390" xr:uid="{00000000-0005-0000-0000-00000A920000}"/>
    <cellStyle name="Percent 7 10 4" xfId="11135" xr:uid="{00000000-0005-0000-0000-00000B920000}"/>
    <cellStyle name="Percent 7 10 4 2" xfId="14727" xr:uid="{00000000-0005-0000-0000-00000C920000}"/>
    <cellStyle name="Percent 7 10 4 2 2" xfId="41254" xr:uid="{00000000-0005-0000-0000-00000D920000}"/>
    <cellStyle name="Percent 7 10 4 3" xfId="41253" xr:uid="{00000000-0005-0000-0000-00000E920000}"/>
    <cellStyle name="Percent 7 10 4 4" xfId="16391" xr:uid="{00000000-0005-0000-0000-00000F920000}"/>
    <cellStyle name="Percent 7 10 5" xfId="12632" xr:uid="{00000000-0005-0000-0000-000010920000}"/>
    <cellStyle name="Percent 7 10 5 2" xfId="41255" xr:uid="{00000000-0005-0000-0000-000011920000}"/>
    <cellStyle name="Percent 7 10 6" xfId="41256" xr:uid="{00000000-0005-0000-0000-000012920000}"/>
    <cellStyle name="Percent 7 10 7" xfId="41248" xr:uid="{00000000-0005-0000-0000-000013920000}"/>
    <cellStyle name="Percent 7 10 8" xfId="16387" xr:uid="{00000000-0005-0000-0000-000014920000}"/>
    <cellStyle name="Percent 7 11" xfId="9319" xr:uid="{00000000-0005-0000-0000-000015920000}"/>
    <cellStyle name="Percent 7 11 2" xfId="10373" xr:uid="{00000000-0005-0000-0000-000016920000}"/>
    <cellStyle name="Percent 7 11 2 2" xfId="13967" xr:uid="{00000000-0005-0000-0000-000017920000}"/>
    <cellStyle name="Percent 7 11 2 2 2" xfId="41259" xr:uid="{00000000-0005-0000-0000-000018920000}"/>
    <cellStyle name="Percent 7 11 2 3" xfId="41258" xr:uid="{00000000-0005-0000-0000-000019920000}"/>
    <cellStyle name="Percent 7 11 2 4" xfId="16393" xr:uid="{00000000-0005-0000-0000-00001A920000}"/>
    <cellStyle name="Percent 7 11 3" xfId="12914" xr:uid="{00000000-0005-0000-0000-00001B920000}"/>
    <cellStyle name="Percent 7 11 3 2" xfId="41261" xr:uid="{00000000-0005-0000-0000-00001C920000}"/>
    <cellStyle name="Percent 7 11 3 3" xfId="41260" xr:uid="{00000000-0005-0000-0000-00001D920000}"/>
    <cellStyle name="Percent 7 11 4" xfId="41262" xr:uid="{00000000-0005-0000-0000-00001E920000}"/>
    <cellStyle name="Percent 7 11 5" xfId="41263" xr:uid="{00000000-0005-0000-0000-00001F920000}"/>
    <cellStyle name="Percent 7 11 6" xfId="41257" xr:uid="{00000000-0005-0000-0000-000020920000}"/>
    <cellStyle name="Percent 7 11 7" xfId="16392" xr:uid="{00000000-0005-0000-0000-000021920000}"/>
    <cellStyle name="Percent 7 12" xfId="9835" xr:uid="{00000000-0005-0000-0000-000022920000}"/>
    <cellStyle name="Percent 7 12 2" xfId="13429" xr:uid="{00000000-0005-0000-0000-000023920000}"/>
    <cellStyle name="Percent 7 12 2 2" xfId="41265" xr:uid="{00000000-0005-0000-0000-000024920000}"/>
    <cellStyle name="Percent 7 12 3" xfId="41264" xr:uid="{00000000-0005-0000-0000-000025920000}"/>
    <cellStyle name="Percent 7 12 4" xfId="16394" xr:uid="{00000000-0005-0000-0000-000026920000}"/>
    <cellStyle name="Percent 7 13" xfId="11134" xr:uid="{00000000-0005-0000-0000-000027920000}"/>
    <cellStyle name="Percent 7 13 2" xfId="14726" xr:uid="{00000000-0005-0000-0000-000028920000}"/>
    <cellStyle name="Percent 7 13 2 2" xfId="41267" xr:uid="{00000000-0005-0000-0000-000029920000}"/>
    <cellStyle name="Percent 7 13 3" xfId="41266" xr:uid="{00000000-0005-0000-0000-00002A920000}"/>
    <cellStyle name="Percent 7 13 4" xfId="16395" xr:uid="{00000000-0005-0000-0000-00002B920000}"/>
    <cellStyle name="Percent 7 14" xfId="12376" xr:uid="{00000000-0005-0000-0000-00002C920000}"/>
    <cellStyle name="Percent 7 14 2" xfId="41269" xr:uid="{00000000-0005-0000-0000-00002D920000}"/>
    <cellStyle name="Percent 7 14 3" xfId="41268" xr:uid="{00000000-0005-0000-0000-00002E920000}"/>
    <cellStyle name="Percent 7 15" xfId="41270" xr:uid="{00000000-0005-0000-0000-00002F920000}"/>
    <cellStyle name="Percent 7 16" xfId="41271" xr:uid="{00000000-0005-0000-0000-000030920000}"/>
    <cellStyle name="Percent 7 17" xfId="41272" xr:uid="{00000000-0005-0000-0000-000031920000}"/>
    <cellStyle name="Percent 7 18" xfId="41247" xr:uid="{00000000-0005-0000-0000-000032920000}"/>
    <cellStyle name="Percent 7 19" xfId="16386" xr:uid="{00000000-0005-0000-0000-000033920000}"/>
    <cellStyle name="Percent 7 2" xfId="8749" xr:uid="{00000000-0005-0000-0000-000034920000}"/>
    <cellStyle name="Percent 7 2 10" xfId="9320" xr:uid="{00000000-0005-0000-0000-000035920000}"/>
    <cellStyle name="Percent 7 2 10 2" xfId="10374" xr:uid="{00000000-0005-0000-0000-000036920000}"/>
    <cellStyle name="Percent 7 2 10 2 2" xfId="13968" xr:uid="{00000000-0005-0000-0000-000037920000}"/>
    <cellStyle name="Percent 7 2 10 2 2 2" xfId="41275" xr:uid="{00000000-0005-0000-0000-000038920000}"/>
    <cellStyle name="Percent 7 2 10 2 3" xfId="16398" xr:uid="{00000000-0005-0000-0000-000039920000}"/>
    <cellStyle name="Percent 7 2 10 3" xfId="12915" xr:uid="{00000000-0005-0000-0000-00003A920000}"/>
    <cellStyle name="Percent 7 2 10 3 2" xfId="41274" xr:uid="{00000000-0005-0000-0000-00003B920000}"/>
    <cellStyle name="Percent 7 2 10 4" xfId="16397" xr:uid="{00000000-0005-0000-0000-00003C920000}"/>
    <cellStyle name="Percent 7 2 11" xfId="9836" xr:uid="{00000000-0005-0000-0000-00003D920000}"/>
    <cellStyle name="Percent 7 2 11 2" xfId="13430" xr:uid="{00000000-0005-0000-0000-00003E920000}"/>
    <cellStyle name="Percent 7 2 11 2 2" xfId="41277" xr:uid="{00000000-0005-0000-0000-00003F920000}"/>
    <cellStyle name="Percent 7 2 11 3" xfId="41276" xr:uid="{00000000-0005-0000-0000-000040920000}"/>
    <cellStyle name="Percent 7 2 11 4" xfId="16399" xr:uid="{00000000-0005-0000-0000-000041920000}"/>
    <cellStyle name="Percent 7 2 12" xfId="11136" xr:uid="{00000000-0005-0000-0000-000042920000}"/>
    <cellStyle name="Percent 7 2 12 2" xfId="14728" xr:uid="{00000000-0005-0000-0000-000043920000}"/>
    <cellStyle name="Percent 7 2 12 2 2" xfId="41278" xr:uid="{00000000-0005-0000-0000-000044920000}"/>
    <cellStyle name="Percent 7 2 12 3" xfId="16400" xr:uid="{00000000-0005-0000-0000-000045920000}"/>
    <cellStyle name="Percent 7 2 13" xfId="12377" xr:uid="{00000000-0005-0000-0000-000046920000}"/>
    <cellStyle name="Percent 7 2 13 2" xfId="41279" xr:uid="{00000000-0005-0000-0000-000047920000}"/>
    <cellStyle name="Percent 7 2 14" xfId="41273" xr:uid="{00000000-0005-0000-0000-000048920000}"/>
    <cellStyle name="Percent 7 2 15" xfId="16396" xr:uid="{00000000-0005-0000-0000-000049920000}"/>
    <cellStyle name="Percent 7 2 2" xfId="8750" xr:uid="{00000000-0005-0000-0000-00004A920000}"/>
    <cellStyle name="Percent 7 2 2 10" xfId="9837" xr:uid="{00000000-0005-0000-0000-00004B920000}"/>
    <cellStyle name="Percent 7 2 2 10 2" xfId="13431" xr:uid="{00000000-0005-0000-0000-00004C920000}"/>
    <cellStyle name="Percent 7 2 2 10 2 2" xfId="41281" xr:uid="{00000000-0005-0000-0000-00004D920000}"/>
    <cellStyle name="Percent 7 2 2 10 3" xfId="16402" xr:uid="{00000000-0005-0000-0000-00004E920000}"/>
    <cellStyle name="Percent 7 2 2 11" xfId="11137" xr:uid="{00000000-0005-0000-0000-00004F920000}"/>
    <cellStyle name="Percent 7 2 2 11 2" xfId="14729" xr:uid="{00000000-0005-0000-0000-000050920000}"/>
    <cellStyle name="Percent 7 2 2 11 2 2" xfId="41282" xr:uid="{00000000-0005-0000-0000-000051920000}"/>
    <cellStyle name="Percent 7 2 2 11 3" xfId="16403" xr:uid="{00000000-0005-0000-0000-000052920000}"/>
    <cellStyle name="Percent 7 2 2 12" xfId="12378" xr:uid="{00000000-0005-0000-0000-000053920000}"/>
    <cellStyle name="Percent 7 2 2 12 2" xfId="41280" xr:uid="{00000000-0005-0000-0000-000054920000}"/>
    <cellStyle name="Percent 7 2 2 13" xfId="16401" xr:uid="{00000000-0005-0000-0000-000055920000}"/>
    <cellStyle name="Percent 7 2 2 2" xfId="8751" xr:uid="{00000000-0005-0000-0000-000056920000}"/>
    <cellStyle name="Percent 7 2 2 2 10" xfId="11138" xr:uid="{00000000-0005-0000-0000-000057920000}"/>
    <cellStyle name="Percent 7 2 2 2 10 2" xfId="14730" xr:uid="{00000000-0005-0000-0000-000058920000}"/>
    <cellStyle name="Percent 7 2 2 2 10 3" xfId="16405" xr:uid="{00000000-0005-0000-0000-000059920000}"/>
    <cellStyle name="Percent 7 2 2 2 11" xfId="12379" xr:uid="{00000000-0005-0000-0000-00005A920000}"/>
    <cellStyle name="Percent 7 2 2 2 11 2" xfId="41283" xr:uid="{00000000-0005-0000-0000-00005B920000}"/>
    <cellStyle name="Percent 7 2 2 2 12" xfId="16404" xr:uid="{00000000-0005-0000-0000-00005C920000}"/>
    <cellStyle name="Percent 7 2 2 2 2" xfId="8752" xr:uid="{00000000-0005-0000-0000-00005D920000}"/>
    <cellStyle name="Percent 7 2 2 2 2 10" xfId="12380" xr:uid="{00000000-0005-0000-0000-00005E920000}"/>
    <cellStyle name="Percent 7 2 2 2 2 10 2" xfId="41284" xr:uid="{00000000-0005-0000-0000-00005F920000}"/>
    <cellStyle name="Percent 7 2 2 2 2 11" xfId="16406" xr:uid="{00000000-0005-0000-0000-000060920000}"/>
    <cellStyle name="Percent 7 2 2 2 2 2" xfId="8798" xr:uid="{00000000-0005-0000-0000-000061920000}"/>
    <cellStyle name="Percent 7 2 2 2 2 2 2" xfId="8926" xr:uid="{00000000-0005-0000-0000-000062920000}"/>
    <cellStyle name="Percent 7 2 2 2 2 2 2 2" xfId="9182" xr:uid="{00000000-0005-0000-0000-000063920000}"/>
    <cellStyle name="Percent 7 2 2 2 2 2 2 2 2" xfId="9750" xr:uid="{00000000-0005-0000-0000-000064920000}"/>
    <cellStyle name="Percent 7 2 2 2 2 2 2 2 2 2" xfId="10804" xr:uid="{00000000-0005-0000-0000-000065920000}"/>
    <cellStyle name="Percent 7 2 2 2 2 2 2 2 2 2 2" xfId="14398" xr:uid="{00000000-0005-0000-0000-000066920000}"/>
    <cellStyle name="Percent 7 2 2 2 2 2 2 2 2 2 3" xfId="16411" xr:uid="{00000000-0005-0000-0000-000067920000}"/>
    <cellStyle name="Percent 7 2 2 2 2 2 2 2 2 3" xfId="13345" xr:uid="{00000000-0005-0000-0000-000068920000}"/>
    <cellStyle name="Percent 7 2 2 2 2 2 2 2 2 4" xfId="16410" xr:uid="{00000000-0005-0000-0000-000069920000}"/>
    <cellStyle name="Percent 7 2 2 2 2 2 2 2 3" xfId="10266" xr:uid="{00000000-0005-0000-0000-00006A920000}"/>
    <cellStyle name="Percent 7 2 2 2 2 2 2 2 3 2" xfId="13860" xr:uid="{00000000-0005-0000-0000-00006B920000}"/>
    <cellStyle name="Percent 7 2 2 2 2 2 2 2 3 3" xfId="16412" xr:uid="{00000000-0005-0000-0000-00006C920000}"/>
    <cellStyle name="Percent 7 2 2 2 2 2 2 2 4" xfId="11142" xr:uid="{00000000-0005-0000-0000-00006D920000}"/>
    <cellStyle name="Percent 7 2 2 2 2 2 2 2 4 2" xfId="14734" xr:uid="{00000000-0005-0000-0000-00006E920000}"/>
    <cellStyle name="Percent 7 2 2 2 2 2 2 2 4 3" xfId="16413" xr:uid="{00000000-0005-0000-0000-00006F920000}"/>
    <cellStyle name="Percent 7 2 2 2 2 2 2 2 5" xfId="12807" xr:uid="{00000000-0005-0000-0000-000070920000}"/>
    <cellStyle name="Percent 7 2 2 2 2 2 2 2 6" xfId="16409" xr:uid="{00000000-0005-0000-0000-000071920000}"/>
    <cellStyle name="Percent 7 2 2 2 2 2 2 3" xfId="9494" xr:uid="{00000000-0005-0000-0000-000072920000}"/>
    <cellStyle name="Percent 7 2 2 2 2 2 2 3 2" xfId="10548" xr:uid="{00000000-0005-0000-0000-000073920000}"/>
    <cellStyle name="Percent 7 2 2 2 2 2 2 3 2 2" xfId="14142" xr:uid="{00000000-0005-0000-0000-000074920000}"/>
    <cellStyle name="Percent 7 2 2 2 2 2 2 3 2 3" xfId="16415" xr:uid="{00000000-0005-0000-0000-000075920000}"/>
    <cellStyle name="Percent 7 2 2 2 2 2 2 3 3" xfId="13089" xr:uid="{00000000-0005-0000-0000-000076920000}"/>
    <cellStyle name="Percent 7 2 2 2 2 2 2 3 4" xfId="16414" xr:uid="{00000000-0005-0000-0000-000077920000}"/>
    <cellStyle name="Percent 7 2 2 2 2 2 2 4" xfId="10010" xr:uid="{00000000-0005-0000-0000-000078920000}"/>
    <cellStyle name="Percent 7 2 2 2 2 2 2 4 2" xfId="13604" xr:uid="{00000000-0005-0000-0000-000079920000}"/>
    <cellStyle name="Percent 7 2 2 2 2 2 2 4 3" xfId="16416" xr:uid="{00000000-0005-0000-0000-00007A920000}"/>
    <cellStyle name="Percent 7 2 2 2 2 2 2 5" xfId="11141" xr:uid="{00000000-0005-0000-0000-00007B920000}"/>
    <cellStyle name="Percent 7 2 2 2 2 2 2 5 2" xfId="14733" xr:uid="{00000000-0005-0000-0000-00007C920000}"/>
    <cellStyle name="Percent 7 2 2 2 2 2 2 5 3" xfId="16417" xr:uid="{00000000-0005-0000-0000-00007D920000}"/>
    <cellStyle name="Percent 7 2 2 2 2 2 2 6" xfId="12551" xr:uid="{00000000-0005-0000-0000-00007E920000}"/>
    <cellStyle name="Percent 7 2 2 2 2 2 2 7" xfId="16408" xr:uid="{00000000-0005-0000-0000-00007F920000}"/>
    <cellStyle name="Percent 7 2 2 2 2 2 3" xfId="9054" xr:uid="{00000000-0005-0000-0000-000080920000}"/>
    <cellStyle name="Percent 7 2 2 2 2 2 3 2" xfId="9622" xr:uid="{00000000-0005-0000-0000-000081920000}"/>
    <cellStyle name="Percent 7 2 2 2 2 2 3 2 2" xfId="10676" xr:uid="{00000000-0005-0000-0000-000082920000}"/>
    <cellStyle name="Percent 7 2 2 2 2 2 3 2 2 2" xfId="14270" xr:uid="{00000000-0005-0000-0000-000083920000}"/>
    <cellStyle name="Percent 7 2 2 2 2 2 3 2 2 3" xfId="16420" xr:uid="{00000000-0005-0000-0000-000084920000}"/>
    <cellStyle name="Percent 7 2 2 2 2 2 3 2 3" xfId="13217" xr:uid="{00000000-0005-0000-0000-000085920000}"/>
    <cellStyle name="Percent 7 2 2 2 2 2 3 2 4" xfId="16419" xr:uid="{00000000-0005-0000-0000-000086920000}"/>
    <cellStyle name="Percent 7 2 2 2 2 2 3 3" xfId="10138" xr:uid="{00000000-0005-0000-0000-000087920000}"/>
    <cellStyle name="Percent 7 2 2 2 2 2 3 3 2" xfId="13732" xr:uid="{00000000-0005-0000-0000-000088920000}"/>
    <cellStyle name="Percent 7 2 2 2 2 2 3 3 3" xfId="16421" xr:uid="{00000000-0005-0000-0000-000089920000}"/>
    <cellStyle name="Percent 7 2 2 2 2 2 3 4" xfId="11143" xr:uid="{00000000-0005-0000-0000-00008A920000}"/>
    <cellStyle name="Percent 7 2 2 2 2 2 3 4 2" xfId="14735" xr:uid="{00000000-0005-0000-0000-00008B920000}"/>
    <cellStyle name="Percent 7 2 2 2 2 2 3 4 3" xfId="16422" xr:uid="{00000000-0005-0000-0000-00008C920000}"/>
    <cellStyle name="Percent 7 2 2 2 2 2 3 5" xfId="12679" xr:uid="{00000000-0005-0000-0000-00008D920000}"/>
    <cellStyle name="Percent 7 2 2 2 2 2 3 6" xfId="16418" xr:uid="{00000000-0005-0000-0000-00008E920000}"/>
    <cellStyle name="Percent 7 2 2 2 2 2 4" xfId="9366" xr:uid="{00000000-0005-0000-0000-00008F920000}"/>
    <cellStyle name="Percent 7 2 2 2 2 2 4 2" xfId="10420" xr:uid="{00000000-0005-0000-0000-000090920000}"/>
    <cellStyle name="Percent 7 2 2 2 2 2 4 2 2" xfId="14014" xr:uid="{00000000-0005-0000-0000-000091920000}"/>
    <cellStyle name="Percent 7 2 2 2 2 2 4 2 3" xfId="16424" xr:uid="{00000000-0005-0000-0000-000092920000}"/>
    <cellStyle name="Percent 7 2 2 2 2 2 4 3" xfId="12961" xr:uid="{00000000-0005-0000-0000-000093920000}"/>
    <cellStyle name="Percent 7 2 2 2 2 2 4 4" xfId="16423" xr:uid="{00000000-0005-0000-0000-000094920000}"/>
    <cellStyle name="Percent 7 2 2 2 2 2 5" xfId="9882" xr:uid="{00000000-0005-0000-0000-000095920000}"/>
    <cellStyle name="Percent 7 2 2 2 2 2 5 2" xfId="13476" xr:uid="{00000000-0005-0000-0000-000096920000}"/>
    <cellStyle name="Percent 7 2 2 2 2 2 5 3" xfId="16425" xr:uid="{00000000-0005-0000-0000-000097920000}"/>
    <cellStyle name="Percent 7 2 2 2 2 2 6" xfId="11140" xr:uid="{00000000-0005-0000-0000-000098920000}"/>
    <cellStyle name="Percent 7 2 2 2 2 2 6 2" xfId="14732" xr:uid="{00000000-0005-0000-0000-000099920000}"/>
    <cellStyle name="Percent 7 2 2 2 2 2 6 3" xfId="16426" xr:uid="{00000000-0005-0000-0000-00009A920000}"/>
    <cellStyle name="Percent 7 2 2 2 2 2 7" xfId="12423" xr:uid="{00000000-0005-0000-0000-00009B920000}"/>
    <cellStyle name="Percent 7 2 2 2 2 2 7 2" xfId="41285" xr:uid="{00000000-0005-0000-0000-00009C920000}"/>
    <cellStyle name="Percent 7 2 2 2 2 2 8" xfId="16407" xr:uid="{00000000-0005-0000-0000-00009D920000}"/>
    <cellStyle name="Percent 7 2 2 2 2 3" xfId="8830" xr:uid="{00000000-0005-0000-0000-00009E920000}"/>
    <cellStyle name="Percent 7 2 2 2 2 3 2" xfId="8958" xr:uid="{00000000-0005-0000-0000-00009F920000}"/>
    <cellStyle name="Percent 7 2 2 2 2 3 2 2" xfId="9214" xr:uid="{00000000-0005-0000-0000-0000A0920000}"/>
    <cellStyle name="Percent 7 2 2 2 2 3 2 2 2" xfId="9782" xr:uid="{00000000-0005-0000-0000-0000A1920000}"/>
    <cellStyle name="Percent 7 2 2 2 2 3 2 2 2 2" xfId="10836" xr:uid="{00000000-0005-0000-0000-0000A2920000}"/>
    <cellStyle name="Percent 7 2 2 2 2 3 2 2 2 2 2" xfId="14430" xr:uid="{00000000-0005-0000-0000-0000A3920000}"/>
    <cellStyle name="Percent 7 2 2 2 2 3 2 2 2 2 3" xfId="16431" xr:uid="{00000000-0005-0000-0000-0000A4920000}"/>
    <cellStyle name="Percent 7 2 2 2 2 3 2 2 2 3" xfId="13377" xr:uid="{00000000-0005-0000-0000-0000A5920000}"/>
    <cellStyle name="Percent 7 2 2 2 2 3 2 2 2 4" xfId="16430" xr:uid="{00000000-0005-0000-0000-0000A6920000}"/>
    <cellStyle name="Percent 7 2 2 2 2 3 2 2 3" xfId="10298" xr:uid="{00000000-0005-0000-0000-0000A7920000}"/>
    <cellStyle name="Percent 7 2 2 2 2 3 2 2 3 2" xfId="13892" xr:uid="{00000000-0005-0000-0000-0000A8920000}"/>
    <cellStyle name="Percent 7 2 2 2 2 3 2 2 3 3" xfId="16432" xr:uid="{00000000-0005-0000-0000-0000A9920000}"/>
    <cellStyle name="Percent 7 2 2 2 2 3 2 2 4" xfId="11146" xr:uid="{00000000-0005-0000-0000-0000AA920000}"/>
    <cellStyle name="Percent 7 2 2 2 2 3 2 2 4 2" xfId="14738" xr:uid="{00000000-0005-0000-0000-0000AB920000}"/>
    <cellStyle name="Percent 7 2 2 2 2 3 2 2 4 3" xfId="16433" xr:uid="{00000000-0005-0000-0000-0000AC920000}"/>
    <cellStyle name="Percent 7 2 2 2 2 3 2 2 5" xfId="12839" xr:uid="{00000000-0005-0000-0000-0000AD920000}"/>
    <cellStyle name="Percent 7 2 2 2 2 3 2 2 6" xfId="16429" xr:uid="{00000000-0005-0000-0000-0000AE920000}"/>
    <cellStyle name="Percent 7 2 2 2 2 3 2 3" xfId="9526" xr:uid="{00000000-0005-0000-0000-0000AF920000}"/>
    <cellStyle name="Percent 7 2 2 2 2 3 2 3 2" xfId="10580" xr:uid="{00000000-0005-0000-0000-0000B0920000}"/>
    <cellStyle name="Percent 7 2 2 2 2 3 2 3 2 2" xfId="14174" xr:uid="{00000000-0005-0000-0000-0000B1920000}"/>
    <cellStyle name="Percent 7 2 2 2 2 3 2 3 2 3" xfId="16435" xr:uid="{00000000-0005-0000-0000-0000B2920000}"/>
    <cellStyle name="Percent 7 2 2 2 2 3 2 3 3" xfId="13121" xr:uid="{00000000-0005-0000-0000-0000B3920000}"/>
    <cellStyle name="Percent 7 2 2 2 2 3 2 3 4" xfId="16434" xr:uid="{00000000-0005-0000-0000-0000B4920000}"/>
    <cellStyle name="Percent 7 2 2 2 2 3 2 4" xfId="10042" xr:uid="{00000000-0005-0000-0000-0000B5920000}"/>
    <cellStyle name="Percent 7 2 2 2 2 3 2 4 2" xfId="13636" xr:uid="{00000000-0005-0000-0000-0000B6920000}"/>
    <cellStyle name="Percent 7 2 2 2 2 3 2 4 3" xfId="16436" xr:uid="{00000000-0005-0000-0000-0000B7920000}"/>
    <cellStyle name="Percent 7 2 2 2 2 3 2 5" xfId="11145" xr:uid="{00000000-0005-0000-0000-0000B8920000}"/>
    <cellStyle name="Percent 7 2 2 2 2 3 2 5 2" xfId="14737" xr:uid="{00000000-0005-0000-0000-0000B9920000}"/>
    <cellStyle name="Percent 7 2 2 2 2 3 2 5 3" xfId="16437" xr:uid="{00000000-0005-0000-0000-0000BA920000}"/>
    <cellStyle name="Percent 7 2 2 2 2 3 2 6" xfId="12583" xr:uid="{00000000-0005-0000-0000-0000BB920000}"/>
    <cellStyle name="Percent 7 2 2 2 2 3 2 7" xfId="16428" xr:uid="{00000000-0005-0000-0000-0000BC920000}"/>
    <cellStyle name="Percent 7 2 2 2 2 3 3" xfId="9086" xr:uid="{00000000-0005-0000-0000-0000BD920000}"/>
    <cellStyle name="Percent 7 2 2 2 2 3 3 2" xfId="9654" xr:uid="{00000000-0005-0000-0000-0000BE920000}"/>
    <cellStyle name="Percent 7 2 2 2 2 3 3 2 2" xfId="10708" xr:uid="{00000000-0005-0000-0000-0000BF920000}"/>
    <cellStyle name="Percent 7 2 2 2 2 3 3 2 2 2" xfId="14302" xr:uid="{00000000-0005-0000-0000-0000C0920000}"/>
    <cellStyle name="Percent 7 2 2 2 2 3 3 2 2 3" xfId="16440" xr:uid="{00000000-0005-0000-0000-0000C1920000}"/>
    <cellStyle name="Percent 7 2 2 2 2 3 3 2 3" xfId="13249" xr:uid="{00000000-0005-0000-0000-0000C2920000}"/>
    <cellStyle name="Percent 7 2 2 2 2 3 3 2 4" xfId="16439" xr:uid="{00000000-0005-0000-0000-0000C3920000}"/>
    <cellStyle name="Percent 7 2 2 2 2 3 3 3" xfId="10170" xr:uid="{00000000-0005-0000-0000-0000C4920000}"/>
    <cellStyle name="Percent 7 2 2 2 2 3 3 3 2" xfId="13764" xr:uid="{00000000-0005-0000-0000-0000C5920000}"/>
    <cellStyle name="Percent 7 2 2 2 2 3 3 3 3" xfId="16441" xr:uid="{00000000-0005-0000-0000-0000C6920000}"/>
    <cellStyle name="Percent 7 2 2 2 2 3 3 4" xfId="11147" xr:uid="{00000000-0005-0000-0000-0000C7920000}"/>
    <cellStyle name="Percent 7 2 2 2 2 3 3 4 2" xfId="14739" xr:uid="{00000000-0005-0000-0000-0000C8920000}"/>
    <cellStyle name="Percent 7 2 2 2 2 3 3 4 3" xfId="16442" xr:uid="{00000000-0005-0000-0000-0000C9920000}"/>
    <cellStyle name="Percent 7 2 2 2 2 3 3 5" xfId="12711" xr:uid="{00000000-0005-0000-0000-0000CA920000}"/>
    <cellStyle name="Percent 7 2 2 2 2 3 3 6" xfId="16438" xr:uid="{00000000-0005-0000-0000-0000CB920000}"/>
    <cellStyle name="Percent 7 2 2 2 2 3 4" xfId="9398" xr:uid="{00000000-0005-0000-0000-0000CC920000}"/>
    <cellStyle name="Percent 7 2 2 2 2 3 4 2" xfId="10452" xr:uid="{00000000-0005-0000-0000-0000CD920000}"/>
    <cellStyle name="Percent 7 2 2 2 2 3 4 2 2" xfId="14046" xr:uid="{00000000-0005-0000-0000-0000CE920000}"/>
    <cellStyle name="Percent 7 2 2 2 2 3 4 2 3" xfId="16444" xr:uid="{00000000-0005-0000-0000-0000CF920000}"/>
    <cellStyle name="Percent 7 2 2 2 2 3 4 3" xfId="12993" xr:uid="{00000000-0005-0000-0000-0000D0920000}"/>
    <cellStyle name="Percent 7 2 2 2 2 3 4 4" xfId="16443" xr:uid="{00000000-0005-0000-0000-0000D1920000}"/>
    <cellStyle name="Percent 7 2 2 2 2 3 5" xfId="9914" xr:uid="{00000000-0005-0000-0000-0000D2920000}"/>
    <cellStyle name="Percent 7 2 2 2 2 3 5 2" xfId="13508" xr:uid="{00000000-0005-0000-0000-0000D3920000}"/>
    <cellStyle name="Percent 7 2 2 2 2 3 5 3" xfId="16445" xr:uid="{00000000-0005-0000-0000-0000D4920000}"/>
    <cellStyle name="Percent 7 2 2 2 2 3 6" xfId="11144" xr:uid="{00000000-0005-0000-0000-0000D5920000}"/>
    <cellStyle name="Percent 7 2 2 2 2 3 6 2" xfId="14736" xr:uid="{00000000-0005-0000-0000-0000D6920000}"/>
    <cellStyle name="Percent 7 2 2 2 2 3 6 3" xfId="16446" xr:uid="{00000000-0005-0000-0000-0000D7920000}"/>
    <cellStyle name="Percent 7 2 2 2 2 3 7" xfId="12455" xr:uid="{00000000-0005-0000-0000-0000D8920000}"/>
    <cellStyle name="Percent 7 2 2 2 2 3 8" xfId="16427" xr:uid="{00000000-0005-0000-0000-0000D9920000}"/>
    <cellStyle name="Percent 7 2 2 2 2 4" xfId="8862" xr:uid="{00000000-0005-0000-0000-0000DA920000}"/>
    <cellStyle name="Percent 7 2 2 2 2 4 2" xfId="8990" xr:uid="{00000000-0005-0000-0000-0000DB920000}"/>
    <cellStyle name="Percent 7 2 2 2 2 4 2 2" xfId="9246" xr:uid="{00000000-0005-0000-0000-0000DC920000}"/>
    <cellStyle name="Percent 7 2 2 2 2 4 2 2 2" xfId="9814" xr:uid="{00000000-0005-0000-0000-0000DD920000}"/>
    <cellStyle name="Percent 7 2 2 2 2 4 2 2 2 2" xfId="10868" xr:uid="{00000000-0005-0000-0000-0000DE920000}"/>
    <cellStyle name="Percent 7 2 2 2 2 4 2 2 2 2 2" xfId="14462" xr:uid="{00000000-0005-0000-0000-0000DF920000}"/>
    <cellStyle name="Percent 7 2 2 2 2 4 2 2 2 2 3" xfId="16451" xr:uid="{00000000-0005-0000-0000-0000E0920000}"/>
    <cellStyle name="Percent 7 2 2 2 2 4 2 2 2 3" xfId="13409" xr:uid="{00000000-0005-0000-0000-0000E1920000}"/>
    <cellStyle name="Percent 7 2 2 2 2 4 2 2 2 4" xfId="16450" xr:uid="{00000000-0005-0000-0000-0000E2920000}"/>
    <cellStyle name="Percent 7 2 2 2 2 4 2 2 3" xfId="10330" xr:uid="{00000000-0005-0000-0000-0000E3920000}"/>
    <cellStyle name="Percent 7 2 2 2 2 4 2 2 3 2" xfId="13924" xr:uid="{00000000-0005-0000-0000-0000E4920000}"/>
    <cellStyle name="Percent 7 2 2 2 2 4 2 2 3 3" xfId="16452" xr:uid="{00000000-0005-0000-0000-0000E5920000}"/>
    <cellStyle name="Percent 7 2 2 2 2 4 2 2 4" xfId="11150" xr:uid="{00000000-0005-0000-0000-0000E6920000}"/>
    <cellStyle name="Percent 7 2 2 2 2 4 2 2 4 2" xfId="14742" xr:uid="{00000000-0005-0000-0000-0000E7920000}"/>
    <cellStyle name="Percent 7 2 2 2 2 4 2 2 4 3" xfId="16453" xr:uid="{00000000-0005-0000-0000-0000E8920000}"/>
    <cellStyle name="Percent 7 2 2 2 2 4 2 2 5" xfId="12871" xr:uid="{00000000-0005-0000-0000-0000E9920000}"/>
    <cellStyle name="Percent 7 2 2 2 2 4 2 2 6" xfId="16449" xr:uid="{00000000-0005-0000-0000-0000EA920000}"/>
    <cellStyle name="Percent 7 2 2 2 2 4 2 3" xfId="9558" xr:uid="{00000000-0005-0000-0000-0000EB920000}"/>
    <cellStyle name="Percent 7 2 2 2 2 4 2 3 2" xfId="10612" xr:uid="{00000000-0005-0000-0000-0000EC920000}"/>
    <cellStyle name="Percent 7 2 2 2 2 4 2 3 2 2" xfId="14206" xr:uid="{00000000-0005-0000-0000-0000ED920000}"/>
    <cellStyle name="Percent 7 2 2 2 2 4 2 3 2 3" xfId="16455" xr:uid="{00000000-0005-0000-0000-0000EE920000}"/>
    <cellStyle name="Percent 7 2 2 2 2 4 2 3 3" xfId="13153" xr:uid="{00000000-0005-0000-0000-0000EF920000}"/>
    <cellStyle name="Percent 7 2 2 2 2 4 2 3 4" xfId="16454" xr:uid="{00000000-0005-0000-0000-0000F0920000}"/>
    <cellStyle name="Percent 7 2 2 2 2 4 2 4" xfId="10074" xr:uid="{00000000-0005-0000-0000-0000F1920000}"/>
    <cellStyle name="Percent 7 2 2 2 2 4 2 4 2" xfId="13668" xr:uid="{00000000-0005-0000-0000-0000F2920000}"/>
    <cellStyle name="Percent 7 2 2 2 2 4 2 4 3" xfId="16456" xr:uid="{00000000-0005-0000-0000-0000F3920000}"/>
    <cellStyle name="Percent 7 2 2 2 2 4 2 5" xfId="11149" xr:uid="{00000000-0005-0000-0000-0000F4920000}"/>
    <cellStyle name="Percent 7 2 2 2 2 4 2 5 2" xfId="14741" xr:uid="{00000000-0005-0000-0000-0000F5920000}"/>
    <cellStyle name="Percent 7 2 2 2 2 4 2 5 3" xfId="16457" xr:uid="{00000000-0005-0000-0000-0000F6920000}"/>
    <cellStyle name="Percent 7 2 2 2 2 4 2 6" xfId="12615" xr:uid="{00000000-0005-0000-0000-0000F7920000}"/>
    <cellStyle name="Percent 7 2 2 2 2 4 2 7" xfId="16448" xr:uid="{00000000-0005-0000-0000-0000F8920000}"/>
    <cellStyle name="Percent 7 2 2 2 2 4 3" xfId="9118" xr:uid="{00000000-0005-0000-0000-0000F9920000}"/>
    <cellStyle name="Percent 7 2 2 2 2 4 3 2" xfId="9686" xr:uid="{00000000-0005-0000-0000-0000FA920000}"/>
    <cellStyle name="Percent 7 2 2 2 2 4 3 2 2" xfId="10740" xr:uid="{00000000-0005-0000-0000-0000FB920000}"/>
    <cellStyle name="Percent 7 2 2 2 2 4 3 2 2 2" xfId="14334" xr:uid="{00000000-0005-0000-0000-0000FC920000}"/>
    <cellStyle name="Percent 7 2 2 2 2 4 3 2 2 3" xfId="16460" xr:uid="{00000000-0005-0000-0000-0000FD920000}"/>
    <cellStyle name="Percent 7 2 2 2 2 4 3 2 3" xfId="13281" xr:uid="{00000000-0005-0000-0000-0000FE920000}"/>
    <cellStyle name="Percent 7 2 2 2 2 4 3 2 4" xfId="16459" xr:uid="{00000000-0005-0000-0000-0000FF920000}"/>
    <cellStyle name="Percent 7 2 2 2 2 4 3 3" xfId="10202" xr:uid="{00000000-0005-0000-0000-000000930000}"/>
    <cellStyle name="Percent 7 2 2 2 2 4 3 3 2" xfId="13796" xr:uid="{00000000-0005-0000-0000-000001930000}"/>
    <cellStyle name="Percent 7 2 2 2 2 4 3 3 3" xfId="16461" xr:uid="{00000000-0005-0000-0000-000002930000}"/>
    <cellStyle name="Percent 7 2 2 2 2 4 3 4" xfId="11151" xr:uid="{00000000-0005-0000-0000-000003930000}"/>
    <cellStyle name="Percent 7 2 2 2 2 4 3 4 2" xfId="14743" xr:uid="{00000000-0005-0000-0000-000004930000}"/>
    <cellStyle name="Percent 7 2 2 2 2 4 3 4 3" xfId="16462" xr:uid="{00000000-0005-0000-0000-000005930000}"/>
    <cellStyle name="Percent 7 2 2 2 2 4 3 5" xfId="12743" xr:uid="{00000000-0005-0000-0000-000006930000}"/>
    <cellStyle name="Percent 7 2 2 2 2 4 3 6" xfId="16458" xr:uid="{00000000-0005-0000-0000-000007930000}"/>
    <cellStyle name="Percent 7 2 2 2 2 4 4" xfId="9430" xr:uid="{00000000-0005-0000-0000-000008930000}"/>
    <cellStyle name="Percent 7 2 2 2 2 4 4 2" xfId="10484" xr:uid="{00000000-0005-0000-0000-000009930000}"/>
    <cellStyle name="Percent 7 2 2 2 2 4 4 2 2" xfId="14078" xr:uid="{00000000-0005-0000-0000-00000A930000}"/>
    <cellStyle name="Percent 7 2 2 2 2 4 4 2 3" xfId="16464" xr:uid="{00000000-0005-0000-0000-00000B930000}"/>
    <cellStyle name="Percent 7 2 2 2 2 4 4 3" xfId="13025" xr:uid="{00000000-0005-0000-0000-00000C930000}"/>
    <cellStyle name="Percent 7 2 2 2 2 4 4 4" xfId="16463" xr:uid="{00000000-0005-0000-0000-00000D930000}"/>
    <cellStyle name="Percent 7 2 2 2 2 4 5" xfId="9946" xr:uid="{00000000-0005-0000-0000-00000E930000}"/>
    <cellStyle name="Percent 7 2 2 2 2 4 5 2" xfId="13540" xr:uid="{00000000-0005-0000-0000-00000F930000}"/>
    <cellStyle name="Percent 7 2 2 2 2 4 5 3" xfId="16465" xr:uid="{00000000-0005-0000-0000-000010930000}"/>
    <cellStyle name="Percent 7 2 2 2 2 4 6" xfId="11148" xr:uid="{00000000-0005-0000-0000-000011930000}"/>
    <cellStyle name="Percent 7 2 2 2 2 4 6 2" xfId="14740" xr:uid="{00000000-0005-0000-0000-000012930000}"/>
    <cellStyle name="Percent 7 2 2 2 2 4 6 3" xfId="16466" xr:uid="{00000000-0005-0000-0000-000013930000}"/>
    <cellStyle name="Percent 7 2 2 2 2 4 7" xfId="12487" xr:uid="{00000000-0005-0000-0000-000014930000}"/>
    <cellStyle name="Percent 7 2 2 2 2 4 8" xfId="16447" xr:uid="{00000000-0005-0000-0000-000015930000}"/>
    <cellStyle name="Percent 7 2 2 2 2 5" xfId="8883" xr:uid="{00000000-0005-0000-0000-000016930000}"/>
    <cellStyle name="Percent 7 2 2 2 2 5 2" xfId="9139" xr:uid="{00000000-0005-0000-0000-000017930000}"/>
    <cellStyle name="Percent 7 2 2 2 2 5 2 2" xfId="9707" xr:uid="{00000000-0005-0000-0000-000018930000}"/>
    <cellStyle name="Percent 7 2 2 2 2 5 2 2 2" xfId="10761" xr:uid="{00000000-0005-0000-0000-000019930000}"/>
    <cellStyle name="Percent 7 2 2 2 2 5 2 2 2 2" xfId="14355" xr:uid="{00000000-0005-0000-0000-00001A930000}"/>
    <cellStyle name="Percent 7 2 2 2 2 5 2 2 2 3" xfId="16470" xr:uid="{00000000-0005-0000-0000-00001B930000}"/>
    <cellStyle name="Percent 7 2 2 2 2 5 2 2 3" xfId="13302" xr:uid="{00000000-0005-0000-0000-00001C930000}"/>
    <cellStyle name="Percent 7 2 2 2 2 5 2 2 4" xfId="16469" xr:uid="{00000000-0005-0000-0000-00001D930000}"/>
    <cellStyle name="Percent 7 2 2 2 2 5 2 3" xfId="10223" xr:uid="{00000000-0005-0000-0000-00001E930000}"/>
    <cellStyle name="Percent 7 2 2 2 2 5 2 3 2" xfId="13817" xr:uid="{00000000-0005-0000-0000-00001F930000}"/>
    <cellStyle name="Percent 7 2 2 2 2 5 2 3 3" xfId="16471" xr:uid="{00000000-0005-0000-0000-000020930000}"/>
    <cellStyle name="Percent 7 2 2 2 2 5 2 4" xfId="11153" xr:uid="{00000000-0005-0000-0000-000021930000}"/>
    <cellStyle name="Percent 7 2 2 2 2 5 2 4 2" xfId="14745" xr:uid="{00000000-0005-0000-0000-000022930000}"/>
    <cellStyle name="Percent 7 2 2 2 2 5 2 4 3" xfId="16472" xr:uid="{00000000-0005-0000-0000-000023930000}"/>
    <cellStyle name="Percent 7 2 2 2 2 5 2 5" xfId="12764" xr:uid="{00000000-0005-0000-0000-000024930000}"/>
    <cellStyle name="Percent 7 2 2 2 2 5 2 6" xfId="16468" xr:uid="{00000000-0005-0000-0000-000025930000}"/>
    <cellStyle name="Percent 7 2 2 2 2 5 3" xfId="9451" xr:uid="{00000000-0005-0000-0000-000026930000}"/>
    <cellStyle name="Percent 7 2 2 2 2 5 3 2" xfId="10505" xr:uid="{00000000-0005-0000-0000-000027930000}"/>
    <cellStyle name="Percent 7 2 2 2 2 5 3 2 2" xfId="14099" xr:uid="{00000000-0005-0000-0000-000028930000}"/>
    <cellStyle name="Percent 7 2 2 2 2 5 3 2 3" xfId="16474" xr:uid="{00000000-0005-0000-0000-000029930000}"/>
    <cellStyle name="Percent 7 2 2 2 2 5 3 3" xfId="13046" xr:uid="{00000000-0005-0000-0000-00002A930000}"/>
    <cellStyle name="Percent 7 2 2 2 2 5 3 4" xfId="16473" xr:uid="{00000000-0005-0000-0000-00002B930000}"/>
    <cellStyle name="Percent 7 2 2 2 2 5 4" xfId="9967" xr:uid="{00000000-0005-0000-0000-00002C930000}"/>
    <cellStyle name="Percent 7 2 2 2 2 5 4 2" xfId="13561" xr:uid="{00000000-0005-0000-0000-00002D930000}"/>
    <cellStyle name="Percent 7 2 2 2 2 5 4 3" xfId="16475" xr:uid="{00000000-0005-0000-0000-00002E930000}"/>
    <cellStyle name="Percent 7 2 2 2 2 5 5" xfId="11152" xr:uid="{00000000-0005-0000-0000-00002F930000}"/>
    <cellStyle name="Percent 7 2 2 2 2 5 5 2" xfId="14744" xr:uid="{00000000-0005-0000-0000-000030930000}"/>
    <cellStyle name="Percent 7 2 2 2 2 5 5 3" xfId="16476" xr:uid="{00000000-0005-0000-0000-000031930000}"/>
    <cellStyle name="Percent 7 2 2 2 2 5 6" xfId="12508" xr:uid="{00000000-0005-0000-0000-000032930000}"/>
    <cellStyle name="Percent 7 2 2 2 2 5 7" xfId="16467" xr:uid="{00000000-0005-0000-0000-000033930000}"/>
    <cellStyle name="Percent 7 2 2 2 2 6" xfId="9011" xr:uid="{00000000-0005-0000-0000-000034930000}"/>
    <cellStyle name="Percent 7 2 2 2 2 6 2" xfId="9579" xr:uid="{00000000-0005-0000-0000-000035930000}"/>
    <cellStyle name="Percent 7 2 2 2 2 6 2 2" xfId="10633" xr:uid="{00000000-0005-0000-0000-000036930000}"/>
    <cellStyle name="Percent 7 2 2 2 2 6 2 2 2" xfId="14227" xr:uid="{00000000-0005-0000-0000-000037930000}"/>
    <cellStyle name="Percent 7 2 2 2 2 6 2 2 3" xfId="16479" xr:uid="{00000000-0005-0000-0000-000038930000}"/>
    <cellStyle name="Percent 7 2 2 2 2 6 2 3" xfId="13174" xr:uid="{00000000-0005-0000-0000-000039930000}"/>
    <cellStyle name="Percent 7 2 2 2 2 6 2 4" xfId="16478" xr:uid="{00000000-0005-0000-0000-00003A930000}"/>
    <cellStyle name="Percent 7 2 2 2 2 6 3" xfId="10095" xr:uid="{00000000-0005-0000-0000-00003B930000}"/>
    <cellStyle name="Percent 7 2 2 2 2 6 3 2" xfId="13689" xr:uid="{00000000-0005-0000-0000-00003C930000}"/>
    <cellStyle name="Percent 7 2 2 2 2 6 3 3" xfId="16480" xr:uid="{00000000-0005-0000-0000-00003D930000}"/>
    <cellStyle name="Percent 7 2 2 2 2 6 4" xfId="11154" xr:uid="{00000000-0005-0000-0000-00003E930000}"/>
    <cellStyle name="Percent 7 2 2 2 2 6 4 2" xfId="14746" xr:uid="{00000000-0005-0000-0000-00003F930000}"/>
    <cellStyle name="Percent 7 2 2 2 2 6 4 3" xfId="16481" xr:uid="{00000000-0005-0000-0000-000040930000}"/>
    <cellStyle name="Percent 7 2 2 2 2 6 5" xfId="12636" xr:uid="{00000000-0005-0000-0000-000041930000}"/>
    <cellStyle name="Percent 7 2 2 2 2 6 6" xfId="16477" xr:uid="{00000000-0005-0000-0000-000042930000}"/>
    <cellStyle name="Percent 7 2 2 2 2 7" xfId="9323" xr:uid="{00000000-0005-0000-0000-000043930000}"/>
    <cellStyle name="Percent 7 2 2 2 2 7 2" xfId="10377" xr:uid="{00000000-0005-0000-0000-000044930000}"/>
    <cellStyle name="Percent 7 2 2 2 2 7 2 2" xfId="13971" xr:uid="{00000000-0005-0000-0000-000045930000}"/>
    <cellStyle name="Percent 7 2 2 2 2 7 2 3" xfId="16483" xr:uid="{00000000-0005-0000-0000-000046930000}"/>
    <cellStyle name="Percent 7 2 2 2 2 7 3" xfId="12918" xr:uid="{00000000-0005-0000-0000-000047930000}"/>
    <cellStyle name="Percent 7 2 2 2 2 7 4" xfId="16482" xr:uid="{00000000-0005-0000-0000-000048930000}"/>
    <cellStyle name="Percent 7 2 2 2 2 8" xfId="9839" xr:uid="{00000000-0005-0000-0000-000049930000}"/>
    <cellStyle name="Percent 7 2 2 2 2 8 2" xfId="13433" xr:uid="{00000000-0005-0000-0000-00004A930000}"/>
    <cellStyle name="Percent 7 2 2 2 2 8 3" xfId="16484" xr:uid="{00000000-0005-0000-0000-00004B930000}"/>
    <cellStyle name="Percent 7 2 2 2 2 9" xfId="11139" xr:uid="{00000000-0005-0000-0000-00004C930000}"/>
    <cellStyle name="Percent 7 2 2 2 2 9 2" xfId="14731" xr:uid="{00000000-0005-0000-0000-00004D930000}"/>
    <cellStyle name="Percent 7 2 2 2 2 9 3" xfId="16485" xr:uid="{00000000-0005-0000-0000-00004E930000}"/>
    <cellStyle name="Percent 7 2 2 2 3" xfId="8782" xr:uid="{00000000-0005-0000-0000-00004F930000}"/>
    <cellStyle name="Percent 7 2 2 2 3 2" xfId="8910" xr:uid="{00000000-0005-0000-0000-000050930000}"/>
    <cellStyle name="Percent 7 2 2 2 3 2 2" xfId="9166" xr:uid="{00000000-0005-0000-0000-000051930000}"/>
    <cellStyle name="Percent 7 2 2 2 3 2 2 2" xfId="9734" xr:uid="{00000000-0005-0000-0000-000052930000}"/>
    <cellStyle name="Percent 7 2 2 2 3 2 2 2 2" xfId="10788" xr:uid="{00000000-0005-0000-0000-000053930000}"/>
    <cellStyle name="Percent 7 2 2 2 3 2 2 2 2 2" xfId="14382" xr:uid="{00000000-0005-0000-0000-000054930000}"/>
    <cellStyle name="Percent 7 2 2 2 3 2 2 2 2 3" xfId="16490" xr:uid="{00000000-0005-0000-0000-000055930000}"/>
    <cellStyle name="Percent 7 2 2 2 3 2 2 2 3" xfId="13329" xr:uid="{00000000-0005-0000-0000-000056930000}"/>
    <cellStyle name="Percent 7 2 2 2 3 2 2 2 4" xfId="16489" xr:uid="{00000000-0005-0000-0000-000057930000}"/>
    <cellStyle name="Percent 7 2 2 2 3 2 2 3" xfId="10250" xr:uid="{00000000-0005-0000-0000-000058930000}"/>
    <cellStyle name="Percent 7 2 2 2 3 2 2 3 2" xfId="13844" xr:uid="{00000000-0005-0000-0000-000059930000}"/>
    <cellStyle name="Percent 7 2 2 2 3 2 2 3 3" xfId="16491" xr:uid="{00000000-0005-0000-0000-00005A930000}"/>
    <cellStyle name="Percent 7 2 2 2 3 2 2 4" xfId="11157" xr:uid="{00000000-0005-0000-0000-00005B930000}"/>
    <cellStyle name="Percent 7 2 2 2 3 2 2 4 2" xfId="14749" xr:uid="{00000000-0005-0000-0000-00005C930000}"/>
    <cellStyle name="Percent 7 2 2 2 3 2 2 4 3" xfId="16492" xr:uid="{00000000-0005-0000-0000-00005D930000}"/>
    <cellStyle name="Percent 7 2 2 2 3 2 2 5" xfId="12791" xr:uid="{00000000-0005-0000-0000-00005E930000}"/>
    <cellStyle name="Percent 7 2 2 2 3 2 2 6" xfId="16488" xr:uid="{00000000-0005-0000-0000-00005F930000}"/>
    <cellStyle name="Percent 7 2 2 2 3 2 3" xfId="9478" xr:uid="{00000000-0005-0000-0000-000060930000}"/>
    <cellStyle name="Percent 7 2 2 2 3 2 3 2" xfId="10532" xr:uid="{00000000-0005-0000-0000-000061930000}"/>
    <cellStyle name="Percent 7 2 2 2 3 2 3 2 2" xfId="14126" xr:uid="{00000000-0005-0000-0000-000062930000}"/>
    <cellStyle name="Percent 7 2 2 2 3 2 3 2 3" xfId="16494" xr:uid="{00000000-0005-0000-0000-000063930000}"/>
    <cellStyle name="Percent 7 2 2 2 3 2 3 3" xfId="13073" xr:uid="{00000000-0005-0000-0000-000064930000}"/>
    <cellStyle name="Percent 7 2 2 2 3 2 3 4" xfId="16493" xr:uid="{00000000-0005-0000-0000-000065930000}"/>
    <cellStyle name="Percent 7 2 2 2 3 2 4" xfId="9994" xr:uid="{00000000-0005-0000-0000-000066930000}"/>
    <cellStyle name="Percent 7 2 2 2 3 2 4 2" xfId="13588" xr:uid="{00000000-0005-0000-0000-000067930000}"/>
    <cellStyle name="Percent 7 2 2 2 3 2 4 3" xfId="16495" xr:uid="{00000000-0005-0000-0000-000068930000}"/>
    <cellStyle name="Percent 7 2 2 2 3 2 5" xfId="11156" xr:uid="{00000000-0005-0000-0000-000069930000}"/>
    <cellStyle name="Percent 7 2 2 2 3 2 5 2" xfId="14748" xr:uid="{00000000-0005-0000-0000-00006A930000}"/>
    <cellStyle name="Percent 7 2 2 2 3 2 5 3" xfId="16496" xr:uid="{00000000-0005-0000-0000-00006B930000}"/>
    <cellStyle name="Percent 7 2 2 2 3 2 6" xfId="12535" xr:uid="{00000000-0005-0000-0000-00006C930000}"/>
    <cellStyle name="Percent 7 2 2 2 3 2 6 2" xfId="41287" xr:uid="{00000000-0005-0000-0000-00006D930000}"/>
    <cellStyle name="Percent 7 2 2 2 3 2 7" xfId="16487" xr:uid="{00000000-0005-0000-0000-00006E930000}"/>
    <cellStyle name="Percent 7 2 2 2 3 3" xfId="9038" xr:uid="{00000000-0005-0000-0000-00006F930000}"/>
    <cellStyle name="Percent 7 2 2 2 3 3 2" xfId="9606" xr:uid="{00000000-0005-0000-0000-000070930000}"/>
    <cellStyle name="Percent 7 2 2 2 3 3 2 2" xfId="10660" xr:uid="{00000000-0005-0000-0000-000071930000}"/>
    <cellStyle name="Percent 7 2 2 2 3 3 2 2 2" xfId="14254" xr:uid="{00000000-0005-0000-0000-000072930000}"/>
    <cellStyle name="Percent 7 2 2 2 3 3 2 2 3" xfId="16499" xr:uid="{00000000-0005-0000-0000-000073930000}"/>
    <cellStyle name="Percent 7 2 2 2 3 3 2 3" xfId="13201" xr:uid="{00000000-0005-0000-0000-000074930000}"/>
    <cellStyle name="Percent 7 2 2 2 3 3 2 4" xfId="16498" xr:uid="{00000000-0005-0000-0000-000075930000}"/>
    <cellStyle name="Percent 7 2 2 2 3 3 3" xfId="10122" xr:uid="{00000000-0005-0000-0000-000076930000}"/>
    <cellStyle name="Percent 7 2 2 2 3 3 3 2" xfId="13716" xr:uid="{00000000-0005-0000-0000-000077930000}"/>
    <cellStyle name="Percent 7 2 2 2 3 3 3 3" xfId="16500" xr:uid="{00000000-0005-0000-0000-000078930000}"/>
    <cellStyle name="Percent 7 2 2 2 3 3 4" xfId="11158" xr:uid="{00000000-0005-0000-0000-000079930000}"/>
    <cellStyle name="Percent 7 2 2 2 3 3 4 2" xfId="14750" xr:uid="{00000000-0005-0000-0000-00007A930000}"/>
    <cellStyle name="Percent 7 2 2 2 3 3 4 3" xfId="16501" xr:uid="{00000000-0005-0000-0000-00007B930000}"/>
    <cellStyle name="Percent 7 2 2 2 3 3 5" xfId="12663" xr:uid="{00000000-0005-0000-0000-00007C930000}"/>
    <cellStyle name="Percent 7 2 2 2 3 3 6" xfId="16497" xr:uid="{00000000-0005-0000-0000-00007D930000}"/>
    <cellStyle name="Percent 7 2 2 2 3 4" xfId="9350" xr:uid="{00000000-0005-0000-0000-00007E930000}"/>
    <cellStyle name="Percent 7 2 2 2 3 4 2" xfId="10404" xr:uid="{00000000-0005-0000-0000-00007F930000}"/>
    <cellStyle name="Percent 7 2 2 2 3 4 2 2" xfId="13998" xr:uid="{00000000-0005-0000-0000-000080930000}"/>
    <cellStyle name="Percent 7 2 2 2 3 4 2 3" xfId="16503" xr:uid="{00000000-0005-0000-0000-000081930000}"/>
    <cellStyle name="Percent 7 2 2 2 3 4 3" xfId="12945" xr:uid="{00000000-0005-0000-0000-000082930000}"/>
    <cellStyle name="Percent 7 2 2 2 3 4 4" xfId="16502" xr:uid="{00000000-0005-0000-0000-000083930000}"/>
    <cellStyle name="Percent 7 2 2 2 3 5" xfId="9866" xr:uid="{00000000-0005-0000-0000-000084930000}"/>
    <cellStyle name="Percent 7 2 2 2 3 5 2" xfId="13460" xr:uid="{00000000-0005-0000-0000-000085930000}"/>
    <cellStyle name="Percent 7 2 2 2 3 5 3" xfId="16504" xr:uid="{00000000-0005-0000-0000-000086930000}"/>
    <cellStyle name="Percent 7 2 2 2 3 6" xfId="11155" xr:uid="{00000000-0005-0000-0000-000087930000}"/>
    <cellStyle name="Percent 7 2 2 2 3 6 2" xfId="14747" xr:uid="{00000000-0005-0000-0000-000088930000}"/>
    <cellStyle name="Percent 7 2 2 2 3 6 3" xfId="16505" xr:uid="{00000000-0005-0000-0000-000089930000}"/>
    <cellStyle name="Percent 7 2 2 2 3 7" xfId="12407" xr:uid="{00000000-0005-0000-0000-00008A930000}"/>
    <cellStyle name="Percent 7 2 2 2 3 7 2" xfId="41286" xr:uid="{00000000-0005-0000-0000-00008B930000}"/>
    <cellStyle name="Percent 7 2 2 2 3 8" xfId="16486" xr:uid="{00000000-0005-0000-0000-00008C930000}"/>
    <cellStyle name="Percent 7 2 2 2 4" xfId="8814" xr:uid="{00000000-0005-0000-0000-00008D930000}"/>
    <cellStyle name="Percent 7 2 2 2 4 2" xfId="8942" xr:uid="{00000000-0005-0000-0000-00008E930000}"/>
    <cellStyle name="Percent 7 2 2 2 4 2 2" xfId="9198" xr:uid="{00000000-0005-0000-0000-00008F930000}"/>
    <cellStyle name="Percent 7 2 2 2 4 2 2 2" xfId="9766" xr:uid="{00000000-0005-0000-0000-000090930000}"/>
    <cellStyle name="Percent 7 2 2 2 4 2 2 2 2" xfId="10820" xr:uid="{00000000-0005-0000-0000-000091930000}"/>
    <cellStyle name="Percent 7 2 2 2 4 2 2 2 2 2" xfId="14414" xr:uid="{00000000-0005-0000-0000-000092930000}"/>
    <cellStyle name="Percent 7 2 2 2 4 2 2 2 2 3" xfId="16510" xr:uid="{00000000-0005-0000-0000-000093930000}"/>
    <cellStyle name="Percent 7 2 2 2 4 2 2 2 3" xfId="13361" xr:uid="{00000000-0005-0000-0000-000094930000}"/>
    <cellStyle name="Percent 7 2 2 2 4 2 2 2 4" xfId="16509" xr:uid="{00000000-0005-0000-0000-000095930000}"/>
    <cellStyle name="Percent 7 2 2 2 4 2 2 3" xfId="10282" xr:uid="{00000000-0005-0000-0000-000096930000}"/>
    <cellStyle name="Percent 7 2 2 2 4 2 2 3 2" xfId="13876" xr:uid="{00000000-0005-0000-0000-000097930000}"/>
    <cellStyle name="Percent 7 2 2 2 4 2 2 3 3" xfId="16511" xr:uid="{00000000-0005-0000-0000-000098930000}"/>
    <cellStyle name="Percent 7 2 2 2 4 2 2 4" xfId="11161" xr:uid="{00000000-0005-0000-0000-000099930000}"/>
    <cellStyle name="Percent 7 2 2 2 4 2 2 4 2" xfId="14753" xr:uid="{00000000-0005-0000-0000-00009A930000}"/>
    <cellStyle name="Percent 7 2 2 2 4 2 2 4 3" xfId="16512" xr:uid="{00000000-0005-0000-0000-00009B930000}"/>
    <cellStyle name="Percent 7 2 2 2 4 2 2 5" xfId="12823" xr:uid="{00000000-0005-0000-0000-00009C930000}"/>
    <cellStyle name="Percent 7 2 2 2 4 2 2 6" xfId="16508" xr:uid="{00000000-0005-0000-0000-00009D930000}"/>
    <cellStyle name="Percent 7 2 2 2 4 2 3" xfId="9510" xr:uid="{00000000-0005-0000-0000-00009E930000}"/>
    <cellStyle name="Percent 7 2 2 2 4 2 3 2" xfId="10564" xr:uid="{00000000-0005-0000-0000-00009F930000}"/>
    <cellStyle name="Percent 7 2 2 2 4 2 3 2 2" xfId="14158" xr:uid="{00000000-0005-0000-0000-0000A0930000}"/>
    <cellStyle name="Percent 7 2 2 2 4 2 3 2 3" xfId="16514" xr:uid="{00000000-0005-0000-0000-0000A1930000}"/>
    <cellStyle name="Percent 7 2 2 2 4 2 3 3" xfId="13105" xr:uid="{00000000-0005-0000-0000-0000A2930000}"/>
    <cellStyle name="Percent 7 2 2 2 4 2 3 4" xfId="16513" xr:uid="{00000000-0005-0000-0000-0000A3930000}"/>
    <cellStyle name="Percent 7 2 2 2 4 2 4" xfId="10026" xr:uid="{00000000-0005-0000-0000-0000A4930000}"/>
    <cellStyle name="Percent 7 2 2 2 4 2 4 2" xfId="13620" xr:uid="{00000000-0005-0000-0000-0000A5930000}"/>
    <cellStyle name="Percent 7 2 2 2 4 2 4 3" xfId="16515" xr:uid="{00000000-0005-0000-0000-0000A6930000}"/>
    <cellStyle name="Percent 7 2 2 2 4 2 5" xfId="11160" xr:uid="{00000000-0005-0000-0000-0000A7930000}"/>
    <cellStyle name="Percent 7 2 2 2 4 2 5 2" xfId="14752" xr:uid="{00000000-0005-0000-0000-0000A8930000}"/>
    <cellStyle name="Percent 7 2 2 2 4 2 5 3" xfId="16516" xr:uid="{00000000-0005-0000-0000-0000A9930000}"/>
    <cellStyle name="Percent 7 2 2 2 4 2 6" xfId="12567" xr:uid="{00000000-0005-0000-0000-0000AA930000}"/>
    <cellStyle name="Percent 7 2 2 2 4 2 6 2" xfId="41289" xr:uid="{00000000-0005-0000-0000-0000AB930000}"/>
    <cellStyle name="Percent 7 2 2 2 4 2 7" xfId="16507" xr:uid="{00000000-0005-0000-0000-0000AC930000}"/>
    <cellStyle name="Percent 7 2 2 2 4 3" xfId="9070" xr:uid="{00000000-0005-0000-0000-0000AD930000}"/>
    <cellStyle name="Percent 7 2 2 2 4 3 2" xfId="9638" xr:uid="{00000000-0005-0000-0000-0000AE930000}"/>
    <cellStyle name="Percent 7 2 2 2 4 3 2 2" xfId="10692" xr:uid="{00000000-0005-0000-0000-0000AF930000}"/>
    <cellStyle name="Percent 7 2 2 2 4 3 2 2 2" xfId="14286" xr:uid="{00000000-0005-0000-0000-0000B0930000}"/>
    <cellStyle name="Percent 7 2 2 2 4 3 2 2 3" xfId="16519" xr:uid="{00000000-0005-0000-0000-0000B1930000}"/>
    <cellStyle name="Percent 7 2 2 2 4 3 2 3" xfId="13233" xr:uid="{00000000-0005-0000-0000-0000B2930000}"/>
    <cellStyle name="Percent 7 2 2 2 4 3 2 4" xfId="16518" xr:uid="{00000000-0005-0000-0000-0000B3930000}"/>
    <cellStyle name="Percent 7 2 2 2 4 3 3" xfId="10154" xr:uid="{00000000-0005-0000-0000-0000B4930000}"/>
    <cellStyle name="Percent 7 2 2 2 4 3 3 2" xfId="13748" xr:uid="{00000000-0005-0000-0000-0000B5930000}"/>
    <cellStyle name="Percent 7 2 2 2 4 3 3 3" xfId="16520" xr:uid="{00000000-0005-0000-0000-0000B6930000}"/>
    <cellStyle name="Percent 7 2 2 2 4 3 4" xfId="11162" xr:uid="{00000000-0005-0000-0000-0000B7930000}"/>
    <cellStyle name="Percent 7 2 2 2 4 3 4 2" xfId="14754" xr:uid="{00000000-0005-0000-0000-0000B8930000}"/>
    <cellStyle name="Percent 7 2 2 2 4 3 4 3" xfId="16521" xr:uid="{00000000-0005-0000-0000-0000B9930000}"/>
    <cellStyle name="Percent 7 2 2 2 4 3 5" xfId="12695" xr:uid="{00000000-0005-0000-0000-0000BA930000}"/>
    <cellStyle name="Percent 7 2 2 2 4 3 6" xfId="16517" xr:uid="{00000000-0005-0000-0000-0000BB930000}"/>
    <cellStyle name="Percent 7 2 2 2 4 4" xfId="9382" xr:uid="{00000000-0005-0000-0000-0000BC930000}"/>
    <cellStyle name="Percent 7 2 2 2 4 4 2" xfId="10436" xr:uid="{00000000-0005-0000-0000-0000BD930000}"/>
    <cellStyle name="Percent 7 2 2 2 4 4 2 2" xfId="14030" xr:uid="{00000000-0005-0000-0000-0000BE930000}"/>
    <cellStyle name="Percent 7 2 2 2 4 4 2 3" xfId="16523" xr:uid="{00000000-0005-0000-0000-0000BF930000}"/>
    <cellStyle name="Percent 7 2 2 2 4 4 3" xfId="12977" xr:uid="{00000000-0005-0000-0000-0000C0930000}"/>
    <cellStyle name="Percent 7 2 2 2 4 4 4" xfId="16522" xr:uid="{00000000-0005-0000-0000-0000C1930000}"/>
    <cellStyle name="Percent 7 2 2 2 4 5" xfId="9898" xr:uid="{00000000-0005-0000-0000-0000C2930000}"/>
    <cellStyle name="Percent 7 2 2 2 4 5 2" xfId="13492" xr:uid="{00000000-0005-0000-0000-0000C3930000}"/>
    <cellStyle name="Percent 7 2 2 2 4 5 3" xfId="16524" xr:uid="{00000000-0005-0000-0000-0000C4930000}"/>
    <cellStyle name="Percent 7 2 2 2 4 6" xfId="11159" xr:uid="{00000000-0005-0000-0000-0000C5930000}"/>
    <cellStyle name="Percent 7 2 2 2 4 6 2" xfId="14751" xr:uid="{00000000-0005-0000-0000-0000C6930000}"/>
    <cellStyle name="Percent 7 2 2 2 4 6 3" xfId="16525" xr:uid="{00000000-0005-0000-0000-0000C7930000}"/>
    <cellStyle name="Percent 7 2 2 2 4 7" xfId="12439" xr:uid="{00000000-0005-0000-0000-0000C8930000}"/>
    <cellStyle name="Percent 7 2 2 2 4 7 2" xfId="41288" xr:uid="{00000000-0005-0000-0000-0000C9930000}"/>
    <cellStyle name="Percent 7 2 2 2 4 8" xfId="16506" xr:uid="{00000000-0005-0000-0000-0000CA930000}"/>
    <cellStyle name="Percent 7 2 2 2 5" xfId="8846" xr:uid="{00000000-0005-0000-0000-0000CB930000}"/>
    <cellStyle name="Percent 7 2 2 2 5 2" xfId="8974" xr:uid="{00000000-0005-0000-0000-0000CC930000}"/>
    <cellStyle name="Percent 7 2 2 2 5 2 2" xfId="9230" xr:uid="{00000000-0005-0000-0000-0000CD930000}"/>
    <cellStyle name="Percent 7 2 2 2 5 2 2 2" xfId="9798" xr:uid="{00000000-0005-0000-0000-0000CE930000}"/>
    <cellStyle name="Percent 7 2 2 2 5 2 2 2 2" xfId="10852" xr:uid="{00000000-0005-0000-0000-0000CF930000}"/>
    <cellStyle name="Percent 7 2 2 2 5 2 2 2 2 2" xfId="14446" xr:uid="{00000000-0005-0000-0000-0000D0930000}"/>
    <cellStyle name="Percent 7 2 2 2 5 2 2 2 2 3" xfId="16530" xr:uid="{00000000-0005-0000-0000-0000D1930000}"/>
    <cellStyle name="Percent 7 2 2 2 5 2 2 2 3" xfId="13393" xr:uid="{00000000-0005-0000-0000-0000D2930000}"/>
    <cellStyle name="Percent 7 2 2 2 5 2 2 2 4" xfId="16529" xr:uid="{00000000-0005-0000-0000-0000D3930000}"/>
    <cellStyle name="Percent 7 2 2 2 5 2 2 3" xfId="10314" xr:uid="{00000000-0005-0000-0000-0000D4930000}"/>
    <cellStyle name="Percent 7 2 2 2 5 2 2 3 2" xfId="13908" xr:uid="{00000000-0005-0000-0000-0000D5930000}"/>
    <cellStyle name="Percent 7 2 2 2 5 2 2 3 3" xfId="16531" xr:uid="{00000000-0005-0000-0000-0000D6930000}"/>
    <cellStyle name="Percent 7 2 2 2 5 2 2 4" xfId="11165" xr:uid="{00000000-0005-0000-0000-0000D7930000}"/>
    <cellStyle name="Percent 7 2 2 2 5 2 2 4 2" xfId="14757" xr:uid="{00000000-0005-0000-0000-0000D8930000}"/>
    <cellStyle name="Percent 7 2 2 2 5 2 2 4 3" xfId="16532" xr:uid="{00000000-0005-0000-0000-0000D9930000}"/>
    <cellStyle name="Percent 7 2 2 2 5 2 2 5" xfId="12855" xr:uid="{00000000-0005-0000-0000-0000DA930000}"/>
    <cellStyle name="Percent 7 2 2 2 5 2 2 6" xfId="16528" xr:uid="{00000000-0005-0000-0000-0000DB930000}"/>
    <cellStyle name="Percent 7 2 2 2 5 2 3" xfId="9542" xr:uid="{00000000-0005-0000-0000-0000DC930000}"/>
    <cellStyle name="Percent 7 2 2 2 5 2 3 2" xfId="10596" xr:uid="{00000000-0005-0000-0000-0000DD930000}"/>
    <cellStyle name="Percent 7 2 2 2 5 2 3 2 2" xfId="14190" xr:uid="{00000000-0005-0000-0000-0000DE930000}"/>
    <cellStyle name="Percent 7 2 2 2 5 2 3 2 3" xfId="16534" xr:uid="{00000000-0005-0000-0000-0000DF930000}"/>
    <cellStyle name="Percent 7 2 2 2 5 2 3 3" xfId="13137" xr:uid="{00000000-0005-0000-0000-0000E0930000}"/>
    <cellStyle name="Percent 7 2 2 2 5 2 3 4" xfId="16533" xr:uid="{00000000-0005-0000-0000-0000E1930000}"/>
    <cellStyle name="Percent 7 2 2 2 5 2 4" xfId="10058" xr:uid="{00000000-0005-0000-0000-0000E2930000}"/>
    <cellStyle name="Percent 7 2 2 2 5 2 4 2" xfId="13652" xr:uid="{00000000-0005-0000-0000-0000E3930000}"/>
    <cellStyle name="Percent 7 2 2 2 5 2 4 3" xfId="16535" xr:uid="{00000000-0005-0000-0000-0000E4930000}"/>
    <cellStyle name="Percent 7 2 2 2 5 2 5" xfId="11164" xr:uid="{00000000-0005-0000-0000-0000E5930000}"/>
    <cellStyle name="Percent 7 2 2 2 5 2 5 2" xfId="14756" xr:uid="{00000000-0005-0000-0000-0000E6930000}"/>
    <cellStyle name="Percent 7 2 2 2 5 2 5 3" xfId="16536" xr:uid="{00000000-0005-0000-0000-0000E7930000}"/>
    <cellStyle name="Percent 7 2 2 2 5 2 6" xfId="12599" xr:uid="{00000000-0005-0000-0000-0000E8930000}"/>
    <cellStyle name="Percent 7 2 2 2 5 2 7" xfId="16527" xr:uid="{00000000-0005-0000-0000-0000E9930000}"/>
    <cellStyle name="Percent 7 2 2 2 5 3" xfId="9102" xr:uid="{00000000-0005-0000-0000-0000EA930000}"/>
    <cellStyle name="Percent 7 2 2 2 5 3 2" xfId="9670" xr:uid="{00000000-0005-0000-0000-0000EB930000}"/>
    <cellStyle name="Percent 7 2 2 2 5 3 2 2" xfId="10724" xr:uid="{00000000-0005-0000-0000-0000EC930000}"/>
    <cellStyle name="Percent 7 2 2 2 5 3 2 2 2" xfId="14318" xr:uid="{00000000-0005-0000-0000-0000ED930000}"/>
    <cellStyle name="Percent 7 2 2 2 5 3 2 2 3" xfId="16539" xr:uid="{00000000-0005-0000-0000-0000EE930000}"/>
    <cellStyle name="Percent 7 2 2 2 5 3 2 3" xfId="13265" xr:uid="{00000000-0005-0000-0000-0000EF930000}"/>
    <cellStyle name="Percent 7 2 2 2 5 3 2 4" xfId="16538" xr:uid="{00000000-0005-0000-0000-0000F0930000}"/>
    <cellStyle name="Percent 7 2 2 2 5 3 3" xfId="10186" xr:uid="{00000000-0005-0000-0000-0000F1930000}"/>
    <cellStyle name="Percent 7 2 2 2 5 3 3 2" xfId="13780" xr:uid="{00000000-0005-0000-0000-0000F2930000}"/>
    <cellStyle name="Percent 7 2 2 2 5 3 3 3" xfId="16540" xr:uid="{00000000-0005-0000-0000-0000F3930000}"/>
    <cellStyle name="Percent 7 2 2 2 5 3 4" xfId="11166" xr:uid="{00000000-0005-0000-0000-0000F4930000}"/>
    <cellStyle name="Percent 7 2 2 2 5 3 4 2" xfId="14758" xr:uid="{00000000-0005-0000-0000-0000F5930000}"/>
    <cellStyle name="Percent 7 2 2 2 5 3 4 3" xfId="16541" xr:uid="{00000000-0005-0000-0000-0000F6930000}"/>
    <cellStyle name="Percent 7 2 2 2 5 3 5" xfId="12727" xr:uid="{00000000-0005-0000-0000-0000F7930000}"/>
    <cellStyle name="Percent 7 2 2 2 5 3 6" xfId="16537" xr:uid="{00000000-0005-0000-0000-0000F8930000}"/>
    <cellStyle name="Percent 7 2 2 2 5 4" xfId="9414" xr:uid="{00000000-0005-0000-0000-0000F9930000}"/>
    <cellStyle name="Percent 7 2 2 2 5 4 2" xfId="10468" xr:uid="{00000000-0005-0000-0000-0000FA930000}"/>
    <cellStyle name="Percent 7 2 2 2 5 4 2 2" xfId="14062" xr:uid="{00000000-0005-0000-0000-0000FB930000}"/>
    <cellStyle name="Percent 7 2 2 2 5 4 2 3" xfId="16543" xr:uid="{00000000-0005-0000-0000-0000FC930000}"/>
    <cellStyle name="Percent 7 2 2 2 5 4 3" xfId="13009" xr:uid="{00000000-0005-0000-0000-0000FD930000}"/>
    <cellStyle name="Percent 7 2 2 2 5 4 4" xfId="16542" xr:uid="{00000000-0005-0000-0000-0000FE930000}"/>
    <cellStyle name="Percent 7 2 2 2 5 5" xfId="9930" xr:uid="{00000000-0005-0000-0000-0000FF930000}"/>
    <cellStyle name="Percent 7 2 2 2 5 5 2" xfId="13524" xr:uid="{00000000-0005-0000-0000-000000940000}"/>
    <cellStyle name="Percent 7 2 2 2 5 5 3" xfId="16544" xr:uid="{00000000-0005-0000-0000-000001940000}"/>
    <cellStyle name="Percent 7 2 2 2 5 6" xfId="11163" xr:uid="{00000000-0005-0000-0000-000002940000}"/>
    <cellStyle name="Percent 7 2 2 2 5 6 2" xfId="14755" xr:uid="{00000000-0005-0000-0000-000003940000}"/>
    <cellStyle name="Percent 7 2 2 2 5 6 3" xfId="16545" xr:uid="{00000000-0005-0000-0000-000004940000}"/>
    <cellStyle name="Percent 7 2 2 2 5 7" xfId="12471" xr:uid="{00000000-0005-0000-0000-000005940000}"/>
    <cellStyle name="Percent 7 2 2 2 5 7 2" xfId="41290" xr:uid="{00000000-0005-0000-0000-000006940000}"/>
    <cellStyle name="Percent 7 2 2 2 5 8" xfId="16526" xr:uid="{00000000-0005-0000-0000-000007940000}"/>
    <cellStyle name="Percent 7 2 2 2 6" xfId="8882" xr:uid="{00000000-0005-0000-0000-000008940000}"/>
    <cellStyle name="Percent 7 2 2 2 6 2" xfId="9138" xr:uid="{00000000-0005-0000-0000-000009940000}"/>
    <cellStyle name="Percent 7 2 2 2 6 2 2" xfId="9706" xr:uid="{00000000-0005-0000-0000-00000A940000}"/>
    <cellStyle name="Percent 7 2 2 2 6 2 2 2" xfId="10760" xr:uid="{00000000-0005-0000-0000-00000B940000}"/>
    <cellStyle name="Percent 7 2 2 2 6 2 2 2 2" xfId="14354" xr:uid="{00000000-0005-0000-0000-00000C940000}"/>
    <cellStyle name="Percent 7 2 2 2 6 2 2 2 3" xfId="16549" xr:uid="{00000000-0005-0000-0000-00000D940000}"/>
    <cellStyle name="Percent 7 2 2 2 6 2 2 3" xfId="13301" xr:uid="{00000000-0005-0000-0000-00000E940000}"/>
    <cellStyle name="Percent 7 2 2 2 6 2 2 4" xfId="16548" xr:uid="{00000000-0005-0000-0000-00000F940000}"/>
    <cellStyle name="Percent 7 2 2 2 6 2 3" xfId="10222" xr:uid="{00000000-0005-0000-0000-000010940000}"/>
    <cellStyle name="Percent 7 2 2 2 6 2 3 2" xfId="13816" xr:uid="{00000000-0005-0000-0000-000011940000}"/>
    <cellStyle name="Percent 7 2 2 2 6 2 3 3" xfId="16550" xr:uid="{00000000-0005-0000-0000-000012940000}"/>
    <cellStyle name="Percent 7 2 2 2 6 2 4" xfId="11168" xr:uid="{00000000-0005-0000-0000-000013940000}"/>
    <cellStyle name="Percent 7 2 2 2 6 2 4 2" xfId="14760" xr:uid="{00000000-0005-0000-0000-000014940000}"/>
    <cellStyle name="Percent 7 2 2 2 6 2 4 3" xfId="16551" xr:uid="{00000000-0005-0000-0000-000015940000}"/>
    <cellStyle name="Percent 7 2 2 2 6 2 5" xfId="12763" xr:uid="{00000000-0005-0000-0000-000016940000}"/>
    <cellStyle name="Percent 7 2 2 2 6 2 6" xfId="16547" xr:uid="{00000000-0005-0000-0000-000017940000}"/>
    <cellStyle name="Percent 7 2 2 2 6 3" xfId="9450" xr:uid="{00000000-0005-0000-0000-000018940000}"/>
    <cellStyle name="Percent 7 2 2 2 6 3 2" xfId="10504" xr:uid="{00000000-0005-0000-0000-000019940000}"/>
    <cellStyle name="Percent 7 2 2 2 6 3 2 2" xfId="14098" xr:uid="{00000000-0005-0000-0000-00001A940000}"/>
    <cellStyle name="Percent 7 2 2 2 6 3 2 3" xfId="16553" xr:uid="{00000000-0005-0000-0000-00001B940000}"/>
    <cellStyle name="Percent 7 2 2 2 6 3 3" xfId="13045" xr:uid="{00000000-0005-0000-0000-00001C940000}"/>
    <cellStyle name="Percent 7 2 2 2 6 3 4" xfId="16552" xr:uid="{00000000-0005-0000-0000-00001D940000}"/>
    <cellStyle name="Percent 7 2 2 2 6 4" xfId="9966" xr:uid="{00000000-0005-0000-0000-00001E940000}"/>
    <cellStyle name="Percent 7 2 2 2 6 4 2" xfId="13560" xr:uid="{00000000-0005-0000-0000-00001F940000}"/>
    <cellStyle name="Percent 7 2 2 2 6 4 3" xfId="16554" xr:uid="{00000000-0005-0000-0000-000020940000}"/>
    <cellStyle name="Percent 7 2 2 2 6 5" xfId="11167" xr:uid="{00000000-0005-0000-0000-000021940000}"/>
    <cellStyle name="Percent 7 2 2 2 6 5 2" xfId="14759" xr:uid="{00000000-0005-0000-0000-000022940000}"/>
    <cellStyle name="Percent 7 2 2 2 6 5 3" xfId="16555" xr:uid="{00000000-0005-0000-0000-000023940000}"/>
    <cellStyle name="Percent 7 2 2 2 6 6" xfId="12507" xr:uid="{00000000-0005-0000-0000-000024940000}"/>
    <cellStyle name="Percent 7 2 2 2 6 6 2" xfId="41291" xr:uid="{00000000-0005-0000-0000-000025940000}"/>
    <cellStyle name="Percent 7 2 2 2 6 7" xfId="16546" xr:uid="{00000000-0005-0000-0000-000026940000}"/>
    <cellStyle name="Percent 7 2 2 2 7" xfId="9010" xr:uid="{00000000-0005-0000-0000-000027940000}"/>
    <cellStyle name="Percent 7 2 2 2 7 2" xfId="9578" xr:uid="{00000000-0005-0000-0000-000028940000}"/>
    <cellStyle name="Percent 7 2 2 2 7 2 2" xfId="10632" xr:uid="{00000000-0005-0000-0000-000029940000}"/>
    <cellStyle name="Percent 7 2 2 2 7 2 2 2" xfId="14226" xr:uid="{00000000-0005-0000-0000-00002A940000}"/>
    <cellStyle name="Percent 7 2 2 2 7 2 2 3" xfId="16558" xr:uid="{00000000-0005-0000-0000-00002B940000}"/>
    <cellStyle name="Percent 7 2 2 2 7 2 3" xfId="13173" xr:uid="{00000000-0005-0000-0000-00002C940000}"/>
    <cellStyle name="Percent 7 2 2 2 7 2 4" xfId="16557" xr:uid="{00000000-0005-0000-0000-00002D940000}"/>
    <cellStyle name="Percent 7 2 2 2 7 3" xfId="10094" xr:uid="{00000000-0005-0000-0000-00002E940000}"/>
    <cellStyle name="Percent 7 2 2 2 7 3 2" xfId="13688" xr:uid="{00000000-0005-0000-0000-00002F940000}"/>
    <cellStyle name="Percent 7 2 2 2 7 3 3" xfId="16559" xr:uid="{00000000-0005-0000-0000-000030940000}"/>
    <cellStyle name="Percent 7 2 2 2 7 4" xfId="11169" xr:uid="{00000000-0005-0000-0000-000031940000}"/>
    <cellStyle name="Percent 7 2 2 2 7 4 2" xfId="14761" xr:uid="{00000000-0005-0000-0000-000032940000}"/>
    <cellStyle name="Percent 7 2 2 2 7 4 3" xfId="16560" xr:uid="{00000000-0005-0000-0000-000033940000}"/>
    <cellStyle name="Percent 7 2 2 2 7 5" xfId="12635" xr:uid="{00000000-0005-0000-0000-000034940000}"/>
    <cellStyle name="Percent 7 2 2 2 7 6" xfId="16556" xr:uid="{00000000-0005-0000-0000-000035940000}"/>
    <cellStyle name="Percent 7 2 2 2 8" xfId="9322" xr:uid="{00000000-0005-0000-0000-000036940000}"/>
    <cellStyle name="Percent 7 2 2 2 8 2" xfId="10376" xr:uid="{00000000-0005-0000-0000-000037940000}"/>
    <cellStyle name="Percent 7 2 2 2 8 2 2" xfId="13970" xr:uid="{00000000-0005-0000-0000-000038940000}"/>
    <cellStyle name="Percent 7 2 2 2 8 2 3" xfId="16562" xr:uid="{00000000-0005-0000-0000-000039940000}"/>
    <cellStyle name="Percent 7 2 2 2 8 3" xfId="12917" xr:uid="{00000000-0005-0000-0000-00003A940000}"/>
    <cellStyle name="Percent 7 2 2 2 8 4" xfId="16561" xr:uid="{00000000-0005-0000-0000-00003B940000}"/>
    <cellStyle name="Percent 7 2 2 2 9" xfId="9838" xr:uid="{00000000-0005-0000-0000-00003C940000}"/>
    <cellStyle name="Percent 7 2 2 2 9 2" xfId="13432" xr:uid="{00000000-0005-0000-0000-00003D940000}"/>
    <cellStyle name="Percent 7 2 2 2 9 3" xfId="16563" xr:uid="{00000000-0005-0000-0000-00003E940000}"/>
    <cellStyle name="Percent 7 2 2 3" xfId="8753" xr:uid="{00000000-0005-0000-0000-00003F940000}"/>
    <cellStyle name="Percent 7 2 2 3 10" xfId="12381" xr:uid="{00000000-0005-0000-0000-000040940000}"/>
    <cellStyle name="Percent 7 2 2 3 10 2" xfId="41292" xr:uid="{00000000-0005-0000-0000-000041940000}"/>
    <cellStyle name="Percent 7 2 2 3 11" xfId="16564" xr:uid="{00000000-0005-0000-0000-000042940000}"/>
    <cellStyle name="Percent 7 2 2 3 2" xfId="8790" xr:uid="{00000000-0005-0000-0000-000043940000}"/>
    <cellStyle name="Percent 7 2 2 3 2 2" xfId="8918" xr:uid="{00000000-0005-0000-0000-000044940000}"/>
    <cellStyle name="Percent 7 2 2 3 2 2 2" xfId="9174" xr:uid="{00000000-0005-0000-0000-000045940000}"/>
    <cellStyle name="Percent 7 2 2 3 2 2 2 2" xfId="9742" xr:uid="{00000000-0005-0000-0000-000046940000}"/>
    <cellStyle name="Percent 7 2 2 3 2 2 2 2 2" xfId="10796" xr:uid="{00000000-0005-0000-0000-000047940000}"/>
    <cellStyle name="Percent 7 2 2 3 2 2 2 2 2 2" xfId="14390" xr:uid="{00000000-0005-0000-0000-000048940000}"/>
    <cellStyle name="Percent 7 2 2 3 2 2 2 2 2 3" xfId="16569" xr:uid="{00000000-0005-0000-0000-000049940000}"/>
    <cellStyle name="Percent 7 2 2 3 2 2 2 2 3" xfId="13337" xr:uid="{00000000-0005-0000-0000-00004A940000}"/>
    <cellStyle name="Percent 7 2 2 3 2 2 2 2 4" xfId="16568" xr:uid="{00000000-0005-0000-0000-00004B940000}"/>
    <cellStyle name="Percent 7 2 2 3 2 2 2 3" xfId="10258" xr:uid="{00000000-0005-0000-0000-00004C940000}"/>
    <cellStyle name="Percent 7 2 2 3 2 2 2 3 2" xfId="13852" xr:uid="{00000000-0005-0000-0000-00004D940000}"/>
    <cellStyle name="Percent 7 2 2 3 2 2 2 3 3" xfId="16570" xr:uid="{00000000-0005-0000-0000-00004E940000}"/>
    <cellStyle name="Percent 7 2 2 3 2 2 2 4" xfId="11173" xr:uid="{00000000-0005-0000-0000-00004F940000}"/>
    <cellStyle name="Percent 7 2 2 3 2 2 2 4 2" xfId="14765" xr:uid="{00000000-0005-0000-0000-000050940000}"/>
    <cellStyle name="Percent 7 2 2 3 2 2 2 4 3" xfId="16571" xr:uid="{00000000-0005-0000-0000-000051940000}"/>
    <cellStyle name="Percent 7 2 2 3 2 2 2 5" xfId="12799" xr:uid="{00000000-0005-0000-0000-000052940000}"/>
    <cellStyle name="Percent 7 2 2 3 2 2 2 6" xfId="16567" xr:uid="{00000000-0005-0000-0000-000053940000}"/>
    <cellStyle name="Percent 7 2 2 3 2 2 3" xfId="9486" xr:uid="{00000000-0005-0000-0000-000054940000}"/>
    <cellStyle name="Percent 7 2 2 3 2 2 3 2" xfId="10540" xr:uid="{00000000-0005-0000-0000-000055940000}"/>
    <cellStyle name="Percent 7 2 2 3 2 2 3 2 2" xfId="14134" xr:uid="{00000000-0005-0000-0000-000056940000}"/>
    <cellStyle name="Percent 7 2 2 3 2 2 3 2 3" xfId="16573" xr:uid="{00000000-0005-0000-0000-000057940000}"/>
    <cellStyle name="Percent 7 2 2 3 2 2 3 3" xfId="13081" xr:uid="{00000000-0005-0000-0000-000058940000}"/>
    <cellStyle name="Percent 7 2 2 3 2 2 3 4" xfId="16572" xr:uid="{00000000-0005-0000-0000-000059940000}"/>
    <cellStyle name="Percent 7 2 2 3 2 2 4" xfId="10002" xr:uid="{00000000-0005-0000-0000-00005A940000}"/>
    <cellStyle name="Percent 7 2 2 3 2 2 4 2" xfId="13596" xr:uid="{00000000-0005-0000-0000-00005B940000}"/>
    <cellStyle name="Percent 7 2 2 3 2 2 4 3" xfId="16574" xr:uid="{00000000-0005-0000-0000-00005C940000}"/>
    <cellStyle name="Percent 7 2 2 3 2 2 5" xfId="11172" xr:uid="{00000000-0005-0000-0000-00005D940000}"/>
    <cellStyle name="Percent 7 2 2 3 2 2 5 2" xfId="14764" xr:uid="{00000000-0005-0000-0000-00005E940000}"/>
    <cellStyle name="Percent 7 2 2 3 2 2 5 3" xfId="16575" xr:uid="{00000000-0005-0000-0000-00005F940000}"/>
    <cellStyle name="Percent 7 2 2 3 2 2 6" xfId="12543" xr:uid="{00000000-0005-0000-0000-000060940000}"/>
    <cellStyle name="Percent 7 2 2 3 2 2 6 2" xfId="41294" xr:uid="{00000000-0005-0000-0000-000061940000}"/>
    <cellStyle name="Percent 7 2 2 3 2 2 7" xfId="16566" xr:uid="{00000000-0005-0000-0000-000062940000}"/>
    <cellStyle name="Percent 7 2 2 3 2 3" xfId="9046" xr:uid="{00000000-0005-0000-0000-000063940000}"/>
    <cellStyle name="Percent 7 2 2 3 2 3 2" xfId="9614" xr:uid="{00000000-0005-0000-0000-000064940000}"/>
    <cellStyle name="Percent 7 2 2 3 2 3 2 2" xfId="10668" xr:uid="{00000000-0005-0000-0000-000065940000}"/>
    <cellStyle name="Percent 7 2 2 3 2 3 2 2 2" xfId="14262" xr:uid="{00000000-0005-0000-0000-000066940000}"/>
    <cellStyle name="Percent 7 2 2 3 2 3 2 2 3" xfId="16578" xr:uid="{00000000-0005-0000-0000-000067940000}"/>
    <cellStyle name="Percent 7 2 2 3 2 3 2 3" xfId="13209" xr:uid="{00000000-0005-0000-0000-000068940000}"/>
    <cellStyle name="Percent 7 2 2 3 2 3 2 4" xfId="16577" xr:uid="{00000000-0005-0000-0000-000069940000}"/>
    <cellStyle name="Percent 7 2 2 3 2 3 3" xfId="10130" xr:uid="{00000000-0005-0000-0000-00006A940000}"/>
    <cellStyle name="Percent 7 2 2 3 2 3 3 2" xfId="13724" xr:uid="{00000000-0005-0000-0000-00006B940000}"/>
    <cellStyle name="Percent 7 2 2 3 2 3 3 3" xfId="16579" xr:uid="{00000000-0005-0000-0000-00006C940000}"/>
    <cellStyle name="Percent 7 2 2 3 2 3 4" xfId="11174" xr:uid="{00000000-0005-0000-0000-00006D940000}"/>
    <cellStyle name="Percent 7 2 2 3 2 3 4 2" xfId="14766" xr:uid="{00000000-0005-0000-0000-00006E940000}"/>
    <cellStyle name="Percent 7 2 2 3 2 3 4 3" xfId="16580" xr:uid="{00000000-0005-0000-0000-00006F940000}"/>
    <cellStyle name="Percent 7 2 2 3 2 3 5" xfId="12671" xr:uid="{00000000-0005-0000-0000-000070940000}"/>
    <cellStyle name="Percent 7 2 2 3 2 3 6" xfId="16576" xr:uid="{00000000-0005-0000-0000-000071940000}"/>
    <cellStyle name="Percent 7 2 2 3 2 4" xfId="9358" xr:uid="{00000000-0005-0000-0000-000072940000}"/>
    <cellStyle name="Percent 7 2 2 3 2 4 2" xfId="10412" xr:uid="{00000000-0005-0000-0000-000073940000}"/>
    <cellStyle name="Percent 7 2 2 3 2 4 2 2" xfId="14006" xr:uid="{00000000-0005-0000-0000-000074940000}"/>
    <cellStyle name="Percent 7 2 2 3 2 4 2 3" xfId="16582" xr:uid="{00000000-0005-0000-0000-000075940000}"/>
    <cellStyle name="Percent 7 2 2 3 2 4 3" xfId="12953" xr:uid="{00000000-0005-0000-0000-000076940000}"/>
    <cellStyle name="Percent 7 2 2 3 2 4 4" xfId="16581" xr:uid="{00000000-0005-0000-0000-000077940000}"/>
    <cellStyle name="Percent 7 2 2 3 2 5" xfId="9874" xr:uid="{00000000-0005-0000-0000-000078940000}"/>
    <cellStyle name="Percent 7 2 2 3 2 5 2" xfId="13468" xr:uid="{00000000-0005-0000-0000-000079940000}"/>
    <cellStyle name="Percent 7 2 2 3 2 5 3" xfId="16583" xr:uid="{00000000-0005-0000-0000-00007A940000}"/>
    <cellStyle name="Percent 7 2 2 3 2 6" xfId="11171" xr:uid="{00000000-0005-0000-0000-00007B940000}"/>
    <cellStyle name="Percent 7 2 2 3 2 6 2" xfId="14763" xr:uid="{00000000-0005-0000-0000-00007C940000}"/>
    <cellStyle name="Percent 7 2 2 3 2 6 3" xfId="16584" xr:uid="{00000000-0005-0000-0000-00007D940000}"/>
    <cellStyle name="Percent 7 2 2 3 2 7" xfId="12415" xr:uid="{00000000-0005-0000-0000-00007E940000}"/>
    <cellStyle name="Percent 7 2 2 3 2 7 2" xfId="41293" xr:uid="{00000000-0005-0000-0000-00007F940000}"/>
    <cellStyle name="Percent 7 2 2 3 2 8" xfId="16565" xr:uid="{00000000-0005-0000-0000-000080940000}"/>
    <cellStyle name="Percent 7 2 2 3 3" xfId="8822" xr:uid="{00000000-0005-0000-0000-000081940000}"/>
    <cellStyle name="Percent 7 2 2 3 3 2" xfId="8950" xr:uid="{00000000-0005-0000-0000-000082940000}"/>
    <cellStyle name="Percent 7 2 2 3 3 2 2" xfId="9206" xr:uid="{00000000-0005-0000-0000-000083940000}"/>
    <cellStyle name="Percent 7 2 2 3 3 2 2 2" xfId="9774" xr:uid="{00000000-0005-0000-0000-000084940000}"/>
    <cellStyle name="Percent 7 2 2 3 3 2 2 2 2" xfId="10828" xr:uid="{00000000-0005-0000-0000-000085940000}"/>
    <cellStyle name="Percent 7 2 2 3 3 2 2 2 2 2" xfId="14422" xr:uid="{00000000-0005-0000-0000-000086940000}"/>
    <cellStyle name="Percent 7 2 2 3 3 2 2 2 2 3" xfId="16589" xr:uid="{00000000-0005-0000-0000-000087940000}"/>
    <cellStyle name="Percent 7 2 2 3 3 2 2 2 3" xfId="13369" xr:uid="{00000000-0005-0000-0000-000088940000}"/>
    <cellStyle name="Percent 7 2 2 3 3 2 2 2 4" xfId="16588" xr:uid="{00000000-0005-0000-0000-000089940000}"/>
    <cellStyle name="Percent 7 2 2 3 3 2 2 3" xfId="10290" xr:uid="{00000000-0005-0000-0000-00008A940000}"/>
    <cellStyle name="Percent 7 2 2 3 3 2 2 3 2" xfId="13884" xr:uid="{00000000-0005-0000-0000-00008B940000}"/>
    <cellStyle name="Percent 7 2 2 3 3 2 2 3 3" xfId="16590" xr:uid="{00000000-0005-0000-0000-00008C940000}"/>
    <cellStyle name="Percent 7 2 2 3 3 2 2 4" xfId="11177" xr:uid="{00000000-0005-0000-0000-00008D940000}"/>
    <cellStyle name="Percent 7 2 2 3 3 2 2 4 2" xfId="14769" xr:uid="{00000000-0005-0000-0000-00008E940000}"/>
    <cellStyle name="Percent 7 2 2 3 3 2 2 4 3" xfId="16591" xr:uid="{00000000-0005-0000-0000-00008F940000}"/>
    <cellStyle name="Percent 7 2 2 3 3 2 2 5" xfId="12831" xr:uid="{00000000-0005-0000-0000-000090940000}"/>
    <cellStyle name="Percent 7 2 2 3 3 2 2 6" xfId="16587" xr:uid="{00000000-0005-0000-0000-000091940000}"/>
    <cellStyle name="Percent 7 2 2 3 3 2 3" xfId="9518" xr:uid="{00000000-0005-0000-0000-000092940000}"/>
    <cellStyle name="Percent 7 2 2 3 3 2 3 2" xfId="10572" xr:uid="{00000000-0005-0000-0000-000093940000}"/>
    <cellStyle name="Percent 7 2 2 3 3 2 3 2 2" xfId="14166" xr:uid="{00000000-0005-0000-0000-000094940000}"/>
    <cellStyle name="Percent 7 2 2 3 3 2 3 2 3" xfId="16593" xr:uid="{00000000-0005-0000-0000-000095940000}"/>
    <cellStyle name="Percent 7 2 2 3 3 2 3 3" xfId="13113" xr:uid="{00000000-0005-0000-0000-000096940000}"/>
    <cellStyle name="Percent 7 2 2 3 3 2 3 4" xfId="16592" xr:uid="{00000000-0005-0000-0000-000097940000}"/>
    <cellStyle name="Percent 7 2 2 3 3 2 4" xfId="10034" xr:uid="{00000000-0005-0000-0000-000098940000}"/>
    <cellStyle name="Percent 7 2 2 3 3 2 4 2" xfId="13628" xr:uid="{00000000-0005-0000-0000-000099940000}"/>
    <cellStyle name="Percent 7 2 2 3 3 2 4 3" xfId="16594" xr:uid="{00000000-0005-0000-0000-00009A940000}"/>
    <cellStyle name="Percent 7 2 2 3 3 2 5" xfId="11176" xr:uid="{00000000-0005-0000-0000-00009B940000}"/>
    <cellStyle name="Percent 7 2 2 3 3 2 5 2" xfId="14768" xr:uid="{00000000-0005-0000-0000-00009C940000}"/>
    <cellStyle name="Percent 7 2 2 3 3 2 5 3" xfId="16595" xr:uid="{00000000-0005-0000-0000-00009D940000}"/>
    <cellStyle name="Percent 7 2 2 3 3 2 6" xfId="12575" xr:uid="{00000000-0005-0000-0000-00009E940000}"/>
    <cellStyle name="Percent 7 2 2 3 3 2 6 2" xfId="41296" xr:uid="{00000000-0005-0000-0000-00009F940000}"/>
    <cellStyle name="Percent 7 2 2 3 3 2 7" xfId="16586" xr:uid="{00000000-0005-0000-0000-0000A0940000}"/>
    <cellStyle name="Percent 7 2 2 3 3 3" xfId="9078" xr:uid="{00000000-0005-0000-0000-0000A1940000}"/>
    <cellStyle name="Percent 7 2 2 3 3 3 2" xfId="9646" xr:uid="{00000000-0005-0000-0000-0000A2940000}"/>
    <cellStyle name="Percent 7 2 2 3 3 3 2 2" xfId="10700" xr:uid="{00000000-0005-0000-0000-0000A3940000}"/>
    <cellStyle name="Percent 7 2 2 3 3 3 2 2 2" xfId="14294" xr:uid="{00000000-0005-0000-0000-0000A4940000}"/>
    <cellStyle name="Percent 7 2 2 3 3 3 2 2 3" xfId="16598" xr:uid="{00000000-0005-0000-0000-0000A5940000}"/>
    <cellStyle name="Percent 7 2 2 3 3 3 2 3" xfId="13241" xr:uid="{00000000-0005-0000-0000-0000A6940000}"/>
    <cellStyle name="Percent 7 2 2 3 3 3 2 4" xfId="16597" xr:uid="{00000000-0005-0000-0000-0000A7940000}"/>
    <cellStyle name="Percent 7 2 2 3 3 3 3" xfId="10162" xr:uid="{00000000-0005-0000-0000-0000A8940000}"/>
    <cellStyle name="Percent 7 2 2 3 3 3 3 2" xfId="13756" xr:uid="{00000000-0005-0000-0000-0000A9940000}"/>
    <cellStyle name="Percent 7 2 2 3 3 3 3 3" xfId="16599" xr:uid="{00000000-0005-0000-0000-0000AA940000}"/>
    <cellStyle name="Percent 7 2 2 3 3 3 4" xfId="11178" xr:uid="{00000000-0005-0000-0000-0000AB940000}"/>
    <cellStyle name="Percent 7 2 2 3 3 3 4 2" xfId="14770" xr:uid="{00000000-0005-0000-0000-0000AC940000}"/>
    <cellStyle name="Percent 7 2 2 3 3 3 4 3" xfId="16600" xr:uid="{00000000-0005-0000-0000-0000AD940000}"/>
    <cellStyle name="Percent 7 2 2 3 3 3 5" xfId="12703" xr:uid="{00000000-0005-0000-0000-0000AE940000}"/>
    <cellStyle name="Percent 7 2 2 3 3 3 6" xfId="16596" xr:uid="{00000000-0005-0000-0000-0000AF940000}"/>
    <cellStyle name="Percent 7 2 2 3 3 4" xfId="9390" xr:uid="{00000000-0005-0000-0000-0000B0940000}"/>
    <cellStyle name="Percent 7 2 2 3 3 4 2" xfId="10444" xr:uid="{00000000-0005-0000-0000-0000B1940000}"/>
    <cellStyle name="Percent 7 2 2 3 3 4 2 2" xfId="14038" xr:uid="{00000000-0005-0000-0000-0000B2940000}"/>
    <cellStyle name="Percent 7 2 2 3 3 4 2 3" xfId="16602" xr:uid="{00000000-0005-0000-0000-0000B3940000}"/>
    <cellStyle name="Percent 7 2 2 3 3 4 3" xfId="12985" xr:uid="{00000000-0005-0000-0000-0000B4940000}"/>
    <cellStyle name="Percent 7 2 2 3 3 4 4" xfId="16601" xr:uid="{00000000-0005-0000-0000-0000B5940000}"/>
    <cellStyle name="Percent 7 2 2 3 3 5" xfId="9906" xr:uid="{00000000-0005-0000-0000-0000B6940000}"/>
    <cellStyle name="Percent 7 2 2 3 3 5 2" xfId="13500" xr:uid="{00000000-0005-0000-0000-0000B7940000}"/>
    <cellStyle name="Percent 7 2 2 3 3 5 3" xfId="16603" xr:uid="{00000000-0005-0000-0000-0000B8940000}"/>
    <cellStyle name="Percent 7 2 2 3 3 6" xfId="11175" xr:uid="{00000000-0005-0000-0000-0000B9940000}"/>
    <cellStyle name="Percent 7 2 2 3 3 6 2" xfId="14767" xr:uid="{00000000-0005-0000-0000-0000BA940000}"/>
    <cellStyle name="Percent 7 2 2 3 3 6 3" xfId="16604" xr:uid="{00000000-0005-0000-0000-0000BB940000}"/>
    <cellStyle name="Percent 7 2 2 3 3 7" xfId="12447" xr:uid="{00000000-0005-0000-0000-0000BC940000}"/>
    <cellStyle name="Percent 7 2 2 3 3 7 2" xfId="41295" xr:uid="{00000000-0005-0000-0000-0000BD940000}"/>
    <cellStyle name="Percent 7 2 2 3 3 8" xfId="16585" xr:uid="{00000000-0005-0000-0000-0000BE940000}"/>
    <cellStyle name="Percent 7 2 2 3 4" xfId="8854" xr:uid="{00000000-0005-0000-0000-0000BF940000}"/>
    <cellStyle name="Percent 7 2 2 3 4 2" xfId="8982" xr:uid="{00000000-0005-0000-0000-0000C0940000}"/>
    <cellStyle name="Percent 7 2 2 3 4 2 2" xfId="9238" xr:uid="{00000000-0005-0000-0000-0000C1940000}"/>
    <cellStyle name="Percent 7 2 2 3 4 2 2 2" xfId="9806" xr:uid="{00000000-0005-0000-0000-0000C2940000}"/>
    <cellStyle name="Percent 7 2 2 3 4 2 2 2 2" xfId="10860" xr:uid="{00000000-0005-0000-0000-0000C3940000}"/>
    <cellStyle name="Percent 7 2 2 3 4 2 2 2 2 2" xfId="14454" xr:uid="{00000000-0005-0000-0000-0000C4940000}"/>
    <cellStyle name="Percent 7 2 2 3 4 2 2 2 2 3" xfId="16609" xr:uid="{00000000-0005-0000-0000-0000C5940000}"/>
    <cellStyle name="Percent 7 2 2 3 4 2 2 2 3" xfId="13401" xr:uid="{00000000-0005-0000-0000-0000C6940000}"/>
    <cellStyle name="Percent 7 2 2 3 4 2 2 2 4" xfId="16608" xr:uid="{00000000-0005-0000-0000-0000C7940000}"/>
    <cellStyle name="Percent 7 2 2 3 4 2 2 3" xfId="10322" xr:uid="{00000000-0005-0000-0000-0000C8940000}"/>
    <cellStyle name="Percent 7 2 2 3 4 2 2 3 2" xfId="13916" xr:uid="{00000000-0005-0000-0000-0000C9940000}"/>
    <cellStyle name="Percent 7 2 2 3 4 2 2 3 3" xfId="16610" xr:uid="{00000000-0005-0000-0000-0000CA940000}"/>
    <cellStyle name="Percent 7 2 2 3 4 2 2 4" xfId="11181" xr:uid="{00000000-0005-0000-0000-0000CB940000}"/>
    <cellStyle name="Percent 7 2 2 3 4 2 2 4 2" xfId="14773" xr:uid="{00000000-0005-0000-0000-0000CC940000}"/>
    <cellStyle name="Percent 7 2 2 3 4 2 2 4 3" xfId="16611" xr:uid="{00000000-0005-0000-0000-0000CD940000}"/>
    <cellStyle name="Percent 7 2 2 3 4 2 2 5" xfId="12863" xr:uid="{00000000-0005-0000-0000-0000CE940000}"/>
    <cellStyle name="Percent 7 2 2 3 4 2 2 6" xfId="16607" xr:uid="{00000000-0005-0000-0000-0000CF940000}"/>
    <cellStyle name="Percent 7 2 2 3 4 2 3" xfId="9550" xr:uid="{00000000-0005-0000-0000-0000D0940000}"/>
    <cellStyle name="Percent 7 2 2 3 4 2 3 2" xfId="10604" xr:uid="{00000000-0005-0000-0000-0000D1940000}"/>
    <cellStyle name="Percent 7 2 2 3 4 2 3 2 2" xfId="14198" xr:uid="{00000000-0005-0000-0000-0000D2940000}"/>
    <cellStyle name="Percent 7 2 2 3 4 2 3 2 3" xfId="16613" xr:uid="{00000000-0005-0000-0000-0000D3940000}"/>
    <cellStyle name="Percent 7 2 2 3 4 2 3 3" xfId="13145" xr:uid="{00000000-0005-0000-0000-0000D4940000}"/>
    <cellStyle name="Percent 7 2 2 3 4 2 3 4" xfId="16612" xr:uid="{00000000-0005-0000-0000-0000D5940000}"/>
    <cellStyle name="Percent 7 2 2 3 4 2 4" xfId="10066" xr:uid="{00000000-0005-0000-0000-0000D6940000}"/>
    <cellStyle name="Percent 7 2 2 3 4 2 4 2" xfId="13660" xr:uid="{00000000-0005-0000-0000-0000D7940000}"/>
    <cellStyle name="Percent 7 2 2 3 4 2 4 3" xfId="16614" xr:uid="{00000000-0005-0000-0000-0000D8940000}"/>
    <cellStyle name="Percent 7 2 2 3 4 2 5" xfId="11180" xr:uid="{00000000-0005-0000-0000-0000D9940000}"/>
    <cellStyle name="Percent 7 2 2 3 4 2 5 2" xfId="14772" xr:uid="{00000000-0005-0000-0000-0000DA940000}"/>
    <cellStyle name="Percent 7 2 2 3 4 2 5 3" xfId="16615" xr:uid="{00000000-0005-0000-0000-0000DB940000}"/>
    <cellStyle name="Percent 7 2 2 3 4 2 6" xfId="12607" xr:uid="{00000000-0005-0000-0000-0000DC940000}"/>
    <cellStyle name="Percent 7 2 2 3 4 2 6 2" xfId="41298" xr:uid="{00000000-0005-0000-0000-0000DD940000}"/>
    <cellStyle name="Percent 7 2 2 3 4 2 7" xfId="16606" xr:uid="{00000000-0005-0000-0000-0000DE940000}"/>
    <cellStyle name="Percent 7 2 2 3 4 3" xfId="9110" xr:uid="{00000000-0005-0000-0000-0000DF940000}"/>
    <cellStyle name="Percent 7 2 2 3 4 3 2" xfId="9678" xr:uid="{00000000-0005-0000-0000-0000E0940000}"/>
    <cellStyle name="Percent 7 2 2 3 4 3 2 2" xfId="10732" xr:uid="{00000000-0005-0000-0000-0000E1940000}"/>
    <cellStyle name="Percent 7 2 2 3 4 3 2 2 2" xfId="14326" xr:uid="{00000000-0005-0000-0000-0000E2940000}"/>
    <cellStyle name="Percent 7 2 2 3 4 3 2 2 3" xfId="16618" xr:uid="{00000000-0005-0000-0000-0000E3940000}"/>
    <cellStyle name="Percent 7 2 2 3 4 3 2 3" xfId="13273" xr:uid="{00000000-0005-0000-0000-0000E4940000}"/>
    <cellStyle name="Percent 7 2 2 3 4 3 2 4" xfId="16617" xr:uid="{00000000-0005-0000-0000-0000E5940000}"/>
    <cellStyle name="Percent 7 2 2 3 4 3 3" xfId="10194" xr:uid="{00000000-0005-0000-0000-0000E6940000}"/>
    <cellStyle name="Percent 7 2 2 3 4 3 3 2" xfId="13788" xr:uid="{00000000-0005-0000-0000-0000E7940000}"/>
    <cellStyle name="Percent 7 2 2 3 4 3 3 3" xfId="16619" xr:uid="{00000000-0005-0000-0000-0000E8940000}"/>
    <cellStyle name="Percent 7 2 2 3 4 3 4" xfId="11182" xr:uid="{00000000-0005-0000-0000-0000E9940000}"/>
    <cellStyle name="Percent 7 2 2 3 4 3 4 2" xfId="14774" xr:uid="{00000000-0005-0000-0000-0000EA940000}"/>
    <cellStyle name="Percent 7 2 2 3 4 3 4 3" xfId="16620" xr:uid="{00000000-0005-0000-0000-0000EB940000}"/>
    <cellStyle name="Percent 7 2 2 3 4 3 5" xfId="12735" xr:uid="{00000000-0005-0000-0000-0000EC940000}"/>
    <cellStyle name="Percent 7 2 2 3 4 3 6" xfId="16616" xr:uid="{00000000-0005-0000-0000-0000ED940000}"/>
    <cellStyle name="Percent 7 2 2 3 4 4" xfId="9422" xr:uid="{00000000-0005-0000-0000-0000EE940000}"/>
    <cellStyle name="Percent 7 2 2 3 4 4 2" xfId="10476" xr:uid="{00000000-0005-0000-0000-0000EF940000}"/>
    <cellStyle name="Percent 7 2 2 3 4 4 2 2" xfId="14070" xr:uid="{00000000-0005-0000-0000-0000F0940000}"/>
    <cellStyle name="Percent 7 2 2 3 4 4 2 3" xfId="16622" xr:uid="{00000000-0005-0000-0000-0000F1940000}"/>
    <cellStyle name="Percent 7 2 2 3 4 4 3" xfId="13017" xr:uid="{00000000-0005-0000-0000-0000F2940000}"/>
    <cellStyle name="Percent 7 2 2 3 4 4 4" xfId="16621" xr:uid="{00000000-0005-0000-0000-0000F3940000}"/>
    <cellStyle name="Percent 7 2 2 3 4 5" xfId="9938" xr:uid="{00000000-0005-0000-0000-0000F4940000}"/>
    <cellStyle name="Percent 7 2 2 3 4 5 2" xfId="13532" xr:uid="{00000000-0005-0000-0000-0000F5940000}"/>
    <cellStyle name="Percent 7 2 2 3 4 5 3" xfId="16623" xr:uid="{00000000-0005-0000-0000-0000F6940000}"/>
    <cellStyle name="Percent 7 2 2 3 4 6" xfId="11179" xr:uid="{00000000-0005-0000-0000-0000F7940000}"/>
    <cellStyle name="Percent 7 2 2 3 4 6 2" xfId="14771" xr:uid="{00000000-0005-0000-0000-0000F8940000}"/>
    <cellStyle name="Percent 7 2 2 3 4 6 3" xfId="16624" xr:uid="{00000000-0005-0000-0000-0000F9940000}"/>
    <cellStyle name="Percent 7 2 2 3 4 7" xfId="12479" xr:uid="{00000000-0005-0000-0000-0000FA940000}"/>
    <cellStyle name="Percent 7 2 2 3 4 7 2" xfId="41297" xr:uid="{00000000-0005-0000-0000-0000FB940000}"/>
    <cellStyle name="Percent 7 2 2 3 4 8" xfId="16605" xr:uid="{00000000-0005-0000-0000-0000FC940000}"/>
    <cellStyle name="Percent 7 2 2 3 5" xfId="8884" xr:uid="{00000000-0005-0000-0000-0000FD940000}"/>
    <cellStyle name="Percent 7 2 2 3 5 2" xfId="9140" xr:uid="{00000000-0005-0000-0000-0000FE940000}"/>
    <cellStyle name="Percent 7 2 2 3 5 2 2" xfId="9708" xr:uid="{00000000-0005-0000-0000-0000FF940000}"/>
    <cellStyle name="Percent 7 2 2 3 5 2 2 2" xfId="10762" xr:uid="{00000000-0005-0000-0000-000000950000}"/>
    <cellStyle name="Percent 7 2 2 3 5 2 2 2 2" xfId="14356" xr:uid="{00000000-0005-0000-0000-000001950000}"/>
    <cellStyle name="Percent 7 2 2 3 5 2 2 2 3" xfId="16628" xr:uid="{00000000-0005-0000-0000-000002950000}"/>
    <cellStyle name="Percent 7 2 2 3 5 2 2 3" xfId="13303" xr:uid="{00000000-0005-0000-0000-000003950000}"/>
    <cellStyle name="Percent 7 2 2 3 5 2 2 4" xfId="16627" xr:uid="{00000000-0005-0000-0000-000004950000}"/>
    <cellStyle name="Percent 7 2 2 3 5 2 3" xfId="10224" xr:uid="{00000000-0005-0000-0000-000005950000}"/>
    <cellStyle name="Percent 7 2 2 3 5 2 3 2" xfId="13818" xr:uid="{00000000-0005-0000-0000-000006950000}"/>
    <cellStyle name="Percent 7 2 2 3 5 2 3 3" xfId="16629" xr:uid="{00000000-0005-0000-0000-000007950000}"/>
    <cellStyle name="Percent 7 2 2 3 5 2 4" xfId="11184" xr:uid="{00000000-0005-0000-0000-000008950000}"/>
    <cellStyle name="Percent 7 2 2 3 5 2 4 2" xfId="14776" xr:uid="{00000000-0005-0000-0000-000009950000}"/>
    <cellStyle name="Percent 7 2 2 3 5 2 4 3" xfId="16630" xr:uid="{00000000-0005-0000-0000-00000A950000}"/>
    <cellStyle name="Percent 7 2 2 3 5 2 5" xfId="12765" xr:uid="{00000000-0005-0000-0000-00000B950000}"/>
    <cellStyle name="Percent 7 2 2 3 5 2 6" xfId="16626" xr:uid="{00000000-0005-0000-0000-00000C950000}"/>
    <cellStyle name="Percent 7 2 2 3 5 3" xfId="9452" xr:uid="{00000000-0005-0000-0000-00000D950000}"/>
    <cellStyle name="Percent 7 2 2 3 5 3 2" xfId="10506" xr:uid="{00000000-0005-0000-0000-00000E950000}"/>
    <cellStyle name="Percent 7 2 2 3 5 3 2 2" xfId="14100" xr:uid="{00000000-0005-0000-0000-00000F950000}"/>
    <cellStyle name="Percent 7 2 2 3 5 3 2 3" xfId="16632" xr:uid="{00000000-0005-0000-0000-000010950000}"/>
    <cellStyle name="Percent 7 2 2 3 5 3 3" xfId="13047" xr:uid="{00000000-0005-0000-0000-000011950000}"/>
    <cellStyle name="Percent 7 2 2 3 5 3 4" xfId="16631" xr:uid="{00000000-0005-0000-0000-000012950000}"/>
    <cellStyle name="Percent 7 2 2 3 5 4" xfId="9968" xr:uid="{00000000-0005-0000-0000-000013950000}"/>
    <cellStyle name="Percent 7 2 2 3 5 4 2" xfId="13562" xr:uid="{00000000-0005-0000-0000-000014950000}"/>
    <cellStyle name="Percent 7 2 2 3 5 4 3" xfId="16633" xr:uid="{00000000-0005-0000-0000-000015950000}"/>
    <cellStyle name="Percent 7 2 2 3 5 5" xfId="11183" xr:uid="{00000000-0005-0000-0000-000016950000}"/>
    <cellStyle name="Percent 7 2 2 3 5 5 2" xfId="14775" xr:uid="{00000000-0005-0000-0000-000017950000}"/>
    <cellStyle name="Percent 7 2 2 3 5 5 3" xfId="16634" xr:uid="{00000000-0005-0000-0000-000018950000}"/>
    <cellStyle name="Percent 7 2 2 3 5 6" xfId="12509" xr:uid="{00000000-0005-0000-0000-000019950000}"/>
    <cellStyle name="Percent 7 2 2 3 5 6 2" xfId="41299" xr:uid="{00000000-0005-0000-0000-00001A950000}"/>
    <cellStyle name="Percent 7 2 2 3 5 7" xfId="16625" xr:uid="{00000000-0005-0000-0000-00001B950000}"/>
    <cellStyle name="Percent 7 2 2 3 6" xfId="9012" xr:uid="{00000000-0005-0000-0000-00001C950000}"/>
    <cellStyle name="Percent 7 2 2 3 6 2" xfId="9580" xr:uid="{00000000-0005-0000-0000-00001D950000}"/>
    <cellStyle name="Percent 7 2 2 3 6 2 2" xfId="10634" xr:uid="{00000000-0005-0000-0000-00001E950000}"/>
    <cellStyle name="Percent 7 2 2 3 6 2 2 2" xfId="14228" xr:uid="{00000000-0005-0000-0000-00001F950000}"/>
    <cellStyle name="Percent 7 2 2 3 6 2 2 3" xfId="16637" xr:uid="{00000000-0005-0000-0000-000020950000}"/>
    <cellStyle name="Percent 7 2 2 3 6 2 3" xfId="13175" xr:uid="{00000000-0005-0000-0000-000021950000}"/>
    <cellStyle name="Percent 7 2 2 3 6 2 4" xfId="16636" xr:uid="{00000000-0005-0000-0000-000022950000}"/>
    <cellStyle name="Percent 7 2 2 3 6 3" xfId="10096" xr:uid="{00000000-0005-0000-0000-000023950000}"/>
    <cellStyle name="Percent 7 2 2 3 6 3 2" xfId="13690" xr:uid="{00000000-0005-0000-0000-000024950000}"/>
    <cellStyle name="Percent 7 2 2 3 6 3 3" xfId="16638" xr:uid="{00000000-0005-0000-0000-000025950000}"/>
    <cellStyle name="Percent 7 2 2 3 6 4" xfId="11185" xr:uid="{00000000-0005-0000-0000-000026950000}"/>
    <cellStyle name="Percent 7 2 2 3 6 4 2" xfId="14777" xr:uid="{00000000-0005-0000-0000-000027950000}"/>
    <cellStyle name="Percent 7 2 2 3 6 4 3" xfId="16639" xr:uid="{00000000-0005-0000-0000-000028950000}"/>
    <cellStyle name="Percent 7 2 2 3 6 5" xfId="12637" xr:uid="{00000000-0005-0000-0000-000029950000}"/>
    <cellStyle name="Percent 7 2 2 3 6 5 2" xfId="41300" xr:uid="{00000000-0005-0000-0000-00002A950000}"/>
    <cellStyle name="Percent 7 2 2 3 6 6" xfId="16635" xr:uid="{00000000-0005-0000-0000-00002B950000}"/>
    <cellStyle name="Percent 7 2 2 3 7" xfId="9324" xr:uid="{00000000-0005-0000-0000-00002C950000}"/>
    <cellStyle name="Percent 7 2 2 3 7 2" xfId="10378" xr:uid="{00000000-0005-0000-0000-00002D950000}"/>
    <cellStyle name="Percent 7 2 2 3 7 2 2" xfId="13972" xr:uid="{00000000-0005-0000-0000-00002E950000}"/>
    <cellStyle name="Percent 7 2 2 3 7 2 3" xfId="16641" xr:uid="{00000000-0005-0000-0000-00002F950000}"/>
    <cellStyle name="Percent 7 2 2 3 7 3" xfId="12919" xr:uid="{00000000-0005-0000-0000-000030950000}"/>
    <cellStyle name="Percent 7 2 2 3 7 4" xfId="16640" xr:uid="{00000000-0005-0000-0000-000031950000}"/>
    <cellStyle name="Percent 7 2 2 3 8" xfId="9840" xr:uid="{00000000-0005-0000-0000-000032950000}"/>
    <cellStyle name="Percent 7 2 2 3 8 2" xfId="13434" xr:uid="{00000000-0005-0000-0000-000033950000}"/>
    <cellStyle name="Percent 7 2 2 3 8 3" xfId="16642" xr:uid="{00000000-0005-0000-0000-000034950000}"/>
    <cellStyle name="Percent 7 2 2 3 9" xfId="11170" xr:uid="{00000000-0005-0000-0000-000035950000}"/>
    <cellStyle name="Percent 7 2 2 3 9 2" xfId="14762" xr:uid="{00000000-0005-0000-0000-000036950000}"/>
    <cellStyle name="Percent 7 2 2 3 9 3" xfId="16643" xr:uid="{00000000-0005-0000-0000-000037950000}"/>
    <cellStyle name="Percent 7 2 2 4" xfId="8774" xr:uid="{00000000-0005-0000-0000-000038950000}"/>
    <cellStyle name="Percent 7 2 2 4 2" xfId="8902" xr:uid="{00000000-0005-0000-0000-000039950000}"/>
    <cellStyle name="Percent 7 2 2 4 2 2" xfId="9158" xr:uid="{00000000-0005-0000-0000-00003A950000}"/>
    <cellStyle name="Percent 7 2 2 4 2 2 2" xfId="9726" xr:uid="{00000000-0005-0000-0000-00003B950000}"/>
    <cellStyle name="Percent 7 2 2 4 2 2 2 2" xfId="10780" xr:uid="{00000000-0005-0000-0000-00003C950000}"/>
    <cellStyle name="Percent 7 2 2 4 2 2 2 2 2" xfId="14374" xr:uid="{00000000-0005-0000-0000-00003D950000}"/>
    <cellStyle name="Percent 7 2 2 4 2 2 2 2 3" xfId="16648" xr:uid="{00000000-0005-0000-0000-00003E950000}"/>
    <cellStyle name="Percent 7 2 2 4 2 2 2 3" xfId="13321" xr:uid="{00000000-0005-0000-0000-00003F950000}"/>
    <cellStyle name="Percent 7 2 2 4 2 2 2 4" xfId="16647" xr:uid="{00000000-0005-0000-0000-000040950000}"/>
    <cellStyle name="Percent 7 2 2 4 2 2 3" xfId="10242" xr:uid="{00000000-0005-0000-0000-000041950000}"/>
    <cellStyle name="Percent 7 2 2 4 2 2 3 2" xfId="13836" xr:uid="{00000000-0005-0000-0000-000042950000}"/>
    <cellStyle name="Percent 7 2 2 4 2 2 3 3" xfId="16649" xr:uid="{00000000-0005-0000-0000-000043950000}"/>
    <cellStyle name="Percent 7 2 2 4 2 2 4" xfId="11188" xr:uid="{00000000-0005-0000-0000-000044950000}"/>
    <cellStyle name="Percent 7 2 2 4 2 2 4 2" xfId="14780" xr:uid="{00000000-0005-0000-0000-000045950000}"/>
    <cellStyle name="Percent 7 2 2 4 2 2 4 3" xfId="16650" xr:uid="{00000000-0005-0000-0000-000046950000}"/>
    <cellStyle name="Percent 7 2 2 4 2 2 5" xfId="12783" xr:uid="{00000000-0005-0000-0000-000047950000}"/>
    <cellStyle name="Percent 7 2 2 4 2 2 5 2" xfId="41303" xr:uid="{00000000-0005-0000-0000-000048950000}"/>
    <cellStyle name="Percent 7 2 2 4 2 2 6" xfId="16646" xr:uid="{00000000-0005-0000-0000-000049950000}"/>
    <cellStyle name="Percent 7 2 2 4 2 3" xfId="9470" xr:uid="{00000000-0005-0000-0000-00004A950000}"/>
    <cellStyle name="Percent 7 2 2 4 2 3 2" xfId="10524" xr:uid="{00000000-0005-0000-0000-00004B950000}"/>
    <cellStyle name="Percent 7 2 2 4 2 3 2 2" xfId="14118" xr:uid="{00000000-0005-0000-0000-00004C950000}"/>
    <cellStyle name="Percent 7 2 2 4 2 3 2 3" xfId="16652" xr:uid="{00000000-0005-0000-0000-00004D950000}"/>
    <cellStyle name="Percent 7 2 2 4 2 3 3" xfId="13065" xr:uid="{00000000-0005-0000-0000-00004E950000}"/>
    <cellStyle name="Percent 7 2 2 4 2 3 4" xfId="16651" xr:uid="{00000000-0005-0000-0000-00004F950000}"/>
    <cellStyle name="Percent 7 2 2 4 2 4" xfId="9986" xr:uid="{00000000-0005-0000-0000-000050950000}"/>
    <cellStyle name="Percent 7 2 2 4 2 4 2" xfId="13580" xr:uid="{00000000-0005-0000-0000-000051950000}"/>
    <cellStyle name="Percent 7 2 2 4 2 4 3" xfId="16653" xr:uid="{00000000-0005-0000-0000-000052950000}"/>
    <cellStyle name="Percent 7 2 2 4 2 5" xfId="11187" xr:uid="{00000000-0005-0000-0000-000053950000}"/>
    <cellStyle name="Percent 7 2 2 4 2 5 2" xfId="14779" xr:uid="{00000000-0005-0000-0000-000054950000}"/>
    <cellStyle name="Percent 7 2 2 4 2 5 3" xfId="16654" xr:uid="{00000000-0005-0000-0000-000055950000}"/>
    <cellStyle name="Percent 7 2 2 4 2 6" xfId="12527" xr:uid="{00000000-0005-0000-0000-000056950000}"/>
    <cellStyle name="Percent 7 2 2 4 2 6 2" xfId="41302" xr:uid="{00000000-0005-0000-0000-000057950000}"/>
    <cellStyle name="Percent 7 2 2 4 2 7" xfId="16645" xr:uid="{00000000-0005-0000-0000-000058950000}"/>
    <cellStyle name="Percent 7 2 2 4 3" xfId="9030" xr:uid="{00000000-0005-0000-0000-000059950000}"/>
    <cellStyle name="Percent 7 2 2 4 3 2" xfId="9598" xr:uid="{00000000-0005-0000-0000-00005A950000}"/>
    <cellStyle name="Percent 7 2 2 4 3 2 2" xfId="10652" xr:uid="{00000000-0005-0000-0000-00005B950000}"/>
    <cellStyle name="Percent 7 2 2 4 3 2 2 2" xfId="14246" xr:uid="{00000000-0005-0000-0000-00005C950000}"/>
    <cellStyle name="Percent 7 2 2 4 3 2 2 3" xfId="16657" xr:uid="{00000000-0005-0000-0000-00005D950000}"/>
    <cellStyle name="Percent 7 2 2 4 3 2 3" xfId="13193" xr:uid="{00000000-0005-0000-0000-00005E950000}"/>
    <cellStyle name="Percent 7 2 2 4 3 2 3 2" xfId="41305" xr:uid="{00000000-0005-0000-0000-00005F950000}"/>
    <cellStyle name="Percent 7 2 2 4 3 2 4" xfId="16656" xr:uid="{00000000-0005-0000-0000-000060950000}"/>
    <cellStyle name="Percent 7 2 2 4 3 3" xfId="10114" xr:uid="{00000000-0005-0000-0000-000061950000}"/>
    <cellStyle name="Percent 7 2 2 4 3 3 2" xfId="13708" xr:uid="{00000000-0005-0000-0000-000062950000}"/>
    <cellStyle name="Percent 7 2 2 4 3 3 3" xfId="16658" xr:uid="{00000000-0005-0000-0000-000063950000}"/>
    <cellStyle name="Percent 7 2 2 4 3 4" xfId="11189" xr:uid="{00000000-0005-0000-0000-000064950000}"/>
    <cellStyle name="Percent 7 2 2 4 3 4 2" xfId="14781" xr:uid="{00000000-0005-0000-0000-000065950000}"/>
    <cellStyle name="Percent 7 2 2 4 3 4 3" xfId="16659" xr:uid="{00000000-0005-0000-0000-000066950000}"/>
    <cellStyle name="Percent 7 2 2 4 3 5" xfId="12655" xr:uid="{00000000-0005-0000-0000-000067950000}"/>
    <cellStyle name="Percent 7 2 2 4 3 5 2" xfId="41304" xr:uid="{00000000-0005-0000-0000-000068950000}"/>
    <cellStyle name="Percent 7 2 2 4 3 6" xfId="16655" xr:uid="{00000000-0005-0000-0000-000069950000}"/>
    <cellStyle name="Percent 7 2 2 4 4" xfId="9342" xr:uid="{00000000-0005-0000-0000-00006A950000}"/>
    <cellStyle name="Percent 7 2 2 4 4 2" xfId="10396" xr:uid="{00000000-0005-0000-0000-00006B950000}"/>
    <cellStyle name="Percent 7 2 2 4 4 2 2" xfId="13990" xr:uid="{00000000-0005-0000-0000-00006C950000}"/>
    <cellStyle name="Percent 7 2 2 4 4 2 2 2" xfId="41307" xr:uid="{00000000-0005-0000-0000-00006D950000}"/>
    <cellStyle name="Percent 7 2 2 4 4 2 3" xfId="16661" xr:uid="{00000000-0005-0000-0000-00006E950000}"/>
    <cellStyle name="Percent 7 2 2 4 4 3" xfId="12937" xr:uid="{00000000-0005-0000-0000-00006F950000}"/>
    <cellStyle name="Percent 7 2 2 4 4 3 2" xfId="41306" xr:uid="{00000000-0005-0000-0000-000070950000}"/>
    <cellStyle name="Percent 7 2 2 4 4 4" xfId="16660" xr:uid="{00000000-0005-0000-0000-000071950000}"/>
    <cellStyle name="Percent 7 2 2 4 5" xfId="9858" xr:uid="{00000000-0005-0000-0000-000072950000}"/>
    <cellStyle name="Percent 7 2 2 4 5 2" xfId="13452" xr:uid="{00000000-0005-0000-0000-000073950000}"/>
    <cellStyle name="Percent 7 2 2 4 5 2 2" xfId="41308" xr:uid="{00000000-0005-0000-0000-000074950000}"/>
    <cellStyle name="Percent 7 2 2 4 5 3" xfId="16662" xr:uid="{00000000-0005-0000-0000-000075950000}"/>
    <cellStyle name="Percent 7 2 2 4 6" xfId="11186" xr:uid="{00000000-0005-0000-0000-000076950000}"/>
    <cellStyle name="Percent 7 2 2 4 6 2" xfId="14778" xr:uid="{00000000-0005-0000-0000-000077950000}"/>
    <cellStyle name="Percent 7 2 2 4 6 2 2" xfId="41309" xr:uid="{00000000-0005-0000-0000-000078950000}"/>
    <cellStyle name="Percent 7 2 2 4 6 3" xfId="16663" xr:uid="{00000000-0005-0000-0000-000079950000}"/>
    <cellStyle name="Percent 7 2 2 4 7" xfId="12399" xr:uid="{00000000-0005-0000-0000-00007A950000}"/>
    <cellStyle name="Percent 7 2 2 4 7 2" xfId="41301" xr:uid="{00000000-0005-0000-0000-00007B950000}"/>
    <cellStyle name="Percent 7 2 2 4 8" xfId="16644" xr:uid="{00000000-0005-0000-0000-00007C950000}"/>
    <cellStyle name="Percent 7 2 2 5" xfId="8806" xr:uid="{00000000-0005-0000-0000-00007D950000}"/>
    <cellStyle name="Percent 7 2 2 5 2" xfId="8934" xr:uid="{00000000-0005-0000-0000-00007E950000}"/>
    <cellStyle name="Percent 7 2 2 5 2 2" xfId="9190" xr:uid="{00000000-0005-0000-0000-00007F950000}"/>
    <cellStyle name="Percent 7 2 2 5 2 2 2" xfId="9758" xr:uid="{00000000-0005-0000-0000-000080950000}"/>
    <cellStyle name="Percent 7 2 2 5 2 2 2 2" xfId="10812" xr:uid="{00000000-0005-0000-0000-000081950000}"/>
    <cellStyle name="Percent 7 2 2 5 2 2 2 2 2" xfId="14406" xr:uid="{00000000-0005-0000-0000-000082950000}"/>
    <cellStyle name="Percent 7 2 2 5 2 2 2 2 3" xfId="16668" xr:uid="{00000000-0005-0000-0000-000083950000}"/>
    <cellStyle name="Percent 7 2 2 5 2 2 2 3" xfId="13353" xr:uid="{00000000-0005-0000-0000-000084950000}"/>
    <cellStyle name="Percent 7 2 2 5 2 2 2 4" xfId="16667" xr:uid="{00000000-0005-0000-0000-000085950000}"/>
    <cellStyle name="Percent 7 2 2 5 2 2 3" xfId="10274" xr:uid="{00000000-0005-0000-0000-000086950000}"/>
    <cellStyle name="Percent 7 2 2 5 2 2 3 2" xfId="13868" xr:uid="{00000000-0005-0000-0000-000087950000}"/>
    <cellStyle name="Percent 7 2 2 5 2 2 3 3" xfId="16669" xr:uid="{00000000-0005-0000-0000-000088950000}"/>
    <cellStyle name="Percent 7 2 2 5 2 2 4" xfId="11192" xr:uid="{00000000-0005-0000-0000-000089950000}"/>
    <cellStyle name="Percent 7 2 2 5 2 2 4 2" xfId="14784" xr:uid="{00000000-0005-0000-0000-00008A950000}"/>
    <cellStyle name="Percent 7 2 2 5 2 2 4 3" xfId="16670" xr:uid="{00000000-0005-0000-0000-00008B950000}"/>
    <cellStyle name="Percent 7 2 2 5 2 2 5" xfId="12815" xr:uid="{00000000-0005-0000-0000-00008C950000}"/>
    <cellStyle name="Percent 7 2 2 5 2 2 5 2" xfId="41312" xr:uid="{00000000-0005-0000-0000-00008D950000}"/>
    <cellStyle name="Percent 7 2 2 5 2 2 6" xfId="16666" xr:uid="{00000000-0005-0000-0000-00008E950000}"/>
    <cellStyle name="Percent 7 2 2 5 2 3" xfId="9502" xr:uid="{00000000-0005-0000-0000-00008F950000}"/>
    <cellStyle name="Percent 7 2 2 5 2 3 2" xfId="10556" xr:uid="{00000000-0005-0000-0000-000090950000}"/>
    <cellStyle name="Percent 7 2 2 5 2 3 2 2" xfId="14150" xr:uid="{00000000-0005-0000-0000-000091950000}"/>
    <cellStyle name="Percent 7 2 2 5 2 3 2 3" xfId="16672" xr:uid="{00000000-0005-0000-0000-000092950000}"/>
    <cellStyle name="Percent 7 2 2 5 2 3 3" xfId="13097" xr:uid="{00000000-0005-0000-0000-000093950000}"/>
    <cellStyle name="Percent 7 2 2 5 2 3 4" xfId="16671" xr:uid="{00000000-0005-0000-0000-000094950000}"/>
    <cellStyle name="Percent 7 2 2 5 2 4" xfId="10018" xr:uid="{00000000-0005-0000-0000-000095950000}"/>
    <cellStyle name="Percent 7 2 2 5 2 4 2" xfId="13612" xr:uid="{00000000-0005-0000-0000-000096950000}"/>
    <cellStyle name="Percent 7 2 2 5 2 4 3" xfId="16673" xr:uid="{00000000-0005-0000-0000-000097950000}"/>
    <cellStyle name="Percent 7 2 2 5 2 5" xfId="11191" xr:uid="{00000000-0005-0000-0000-000098950000}"/>
    <cellStyle name="Percent 7 2 2 5 2 5 2" xfId="14783" xr:uid="{00000000-0005-0000-0000-000099950000}"/>
    <cellStyle name="Percent 7 2 2 5 2 5 3" xfId="16674" xr:uid="{00000000-0005-0000-0000-00009A950000}"/>
    <cellStyle name="Percent 7 2 2 5 2 6" xfId="12559" xr:uid="{00000000-0005-0000-0000-00009B950000}"/>
    <cellStyle name="Percent 7 2 2 5 2 6 2" xfId="41311" xr:uid="{00000000-0005-0000-0000-00009C950000}"/>
    <cellStyle name="Percent 7 2 2 5 2 7" xfId="16665" xr:uid="{00000000-0005-0000-0000-00009D950000}"/>
    <cellStyle name="Percent 7 2 2 5 3" xfId="9062" xr:uid="{00000000-0005-0000-0000-00009E950000}"/>
    <cellStyle name="Percent 7 2 2 5 3 2" xfId="9630" xr:uid="{00000000-0005-0000-0000-00009F950000}"/>
    <cellStyle name="Percent 7 2 2 5 3 2 2" xfId="10684" xr:uid="{00000000-0005-0000-0000-0000A0950000}"/>
    <cellStyle name="Percent 7 2 2 5 3 2 2 2" xfId="14278" xr:uid="{00000000-0005-0000-0000-0000A1950000}"/>
    <cellStyle name="Percent 7 2 2 5 3 2 2 3" xfId="16677" xr:uid="{00000000-0005-0000-0000-0000A2950000}"/>
    <cellStyle name="Percent 7 2 2 5 3 2 3" xfId="13225" xr:uid="{00000000-0005-0000-0000-0000A3950000}"/>
    <cellStyle name="Percent 7 2 2 5 3 2 3 2" xfId="41314" xr:uid="{00000000-0005-0000-0000-0000A4950000}"/>
    <cellStyle name="Percent 7 2 2 5 3 2 4" xfId="16676" xr:uid="{00000000-0005-0000-0000-0000A5950000}"/>
    <cellStyle name="Percent 7 2 2 5 3 3" xfId="10146" xr:uid="{00000000-0005-0000-0000-0000A6950000}"/>
    <cellStyle name="Percent 7 2 2 5 3 3 2" xfId="13740" xr:uid="{00000000-0005-0000-0000-0000A7950000}"/>
    <cellStyle name="Percent 7 2 2 5 3 3 3" xfId="16678" xr:uid="{00000000-0005-0000-0000-0000A8950000}"/>
    <cellStyle name="Percent 7 2 2 5 3 4" xfId="11193" xr:uid="{00000000-0005-0000-0000-0000A9950000}"/>
    <cellStyle name="Percent 7 2 2 5 3 4 2" xfId="14785" xr:uid="{00000000-0005-0000-0000-0000AA950000}"/>
    <cellStyle name="Percent 7 2 2 5 3 4 3" xfId="16679" xr:uid="{00000000-0005-0000-0000-0000AB950000}"/>
    <cellStyle name="Percent 7 2 2 5 3 5" xfId="12687" xr:uid="{00000000-0005-0000-0000-0000AC950000}"/>
    <cellStyle name="Percent 7 2 2 5 3 5 2" xfId="41313" xr:uid="{00000000-0005-0000-0000-0000AD950000}"/>
    <cellStyle name="Percent 7 2 2 5 3 6" xfId="16675" xr:uid="{00000000-0005-0000-0000-0000AE950000}"/>
    <cellStyle name="Percent 7 2 2 5 4" xfId="9374" xr:uid="{00000000-0005-0000-0000-0000AF950000}"/>
    <cellStyle name="Percent 7 2 2 5 4 2" xfId="10428" xr:uid="{00000000-0005-0000-0000-0000B0950000}"/>
    <cellStyle name="Percent 7 2 2 5 4 2 2" xfId="14022" xr:uid="{00000000-0005-0000-0000-0000B1950000}"/>
    <cellStyle name="Percent 7 2 2 5 4 2 2 2" xfId="41316" xr:uid="{00000000-0005-0000-0000-0000B2950000}"/>
    <cellStyle name="Percent 7 2 2 5 4 2 3" xfId="16681" xr:uid="{00000000-0005-0000-0000-0000B3950000}"/>
    <cellStyle name="Percent 7 2 2 5 4 3" xfId="12969" xr:uid="{00000000-0005-0000-0000-0000B4950000}"/>
    <cellStyle name="Percent 7 2 2 5 4 3 2" xfId="41315" xr:uid="{00000000-0005-0000-0000-0000B5950000}"/>
    <cellStyle name="Percent 7 2 2 5 4 4" xfId="16680" xr:uid="{00000000-0005-0000-0000-0000B6950000}"/>
    <cellStyle name="Percent 7 2 2 5 5" xfId="9890" xr:uid="{00000000-0005-0000-0000-0000B7950000}"/>
    <cellStyle name="Percent 7 2 2 5 5 2" xfId="13484" xr:uid="{00000000-0005-0000-0000-0000B8950000}"/>
    <cellStyle name="Percent 7 2 2 5 5 2 2" xfId="41317" xr:uid="{00000000-0005-0000-0000-0000B9950000}"/>
    <cellStyle name="Percent 7 2 2 5 5 3" xfId="16682" xr:uid="{00000000-0005-0000-0000-0000BA950000}"/>
    <cellStyle name="Percent 7 2 2 5 6" xfId="11190" xr:uid="{00000000-0005-0000-0000-0000BB950000}"/>
    <cellStyle name="Percent 7 2 2 5 6 2" xfId="14782" xr:uid="{00000000-0005-0000-0000-0000BC950000}"/>
    <cellStyle name="Percent 7 2 2 5 6 2 2" xfId="41318" xr:uid="{00000000-0005-0000-0000-0000BD950000}"/>
    <cellStyle name="Percent 7 2 2 5 6 3" xfId="16683" xr:uid="{00000000-0005-0000-0000-0000BE950000}"/>
    <cellStyle name="Percent 7 2 2 5 7" xfId="12431" xr:uid="{00000000-0005-0000-0000-0000BF950000}"/>
    <cellStyle name="Percent 7 2 2 5 7 2" xfId="41310" xr:uid="{00000000-0005-0000-0000-0000C0950000}"/>
    <cellStyle name="Percent 7 2 2 5 8" xfId="16664" xr:uid="{00000000-0005-0000-0000-0000C1950000}"/>
    <cellStyle name="Percent 7 2 2 6" xfId="8838" xr:uid="{00000000-0005-0000-0000-0000C2950000}"/>
    <cellStyle name="Percent 7 2 2 6 2" xfId="8966" xr:uid="{00000000-0005-0000-0000-0000C3950000}"/>
    <cellStyle name="Percent 7 2 2 6 2 2" xfId="9222" xr:uid="{00000000-0005-0000-0000-0000C4950000}"/>
    <cellStyle name="Percent 7 2 2 6 2 2 2" xfId="9790" xr:uid="{00000000-0005-0000-0000-0000C5950000}"/>
    <cellStyle name="Percent 7 2 2 6 2 2 2 2" xfId="10844" xr:uid="{00000000-0005-0000-0000-0000C6950000}"/>
    <cellStyle name="Percent 7 2 2 6 2 2 2 2 2" xfId="14438" xr:uid="{00000000-0005-0000-0000-0000C7950000}"/>
    <cellStyle name="Percent 7 2 2 6 2 2 2 2 3" xfId="16688" xr:uid="{00000000-0005-0000-0000-0000C8950000}"/>
    <cellStyle name="Percent 7 2 2 6 2 2 2 3" xfId="13385" xr:uid="{00000000-0005-0000-0000-0000C9950000}"/>
    <cellStyle name="Percent 7 2 2 6 2 2 2 4" xfId="16687" xr:uid="{00000000-0005-0000-0000-0000CA950000}"/>
    <cellStyle name="Percent 7 2 2 6 2 2 3" xfId="10306" xr:uid="{00000000-0005-0000-0000-0000CB950000}"/>
    <cellStyle name="Percent 7 2 2 6 2 2 3 2" xfId="13900" xr:uid="{00000000-0005-0000-0000-0000CC950000}"/>
    <cellStyle name="Percent 7 2 2 6 2 2 3 3" xfId="16689" xr:uid="{00000000-0005-0000-0000-0000CD950000}"/>
    <cellStyle name="Percent 7 2 2 6 2 2 4" xfId="11196" xr:uid="{00000000-0005-0000-0000-0000CE950000}"/>
    <cellStyle name="Percent 7 2 2 6 2 2 4 2" xfId="14788" xr:uid="{00000000-0005-0000-0000-0000CF950000}"/>
    <cellStyle name="Percent 7 2 2 6 2 2 4 3" xfId="16690" xr:uid="{00000000-0005-0000-0000-0000D0950000}"/>
    <cellStyle name="Percent 7 2 2 6 2 2 5" xfId="12847" xr:uid="{00000000-0005-0000-0000-0000D1950000}"/>
    <cellStyle name="Percent 7 2 2 6 2 2 5 2" xfId="41321" xr:uid="{00000000-0005-0000-0000-0000D2950000}"/>
    <cellStyle name="Percent 7 2 2 6 2 2 6" xfId="16686" xr:uid="{00000000-0005-0000-0000-0000D3950000}"/>
    <cellStyle name="Percent 7 2 2 6 2 3" xfId="9534" xr:uid="{00000000-0005-0000-0000-0000D4950000}"/>
    <cellStyle name="Percent 7 2 2 6 2 3 2" xfId="10588" xr:uid="{00000000-0005-0000-0000-0000D5950000}"/>
    <cellStyle name="Percent 7 2 2 6 2 3 2 2" xfId="14182" xr:uid="{00000000-0005-0000-0000-0000D6950000}"/>
    <cellStyle name="Percent 7 2 2 6 2 3 2 3" xfId="16692" xr:uid="{00000000-0005-0000-0000-0000D7950000}"/>
    <cellStyle name="Percent 7 2 2 6 2 3 3" xfId="13129" xr:uid="{00000000-0005-0000-0000-0000D8950000}"/>
    <cellStyle name="Percent 7 2 2 6 2 3 4" xfId="16691" xr:uid="{00000000-0005-0000-0000-0000D9950000}"/>
    <cellStyle name="Percent 7 2 2 6 2 4" xfId="10050" xr:uid="{00000000-0005-0000-0000-0000DA950000}"/>
    <cellStyle name="Percent 7 2 2 6 2 4 2" xfId="13644" xr:uid="{00000000-0005-0000-0000-0000DB950000}"/>
    <cellStyle name="Percent 7 2 2 6 2 4 3" xfId="16693" xr:uid="{00000000-0005-0000-0000-0000DC950000}"/>
    <cellStyle name="Percent 7 2 2 6 2 5" xfId="11195" xr:uid="{00000000-0005-0000-0000-0000DD950000}"/>
    <cellStyle name="Percent 7 2 2 6 2 5 2" xfId="14787" xr:uid="{00000000-0005-0000-0000-0000DE950000}"/>
    <cellStyle name="Percent 7 2 2 6 2 5 3" xfId="16694" xr:uid="{00000000-0005-0000-0000-0000DF950000}"/>
    <cellStyle name="Percent 7 2 2 6 2 6" xfId="12591" xr:uid="{00000000-0005-0000-0000-0000E0950000}"/>
    <cellStyle name="Percent 7 2 2 6 2 6 2" xfId="41320" xr:uid="{00000000-0005-0000-0000-0000E1950000}"/>
    <cellStyle name="Percent 7 2 2 6 2 7" xfId="16685" xr:uid="{00000000-0005-0000-0000-0000E2950000}"/>
    <cellStyle name="Percent 7 2 2 6 3" xfId="9094" xr:uid="{00000000-0005-0000-0000-0000E3950000}"/>
    <cellStyle name="Percent 7 2 2 6 3 2" xfId="9662" xr:uid="{00000000-0005-0000-0000-0000E4950000}"/>
    <cellStyle name="Percent 7 2 2 6 3 2 2" xfId="10716" xr:uid="{00000000-0005-0000-0000-0000E5950000}"/>
    <cellStyle name="Percent 7 2 2 6 3 2 2 2" xfId="14310" xr:uid="{00000000-0005-0000-0000-0000E6950000}"/>
    <cellStyle name="Percent 7 2 2 6 3 2 2 3" xfId="16697" xr:uid="{00000000-0005-0000-0000-0000E7950000}"/>
    <cellStyle name="Percent 7 2 2 6 3 2 3" xfId="13257" xr:uid="{00000000-0005-0000-0000-0000E8950000}"/>
    <cellStyle name="Percent 7 2 2 6 3 2 3 2" xfId="41323" xr:uid="{00000000-0005-0000-0000-0000E9950000}"/>
    <cellStyle name="Percent 7 2 2 6 3 2 4" xfId="16696" xr:uid="{00000000-0005-0000-0000-0000EA950000}"/>
    <cellStyle name="Percent 7 2 2 6 3 3" xfId="10178" xr:uid="{00000000-0005-0000-0000-0000EB950000}"/>
    <cellStyle name="Percent 7 2 2 6 3 3 2" xfId="13772" xr:uid="{00000000-0005-0000-0000-0000EC950000}"/>
    <cellStyle name="Percent 7 2 2 6 3 3 3" xfId="16698" xr:uid="{00000000-0005-0000-0000-0000ED950000}"/>
    <cellStyle name="Percent 7 2 2 6 3 4" xfId="11197" xr:uid="{00000000-0005-0000-0000-0000EE950000}"/>
    <cellStyle name="Percent 7 2 2 6 3 4 2" xfId="14789" xr:uid="{00000000-0005-0000-0000-0000EF950000}"/>
    <cellStyle name="Percent 7 2 2 6 3 4 3" xfId="16699" xr:uid="{00000000-0005-0000-0000-0000F0950000}"/>
    <cellStyle name="Percent 7 2 2 6 3 5" xfId="12719" xr:uid="{00000000-0005-0000-0000-0000F1950000}"/>
    <cellStyle name="Percent 7 2 2 6 3 5 2" xfId="41322" xr:uid="{00000000-0005-0000-0000-0000F2950000}"/>
    <cellStyle name="Percent 7 2 2 6 3 6" xfId="16695" xr:uid="{00000000-0005-0000-0000-0000F3950000}"/>
    <cellStyle name="Percent 7 2 2 6 4" xfId="9406" xr:uid="{00000000-0005-0000-0000-0000F4950000}"/>
    <cellStyle name="Percent 7 2 2 6 4 2" xfId="10460" xr:uid="{00000000-0005-0000-0000-0000F5950000}"/>
    <cellStyle name="Percent 7 2 2 6 4 2 2" xfId="14054" xr:uid="{00000000-0005-0000-0000-0000F6950000}"/>
    <cellStyle name="Percent 7 2 2 6 4 2 3" xfId="16701" xr:uid="{00000000-0005-0000-0000-0000F7950000}"/>
    <cellStyle name="Percent 7 2 2 6 4 3" xfId="13001" xr:uid="{00000000-0005-0000-0000-0000F8950000}"/>
    <cellStyle name="Percent 7 2 2 6 4 3 2" xfId="41324" xr:uid="{00000000-0005-0000-0000-0000F9950000}"/>
    <cellStyle name="Percent 7 2 2 6 4 4" xfId="16700" xr:uid="{00000000-0005-0000-0000-0000FA950000}"/>
    <cellStyle name="Percent 7 2 2 6 5" xfId="9922" xr:uid="{00000000-0005-0000-0000-0000FB950000}"/>
    <cellStyle name="Percent 7 2 2 6 5 2" xfId="13516" xr:uid="{00000000-0005-0000-0000-0000FC950000}"/>
    <cellStyle name="Percent 7 2 2 6 5 2 2" xfId="41325" xr:uid="{00000000-0005-0000-0000-0000FD950000}"/>
    <cellStyle name="Percent 7 2 2 6 5 3" xfId="16702" xr:uid="{00000000-0005-0000-0000-0000FE950000}"/>
    <cellStyle name="Percent 7 2 2 6 6" xfId="11194" xr:uid="{00000000-0005-0000-0000-0000FF950000}"/>
    <cellStyle name="Percent 7 2 2 6 6 2" xfId="14786" xr:uid="{00000000-0005-0000-0000-000000960000}"/>
    <cellStyle name="Percent 7 2 2 6 6 3" xfId="16703" xr:uid="{00000000-0005-0000-0000-000001960000}"/>
    <cellStyle name="Percent 7 2 2 6 7" xfId="12463" xr:uid="{00000000-0005-0000-0000-000002960000}"/>
    <cellStyle name="Percent 7 2 2 6 7 2" xfId="41319" xr:uid="{00000000-0005-0000-0000-000003960000}"/>
    <cellStyle name="Percent 7 2 2 6 8" xfId="16684" xr:uid="{00000000-0005-0000-0000-000004960000}"/>
    <cellStyle name="Percent 7 2 2 7" xfId="8881" xr:uid="{00000000-0005-0000-0000-000005960000}"/>
    <cellStyle name="Percent 7 2 2 7 2" xfId="9137" xr:uid="{00000000-0005-0000-0000-000006960000}"/>
    <cellStyle name="Percent 7 2 2 7 2 2" xfId="9705" xr:uid="{00000000-0005-0000-0000-000007960000}"/>
    <cellStyle name="Percent 7 2 2 7 2 2 2" xfId="10759" xr:uid="{00000000-0005-0000-0000-000008960000}"/>
    <cellStyle name="Percent 7 2 2 7 2 2 2 2" xfId="14353" xr:uid="{00000000-0005-0000-0000-000009960000}"/>
    <cellStyle name="Percent 7 2 2 7 2 2 2 3" xfId="16707" xr:uid="{00000000-0005-0000-0000-00000A960000}"/>
    <cellStyle name="Percent 7 2 2 7 2 2 3" xfId="13300" xr:uid="{00000000-0005-0000-0000-00000B960000}"/>
    <cellStyle name="Percent 7 2 2 7 2 2 4" xfId="16706" xr:uid="{00000000-0005-0000-0000-00000C960000}"/>
    <cellStyle name="Percent 7 2 2 7 2 3" xfId="10221" xr:uid="{00000000-0005-0000-0000-00000D960000}"/>
    <cellStyle name="Percent 7 2 2 7 2 3 2" xfId="13815" xr:uid="{00000000-0005-0000-0000-00000E960000}"/>
    <cellStyle name="Percent 7 2 2 7 2 3 3" xfId="16708" xr:uid="{00000000-0005-0000-0000-00000F960000}"/>
    <cellStyle name="Percent 7 2 2 7 2 4" xfId="11199" xr:uid="{00000000-0005-0000-0000-000010960000}"/>
    <cellStyle name="Percent 7 2 2 7 2 4 2" xfId="14791" xr:uid="{00000000-0005-0000-0000-000011960000}"/>
    <cellStyle name="Percent 7 2 2 7 2 4 3" xfId="16709" xr:uid="{00000000-0005-0000-0000-000012960000}"/>
    <cellStyle name="Percent 7 2 2 7 2 5" xfId="12762" xr:uid="{00000000-0005-0000-0000-000013960000}"/>
    <cellStyle name="Percent 7 2 2 7 2 5 2" xfId="41327" xr:uid="{00000000-0005-0000-0000-000014960000}"/>
    <cellStyle name="Percent 7 2 2 7 2 6" xfId="16705" xr:uid="{00000000-0005-0000-0000-000015960000}"/>
    <cellStyle name="Percent 7 2 2 7 3" xfId="9449" xr:uid="{00000000-0005-0000-0000-000016960000}"/>
    <cellStyle name="Percent 7 2 2 7 3 2" xfId="10503" xr:uid="{00000000-0005-0000-0000-000017960000}"/>
    <cellStyle name="Percent 7 2 2 7 3 2 2" xfId="14097" xr:uid="{00000000-0005-0000-0000-000018960000}"/>
    <cellStyle name="Percent 7 2 2 7 3 2 3" xfId="16711" xr:uid="{00000000-0005-0000-0000-000019960000}"/>
    <cellStyle name="Percent 7 2 2 7 3 3" xfId="13044" xr:uid="{00000000-0005-0000-0000-00001A960000}"/>
    <cellStyle name="Percent 7 2 2 7 3 4" xfId="16710" xr:uid="{00000000-0005-0000-0000-00001B960000}"/>
    <cellStyle name="Percent 7 2 2 7 4" xfId="9965" xr:uid="{00000000-0005-0000-0000-00001C960000}"/>
    <cellStyle name="Percent 7 2 2 7 4 2" xfId="13559" xr:uid="{00000000-0005-0000-0000-00001D960000}"/>
    <cellStyle name="Percent 7 2 2 7 4 3" xfId="16712" xr:uid="{00000000-0005-0000-0000-00001E960000}"/>
    <cellStyle name="Percent 7 2 2 7 5" xfId="11198" xr:uid="{00000000-0005-0000-0000-00001F960000}"/>
    <cellStyle name="Percent 7 2 2 7 5 2" xfId="14790" xr:uid="{00000000-0005-0000-0000-000020960000}"/>
    <cellStyle name="Percent 7 2 2 7 5 3" xfId="16713" xr:uid="{00000000-0005-0000-0000-000021960000}"/>
    <cellStyle name="Percent 7 2 2 7 6" xfId="12506" xr:uid="{00000000-0005-0000-0000-000022960000}"/>
    <cellStyle name="Percent 7 2 2 7 6 2" xfId="41326" xr:uid="{00000000-0005-0000-0000-000023960000}"/>
    <cellStyle name="Percent 7 2 2 7 7" xfId="16704" xr:uid="{00000000-0005-0000-0000-000024960000}"/>
    <cellStyle name="Percent 7 2 2 8" xfId="9009" xr:uid="{00000000-0005-0000-0000-000025960000}"/>
    <cellStyle name="Percent 7 2 2 8 2" xfId="9577" xr:uid="{00000000-0005-0000-0000-000026960000}"/>
    <cellStyle name="Percent 7 2 2 8 2 2" xfId="10631" xr:uid="{00000000-0005-0000-0000-000027960000}"/>
    <cellStyle name="Percent 7 2 2 8 2 2 2" xfId="14225" xr:uid="{00000000-0005-0000-0000-000028960000}"/>
    <cellStyle name="Percent 7 2 2 8 2 2 3" xfId="16716" xr:uid="{00000000-0005-0000-0000-000029960000}"/>
    <cellStyle name="Percent 7 2 2 8 2 3" xfId="13172" xr:uid="{00000000-0005-0000-0000-00002A960000}"/>
    <cellStyle name="Percent 7 2 2 8 2 3 2" xfId="41329" xr:uid="{00000000-0005-0000-0000-00002B960000}"/>
    <cellStyle name="Percent 7 2 2 8 2 4" xfId="16715" xr:uid="{00000000-0005-0000-0000-00002C960000}"/>
    <cellStyle name="Percent 7 2 2 8 3" xfId="10093" xr:uid="{00000000-0005-0000-0000-00002D960000}"/>
    <cellStyle name="Percent 7 2 2 8 3 2" xfId="13687" xr:uid="{00000000-0005-0000-0000-00002E960000}"/>
    <cellStyle name="Percent 7 2 2 8 3 3" xfId="16717" xr:uid="{00000000-0005-0000-0000-00002F960000}"/>
    <cellStyle name="Percent 7 2 2 8 4" xfId="11200" xr:uid="{00000000-0005-0000-0000-000030960000}"/>
    <cellStyle name="Percent 7 2 2 8 4 2" xfId="14792" xr:uid="{00000000-0005-0000-0000-000031960000}"/>
    <cellStyle name="Percent 7 2 2 8 4 3" xfId="16718" xr:uid="{00000000-0005-0000-0000-000032960000}"/>
    <cellStyle name="Percent 7 2 2 8 5" xfId="12634" xr:uid="{00000000-0005-0000-0000-000033960000}"/>
    <cellStyle name="Percent 7 2 2 8 5 2" xfId="41328" xr:uid="{00000000-0005-0000-0000-000034960000}"/>
    <cellStyle name="Percent 7 2 2 8 6" xfId="16714" xr:uid="{00000000-0005-0000-0000-000035960000}"/>
    <cellStyle name="Percent 7 2 2 9" xfId="9321" xr:uid="{00000000-0005-0000-0000-000036960000}"/>
    <cellStyle name="Percent 7 2 2 9 2" xfId="10375" xr:uid="{00000000-0005-0000-0000-000037960000}"/>
    <cellStyle name="Percent 7 2 2 9 2 2" xfId="13969" xr:uid="{00000000-0005-0000-0000-000038960000}"/>
    <cellStyle name="Percent 7 2 2 9 2 2 2" xfId="41331" xr:uid="{00000000-0005-0000-0000-000039960000}"/>
    <cellStyle name="Percent 7 2 2 9 2 3" xfId="16720" xr:uid="{00000000-0005-0000-0000-00003A960000}"/>
    <cellStyle name="Percent 7 2 2 9 3" xfId="12916" xr:uid="{00000000-0005-0000-0000-00003B960000}"/>
    <cellStyle name="Percent 7 2 2 9 3 2" xfId="41330" xr:uid="{00000000-0005-0000-0000-00003C960000}"/>
    <cellStyle name="Percent 7 2 2 9 4" xfId="16719" xr:uid="{00000000-0005-0000-0000-00003D960000}"/>
    <cellStyle name="Percent 7 2 3" xfId="8754" xr:uid="{00000000-0005-0000-0000-00003E960000}"/>
    <cellStyle name="Percent 7 2 3 10" xfId="11201" xr:uid="{00000000-0005-0000-0000-00003F960000}"/>
    <cellStyle name="Percent 7 2 3 10 2" xfId="14793" xr:uid="{00000000-0005-0000-0000-000040960000}"/>
    <cellStyle name="Percent 7 2 3 10 2 2" xfId="41333" xr:uid="{00000000-0005-0000-0000-000041960000}"/>
    <cellStyle name="Percent 7 2 3 10 3" xfId="16722" xr:uid="{00000000-0005-0000-0000-000042960000}"/>
    <cellStyle name="Percent 7 2 3 11" xfId="12382" xr:uid="{00000000-0005-0000-0000-000043960000}"/>
    <cellStyle name="Percent 7 2 3 11 2" xfId="41332" xr:uid="{00000000-0005-0000-0000-000044960000}"/>
    <cellStyle name="Percent 7 2 3 12" xfId="16721" xr:uid="{00000000-0005-0000-0000-000045960000}"/>
    <cellStyle name="Percent 7 2 3 2" xfId="8755" xr:uid="{00000000-0005-0000-0000-000046960000}"/>
    <cellStyle name="Percent 7 2 3 2 10" xfId="12383" xr:uid="{00000000-0005-0000-0000-000047960000}"/>
    <cellStyle name="Percent 7 2 3 2 10 2" xfId="41334" xr:uid="{00000000-0005-0000-0000-000048960000}"/>
    <cellStyle name="Percent 7 2 3 2 11" xfId="16723" xr:uid="{00000000-0005-0000-0000-000049960000}"/>
    <cellStyle name="Percent 7 2 3 2 2" xfId="8794" xr:uid="{00000000-0005-0000-0000-00004A960000}"/>
    <cellStyle name="Percent 7 2 3 2 2 2" xfId="8922" xr:uid="{00000000-0005-0000-0000-00004B960000}"/>
    <cellStyle name="Percent 7 2 3 2 2 2 2" xfId="9178" xr:uid="{00000000-0005-0000-0000-00004C960000}"/>
    <cellStyle name="Percent 7 2 3 2 2 2 2 2" xfId="9746" xr:uid="{00000000-0005-0000-0000-00004D960000}"/>
    <cellStyle name="Percent 7 2 3 2 2 2 2 2 2" xfId="10800" xr:uid="{00000000-0005-0000-0000-00004E960000}"/>
    <cellStyle name="Percent 7 2 3 2 2 2 2 2 2 2" xfId="14394" xr:uid="{00000000-0005-0000-0000-00004F960000}"/>
    <cellStyle name="Percent 7 2 3 2 2 2 2 2 2 3" xfId="16728" xr:uid="{00000000-0005-0000-0000-000050960000}"/>
    <cellStyle name="Percent 7 2 3 2 2 2 2 2 3" xfId="13341" xr:uid="{00000000-0005-0000-0000-000051960000}"/>
    <cellStyle name="Percent 7 2 3 2 2 2 2 2 4" xfId="16727" xr:uid="{00000000-0005-0000-0000-000052960000}"/>
    <cellStyle name="Percent 7 2 3 2 2 2 2 3" xfId="10262" xr:uid="{00000000-0005-0000-0000-000053960000}"/>
    <cellStyle name="Percent 7 2 3 2 2 2 2 3 2" xfId="13856" xr:uid="{00000000-0005-0000-0000-000054960000}"/>
    <cellStyle name="Percent 7 2 3 2 2 2 2 3 3" xfId="16729" xr:uid="{00000000-0005-0000-0000-000055960000}"/>
    <cellStyle name="Percent 7 2 3 2 2 2 2 4" xfId="11205" xr:uid="{00000000-0005-0000-0000-000056960000}"/>
    <cellStyle name="Percent 7 2 3 2 2 2 2 4 2" xfId="14797" xr:uid="{00000000-0005-0000-0000-000057960000}"/>
    <cellStyle name="Percent 7 2 3 2 2 2 2 4 3" xfId="16730" xr:uid="{00000000-0005-0000-0000-000058960000}"/>
    <cellStyle name="Percent 7 2 3 2 2 2 2 5" xfId="12803" xr:uid="{00000000-0005-0000-0000-000059960000}"/>
    <cellStyle name="Percent 7 2 3 2 2 2 2 6" xfId="16726" xr:uid="{00000000-0005-0000-0000-00005A960000}"/>
    <cellStyle name="Percent 7 2 3 2 2 2 3" xfId="9490" xr:uid="{00000000-0005-0000-0000-00005B960000}"/>
    <cellStyle name="Percent 7 2 3 2 2 2 3 2" xfId="10544" xr:uid="{00000000-0005-0000-0000-00005C960000}"/>
    <cellStyle name="Percent 7 2 3 2 2 2 3 2 2" xfId="14138" xr:uid="{00000000-0005-0000-0000-00005D960000}"/>
    <cellStyle name="Percent 7 2 3 2 2 2 3 2 3" xfId="16732" xr:uid="{00000000-0005-0000-0000-00005E960000}"/>
    <cellStyle name="Percent 7 2 3 2 2 2 3 3" xfId="13085" xr:uid="{00000000-0005-0000-0000-00005F960000}"/>
    <cellStyle name="Percent 7 2 3 2 2 2 3 4" xfId="16731" xr:uid="{00000000-0005-0000-0000-000060960000}"/>
    <cellStyle name="Percent 7 2 3 2 2 2 4" xfId="10006" xr:uid="{00000000-0005-0000-0000-000061960000}"/>
    <cellStyle name="Percent 7 2 3 2 2 2 4 2" xfId="13600" xr:uid="{00000000-0005-0000-0000-000062960000}"/>
    <cellStyle name="Percent 7 2 3 2 2 2 4 3" xfId="16733" xr:uid="{00000000-0005-0000-0000-000063960000}"/>
    <cellStyle name="Percent 7 2 3 2 2 2 5" xfId="11204" xr:uid="{00000000-0005-0000-0000-000064960000}"/>
    <cellStyle name="Percent 7 2 3 2 2 2 5 2" xfId="14796" xr:uid="{00000000-0005-0000-0000-000065960000}"/>
    <cellStyle name="Percent 7 2 3 2 2 2 5 3" xfId="16734" xr:uid="{00000000-0005-0000-0000-000066960000}"/>
    <cellStyle name="Percent 7 2 3 2 2 2 6" xfId="12547" xr:uid="{00000000-0005-0000-0000-000067960000}"/>
    <cellStyle name="Percent 7 2 3 2 2 2 6 2" xfId="41336" xr:uid="{00000000-0005-0000-0000-000068960000}"/>
    <cellStyle name="Percent 7 2 3 2 2 2 7" xfId="16725" xr:uid="{00000000-0005-0000-0000-000069960000}"/>
    <cellStyle name="Percent 7 2 3 2 2 3" xfId="9050" xr:uid="{00000000-0005-0000-0000-00006A960000}"/>
    <cellStyle name="Percent 7 2 3 2 2 3 2" xfId="9618" xr:uid="{00000000-0005-0000-0000-00006B960000}"/>
    <cellStyle name="Percent 7 2 3 2 2 3 2 2" xfId="10672" xr:uid="{00000000-0005-0000-0000-00006C960000}"/>
    <cellStyle name="Percent 7 2 3 2 2 3 2 2 2" xfId="14266" xr:uid="{00000000-0005-0000-0000-00006D960000}"/>
    <cellStyle name="Percent 7 2 3 2 2 3 2 2 3" xfId="16737" xr:uid="{00000000-0005-0000-0000-00006E960000}"/>
    <cellStyle name="Percent 7 2 3 2 2 3 2 3" xfId="13213" xr:uid="{00000000-0005-0000-0000-00006F960000}"/>
    <cellStyle name="Percent 7 2 3 2 2 3 2 4" xfId="16736" xr:uid="{00000000-0005-0000-0000-000070960000}"/>
    <cellStyle name="Percent 7 2 3 2 2 3 3" xfId="10134" xr:uid="{00000000-0005-0000-0000-000071960000}"/>
    <cellStyle name="Percent 7 2 3 2 2 3 3 2" xfId="13728" xr:uid="{00000000-0005-0000-0000-000072960000}"/>
    <cellStyle name="Percent 7 2 3 2 2 3 3 3" xfId="16738" xr:uid="{00000000-0005-0000-0000-000073960000}"/>
    <cellStyle name="Percent 7 2 3 2 2 3 4" xfId="11206" xr:uid="{00000000-0005-0000-0000-000074960000}"/>
    <cellStyle name="Percent 7 2 3 2 2 3 4 2" xfId="14798" xr:uid="{00000000-0005-0000-0000-000075960000}"/>
    <cellStyle name="Percent 7 2 3 2 2 3 4 3" xfId="16739" xr:uid="{00000000-0005-0000-0000-000076960000}"/>
    <cellStyle name="Percent 7 2 3 2 2 3 5" xfId="12675" xr:uid="{00000000-0005-0000-0000-000077960000}"/>
    <cellStyle name="Percent 7 2 3 2 2 3 6" xfId="16735" xr:uid="{00000000-0005-0000-0000-000078960000}"/>
    <cellStyle name="Percent 7 2 3 2 2 4" xfId="9362" xr:uid="{00000000-0005-0000-0000-000079960000}"/>
    <cellStyle name="Percent 7 2 3 2 2 4 2" xfId="10416" xr:uid="{00000000-0005-0000-0000-00007A960000}"/>
    <cellStyle name="Percent 7 2 3 2 2 4 2 2" xfId="14010" xr:uid="{00000000-0005-0000-0000-00007B960000}"/>
    <cellStyle name="Percent 7 2 3 2 2 4 2 3" xfId="16741" xr:uid="{00000000-0005-0000-0000-00007C960000}"/>
    <cellStyle name="Percent 7 2 3 2 2 4 3" xfId="12957" xr:uid="{00000000-0005-0000-0000-00007D960000}"/>
    <cellStyle name="Percent 7 2 3 2 2 4 4" xfId="16740" xr:uid="{00000000-0005-0000-0000-00007E960000}"/>
    <cellStyle name="Percent 7 2 3 2 2 5" xfId="9878" xr:uid="{00000000-0005-0000-0000-00007F960000}"/>
    <cellStyle name="Percent 7 2 3 2 2 5 2" xfId="13472" xr:uid="{00000000-0005-0000-0000-000080960000}"/>
    <cellStyle name="Percent 7 2 3 2 2 5 3" xfId="16742" xr:uid="{00000000-0005-0000-0000-000081960000}"/>
    <cellStyle name="Percent 7 2 3 2 2 6" xfId="11203" xr:uid="{00000000-0005-0000-0000-000082960000}"/>
    <cellStyle name="Percent 7 2 3 2 2 6 2" xfId="14795" xr:uid="{00000000-0005-0000-0000-000083960000}"/>
    <cellStyle name="Percent 7 2 3 2 2 6 3" xfId="16743" xr:uid="{00000000-0005-0000-0000-000084960000}"/>
    <cellStyle name="Percent 7 2 3 2 2 7" xfId="12419" xr:uid="{00000000-0005-0000-0000-000085960000}"/>
    <cellStyle name="Percent 7 2 3 2 2 7 2" xfId="41335" xr:uid="{00000000-0005-0000-0000-000086960000}"/>
    <cellStyle name="Percent 7 2 3 2 2 8" xfId="16724" xr:uid="{00000000-0005-0000-0000-000087960000}"/>
    <cellStyle name="Percent 7 2 3 2 3" xfId="8826" xr:uid="{00000000-0005-0000-0000-000088960000}"/>
    <cellStyle name="Percent 7 2 3 2 3 2" xfId="8954" xr:uid="{00000000-0005-0000-0000-000089960000}"/>
    <cellStyle name="Percent 7 2 3 2 3 2 2" xfId="9210" xr:uid="{00000000-0005-0000-0000-00008A960000}"/>
    <cellStyle name="Percent 7 2 3 2 3 2 2 2" xfId="9778" xr:uid="{00000000-0005-0000-0000-00008B960000}"/>
    <cellStyle name="Percent 7 2 3 2 3 2 2 2 2" xfId="10832" xr:uid="{00000000-0005-0000-0000-00008C960000}"/>
    <cellStyle name="Percent 7 2 3 2 3 2 2 2 2 2" xfId="14426" xr:uid="{00000000-0005-0000-0000-00008D960000}"/>
    <cellStyle name="Percent 7 2 3 2 3 2 2 2 2 3" xfId="16748" xr:uid="{00000000-0005-0000-0000-00008E960000}"/>
    <cellStyle name="Percent 7 2 3 2 3 2 2 2 3" xfId="13373" xr:uid="{00000000-0005-0000-0000-00008F960000}"/>
    <cellStyle name="Percent 7 2 3 2 3 2 2 2 4" xfId="16747" xr:uid="{00000000-0005-0000-0000-000090960000}"/>
    <cellStyle name="Percent 7 2 3 2 3 2 2 3" xfId="10294" xr:uid="{00000000-0005-0000-0000-000091960000}"/>
    <cellStyle name="Percent 7 2 3 2 3 2 2 3 2" xfId="13888" xr:uid="{00000000-0005-0000-0000-000092960000}"/>
    <cellStyle name="Percent 7 2 3 2 3 2 2 3 3" xfId="16749" xr:uid="{00000000-0005-0000-0000-000093960000}"/>
    <cellStyle name="Percent 7 2 3 2 3 2 2 4" xfId="11209" xr:uid="{00000000-0005-0000-0000-000094960000}"/>
    <cellStyle name="Percent 7 2 3 2 3 2 2 4 2" xfId="14801" xr:uid="{00000000-0005-0000-0000-000095960000}"/>
    <cellStyle name="Percent 7 2 3 2 3 2 2 4 3" xfId="16750" xr:uid="{00000000-0005-0000-0000-000096960000}"/>
    <cellStyle name="Percent 7 2 3 2 3 2 2 5" xfId="12835" xr:uid="{00000000-0005-0000-0000-000097960000}"/>
    <cellStyle name="Percent 7 2 3 2 3 2 2 6" xfId="16746" xr:uid="{00000000-0005-0000-0000-000098960000}"/>
    <cellStyle name="Percent 7 2 3 2 3 2 3" xfId="9522" xr:uid="{00000000-0005-0000-0000-000099960000}"/>
    <cellStyle name="Percent 7 2 3 2 3 2 3 2" xfId="10576" xr:uid="{00000000-0005-0000-0000-00009A960000}"/>
    <cellStyle name="Percent 7 2 3 2 3 2 3 2 2" xfId="14170" xr:uid="{00000000-0005-0000-0000-00009B960000}"/>
    <cellStyle name="Percent 7 2 3 2 3 2 3 2 3" xfId="16752" xr:uid="{00000000-0005-0000-0000-00009C960000}"/>
    <cellStyle name="Percent 7 2 3 2 3 2 3 3" xfId="13117" xr:uid="{00000000-0005-0000-0000-00009D960000}"/>
    <cellStyle name="Percent 7 2 3 2 3 2 3 4" xfId="16751" xr:uid="{00000000-0005-0000-0000-00009E960000}"/>
    <cellStyle name="Percent 7 2 3 2 3 2 4" xfId="10038" xr:uid="{00000000-0005-0000-0000-00009F960000}"/>
    <cellStyle name="Percent 7 2 3 2 3 2 4 2" xfId="13632" xr:uid="{00000000-0005-0000-0000-0000A0960000}"/>
    <cellStyle name="Percent 7 2 3 2 3 2 4 3" xfId="16753" xr:uid="{00000000-0005-0000-0000-0000A1960000}"/>
    <cellStyle name="Percent 7 2 3 2 3 2 5" xfId="11208" xr:uid="{00000000-0005-0000-0000-0000A2960000}"/>
    <cellStyle name="Percent 7 2 3 2 3 2 5 2" xfId="14800" xr:uid="{00000000-0005-0000-0000-0000A3960000}"/>
    <cellStyle name="Percent 7 2 3 2 3 2 5 3" xfId="16754" xr:uid="{00000000-0005-0000-0000-0000A4960000}"/>
    <cellStyle name="Percent 7 2 3 2 3 2 6" xfId="12579" xr:uid="{00000000-0005-0000-0000-0000A5960000}"/>
    <cellStyle name="Percent 7 2 3 2 3 2 6 2" xfId="41338" xr:uid="{00000000-0005-0000-0000-0000A6960000}"/>
    <cellStyle name="Percent 7 2 3 2 3 2 7" xfId="16745" xr:uid="{00000000-0005-0000-0000-0000A7960000}"/>
    <cellStyle name="Percent 7 2 3 2 3 3" xfId="9082" xr:uid="{00000000-0005-0000-0000-0000A8960000}"/>
    <cellStyle name="Percent 7 2 3 2 3 3 2" xfId="9650" xr:uid="{00000000-0005-0000-0000-0000A9960000}"/>
    <cellStyle name="Percent 7 2 3 2 3 3 2 2" xfId="10704" xr:uid="{00000000-0005-0000-0000-0000AA960000}"/>
    <cellStyle name="Percent 7 2 3 2 3 3 2 2 2" xfId="14298" xr:uid="{00000000-0005-0000-0000-0000AB960000}"/>
    <cellStyle name="Percent 7 2 3 2 3 3 2 2 3" xfId="16757" xr:uid="{00000000-0005-0000-0000-0000AC960000}"/>
    <cellStyle name="Percent 7 2 3 2 3 3 2 3" xfId="13245" xr:uid="{00000000-0005-0000-0000-0000AD960000}"/>
    <cellStyle name="Percent 7 2 3 2 3 3 2 4" xfId="16756" xr:uid="{00000000-0005-0000-0000-0000AE960000}"/>
    <cellStyle name="Percent 7 2 3 2 3 3 3" xfId="10166" xr:uid="{00000000-0005-0000-0000-0000AF960000}"/>
    <cellStyle name="Percent 7 2 3 2 3 3 3 2" xfId="13760" xr:uid="{00000000-0005-0000-0000-0000B0960000}"/>
    <cellStyle name="Percent 7 2 3 2 3 3 3 3" xfId="16758" xr:uid="{00000000-0005-0000-0000-0000B1960000}"/>
    <cellStyle name="Percent 7 2 3 2 3 3 4" xfId="11210" xr:uid="{00000000-0005-0000-0000-0000B2960000}"/>
    <cellStyle name="Percent 7 2 3 2 3 3 4 2" xfId="14802" xr:uid="{00000000-0005-0000-0000-0000B3960000}"/>
    <cellStyle name="Percent 7 2 3 2 3 3 4 3" xfId="16759" xr:uid="{00000000-0005-0000-0000-0000B4960000}"/>
    <cellStyle name="Percent 7 2 3 2 3 3 5" xfId="12707" xr:uid="{00000000-0005-0000-0000-0000B5960000}"/>
    <cellStyle name="Percent 7 2 3 2 3 3 6" xfId="16755" xr:uid="{00000000-0005-0000-0000-0000B6960000}"/>
    <cellStyle name="Percent 7 2 3 2 3 4" xfId="9394" xr:uid="{00000000-0005-0000-0000-0000B7960000}"/>
    <cellStyle name="Percent 7 2 3 2 3 4 2" xfId="10448" xr:uid="{00000000-0005-0000-0000-0000B8960000}"/>
    <cellStyle name="Percent 7 2 3 2 3 4 2 2" xfId="14042" xr:uid="{00000000-0005-0000-0000-0000B9960000}"/>
    <cellStyle name="Percent 7 2 3 2 3 4 2 3" xfId="16761" xr:uid="{00000000-0005-0000-0000-0000BA960000}"/>
    <cellStyle name="Percent 7 2 3 2 3 4 3" xfId="12989" xr:uid="{00000000-0005-0000-0000-0000BB960000}"/>
    <cellStyle name="Percent 7 2 3 2 3 4 4" xfId="16760" xr:uid="{00000000-0005-0000-0000-0000BC960000}"/>
    <cellStyle name="Percent 7 2 3 2 3 5" xfId="9910" xr:uid="{00000000-0005-0000-0000-0000BD960000}"/>
    <cellStyle name="Percent 7 2 3 2 3 5 2" xfId="13504" xr:uid="{00000000-0005-0000-0000-0000BE960000}"/>
    <cellStyle name="Percent 7 2 3 2 3 5 3" xfId="16762" xr:uid="{00000000-0005-0000-0000-0000BF960000}"/>
    <cellStyle name="Percent 7 2 3 2 3 6" xfId="11207" xr:uid="{00000000-0005-0000-0000-0000C0960000}"/>
    <cellStyle name="Percent 7 2 3 2 3 6 2" xfId="14799" xr:uid="{00000000-0005-0000-0000-0000C1960000}"/>
    <cellStyle name="Percent 7 2 3 2 3 6 3" xfId="16763" xr:uid="{00000000-0005-0000-0000-0000C2960000}"/>
    <cellStyle name="Percent 7 2 3 2 3 7" xfId="12451" xr:uid="{00000000-0005-0000-0000-0000C3960000}"/>
    <cellStyle name="Percent 7 2 3 2 3 7 2" xfId="41337" xr:uid="{00000000-0005-0000-0000-0000C4960000}"/>
    <cellStyle name="Percent 7 2 3 2 3 8" xfId="16744" xr:uid="{00000000-0005-0000-0000-0000C5960000}"/>
    <cellStyle name="Percent 7 2 3 2 4" xfId="8858" xr:uid="{00000000-0005-0000-0000-0000C6960000}"/>
    <cellStyle name="Percent 7 2 3 2 4 2" xfId="8986" xr:uid="{00000000-0005-0000-0000-0000C7960000}"/>
    <cellStyle name="Percent 7 2 3 2 4 2 2" xfId="9242" xr:uid="{00000000-0005-0000-0000-0000C8960000}"/>
    <cellStyle name="Percent 7 2 3 2 4 2 2 2" xfId="9810" xr:uid="{00000000-0005-0000-0000-0000C9960000}"/>
    <cellStyle name="Percent 7 2 3 2 4 2 2 2 2" xfId="10864" xr:uid="{00000000-0005-0000-0000-0000CA960000}"/>
    <cellStyle name="Percent 7 2 3 2 4 2 2 2 2 2" xfId="14458" xr:uid="{00000000-0005-0000-0000-0000CB960000}"/>
    <cellStyle name="Percent 7 2 3 2 4 2 2 2 2 3" xfId="16768" xr:uid="{00000000-0005-0000-0000-0000CC960000}"/>
    <cellStyle name="Percent 7 2 3 2 4 2 2 2 3" xfId="13405" xr:uid="{00000000-0005-0000-0000-0000CD960000}"/>
    <cellStyle name="Percent 7 2 3 2 4 2 2 2 4" xfId="16767" xr:uid="{00000000-0005-0000-0000-0000CE960000}"/>
    <cellStyle name="Percent 7 2 3 2 4 2 2 3" xfId="10326" xr:uid="{00000000-0005-0000-0000-0000CF960000}"/>
    <cellStyle name="Percent 7 2 3 2 4 2 2 3 2" xfId="13920" xr:uid="{00000000-0005-0000-0000-0000D0960000}"/>
    <cellStyle name="Percent 7 2 3 2 4 2 2 3 3" xfId="16769" xr:uid="{00000000-0005-0000-0000-0000D1960000}"/>
    <cellStyle name="Percent 7 2 3 2 4 2 2 4" xfId="11213" xr:uid="{00000000-0005-0000-0000-0000D2960000}"/>
    <cellStyle name="Percent 7 2 3 2 4 2 2 4 2" xfId="14805" xr:uid="{00000000-0005-0000-0000-0000D3960000}"/>
    <cellStyle name="Percent 7 2 3 2 4 2 2 4 3" xfId="16770" xr:uid="{00000000-0005-0000-0000-0000D4960000}"/>
    <cellStyle name="Percent 7 2 3 2 4 2 2 5" xfId="12867" xr:uid="{00000000-0005-0000-0000-0000D5960000}"/>
    <cellStyle name="Percent 7 2 3 2 4 2 2 6" xfId="16766" xr:uid="{00000000-0005-0000-0000-0000D6960000}"/>
    <cellStyle name="Percent 7 2 3 2 4 2 3" xfId="9554" xr:uid="{00000000-0005-0000-0000-0000D7960000}"/>
    <cellStyle name="Percent 7 2 3 2 4 2 3 2" xfId="10608" xr:uid="{00000000-0005-0000-0000-0000D8960000}"/>
    <cellStyle name="Percent 7 2 3 2 4 2 3 2 2" xfId="14202" xr:uid="{00000000-0005-0000-0000-0000D9960000}"/>
    <cellStyle name="Percent 7 2 3 2 4 2 3 2 3" xfId="16772" xr:uid="{00000000-0005-0000-0000-0000DA960000}"/>
    <cellStyle name="Percent 7 2 3 2 4 2 3 3" xfId="13149" xr:uid="{00000000-0005-0000-0000-0000DB960000}"/>
    <cellStyle name="Percent 7 2 3 2 4 2 3 4" xfId="16771" xr:uid="{00000000-0005-0000-0000-0000DC960000}"/>
    <cellStyle name="Percent 7 2 3 2 4 2 4" xfId="10070" xr:uid="{00000000-0005-0000-0000-0000DD960000}"/>
    <cellStyle name="Percent 7 2 3 2 4 2 4 2" xfId="13664" xr:uid="{00000000-0005-0000-0000-0000DE960000}"/>
    <cellStyle name="Percent 7 2 3 2 4 2 4 3" xfId="16773" xr:uid="{00000000-0005-0000-0000-0000DF960000}"/>
    <cellStyle name="Percent 7 2 3 2 4 2 5" xfId="11212" xr:uid="{00000000-0005-0000-0000-0000E0960000}"/>
    <cellStyle name="Percent 7 2 3 2 4 2 5 2" xfId="14804" xr:uid="{00000000-0005-0000-0000-0000E1960000}"/>
    <cellStyle name="Percent 7 2 3 2 4 2 5 3" xfId="16774" xr:uid="{00000000-0005-0000-0000-0000E2960000}"/>
    <cellStyle name="Percent 7 2 3 2 4 2 6" xfId="12611" xr:uid="{00000000-0005-0000-0000-0000E3960000}"/>
    <cellStyle name="Percent 7 2 3 2 4 2 6 2" xfId="41340" xr:uid="{00000000-0005-0000-0000-0000E4960000}"/>
    <cellStyle name="Percent 7 2 3 2 4 2 7" xfId="16765" xr:uid="{00000000-0005-0000-0000-0000E5960000}"/>
    <cellStyle name="Percent 7 2 3 2 4 3" xfId="9114" xr:uid="{00000000-0005-0000-0000-0000E6960000}"/>
    <cellStyle name="Percent 7 2 3 2 4 3 2" xfId="9682" xr:uid="{00000000-0005-0000-0000-0000E7960000}"/>
    <cellStyle name="Percent 7 2 3 2 4 3 2 2" xfId="10736" xr:uid="{00000000-0005-0000-0000-0000E8960000}"/>
    <cellStyle name="Percent 7 2 3 2 4 3 2 2 2" xfId="14330" xr:uid="{00000000-0005-0000-0000-0000E9960000}"/>
    <cellStyle name="Percent 7 2 3 2 4 3 2 2 3" xfId="16777" xr:uid="{00000000-0005-0000-0000-0000EA960000}"/>
    <cellStyle name="Percent 7 2 3 2 4 3 2 3" xfId="13277" xr:uid="{00000000-0005-0000-0000-0000EB960000}"/>
    <cellStyle name="Percent 7 2 3 2 4 3 2 4" xfId="16776" xr:uid="{00000000-0005-0000-0000-0000EC960000}"/>
    <cellStyle name="Percent 7 2 3 2 4 3 3" xfId="10198" xr:uid="{00000000-0005-0000-0000-0000ED960000}"/>
    <cellStyle name="Percent 7 2 3 2 4 3 3 2" xfId="13792" xr:uid="{00000000-0005-0000-0000-0000EE960000}"/>
    <cellStyle name="Percent 7 2 3 2 4 3 3 3" xfId="16778" xr:uid="{00000000-0005-0000-0000-0000EF960000}"/>
    <cellStyle name="Percent 7 2 3 2 4 3 4" xfId="11214" xr:uid="{00000000-0005-0000-0000-0000F0960000}"/>
    <cellStyle name="Percent 7 2 3 2 4 3 4 2" xfId="14806" xr:uid="{00000000-0005-0000-0000-0000F1960000}"/>
    <cellStyle name="Percent 7 2 3 2 4 3 4 3" xfId="16779" xr:uid="{00000000-0005-0000-0000-0000F2960000}"/>
    <cellStyle name="Percent 7 2 3 2 4 3 5" xfId="12739" xr:uid="{00000000-0005-0000-0000-0000F3960000}"/>
    <cellStyle name="Percent 7 2 3 2 4 3 6" xfId="16775" xr:uid="{00000000-0005-0000-0000-0000F4960000}"/>
    <cellStyle name="Percent 7 2 3 2 4 4" xfId="9426" xr:uid="{00000000-0005-0000-0000-0000F5960000}"/>
    <cellStyle name="Percent 7 2 3 2 4 4 2" xfId="10480" xr:uid="{00000000-0005-0000-0000-0000F6960000}"/>
    <cellStyle name="Percent 7 2 3 2 4 4 2 2" xfId="14074" xr:uid="{00000000-0005-0000-0000-0000F7960000}"/>
    <cellStyle name="Percent 7 2 3 2 4 4 2 3" xfId="16781" xr:uid="{00000000-0005-0000-0000-0000F8960000}"/>
    <cellStyle name="Percent 7 2 3 2 4 4 3" xfId="13021" xr:uid="{00000000-0005-0000-0000-0000F9960000}"/>
    <cellStyle name="Percent 7 2 3 2 4 4 4" xfId="16780" xr:uid="{00000000-0005-0000-0000-0000FA960000}"/>
    <cellStyle name="Percent 7 2 3 2 4 5" xfId="9942" xr:uid="{00000000-0005-0000-0000-0000FB960000}"/>
    <cellStyle name="Percent 7 2 3 2 4 5 2" xfId="13536" xr:uid="{00000000-0005-0000-0000-0000FC960000}"/>
    <cellStyle name="Percent 7 2 3 2 4 5 3" xfId="16782" xr:uid="{00000000-0005-0000-0000-0000FD960000}"/>
    <cellStyle name="Percent 7 2 3 2 4 6" xfId="11211" xr:uid="{00000000-0005-0000-0000-0000FE960000}"/>
    <cellStyle name="Percent 7 2 3 2 4 6 2" xfId="14803" xr:uid="{00000000-0005-0000-0000-0000FF960000}"/>
    <cellStyle name="Percent 7 2 3 2 4 6 3" xfId="16783" xr:uid="{00000000-0005-0000-0000-000000970000}"/>
    <cellStyle name="Percent 7 2 3 2 4 7" xfId="12483" xr:uid="{00000000-0005-0000-0000-000001970000}"/>
    <cellStyle name="Percent 7 2 3 2 4 7 2" xfId="41339" xr:uid="{00000000-0005-0000-0000-000002970000}"/>
    <cellStyle name="Percent 7 2 3 2 4 8" xfId="16764" xr:uid="{00000000-0005-0000-0000-000003970000}"/>
    <cellStyle name="Percent 7 2 3 2 5" xfId="8886" xr:uid="{00000000-0005-0000-0000-000004970000}"/>
    <cellStyle name="Percent 7 2 3 2 5 2" xfId="9142" xr:uid="{00000000-0005-0000-0000-000005970000}"/>
    <cellStyle name="Percent 7 2 3 2 5 2 2" xfId="9710" xr:uid="{00000000-0005-0000-0000-000006970000}"/>
    <cellStyle name="Percent 7 2 3 2 5 2 2 2" xfId="10764" xr:uid="{00000000-0005-0000-0000-000007970000}"/>
    <cellStyle name="Percent 7 2 3 2 5 2 2 2 2" xfId="14358" xr:uid="{00000000-0005-0000-0000-000008970000}"/>
    <cellStyle name="Percent 7 2 3 2 5 2 2 2 3" xfId="16787" xr:uid="{00000000-0005-0000-0000-000009970000}"/>
    <cellStyle name="Percent 7 2 3 2 5 2 2 3" xfId="13305" xr:uid="{00000000-0005-0000-0000-00000A970000}"/>
    <cellStyle name="Percent 7 2 3 2 5 2 2 4" xfId="16786" xr:uid="{00000000-0005-0000-0000-00000B970000}"/>
    <cellStyle name="Percent 7 2 3 2 5 2 3" xfId="10226" xr:uid="{00000000-0005-0000-0000-00000C970000}"/>
    <cellStyle name="Percent 7 2 3 2 5 2 3 2" xfId="13820" xr:uid="{00000000-0005-0000-0000-00000D970000}"/>
    <cellStyle name="Percent 7 2 3 2 5 2 3 3" xfId="16788" xr:uid="{00000000-0005-0000-0000-00000E970000}"/>
    <cellStyle name="Percent 7 2 3 2 5 2 4" xfId="11216" xr:uid="{00000000-0005-0000-0000-00000F970000}"/>
    <cellStyle name="Percent 7 2 3 2 5 2 4 2" xfId="14808" xr:uid="{00000000-0005-0000-0000-000010970000}"/>
    <cellStyle name="Percent 7 2 3 2 5 2 4 3" xfId="16789" xr:uid="{00000000-0005-0000-0000-000011970000}"/>
    <cellStyle name="Percent 7 2 3 2 5 2 5" xfId="12767" xr:uid="{00000000-0005-0000-0000-000012970000}"/>
    <cellStyle name="Percent 7 2 3 2 5 2 6" xfId="16785" xr:uid="{00000000-0005-0000-0000-000013970000}"/>
    <cellStyle name="Percent 7 2 3 2 5 3" xfId="9454" xr:uid="{00000000-0005-0000-0000-000014970000}"/>
    <cellStyle name="Percent 7 2 3 2 5 3 2" xfId="10508" xr:uid="{00000000-0005-0000-0000-000015970000}"/>
    <cellStyle name="Percent 7 2 3 2 5 3 2 2" xfId="14102" xr:uid="{00000000-0005-0000-0000-000016970000}"/>
    <cellStyle name="Percent 7 2 3 2 5 3 2 3" xfId="16791" xr:uid="{00000000-0005-0000-0000-000017970000}"/>
    <cellStyle name="Percent 7 2 3 2 5 3 3" xfId="13049" xr:uid="{00000000-0005-0000-0000-000018970000}"/>
    <cellStyle name="Percent 7 2 3 2 5 3 4" xfId="16790" xr:uid="{00000000-0005-0000-0000-000019970000}"/>
    <cellStyle name="Percent 7 2 3 2 5 4" xfId="9970" xr:uid="{00000000-0005-0000-0000-00001A970000}"/>
    <cellStyle name="Percent 7 2 3 2 5 4 2" xfId="13564" xr:uid="{00000000-0005-0000-0000-00001B970000}"/>
    <cellStyle name="Percent 7 2 3 2 5 4 3" xfId="16792" xr:uid="{00000000-0005-0000-0000-00001C970000}"/>
    <cellStyle name="Percent 7 2 3 2 5 5" xfId="11215" xr:uid="{00000000-0005-0000-0000-00001D970000}"/>
    <cellStyle name="Percent 7 2 3 2 5 5 2" xfId="14807" xr:uid="{00000000-0005-0000-0000-00001E970000}"/>
    <cellStyle name="Percent 7 2 3 2 5 5 3" xfId="16793" xr:uid="{00000000-0005-0000-0000-00001F970000}"/>
    <cellStyle name="Percent 7 2 3 2 5 6" xfId="12511" xr:uid="{00000000-0005-0000-0000-000020970000}"/>
    <cellStyle name="Percent 7 2 3 2 5 6 2" xfId="41341" xr:uid="{00000000-0005-0000-0000-000021970000}"/>
    <cellStyle name="Percent 7 2 3 2 5 7" xfId="16784" xr:uid="{00000000-0005-0000-0000-000022970000}"/>
    <cellStyle name="Percent 7 2 3 2 6" xfId="9014" xr:uid="{00000000-0005-0000-0000-000023970000}"/>
    <cellStyle name="Percent 7 2 3 2 6 2" xfId="9582" xr:uid="{00000000-0005-0000-0000-000024970000}"/>
    <cellStyle name="Percent 7 2 3 2 6 2 2" xfId="10636" xr:uid="{00000000-0005-0000-0000-000025970000}"/>
    <cellStyle name="Percent 7 2 3 2 6 2 2 2" xfId="14230" xr:uid="{00000000-0005-0000-0000-000026970000}"/>
    <cellStyle name="Percent 7 2 3 2 6 2 2 3" xfId="16796" xr:uid="{00000000-0005-0000-0000-000027970000}"/>
    <cellStyle name="Percent 7 2 3 2 6 2 3" xfId="13177" xr:uid="{00000000-0005-0000-0000-000028970000}"/>
    <cellStyle name="Percent 7 2 3 2 6 2 4" xfId="16795" xr:uid="{00000000-0005-0000-0000-000029970000}"/>
    <cellStyle name="Percent 7 2 3 2 6 3" xfId="10098" xr:uid="{00000000-0005-0000-0000-00002A970000}"/>
    <cellStyle name="Percent 7 2 3 2 6 3 2" xfId="13692" xr:uid="{00000000-0005-0000-0000-00002B970000}"/>
    <cellStyle name="Percent 7 2 3 2 6 3 3" xfId="16797" xr:uid="{00000000-0005-0000-0000-00002C970000}"/>
    <cellStyle name="Percent 7 2 3 2 6 4" xfId="11217" xr:uid="{00000000-0005-0000-0000-00002D970000}"/>
    <cellStyle name="Percent 7 2 3 2 6 4 2" xfId="14809" xr:uid="{00000000-0005-0000-0000-00002E970000}"/>
    <cellStyle name="Percent 7 2 3 2 6 4 3" xfId="16798" xr:uid="{00000000-0005-0000-0000-00002F970000}"/>
    <cellStyle name="Percent 7 2 3 2 6 5" xfId="12639" xr:uid="{00000000-0005-0000-0000-000030970000}"/>
    <cellStyle name="Percent 7 2 3 2 6 5 2" xfId="41342" xr:uid="{00000000-0005-0000-0000-000031970000}"/>
    <cellStyle name="Percent 7 2 3 2 6 6" xfId="16794" xr:uid="{00000000-0005-0000-0000-000032970000}"/>
    <cellStyle name="Percent 7 2 3 2 7" xfId="9326" xr:uid="{00000000-0005-0000-0000-000033970000}"/>
    <cellStyle name="Percent 7 2 3 2 7 2" xfId="10380" xr:uid="{00000000-0005-0000-0000-000034970000}"/>
    <cellStyle name="Percent 7 2 3 2 7 2 2" xfId="13974" xr:uid="{00000000-0005-0000-0000-000035970000}"/>
    <cellStyle name="Percent 7 2 3 2 7 2 3" xfId="16800" xr:uid="{00000000-0005-0000-0000-000036970000}"/>
    <cellStyle name="Percent 7 2 3 2 7 3" xfId="12921" xr:uid="{00000000-0005-0000-0000-000037970000}"/>
    <cellStyle name="Percent 7 2 3 2 7 4" xfId="16799" xr:uid="{00000000-0005-0000-0000-000038970000}"/>
    <cellStyle name="Percent 7 2 3 2 8" xfId="9842" xr:uid="{00000000-0005-0000-0000-000039970000}"/>
    <cellStyle name="Percent 7 2 3 2 8 2" xfId="13436" xr:uid="{00000000-0005-0000-0000-00003A970000}"/>
    <cellStyle name="Percent 7 2 3 2 8 3" xfId="16801" xr:uid="{00000000-0005-0000-0000-00003B970000}"/>
    <cellStyle name="Percent 7 2 3 2 9" xfId="11202" xr:uid="{00000000-0005-0000-0000-00003C970000}"/>
    <cellStyle name="Percent 7 2 3 2 9 2" xfId="14794" xr:uid="{00000000-0005-0000-0000-00003D970000}"/>
    <cellStyle name="Percent 7 2 3 2 9 3" xfId="16802" xr:uid="{00000000-0005-0000-0000-00003E970000}"/>
    <cellStyle name="Percent 7 2 3 3" xfId="8778" xr:uid="{00000000-0005-0000-0000-00003F970000}"/>
    <cellStyle name="Percent 7 2 3 3 2" xfId="8906" xr:uid="{00000000-0005-0000-0000-000040970000}"/>
    <cellStyle name="Percent 7 2 3 3 2 2" xfId="9162" xr:uid="{00000000-0005-0000-0000-000041970000}"/>
    <cellStyle name="Percent 7 2 3 3 2 2 2" xfId="9730" xr:uid="{00000000-0005-0000-0000-000042970000}"/>
    <cellStyle name="Percent 7 2 3 3 2 2 2 2" xfId="10784" xr:uid="{00000000-0005-0000-0000-000043970000}"/>
    <cellStyle name="Percent 7 2 3 3 2 2 2 2 2" xfId="14378" xr:uid="{00000000-0005-0000-0000-000044970000}"/>
    <cellStyle name="Percent 7 2 3 3 2 2 2 2 3" xfId="16807" xr:uid="{00000000-0005-0000-0000-000045970000}"/>
    <cellStyle name="Percent 7 2 3 3 2 2 2 3" xfId="13325" xr:uid="{00000000-0005-0000-0000-000046970000}"/>
    <cellStyle name="Percent 7 2 3 3 2 2 2 4" xfId="16806" xr:uid="{00000000-0005-0000-0000-000047970000}"/>
    <cellStyle name="Percent 7 2 3 3 2 2 3" xfId="10246" xr:uid="{00000000-0005-0000-0000-000048970000}"/>
    <cellStyle name="Percent 7 2 3 3 2 2 3 2" xfId="13840" xr:uid="{00000000-0005-0000-0000-000049970000}"/>
    <cellStyle name="Percent 7 2 3 3 2 2 3 3" xfId="16808" xr:uid="{00000000-0005-0000-0000-00004A970000}"/>
    <cellStyle name="Percent 7 2 3 3 2 2 4" xfId="11220" xr:uid="{00000000-0005-0000-0000-00004B970000}"/>
    <cellStyle name="Percent 7 2 3 3 2 2 4 2" xfId="14812" xr:uid="{00000000-0005-0000-0000-00004C970000}"/>
    <cellStyle name="Percent 7 2 3 3 2 2 4 3" xfId="16809" xr:uid="{00000000-0005-0000-0000-00004D970000}"/>
    <cellStyle name="Percent 7 2 3 3 2 2 5" xfId="12787" xr:uid="{00000000-0005-0000-0000-00004E970000}"/>
    <cellStyle name="Percent 7 2 3 3 2 2 5 2" xfId="41345" xr:uid="{00000000-0005-0000-0000-00004F970000}"/>
    <cellStyle name="Percent 7 2 3 3 2 2 6" xfId="16805" xr:uid="{00000000-0005-0000-0000-000050970000}"/>
    <cellStyle name="Percent 7 2 3 3 2 3" xfId="9474" xr:uid="{00000000-0005-0000-0000-000051970000}"/>
    <cellStyle name="Percent 7 2 3 3 2 3 2" xfId="10528" xr:uid="{00000000-0005-0000-0000-000052970000}"/>
    <cellStyle name="Percent 7 2 3 3 2 3 2 2" xfId="14122" xr:uid="{00000000-0005-0000-0000-000053970000}"/>
    <cellStyle name="Percent 7 2 3 3 2 3 2 3" xfId="16811" xr:uid="{00000000-0005-0000-0000-000054970000}"/>
    <cellStyle name="Percent 7 2 3 3 2 3 3" xfId="13069" xr:uid="{00000000-0005-0000-0000-000055970000}"/>
    <cellStyle name="Percent 7 2 3 3 2 3 4" xfId="16810" xr:uid="{00000000-0005-0000-0000-000056970000}"/>
    <cellStyle name="Percent 7 2 3 3 2 4" xfId="9990" xr:uid="{00000000-0005-0000-0000-000057970000}"/>
    <cellStyle name="Percent 7 2 3 3 2 4 2" xfId="13584" xr:uid="{00000000-0005-0000-0000-000058970000}"/>
    <cellStyle name="Percent 7 2 3 3 2 4 3" xfId="16812" xr:uid="{00000000-0005-0000-0000-000059970000}"/>
    <cellStyle name="Percent 7 2 3 3 2 5" xfId="11219" xr:uid="{00000000-0005-0000-0000-00005A970000}"/>
    <cellStyle name="Percent 7 2 3 3 2 5 2" xfId="14811" xr:uid="{00000000-0005-0000-0000-00005B970000}"/>
    <cellStyle name="Percent 7 2 3 3 2 5 3" xfId="16813" xr:uid="{00000000-0005-0000-0000-00005C970000}"/>
    <cellStyle name="Percent 7 2 3 3 2 6" xfId="12531" xr:uid="{00000000-0005-0000-0000-00005D970000}"/>
    <cellStyle name="Percent 7 2 3 3 2 6 2" xfId="41344" xr:uid="{00000000-0005-0000-0000-00005E970000}"/>
    <cellStyle name="Percent 7 2 3 3 2 7" xfId="16804" xr:uid="{00000000-0005-0000-0000-00005F970000}"/>
    <cellStyle name="Percent 7 2 3 3 3" xfId="9034" xr:uid="{00000000-0005-0000-0000-000060970000}"/>
    <cellStyle name="Percent 7 2 3 3 3 2" xfId="9602" xr:uid="{00000000-0005-0000-0000-000061970000}"/>
    <cellStyle name="Percent 7 2 3 3 3 2 2" xfId="10656" xr:uid="{00000000-0005-0000-0000-000062970000}"/>
    <cellStyle name="Percent 7 2 3 3 3 2 2 2" xfId="14250" xr:uid="{00000000-0005-0000-0000-000063970000}"/>
    <cellStyle name="Percent 7 2 3 3 3 2 2 3" xfId="16816" xr:uid="{00000000-0005-0000-0000-000064970000}"/>
    <cellStyle name="Percent 7 2 3 3 3 2 3" xfId="13197" xr:uid="{00000000-0005-0000-0000-000065970000}"/>
    <cellStyle name="Percent 7 2 3 3 3 2 3 2" xfId="41347" xr:uid="{00000000-0005-0000-0000-000066970000}"/>
    <cellStyle name="Percent 7 2 3 3 3 2 4" xfId="16815" xr:uid="{00000000-0005-0000-0000-000067970000}"/>
    <cellStyle name="Percent 7 2 3 3 3 3" xfId="10118" xr:uid="{00000000-0005-0000-0000-000068970000}"/>
    <cellStyle name="Percent 7 2 3 3 3 3 2" xfId="13712" xr:uid="{00000000-0005-0000-0000-000069970000}"/>
    <cellStyle name="Percent 7 2 3 3 3 3 3" xfId="16817" xr:uid="{00000000-0005-0000-0000-00006A970000}"/>
    <cellStyle name="Percent 7 2 3 3 3 4" xfId="11221" xr:uid="{00000000-0005-0000-0000-00006B970000}"/>
    <cellStyle name="Percent 7 2 3 3 3 4 2" xfId="14813" xr:uid="{00000000-0005-0000-0000-00006C970000}"/>
    <cellStyle name="Percent 7 2 3 3 3 4 3" xfId="16818" xr:uid="{00000000-0005-0000-0000-00006D970000}"/>
    <cellStyle name="Percent 7 2 3 3 3 5" xfId="12659" xr:uid="{00000000-0005-0000-0000-00006E970000}"/>
    <cellStyle name="Percent 7 2 3 3 3 5 2" xfId="41346" xr:uid="{00000000-0005-0000-0000-00006F970000}"/>
    <cellStyle name="Percent 7 2 3 3 3 6" xfId="16814" xr:uid="{00000000-0005-0000-0000-000070970000}"/>
    <cellStyle name="Percent 7 2 3 3 4" xfId="9346" xr:uid="{00000000-0005-0000-0000-000071970000}"/>
    <cellStyle name="Percent 7 2 3 3 4 2" xfId="10400" xr:uid="{00000000-0005-0000-0000-000072970000}"/>
    <cellStyle name="Percent 7 2 3 3 4 2 2" xfId="13994" xr:uid="{00000000-0005-0000-0000-000073970000}"/>
    <cellStyle name="Percent 7 2 3 3 4 2 2 2" xfId="41349" xr:uid="{00000000-0005-0000-0000-000074970000}"/>
    <cellStyle name="Percent 7 2 3 3 4 2 3" xfId="16820" xr:uid="{00000000-0005-0000-0000-000075970000}"/>
    <cellStyle name="Percent 7 2 3 3 4 3" xfId="12941" xr:uid="{00000000-0005-0000-0000-000076970000}"/>
    <cellStyle name="Percent 7 2 3 3 4 3 2" xfId="41348" xr:uid="{00000000-0005-0000-0000-000077970000}"/>
    <cellStyle name="Percent 7 2 3 3 4 4" xfId="16819" xr:uid="{00000000-0005-0000-0000-000078970000}"/>
    <cellStyle name="Percent 7 2 3 3 5" xfId="9862" xr:uid="{00000000-0005-0000-0000-000079970000}"/>
    <cellStyle name="Percent 7 2 3 3 5 2" xfId="13456" xr:uid="{00000000-0005-0000-0000-00007A970000}"/>
    <cellStyle name="Percent 7 2 3 3 5 2 2" xfId="41350" xr:uid="{00000000-0005-0000-0000-00007B970000}"/>
    <cellStyle name="Percent 7 2 3 3 5 3" xfId="16821" xr:uid="{00000000-0005-0000-0000-00007C970000}"/>
    <cellStyle name="Percent 7 2 3 3 6" xfId="11218" xr:uid="{00000000-0005-0000-0000-00007D970000}"/>
    <cellStyle name="Percent 7 2 3 3 6 2" xfId="14810" xr:uid="{00000000-0005-0000-0000-00007E970000}"/>
    <cellStyle name="Percent 7 2 3 3 6 2 2" xfId="41351" xr:uid="{00000000-0005-0000-0000-00007F970000}"/>
    <cellStyle name="Percent 7 2 3 3 6 3" xfId="16822" xr:uid="{00000000-0005-0000-0000-000080970000}"/>
    <cellStyle name="Percent 7 2 3 3 7" xfId="12403" xr:uid="{00000000-0005-0000-0000-000081970000}"/>
    <cellStyle name="Percent 7 2 3 3 7 2" xfId="41343" xr:uid="{00000000-0005-0000-0000-000082970000}"/>
    <cellStyle name="Percent 7 2 3 3 8" xfId="16803" xr:uid="{00000000-0005-0000-0000-000083970000}"/>
    <cellStyle name="Percent 7 2 3 4" xfId="8810" xr:uid="{00000000-0005-0000-0000-000084970000}"/>
    <cellStyle name="Percent 7 2 3 4 2" xfId="8938" xr:uid="{00000000-0005-0000-0000-000085970000}"/>
    <cellStyle name="Percent 7 2 3 4 2 2" xfId="9194" xr:uid="{00000000-0005-0000-0000-000086970000}"/>
    <cellStyle name="Percent 7 2 3 4 2 2 2" xfId="9762" xr:uid="{00000000-0005-0000-0000-000087970000}"/>
    <cellStyle name="Percent 7 2 3 4 2 2 2 2" xfId="10816" xr:uid="{00000000-0005-0000-0000-000088970000}"/>
    <cellStyle name="Percent 7 2 3 4 2 2 2 2 2" xfId="14410" xr:uid="{00000000-0005-0000-0000-000089970000}"/>
    <cellStyle name="Percent 7 2 3 4 2 2 2 2 3" xfId="16827" xr:uid="{00000000-0005-0000-0000-00008A970000}"/>
    <cellStyle name="Percent 7 2 3 4 2 2 2 3" xfId="13357" xr:uid="{00000000-0005-0000-0000-00008B970000}"/>
    <cellStyle name="Percent 7 2 3 4 2 2 2 4" xfId="16826" xr:uid="{00000000-0005-0000-0000-00008C970000}"/>
    <cellStyle name="Percent 7 2 3 4 2 2 3" xfId="10278" xr:uid="{00000000-0005-0000-0000-00008D970000}"/>
    <cellStyle name="Percent 7 2 3 4 2 2 3 2" xfId="13872" xr:uid="{00000000-0005-0000-0000-00008E970000}"/>
    <cellStyle name="Percent 7 2 3 4 2 2 3 3" xfId="16828" xr:uid="{00000000-0005-0000-0000-00008F970000}"/>
    <cellStyle name="Percent 7 2 3 4 2 2 4" xfId="11224" xr:uid="{00000000-0005-0000-0000-000090970000}"/>
    <cellStyle name="Percent 7 2 3 4 2 2 4 2" xfId="14816" xr:uid="{00000000-0005-0000-0000-000091970000}"/>
    <cellStyle name="Percent 7 2 3 4 2 2 4 3" xfId="16829" xr:uid="{00000000-0005-0000-0000-000092970000}"/>
    <cellStyle name="Percent 7 2 3 4 2 2 5" xfId="12819" xr:uid="{00000000-0005-0000-0000-000093970000}"/>
    <cellStyle name="Percent 7 2 3 4 2 2 5 2" xfId="41354" xr:uid="{00000000-0005-0000-0000-000094970000}"/>
    <cellStyle name="Percent 7 2 3 4 2 2 6" xfId="16825" xr:uid="{00000000-0005-0000-0000-000095970000}"/>
    <cellStyle name="Percent 7 2 3 4 2 3" xfId="9506" xr:uid="{00000000-0005-0000-0000-000096970000}"/>
    <cellStyle name="Percent 7 2 3 4 2 3 2" xfId="10560" xr:uid="{00000000-0005-0000-0000-000097970000}"/>
    <cellStyle name="Percent 7 2 3 4 2 3 2 2" xfId="14154" xr:uid="{00000000-0005-0000-0000-000098970000}"/>
    <cellStyle name="Percent 7 2 3 4 2 3 2 3" xfId="16831" xr:uid="{00000000-0005-0000-0000-000099970000}"/>
    <cellStyle name="Percent 7 2 3 4 2 3 3" xfId="13101" xr:uid="{00000000-0005-0000-0000-00009A970000}"/>
    <cellStyle name="Percent 7 2 3 4 2 3 4" xfId="16830" xr:uid="{00000000-0005-0000-0000-00009B970000}"/>
    <cellStyle name="Percent 7 2 3 4 2 4" xfId="10022" xr:uid="{00000000-0005-0000-0000-00009C970000}"/>
    <cellStyle name="Percent 7 2 3 4 2 4 2" xfId="13616" xr:uid="{00000000-0005-0000-0000-00009D970000}"/>
    <cellStyle name="Percent 7 2 3 4 2 4 3" xfId="16832" xr:uid="{00000000-0005-0000-0000-00009E970000}"/>
    <cellStyle name="Percent 7 2 3 4 2 5" xfId="11223" xr:uid="{00000000-0005-0000-0000-00009F970000}"/>
    <cellStyle name="Percent 7 2 3 4 2 5 2" xfId="14815" xr:uid="{00000000-0005-0000-0000-0000A0970000}"/>
    <cellStyle name="Percent 7 2 3 4 2 5 3" xfId="16833" xr:uid="{00000000-0005-0000-0000-0000A1970000}"/>
    <cellStyle name="Percent 7 2 3 4 2 6" xfId="12563" xr:uid="{00000000-0005-0000-0000-0000A2970000}"/>
    <cellStyle name="Percent 7 2 3 4 2 6 2" xfId="41353" xr:uid="{00000000-0005-0000-0000-0000A3970000}"/>
    <cellStyle name="Percent 7 2 3 4 2 7" xfId="16824" xr:uid="{00000000-0005-0000-0000-0000A4970000}"/>
    <cellStyle name="Percent 7 2 3 4 3" xfId="9066" xr:uid="{00000000-0005-0000-0000-0000A5970000}"/>
    <cellStyle name="Percent 7 2 3 4 3 2" xfId="9634" xr:uid="{00000000-0005-0000-0000-0000A6970000}"/>
    <cellStyle name="Percent 7 2 3 4 3 2 2" xfId="10688" xr:uid="{00000000-0005-0000-0000-0000A7970000}"/>
    <cellStyle name="Percent 7 2 3 4 3 2 2 2" xfId="14282" xr:uid="{00000000-0005-0000-0000-0000A8970000}"/>
    <cellStyle name="Percent 7 2 3 4 3 2 2 3" xfId="16836" xr:uid="{00000000-0005-0000-0000-0000A9970000}"/>
    <cellStyle name="Percent 7 2 3 4 3 2 3" xfId="13229" xr:uid="{00000000-0005-0000-0000-0000AA970000}"/>
    <cellStyle name="Percent 7 2 3 4 3 2 3 2" xfId="41356" xr:uid="{00000000-0005-0000-0000-0000AB970000}"/>
    <cellStyle name="Percent 7 2 3 4 3 2 4" xfId="16835" xr:uid="{00000000-0005-0000-0000-0000AC970000}"/>
    <cellStyle name="Percent 7 2 3 4 3 3" xfId="10150" xr:uid="{00000000-0005-0000-0000-0000AD970000}"/>
    <cellStyle name="Percent 7 2 3 4 3 3 2" xfId="13744" xr:uid="{00000000-0005-0000-0000-0000AE970000}"/>
    <cellStyle name="Percent 7 2 3 4 3 3 3" xfId="16837" xr:uid="{00000000-0005-0000-0000-0000AF970000}"/>
    <cellStyle name="Percent 7 2 3 4 3 4" xfId="11225" xr:uid="{00000000-0005-0000-0000-0000B0970000}"/>
    <cellStyle name="Percent 7 2 3 4 3 4 2" xfId="14817" xr:uid="{00000000-0005-0000-0000-0000B1970000}"/>
    <cellStyle name="Percent 7 2 3 4 3 4 3" xfId="16838" xr:uid="{00000000-0005-0000-0000-0000B2970000}"/>
    <cellStyle name="Percent 7 2 3 4 3 5" xfId="12691" xr:uid="{00000000-0005-0000-0000-0000B3970000}"/>
    <cellStyle name="Percent 7 2 3 4 3 5 2" xfId="41355" xr:uid="{00000000-0005-0000-0000-0000B4970000}"/>
    <cellStyle name="Percent 7 2 3 4 3 6" xfId="16834" xr:uid="{00000000-0005-0000-0000-0000B5970000}"/>
    <cellStyle name="Percent 7 2 3 4 4" xfId="9378" xr:uid="{00000000-0005-0000-0000-0000B6970000}"/>
    <cellStyle name="Percent 7 2 3 4 4 2" xfId="10432" xr:uid="{00000000-0005-0000-0000-0000B7970000}"/>
    <cellStyle name="Percent 7 2 3 4 4 2 2" xfId="14026" xr:uid="{00000000-0005-0000-0000-0000B8970000}"/>
    <cellStyle name="Percent 7 2 3 4 4 2 2 2" xfId="41358" xr:uid="{00000000-0005-0000-0000-0000B9970000}"/>
    <cellStyle name="Percent 7 2 3 4 4 2 3" xfId="16840" xr:uid="{00000000-0005-0000-0000-0000BA970000}"/>
    <cellStyle name="Percent 7 2 3 4 4 3" xfId="12973" xr:uid="{00000000-0005-0000-0000-0000BB970000}"/>
    <cellStyle name="Percent 7 2 3 4 4 3 2" xfId="41357" xr:uid="{00000000-0005-0000-0000-0000BC970000}"/>
    <cellStyle name="Percent 7 2 3 4 4 4" xfId="16839" xr:uid="{00000000-0005-0000-0000-0000BD970000}"/>
    <cellStyle name="Percent 7 2 3 4 5" xfId="9894" xr:uid="{00000000-0005-0000-0000-0000BE970000}"/>
    <cellStyle name="Percent 7 2 3 4 5 2" xfId="13488" xr:uid="{00000000-0005-0000-0000-0000BF970000}"/>
    <cellStyle name="Percent 7 2 3 4 5 2 2" xfId="41359" xr:uid="{00000000-0005-0000-0000-0000C0970000}"/>
    <cellStyle name="Percent 7 2 3 4 5 3" xfId="16841" xr:uid="{00000000-0005-0000-0000-0000C1970000}"/>
    <cellStyle name="Percent 7 2 3 4 6" xfId="11222" xr:uid="{00000000-0005-0000-0000-0000C2970000}"/>
    <cellStyle name="Percent 7 2 3 4 6 2" xfId="14814" xr:uid="{00000000-0005-0000-0000-0000C3970000}"/>
    <cellStyle name="Percent 7 2 3 4 6 2 2" xfId="41360" xr:uid="{00000000-0005-0000-0000-0000C4970000}"/>
    <cellStyle name="Percent 7 2 3 4 6 3" xfId="16842" xr:uid="{00000000-0005-0000-0000-0000C5970000}"/>
    <cellStyle name="Percent 7 2 3 4 7" xfId="12435" xr:uid="{00000000-0005-0000-0000-0000C6970000}"/>
    <cellStyle name="Percent 7 2 3 4 7 2" xfId="41352" xr:uid="{00000000-0005-0000-0000-0000C7970000}"/>
    <cellStyle name="Percent 7 2 3 4 8" xfId="16823" xr:uid="{00000000-0005-0000-0000-0000C8970000}"/>
    <cellStyle name="Percent 7 2 3 5" xfId="8842" xr:uid="{00000000-0005-0000-0000-0000C9970000}"/>
    <cellStyle name="Percent 7 2 3 5 2" xfId="8970" xr:uid="{00000000-0005-0000-0000-0000CA970000}"/>
    <cellStyle name="Percent 7 2 3 5 2 2" xfId="9226" xr:uid="{00000000-0005-0000-0000-0000CB970000}"/>
    <cellStyle name="Percent 7 2 3 5 2 2 2" xfId="9794" xr:uid="{00000000-0005-0000-0000-0000CC970000}"/>
    <cellStyle name="Percent 7 2 3 5 2 2 2 2" xfId="10848" xr:uid="{00000000-0005-0000-0000-0000CD970000}"/>
    <cellStyle name="Percent 7 2 3 5 2 2 2 2 2" xfId="14442" xr:uid="{00000000-0005-0000-0000-0000CE970000}"/>
    <cellStyle name="Percent 7 2 3 5 2 2 2 2 3" xfId="16847" xr:uid="{00000000-0005-0000-0000-0000CF970000}"/>
    <cellStyle name="Percent 7 2 3 5 2 2 2 3" xfId="13389" xr:uid="{00000000-0005-0000-0000-0000D0970000}"/>
    <cellStyle name="Percent 7 2 3 5 2 2 2 4" xfId="16846" xr:uid="{00000000-0005-0000-0000-0000D1970000}"/>
    <cellStyle name="Percent 7 2 3 5 2 2 3" xfId="10310" xr:uid="{00000000-0005-0000-0000-0000D2970000}"/>
    <cellStyle name="Percent 7 2 3 5 2 2 3 2" xfId="13904" xr:uid="{00000000-0005-0000-0000-0000D3970000}"/>
    <cellStyle name="Percent 7 2 3 5 2 2 3 3" xfId="16848" xr:uid="{00000000-0005-0000-0000-0000D4970000}"/>
    <cellStyle name="Percent 7 2 3 5 2 2 4" xfId="11228" xr:uid="{00000000-0005-0000-0000-0000D5970000}"/>
    <cellStyle name="Percent 7 2 3 5 2 2 4 2" xfId="14820" xr:uid="{00000000-0005-0000-0000-0000D6970000}"/>
    <cellStyle name="Percent 7 2 3 5 2 2 4 3" xfId="16849" xr:uid="{00000000-0005-0000-0000-0000D7970000}"/>
    <cellStyle name="Percent 7 2 3 5 2 2 5" xfId="12851" xr:uid="{00000000-0005-0000-0000-0000D8970000}"/>
    <cellStyle name="Percent 7 2 3 5 2 2 5 2" xfId="41363" xr:uid="{00000000-0005-0000-0000-0000D9970000}"/>
    <cellStyle name="Percent 7 2 3 5 2 2 6" xfId="16845" xr:uid="{00000000-0005-0000-0000-0000DA970000}"/>
    <cellStyle name="Percent 7 2 3 5 2 3" xfId="9538" xr:uid="{00000000-0005-0000-0000-0000DB970000}"/>
    <cellStyle name="Percent 7 2 3 5 2 3 2" xfId="10592" xr:uid="{00000000-0005-0000-0000-0000DC970000}"/>
    <cellStyle name="Percent 7 2 3 5 2 3 2 2" xfId="14186" xr:uid="{00000000-0005-0000-0000-0000DD970000}"/>
    <cellStyle name="Percent 7 2 3 5 2 3 2 3" xfId="16851" xr:uid="{00000000-0005-0000-0000-0000DE970000}"/>
    <cellStyle name="Percent 7 2 3 5 2 3 3" xfId="13133" xr:uid="{00000000-0005-0000-0000-0000DF970000}"/>
    <cellStyle name="Percent 7 2 3 5 2 3 4" xfId="16850" xr:uid="{00000000-0005-0000-0000-0000E0970000}"/>
    <cellStyle name="Percent 7 2 3 5 2 4" xfId="10054" xr:uid="{00000000-0005-0000-0000-0000E1970000}"/>
    <cellStyle name="Percent 7 2 3 5 2 4 2" xfId="13648" xr:uid="{00000000-0005-0000-0000-0000E2970000}"/>
    <cellStyle name="Percent 7 2 3 5 2 4 3" xfId="16852" xr:uid="{00000000-0005-0000-0000-0000E3970000}"/>
    <cellStyle name="Percent 7 2 3 5 2 5" xfId="11227" xr:uid="{00000000-0005-0000-0000-0000E4970000}"/>
    <cellStyle name="Percent 7 2 3 5 2 5 2" xfId="14819" xr:uid="{00000000-0005-0000-0000-0000E5970000}"/>
    <cellStyle name="Percent 7 2 3 5 2 5 3" xfId="16853" xr:uid="{00000000-0005-0000-0000-0000E6970000}"/>
    <cellStyle name="Percent 7 2 3 5 2 6" xfId="12595" xr:uid="{00000000-0005-0000-0000-0000E7970000}"/>
    <cellStyle name="Percent 7 2 3 5 2 6 2" xfId="41362" xr:uid="{00000000-0005-0000-0000-0000E8970000}"/>
    <cellStyle name="Percent 7 2 3 5 2 7" xfId="16844" xr:uid="{00000000-0005-0000-0000-0000E9970000}"/>
    <cellStyle name="Percent 7 2 3 5 3" xfId="9098" xr:uid="{00000000-0005-0000-0000-0000EA970000}"/>
    <cellStyle name="Percent 7 2 3 5 3 2" xfId="9666" xr:uid="{00000000-0005-0000-0000-0000EB970000}"/>
    <cellStyle name="Percent 7 2 3 5 3 2 2" xfId="10720" xr:uid="{00000000-0005-0000-0000-0000EC970000}"/>
    <cellStyle name="Percent 7 2 3 5 3 2 2 2" xfId="14314" xr:uid="{00000000-0005-0000-0000-0000ED970000}"/>
    <cellStyle name="Percent 7 2 3 5 3 2 2 3" xfId="16856" xr:uid="{00000000-0005-0000-0000-0000EE970000}"/>
    <cellStyle name="Percent 7 2 3 5 3 2 3" xfId="13261" xr:uid="{00000000-0005-0000-0000-0000EF970000}"/>
    <cellStyle name="Percent 7 2 3 5 3 2 3 2" xfId="41365" xr:uid="{00000000-0005-0000-0000-0000F0970000}"/>
    <cellStyle name="Percent 7 2 3 5 3 2 4" xfId="16855" xr:uid="{00000000-0005-0000-0000-0000F1970000}"/>
    <cellStyle name="Percent 7 2 3 5 3 3" xfId="10182" xr:uid="{00000000-0005-0000-0000-0000F2970000}"/>
    <cellStyle name="Percent 7 2 3 5 3 3 2" xfId="13776" xr:uid="{00000000-0005-0000-0000-0000F3970000}"/>
    <cellStyle name="Percent 7 2 3 5 3 3 3" xfId="16857" xr:uid="{00000000-0005-0000-0000-0000F4970000}"/>
    <cellStyle name="Percent 7 2 3 5 3 4" xfId="11229" xr:uid="{00000000-0005-0000-0000-0000F5970000}"/>
    <cellStyle name="Percent 7 2 3 5 3 4 2" xfId="14821" xr:uid="{00000000-0005-0000-0000-0000F6970000}"/>
    <cellStyle name="Percent 7 2 3 5 3 4 3" xfId="16858" xr:uid="{00000000-0005-0000-0000-0000F7970000}"/>
    <cellStyle name="Percent 7 2 3 5 3 5" xfId="12723" xr:uid="{00000000-0005-0000-0000-0000F8970000}"/>
    <cellStyle name="Percent 7 2 3 5 3 5 2" xfId="41364" xr:uid="{00000000-0005-0000-0000-0000F9970000}"/>
    <cellStyle name="Percent 7 2 3 5 3 6" xfId="16854" xr:uid="{00000000-0005-0000-0000-0000FA970000}"/>
    <cellStyle name="Percent 7 2 3 5 4" xfId="9410" xr:uid="{00000000-0005-0000-0000-0000FB970000}"/>
    <cellStyle name="Percent 7 2 3 5 4 2" xfId="10464" xr:uid="{00000000-0005-0000-0000-0000FC970000}"/>
    <cellStyle name="Percent 7 2 3 5 4 2 2" xfId="14058" xr:uid="{00000000-0005-0000-0000-0000FD970000}"/>
    <cellStyle name="Percent 7 2 3 5 4 2 3" xfId="16860" xr:uid="{00000000-0005-0000-0000-0000FE970000}"/>
    <cellStyle name="Percent 7 2 3 5 4 3" xfId="13005" xr:uid="{00000000-0005-0000-0000-0000FF970000}"/>
    <cellStyle name="Percent 7 2 3 5 4 3 2" xfId="41366" xr:uid="{00000000-0005-0000-0000-000000980000}"/>
    <cellStyle name="Percent 7 2 3 5 4 4" xfId="16859" xr:uid="{00000000-0005-0000-0000-000001980000}"/>
    <cellStyle name="Percent 7 2 3 5 5" xfId="9926" xr:uid="{00000000-0005-0000-0000-000002980000}"/>
    <cellStyle name="Percent 7 2 3 5 5 2" xfId="13520" xr:uid="{00000000-0005-0000-0000-000003980000}"/>
    <cellStyle name="Percent 7 2 3 5 5 2 2" xfId="41367" xr:uid="{00000000-0005-0000-0000-000004980000}"/>
    <cellStyle name="Percent 7 2 3 5 5 3" xfId="16861" xr:uid="{00000000-0005-0000-0000-000005980000}"/>
    <cellStyle name="Percent 7 2 3 5 6" xfId="11226" xr:uid="{00000000-0005-0000-0000-000006980000}"/>
    <cellStyle name="Percent 7 2 3 5 6 2" xfId="14818" xr:uid="{00000000-0005-0000-0000-000007980000}"/>
    <cellStyle name="Percent 7 2 3 5 6 3" xfId="16862" xr:uid="{00000000-0005-0000-0000-000008980000}"/>
    <cellStyle name="Percent 7 2 3 5 7" xfId="12467" xr:uid="{00000000-0005-0000-0000-000009980000}"/>
    <cellStyle name="Percent 7 2 3 5 7 2" xfId="41361" xr:uid="{00000000-0005-0000-0000-00000A980000}"/>
    <cellStyle name="Percent 7 2 3 5 8" xfId="16843" xr:uid="{00000000-0005-0000-0000-00000B980000}"/>
    <cellStyle name="Percent 7 2 3 6" xfId="8885" xr:uid="{00000000-0005-0000-0000-00000C980000}"/>
    <cellStyle name="Percent 7 2 3 6 2" xfId="9141" xr:uid="{00000000-0005-0000-0000-00000D980000}"/>
    <cellStyle name="Percent 7 2 3 6 2 2" xfId="9709" xr:uid="{00000000-0005-0000-0000-00000E980000}"/>
    <cellStyle name="Percent 7 2 3 6 2 2 2" xfId="10763" xr:uid="{00000000-0005-0000-0000-00000F980000}"/>
    <cellStyle name="Percent 7 2 3 6 2 2 2 2" xfId="14357" xr:uid="{00000000-0005-0000-0000-000010980000}"/>
    <cellStyle name="Percent 7 2 3 6 2 2 2 3" xfId="16866" xr:uid="{00000000-0005-0000-0000-000011980000}"/>
    <cellStyle name="Percent 7 2 3 6 2 2 3" xfId="13304" xr:uid="{00000000-0005-0000-0000-000012980000}"/>
    <cellStyle name="Percent 7 2 3 6 2 2 4" xfId="16865" xr:uid="{00000000-0005-0000-0000-000013980000}"/>
    <cellStyle name="Percent 7 2 3 6 2 3" xfId="10225" xr:uid="{00000000-0005-0000-0000-000014980000}"/>
    <cellStyle name="Percent 7 2 3 6 2 3 2" xfId="13819" xr:uid="{00000000-0005-0000-0000-000015980000}"/>
    <cellStyle name="Percent 7 2 3 6 2 3 3" xfId="16867" xr:uid="{00000000-0005-0000-0000-000016980000}"/>
    <cellStyle name="Percent 7 2 3 6 2 4" xfId="11231" xr:uid="{00000000-0005-0000-0000-000017980000}"/>
    <cellStyle name="Percent 7 2 3 6 2 4 2" xfId="14823" xr:uid="{00000000-0005-0000-0000-000018980000}"/>
    <cellStyle name="Percent 7 2 3 6 2 4 3" xfId="16868" xr:uid="{00000000-0005-0000-0000-000019980000}"/>
    <cellStyle name="Percent 7 2 3 6 2 5" xfId="12766" xr:uid="{00000000-0005-0000-0000-00001A980000}"/>
    <cellStyle name="Percent 7 2 3 6 2 5 2" xfId="41369" xr:uid="{00000000-0005-0000-0000-00001B980000}"/>
    <cellStyle name="Percent 7 2 3 6 2 6" xfId="16864" xr:uid="{00000000-0005-0000-0000-00001C980000}"/>
    <cellStyle name="Percent 7 2 3 6 3" xfId="9453" xr:uid="{00000000-0005-0000-0000-00001D980000}"/>
    <cellStyle name="Percent 7 2 3 6 3 2" xfId="10507" xr:uid="{00000000-0005-0000-0000-00001E980000}"/>
    <cellStyle name="Percent 7 2 3 6 3 2 2" xfId="14101" xr:uid="{00000000-0005-0000-0000-00001F980000}"/>
    <cellStyle name="Percent 7 2 3 6 3 2 3" xfId="16870" xr:uid="{00000000-0005-0000-0000-000020980000}"/>
    <cellStyle name="Percent 7 2 3 6 3 3" xfId="13048" xr:uid="{00000000-0005-0000-0000-000021980000}"/>
    <cellStyle name="Percent 7 2 3 6 3 4" xfId="16869" xr:uid="{00000000-0005-0000-0000-000022980000}"/>
    <cellStyle name="Percent 7 2 3 6 4" xfId="9969" xr:uid="{00000000-0005-0000-0000-000023980000}"/>
    <cellStyle name="Percent 7 2 3 6 4 2" xfId="13563" xr:uid="{00000000-0005-0000-0000-000024980000}"/>
    <cellStyle name="Percent 7 2 3 6 4 3" xfId="16871" xr:uid="{00000000-0005-0000-0000-000025980000}"/>
    <cellStyle name="Percent 7 2 3 6 5" xfId="11230" xr:uid="{00000000-0005-0000-0000-000026980000}"/>
    <cellStyle name="Percent 7 2 3 6 5 2" xfId="14822" xr:uid="{00000000-0005-0000-0000-000027980000}"/>
    <cellStyle name="Percent 7 2 3 6 5 3" xfId="16872" xr:uid="{00000000-0005-0000-0000-000028980000}"/>
    <cellStyle name="Percent 7 2 3 6 6" xfId="12510" xr:uid="{00000000-0005-0000-0000-000029980000}"/>
    <cellStyle name="Percent 7 2 3 6 6 2" xfId="41368" xr:uid="{00000000-0005-0000-0000-00002A980000}"/>
    <cellStyle name="Percent 7 2 3 6 7" xfId="16863" xr:uid="{00000000-0005-0000-0000-00002B980000}"/>
    <cellStyle name="Percent 7 2 3 7" xfId="9013" xr:uid="{00000000-0005-0000-0000-00002C980000}"/>
    <cellStyle name="Percent 7 2 3 7 2" xfId="9581" xr:uid="{00000000-0005-0000-0000-00002D980000}"/>
    <cellStyle name="Percent 7 2 3 7 2 2" xfId="10635" xr:uid="{00000000-0005-0000-0000-00002E980000}"/>
    <cellStyle name="Percent 7 2 3 7 2 2 2" xfId="14229" xr:uid="{00000000-0005-0000-0000-00002F980000}"/>
    <cellStyle name="Percent 7 2 3 7 2 2 3" xfId="16875" xr:uid="{00000000-0005-0000-0000-000030980000}"/>
    <cellStyle name="Percent 7 2 3 7 2 3" xfId="13176" xr:uid="{00000000-0005-0000-0000-000031980000}"/>
    <cellStyle name="Percent 7 2 3 7 2 3 2" xfId="41371" xr:uid="{00000000-0005-0000-0000-000032980000}"/>
    <cellStyle name="Percent 7 2 3 7 2 4" xfId="16874" xr:uid="{00000000-0005-0000-0000-000033980000}"/>
    <cellStyle name="Percent 7 2 3 7 3" xfId="10097" xr:uid="{00000000-0005-0000-0000-000034980000}"/>
    <cellStyle name="Percent 7 2 3 7 3 2" xfId="13691" xr:uid="{00000000-0005-0000-0000-000035980000}"/>
    <cellStyle name="Percent 7 2 3 7 3 3" xfId="16876" xr:uid="{00000000-0005-0000-0000-000036980000}"/>
    <cellStyle name="Percent 7 2 3 7 4" xfId="11232" xr:uid="{00000000-0005-0000-0000-000037980000}"/>
    <cellStyle name="Percent 7 2 3 7 4 2" xfId="14824" xr:uid="{00000000-0005-0000-0000-000038980000}"/>
    <cellStyle name="Percent 7 2 3 7 4 3" xfId="16877" xr:uid="{00000000-0005-0000-0000-000039980000}"/>
    <cellStyle name="Percent 7 2 3 7 5" xfId="12638" xr:uid="{00000000-0005-0000-0000-00003A980000}"/>
    <cellStyle name="Percent 7 2 3 7 5 2" xfId="41370" xr:uid="{00000000-0005-0000-0000-00003B980000}"/>
    <cellStyle name="Percent 7 2 3 7 6" xfId="16873" xr:uid="{00000000-0005-0000-0000-00003C980000}"/>
    <cellStyle name="Percent 7 2 3 8" xfId="9325" xr:uid="{00000000-0005-0000-0000-00003D980000}"/>
    <cellStyle name="Percent 7 2 3 8 2" xfId="10379" xr:uid="{00000000-0005-0000-0000-00003E980000}"/>
    <cellStyle name="Percent 7 2 3 8 2 2" xfId="13973" xr:uid="{00000000-0005-0000-0000-00003F980000}"/>
    <cellStyle name="Percent 7 2 3 8 2 2 2" xfId="41373" xr:uid="{00000000-0005-0000-0000-000040980000}"/>
    <cellStyle name="Percent 7 2 3 8 2 3" xfId="16879" xr:uid="{00000000-0005-0000-0000-000041980000}"/>
    <cellStyle name="Percent 7 2 3 8 3" xfId="12920" xr:uid="{00000000-0005-0000-0000-000042980000}"/>
    <cellStyle name="Percent 7 2 3 8 3 2" xfId="41372" xr:uid="{00000000-0005-0000-0000-000043980000}"/>
    <cellStyle name="Percent 7 2 3 8 4" xfId="16878" xr:uid="{00000000-0005-0000-0000-000044980000}"/>
    <cellStyle name="Percent 7 2 3 9" xfId="9841" xr:uid="{00000000-0005-0000-0000-000045980000}"/>
    <cellStyle name="Percent 7 2 3 9 2" xfId="13435" xr:uid="{00000000-0005-0000-0000-000046980000}"/>
    <cellStyle name="Percent 7 2 3 9 2 2" xfId="41374" xr:uid="{00000000-0005-0000-0000-000047980000}"/>
    <cellStyle name="Percent 7 2 3 9 3" xfId="16880" xr:uid="{00000000-0005-0000-0000-000048980000}"/>
    <cellStyle name="Percent 7 2 4" xfId="8756" xr:uid="{00000000-0005-0000-0000-000049980000}"/>
    <cellStyle name="Percent 7 2 4 10" xfId="12384" xr:uid="{00000000-0005-0000-0000-00004A980000}"/>
    <cellStyle name="Percent 7 2 4 10 2" xfId="41376" xr:uid="{00000000-0005-0000-0000-00004B980000}"/>
    <cellStyle name="Percent 7 2 4 11" xfId="41375" xr:uid="{00000000-0005-0000-0000-00004C980000}"/>
    <cellStyle name="Percent 7 2 4 12" xfId="16881" xr:uid="{00000000-0005-0000-0000-00004D980000}"/>
    <cellStyle name="Percent 7 2 4 2" xfId="8786" xr:uid="{00000000-0005-0000-0000-00004E980000}"/>
    <cellStyle name="Percent 7 2 4 2 2" xfId="8914" xr:uid="{00000000-0005-0000-0000-00004F980000}"/>
    <cellStyle name="Percent 7 2 4 2 2 2" xfId="9170" xr:uid="{00000000-0005-0000-0000-000050980000}"/>
    <cellStyle name="Percent 7 2 4 2 2 2 2" xfId="9738" xr:uid="{00000000-0005-0000-0000-000051980000}"/>
    <cellStyle name="Percent 7 2 4 2 2 2 2 2" xfId="10792" xr:uid="{00000000-0005-0000-0000-000052980000}"/>
    <cellStyle name="Percent 7 2 4 2 2 2 2 2 2" xfId="14386" xr:uid="{00000000-0005-0000-0000-000053980000}"/>
    <cellStyle name="Percent 7 2 4 2 2 2 2 2 3" xfId="16886" xr:uid="{00000000-0005-0000-0000-000054980000}"/>
    <cellStyle name="Percent 7 2 4 2 2 2 2 3" xfId="13333" xr:uid="{00000000-0005-0000-0000-000055980000}"/>
    <cellStyle name="Percent 7 2 4 2 2 2 2 4" xfId="16885" xr:uid="{00000000-0005-0000-0000-000056980000}"/>
    <cellStyle name="Percent 7 2 4 2 2 2 3" xfId="10254" xr:uid="{00000000-0005-0000-0000-000057980000}"/>
    <cellStyle name="Percent 7 2 4 2 2 2 3 2" xfId="13848" xr:uid="{00000000-0005-0000-0000-000058980000}"/>
    <cellStyle name="Percent 7 2 4 2 2 2 3 3" xfId="16887" xr:uid="{00000000-0005-0000-0000-000059980000}"/>
    <cellStyle name="Percent 7 2 4 2 2 2 4" xfId="11236" xr:uid="{00000000-0005-0000-0000-00005A980000}"/>
    <cellStyle name="Percent 7 2 4 2 2 2 4 2" xfId="14828" xr:uid="{00000000-0005-0000-0000-00005B980000}"/>
    <cellStyle name="Percent 7 2 4 2 2 2 4 3" xfId="16888" xr:uid="{00000000-0005-0000-0000-00005C980000}"/>
    <cellStyle name="Percent 7 2 4 2 2 2 5" xfId="12795" xr:uid="{00000000-0005-0000-0000-00005D980000}"/>
    <cellStyle name="Percent 7 2 4 2 2 2 5 2" xfId="41379" xr:uid="{00000000-0005-0000-0000-00005E980000}"/>
    <cellStyle name="Percent 7 2 4 2 2 2 6" xfId="16884" xr:uid="{00000000-0005-0000-0000-00005F980000}"/>
    <cellStyle name="Percent 7 2 4 2 2 3" xfId="9482" xr:uid="{00000000-0005-0000-0000-000060980000}"/>
    <cellStyle name="Percent 7 2 4 2 2 3 2" xfId="10536" xr:uid="{00000000-0005-0000-0000-000061980000}"/>
    <cellStyle name="Percent 7 2 4 2 2 3 2 2" xfId="14130" xr:uid="{00000000-0005-0000-0000-000062980000}"/>
    <cellStyle name="Percent 7 2 4 2 2 3 2 3" xfId="16890" xr:uid="{00000000-0005-0000-0000-000063980000}"/>
    <cellStyle name="Percent 7 2 4 2 2 3 3" xfId="13077" xr:uid="{00000000-0005-0000-0000-000064980000}"/>
    <cellStyle name="Percent 7 2 4 2 2 3 4" xfId="16889" xr:uid="{00000000-0005-0000-0000-000065980000}"/>
    <cellStyle name="Percent 7 2 4 2 2 4" xfId="9998" xr:uid="{00000000-0005-0000-0000-000066980000}"/>
    <cellStyle name="Percent 7 2 4 2 2 4 2" xfId="13592" xr:uid="{00000000-0005-0000-0000-000067980000}"/>
    <cellStyle name="Percent 7 2 4 2 2 4 3" xfId="16891" xr:uid="{00000000-0005-0000-0000-000068980000}"/>
    <cellStyle name="Percent 7 2 4 2 2 5" xfId="11235" xr:uid="{00000000-0005-0000-0000-000069980000}"/>
    <cellStyle name="Percent 7 2 4 2 2 5 2" xfId="14827" xr:uid="{00000000-0005-0000-0000-00006A980000}"/>
    <cellStyle name="Percent 7 2 4 2 2 5 3" xfId="16892" xr:uid="{00000000-0005-0000-0000-00006B980000}"/>
    <cellStyle name="Percent 7 2 4 2 2 6" xfId="12539" xr:uid="{00000000-0005-0000-0000-00006C980000}"/>
    <cellStyle name="Percent 7 2 4 2 2 6 2" xfId="41378" xr:uid="{00000000-0005-0000-0000-00006D980000}"/>
    <cellStyle name="Percent 7 2 4 2 2 7" xfId="16883" xr:uid="{00000000-0005-0000-0000-00006E980000}"/>
    <cellStyle name="Percent 7 2 4 2 3" xfId="9042" xr:uid="{00000000-0005-0000-0000-00006F980000}"/>
    <cellStyle name="Percent 7 2 4 2 3 2" xfId="9610" xr:uid="{00000000-0005-0000-0000-000070980000}"/>
    <cellStyle name="Percent 7 2 4 2 3 2 2" xfId="10664" xr:uid="{00000000-0005-0000-0000-000071980000}"/>
    <cellStyle name="Percent 7 2 4 2 3 2 2 2" xfId="14258" xr:uid="{00000000-0005-0000-0000-000072980000}"/>
    <cellStyle name="Percent 7 2 4 2 3 2 2 3" xfId="16895" xr:uid="{00000000-0005-0000-0000-000073980000}"/>
    <cellStyle name="Percent 7 2 4 2 3 2 3" xfId="13205" xr:uid="{00000000-0005-0000-0000-000074980000}"/>
    <cellStyle name="Percent 7 2 4 2 3 2 3 2" xfId="41381" xr:uid="{00000000-0005-0000-0000-000075980000}"/>
    <cellStyle name="Percent 7 2 4 2 3 2 4" xfId="16894" xr:uid="{00000000-0005-0000-0000-000076980000}"/>
    <cellStyle name="Percent 7 2 4 2 3 3" xfId="10126" xr:uid="{00000000-0005-0000-0000-000077980000}"/>
    <cellStyle name="Percent 7 2 4 2 3 3 2" xfId="13720" xr:uid="{00000000-0005-0000-0000-000078980000}"/>
    <cellStyle name="Percent 7 2 4 2 3 3 3" xfId="16896" xr:uid="{00000000-0005-0000-0000-000079980000}"/>
    <cellStyle name="Percent 7 2 4 2 3 4" xfId="11237" xr:uid="{00000000-0005-0000-0000-00007A980000}"/>
    <cellStyle name="Percent 7 2 4 2 3 4 2" xfId="14829" xr:uid="{00000000-0005-0000-0000-00007B980000}"/>
    <cellStyle name="Percent 7 2 4 2 3 4 3" xfId="16897" xr:uid="{00000000-0005-0000-0000-00007C980000}"/>
    <cellStyle name="Percent 7 2 4 2 3 5" xfId="12667" xr:uid="{00000000-0005-0000-0000-00007D980000}"/>
    <cellStyle name="Percent 7 2 4 2 3 5 2" xfId="41380" xr:uid="{00000000-0005-0000-0000-00007E980000}"/>
    <cellStyle name="Percent 7 2 4 2 3 6" xfId="16893" xr:uid="{00000000-0005-0000-0000-00007F980000}"/>
    <cellStyle name="Percent 7 2 4 2 4" xfId="9354" xr:uid="{00000000-0005-0000-0000-000080980000}"/>
    <cellStyle name="Percent 7 2 4 2 4 2" xfId="10408" xr:uid="{00000000-0005-0000-0000-000081980000}"/>
    <cellStyle name="Percent 7 2 4 2 4 2 2" xfId="14002" xr:uid="{00000000-0005-0000-0000-000082980000}"/>
    <cellStyle name="Percent 7 2 4 2 4 2 2 2" xfId="41383" xr:uid="{00000000-0005-0000-0000-000083980000}"/>
    <cellStyle name="Percent 7 2 4 2 4 2 3" xfId="16899" xr:uid="{00000000-0005-0000-0000-000084980000}"/>
    <cellStyle name="Percent 7 2 4 2 4 3" xfId="12949" xr:uid="{00000000-0005-0000-0000-000085980000}"/>
    <cellStyle name="Percent 7 2 4 2 4 3 2" xfId="41382" xr:uid="{00000000-0005-0000-0000-000086980000}"/>
    <cellStyle name="Percent 7 2 4 2 4 4" xfId="16898" xr:uid="{00000000-0005-0000-0000-000087980000}"/>
    <cellStyle name="Percent 7 2 4 2 5" xfId="9870" xr:uid="{00000000-0005-0000-0000-000088980000}"/>
    <cellStyle name="Percent 7 2 4 2 5 2" xfId="13464" xr:uid="{00000000-0005-0000-0000-000089980000}"/>
    <cellStyle name="Percent 7 2 4 2 5 2 2" xfId="41384" xr:uid="{00000000-0005-0000-0000-00008A980000}"/>
    <cellStyle name="Percent 7 2 4 2 5 3" xfId="16900" xr:uid="{00000000-0005-0000-0000-00008B980000}"/>
    <cellStyle name="Percent 7 2 4 2 6" xfId="11234" xr:uid="{00000000-0005-0000-0000-00008C980000}"/>
    <cellStyle name="Percent 7 2 4 2 6 2" xfId="14826" xr:uid="{00000000-0005-0000-0000-00008D980000}"/>
    <cellStyle name="Percent 7 2 4 2 6 2 2" xfId="41385" xr:uid="{00000000-0005-0000-0000-00008E980000}"/>
    <cellStyle name="Percent 7 2 4 2 6 3" xfId="16901" xr:uid="{00000000-0005-0000-0000-00008F980000}"/>
    <cellStyle name="Percent 7 2 4 2 7" xfId="12411" xr:uid="{00000000-0005-0000-0000-000090980000}"/>
    <cellStyle name="Percent 7 2 4 2 7 2" xfId="41377" xr:uid="{00000000-0005-0000-0000-000091980000}"/>
    <cellStyle name="Percent 7 2 4 2 8" xfId="16882" xr:uid="{00000000-0005-0000-0000-000092980000}"/>
    <cellStyle name="Percent 7 2 4 3" xfId="8818" xr:uid="{00000000-0005-0000-0000-000093980000}"/>
    <cellStyle name="Percent 7 2 4 3 2" xfId="8946" xr:uid="{00000000-0005-0000-0000-000094980000}"/>
    <cellStyle name="Percent 7 2 4 3 2 2" xfId="9202" xr:uid="{00000000-0005-0000-0000-000095980000}"/>
    <cellStyle name="Percent 7 2 4 3 2 2 2" xfId="9770" xr:uid="{00000000-0005-0000-0000-000096980000}"/>
    <cellStyle name="Percent 7 2 4 3 2 2 2 2" xfId="10824" xr:uid="{00000000-0005-0000-0000-000097980000}"/>
    <cellStyle name="Percent 7 2 4 3 2 2 2 2 2" xfId="14418" xr:uid="{00000000-0005-0000-0000-000098980000}"/>
    <cellStyle name="Percent 7 2 4 3 2 2 2 2 3" xfId="16906" xr:uid="{00000000-0005-0000-0000-000099980000}"/>
    <cellStyle name="Percent 7 2 4 3 2 2 2 3" xfId="13365" xr:uid="{00000000-0005-0000-0000-00009A980000}"/>
    <cellStyle name="Percent 7 2 4 3 2 2 2 4" xfId="16905" xr:uid="{00000000-0005-0000-0000-00009B980000}"/>
    <cellStyle name="Percent 7 2 4 3 2 2 3" xfId="10286" xr:uid="{00000000-0005-0000-0000-00009C980000}"/>
    <cellStyle name="Percent 7 2 4 3 2 2 3 2" xfId="13880" xr:uid="{00000000-0005-0000-0000-00009D980000}"/>
    <cellStyle name="Percent 7 2 4 3 2 2 3 3" xfId="16907" xr:uid="{00000000-0005-0000-0000-00009E980000}"/>
    <cellStyle name="Percent 7 2 4 3 2 2 4" xfId="11240" xr:uid="{00000000-0005-0000-0000-00009F980000}"/>
    <cellStyle name="Percent 7 2 4 3 2 2 4 2" xfId="14832" xr:uid="{00000000-0005-0000-0000-0000A0980000}"/>
    <cellStyle name="Percent 7 2 4 3 2 2 4 3" xfId="16908" xr:uid="{00000000-0005-0000-0000-0000A1980000}"/>
    <cellStyle name="Percent 7 2 4 3 2 2 5" xfId="12827" xr:uid="{00000000-0005-0000-0000-0000A2980000}"/>
    <cellStyle name="Percent 7 2 4 3 2 2 5 2" xfId="41388" xr:uid="{00000000-0005-0000-0000-0000A3980000}"/>
    <cellStyle name="Percent 7 2 4 3 2 2 6" xfId="16904" xr:uid="{00000000-0005-0000-0000-0000A4980000}"/>
    <cellStyle name="Percent 7 2 4 3 2 3" xfId="9514" xr:uid="{00000000-0005-0000-0000-0000A5980000}"/>
    <cellStyle name="Percent 7 2 4 3 2 3 2" xfId="10568" xr:uid="{00000000-0005-0000-0000-0000A6980000}"/>
    <cellStyle name="Percent 7 2 4 3 2 3 2 2" xfId="14162" xr:uid="{00000000-0005-0000-0000-0000A7980000}"/>
    <cellStyle name="Percent 7 2 4 3 2 3 2 3" xfId="16910" xr:uid="{00000000-0005-0000-0000-0000A8980000}"/>
    <cellStyle name="Percent 7 2 4 3 2 3 3" xfId="13109" xr:uid="{00000000-0005-0000-0000-0000A9980000}"/>
    <cellStyle name="Percent 7 2 4 3 2 3 4" xfId="16909" xr:uid="{00000000-0005-0000-0000-0000AA980000}"/>
    <cellStyle name="Percent 7 2 4 3 2 4" xfId="10030" xr:uid="{00000000-0005-0000-0000-0000AB980000}"/>
    <cellStyle name="Percent 7 2 4 3 2 4 2" xfId="13624" xr:uid="{00000000-0005-0000-0000-0000AC980000}"/>
    <cellStyle name="Percent 7 2 4 3 2 4 3" xfId="16911" xr:uid="{00000000-0005-0000-0000-0000AD980000}"/>
    <cellStyle name="Percent 7 2 4 3 2 5" xfId="11239" xr:uid="{00000000-0005-0000-0000-0000AE980000}"/>
    <cellStyle name="Percent 7 2 4 3 2 5 2" xfId="14831" xr:uid="{00000000-0005-0000-0000-0000AF980000}"/>
    <cellStyle name="Percent 7 2 4 3 2 5 3" xfId="16912" xr:uid="{00000000-0005-0000-0000-0000B0980000}"/>
    <cellStyle name="Percent 7 2 4 3 2 6" xfId="12571" xr:uid="{00000000-0005-0000-0000-0000B1980000}"/>
    <cellStyle name="Percent 7 2 4 3 2 6 2" xfId="41387" xr:uid="{00000000-0005-0000-0000-0000B2980000}"/>
    <cellStyle name="Percent 7 2 4 3 2 7" xfId="16903" xr:uid="{00000000-0005-0000-0000-0000B3980000}"/>
    <cellStyle name="Percent 7 2 4 3 3" xfId="9074" xr:uid="{00000000-0005-0000-0000-0000B4980000}"/>
    <cellStyle name="Percent 7 2 4 3 3 2" xfId="9642" xr:uid="{00000000-0005-0000-0000-0000B5980000}"/>
    <cellStyle name="Percent 7 2 4 3 3 2 2" xfId="10696" xr:uid="{00000000-0005-0000-0000-0000B6980000}"/>
    <cellStyle name="Percent 7 2 4 3 3 2 2 2" xfId="14290" xr:uid="{00000000-0005-0000-0000-0000B7980000}"/>
    <cellStyle name="Percent 7 2 4 3 3 2 2 3" xfId="16915" xr:uid="{00000000-0005-0000-0000-0000B8980000}"/>
    <cellStyle name="Percent 7 2 4 3 3 2 3" xfId="13237" xr:uid="{00000000-0005-0000-0000-0000B9980000}"/>
    <cellStyle name="Percent 7 2 4 3 3 2 3 2" xfId="41390" xr:uid="{00000000-0005-0000-0000-0000BA980000}"/>
    <cellStyle name="Percent 7 2 4 3 3 2 4" xfId="16914" xr:uid="{00000000-0005-0000-0000-0000BB980000}"/>
    <cellStyle name="Percent 7 2 4 3 3 3" xfId="10158" xr:uid="{00000000-0005-0000-0000-0000BC980000}"/>
    <cellStyle name="Percent 7 2 4 3 3 3 2" xfId="13752" xr:uid="{00000000-0005-0000-0000-0000BD980000}"/>
    <cellStyle name="Percent 7 2 4 3 3 3 3" xfId="16916" xr:uid="{00000000-0005-0000-0000-0000BE980000}"/>
    <cellStyle name="Percent 7 2 4 3 3 4" xfId="11241" xr:uid="{00000000-0005-0000-0000-0000BF980000}"/>
    <cellStyle name="Percent 7 2 4 3 3 4 2" xfId="14833" xr:uid="{00000000-0005-0000-0000-0000C0980000}"/>
    <cellStyle name="Percent 7 2 4 3 3 4 3" xfId="16917" xr:uid="{00000000-0005-0000-0000-0000C1980000}"/>
    <cellStyle name="Percent 7 2 4 3 3 5" xfId="12699" xr:uid="{00000000-0005-0000-0000-0000C2980000}"/>
    <cellStyle name="Percent 7 2 4 3 3 5 2" xfId="41389" xr:uid="{00000000-0005-0000-0000-0000C3980000}"/>
    <cellStyle name="Percent 7 2 4 3 3 6" xfId="16913" xr:uid="{00000000-0005-0000-0000-0000C4980000}"/>
    <cellStyle name="Percent 7 2 4 3 4" xfId="9386" xr:uid="{00000000-0005-0000-0000-0000C5980000}"/>
    <cellStyle name="Percent 7 2 4 3 4 2" xfId="10440" xr:uid="{00000000-0005-0000-0000-0000C6980000}"/>
    <cellStyle name="Percent 7 2 4 3 4 2 2" xfId="14034" xr:uid="{00000000-0005-0000-0000-0000C7980000}"/>
    <cellStyle name="Percent 7 2 4 3 4 2 2 2" xfId="41392" xr:uid="{00000000-0005-0000-0000-0000C8980000}"/>
    <cellStyle name="Percent 7 2 4 3 4 2 3" xfId="16919" xr:uid="{00000000-0005-0000-0000-0000C9980000}"/>
    <cellStyle name="Percent 7 2 4 3 4 3" xfId="12981" xr:uid="{00000000-0005-0000-0000-0000CA980000}"/>
    <cellStyle name="Percent 7 2 4 3 4 3 2" xfId="41391" xr:uid="{00000000-0005-0000-0000-0000CB980000}"/>
    <cellStyle name="Percent 7 2 4 3 4 4" xfId="16918" xr:uid="{00000000-0005-0000-0000-0000CC980000}"/>
    <cellStyle name="Percent 7 2 4 3 5" xfId="9902" xr:uid="{00000000-0005-0000-0000-0000CD980000}"/>
    <cellStyle name="Percent 7 2 4 3 5 2" xfId="13496" xr:uid="{00000000-0005-0000-0000-0000CE980000}"/>
    <cellStyle name="Percent 7 2 4 3 5 2 2" xfId="41393" xr:uid="{00000000-0005-0000-0000-0000CF980000}"/>
    <cellStyle name="Percent 7 2 4 3 5 3" xfId="16920" xr:uid="{00000000-0005-0000-0000-0000D0980000}"/>
    <cellStyle name="Percent 7 2 4 3 6" xfId="11238" xr:uid="{00000000-0005-0000-0000-0000D1980000}"/>
    <cellStyle name="Percent 7 2 4 3 6 2" xfId="14830" xr:uid="{00000000-0005-0000-0000-0000D2980000}"/>
    <cellStyle name="Percent 7 2 4 3 6 2 2" xfId="41394" xr:uid="{00000000-0005-0000-0000-0000D3980000}"/>
    <cellStyle name="Percent 7 2 4 3 6 3" xfId="16921" xr:uid="{00000000-0005-0000-0000-0000D4980000}"/>
    <cellStyle name="Percent 7 2 4 3 7" xfId="12443" xr:uid="{00000000-0005-0000-0000-0000D5980000}"/>
    <cellStyle name="Percent 7 2 4 3 7 2" xfId="41386" xr:uid="{00000000-0005-0000-0000-0000D6980000}"/>
    <cellStyle name="Percent 7 2 4 3 8" xfId="16902" xr:uid="{00000000-0005-0000-0000-0000D7980000}"/>
    <cellStyle name="Percent 7 2 4 4" xfId="8850" xr:uid="{00000000-0005-0000-0000-0000D8980000}"/>
    <cellStyle name="Percent 7 2 4 4 2" xfId="8978" xr:uid="{00000000-0005-0000-0000-0000D9980000}"/>
    <cellStyle name="Percent 7 2 4 4 2 2" xfId="9234" xr:uid="{00000000-0005-0000-0000-0000DA980000}"/>
    <cellStyle name="Percent 7 2 4 4 2 2 2" xfId="9802" xr:uid="{00000000-0005-0000-0000-0000DB980000}"/>
    <cellStyle name="Percent 7 2 4 4 2 2 2 2" xfId="10856" xr:uid="{00000000-0005-0000-0000-0000DC980000}"/>
    <cellStyle name="Percent 7 2 4 4 2 2 2 2 2" xfId="14450" xr:uid="{00000000-0005-0000-0000-0000DD980000}"/>
    <cellStyle name="Percent 7 2 4 4 2 2 2 2 3" xfId="16926" xr:uid="{00000000-0005-0000-0000-0000DE980000}"/>
    <cellStyle name="Percent 7 2 4 4 2 2 2 3" xfId="13397" xr:uid="{00000000-0005-0000-0000-0000DF980000}"/>
    <cellStyle name="Percent 7 2 4 4 2 2 2 4" xfId="16925" xr:uid="{00000000-0005-0000-0000-0000E0980000}"/>
    <cellStyle name="Percent 7 2 4 4 2 2 3" xfId="10318" xr:uid="{00000000-0005-0000-0000-0000E1980000}"/>
    <cellStyle name="Percent 7 2 4 4 2 2 3 2" xfId="13912" xr:uid="{00000000-0005-0000-0000-0000E2980000}"/>
    <cellStyle name="Percent 7 2 4 4 2 2 3 3" xfId="16927" xr:uid="{00000000-0005-0000-0000-0000E3980000}"/>
    <cellStyle name="Percent 7 2 4 4 2 2 4" xfId="11244" xr:uid="{00000000-0005-0000-0000-0000E4980000}"/>
    <cellStyle name="Percent 7 2 4 4 2 2 4 2" xfId="14836" xr:uid="{00000000-0005-0000-0000-0000E5980000}"/>
    <cellStyle name="Percent 7 2 4 4 2 2 4 3" xfId="16928" xr:uid="{00000000-0005-0000-0000-0000E6980000}"/>
    <cellStyle name="Percent 7 2 4 4 2 2 5" xfId="12859" xr:uid="{00000000-0005-0000-0000-0000E7980000}"/>
    <cellStyle name="Percent 7 2 4 4 2 2 5 2" xfId="41397" xr:uid="{00000000-0005-0000-0000-0000E8980000}"/>
    <cellStyle name="Percent 7 2 4 4 2 2 6" xfId="16924" xr:uid="{00000000-0005-0000-0000-0000E9980000}"/>
    <cellStyle name="Percent 7 2 4 4 2 3" xfId="9546" xr:uid="{00000000-0005-0000-0000-0000EA980000}"/>
    <cellStyle name="Percent 7 2 4 4 2 3 2" xfId="10600" xr:uid="{00000000-0005-0000-0000-0000EB980000}"/>
    <cellStyle name="Percent 7 2 4 4 2 3 2 2" xfId="14194" xr:uid="{00000000-0005-0000-0000-0000EC980000}"/>
    <cellStyle name="Percent 7 2 4 4 2 3 2 3" xfId="16930" xr:uid="{00000000-0005-0000-0000-0000ED980000}"/>
    <cellStyle name="Percent 7 2 4 4 2 3 3" xfId="13141" xr:uid="{00000000-0005-0000-0000-0000EE980000}"/>
    <cellStyle name="Percent 7 2 4 4 2 3 4" xfId="16929" xr:uid="{00000000-0005-0000-0000-0000EF980000}"/>
    <cellStyle name="Percent 7 2 4 4 2 4" xfId="10062" xr:uid="{00000000-0005-0000-0000-0000F0980000}"/>
    <cellStyle name="Percent 7 2 4 4 2 4 2" xfId="13656" xr:uid="{00000000-0005-0000-0000-0000F1980000}"/>
    <cellStyle name="Percent 7 2 4 4 2 4 3" xfId="16931" xr:uid="{00000000-0005-0000-0000-0000F2980000}"/>
    <cellStyle name="Percent 7 2 4 4 2 5" xfId="11243" xr:uid="{00000000-0005-0000-0000-0000F3980000}"/>
    <cellStyle name="Percent 7 2 4 4 2 5 2" xfId="14835" xr:uid="{00000000-0005-0000-0000-0000F4980000}"/>
    <cellStyle name="Percent 7 2 4 4 2 5 3" xfId="16932" xr:uid="{00000000-0005-0000-0000-0000F5980000}"/>
    <cellStyle name="Percent 7 2 4 4 2 6" xfId="12603" xr:uid="{00000000-0005-0000-0000-0000F6980000}"/>
    <cellStyle name="Percent 7 2 4 4 2 6 2" xfId="41396" xr:uid="{00000000-0005-0000-0000-0000F7980000}"/>
    <cellStyle name="Percent 7 2 4 4 2 7" xfId="16923" xr:uid="{00000000-0005-0000-0000-0000F8980000}"/>
    <cellStyle name="Percent 7 2 4 4 3" xfId="9106" xr:uid="{00000000-0005-0000-0000-0000F9980000}"/>
    <cellStyle name="Percent 7 2 4 4 3 2" xfId="9674" xr:uid="{00000000-0005-0000-0000-0000FA980000}"/>
    <cellStyle name="Percent 7 2 4 4 3 2 2" xfId="10728" xr:uid="{00000000-0005-0000-0000-0000FB980000}"/>
    <cellStyle name="Percent 7 2 4 4 3 2 2 2" xfId="14322" xr:uid="{00000000-0005-0000-0000-0000FC980000}"/>
    <cellStyle name="Percent 7 2 4 4 3 2 2 3" xfId="16935" xr:uid="{00000000-0005-0000-0000-0000FD980000}"/>
    <cellStyle name="Percent 7 2 4 4 3 2 3" xfId="13269" xr:uid="{00000000-0005-0000-0000-0000FE980000}"/>
    <cellStyle name="Percent 7 2 4 4 3 2 3 2" xfId="41399" xr:uid="{00000000-0005-0000-0000-0000FF980000}"/>
    <cellStyle name="Percent 7 2 4 4 3 2 4" xfId="16934" xr:uid="{00000000-0005-0000-0000-000000990000}"/>
    <cellStyle name="Percent 7 2 4 4 3 3" xfId="10190" xr:uid="{00000000-0005-0000-0000-000001990000}"/>
    <cellStyle name="Percent 7 2 4 4 3 3 2" xfId="13784" xr:uid="{00000000-0005-0000-0000-000002990000}"/>
    <cellStyle name="Percent 7 2 4 4 3 3 3" xfId="16936" xr:uid="{00000000-0005-0000-0000-000003990000}"/>
    <cellStyle name="Percent 7 2 4 4 3 4" xfId="11245" xr:uid="{00000000-0005-0000-0000-000004990000}"/>
    <cellStyle name="Percent 7 2 4 4 3 4 2" xfId="14837" xr:uid="{00000000-0005-0000-0000-000005990000}"/>
    <cellStyle name="Percent 7 2 4 4 3 4 3" xfId="16937" xr:uid="{00000000-0005-0000-0000-000006990000}"/>
    <cellStyle name="Percent 7 2 4 4 3 5" xfId="12731" xr:uid="{00000000-0005-0000-0000-000007990000}"/>
    <cellStyle name="Percent 7 2 4 4 3 5 2" xfId="41398" xr:uid="{00000000-0005-0000-0000-000008990000}"/>
    <cellStyle name="Percent 7 2 4 4 3 6" xfId="16933" xr:uid="{00000000-0005-0000-0000-000009990000}"/>
    <cellStyle name="Percent 7 2 4 4 4" xfId="9418" xr:uid="{00000000-0005-0000-0000-00000A990000}"/>
    <cellStyle name="Percent 7 2 4 4 4 2" xfId="10472" xr:uid="{00000000-0005-0000-0000-00000B990000}"/>
    <cellStyle name="Percent 7 2 4 4 4 2 2" xfId="14066" xr:uid="{00000000-0005-0000-0000-00000C990000}"/>
    <cellStyle name="Percent 7 2 4 4 4 2 2 2" xfId="41401" xr:uid="{00000000-0005-0000-0000-00000D990000}"/>
    <cellStyle name="Percent 7 2 4 4 4 2 3" xfId="16939" xr:uid="{00000000-0005-0000-0000-00000E990000}"/>
    <cellStyle name="Percent 7 2 4 4 4 3" xfId="13013" xr:uid="{00000000-0005-0000-0000-00000F990000}"/>
    <cellStyle name="Percent 7 2 4 4 4 3 2" xfId="41400" xr:uid="{00000000-0005-0000-0000-000010990000}"/>
    <cellStyle name="Percent 7 2 4 4 4 4" xfId="16938" xr:uid="{00000000-0005-0000-0000-000011990000}"/>
    <cellStyle name="Percent 7 2 4 4 5" xfId="9934" xr:uid="{00000000-0005-0000-0000-000012990000}"/>
    <cellStyle name="Percent 7 2 4 4 5 2" xfId="13528" xr:uid="{00000000-0005-0000-0000-000013990000}"/>
    <cellStyle name="Percent 7 2 4 4 5 2 2" xfId="41402" xr:uid="{00000000-0005-0000-0000-000014990000}"/>
    <cellStyle name="Percent 7 2 4 4 5 3" xfId="16940" xr:uid="{00000000-0005-0000-0000-000015990000}"/>
    <cellStyle name="Percent 7 2 4 4 6" xfId="11242" xr:uid="{00000000-0005-0000-0000-000016990000}"/>
    <cellStyle name="Percent 7 2 4 4 6 2" xfId="14834" xr:uid="{00000000-0005-0000-0000-000017990000}"/>
    <cellStyle name="Percent 7 2 4 4 6 2 2" xfId="41403" xr:uid="{00000000-0005-0000-0000-000018990000}"/>
    <cellStyle name="Percent 7 2 4 4 6 3" xfId="16941" xr:uid="{00000000-0005-0000-0000-000019990000}"/>
    <cellStyle name="Percent 7 2 4 4 7" xfId="12475" xr:uid="{00000000-0005-0000-0000-00001A990000}"/>
    <cellStyle name="Percent 7 2 4 4 7 2" xfId="41395" xr:uid="{00000000-0005-0000-0000-00001B990000}"/>
    <cellStyle name="Percent 7 2 4 4 8" xfId="16922" xr:uid="{00000000-0005-0000-0000-00001C990000}"/>
    <cellStyle name="Percent 7 2 4 5" xfId="8887" xr:uid="{00000000-0005-0000-0000-00001D990000}"/>
    <cellStyle name="Percent 7 2 4 5 2" xfId="9143" xr:uid="{00000000-0005-0000-0000-00001E990000}"/>
    <cellStyle name="Percent 7 2 4 5 2 2" xfId="9711" xr:uid="{00000000-0005-0000-0000-00001F990000}"/>
    <cellStyle name="Percent 7 2 4 5 2 2 2" xfId="10765" xr:uid="{00000000-0005-0000-0000-000020990000}"/>
    <cellStyle name="Percent 7 2 4 5 2 2 2 2" xfId="14359" xr:uid="{00000000-0005-0000-0000-000021990000}"/>
    <cellStyle name="Percent 7 2 4 5 2 2 2 3" xfId="16945" xr:uid="{00000000-0005-0000-0000-000022990000}"/>
    <cellStyle name="Percent 7 2 4 5 2 2 3" xfId="13306" xr:uid="{00000000-0005-0000-0000-000023990000}"/>
    <cellStyle name="Percent 7 2 4 5 2 2 3 2" xfId="41406" xr:uid="{00000000-0005-0000-0000-000024990000}"/>
    <cellStyle name="Percent 7 2 4 5 2 2 4" xfId="16944" xr:uid="{00000000-0005-0000-0000-000025990000}"/>
    <cellStyle name="Percent 7 2 4 5 2 3" xfId="10227" xr:uid="{00000000-0005-0000-0000-000026990000}"/>
    <cellStyle name="Percent 7 2 4 5 2 3 2" xfId="13821" xr:uid="{00000000-0005-0000-0000-000027990000}"/>
    <cellStyle name="Percent 7 2 4 5 2 3 3" xfId="16946" xr:uid="{00000000-0005-0000-0000-000028990000}"/>
    <cellStyle name="Percent 7 2 4 5 2 4" xfId="11247" xr:uid="{00000000-0005-0000-0000-000029990000}"/>
    <cellStyle name="Percent 7 2 4 5 2 4 2" xfId="14839" xr:uid="{00000000-0005-0000-0000-00002A990000}"/>
    <cellStyle name="Percent 7 2 4 5 2 4 3" xfId="16947" xr:uid="{00000000-0005-0000-0000-00002B990000}"/>
    <cellStyle name="Percent 7 2 4 5 2 5" xfId="12768" xr:uid="{00000000-0005-0000-0000-00002C990000}"/>
    <cellStyle name="Percent 7 2 4 5 2 5 2" xfId="41405" xr:uid="{00000000-0005-0000-0000-00002D990000}"/>
    <cellStyle name="Percent 7 2 4 5 2 6" xfId="16943" xr:uid="{00000000-0005-0000-0000-00002E990000}"/>
    <cellStyle name="Percent 7 2 4 5 3" xfId="9455" xr:uid="{00000000-0005-0000-0000-00002F990000}"/>
    <cellStyle name="Percent 7 2 4 5 3 2" xfId="10509" xr:uid="{00000000-0005-0000-0000-000030990000}"/>
    <cellStyle name="Percent 7 2 4 5 3 2 2" xfId="14103" xr:uid="{00000000-0005-0000-0000-000031990000}"/>
    <cellStyle name="Percent 7 2 4 5 3 2 2 2" xfId="41408" xr:uid="{00000000-0005-0000-0000-000032990000}"/>
    <cellStyle name="Percent 7 2 4 5 3 2 3" xfId="16949" xr:uid="{00000000-0005-0000-0000-000033990000}"/>
    <cellStyle name="Percent 7 2 4 5 3 3" xfId="13050" xr:uid="{00000000-0005-0000-0000-000034990000}"/>
    <cellStyle name="Percent 7 2 4 5 3 3 2" xfId="41407" xr:uid="{00000000-0005-0000-0000-000035990000}"/>
    <cellStyle name="Percent 7 2 4 5 3 4" xfId="16948" xr:uid="{00000000-0005-0000-0000-000036990000}"/>
    <cellStyle name="Percent 7 2 4 5 4" xfId="9971" xr:uid="{00000000-0005-0000-0000-000037990000}"/>
    <cellStyle name="Percent 7 2 4 5 4 2" xfId="13565" xr:uid="{00000000-0005-0000-0000-000038990000}"/>
    <cellStyle name="Percent 7 2 4 5 4 2 2" xfId="41409" xr:uid="{00000000-0005-0000-0000-000039990000}"/>
    <cellStyle name="Percent 7 2 4 5 4 3" xfId="16950" xr:uid="{00000000-0005-0000-0000-00003A990000}"/>
    <cellStyle name="Percent 7 2 4 5 5" xfId="11246" xr:uid="{00000000-0005-0000-0000-00003B990000}"/>
    <cellStyle name="Percent 7 2 4 5 5 2" xfId="14838" xr:uid="{00000000-0005-0000-0000-00003C990000}"/>
    <cellStyle name="Percent 7 2 4 5 5 2 2" xfId="41410" xr:uid="{00000000-0005-0000-0000-00003D990000}"/>
    <cellStyle name="Percent 7 2 4 5 5 3" xfId="16951" xr:uid="{00000000-0005-0000-0000-00003E990000}"/>
    <cellStyle name="Percent 7 2 4 5 6" xfId="12512" xr:uid="{00000000-0005-0000-0000-00003F990000}"/>
    <cellStyle name="Percent 7 2 4 5 6 2" xfId="41404" xr:uid="{00000000-0005-0000-0000-000040990000}"/>
    <cellStyle name="Percent 7 2 4 5 7" xfId="16942" xr:uid="{00000000-0005-0000-0000-000041990000}"/>
    <cellStyle name="Percent 7 2 4 6" xfId="9015" xr:uid="{00000000-0005-0000-0000-000042990000}"/>
    <cellStyle name="Percent 7 2 4 6 2" xfId="9583" xr:uid="{00000000-0005-0000-0000-000043990000}"/>
    <cellStyle name="Percent 7 2 4 6 2 2" xfId="10637" xr:uid="{00000000-0005-0000-0000-000044990000}"/>
    <cellStyle name="Percent 7 2 4 6 2 2 2" xfId="14231" xr:uid="{00000000-0005-0000-0000-000045990000}"/>
    <cellStyle name="Percent 7 2 4 6 2 2 3" xfId="16954" xr:uid="{00000000-0005-0000-0000-000046990000}"/>
    <cellStyle name="Percent 7 2 4 6 2 3" xfId="13178" xr:uid="{00000000-0005-0000-0000-000047990000}"/>
    <cellStyle name="Percent 7 2 4 6 2 3 2" xfId="41412" xr:uid="{00000000-0005-0000-0000-000048990000}"/>
    <cellStyle name="Percent 7 2 4 6 2 4" xfId="16953" xr:uid="{00000000-0005-0000-0000-000049990000}"/>
    <cellStyle name="Percent 7 2 4 6 3" xfId="10099" xr:uid="{00000000-0005-0000-0000-00004A990000}"/>
    <cellStyle name="Percent 7 2 4 6 3 2" xfId="13693" xr:uid="{00000000-0005-0000-0000-00004B990000}"/>
    <cellStyle name="Percent 7 2 4 6 3 3" xfId="16955" xr:uid="{00000000-0005-0000-0000-00004C990000}"/>
    <cellStyle name="Percent 7 2 4 6 4" xfId="11248" xr:uid="{00000000-0005-0000-0000-00004D990000}"/>
    <cellStyle name="Percent 7 2 4 6 4 2" xfId="14840" xr:uid="{00000000-0005-0000-0000-00004E990000}"/>
    <cellStyle name="Percent 7 2 4 6 4 3" xfId="16956" xr:uid="{00000000-0005-0000-0000-00004F990000}"/>
    <cellStyle name="Percent 7 2 4 6 5" xfId="12640" xr:uid="{00000000-0005-0000-0000-000050990000}"/>
    <cellStyle name="Percent 7 2 4 6 5 2" xfId="41411" xr:uid="{00000000-0005-0000-0000-000051990000}"/>
    <cellStyle name="Percent 7 2 4 6 6" xfId="16952" xr:uid="{00000000-0005-0000-0000-000052990000}"/>
    <cellStyle name="Percent 7 2 4 7" xfId="9327" xr:uid="{00000000-0005-0000-0000-000053990000}"/>
    <cellStyle name="Percent 7 2 4 7 2" xfId="10381" xr:uid="{00000000-0005-0000-0000-000054990000}"/>
    <cellStyle name="Percent 7 2 4 7 2 2" xfId="13975" xr:uid="{00000000-0005-0000-0000-000055990000}"/>
    <cellStyle name="Percent 7 2 4 7 2 2 2" xfId="41414" xr:uid="{00000000-0005-0000-0000-000056990000}"/>
    <cellStyle name="Percent 7 2 4 7 2 3" xfId="16958" xr:uid="{00000000-0005-0000-0000-000057990000}"/>
    <cellStyle name="Percent 7 2 4 7 3" xfId="12922" xr:uid="{00000000-0005-0000-0000-000058990000}"/>
    <cellStyle name="Percent 7 2 4 7 3 2" xfId="41413" xr:uid="{00000000-0005-0000-0000-000059990000}"/>
    <cellStyle name="Percent 7 2 4 7 4" xfId="16957" xr:uid="{00000000-0005-0000-0000-00005A990000}"/>
    <cellStyle name="Percent 7 2 4 8" xfId="9843" xr:uid="{00000000-0005-0000-0000-00005B990000}"/>
    <cellStyle name="Percent 7 2 4 8 2" xfId="13437" xr:uid="{00000000-0005-0000-0000-00005C990000}"/>
    <cellStyle name="Percent 7 2 4 8 2 2" xfId="41416" xr:uid="{00000000-0005-0000-0000-00005D990000}"/>
    <cellStyle name="Percent 7 2 4 8 3" xfId="41415" xr:uid="{00000000-0005-0000-0000-00005E990000}"/>
    <cellStyle name="Percent 7 2 4 8 4" xfId="16959" xr:uid="{00000000-0005-0000-0000-00005F990000}"/>
    <cellStyle name="Percent 7 2 4 9" xfId="11233" xr:uid="{00000000-0005-0000-0000-000060990000}"/>
    <cellStyle name="Percent 7 2 4 9 2" xfId="14825" xr:uid="{00000000-0005-0000-0000-000061990000}"/>
    <cellStyle name="Percent 7 2 4 9 2 2" xfId="41417" xr:uid="{00000000-0005-0000-0000-000062990000}"/>
    <cellStyle name="Percent 7 2 4 9 3" xfId="16960" xr:uid="{00000000-0005-0000-0000-000063990000}"/>
    <cellStyle name="Percent 7 2 5" xfId="8770" xr:uid="{00000000-0005-0000-0000-000064990000}"/>
    <cellStyle name="Percent 7 2 5 2" xfId="8898" xr:uid="{00000000-0005-0000-0000-000065990000}"/>
    <cellStyle name="Percent 7 2 5 2 2" xfId="9154" xr:uid="{00000000-0005-0000-0000-000066990000}"/>
    <cellStyle name="Percent 7 2 5 2 2 2" xfId="9722" xr:uid="{00000000-0005-0000-0000-000067990000}"/>
    <cellStyle name="Percent 7 2 5 2 2 2 2" xfId="10776" xr:uid="{00000000-0005-0000-0000-000068990000}"/>
    <cellStyle name="Percent 7 2 5 2 2 2 2 2" xfId="14370" xr:uid="{00000000-0005-0000-0000-000069990000}"/>
    <cellStyle name="Percent 7 2 5 2 2 2 2 3" xfId="16965" xr:uid="{00000000-0005-0000-0000-00006A990000}"/>
    <cellStyle name="Percent 7 2 5 2 2 2 3" xfId="13317" xr:uid="{00000000-0005-0000-0000-00006B990000}"/>
    <cellStyle name="Percent 7 2 5 2 2 2 4" xfId="16964" xr:uid="{00000000-0005-0000-0000-00006C990000}"/>
    <cellStyle name="Percent 7 2 5 2 2 3" xfId="10238" xr:uid="{00000000-0005-0000-0000-00006D990000}"/>
    <cellStyle name="Percent 7 2 5 2 2 3 2" xfId="13832" xr:uid="{00000000-0005-0000-0000-00006E990000}"/>
    <cellStyle name="Percent 7 2 5 2 2 3 3" xfId="16966" xr:uid="{00000000-0005-0000-0000-00006F990000}"/>
    <cellStyle name="Percent 7 2 5 2 2 4" xfId="11251" xr:uid="{00000000-0005-0000-0000-000070990000}"/>
    <cellStyle name="Percent 7 2 5 2 2 4 2" xfId="14843" xr:uid="{00000000-0005-0000-0000-000071990000}"/>
    <cellStyle name="Percent 7 2 5 2 2 4 3" xfId="16967" xr:uid="{00000000-0005-0000-0000-000072990000}"/>
    <cellStyle name="Percent 7 2 5 2 2 5" xfId="12779" xr:uid="{00000000-0005-0000-0000-000073990000}"/>
    <cellStyle name="Percent 7 2 5 2 2 5 2" xfId="41420" xr:uid="{00000000-0005-0000-0000-000074990000}"/>
    <cellStyle name="Percent 7 2 5 2 2 6" xfId="16963" xr:uid="{00000000-0005-0000-0000-000075990000}"/>
    <cellStyle name="Percent 7 2 5 2 3" xfId="9466" xr:uid="{00000000-0005-0000-0000-000076990000}"/>
    <cellStyle name="Percent 7 2 5 2 3 2" xfId="10520" xr:uid="{00000000-0005-0000-0000-000077990000}"/>
    <cellStyle name="Percent 7 2 5 2 3 2 2" xfId="14114" xr:uid="{00000000-0005-0000-0000-000078990000}"/>
    <cellStyle name="Percent 7 2 5 2 3 2 3" xfId="16969" xr:uid="{00000000-0005-0000-0000-000079990000}"/>
    <cellStyle name="Percent 7 2 5 2 3 3" xfId="13061" xr:uid="{00000000-0005-0000-0000-00007A990000}"/>
    <cellStyle name="Percent 7 2 5 2 3 4" xfId="16968" xr:uid="{00000000-0005-0000-0000-00007B990000}"/>
    <cellStyle name="Percent 7 2 5 2 4" xfId="9982" xr:uid="{00000000-0005-0000-0000-00007C990000}"/>
    <cellStyle name="Percent 7 2 5 2 4 2" xfId="13576" xr:uid="{00000000-0005-0000-0000-00007D990000}"/>
    <cellStyle name="Percent 7 2 5 2 4 3" xfId="16970" xr:uid="{00000000-0005-0000-0000-00007E990000}"/>
    <cellStyle name="Percent 7 2 5 2 5" xfId="11250" xr:uid="{00000000-0005-0000-0000-00007F990000}"/>
    <cellStyle name="Percent 7 2 5 2 5 2" xfId="14842" xr:uid="{00000000-0005-0000-0000-000080990000}"/>
    <cellStyle name="Percent 7 2 5 2 5 3" xfId="16971" xr:uid="{00000000-0005-0000-0000-000081990000}"/>
    <cellStyle name="Percent 7 2 5 2 6" xfId="12523" xr:uid="{00000000-0005-0000-0000-000082990000}"/>
    <cellStyle name="Percent 7 2 5 2 6 2" xfId="41419" xr:uid="{00000000-0005-0000-0000-000083990000}"/>
    <cellStyle name="Percent 7 2 5 2 7" xfId="16962" xr:uid="{00000000-0005-0000-0000-000084990000}"/>
    <cellStyle name="Percent 7 2 5 3" xfId="9026" xr:uid="{00000000-0005-0000-0000-000085990000}"/>
    <cellStyle name="Percent 7 2 5 3 2" xfId="9594" xr:uid="{00000000-0005-0000-0000-000086990000}"/>
    <cellStyle name="Percent 7 2 5 3 2 2" xfId="10648" xr:uid="{00000000-0005-0000-0000-000087990000}"/>
    <cellStyle name="Percent 7 2 5 3 2 2 2" xfId="14242" xr:uid="{00000000-0005-0000-0000-000088990000}"/>
    <cellStyle name="Percent 7 2 5 3 2 2 3" xfId="16974" xr:uid="{00000000-0005-0000-0000-000089990000}"/>
    <cellStyle name="Percent 7 2 5 3 2 3" xfId="13189" xr:uid="{00000000-0005-0000-0000-00008A990000}"/>
    <cellStyle name="Percent 7 2 5 3 2 3 2" xfId="41422" xr:uid="{00000000-0005-0000-0000-00008B990000}"/>
    <cellStyle name="Percent 7 2 5 3 2 4" xfId="16973" xr:uid="{00000000-0005-0000-0000-00008C990000}"/>
    <cellStyle name="Percent 7 2 5 3 3" xfId="10110" xr:uid="{00000000-0005-0000-0000-00008D990000}"/>
    <cellStyle name="Percent 7 2 5 3 3 2" xfId="13704" xr:uid="{00000000-0005-0000-0000-00008E990000}"/>
    <cellStyle name="Percent 7 2 5 3 3 3" xfId="16975" xr:uid="{00000000-0005-0000-0000-00008F990000}"/>
    <cellStyle name="Percent 7 2 5 3 4" xfId="11252" xr:uid="{00000000-0005-0000-0000-000090990000}"/>
    <cellStyle name="Percent 7 2 5 3 4 2" xfId="14844" xr:uid="{00000000-0005-0000-0000-000091990000}"/>
    <cellStyle name="Percent 7 2 5 3 4 3" xfId="16976" xr:uid="{00000000-0005-0000-0000-000092990000}"/>
    <cellStyle name="Percent 7 2 5 3 5" xfId="12651" xr:uid="{00000000-0005-0000-0000-000093990000}"/>
    <cellStyle name="Percent 7 2 5 3 5 2" xfId="41421" xr:uid="{00000000-0005-0000-0000-000094990000}"/>
    <cellStyle name="Percent 7 2 5 3 6" xfId="16972" xr:uid="{00000000-0005-0000-0000-000095990000}"/>
    <cellStyle name="Percent 7 2 5 4" xfId="9338" xr:uid="{00000000-0005-0000-0000-000096990000}"/>
    <cellStyle name="Percent 7 2 5 4 2" xfId="10392" xr:uid="{00000000-0005-0000-0000-000097990000}"/>
    <cellStyle name="Percent 7 2 5 4 2 2" xfId="13986" xr:uid="{00000000-0005-0000-0000-000098990000}"/>
    <cellStyle name="Percent 7 2 5 4 2 2 2" xfId="41424" xr:uid="{00000000-0005-0000-0000-000099990000}"/>
    <cellStyle name="Percent 7 2 5 4 2 3" xfId="16978" xr:uid="{00000000-0005-0000-0000-00009A990000}"/>
    <cellStyle name="Percent 7 2 5 4 3" xfId="12933" xr:uid="{00000000-0005-0000-0000-00009B990000}"/>
    <cellStyle name="Percent 7 2 5 4 3 2" xfId="41423" xr:uid="{00000000-0005-0000-0000-00009C990000}"/>
    <cellStyle name="Percent 7 2 5 4 4" xfId="16977" xr:uid="{00000000-0005-0000-0000-00009D990000}"/>
    <cellStyle name="Percent 7 2 5 5" xfId="9854" xr:uid="{00000000-0005-0000-0000-00009E990000}"/>
    <cellStyle name="Percent 7 2 5 5 2" xfId="13448" xr:uid="{00000000-0005-0000-0000-00009F990000}"/>
    <cellStyle name="Percent 7 2 5 5 2 2" xfId="41425" xr:uid="{00000000-0005-0000-0000-0000A0990000}"/>
    <cellStyle name="Percent 7 2 5 5 3" xfId="16979" xr:uid="{00000000-0005-0000-0000-0000A1990000}"/>
    <cellStyle name="Percent 7 2 5 6" xfId="11249" xr:uid="{00000000-0005-0000-0000-0000A2990000}"/>
    <cellStyle name="Percent 7 2 5 6 2" xfId="14841" xr:uid="{00000000-0005-0000-0000-0000A3990000}"/>
    <cellStyle name="Percent 7 2 5 6 2 2" xfId="41426" xr:uid="{00000000-0005-0000-0000-0000A4990000}"/>
    <cellStyle name="Percent 7 2 5 6 3" xfId="16980" xr:uid="{00000000-0005-0000-0000-0000A5990000}"/>
    <cellStyle name="Percent 7 2 5 7" xfId="12395" xr:uid="{00000000-0005-0000-0000-0000A6990000}"/>
    <cellStyle name="Percent 7 2 5 7 2" xfId="41418" xr:uid="{00000000-0005-0000-0000-0000A7990000}"/>
    <cellStyle name="Percent 7 2 5 8" xfId="16961" xr:uid="{00000000-0005-0000-0000-0000A8990000}"/>
    <cellStyle name="Percent 7 2 6" xfId="8802" xr:uid="{00000000-0005-0000-0000-0000A9990000}"/>
    <cellStyle name="Percent 7 2 6 2" xfId="8930" xr:uid="{00000000-0005-0000-0000-0000AA990000}"/>
    <cellStyle name="Percent 7 2 6 2 2" xfId="9186" xr:uid="{00000000-0005-0000-0000-0000AB990000}"/>
    <cellStyle name="Percent 7 2 6 2 2 2" xfId="9754" xr:uid="{00000000-0005-0000-0000-0000AC990000}"/>
    <cellStyle name="Percent 7 2 6 2 2 2 2" xfId="10808" xr:uid="{00000000-0005-0000-0000-0000AD990000}"/>
    <cellStyle name="Percent 7 2 6 2 2 2 2 2" xfId="14402" xr:uid="{00000000-0005-0000-0000-0000AE990000}"/>
    <cellStyle name="Percent 7 2 6 2 2 2 2 3" xfId="16985" xr:uid="{00000000-0005-0000-0000-0000AF990000}"/>
    <cellStyle name="Percent 7 2 6 2 2 2 3" xfId="13349" xr:uid="{00000000-0005-0000-0000-0000B0990000}"/>
    <cellStyle name="Percent 7 2 6 2 2 2 4" xfId="16984" xr:uid="{00000000-0005-0000-0000-0000B1990000}"/>
    <cellStyle name="Percent 7 2 6 2 2 3" xfId="10270" xr:uid="{00000000-0005-0000-0000-0000B2990000}"/>
    <cellStyle name="Percent 7 2 6 2 2 3 2" xfId="13864" xr:uid="{00000000-0005-0000-0000-0000B3990000}"/>
    <cellStyle name="Percent 7 2 6 2 2 3 3" xfId="16986" xr:uid="{00000000-0005-0000-0000-0000B4990000}"/>
    <cellStyle name="Percent 7 2 6 2 2 4" xfId="11255" xr:uid="{00000000-0005-0000-0000-0000B5990000}"/>
    <cellStyle name="Percent 7 2 6 2 2 4 2" xfId="14847" xr:uid="{00000000-0005-0000-0000-0000B6990000}"/>
    <cellStyle name="Percent 7 2 6 2 2 4 3" xfId="16987" xr:uid="{00000000-0005-0000-0000-0000B7990000}"/>
    <cellStyle name="Percent 7 2 6 2 2 5" xfId="12811" xr:uid="{00000000-0005-0000-0000-0000B8990000}"/>
    <cellStyle name="Percent 7 2 6 2 2 5 2" xfId="41429" xr:uid="{00000000-0005-0000-0000-0000B9990000}"/>
    <cellStyle name="Percent 7 2 6 2 2 6" xfId="16983" xr:uid="{00000000-0005-0000-0000-0000BA990000}"/>
    <cellStyle name="Percent 7 2 6 2 3" xfId="9498" xr:uid="{00000000-0005-0000-0000-0000BB990000}"/>
    <cellStyle name="Percent 7 2 6 2 3 2" xfId="10552" xr:uid="{00000000-0005-0000-0000-0000BC990000}"/>
    <cellStyle name="Percent 7 2 6 2 3 2 2" xfId="14146" xr:uid="{00000000-0005-0000-0000-0000BD990000}"/>
    <cellStyle name="Percent 7 2 6 2 3 2 3" xfId="16989" xr:uid="{00000000-0005-0000-0000-0000BE990000}"/>
    <cellStyle name="Percent 7 2 6 2 3 3" xfId="13093" xr:uid="{00000000-0005-0000-0000-0000BF990000}"/>
    <cellStyle name="Percent 7 2 6 2 3 4" xfId="16988" xr:uid="{00000000-0005-0000-0000-0000C0990000}"/>
    <cellStyle name="Percent 7 2 6 2 4" xfId="10014" xr:uid="{00000000-0005-0000-0000-0000C1990000}"/>
    <cellStyle name="Percent 7 2 6 2 4 2" xfId="13608" xr:uid="{00000000-0005-0000-0000-0000C2990000}"/>
    <cellStyle name="Percent 7 2 6 2 4 3" xfId="16990" xr:uid="{00000000-0005-0000-0000-0000C3990000}"/>
    <cellStyle name="Percent 7 2 6 2 5" xfId="11254" xr:uid="{00000000-0005-0000-0000-0000C4990000}"/>
    <cellStyle name="Percent 7 2 6 2 5 2" xfId="14846" xr:uid="{00000000-0005-0000-0000-0000C5990000}"/>
    <cellStyle name="Percent 7 2 6 2 5 3" xfId="16991" xr:uid="{00000000-0005-0000-0000-0000C6990000}"/>
    <cellStyle name="Percent 7 2 6 2 6" xfId="12555" xr:uid="{00000000-0005-0000-0000-0000C7990000}"/>
    <cellStyle name="Percent 7 2 6 2 6 2" xfId="41428" xr:uid="{00000000-0005-0000-0000-0000C8990000}"/>
    <cellStyle name="Percent 7 2 6 2 7" xfId="16982" xr:uid="{00000000-0005-0000-0000-0000C9990000}"/>
    <cellStyle name="Percent 7 2 6 3" xfId="9058" xr:uid="{00000000-0005-0000-0000-0000CA990000}"/>
    <cellStyle name="Percent 7 2 6 3 2" xfId="9626" xr:uid="{00000000-0005-0000-0000-0000CB990000}"/>
    <cellStyle name="Percent 7 2 6 3 2 2" xfId="10680" xr:uid="{00000000-0005-0000-0000-0000CC990000}"/>
    <cellStyle name="Percent 7 2 6 3 2 2 2" xfId="14274" xr:uid="{00000000-0005-0000-0000-0000CD990000}"/>
    <cellStyle name="Percent 7 2 6 3 2 2 3" xfId="16994" xr:uid="{00000000-0005-0000-0000-0000CE990000}"/>
    <cellStyle name="Percent 7 2 6 3 2 3" xfId="13221" xr:uid="{00000000-0005-0000-0000-0000CF990000}"/>
    <cellStyle name="Percent 7 2 6 3 2 3 2" xfId="41431" xr:uid="{00000000-0005-0000-0000-0000D0990000}"/>
    <cellStyle name="Percent 7 2 6 3 2 4" xfId="16993" xr:uid="{00000000-0005-0000-0000-0000D1990000}"/>
    <cellStyle name="Percent 7 2 6 3 3" xfId="10142" xr:uid="{00000000-0005-0000-0000-0000D2990000}"/>
    <cellStyle name="Percent 7 2 6 3 3 2" xfId="13736" xr:uid="{00000000-0005-0000-0000-0000D3990000}"/>
    <cellStyle name="Percent 7 2 6 3 3 3" xfId="16995" xr:uid="{00000000-0005-0000-0000-0000D4990000}"/>
    <cellStyle name="Percent 7 2 6 3 4" xfId="11256" xr:uid="{00000000-0005-0000-0000-0000D5990000}"/>
    <cellStyle name="Percent 7 2 6 3 4 2" xfId="14848" xr:uid="{00000000-0005-0000-0000-0000D6990000}"/>
    <cellStyle name="Percent 7 2 6 3 4 3" xfId="16996" xr:uid="{00000000-0005-0000-0000-0000D7990000}"/>
    <cellStyle name="Percent 7 2 6 3 5" xfId="12683" xr:uid="{00000000-0005-0000-0000-0000D8990000}"/>
    <cellStyle name="Percent 7 2 6 3 5 2" xfId="41430" xr:uid="{00000000-0005-0000-0000-0000D9990000}"/>
    <cellStyle name="Percent 7 2 6 3 6" xfId="16992" xr:uid="{00000000-0005-0000-0000-0000DA990000}"/>
    <cellStyle name="Percent 7 2 6 4" xfId="9370" xr:uid="{00000000-0005-0000-0000-0000DB990000}"/>
    <cellStyle name="Percent 7 2 6 4 2" xfId="10424" xr:uid="{00000000-0005-0000-0000-0000DC990000}"/>
    <cellStyle name="Percent 7 2 6 4 2 2" xfId="14018" xr:uid="{00000000-0005-0000-0000-0000DD990000}"/>
    <cellStyle name="Percent 7 2 6 4 2 2 2" xfId="41433" xr:uid="{00000000-0005-0000-0000-0000DE990000}"/>
    <cellStyle name="Percent 7 2 6 4 2 3" xfId="16998" xr:uid="{00000000-0005-0000-0000-0000DF990000}"/>
    <cellStyle name="Percent 7 2 6 4 3" xfId="12965" xr:uid="{00000000-0005-0000-0000-0000E0990000}"/>
    <cellStyle name="Percent 7 2 6 4 3 2" xfId="41432" xr:uid="{00000000-0005-0000-0000-0000E1990000}"/>
    <cellStyle name="Percent 7 2 6 4 4" xfId="16997" xr:uid="{00000000-0005-0000-0000-0000E2990000}"/>
    <cellStyle name="Percent 7 2 6 5" xfId="9886" xr:uid="{00000000-0005-0000-0000-0000E3990000}"/>
    <cellStyle name="Percent 7 2 6 5 2" xfId="13480" xr:uid="{00000000-0005-0000-0000-0000E4990000}"/>
    <cellStyle name="Percent 7 2 6 5 2 2" xfId="41434" xr:uid="{00000000-0005-0000-0000-0000E5990000}"/>
    <cellStyle name="Percent 7 2 6 5 3" xfId="16999" xr:uid="{00000000-0005-0000-0000-0000E6990000}"/>
    <cellStyle name="Percent 7 2 6 6" xfId="11253" xr:uid="{00000000-0005-0000-0000-0000E7990000}"/>
    <cellStyle name="Percent 7 2 6 6 2" xfId="14845" xr:uid="{00000000-0005-0000-0000-0000E8990000}"/>
    <cellStyle name="Percent 7 2 6 6 2 2" xfId="41435" xr:uid="{00000000-0005-0000-0000-0000E9990000}"/>
    <cellStyle name="Percent 7 2 6 6 3" xfId="17000" xr:uid="{00000000-0005-0000-0000-0000EA990000}"/>
    <cellStyle name="Percent 7 2 6 7" xfId="12427" xr:uid="{00000000-0005-0000-0000-0000EB990000}"/>
    <cellStyle name="Percent 7 2 6 7 2" xfId="41427" xr:uid="{00000000-0005-0000-0000-0000EC990000}"/>
    <cellStyle name="Percent 7 2 6 8" xfId="16981" xr:uid="{00000000-0005-0000-0000-0000ED990000}"/>
    <cellStyle name="Percent 7 2 7" xfId="8834" xr:uid="{00000000-0005-0000-0000-0000EE990000}"/>
    <cellStyle name="Percent 7 2 7 2" xfId="8962" xr:uid="{00000000-0005-0000-0000-0000EF990000}"/>
    <cellStyle name="Percent 7 2 7 2 2" xfId="9218" xr:uid="{00000000-0005-0000-0000-0000F0990000}"/>
    <cellStyle name="Percent 7 2 7 2 2 2" xfId="9786" xr:uid="{00000000-0005-0000-0000-0000F1990000}"/>
    <cellStyle name="Percent 7 2 7 2 2 2 2" xfId="10840" xr:uid="{00000000-0005-0000-0000-0000F2990000}"/>
    <cellStyle name="Percent 7 2 7 2 2 2 2 2" xfId="14434" xr:uid="{00000000-0005-0000-0000-0000F3990000}"/>
    <cellStyle name="Percent 7 2 7 2 2 2 2 3" xfId="17005" xr:uid="{00000000-0005-0000-0000-0000F4990000}"/>
    <cellStyle name="Percent 7 2 7 2 2 2 3" xfId="13381" xr:uid="{00000000-0005-0000-0000-0000F5990000}"/>
    <cellStyle name="Percent 7 2 7 2 2 2 4" xfId="17004" xr:uid="{00000000-0005-0000-0000-0000F6990000}"/>
    <cellStyle name="Percent 7 2 7 2 2 3" xfId="10302" xr:uid="{00000000-0005-0000-0000-0000F7990000}"/>
    <cellStyle name="Percent 7 2 7 2 2 3 2" xfId="13896" xr:uid="{00000000-0005-0000-0000-0000F8990000}"/>
    <cellStyle name="Percent 7 2 7 2 2 3 3" xfId="17006" xr:uid="{00000000-0005-0000-0000-0000F9990000}"/>
    <cellStyle name="Percent 7 2 7 2 2 4" xfId="11259" xr:uid="{00000000-0005-0000-0000-0000FA990000}"/>
    <cellStyle name="Percent 7 2 7 2 2 4 2" xfId="14851" xr:uid="{00000000-0005-0000-0000-0000FB990000}"/>
    <cellStyle name="Percent 7 2 7 2 2 4 3" xfId="17007" xr:uid="{00000000-0005-0000-0000-0000FC990000}"/>
    <cellStyle name="Percent 7 2 7 2 2 5" xfId="12843" xr:uid="{00000000-0005-0000-0000-0000FD990000}"/>
    <cellStyle name="Percent 7 2 7 2 2 5 2" xfId="41438" xr:uid="{00000000-0005-0000-0000-0000FE990000}"/>
    <cellStyle name="Percent 7 2 7 2 2 6" xfId="17003" xr:uid="{00000000-0005-0000-0000-0000FF990000}"/>
    <cellStyle name="Percent 7 2 7 2 3" xfId="9530" xr:uid="{00000000-0005-0000-0000-0000009A0000}"/>
    <cellStyle name="Percent 7 2 7 2 3 2" xfId="10584" xr:uid="{00000000-0005-0000-0000-0000019A0000}"/>
    <cellStyle name="Percent 7 2 7 2 3 2 2" xfId="14178" xr:uid="{00000000-0005-0000-0000-0000029A0000}"/>
    <cellStyle name="Percent 7 2 7 2 3 2 3" xfId="17009" xr:uid="{00000000-0005-0000-0000-0000039A0000}"/>
    <cellStyle name="Percent 7 2 7 2 3 3" xfId="13125" xr:uid="{00000000-0005-0000-0000-0000049A0000}"/>
    <cellStyle name="Percent 7 2 7 2 3 4" xfId="17008" xr:uid="{00000000-0005-0000-0000-0000059A0000}"/>
    <cellStyle name="Percent 7 2 7 2 4" xfId="10046" xr:uid="{00000000-0005-0000-0000-0000069A0000}"/>
    <cellStyle name="Percent 7 2 7 2 4 2" xfId="13640" xr:uid="{00000000-0005-0000-0000-0000079A0000}"/>
    <cellStyle name="Percent 7 2 7 2 4 3" xfId="17010" xr:uid="{00000000-0005-0000-0000-0000089A0000}"/>
    <cellStyle name="Percent 7 2 7 2 5" xfId="11258" xr:uid="{00000000-0005-0000-0000-0000099A0000}"/>
    <cellStyle name="Percent 7 2 7 2 5 2" xfId="14850" xr:uid="{00000000-0005-0000-0000-00000A9A0000}"/>
    <cellStyle name="Percent 7 2 7 2 5 3" xfId="17011" xr:uid="{00000000-0005-0000-0000-00000B9A0000}"/>
    <cellStyle name="Percent 7 2 7 2 6" xfId="12587" xr:uid="{00000000-0005-0000-0000-00000C9A0000}"/>
    <cellStyle name="Percent 7 2 7 2 6 2" xfId="41437" xr:uid="{00000000-0005-0000-0000-00000D9A0000}"/>
    <cellStyle name="Percent 7 2 7 2 7" xfId="17002" xr:uid="{00000000-0005-0000-0000-00000E9A0000}"/>
    <cellStyle name="Percent 7 2 7 3" xfId="9090" xr:uid="{00000000-0005-0000-0000-00000F9A0000}"/>
    <cellStyle name="Percent 7 2 7 3 2" xfId="9658" xr:uid="{00000000-0005-0000-0000-0000109A0000}"/>
    <cellStyle name="Percent 7 2 7 3 2 2" xfId="10712" xr:uid="{00000000-0005-0000-0000-0000119A0000}"/>
    <cellStyle name="Percent 7 2 7 3 2 2 2" xfId="14306" xr:uid="{00000000-0005-0000-0000-0000129A0000}"/>
    <cellStyle name="Percent 7 2 7 3 2 2 3" xfId="17014" xr:uid="{00000000-0005-0000-0000-0000139A0000}"/>
    <cellStyle name="Percent 7 2 7 3 2 3" xfId="13253" xr:uid="{00000000-0005-0000-0000-0000149A0000}"/>
    <cellStyle name="Percent 7 2 7 3 2 3 2" xfId="41440" xr:uid="{00000000-0005-0000-0000-0000159A0000}"/>
    <cellStyle name="Percent 7 2 7 3 2 4" xfId="17013" xr:uid="{00000000-0005-0000-0000-0000169A0000}"/>
    <cellStyle name="Percent 7 2 7 3 3" xfId="10174" xr:uid="{00000000-0005-0000-0000-0000179A0000}"/>
    <cellStyle name="Percent 7 2 7 3 3 2" xfId="13768" xr:uid="{00000000-0005-0000-0000-0000189A0000}"/>
    <cellStyle name="Percent 7 2 7 3 3 3" xfId="17015" xr:uid="{00000000-0005-0000-0000-0000199A0000}"/>
    <cellStyle name="Percent 7 2 7 3 4" xfId="11260" xr:uid="{00000000-0005-0000-0000-00001A9A0000}"/>
    <cellStyle name="Percent 7 2 7 3 4 2" xfId="14852" xr:uid="{00000000-0005-0000-0000-00001B9A0000}"/>
    <cellStyle name="Percent 7 2 7 3 4 3" xfId="17016" xr:uid="{00000000-0005-0000-0000-00001C9A0000}"/>
    <cellStyle name="Percent 7 2 7 3 5" xfId="12715" xr:uid="{00000000-0005-0000-0000-00001D9A0000}"/>
    <cellStyle name="Percent 7 2 7 3 5 2" xfId="41439" xr:uid="{00000000-0005-0000-0000-00001E9A0000}"/>
    <cellStyle name="Percent 7 2 7 3 6" xfId="17012" xr:uid="{00000000-0005-0000-0000-00001F9A0000}"/>
    <cellStyle name="Percent 7 2 7 4" xfId="9402" xr:uid="{00000000-0005-0000-0000-0000209A0000}"/>
    <cellStyle name="Percent 7 2 7 4 2" xfId="10456" xr:uid="{00000000-0005-0000-0000-0000219A0000}"/>
    <cellStyle name="Percent 7 2 7 4 2 2" xfId="14050" xr:uid="{00000000-0005-0000-0000-0000229A0000}"/>
    <cellStyle name="Percent 7 2 7 4 2 2 2" xfId="41442" xr:uid="{00000000-0005-0000-0000-0000239A0000}"/>
    <cellStyle name="Percent 7 2 7 4 2 3" xfId="17018" xr:uid="{00000000-0005-0000-0000-0000249A0000}"/>
    <cellStyle name="Percent 7 2 7 4 3" xfId="12997" xr:uid="{00000000-0005-0000-0000-0000259A0000}"/>
    <cellStyle name="Percent 7 2 7 4 3 2" xfId="41441" xr:uid="{00000000-0005-0000-0000-0000269A0000}"/>
    <cellStyle name="Percent 7 2 7 4 4" xfId="17017" xr:uid="{00000000-0005-0000-0000-0000279A0000}"/>
    <cellStyle name="Percent 7 2 7 5" xfId="9918" xr:uid="{00000000-0005-0000-0000-0000289A0000}"/>
    <cellStyle name="Percent 7 2 7 5 2" xfId="13512" xr:uid="{00000000-0005-0000-0000-0000299A0000}"/>
    <cellStyle name="Percent 7 2 7 5 2 2" xfId="41443" xr:uid="{00000000-0005-0000-0000-00002A9A0000}"/>
    <cellStyle name="Percent 7 2 7 5 3" xfId="17019" xr:uid="{00000000-0005-0000-0000-00002B9A0000}"/>
    <cellStyle name="Percent 7 2 7 6" xfId="11257" xr:uid="{00000000-0005-0000-0000-00002C9A0000}"/>
    <cellStyle name="Percent 7 2 7 6 2" xfId="14849" xr:uid="{00000000-0005-0000-0000-00002D9A0000}"/>
    <cellStyle name="Percent 7 2 7 6 2 2" xfId="41444" xr:uid="{00000000-0005-0000-0000-00002E9A0000}"/>
    <cellStyle name="Percent 7 2 7 6 3" xfId="17020" xr:uid="{00000000-0005-0000-0000-00002F9A0000}"/>
    <cellStyle name="Percent 7 2 7 7" xfId="12459" xr:uid="{00000000-0005-0000-0000-0000309A0000}"/>
    <cellStyle name="Percent 7 2 7 7 2" xfId="41436" xr:uid="{00000000-0005-0000-0000-0000319A0000}"/>
    <cellStyle name="Percent 7 2 7 8" xfId="17001" xr:uid="{00000000-0005-0000-0000-0000329A0000}"/>
    <cellStyle name="Percent 7 2 8" xfId="8880" xr:uid="{00000000-0005-0000-0000-0000339A0000}"/>
    <cellStyle name="Percent 7 2 8 2" xfId="9136" xr:uid="{00000000-0005-0000-0000-0000349A0000}"/>
    <cellStyle name="Percent 7 2 8 2 2" xfId="9704" xr:uid="{00000000-0005-0000-0000-0000359A0000}"/>
    <cellStyle name="Percent 7 2 8 2 2 2" xfId="10758" xr:uid="{00000000-0005-0000-0000-0000369A0000}"/>
    <cellStyle name="Percent 7 2 8 2 2 2 2" xfId="14352" xr:uid="{00000000-0005-0000-0000-0000379A0000}"/>
    <cellStyle name="Percent 7 2 8 2 2 2 3" xfId="17024" xr:uid="{00000000-0005-0000-0000-0000389A0000}"/>
    <cellStyle name="Percent 7 2 8 2 2 3" xfId="13299" xr:uid="{00000000-0005-0000-0000-0000399A0000}"/>
    <cellStyle name="Percent 7 2 8 2 2 3 2" xfId="41447" xr:uid="{00000000-0005-0000-0000-00003A9A0000}"/>
    <cellStyle name="Percent 7 2 8 2 2 4" xfId="17023" xr:uid="{00000000-0005-0000-0000-00003B9A0000}"/>
    <cellStyle name="Percent 7 2 8 2 3" xfId="10220" xr:uid="{00000000-0005-0000-0000-00003C9A0000}"/>
    <cellStyle name="Percent 7 2 8 2 3 2" xfId="13814" xr:uid="{00000000-0005-0000-0000-00003D9A0000}"/>
    <cellStyle name="Percent 7 2 8 2 3 3" xfId="17025" xr:uid="{00000000-0005-0000-0000-00003E9A0000}"/>
    <cellStyle name="Percent 7 2 8 2 4" xfId="11262" xr:uid="{00000000-0005-0000-0000-00003F9A0000}"/>
    <cellStyle name="Percent 7 2 8 2 4 2" xfId="14854" xr:uid="{00000000-0005-0000-0000-0000409A0000}"/>
    <cellStyle name="Percent 7 2 8 2 4 3" xfId="17026" xr:uid="{00000000-0005-0000-0000-0000419A0000}"/>
    <cellStyle name="Percent 7 2 8 2 5" xfId="12761" xr:uid="{00000000-0005-0000-0000-0000429A0000}"/>
    <cellStyle name="Percent 7 2 8 2 5 2" xfId="41446" xr:uid="{00000000-0005-0000-0000-0000439A0000}"/>
    <cellStyle name="Percent 7 2 8 2 6" xfId="17022" xr:uid="{00000000-0005-0000-0000-0000449A0000}"/>
    <cellStyle name="Percent 7 2 8 3" xfId="9448" xr:uid="{00000000-0005-0000-0000-0000459A0000}"/>
    <cellStyle name="Percent 7 2 8 3 2" xfId="10502" xr:uid="{00000000-0005-0000-0000-0000469A0000}"/>
    <cellStyle name="Percent 7 2 8 3 2 2" xfId="14096" xr:uid="{00000000-0005-0000-0000-0000479A0000}"/>
    <cellStyle name="Percent 7 2 8 3 2 2 2" xfId="41449" xr:uid="{00000000-0005-0000-0000-0000489A0000}"/>
    <cellStyle name="Percent 7 2 8 3 2 3" xfId="17028" xr:uid="{00000000-0005-0000-0000-0000499A0000}"/>
    <cellStyle name="Percent 7 2 8 3 3" xfId="13043" xr:uid="{00000000-0005-0000-0000-00004A9A0000}"/>
    <cellStyle name="Percent 7 2 8 3 3 2" xfId="41448" xr:uid="{00000000-0005-0000-0000-00004B9A0000}"/>
    <cellStyle name="Percent 7 2 8 3 4" xfId="17027" xr:uid="{00000000-0005-0000-0000-00004C9A0000}"/>
    <cellStyle name="Percent 7 2 8 4" xfId="9964" xr:uid="{00000000-0005-0000-0000-00004D9A0000}"/>
    <cellStyle name="Percent 7 2 8 4 2" xfId="13558" xr:uid="{00000000-0005-0000-0000-00004E9A0000}"/>
    <cellStyle name="Percent 7 2 8 4 2 2" xfId="41450" xr:uid="{00000000-0005-0000-0000-00004F9A0000}"/>
    <cellStyle name="Percent 7 2 8 4 3" xfId="17029" xr:uid="{00000000-0005-0000-0000-0000509A0000}"/>
    <cellStyle name="Percent 7 2 8 5" xfId="11261" xr:uid="{00000000-0005-0000-0000-0000519A0000}"/>
    <cellStyle name="Percent 7 2 8 5 2" xfId="14853" xr:uid="{00000000-0005-0000-0000-0000529A0000}"/>
    <cellStyle name="Percent 7 2 8 5 2 2" xfId="41451" xr:uid="{00000000-0005-0000-0000-0000539A0000}"/>
    <cellStyle name="Percent 7 2 8 5 3" xfId="17030" xr:uid="{00000000-0005-0000-0000-0000549A0000}"/>
    <cellStyle name="Percent 7 2 8 6" xfId="12505" xr:uid="{00000000-0005-0000-0000-0000559A0000}"/>
    <cellStyle name="Percent 7 2 8 6 2" xfId="41445" xr:uid="{00000000-0005-0000-0000-0000569A0000}"/>
    <cellStyle name="Percent 7 2 8 7" xfId="17021" xr:uid="{00000000-0005-0000-0000-0000579A0000}"/>
    <cellStyle name="Percent 7 2 9" xfId="9008" xr:uid="{00000000-0005-0000-0000-0000589A0000}"/>
    <cellStyle name="Percent 7 2 9 2" xfId="9576" xr:uid="{00000000-0005-0000-0000-0000599A0000}"/>
    <cellStyle name="Percent 7 2 9 2 2" xfId="10630" xr:uid="{00000000-0005-0000-0000-00005A9A0000}"/>
    <cellStyle name="Percent 7 2 9 2 2 2" xfId="14224" xr:uid="{00000000-0005-0000-0000-00005B9A0000}"/>
    <cellStyle name="Percent 7 2 9 2 2 3" xfId="17033" xr:uid="{00000000-0005-0000-0000-00005C9A0000}"/>
    <cellStyle name="Percent 7 2 9 2 3" xfId="13171" xr:uid="{00000000-0005-0000-0000-00005D9A0000}"/>
    <cellStyle name="Percent 7 2 9 2 3 2" xfId="41453" xr:uid="{00000000-0005-0000-0000-00005E9A0000}"/>
    <cellStyle name="Percent 7 2 9 2 4" xfId="17032" xr:uid="{00000000-0005-0000-0000-00005F9A0000}"/>
    <cellStyle name="Percent 7 2 9 3" xfId="10092" xr:uid="{00000000-0005-0000-0000-0000609A0000}"/>
    <cellStyle name="Percent 7 2 9 3 2" xfId="13686" xr:uid="{00000000-0005-0000-0000-0000619A0000}"/>
    <cellStyle name="Percent 7 2 9 3 3" xfId="17034" xr:uid="{00000000-0005-0000-0000-0000629A0000}"/>
    <cellStyle name="Percent 7 2 9 4" xfId="11263" xr:uid="{00000000-0005-0000-0000-0000639A0000}"/>
    <cellStyle name="Percent 7 2 9 4 2" xfId="14855" xr:uid="{00000000-0005-0000-0000-0000649A0000}"/>
    <cellStyle name="Percent 7 2 9 4 3" xfId="17035" xr:uid="{00000000-0005-0000-0000-0000659A0000}"/>
    <cellStyle name="Percent 7 2 9 5" xfId="12633" xr:uid="{00000000-0005-0000-0000-0000669A0000}"/>
    <cellStyle name="Percent 7 2 9 5 2" xfId="41452" xr:uid="{00000000-0005-0000-0000-0000679A0000}"/>
    <cellStyle name="Percent 7 2 9 6" xfId="17031" xr:uid="{00000000-0005-0000-0000-0000689A0000}"/>
    <cellStyle name="Percent 7 3" xfId="8757" xr:uid="{00000000-0005-0000-0000-0000699A0000}"/>
    <cellStyle name="Percent 7 3 10" xfId="9844" xr:uid="{00000000-0005-0000-0000-00006A9A0000}"/>
    <cellStyle name="Percent 7 3 10 2" xfId="13438" xr:uid="{00000000-0005-0000-0000-00006B9A0000}"/>
    <cellStyle name="Percent 7 3 10 2 2" xfId="41456" xr:uid="{00000000-0005-0000-0000-00006C9A0000}"/>
    <cellStyle name="Percent 7 3 10 3" xfId="41455" xr:uid="{00000000-0005-0000-0000-00006D9A0000}"/>
    <cellStyle name="Percent 7 3 10 4" xfId="17037" xr:uid="{00000000-0005-0000-0000-00006E9A0000}"/>
    <cellStyle name="Percent 7 3 11" xfId="11264" xr:uid="{00000000-0005-0000-0000-00006F9A0000}"/>
    <cellStyle name="Percent 7 3 11 2" xfId="14856" xr:uid="{00000000-0005-0000-0000-0000709A0000}"/>
    <cellStyle name="Percent 7 3 11 2 2" xfId="41458" xr:uid="{00000000-0005-0000-0000-0000719A0000}"/>
    <cellStyle name="Percent 7 3 11 3" xfId="41457" xr:uid="{00000000-0005-0000-0000-0000729A0000}"/>
    <cellStyle name="Percent 7 3 11 4" xfId="17038" xr:uid="{00000000-0005-0000-0000-0000739A0000}"/>
    <cellStyle name="Percent 7 3 12" xfId="12385" xr:uid="{00000000-0005-0000-0000-0000749A0000}"/>
    <cellStyle name="Percent 7 3 12 2" xfId="41459" xr:uid="{00000000-0005-0000-0000-0000759A0000}"/>
    <cellStyle name="Percent 7 3 13" xfId="41460" xr:uid="{00000000-0005-0000-0000-0000769A0000}"/>
    <cellStyle name="Percent 7 3 14" xfId="41454" xr:uid="{00000000-0005-0000-0000-0000779A0000}"/>
    <cellStyle name="Percent 7 3 15" xfId="17036" xr:uid="{00000000-0005-0000-0000-0000789A0000}"/>
    <cellStyle name="Percent 7 3 2" xfId="8758" xr:uid="{00000000-0005-0000-0000-0000799A0000}"/>
    <cellStyle name="Percent 7 3 2 10" xfId="11265" xr:uid="{00000000-0005-0000-0000-00007A9A0000}"/>
    <cellStyle name="Percent 7 3 2 10 2" xfId="14857" xr:uid="{00000000-0005-0000-0000-00007B9A0000}"/>
    <cellStyle name="Percent 7 3 2 10 2 2" xfId="41462" xr:uid="{00000000-0005-0000-0000-00007C9A0000}"/>
    <cellStyle name="Percent 7 3 2 10 3" xfId="17040" xr:uid="{00000000-0005-0000-0000-00007D9A0000}"/>
    <cellStyle name="Percent 7 3 2 11" xfId="12386" xr:uid="{00000000-0005-0000-0000-00007E9A0000}"/>
    <cellStyle name="Percent 7 3 2 11 2" xfId="41463" xr:uid="{00000000-0005-0000-0000-00007F9A0000}"/>
    <cellStyle name="Percent 7 3 2 12" xfId="41461" xr:uid="{00000000-0005-0000-0000-0000809A0000}"/>
    <cellStyle name="Percent 7 3 2 13" xfId="17039" xr:uid="{00000000-0005-0000-0000-0000819A0000}"/>
    <cellStyle name="Percent 7 3 2 2" xfId="8759" xr:uid="{00000000-0005-0000-0000-0000829A0000}"/>
    <cellStyle name="Percent 7 3 2 2 10" xfId="12387" xr:uid="{00000000-0005-0000-0000-0000839A0000}"/>
    <cellStyle name="Percent 7 3 2 2 10 2" xfId="41464" xr:uid="{00000000-0005-0000-0000-0000849A0000}"/>
    <cellStyle name="Percent 7 3 2 2 11" xfId="17041" xr:uid="{00000000-0005-0000-0000-0000859A0000}"/>
    <cellStyle name="Percent 7 3 2 2 2" xfId="8796" xr:uid="{00000000-0005-0000-0000-0000869A0000}"/>
    <cellStyle name="Percent 7 3 2 2 2 2" xfId="8924" xr:uid="{00000000-0005-0000-0000-0000879A0000}"/>
    <cellStyle name="Percent 7 3 2 2 2 2 2" xfId="9180" xr:uid="{00000000-0005-0000-0000-0000889A0000}"/>
    <cellStyle name="Percent 7 3 2 2 2 2 2 2" xfId="9748" xr:uid="{00000000-0005-0000-0000-0000899A0000}"/>
    <cellStyle name="Percent 7 3 2 2 2 2 2 2 2" xfId="10802" xr:uid="{00000000-0005-0000-0000-00008A9A0000}"/>
    <cellStyle name="Percent 7 3 2 2 2 2 2 2 2 2" xfId="14396" xr:uid="{00000000-0005-0000-0000-00008B9A0000}"/>
    <cellStyle name="Percent 7 3 2 2 2 2 2 2 2 3" xfId="17046" xr:uid="{00000000-0005-0000-0000-00008C9A0000}"/>
    <cellStyle name="Percent 7 3 2 2 2 2 2 2 3" xfId="13343" xr:uid="{00000000-0005-0000-0000-00008D9A0000}"/>
    <cellStyle name="Percent 7 3 2 2 2 2 2 2 4" xfId="17045" xr:uid="{00000000-0005-0000-0000-00008E9A0000}"/>
    <cellStyle name="Percent 7 3 2 2 2 2 2 3" xfId="10264" xr:uid="{00000000-0005-0000-0000-00008F9A0000}"/>
    <cellStyle name="Percent 7 3 2 2 2 2 2 3 2" xfId="13858" xr:uid="{00000000-0005-0000-0000-0000909A0000}"/>
    <cellStyle name="Percent 7 3 2 2 2 2 2 3 3" xfId="17047" xr:uid="{00000000-0005-0000-0000-0000919A0000}"/>
    <cellStyle name="Percent 7 3 2 2 2 2 2 4" xfId="11269" xr:uid="{00000000-0005-0000-0000-0000929A0000}"/>
    <cellStyle name="Percent 7 3 2 2 2 2 2 4 2" xfId="14861" xr:uid="{00000000-0005-0000-0000-0000939A0000}"/>
    <cellStyle name="Percent 7 3 2 2 2 2 2 4 3" xfId="17048" xr:uid="{00000000-0005-0000-0000-0000949A0000}"/>
    <cellStyle name="Percent 7 3 2 2 2 2 2 5" xfId="12805" xr:uid="{00000000-0005-0000-0000-0000959A0000}"/>
    <cellStyle name="Percent 7 3 2 2 2 2 2 6" xfId="17044" xr:uid="{00000000-0005-0000-0000-0000969A0000}"/>
    <cellStyle name="Percent 7 3 2 2 2 2 3" xfId="9492" xr:uid="{00000000-0005-0000-0000-0000979A0000}"/>
    <cellStyle name="Percent 7 3 2 2 2 2 3 2" xfId="10546" xr:uid="{00000000-0005-0000-0000-0000989A0000}"/>
    <cellStyle name="Percent 7 3 2 2 2 2 3 2 2" xfId="14140" xr:uid="{00000000-0005-0000-0000-0000999A0000}"/>
    <cellStyle name="Percent 7 3 2 2 2 2 3 2 3" xfId="17050" xr:uid="{00000000-0005-0000-0000-00009A9A0000}"/>
    <cellStyle name="Percent 7 3 2 2 2 2 3 3" xfId="13087" xr:uid="{00000000-0005-0000-0000-00009B9A0000}"/>
    <cellStyle name="Percent 7 3 2 2 2 2 3 4" xfId="17049" xr:uid="{00000000-0005-0000-0000-00009C9A0000}"/>
    <cellStyle name="Percent 7 3 2 2 2 2 4" xfId="10008" xr:uid="{00000000-0005-0000-0000-00009D9A0000}"/>
    <cellStyle name="Percent 7 3 2 2 2 2 4 2" xfId="13602" xr:uid="{00000000-0005-0000-0000-00009E9A0000}"/>
    <cellStyle name="Percent 7 3 2 2 2 2 4 3" xfId="17051" xr:uid="{00000000-0005-0000-0000-00009F9A0000}"/>
    <cellStyle name="Percent 7 3 2 2 2 2 5" xfId="11268" xr:uid="{00000000-0005-0000-0000-0000A09A0000}"/>
    <cellStyle name="Percent 7 3 2 2 2 2 5 2" xfId="14860" xr:uid="{00000000-0005-0000-0000-0000A19A0000}"/>
    <cellStyle name="Percent 7 3 2 2 2 2 5 3" xfId="17052" xr:uid="{00000000-0005-0000-0000-0000A29A0000}"/>
    <cellStyle name="Percent 7 3 2 2 2 2 6" xfId="12549" xr:uid="{00000000-0005-0000-0000-0000A39A0000}"/>
    <cellStyle name="Percent 7 3 2 2 2 2 6 2" xfId="41466" xr:uid="{00000000-0005-0000-0000-0000A49A0000}"/>
    <cellStyle name="Percent 7 3 2 2 2 2 7" xfId="17043" xr:uid="{00000000-0005-0000-0000-0000A59A0000}"/>
    <cellStyle name="Percent 7 3 2 2 2 3" xfId="9052" xr:uid="{00000000-0005-0000-0000-0000A69A0000}"/>
    <cellStyle name="Percent 7 3 2 2 2 3 2" xfId="9620" xr:uid="{00000000-0005-0000-0000-0000A79A0000}"/>
    <cellStyle name="Percent 7 3 2 2 2 3 2 2" xfId="10674" xr:uid="{00000000-0005-0000-0000-0000A89A0000}"/>
    <cellStyle name="Percent 7 3 2 2 2 3 2 2 2" xfId="14268" xr:uid="{00000000-0005-0000-0000-0000A99A0000}"/>
    <cellStyle name="Percent 7 3 2 2 2 3 2 2 3" xfId="17055" xr:uid="{00000000-0005-0000-0000-0000AA9A0000}"/>
    <cellStyle name="Percent 7 3 2 2 2 3 2 3" xfId="13215" xr:uid="{00000000-0005-0000-0000-0000AB9A0000}"/>
    <cellStyle name="Percent 7 3 2 2 2 3 2 4" xfId="17054" xr:uid="{00000000-0005-0000-0000-0000AC9A0000}"/>
    <cellStyle name="Percent 7 3 2 2 2 3 3" xfId="10136" xr:uid="{00000000-0005-0000-0000-0000AD9A0000}"/>
    <cellStyle name="Percent 7 3 2 2 2 3 3 2" xfId="13730" xr:uid="{00000000-0005-0000-0000-0000AE9A0000}"/>
    <cellStyle name="Percent 7 3 2 2 2 3 3 3" xfId="17056" xr:uid="{00000000-0005-0000-0000-0000AF9A0000}"/>
    <cellStyle name="Percent 7 3 2 2 2 3 4" xfId="11270" xr:uid="{00000000-0005-0000-0000-0000B09A0000}"/>
    <cellStyle name="Percent 7 3 2 2 2 3 4 2" xfId="14862" xr:uid="{00000000-0005-0000-0000-0000B19A0000}"/>
    <cellStyle name="Percent 7 3 2 2 2 3 4 3" xfId="17057" xr:uid="{00000000-0005-0000-0000-0000B29A0000}"/>
    <cellStyle name="Percent 7 3 2 2 2 3 5" xfId="12677" xr:uid="{00000000-0005-0000-0000-0000B39A0000}"/>
    <cellStyle name="Percent 7 3 2 2 2 3 6" xfId="17053" xr:uid="{00000000-0005-0000-0000-0000B49A0000}"/>
    <cellStyle name="Percent 7 3 2 2 2 4" xfId="9364" xr:uid="{00000000-0005-0000-0000-0000B59A0000}"/>
    <cellStyle name="Percent 7 3 2 2 2 4 2" xfId="10418" xr:uid="{00000000-0005-0000-0000-0000B69A0000}"/>
    <cellStyle name="Percent 7 3 2 2 2 4 2 2" xfId="14012" xr:uid="{00000000-0005-0000-0000-0000B79A0000}"/>
    <cellStyle name="Percent 7 3 2 2 2 4 2 3" xfId="17059" xr:uid="{00000000-0005-0000-0000-0000B89A0000}"/>
    <cellStyle name="Percent 7 3 2 2 2 4 3" xfId="12959" xr:uid="{00000000-0005-0000-0000-0000B99A0000}"/>
    <cellStyle name="Percent 7 3 2 2 2 4 4" xfId="17058" xr:uid="{00000000-0005-0000-0000-0000BA9A0000}"/>
    <cellStyle name="Percent 7 3 2 2 2 5" xfId="9880" xr:uid="{00000000-0005-0000-0000-0000BB9A0000}"/>
    <cellStyle name="Percent 7 3 2 2 2 5 2" xfId="13474" xr:uid="{00000000-0005-0000-0000-0000BC9A0000}"/>
    <cellStyle name="Percent 7 3 2 2 2 5 3" xfId="17060" xr:uid="{00000000-0005-0000-0000-0000BD9A0000}"/>
    <cellStyle name="Percent 7 3 2 2 2 6" xfId="11267" xr:uid="{00000000-0005-0000-0000-0000BE9A0000}"/>
    <cellStyle name="Percent 7 3 2 2 2 6 2" xfId="14859" xr:uid="{00000000-0005-0000-0000-0000BF9A0000}"/>
    <cellStyle name="Percent 7 3 2 2 2 6 3" xfId="17061" xr:uid="{00000000-0005-0000-0000-0000C09A0000}"/>
    <cellStyle name="Percent 7 3 2 2 2 7" xfId="12421" xr:uid="{00000000-0005-0000-0000-0000C19A0000}"/>
    <cellStyle name="Percent 7 3 2 2 2 7 2" xfId="41465" xr:uid="{00000000-0005-0000-0000-0000C29A0000}"/>
    <cellStyle name="Percent 7 3 2 2 2 8" xfId="17042" xr:uid="{00000000-0005-0000-0000-0000C39A0000}"/>
    <cellStyle name="Percent 7 3 2 2 3" xfId="8828" xr:uid="{00000000-0005-0000-0000-0000C49A0000}"/>
    <cellStyle name="Percent 7 3 2 2 3 2" xfId="8956" xr:uid="{00000000-0005-0000-0000-0000C59A0000}"/>
    <cellStyle name="Percent 7 3 2 2 3 2 2" xfId="9212" xr:uid="{00000000-0005-0000-0000-0000C69A0000}"/>
    <cellStyle name="Percent 7 3 2 2 3 2 2 2" xfId="9780" xr:uid="{00000000-0005-0000-0000-0000C79A0000}"/>
    <cellStyle name="Percent 7 3 2 2 3 2 2 2 2" xfId="10834" xr:uid="{00000000-0005-0000-0000-0000C89A0000}"/>
    <cellStyle name="Percent 7 3 2 2 3 2 2 2 2 2" xfId="14428" xr:uid="{00000000-0005-0000-0000-0000C99A0000}"/>
    <cellStyle name="Percent 7 3 2 2 3 2 2 2 2 3" xfId="17066" xr:uid="{00000000-0005-0000-0000-0000CA9A0000}"/>
    <cellStyle name="Percent 7 3 2 2 3 2 2 2 3" xfId="13375" xr:uid="{00000000-0005-0000-0000-0000CB9A0000}"/>
    <cellStyle name="Percent 7 3 2 2 3 2 2 2 4" xfId="17065" xr:uid="{00000000-0005-0000-0000-0000CC9A0000}"/>
    <cellStyle name="Percent 7 3 2 2 3 2 2 3" xfId="10296" xr:uid="{00000000-0005-0000-0000-0000CD9A0000}"/>
    <cellStyle name="Percent 7 3 2 2 3 2 2 3 2" xfId="13890" xr:uid="{00000000-0005-0000-0000-0000CE9A0000}"/>
    <cellStyle name="Percent 7 3 2 2 3 2 2 3 3" xfId="17067" xr:uid="{00000000-0005-0000-0000-0000CF9A0000}"/>
    <cellStyle name="Percent 7 3 2 2 3 2 2 4" xfId="11273" xr:uid="{00000000-0005-0000-0000-0000D09A0000}"/>
    <cellStyle name="Percent 7 3 2 2 3 2 2 4 2" xfId="14865" xr:uid="{00000000-0005-0000-0000-0000D19A0000}"/>
    <cellStyle name="Percent 7 3 2 2 3 2 2 4 3" xfId="17068" xr:uid="{00000000-0005-0000-0000-0000D29A0000}"/>
    <cellStyle name="Percent 7 3 2 2 3 2 2 5" xfId="12837" xr:uid="{00000000-0005-0000-0000-0000D39A0000}"/>
    <cellStyle name="Percent 7 3 2 2 3 2 2 6" xfId="17064" xr:uid="{00000000-0005-0000-0000-0000D49A0000}"/>
    <cellStyle name="Percent 7 3 2 2 3 2 3" xfId="9524" xr:uid="{00000000-0005-0000-0000-0000D59A0000}"/>
    <cellStyle name="Percent 7 3 2 2 3 2 3 2" xfId="10578" xr:uid="{00000000-0005-0000-0000-0000D69A0000}"/>
    <cellStyle name="Percent 7 3 2 2 3 2 3 2 2" xfId="14172" xr:uid="{00000000-0005-0000-0000-0000D79A0000}"/>
    <cellStyle name="Percent 7 3 2 2 3 2 3 2 3" xfId="17070" xr:uid="{00000000-0005-0000-0000-0000D89A0000}"/>
    <cellStyle name="Percent 7 3 2 2 3 2 3 3" xfId="13119" xr:uid="{00000000-0005-0000-0000-0000D99A0000}"/>
    <cellStyle name="Percent 7 3 2 2 3 2 3 4" xfId="17069" xr:uid="{00000000-0005-0000-0000-0000DA9A0000}"/>
    <cellStyle name="Percent 7 3 2 2 3 2 4" xfId="10040" xr:uid="{00000000-0005-0000-0000-0000DB9A0000}"/>
    <cellStyle name="Percent 7 3 2 2 3 2 4 2" xfId="13634" xr:uid="{00000000-0005-0000-0000-0000DC9A0000}"/>
    <cellStyle name="Percent 7 3 2 2 3 2 4 3" xfId="17071" xr:uid="{00000000-0005-0000-0000-0000DD9A0000}"/>
    <cellStyle name="Percent 7 3 2 2 3 2 5" xfId="11272" xr:uid="{00000000-0005-0000-0000-0000DE9A0000}"/>
    <cellStyle name="Percent 7 3 2 2 3 2 5 2" xfId="14864" xr:uid="{00000000-0005-0000-0000-0000DF9A0000}"/>
    <cellStyle name="Percent 7 3 2 2 3 2 5 3" xfId="17072" xr:uid="{00000000-0005-0000-0000-0000E09A0000}"/>
    <cellStyle name="Percent 7 3 2 2 3 2 6" xfId="12581" xr:uid="{00000000-0005-0000-0000-0000E19A0000}"/>
    <cellStyle name="Percent 7 3 2 2 3 2 6 2" xfId="41468" xr:uid="{00000000-0005-0000-0000-0000E29A0000}"/>
    <cellStyle name="Percent 7 3 2 2 3 2 7" xfId="17063" xr:uid="{00000000-0005-0000-0000-0000E39A0000}"/>
    <cellStyle name="Percent 7 3 2 2 3 3" xfId="9084" xr:uid="{00000000-0005-0000-0000-0000E49A0000}"/>
    <cellStyle name="Percent 7 3 2 2 3 3 2" xfId="9652" xr:uid="{00000000-0005-0000-0000-0000E59A0000}"/>
    <cellStyle name="Percent 7 3 2 2 3 3 2 2" xfId="10706" xr:uid="{00000000-0005-0000-0000-0000E69A0000}"/>
    <cellStyle name="Percent 7 3 2 2 3 3 2 2 2" xfId="14300" xr:uid="{00000000-0005-0000-0000-0000E79A0000}"/>
    <cellStyle name="Percent 7 3 2 2 3 3 2 2 3" xfId="17075" xr:uid="{00000000-0005-0000-0000-0000E89A0000}"/>
    <cellStyle name="Percent 7 3 2 2 3 3 2 3" xfId="13247" xr:uid="{00000000-0005-0000-0000-0000E99A0000}"/>
    <cellStyle name="Percent 7 3 2 2 3 3 2 4" xfId="17074" xr:uid="{00000000-0005-0000-0000-0000EA9A0000}"/>
    <cellStyle name="Percent 7 3 2 2 3 3 3" xfId="10168" xr:uid="{00000000-0005-0000-0000-0000EB9A0000}"/>
    <cellStyle name="Percent 7 3 2 2 3 3 3 2" xfId="13762" xr:uid="{00000000-0005-0000-0000-0000EC9A0000}"/>
    <cellStyle name="Percent 7 3 2 2 3 3 3 3" xfId="17076" xr:uid="{00000000-0005-0000-0000-0000ED9A0000}"/>
    <cellStyle name="Percent 7 3 2 2 3 3 4" xfId="11274" xr:uid="{00000000-0005-0000-0000-0000EE9A0000}"/>
    <cellStyle name="Percent 7 3 2 2 3 3 4 2" xfId="14866" xr:uid="{00000000-0005-0000-0000-0000EF9A0000}"/>
    <cellStyle name="Percent 7 3 2 2 3 3 4 3" xfId="17077" xr:uid="{00000000-0005-0000-0000-0000F09A0000}"/>
    <cellStyle name="Percent 7 3 2 2 3 3 5" xfId="12709" xr:uid="{00000000-0005-0000-0000-0000F19A0000}"/>
    <cellStyle name="Percent 7 3 2 2 3 3 6" xfId="17073" xr:uid="{00000000-0005-0000-0000-0000F29A0000}"/>
    <cellStyle name="Percent 7 3 2 2 3 4" xfId="9396" xr:uid="{00000000-0005-0000-0000-0000F39A0000}"/>
    <cellStyle name="Percent 7 3 2 2 3 4 2" xfId="10450" xr:uid="{00000000-0005-0000-0000-0000F49A0000}"/>
    <cellStyle name="Percent 7 3 2 2 3 4 2 2" xfId="14044" xr:uid="{00000000-0005-0000-0000-0000F59A0000}"/>
    <cellStyle name="Percent 7 3 2 2 3 4 2 3" xfId="17079" xr:uid="{00000000-0005-0000-0000-0000F69A0000}"/>
    <cellStyle name="Percent 7 3 2 2 3 4 3" xfId="12991" xr:uid="{00000000-0005-0000-0000-0000F79A0000}"/>
    <cellStyle name="Percent 7 3 2 2 3 4 4" xfId="17078" xr:uid="{00000000-0005-0000-0000-0000F89A0000}"/>
    <cellStyle name="Percent 7 3 2 2 3 5" xfId="9912" xr:uid="{00000000-0005-0000-0000-0000F99A0000}"/>
    <cellStyle name="Percent 7 3 2 2 3 5 2" xfId="13506" xr:uid="{00000000-0005-0000-0000-0000FA9A0000}"/>
    <cellStyle name="Percent 7 3 2 2 3 5 3" xfId="17080" xr:uid="{00000000-0005-0000-0000-0000FB9A0000}"/>
    <cellStyle name="Percent 7 3 2 2 3 6" xfId="11271" xr:uid="{00000000-0005-0000-0000-0000FC9A0000}"/>
    <cellStyle name="Percent 7 3 2 2 3 6 2" xfId="14863" xr:uid="{00000000-0005-0000-0000-0000FD9A0000}"/>
    <cellStyle name="Percent 7 3 2 2 3 6 3" xfId="17081" xr:uid="{00000000-0005-0000-0000-0000FE9A0000}"/>
    <cellStyle name="Percent 7 3 2 2 3 7" xfId="12453" xr:uid="{00000000-0005-0000-0000-0000FF9A0000}"/>
    <cellStyle name="Percent 7 3 2 2 3 7 2" xfId="41467" xr:uid="{00000000-0005-0000-0000-0000009B0000}"/>
    <cellStyle name="Percent 7 3 2 2 3 8" xfId="17062" xr:uid="{00000000-0005-0000-0000-0000019B0000}"/>
    <cellStyle name="Percent 7 3 2 2 4" xfId="8860" xr:uid="{00000000-0005-0000-0000-0000029B0000}"/>
    <cellStyle name="Percent 7 3 2 2 4 2" xfId="8988" xr:uid="{00000000-0005-0000-0000-0000039B0000}"/>
    <cellStyle name="Percent 7 3 2 2 4 2 2" xfId="9244" xr:uid="{00000000-0005-0000-0000-0000049B0000}"/>
    <cellStyle name="Percent 7 3 2 2 4 2 2 2" xfId="9812" xr:uid="{00000000-0005-0000-0000-0000059B0000}"/>
    <cellStyle name="Percent 7 3 2 2 4 2 2 2 2" xfId="10866" xr:uid="{00000000-0005-0000-0000-0000069B0000}"/>
    <cellStyle name="Percent 7 3 2 2 4 2 2 2 2 2" xfId="14460" xr:uid="{00000000-0005-0000-0000-0000079B0000}"/>
    <cellStyle name="Percent 7 3 2 2 4 2 2 2 2 3" xfId="17086" xr:uid="{00000000-0005-0000-0000-0000089B0000}"/>
    <cellStyle name="Percent 7 3 2 2 4 2 2 2 3" xfId="13407" xr:uid="{00000000-0005-0000-0000-0000099B0000}"/>
    <cellStyle name="Percent 7 3 2 2 4 2 2 2 4" xfId="17085" xr:uid="{00000000-0005-0000-0000-00000A9B0000}"/>
    <cellStyle name="Percent 7 3 2 2 4 2 2 3" xfId="10328" xr:uid="{00000000-0005-0000-0000-00000B9B0000}"/>
    <cellStyle name="Percent 7 3 2 2 4 2 2 3 2" xfId="13922" xr:uid="{00000000-0005-0000-0000-00000C9B0000}"/>
    <cellStyle name="Percent 7 3 2 2 4 2 2 3 3" xfId="17087" xr:uid="{00000000-0005-0000-0000-00000D9B0000}"/>
    <cellStyle name="Percent 7 3 2 2 4 2 2 4" xfId="11277" xr:uid="{00000000-0005-0000-0000-00000E9B0000}"/>
    <cellStyle name="Percent 7 3 2 2 4 2 2 4 2" xfId="14869" xr:uid="{00000000-0005-0000-0000-00000F9B0000}"/>
    <cellStyle name="Percent 7 3 2 2 4 2 2 4 3" xfId="17088" xr:uid="{00000000-0005-0000-0000-0000109B0000}"/>
    <cellStyle name="Percent 7 3 2 2 4 2 2 5" xfId="12869" xr:uid="{00000000-0005-0000-0000-0000119B0000}"/>
    <cellStyle name="Percent 7 3 2 2 4 2 2 6" xfId="17084" xr:uid="{00000000-0005-0000-0000-0000129B0000}"/>
    <cellStyle name="Percent 7 3 2 2 4 2 3" xfId="9556" xr:uid="{00000000-0005-0000-0000-0000139B0000}"/>
    <cellStyle name="Percent 7 3 2 2 4 2 3 2" xfId="10610" xr:uid="{00000000-0005-0000-0000-0000149B0000}"/>
    <cellStyle name="Percent 7 3 2 2 4 2 3 2 2" xfId="14204" xr:uid="{00000000-0005-0000-0000-0000159B0000}"/>
    <cellStyle name="Percent 7 3 2 2 4 2 3 2 3" xfId="17090" xr:uid="{00000000-0005-0000-0000-0000169B0000}"/>
    <cellStyle name="Percent 7 3 2 2 4 2 3 3" xfId="13151" xr:uid="{00000000-0005-0000-0000-0000179B0000}"/>
    <cellStyle name="Percent 7 3 2 2 4 2 3 4" xfId="17089" xr:uid="{00000000-0005-0000-0000-0000189B0000}"/>
    <cellStyle name="Percent 7 3 2 2 4 2 4" xfId="10072" xr:uid="{00000000-0005-0000-0000-0000199B0000}"/>
    <cellStyle name="Percent 7 3 2 2 4 2 4 2" xfId="13666" xr:uid="{00000000-0005-0000-0000-00001A9B0000}"/>
    <cellStyle name="Percent 7 3 2 2 4 2 4 3" xfId="17091" xr:uid="{00000000-0005-0000-0000-00001B9B0000}"/>
    <cellStyle name="Percent 7 3 2 2 4 2 5" xfId="11276" xr:uid="{00000000-0005-0000-0000-00001C9B0000}"/>
    <cellStyle name="Percent 7 3 2 2 4 2 5 2" xfId="14868" xr:uid="{00000000-0005-0000-0000-00001D9B0000}"/>
    <cellStyle name="Percent 7 3 2 2 4 2 5 3" xfId="17092" xr:uid="{00000000-0005-0000-0000-00001E9B0000}"/>
    <cellStyle name="Percent 7 3 2 2 4 2 6" xfId="12613" xr:uid="{00000000-0005-0000-0000-00001F9B0000}"/>
    <cellStyle name="Percent 7 3 2 2 4 2 6 2" xfId="41470" xr:uid="{00000000-0005-0000-0000-0000209B0000}"/>
    <cellStyle name="Percent 7 3 2 2 4 2 7" xfId="17083" xr:uid="{00000000-0005-0000-0000-0000219B0000}"/>
    <cellStyle name="Percent 7 3 2 2 4 3" xfId="9116" xr:uid="{00000000-0005-0000-0000-0000229B0000}"/>
    <cellStyle name="Percent 7 3 2 2 4 3 2" xfId="9684" xr:uid="{00000000-0005-0000-0000-0000239B0000}"/>
    <cellStyle name="Percent 7 3 2 2 4 3 2 2" xfId="10738" xr:uid="{00000000-0005-0000-0000-0000249B0000}"/>
    <cellStyle name="Percent 7 3 2 2 4 3 2 2 2" xfId="14332" xr:uid="{00000000-0005-0000-0000-0000259B0000}"/>
    <cellStyle name="Percent 7 3 2 2 4 3 2 2 3" xfId="17095" xr:uid="{00000000-0005-0000-0000-0000269B0000}"/>
    <cellStyle name="Percent 7 3 2 2 4 3 2 3" xfId="13279" xr:uid="{00000000-0005-0000-0000-0000279B0000}"/>
    <cellStyle name="Percent 7 3 2 2 4 3 2 4" xfId="17094" xr:uid="{00000000-0005-0000-0000-0000289B0000}"/>
    <cellStyle name="Percent 7 3 2 2 4 3 3" xfId="10200" xr:uid="{00000000-0005-0000-0000-0000299B0000}"/>
    <cellStyle name="Percent 7 3 2 2 4 3 3 2" xfId="13794" xr:uid="{00000000-0005-0000-0000-00002A9B0000}"/>
    <cellStyle name="Percent 7 3 2 2 4 3 3 3" xfId="17096" xr:uid="{00000000-0005-0000-0000-00002B9B0000}"/>
    <cellStyle name="Percent 7 3 2 2 4 3 4" xfId="11278" xr:uid="{00000000-0005-0000-0000-00002C9B0000}"/>
    <cellStyle name="Percent 7 3 2 2 4 3 4 2" xfId="14870" xr:uid="{00000000-0005-0000-0000-00002D9B0000}"/>
    <cellStyle name="Percent 7 3 2 2 4 3 4 3" xfId="17097" xr:uid="{00000000-0005-0000-0000-00002E9B0000}"/>
    <cellStyle name="Percent 7 3 2 2 4 3 5" xfId="12741" xr:uid="{00000000-0005-0000-0000-00002F9B0000}"/>
    <cellStyle name="Percent 7 3 2 2 4 3 6" xfId="17093" xr:uid="{00000000-0005-0000-0000-0000309B0000}"/>
    <cellStyle name="Percent 7 3 2 2 4 4" xfId="9428" xr:uid="{00000000-0005-0000-0000-0000319B0000}"/>
    <cellStyle name="Percent 7 3 2 2 4 4 2" xfId="10482" xr:uid="{00000000-0005-0000-0000-0000329B0000}"/>
    <cellStyle name="Percent 7 3 2 2 4 4 2 2" xfId="14076" xr:uid="{00000000-0005-0000-0000-0000339B0000}"/>
    <cellStyle name="Percent 7 3 2 2 4 4 2 3" xfId="17099" xr:uid="{00000000-0005-0000-0000-0000349B0000}"/>
    <cellStyle name="Percent 7 3 2 2 4 4 3" xfId="13023" xr:uid="{00000000-0005-0000-0000-0000359B0000}"/>
    <cellStyle name="Percent 7 3 2 2 4 4 4" xfId="17098" xr:uid="{00000000-0005-0000-0000-0000369B0000}"/>
    <cellStyle name="Percent 7 3 2 2 4 5" xfId="9944" xr:uid="{00000000-0005-0000-0000-0000379B0000}"/>
    <cellStyle name="Percent 7 3 2 2 4 5 2" xfId="13538" xr:uid="{00000000-0005-0000-0000-0000389B0000}"/>
    <cellStyle name="Percent 7 3 2 2 4 5 3" xfId="17100" xr:uid="{00000000-0005-0000-0000-0000399B0000}"/>
    <cellStyle name="Percent 7 3 2 2 4 6" xfId="11275" xr:uid="{00000000-0005-0000-0000-00003A9B0000}"/>
    <cellStyle name="Percent 7 3 2 2 4 6 2" xfId="14867" xr:uid="{00000000-0005-0000-0000-00003B9B0000}"/>
    <cellStyle name="Percent 7 3 2 2 4 6 3" xfId="17101" xr:uid="{00000000-0005-0000-0000-00003C9B0000}"/>
    <cellStyle name="Percent 7 3 2 2 4 7" xfId="12485" xr:uid="{00000000-0005-0000-0000-00003D9B0000}"/>
    <cellStyle name="Percent 7 3 2 2 4 7 2" xfId="41469" xr:uid="{00000000-0005-0000-0000-00003E9B0000}"/>
    <cellStyle name="Percent 7 3 2 2 4 8" xfId="17082" xr:uid="{00000000-0005-0000-0000-00003F9B0000}"/>
    <cellStyle name="Percent 7 3 2 2 5" xfId="8890" xr:uid="{00000000-0005-0000-0000-0000409B0000}"/>
    <cellStyle name="Percent 7 3 2 2 5 2" xfId="9146" xr:uid="{00000000-0005-0000-0000-0000419B0000}"/>
    <cellStyle name="Percent 7 3 2 2 5 2 2" xfId="9714" xr:uid="{00000000-0005-0000-0000-0000429B0000}"/>
    <cellStyle name="Percent 7 3 2 2 5 2 2 2" xfId="10768" xr:uid="{00000000-0005-0000-0000-0000439B0000}"/>
    <cellStyle name="Percent 7 3 2 2 5 2 2 2 2" xfId="14362" xr:uid="{00000000-0005-0000-0000-0000449B0000}"/>
    <cellStyle name="Percent 7 3 2 2 5 2 2 2 3" xfId="17105" xr:uid="{00000000-0005-0000-0000-0000459B0000}"/>
    <cellStyle name="Percent 7 3 2 2 5 2 2 3" xfId="13309" xr:uid="{00000000-0005-0000-0000-0000469B0000}"/>
    <cellStyle name="Percent 7 3 2 2 5 2 2 4" xfId="17104" xr:uid="{00000000-0005-0000-0000-0000479B0000}"/>
    <cellStyle name="Percent 7 3 2 2 5 2 3" xfId="10230" xr:uid="{00000000-0005-0000-0000-0000489B0000}"/>
    <cellStyle name="Percent 7 3 2 2 5 2 3 2" xfId="13824" xr:uid="{00000000-0005-0000-0000-0000499B0000}"/>
    <cellStyle name="Percent 7 3 2 2 5 2 3 3" xfId="17106" xr:uid="{00000000-0005-0000-0000-00004A9B0000}"/>
    <cellStyle name="Percent 7 3 2 2 5 2 4" xfId="11280" xr:uid="{00000000-0005-0000-0000-00004B9B0000}"/>
    <cellStyle name="Percent 7 3 2 2 5 2 4 2" xfId="14872" xr:uid="{00000000-0005-0000-0000-00004C9B0000}"/>
    <cellStyle name="Percent 7 3 2 2 5 2 4 3" xfId="17107" xr:uid="{00000000-0005-0000-0000-00004D9B0000}"/>
    <cellStyle name="Percent 7 3 2 2 5 2 5" xfId="12771" xr:uid="{00000000-0005-0000-0000-00004E9B0000}"/>
    <cellStyle name="Percent 7 3 2 2 5 2 6" xfId="17103" xr:uid="{00000000-0005-0000-0000-00004F9B0000}"/>
    <cellStyle name="Percent 7 3 2 2 5 3" xfId="9458" xr:uid="{00000000-0005-0000-0000-0000509B0000}"/>
    <cellStyle name="Percent 7 3 2 2 5 3 2" xfId="10512" xr:uid="{00000000-0005-0000-0000-0000519B0000}"/>
    <cellStyle name="Percent 7 3 2 2 5 3 2 2" xfId="14106" xr:uid="{00000000-0005-0000-0000-0000529B0000}"/>
    <cellStyle name="Percent 7 3 2 2 5 3 2 3" xfId="17109" xr:uid="{00000000-0005-0000-0000-0000539B0000}"/>
    <cellStyle name="Percent 7 3 2 2 5 3 3" xfId="13053" xr:uid="{00000000-0005-0000-0000-0000549B0000}"/>
    <cellStyle name="Percent 7 3 2 2 5 3 4" xfId="17108" xr:uid="{00000000-0005-0000-0000-0000559B0000}"/>
    <cellStyle name="Percent 7 3 2 2 5 4" xfId="9974" xr:uid="{00000000-0005-0000-0000-0000569B0000}"/>
    <cellStyle name="Percent 7 3 2 2 5 4 2" xfId="13568" xr:uid="{00000000-0005-0000-0000-0000579B0000}"/>
    <cellStyle name="Percent 7 3 2 2 5 4 3" xfId="17110" xr:uid="{00000000-0005-0000-0000-0000589B0000}"/>
    <cellStyle name="Percent 7 3 2 2 5 5" xfId="11279" xr:uid="{00000000-0005-0000-0000-0000599B0000}"/>
    <cellStyle name="Percent 7 3 2 2 5 5 2" xfId="14871" xr:uid="{00000000-0005-0000-0000-00005A9B0000}"/>
    <cellStyle name="Percent 7 3 2 2 5 5 3" xfId="17111" xr:uid="{00000000-0005-0000-0000-00005B9B0000}"/>
    <cellStyle name="Percent 7 3 2 2 5 6" xfId="12515" xr:uid="{00000000-0005-0000-0000-00005C9B0000}"/>
    <cellStyle name="Percent 7 3 2 2 5 6 2" xfId="41471" xr:uid="{00000000-0005-0000-0000-00005D9B0000}"/>
    <cellStyle name="Percent 7 3 2 2 5 7" xfId="17102" xr:uid="{00000000-0005-0000-0000-00005E9B0000}"/>
    <cellStyle name="Percent 7 3 2 2 6" xfId="9018" xr:uid="{00000000-0005-0000-0000-00005F9B0000}"/>
    <cellStyle name="Percent 7 3 2 2 6 2" xfId="9586" xr:uid="{00000000-0005-0000-0000-0000609B0000}"/>
    <cellStyle name="Percent 7 3 2 2 6 2 2" xfId="10640" xr:uid="{00000000-0005-0000-0000-0000619B0000}"/>
    <cellStyle name="Percent 7 3 2 2 6 2 2 2" xfId="14234" xr:uid="{00000000-0005-0000-0000-0000629B0000}"/>
    <cellStyle name="Percent 7 3 2 2 6 2 2 3" xfId="17114" xr:uid="{00000000-0005-0000-0000-0000639B0000}"/>
    <cellStyle name="Percent 7 3 2 2 6 2 3" xfId="13181" xr:uid="{00000000-0005-0000-0000-0000649B0000}"/>
    <cellStyle name="Percent 7 3 2 2 6 2 4" xfId="17113" xr:uid="{00000000-0005-0000-0000-0000659B0000}"/>
    <cellStyle name="Percent 7 3 2 2 6 3" xfId="10102" xr:uid="{00000000-0005-0000-0000-0000669B0000}"/>
    <cellStyle name="Percent 7 3 2 2 6 3 2" xfId="13696" xr:uid="{00000000-0005-0000-0000-0000679B0000}"/>
    <cellStyle name="Percent 7 3 2 2 6 3 3" xfId="17115" xr:uid="{00000000-0005-0000-0000-0000689B0000}"/>
    <cellStyle name="Percent 7 3 2 2 6 4" xfId="11281" xr:uid="{00000000-0005-0000-0000-0000699B0000}"/>
    <cellStyle name="Percent 7 3 2 2 6 4 2" xfId="14873" xr:uid="{00000000-0005-0000-0000-00006A9B0000}"/>
    <cellStyle name="Percent 7 3 2 2 6 4 3" xfId="17116" xr:uid="{00000000-0005-0000-0000-00006B9B0000}"/>
    <cellStyle name="Percent 7 3 2 2 6 5" xfId="12643" xr:uid="{00000000-0005-0000-0000-00006C9B0000}"/>
    <cellStyle name="Percent 7 3 2 2 6 5 2" xfId="41472" xr:uid="{00000000-0005-0000-0000-00006D9B0000}"/>
    <cellStyle name="Percent 7 3 2 2 6 6" xfId="17112" xr:uid="{00000000-0005-0000-0000-00006E9B0000}"/>
    <cellStyle name="Percent 7 3 2 2 7" xfId="9330" xr:uid="{00000000-0005-0000-0000-00006F9B0000}"/>
    <cellStyle name="Percent 7 3 2 2 7 2" xfId="10384" xr:uid="{00000000-0005-0000-0000-0000709B0000}"/>
    <cellStyle name="Percent 7 3 2 2 7 2 2" xfId="13978" xr:uid="{00000000-0005-0000-0000-0000719B0000}"/>
    <cellStyle name="Percent 7 3 2 2 7 2 3" xfId="17118" xr:uid="{00000000-0005-0000-0000-0000729B0000}"/>
    <cellStyle name="Percent 7 3 2 2 7 3" xfId="12925" xr:uid="{00000000-0005-0000-0000-0000739B0000}"/>
    <cellStyle name="Percent 7 3 2 2 7 4" xfId="17117" xr:uid="{00000000-0005-0000-0000-0000749B0000}"/>
    <cellStyle name="Percent 7 3 2 2 8" xfId="9846" xr:uid="{00000000-0005-0000-0000-0000759B0000}"/>
    <cellStyle name="Percent 7 3 2 2 8 2" xfId="13440" xr:uid="{00000000-0005-0000-0000-0000769B0000}"/>
    <cellStyle name="Percent 7 3 2 2 8 3" xfId="17119" xr:uid="{00000000-0005-0000-0000-0000779B0000}"/>
    <cellStyle name="Percent 7 3 2 2 9" xfId="11266" xr:uid="{00000000-0005-0000-0000-0000789B0000}"/>
    <cellStyle name="Percent 7 3 2 2 9 2" xfId="14858" xr:uid="{00000000-0005-0000-0000-0000799B0000}"/>
    <cellStyle name="Percent 7 3 2 2 9 3" xfId="17120" xr:uid="{00000000-0005-0000-0000-00007A9B0000}"/>
    <cellStyle name="Percent 7 3 2 3" xfId="8780" xr:uid="{00000000-0005-0000-0000-00007B9B0000}"/>
    <cellStyle name="Percent 7 3 2 3 2" xfId="8908" xr:uid="{00000000-0005-0000-0000-00007C9B0000}"/>
    <cellStyle name="Percent 7 3 2 3 2 2" xfId="9164" xr:uid="{00000000-0005-0000-0000-00007D9B0000}"/>
    <cellStyle name="Percent 7 3 2 3 2 2 2" xfId="9732" xr:uid="{00000000-0005-0000-0000-00007E9B0000}"/>
    <cellStyle name="Percent 7 3 2 3 2 2 2 2" xfId="10786" xr:uid="{00000000-0005-0000-0000-00007F9B0000}"/>
    <cellStyle name="Percent 7 3 2 3 2 2 2 2 2" xfId="14380" xr:uid="{00000000-0005-0000-0000-0000809B0000}"/>
    <cellStyle name="Percent 7 3 2 3 2 2 2 2 3" xfId="17125" xr:uid="{00000000-0005-0000-0000-0000819B0000}"/>
    <cellStyle name="Percent 7 3 2 3 2 2 2 3" xfId="13327" xr:uid="{00000000-0005-0000-0000-0000829B0000}"/>
    <cellStyle name="Percent 7 3 2 3 2 2 2 4" xfId="17124" xr:uid="{00000000-0005-0000-0000-0000839B0000}"/>
    <cellStyle name="Percent 7 3 2 3 2 2 3" xfId="10248" xr:uid="{00000000-0005-0000-0000-0000849B0000}"/>
    <cellStyle name="Percent 7 3 2 3 2 2 3 2" xfId="13842" xr:uid="{00000000-0005-0000-0000-0000859B0000}"/>
    <cellStyle name="Percent 7 3 2 3 2 2 3 3" xfId="17126" xr:uid="{00000000-0005-0000-0000-0000869B0000}"/>
    <cellStyle name="Percent 7 3 2 3 2 2 4" xfId="11284" xr:uid="{00000000-0005-0000-0000-0000879B0000}"/>
    <cellStyle name="Percent 7 3 2 3 2 2 4 2" xfId="14876" xr:uid="{00000000-0005-0000-0000-0000889B0000}"/>
    <cellStyle name="Percent 7 3 2 3 2 2 4 3" xfId="17127" xr:uid="{00000000-0005-0000-0000-0000899B0000}"/>
    <cellStyle name="Percent 7 3 2 3 2 2 5" xfId="12789" xr:uid="{00000000-0005-0000-0000-00008A9B0000}"/>
    <cellStyle name="Percent 7 3 2 3 2 2 5 2" xfId="41475" xr:uid="{00000000-0005-0000-0000-00008B9B0000}"/>
    <cellStyle name="Percent 7 3 2 3 2 2 6" xfId="17123" xr:uid="{00000000-0005-0000-0000-00008C9B0000}"/>
    <cellStyle name="Percent 7 3 2 3 2 3" xfId="9476" xr:uid="{00000000-0005-0000-0000-00008D9B0000}"/>
    <cellStyle name="Percent 7 3 2 3 2 3 2" xfId="10530" xr:uid="{00000000-0005-0000-0000-00008E9B0000}"/>
    <cellStyle name="Percent 7 3 2 3 2 3 2 2" xfId="14124" xr:uid="{00000000-0005-0000-0000-00008F9B0000}"/>
    <cellStyle name="Percent 7 3 2 3 2 3 2 3" xfId="17129" xr:uid="{00000000-0005-0000-0000-0000909B0000}"/>
    <cellStyle name="Percent 7 3 2 3 2 3 3" xfId="13071" xr:uid="{00000000-0005-0000-0000-0000919B0000}"/>
    <cellStyle name="Percent 7 3 2 3 2 3 4" xfId="17128" xr:uid="{00000000-0005-0000-0000-0000929B0000}"/>
    <cellStyle name="Percent 7 3 2 3 2 4" xfId="9992" xr:uid="{00000000-0005-0000-0000-0000939B0000}"/>
    <cellStyle name="Percent 7 3 2 3 2 4 2" xfId="13586" xr:uid="{00000000-0005-0000-0000-0000949B0000}"/>
    <cellStyle name="Percent 7 3 2 3 2 4 3" xfId="17130" xr:uid="{00000000-0005-0000-0000-0000959B0000}"/>
    <cellStyle name="Percent 7 3 2 3 2 5" xfId="11283" xr:uid="{00000000-0005-0000-0000-0000969B0000}"/>
    <cellStyle name="Percent 7 3 2 3 2 5 2" xfId="14875" xr:uid="{00000000-0005-0000-0000-0000979B0000}"/>
    <cellStyle name="Percent 7 3 2 3 2 5 3" xfId="17131" xr:uid="{00000000-0005-0000-0000-0000989B0000}"/>
    <cellStyle name="Percent 7 3 2 3 2 6" xfId="12533" xr:uid="{00000000-0005-0000-0000-0000999B0000}"/>
    <cellStyle name="Percent 7 3 2 3 2 6 2" xfId="41474" xr:uid="{00000000-0005-0000-0000-00009A9B0000}"/>
    <cellStyle name="Percent 7 3 2 3 2 7" xfId="17122" xr:uid="{00000000-0005-0000-0000-00009B9B0000}"/>
    <cellStyle name="Percent 7 3 2 3 3" xfId="9036" xr:uid="{00000000-0005-0000-0000-00009C9B0000}"/>
    <cellStyle name="Percent 7 3 2 3 3 2" xfId="9604" xr:uid="{00000000-0005-0000-0000-00009D9B0000}"/>
    <cellStyle name="Percent 7 3 2 3 3 2 2" xfId="10658" xr:uid="{00000000-0005-0000-0000-00009E9B0000}"/>
    <cellStyle name="Percent 7 3 2 3 3 2 2 2" xfId="14252" xr:uid="{00000000-0005-0000-0000-00009F9B0000}"/>
    <cellStyle name="Percent 7 3 2 3 3 2 2 3" xfId="17134" xr:uid="{00000000-0005-0000-0000-0000A09B0000}"/>
    <cellStyle name="Percent 7 3 2 3 3 2 3" xfId="13199" xr:uid="{00000000-0005-0000-0000-0000A19B0000}"/>
    <cellStyle name="Percent 7 3 2 3 3 2 3 2" xfId="41477" xr:uid="{00000000-0005-0000-0000-0000A29B0000}"/>
    <cellStyle name="Percent 7 3 2 3 3 2 4" xfId="17133" xr:uid="{00000000-0005-0000-0000-0000A39B0000}"/>
    <cellStyle name="Percent 7 3 2 3 3 3" xfId="10120" xr:uid="{00000000-0005-0000-0000-0000A49B0000}"/>
    <cellStyle name="Percent 7 3 2 3 3 3 2" xfId="13714" xr:uid="{00000000-0005-0000-0000-0000A59B0000}"/>
    <cellStyle name="Percent 7 3 2 3 3 3 3" xfId="17135" xr:uid="{00000000-0005-0000-0000-0000A69B0000}"/>
    <cellStyle name="Percent 7 3 2 3 3 4" xfId="11285" xr:uid="{00000000-0005-0000-0000-0000A79B0000}"/>
    <cellStyle name="Percent 7 3 2 3 3 4 2" xfId="14877" xr:uid="{00000000-0005-0000-0000-0000A89B0000}"/>
    <cellStyle name="Percent 7 3 2 3 3 4 3" xfId="17136" xr:uid="{00000000-0005-0000-0000-0000A99B0000}"/>
    <cellStyle name="Percent 7 3 2 3 3 5" xfId="12661" xr:uid="{00000000-0005-0000-0000-0000AA9B0000}"/>
    <cellStyle name="Percent 7 3 2 3 3 5 2" xfId="41476" xr:uid="{00000000-0005-0000-0000-0000AB9B0000}"/>
    <cellStyle name="Percent 7 3 2 3 3 6" xfId="17132" xr:uid="{00000000-0005-0000-0000-0000AC9B0000}"/>
    <cellStyle name="Percent 7 3 2 3 4" xfId="9348" xr:uid="{00000000-0005-0000-0000-0000AD9B0000}"/>
    <cellStyle name="Percent 7 3 2 3 4 2" xfId="10402" xr:uid="{00000000-0005-0000-0000-0000AE9B0000}"/>
    <cellStyle name="Percent 7 3 2 3 4 2 2" xfId="13996" xr:uid="{00000000-0005-0000-0000-0000AF9B0000}"/>
    <cellStyle name="Percent 7 3 2 3 4 2 2 2" xfId="41479" xr:uid="{00000000-0005-0000-0000-0000B09B0000}"/>
    <cellStyle name="Percent 7 3 2 3 4 2 3" xfId="17138" xr:uid="{00000000-0005-0000-0000-0000B19B0000}"/>
    <cellStyle name="Percent 7 3 2 3 4 3" xfId="12943" xr:uid="{00000000-0005-0000-0000-0000B29B0000}"/>
    <cellStyle name="Percent 7 3 2 3 4 3 2" xfId="41478" xr:uid="{00000000-0005-0000-0000-0000B39B0000}"/>
    <cellStyle name="Percent 7 3 2 3 4 4" xfId="17137" xr:uid="{00000000-0005-0000-0000-0000B49B0000}"/>
    <cellStyle name="Percent 7 3 2 3 5" xfId="9864" xr:uid="{00000000-0005-0000-0000-0000B59B0000}"/>
    <cellStyle name="Percent 7 3 2 3 5 2" xfId="13458" xr:uid="{00000000-0005-0000-0000-0000B69B0000}"/>
    <cellStyle name="Percent 7 3 2 3 5 2 2" xfId="41480" xr:uid="{00000000-0005-0000-0000-0000B79B0000}"/>
    <cellStyle name="Percent 7 3 2 3 5 3" xfId="17139" xr:uid="{00000000-0005-0000-0000-0000B89B0000}"/>
    <cellStyle name="Percent 7 3 2 3 6" xfId="11282" xr:uid="{00000000-0005-0000-0000-0000B99B0000}"/>
    <cellStyle name="Percent 7 3 2 3 6 2" xfId="14874" xr:uid="{00000000-0005-0000-0000-0000BA9B0000}"/>
    <cellStyle name="Percent 7 3 2 3 6 2 2" xfId="41481" xr:uid="{00000000-0005-0000-0000-0000BB9B0000}"/>
    <cellStyle name="Percent 7 3 2 3 6 3" xfId="17140" xr:uid="{00000000-0005-0000-0000-0000BC9B0000}"/>
    <cellStyle name="Percent 7 3 2 3 7" xfId="12405" xr:uid="{00000000-0005-0000-0000-0000BD9B0000}"/>
    <cellStyle name="Percent 7 3 2 3 7 2" xfId="41473" xr:uid="{00000000-0005-0000-0000-0000BE9B0000}"/>
    <cellStyle name="Percent 7 3 2 3 8" xfId="17121" xr:uid="{00000000-0005-0000-0000-0000BF9B0000}"/>
    <cellStyle name="Percent 7 3 2 4" xfId="8812" xr:uid="{00000000-0005-0000-0000-0000C09B0000}"/>
    <cellStyle name="Percent 7 3 2 4 2" xfId="8940" xr:uid="{00000000-0005-0000-0000-0000C19B0000}"/>
    <cellStyle name="Percent 7 3 2 4 2 2" xfId="9196" xr:uid="{00000000-0005-0000-0000-0000C29B0000}"/>
    <cellStyle name="Percent 7 3 2 4 2 2 2" xfId="9764" xr:uid="{00000000-0005-0000-0000-0000C39B0000}"/>
    <cellStyle name="Percent 7 3 2 4 2 2 2 2" xfId="10818" xr:uid="{00000000-0005-0000-0000-0000C49B0000}"/>
    <cellStyle name="Percent 7 3 2 4 2 2 2 2 2" xfId="14412" xr:uid="{00000000-0005-0000-0000-0000C59B0000}"/>
    <cellStyle name="Percent 7 3 2 4 2 2 2 2 3" xfId="17145" xr:uid="{00000000-0005-0000-0000-0000C69B0000}"/>
    <cellStyle name="Percent 7 3 2 4 2 2 2 3" xfId="13359" xr:uid="{00000000-0005-0000-0000-0000C79B0000}"/>
    <cellStyle name="Percent 7 3 2 4 2 2 2 4" xfId="17144" xr:uid="{00000000-0005-0000-0000-0000C89B0000}"/>
    <cellStyle name="Percent 7 3 2 4 2 2 3" xfId="10280" xr:uid="{00000000-0005-0000-0000-0000C99B0000}"/>
    <cellStyle name="Percent 7 3 2 4 2 2 3 2" xfId="13874" xr:uid="{00000000-0005-0000-0000-0000CA9B0000}"/>
    <cellStyle name="Percent 7 3 2 4 2 2 3 3" xfId="17146" xr:uid="{00000000-0005-0000-0000-0000CB9B0000}"/>
    <cellStyle name="Percent 7 3 2 4 2 2 4" xfId="11288" xr:uid="{00000000-0005-0000-0000-0000CC9B0000}"/>
    <cellStyle name="Percent 7 3 2 4 2 2 4 2" xfId="14880" xr:uid="{00000000-0005-0000-0000-0000CD9B0000}"/>
    <cellStyle name="Percent 7 3 2 4 2 2 4 3" xfId="17147" xr:uid="{00000000-0005-0000-0000-0000CE9B0000}"/>
    <cellStyle name="Percent 7 3 2 4 2 2 5" xfId="12821" xr:uid="{00000000-0005-0000-0000-0000CF9B0000}"/>
    <cellStyle name="Percent 7 3 2 4 2 2 5 2" xfId="41484" xr:uid="{00000000-0005-0000-0000-0000D09B0000}"/>
    <cellStyle name="Percent 7 3 2 4 2 2 6" xfId="17143" xr:uid="{00000000-0005-0000-0000-0000D19B0000}"/>
    <cellStyle name="Percent 7 3 2 4 2 3" xfId="9508" xr:uid="{00000000-0005-0000-0000-0000D29B0000}"/>
    <cellStyle name="Percent 7 3 2 4 2 3 2" xfId="10562" xr:uid="{00000000-0005-0000-0000-0000D39B0000}"/>
    <cellStyle name="Percent 7 3 2 4 2 3 2 2" xfId="14156" xr:uid="{00000000-0005-0000-0000-0000D49B0000}"/>
    <cellStyle name="Percent 7 3 2 4 2 3 2 3" xfId="17149" xr:uid="{00000000-0005-0000-0000-0000D59B0000}"/>
    <cellStyle name="Percent 7 3 2 4 2 3 3" xfId="13103" xr:uid="{00000000-0005-0000-0000-0000D69B0000}"/>
    <cellStyle name="Percent 7 3 2 4 2 3 4" xfId="17148" xr:uid="{00000000-0005-0000-0000-0000D79B0000}"/>
    <cellStyle name="Percent 7 3 2 4 2 4" xfId="10024" xr:uid="{00000000-0005-0000-0000-0000D89B0000}"/>
    <cellStyle name="Percent 7 3 2 4 2 4 2" xfId="13618" xr:uid="{00000000-0005-0000-0000-0000D99B0000}"/>
    <cellStyle name="Percent 7 3 2 4 2 4 3" xfId="17150" xr:uid="{00000000-0005-0000-0000-0000DA9B0000}"/>
    <cellStyle name="Percent 7 3 2 4 2 5" xfId="11287" xr:uid="{00000000-0005-0000-0000-0000DB9B0000}"/>
    <cellStyle name="Percent 7 3 2 4 2 5 2" xfId="14879" xr:uid="{00000000-0005-0000-0000-0000DC9B0000}"/>
    <cellStyle name="Percent 7 3 2 4 2 5 3" xfId="17151" xr:uid="{00000000-0005-0000-0000-0000DD9B0000}"/>
    <cellStyle name="Percent 7 3 2 4 2 6" xfId="12565" xr:uid="{00000000-0005-0000-0000-0000DE9B0000}"/>
    <cellStyle name="Percent 7 3 2 4 2 6 2" xfId="41483" xr:uid="{00000000-0005-0000-0000-0000DF9B0000}"/>
    <cellStyle name="Percent 7 3 2 4 2 7" xfId="17142" xr:uid="{00000000-0005-0000-0000-0000E09B0000}"/>
    <cellStyle name="Percent 7 3 2 4 3" xfId="9068" xr:uid="{00000000-0005-0000-0000-0000E19B0000}"/>
    <cellStyle name="Percent 7 3 2 4 3 2" xfId="9636" xr:uid="{00000000-0005-0000-0000-0000E29B0000}"/>
    <cellStyle name="Percent 7 3 2 4 3 2 2" xfId="10690" xr:uid="{00000000-0005-0000-0000-0000E39B0000}"/>
    <cellStyle name="Percent 7 3 2 4 3 2 2 2" xfId="14284" xr:uid="{00000000-0005-0000-0000-0000E49B0000}"/>
    <cellStyle name="Percent 7 3 2 4 3 2 2 3" xfId="17154" xr:uid="{00000000-0005-0000-0000-0000E59B0000}"/>
    <cellStyle name="Percent 7 3 2 4 3 2 3" xfId="13231" xr:uid="{00000000-0005-0000-0000-0000E69B0000}"/>
    <cellStyle name="Percent 7 3 2 4 3 2 3 2" xfId="41486" xr:uid="{00000000-0005-0000-0000-0000E79B0000}"/>
    <cellStyle name="Percent 7 3 2 4 3 2 4" xfId="17153" xr:uid="{00000000-0005-0000-0000-0000E89B0000}"/>
    <cellStyle name="Percent 7 3 2 4 3 3" xfId="10152" xr:uid="{00000000-0005-0000-0000-0000E99B0000}"/>
    <cellStyle name="Percent 7 3 2 4 3 3 2" xfId="13746" xr:uid="{00000000-0005-0000-0000-0000EA9B0000}"/>
    <cellStyle name="Percent 7 3 2 4 3 3 3" xfId="17155" xr:uid="{00000000-0005-0000-0000-0000EB9B0000}"/>
    <cellStyle name="Percent 7 3 2 4 3 4" xfId="11289" xr:uid="{00000000-0005-0000-0000-0000EC9B0000}"/>
    <cellStyle name="Percent 7 3 2 4 3 4 2" xfId="14881" xr:uid="{00000000-0005-0000-0000-0000ED9B0000}"/>
    <cellStyle name="Percent 7 3 2 4 3 4 3" xfId="17156" xr:uid="{00000000-0005-0000-0000-0000EE9B0000}"/>
    <cellStyle name="Percent 7 3 2 4 3 5" xfId="12693" xr:uid="{00000000-0005-0000-0000-0000EF9B0000}"/>
    <cellStyle name="Percent 7 3 2 4 3 5 2" xfId="41485" xr:uid="{00000000-0005-0000-0000-0000F09B0000}"/>
    <cellStyle name="Percent 7 3 2 4 3 6" xfId="17152" xr:uid="{00000000-0005-0000-0000-0000F19B0000}"/>
    <cellStyle name="Percent 7 3 2 4 4" xfId="9380" xr:uid="{00000000-0005-0000-0000-0000F29B0000}"/>
    <cellStyle name="Percent 7 3 2 4 4 2" xfId="10434" xr:uid="{00000000-0005-0000-0000-0000F39B0000}"/>
    <cellStyle name="Percent 7 3 2 4 4 2 2" xfId="14028" xr:uid="{00000000-0005-0000-0000-0000F49B0000}"/>
    <cellStyle name="Percent 7 3 2 4 4 2 2 2" xfId="41488" xr:uid="{00000000-0005-0000-0000-0000F59B0000}"/>
    <cellStyle name="Percent 7 3 2 4 4 2 3" xfId="17158" xr:uid="{00000000-0005-0000-0000-0000F69B0000}"/>
    <cellStyle name="Percent 7 3 2 4 4 3" xfId="12975" xr:uid="{00000000-0005-0000-0000-0000F79B0000}"/>
    <cellStyle name="Percent 7 3 2 4 4 3 2" xfId="41487" xr:uid="{00000000-0005-0000-0000-0000F89B0000}"/>
    <cellStyle name="Percent 7 3 2 4 4 4" xfId="17157" xr:uid="{00000000-0005-0000-0000-0000F99B0000}"/>
    <cellStyle name="Percent 7 3 2 4 5" xfId="9896" xr:uid="{00000000-0005-0000-0000-0000FA9B0000}"/>
    <cellStyle name="Percent 7 3 2 4 5 2" xfId="13490" xr:uid="{00000000-0005-0000-0000-0000FB9B0000}"/>
    <cellStyle name="Percent 7 3 2 4 5 2 2" xfId="41489" xr:uid="{00000000-0005-0000-0000-0000FC9B0000}"/>
    <cellStyle name="Percent 7 3 2 4 5 3" xfId="17159" xr:uid="{00000000-0005-0000-0000-0000FD9B0000}"/>
    <cellStyle name="Percent 7 3 2 4 6" xfId="11286" xr:uid="{00000000-0005-0000-0000-0000FE9B0000}"/>
    <cellStyle name="Percent 7 3 2 4 6 2" xfId="14878" xr:uid="{00000000-0005-0000-0000-0000FF9B0000}"/>
    <cellStyle name="Percent 7 3 2 4 6 2 2" xfId="41490" xr:uid="{00000000-0005-0000-0000-0000009C0000}"/>
    <cellStyle name="Percent 7 3 2 4 6 3" xfId="17160" xr:uid="{00000000-0005-0000-0000-0000019C0000}"/>
    <cellStyle name="Percent 7 3 2 4 7" xfId="12437" xr:uid="{00000000-0005-0000-0000-0000029C0000}"/>
    <cellStyle name="Percent 7 3 2 4 7 2" xfId="41482" xr:uid="{00000000-0005-0000-0000-0000039C0000}"/>
    <cellStyle name="Percent 7 3 2 4 8" xfId="17141" xr:uid="{00000000-0005-0000-0000-0000049C0000}"/>
    <cellStyle name="Percent 7 3 2 5" xfId="8844" xr:uid="{00000000-0005-0000-0000-0000059C0000}"/>
    <cellStyle name="Percent 7 3 2 5 2" xfId="8972" xr:uid="{00000000-0005-0000-0000-0000069C0000}"/>
    <cellStyle name="Percent 7 3 2 5 2 2" xfId="9228" xr:uid="{00000000-0005-0000-0000-0000079C0000}"/>
    <cellStyle name="Percent 7 3 2 5 2 2 2" xfId="9796" xr:uid="{00000000-0005-0000-0000-0000089C0000}"/>
    <cellStyle name="Percent 7 3 2 5 2 2 2 2" xfId="10850" xr:uid="{00000000-0005-0000-0000-0000099C0000}"/>
    <cellStyle name="Percent 7 3 2 5 2 2 2 2 2" xfId="14444" xr:uid="{00000000-0005-0000-0000-00000A9C0000}"/>
    <cellStyle name="Percent 7 3 2 5 2 2 2 2 3" xfId="17165" xr:uid="{00000000-0005-0000-0000-00000B9C0000}"/>
    <cellStyle name="Percent 7 3 2 5 2 2 2 3" xfId="13391" xr:uid="{00000000-0005-0000-0000-00000C9C0000}"/>
    <cellStyle name="Percent 7 3 2 5 2 2 2 4" xfId="17164" xr:uid="{00000000-0005-0000-0000-00000D9C0000}"/>
    <cellStyle name="Percent 7 3 2 5 2 2 3" xfId="10312" xr:uid="{00000000-0005-0000-0000-00000E9C0000}"/>
    <cellStyle name="Percent 7 3 2 5 2 2 3 2" xfId="13906" xr:uid="{00000000-0005-0000-0000-00000F9C0000}"/>
    <cellStyle name="Percent 7 3 2 5 2 2 3 3" xfId="17166" xr:uid="{00000000-0005-0000-0000-0000109C0000}"/>
    <cellStyle name="Percent 7 3 2 5 2 2 4" xfId="11292" xr:uid="{00000000-0005-0000-0000-0000119C0000}"/>
    <cellStyle name="Percent 7 3 2 5 2 2 4 2" xfId="14884" xr:uid="{00000000-0005-0000-0000-0000129C0000}"/>
    <cellStyle name="Percent 7 3 2 5 2 2 4 3" xfId="17167" xr:uid="{00000000-0005-0000-0000-0000139C0000}"/>
    <cellStyle name="Percent 7 3 2 5 2 2 5" xfId="12853" xr:uid="{00000000-0005-0000-0000-0000149C0000}"/>
    <cellStyle name="Percent 7 3 2 5 2 2 5 2" xfId="41493" xr:uid="{00000000-0005-0000-0000-0000159C0000}"/>
    <cellStyle name="Percent 7 3 2 5 2 2 6" xfId="17163" xr:uid="{00000000-0005-0000-0000-0000169C0000}"/>
    <cellStyle name="Percent 7 3 2 5 2 3" xfId="9540" xr:uid="{00000000-0005-0000-0000-0000179C0000}"/>
    <cellStyle name="Percent 7 3 2 5 2 3 2" xfId="10594" xr:uid="{00000000-0005-0000-0000-0000189C0000}"/>
    <cellStyle name="Percent 7 3 2 5 2 3 2 2" xfId="14188" xr:uid="{00000000-0005-0000-0000-0000199C0000}"/>
    <cellStyle name="Percent 7 3 2 5 2 3 2 3" xfId="17169" xr:uid="{00000000-0005-0000-0000-00001A9C0000}"/>
    <cellStyle name="Percent 7 3 2 5 2 3 3" xfId="13135" xr:uid="{00000000-0005-0000-0000-00001B9C0000}"/>
    <cellStyle name="Percent 7 3 2 5 2 3 4" xfId="17168" xr:uid="{00000000-0005-0000-0000-00001C9C0000}"/>
    <cellStyle name="Percent 7 3 2 5 2 4" xfId="10056" xr:uid="{00000000-0005-0000-0000-00001D9C0000}"/>
    <cellStyle name="Percent 7 3 2 5 2 4 2" xfId="13650" xr:uid="{00000000-0005-0000-0000-00001E9C0000}"/>
    <cellStyle name="Percent 7 3 2 5 2 4 3" xfId="17170" xr:uid="{00000000-0005-0000-0000-00001F9C0000}"/>
    <cellStyle name="Percent 7 3 2 5 2 5" xfId="11291" xr:uid="{00000000-0005-0000-0000-0000209C0000}"/>
    <cellStyle name="Percent 7 3 2 5 2 5 2" xfId="14883" xr:uid="{00000000-0005-0000-0000-0000219C0000}"/>
    <cellStyle name="Percent 7 3 2 5 2 5 3" xfId="17171" xr:uid="{00000000-0005-0000-0000-0000229C0000}"/>
    <cellStyle name="Percent 7 3 2 5 2 6" xfId="12597" xr:uid="{00000000-0005-0000-0000-0000239C0000}"/>
    <cellStyle name="Percent 7 3 2 5 2 6 2" xfId="41492" xr:uid="{00000000-0005-0000-0000-0000249C0000}"/>
    <cellStyle name="Percent 7 3 2 5 2 7" xfId="17162" xr:uid="{00000000-0005-0000-0000-0000259C0000}"/>
    <cellStyle name="Percent 7 3 2 5 3" xfId="9100" xr:uid="{00000000-0005-0000-0000-0000269C0000}"/>
    <cellStyle name="Percent 7 3 2 5 3 2" xfId="9668" xr:uid="{00000000-0005-0000-0000-0000279C0000}"/>
    <cellStyle name="Percent 7 3 2 5 3 2 2" xfId="10722" xr:uid="{00000000-0005-0000-0000-0000289C0000}"/>
    <cellStyle name="Percent 7 3 2 5 3 2 2 2" xfId="14316" xr:uid="{00000000-0005-0000-0000-0000299C0000}"/>
    <cellStyle name="Percent 7 3 2 5 3 2 2 3" xfId="17174" xr:uid="{00000000-0005-0000-0000-00002A9C0000}"/>
    <cellStyle name="Percent 7 3 2 5 3 2 3" xfId="13263" xr:uid="{00000000-0005-0000-0000-00002B9C0000}"/>
    <cellStyle name="Percent 7 3 2 5 3 2 3 2" xfId="41495" xr:uid="{00000000-0005-0000-0000-00002C9C0000}"/>
    <cellStyle name="Percent 7 3 2 5 3 2 4" xfId="17173" xr:uid="{00000000-0005-0000-0000-00002D9C0000}"/>
    <cellStyle name="Percent 7 3 2 5 3 3" xfId="10184" xr:uid="{00000000-0005-0000-0000-00002E9C0000}"/>
    <cellStyle name="Percent 7 3 2 5 3 3 2" xfId="13778" xr:uid="{00000000-0005-0000-0000-00002F9C0000}"/>
    <cellStyle name="Percent 7 3 2 5 3 3 3" xfId="17175" xr:uid="{00000000-0005-0000-0000-0000309C0000}"/>
    <cellStyle name="Percent 7 3 2 5 3 4" xfId="11293" xr:uid="{00000000-0005-0000-0000-0000319C0000}"/>
    <cellStyle name="Percent 7 3 2 5 3 4 2" xfId="14885" xr:uid="{00000000-0005-0000-0000-0000329C0000}"/>
    <cellStyle name="Percent 7 3 2 5 3 4 3" xfId="17176" xr:uid="{00000000-0005-0000-0000-0000339C0000}"/>
    <cellStyle name="Percent 7 3 2 5 3 5" xfId="12725" xr:uid="{00000000-0005-0000-0000-0000349C0000}"/>
    <cellStyle name="Percent 7 3 2 5 3 5 2" xfId="41494" xr:uid="{00000000-0005-0000-0000-0000359C0000}"/>
    <cellStyle name="Percent 7 3 2 5 3 6" xfId="17172" xr:uid="{00000000-0005-0000-0000-0000369C0000}"/>
    <cellStyle name="Percent 7 3 2 5 4" xfId="9412" xr:uid="{00000000-0005-0000-0000-0000379C0000}"/>
    <cellStyle name="Percent 7 3 2 5 4 2" xfId="10466" xr:uid="{00000000-0005-0000-0000-0000389C0000}"/>
    <cellStyle name="Percent 7 3 2 5 4 2 2" xfId="14060" xr:uid="{00000000-0005-0000-0000-0000399C0000}"/>
    <cellStyle name="Percent 7 3 2 5 4 2 2 2" xfId="41497" xr:uid="{00000000-0005-0000-0000-00003A9C0000}"/>
    <cellStyle name="Percent 7 3 2 5 4 2 3" xfId="17178" xr:uid="{00000000-0005-0000-0000-00003B9C0000}"/>
    <cellStyle name="Percent 7 3 2 5 4 3" xfId="13007" xr:uid="{00000000-0005-0000-0000-00003C9C0000}"/>
    <cellStyle name="Percent 7 3 2 5 4 3 2" xfId="41496" xr:uid="{00000000-0005-0000-0000-00003D9C0000}"/>
    <cellStyle name="Percent 7 3 2 5 4 4" xfId="17177" xr:uid="{00000000-0005-0000-0000-00003E9C0000}"/>
    <cellStyle name="Percent 7 3 2 5 5" xfId="9928" xr:uid="{00000000-0005-0000-0000-00003F9C0000}"/>
    <cellStyle name="Percent 7 3 2 5 5 2" xfId="13522" xr:uid="{00000000-0005-0000-0000-0000409C0000}"/>
    <cellStyle name="Percent 7 3 2 5 5 2 2" xfId="41498" xr:uid="{00000000-0005-0000-0000-0000419C0000}"/>
    <cellStyle name="Percent 7 3 2 5 5 3" xfId="17179" xr:uid="{00000000-0005-0000-0000-0000429C0000}"/>
    <cellStyle name="Percent 7 3 2 5 6" xfId="11290" xr:uid="{00000000-0005-0000-0000-0000439C0000}"/>
    <cellStyle name="Percent 7 3 2 5 6 2" xfId="14882" xr:uid="{00000000-0005-0000-0000-0000449C0000}"/>
    <cellStyle name="Percent 7 3 2 5 6 2 2" xfId="41499" xr:uid="{00000000-0005-0000-0000-0000459C0000}"/>
    <cellStyle name="Percent 7 3 2 5 6 3" xfId="17180" xr:uid="{00000000-0005-0000-0000-0000469C0000}"/>
    <cellStyle name="Percent 7 3 2 5 7" xfId="12469" xr:uid="{00000000-0005-0000-0000-0000479C0000}"/>
    <cellStyle name="Percent 7 3 2 5 7 2" xfId="41491" xr:uid="{00000000-0005-0000-0000-0000489C0000}"/>
    <cellStyle name="Percent 7 3 2 5 8" xfId="17161" xr:uid="{00000000-0005-0000-0000-0000499C0000}"/>
    <cellStyle name="Percent 7 3 2 6" xfId="8889" xr:uid="{00000000-0005-0000-0000-00004A9C0000}"/>
    <cellStyle name="Percent 7 3 2 6 2" xfId="9145" xr:uid="{00000000-0005-0000-0000-00004B9C0000}"/>
    <cellStyle name="Percent 7 3 2 6 2 2" xfId="9713" xr:uid="{00000000-0005-0000-0000-00004C9C0000}"/>
    <cellStyle name="Percent 7 3 2 6 2 2 2" xfId="10767" xr:uid="{00000000-0005-0000-0000-00004D9C0000}"/>
    <cellStyle name="Percent 7 3 2 6 2 2 2 2" xfId="14361" xr:uid="{00000000-0005-0000-0000-00004E9C0000}"/>
    <cellStyle name="Percent 7 3 2 6 2 2 2 3" xfId="17184" xr:uid="{00000000-0005-0000-0000-00004F9C0000}"/>
    <cellStyle name="Percent 7 3 2 6 2 2 3" xfId="13308" xr:uid="{00000000-0005-0000-0000-0000509C0000}"/>
    <cellStyle name="Percent 7 3 2 6 2 2 3 2" xfId="41502" xr:uid="{00000000-0005-0000-0000-0000519C0000}"/>
    <cellStyle name="Percent 7 3 2 6 2 2 4" xfId="17183" xr:uid="{00000000-0005-0000-0000-0000529C0000}"/>
    <cellStyle name="Percent 7 3 2 6 2 3" xfId="10229" xr:uid="{00000000-0005-0000-0000-0000539C0000}"/>
    <cellStyle name="Percent 7 3 2 6 2 3 2" xfId="13823" xr:uid="{00000000-0005-0000-0000-0000549C0000}"/>
    <cellStyle name="Percent 7 3 2 6 2 3 3" xfId="17185" xr:uid="{00000000-0005-0000-0000-0000559C0000}"/>
    <cellStyle name="Percent 7 3 2 6 2 4" xfId="11295" xr:uid="{00000000-0005-0000-0000-0000569C0000}"/>
    <cellStyle name="Percent 7 3 2 6 2 4 2" xfId="14887" xr:uid="{00000000-0005-0000-0000-0000579C0000}"/>
    <cellStyle name="Percent 7 3 2 6 2 4 3" xfId="17186" xr:uid="{00000000-0005-0000-0000-0000589C0000}"/>
    <cellStyle name="Percent 7 3 2 6 2 5" xfId="12770" xr:uid="{00000000-0005-0000-0000-0000599C0000}"/>
    <cellStyle name="Percent 7 3 2 6 2 5 2" xfId="41501" xr:uid="{00000000-0005-0000-0000-00005A9C0000}"/>
    <cellStyle name="Percent 7 3 2 6 2 6" xfId="17182" xr:uid="{00000000-0005-0000-0000-00005B9C0000}"/>
    <cellStyle name="Percent 7 3 2 6 3" xfId="9457" xr:uid="{00000000-0005-0000-0000-00005C9C0000}"/>
    <cellStyle name="Percent 7 3 2 6 3 2" xfId="10511" xr:uid="{00000000-0005-0000-0000-00005D9C0000}"/>
    <cellStyle name="Percent 7 3 2 6 3 2 2" xfId="14105" xr:uid="{00000000-0005-0000-0000-00005E9C0000}"/>
    <cellStyle name="Percent 7 3 2 6 3 2 2 2" xfId="41504" xr:uid="{00000000-0005-0000-0000-00005F9C0000}"/>
    <cellStyle name="Percent 7 3 2 6 3 2 3" xfId="17188" xr:uid="{00000000-0005-0000-0000-0000609C0000}"/>
    <cellStyle name="Percent 7 3 2 6 3 3" xfId="13052" xr:uid="{00000000-0005-0000-0000-0000619C0000}"/>
    <cellStyle name="Percent 7 3 2 6 3 3 2" xfId="41503" xr:uid="{00000000-0005-0000-0000-0000629C0000}"/>
    <cellStyle name="Percent 7 3 2 6 3 4" xfId="17187" xr:uid="{00000000-0005-0000-0000-0000639C0000}"/>
    <cellStyle name="Percent 7 3 2 6 4" xfId="9973" xr:uid="{00000000-0005-0000-0000-0000649C0000}"/>
    <cellStyle name="Percent 7 3 2 6 4 2" xfId="13567" xr:uid="{00000000-0005-0000-0000-0000659C0000}"/>
    <cellStyle name="Percent 7 3 2 6 4 2 2" xfId="41505" xr:uid="{00000000-0005-0000-0000-0000669C0000}"/>
    <cellStyle name="Percent 7 3 2 6 4 3" xfId="17189" xr:uid="{00000000-0005-0000-0000-0000679C0000}"/>
    <cellStyle name="Percent 7 3 2 6 5" xfId="11294" xr:uid="{00000000-0005-0000-0000-0000689C0000}"/>
    <cellStyle name="Percent 7 3 2 6 5 2" xfId="14886" xr:uid="{00000000-0005-0000-0000-0000699C0000}"/>
    <cellStyle name="Percent 7 3 2 6 5 2 2" xfId="41506" xr:uid="{00000000-0005-0000-0000-00006A9C0000}"/>
    <cellStyle name="Percent 7 3 2 6 5 3" xfId="17190" xr:uid="{00000000-0005-0000-0000-00006B9C0000}"/>
    <cellStyle name="Percent 7 3 2 6 6" xfId="12514" xr:uid="{00000000-0005-0000-0000-00006C9C0000}"/>
    <cellStyle name="Percent 7 3 2 6 6 2" xfId="41500" xr:uid="{00000000-0005-0000-0000-00006D9C0000}"/>
    <cellStyle name="Percent 7 3 2 6 7" xfId="17181" xr:uid="{00000000-0005-0000-0000-00006E9C0000}"/>
    <cellStyle name="Percent 7 3 2 7" xfId="9017" xr:uid="{00000000-0005-0000-0000-00006F9C0000}"/>
    <cellStyle name="Percent 7 3 2 7 2" xfId="9585" xr:uid="{00000000-0005-0000-0000-0000709C0000}"/>
    <cellStyle name="Percent 7 3 2 7 2 2" xfId="10639" xr:uid="{00000000-0005-0000-0000-0000719C0000}"/>
    <cellStyle name="Percent 7 3 2 7 2 2 2" xfId="14233" xr:uid="{00000000-0005-0000-0000-0000729C0000}"/>
    <cellStyle name="Percent 7 3 2 7 2 2 3" xfId="17193" xr:uid="{00000000-0005-0000-0000-0000739C0000}"/>
    <cellStyle name="Percent 7 3 2 7 2 3" xfId="13180" xr:uid="{00000000-0005-0000-0000-0000749C0000}"/>
    <cellStyle name="Percent 7 3 2 7 2 3 2" xfId="41508" xr:uid="{00000000-0005-0000-0000-0000759C0000}"/>
    <cellStyle name="Percent 7 3 2 7 2 4" xfId="17192" xr:uid="{00000000-0005-0000-0000-0000769C0000}"/>
    <cellStyle name="Percent 7 3 2 7 3" xfId="10101" xr:uid="{00000000-0005-0000-0000-0000779C0000}"/>
    <cellStyle name="Percent 7 3 2 7 3 2" xfId="13695" xr:uid="{00000000-0005-0000-0000-0000789C0000}"/>
    <cellStyle name="Percent 7 3 2 7 3 3" xfId="17194" xr:uid="{00000000-0005-0000-0000-0000799C0000}"/>
    <cellStyle name="Percent 7 3 2 7 4" xfId="11296" xr:uid="{00000000-0005-0000-0000-00007A9C0000}"/>
    <cellStyle name="Percent 7 3 2 7 4 2" xfId="14888" xr:uid="{00000000-0005-0000-0000-00007B9C0000}"/>
    <cellStyle name="Percent 7 3 2 7 4 3" xfId="17195" xr:uid="{00000000-0005-0000-0000-00007C9C0000}"/>
    <cellStyle name="Percent 7 3 2 7 5" xfId="12642" xr:uid="{00000000-0005-0000-0000-00007D9C0000}"/>
    <cellStyle name="Percent 7 3 2 7 5 2" xfId="41507" xr:uid="{00000000-0005-0000-0000-00007E9C0000}"/>
    <cellStyle name="Percent 7 3 2 7 6" xfId="17191" xr:uid="{00000000-0005-0000-0000-00007F9C0000}"/>
    <cellStyle name="Percent 7 3 2 8" xfId="9329" xr:uid="{00000000-0005-0000-0000-0000809C0000}"/>
    <cellStyle name="Percent 7 3 2 8 2" xfId="10383" xr:uid="{00000000-0005-0000-0000-0000819C0000}"/>
    <cellStyle name="Percent 7 3 2 8 2 2" xfId="13977" xr:uid="{00000000-0005-0000-0000-0000829C0000}"/>
    <cellStyle name="Percent 7 3 2 8 2 2 2" xfId="41510" xr:uid="{00000000-0005-0000-0000-0000839C0000}"/>
    <cellStyle name="Percent 7 3 2 8 2 3" xfId="17197" xr:uid="{00000000-0005-0000-0000-0000849C0000}"/>
    <cellStyle name="Percent 7 3 2 8 3" xfId="12924" xr:uid="{00000000-0005-0000-0000-0000859C0000}"/>
    <cellStyle name="Percent 7 3 2 8 3 2" xfId="41509" xr:uid="{00000000-0005-0000-0000-0000869C0000}"/>
    <cellStyle name="Percent 7 3 2 8 4" xfId="17196" xr:uid="{00000000-0005-0000-0000-0000879C0000}"/>
    <cellStyle name="Percent 7 3 2 9" xfId="9845" xr:uid="{00000000-0005-0000-0000-0000889C0000}"/>
    <cellStyle name="Percent 7 3 2 9 2" xfId="13439" xr:uid="{00000000-0005-0000-0000-0000899C0000}"/>
    <cellStyle name="Percent 7 3 2 9 2 2" xfId="41512" xr:uid="{00000000-0005-0000-0000-00008A9C0000}"/>
    <cellStyle name="Percent 7 3 2 9 3" xfId="41511" xr:uid="{00000000-0005-0000-0000-00008B9C0000}"/>
    <cellStyle name="Percent 7 3 2 9 4" xfId="17198" xr:uid="{00000000-0005-0000-0000-00008C9C0000}"/>
    <cellStyle name="Percent 7 3 3" xfId="8760" xr:uid="{00000000-0005-0000-0000-00008D9C0000}"/>
    <cellStyle name="Percent 7 3 3 10" xfId="12388" xr:uid="{00000000-0005-0000-0000-00008E9C0000}"/>
    <cellStyle name="Percent 7 3 3 10 2" xfId="41514" xr:uid="{00000000-0005-0000-0000-00008F9C0000}"/>
    <cellStyle name="Percent 7 3 3 11" xfId="41513" xr:uid="{00000000-0005-0000-0000-0000909C0000}"/>
    <cellStyle name="Percent 7 3 3 12" xfId="17199" xr:uid="{00000000-0005-0000-0000-0000919C0000}"/>
    <cellStyle name="Percent 7 3 3 2" xfId="8788" xr:uid="{00000000-0005-0000-0000-0000929C0000}"/>
    <cellStyle name="Percent 7 3 3 2 2" xfId="8916" xr:uid="{00000000-0005-0000-0000-0000939C0000}"/>
    <cellStyle name="Percent 7 3 3 2 2 2" xfId="9172" xr:uid="{00000000-0005-0000-0000-0000949C0000}"/>
    <cellStyle name="Percent 7 3 3 2 2 2 2" xfId="9740" xr:uid="{00000000-0005-0000-0000-0000959C0000}"/>
    <cellStyle name="Percent 7 3 3 2 2 2 2 2" xfId="10794" xr:uid="{00000000-0005-0000-0000-0000969C0000}"/>
    <cellStyle name="Percent 7 3 3 2 2 2 2 2 2" xfId="14388" xr:uid="{00000000-0005-0000-0000-0000979C0000}"/>
    <cellStyle name="Percent 7 3 3 2 2 2 2 2 3" xfId="17204" xr:uid="{00000000-0005-0000-0000-0000989C0000}"/>
    <cellStyle name="Percent 7 3 3 2 2 2 2 3" xfId="13335" xr:uid="{00000000-0005-0000-0000-0000999C0000}"/>
    <cellStyle name="Percent 7 3 3 2 2 2 2 4" xfId="17203" xr:uid="{00000000-0005-0000-0000-00009A9C0000}"/>
    <cellStyle name="Percent 7 3 3 2 2 2 3" xfId="10256" xr:uid="{00000000-0005-0000-0000-00009B9C0000}"/>
    <cellStyle name="Percent 7 3 3 2 2 2 3 2" xfId="13850" xr:uid="{00000000-0005-0000-0000-00009C9C0000}"/>
    <cellStyle name="Percent 7 3 3 2 2 2 3 3" xfId="17205" xr:uid="{00000000-0005-0000-0000-00009D9C0000}"/>
    <cellStyle name="Percent 7 3 3 2 2 2 4" xfId="11300" xr:uid="{00000000-0005-0000-0000-00009E9C0000}"/>
    <cellStyle name="Percent 7 3 3 2 2 2 4 2" xfId="14892" xr:uid="{00000000-0005-0000-0000-00009F9C0000}"/>
    <cellStyle name="Percent 7 3 3 2 2 2 4 3" xfId="17206" xr:uid="{00000000-0005-0000-0000-0000A09C0000}"/>
    <cellStyle name="Percent 7 3 3 2 2 2 5" xfId="12797" xr:uid="{00000000-0005-0000-0000-0000A19C0000}"/>
    <cellStyle name="Percent 7 3 3 2 2 2 5 2" xfId="41517" xr:uid="{00000000-0005-0000-0000-0000A29C0000}"/>
    <cellStyle name="Percent 7 3 3 2 2 2 6" xfId="17202" xr:uid="{00000000-0005-0000-0000-0000A39C0000}"/>
    <cellStyle name="Percent 7 3 3 2 2 3" xfId="9484" xr:uid="{00000000-0005-0000-0000-0000A49C0000}"/>
    <cellStyle name="Percent 7 3 3 2 2 3 2" xfId="10538" xr:uid="{00000000-0005-0000-0000-0000A59C0000}"/>
    <cellStyle name="Percent 7 3 3 2 2 3 2 2" xfId="14132" xr:uid="{00000000-0005-0000-0000-0000A69C0000}"/>
    <cellStyle name="Percent 7 3 3 2 2 3 2 3" xfId="17208" xr:uid="{00000000-0005-0000-0000-0000A79C0000}"/>
    <cellStyle name="Percent 7 3 3 2 2 3 3" xfId="13079" xr:uid="{00000000-0005-0000-0000-0000A89C0000}"/>
    <cellStyle name="Percent 7 3 3 2 2 3 4" xfId="17207" xr:uid="{00000000-0005-0000-0000-0000A99C0000}"/>
    <cellStyle name="Percent 7 3 3 2 2 4" xfId="10000" xr:uid="{00000000-0005-0000-0000-0000AA9C0000}"/>
    <cellStyle name="Percent 7 3 3 2 2 4 2" xfId="13594" xr:uid="{00000000-0005-0000-0000-0000AB9C0000}"/>
    <cellStyle name="Percent 7 3 3 2 2 4 3" xfId="17209" xr:uid="{00000000-0005-0000-0000-0000AC9C0000}"/>
    <cellStyle name="Percent 7 3 3 2 2 5" xfId="11299" xr:uid="{00000000-0005-0000-0000-0000AD9C0000}"/>
    <cellStyle name="Percent 7 3 3 2 2 5 2" xfId="14891" xr:uid="{00000000-0005-0000-0000-0000AE9C0000}"/>
    <cellStyle name="Percent 7 3 3 2 2 5 3" xfId="17210" xr:uid="{00000000-0005-0000-0000-0000AF9C0000}"/>
    <cellStyle name="Percent 7 3 3 2 2 6" xfId="12541" xr:uid="{00000000-0005-0000-0000-0000B09C0000}"/>
    <cellStyle name="Percent 7 3 3 2 2 6 2" xfId="41516" xr:uid="{00000000-0005-0000-0000-0000B19C0000}"/>
    <cellStyle name="Percent 7 3 3 2 2 7" xfId="17201" xr:uid="{00000000-0005-0000-0000-0000B29C0000}"/>
    <cellStyle name="Percent 7 3 3 2 3" xfId="9044" xr:uid="{00000000-0005-0000-0000-0000B39C0000}"/>
    <cellStyle name="Percent 7 3 3 2 3 2" xfId="9612" xr:uid="{00000000-0005-0000-0000-0000B49C0000}"/>
    <cellStyle name="Percent 7 3 3 2 3 2 2" xfId="10666" xr:uid="{00000000-0005-0000-0000-0000B59C0000}"/>
    <cellStyle name="Percent 7 3 3 2 3 2 2 2" xfId="14260" xr:uid="{00000000-0005-0000-0000-0000B69C0000}"/>
    <cellStyle name="Percent 7 3 3 2 3 2 2 3" xfId="17213" xr:uid="{00000000-0005-0000-0000-0000B79C0000}"/>
    <cellStyle name="Percent 7 3 3 2 3 2 3" xfId="13207" xr:uid="{00000000-0005-0000-0000-0000B89C0000}"/>
    <cellStyle name="Percent 7 3 3 2 3 2 3 2" xfId="41519" xr:uid="{00000000-0005-0000-0000-0000B99C0000}"/>
    <cellStyle name="Percent 7 3 3 2 3 2 4" xfId="17212" xr:uid="{00000000-0005-0000-0000-0000BA9C0000}"/>
    <cellStyle name="Percent 7 3 3 2 3 3" xfId="10128" xr:uid="{00000000-0005-0000-0000-0000BB9C0000}"/>
    <cellStyle name="Percent 7 3 3 2 3 3 2" xfId="13722" xr:uid="{00000000-0005-0000-0000-0000BC9C0000}"/>
    <cellStyle name="Percent 7 3 3 2 3 3 3" xfId="17214" xr:uid="{00000000-0005-0000-0000-0000BD9C0000}"/>
    <cellStyle name="Percent 7 3 3 2 3 4" xfId="11301" xr:uid="{00000000-0005-0000-0000-0000BE9C0000}"/>
    <cellStyle name="Percent 7 3 3 2 3 4 2" xfId="14893" xr:uid="{00000000-0005-0000-0000-0000BF9C0000}"/>
    <cellStyle name="Percent 7 3 3 2 3 4 3" xfId="17215" xr:uid="{00000000-0005-0000-0000-0000C09C0000}"/>
    <cellStyle name="Percent 7 3 3 2 3 5" xfId="12669" xr:uid="{00000000-0005-0000-0000-0000C19C0000}"/>
    <cellStyle name="Percent 7 3 3 2 3 5 2" xfId="41518" xr:uid="{00000000-0005-0000-0000-0000C29C0000}"/>
    <cellStyle name="Percent 7 3 3 2 3 6" xfId="17211" xr:uid="{00000000-0005-0000-0000-0000C39C0000}"/>
    <cellStyle name="Percent 7 3 3 2 4" xfId="9356" xr:uid="{00000000-0005-0000-0000-0000C49C0000}"/>
    <cellStyle name="Percent 7 3 3 2 4 2" xfId="10410" xr:uid="{00000000-0005-0000-0000-0000C59C0000}"/>
    <cellStyle name="Percent 7 3 3 2 4 2 2" xfId="14004" xr:uid="{00000000-0005-0000-0000-0000C69C0000}"/>
    <cellStyle name="Percent 7 3 3 2 4 2 2 2" xfId="41521" xr:uid="{00000000-0005-0000-0000-0000C79C0000}"/>
    <cellStyle name="Percent 7 3 3 2 4 2 3" xfId="17217" xr:uid="{00000000-0005-0000-0000-0000C89C0000}"/>
    <cellStyle name="Percent 7 3 3 2 4 3" xfId="12951" xr:uid="{00000000-0005-0000-0000-0000C99C0000}"/>
    <cellStyle name="Percent 7 3 3 2 4 3 2" xfId="41520" xr:uid="{00000000-0005-0000-0000-0000CA9C0000}"/>
    <cellStyle name="Percent 7 3 3 2 4 4" xfId="17216" xr:uid="{00000000-0005-0000-0000-0000CB9C0000}"/>
    <cellStyle name="Percent 7 3 3 2 5" xfId="9872" xr:uid="{00000000-0005-0000-0000-0000CC9C0000}"/>
    <cellStyle name="Percent 7 3 3 2 5 2" xfId="13466" xr:uid="{00000000-0005-0000-0000-0000CD9C0000}"/>
    <cellStyle name="Percent 7 3 3 2 5 2 2" xfId="41522" xr:uid="{00000000-0005-0000-0000-0000CE9C0000}"/>
    <cellStyle name="Percent 7 3 3 2 5 3" xfId="17218" xr:uid="{00000000-0005-0000-0000-0000CF9C0000}"/>
    <cellStyle name="Percent 7 3 3 2 6" xfId="11298" xr:uid="{00000000-0005-0000-0000-0000D09C0000}"/>
    <cellStyle name="Percent 7 3 3 2 6 2" xfId="14890" xr:uid="{00000000-0005-0000-0000-0000D19C0000}"/>
    <cellStyle name="Percent 7 3 3 2 6 2 2" xfId="41523" xr:uid="{00000000-0005-0000-0000-0000D29C0000}"/>
    <cellStyle name="Percent 7 3 3 2 6 3" xfId="17219" xr:uid="{00000000-0005-0000-0000-0000D39C0000}"/>
    <cellStyle name="Percent 7 3 3 2 7" xfId="12413" xr:uid="{00000000-0005-0000-0000-0000D49C0000}"/>
    <cellStyle name="Percent 7 3 3 2 7 2" xfId="41515" xr:uid="{00000000-0005-0000-0000-0000D59C0000}"/>
    <cellStyle name="Percent 7 3 3 2 8" xfId="17200" xr:uid="{00000000-0005-0000-0000-0000D69C0000}"/>
    <cellStyle name="Percent 7 3 3 3" xfId="8820" xr:uid="{00000000-0005-0000-0000-0000D79C0000}"/>
    <cellStyle name="Percent 7 3 3 3 2" xfId="8948" xr:uid="{00000000-0005-0000-0000-0000D89C0000}"/>
    <cellStyle name="Percent 7 3 3 3 2 2" xfId="9204" xr:uid="{00000000-0005-0000-0000-0000D99C0000}"/>
    <cellStyle name="Percent 7 3 3 3 2 2 2" xfId="9772" xr:uid="{00000000-0005-0000-0000-0000DA9C0000}"/>
    <cellStyle name="Percent 7 3 3 3 2 2 2 2" xfId="10826" xr:uid="{00000000-0005-0000-0000-0000DB9C0000}"/>
    <cellStyle name="Percent 7 3 3 3 2 2 2 2 2" xfId="14420" xr:uid="{00000000-0005-0000-0000-0000DC9C0000}"/>
    <cellStyle name="Percent 7 3 3 3 2 2 2 2 3" xfId="17224" xr:uid="{00000000-0005-0000-0000-0000DD9C0000}"/>
    <cellStyle name="Percent 7 3 3 3 2 2 2 3" xfId="13367" xr:uid="{00000000-0005-0000-0000-0000DE9C0000}"/>
    <cellStyle name="Percent 7 3 3 3 2 2 2 4" xfId="17223" xr:uid="{00000000-0005-0000-0000-0000DF9C0000}"/>
    <cellStyle name="Percent 7 3 3 3 2 2 3" xfId="10288" xr:uid="{00000000-0005-0000-0000-0000E09C0000}"/>
    <cellStyle name="Percent 7 3 3 3 2 2 3 2" xfId="13882" xr:uid="{00000000-0005-0000-0000-0000E19C0000}"/>
    <cellStyle name="Percent 7 3 3 3 2 2 3 3" xfId="17225" xr:uid="{00000000-0005-0000-0000-0000E29C0000}"/>
    <cellStyle name="Percent 7 3 3 3 2 2 4" xfId="11304" xr:uid="{00000000-0005-0000-0000-0000E39C0000}"/>
    <cellStyle name="Percent 7 3 3 3 2 2 4 2" xfId="14896" xr:uid="{00000000-0005-0000-0000-0000E49C0000}"/>
    <cellStyle name="Percent 7 3 3 3 2 2 4 3" xfId="17226" xr:uid="{00000000-0005-0000-0000-0000E59C0000}"/>
    <cellStyle name="Percent 7 3 3 3 2 2 5" xfId="12829" xr:uid="{00000000-0005-0000-0000-0000E69C0000}"/>
    <cellStyle name="Percent 7 3 3 3 2 2 5 2" xfId="41526" xr:uid="{00000000-0005-0000-0000-0000E79C0000}"/>
    <cellStyle name="Percent 7 3 3 3 2 2 6" xfId="17222" xr:uid="{00000000-0005-0000-0000-0000E89C0000}"/>
    <cellStyle name="Percent 7 3 3 3 2 3" xfId="9516" xr:uid="{00000000-0005-0000-0000-0000E99C0000}"/>
    <cellStyle name="Percent 7 3 3 3 2 3 2" xfId="10570" xr:uid="{00000000-0005-0000-0000-0000EA9C0000}"/>
    <cellStyle name="Percent 7 3 3 3 2 3 2 2" xfId="14164" xr:uid="{00000000-0005-0000-0000-0000EB9C0000}"/>
    <cellStyle name="Percent 7 3 3 3 2 3 2 3" xfId="17228" xr:uid="{00000000-0005-0000-0000-0000EC9C0000}"/>
    <cellStyle name="Percent 7 3 3 3 2 3 3" xfId="13111" xr:uid="{00000000-0005-0000-0000-0000ED9C0000}"/>
    <cellStyle name="Percent 7 3 3 3 2 3 4" xfId="17227" xr:uid="{00000000-0005-0000-0000-0000EE9C0000}"/>
    <cellStyle name="Percent 7 3 3 3 2 4" xfId="10032" xr:uid="{00000000-0005-0000-0000-0000EF9C0000}"/>
    <cellStyle name="Percent 7 3 3 3 2 4 2" xfId="13626" xr:uid="{00000000-0005-0000-0000-0000F09C0000}"/>
    <cellStyle name="Percent 7 3 3 3 2 4 3" xfId="17229" xr:uid="{00000000-0005-0000-0000-0000F19C0000}"/>
    <cellStyle name="Percent 7 3 3 3 2 5" xfId="11303" xr:uid="{00000000-0005-0000-0000-0000F29C0000}"/>
    <cellStyle name="Percent 7 3 3 3 2 5 2" xfId="14895" xr:uid="{00000000-0005-0000-0000-0000F39C0000}"/>
    <cellStyle name="Percent 7 3 3 3 2 5 3" xfId="17230" xr:uid="{00000000-0005-0000-0000-0000F49C0000}"/>
    <cellStyle name="Percent 7 3 3 3 2 6" xfId="12573" xr:uid="{00000000-0005-0000-0000-0000F59C0000}"/>
    <cellStyle name="Percent 7 3 3 3 2 6 2" xfId="41525" xr:uid="{00000000-0005-0000-0000-0000F69C0000}"/>
    <cellStyle name="Percent 7 3 3 3 2 7" xfId="17221" xr:uid="{00000000-0005-0000-0000-0000F79C0000}"/>
    <cellStyle name="Percent 7 3 3 3 3" xfId="9076" xr:uid="{00000000-0005-0000-0000-0000F89C0000}"/>
    <cellStyle name="Percent 7 3 3 3 3 2" xfId="9644" xr:uid="{00000000-0005-0000-0000-0000F99C0000}"/>
    <cellStyle name="Percent 7 3 3 3 3 2 2" xfId="10698" xr:uid="{00000000-0005-0000-0000-0000FA9C0000}"/>
    <cellStyle name="Percent 7 3 3 3 3 2 2 2" xfId="14292" xr:uid="{00000000-0005-0000-0000-0000FB9C0000}"/>
    <cellStyle name="Percent 7 3 3 3 3 2 2 3" xfId="17233" xr:uid="{00000000-0005-0000-0000-0000FC9C0000}"/>
    <cellStyle name="Percent 7 3 3 3 3 2 3" xfId="13239" xr:uid="{00000000-0005-0000-0000-0000FD9C0000}"/>
    <cellStyle name="Percent 7 3 3 3 3 2 3 2" xfId="41528" xr:uid="{00000000-0005-0000-0000-0000FE9C0000}"/>
    <cellStyle name="Percent 7 3 3 3 3 2 4" xfId="17232" xr:uid="{00000000-0005-0000-0000-0000FF9C0000}"/>
    <cellStyle name="Percent 7 3 3 3 3 3" xfId="10160" xr:uid="{00000000-0005-0000-0000-0000009D0000}"/>
    <cellStyle name="Percent 7 3 3 3 3 3 2" xfId="13754" xr:uid="{00000000-0005-0000-0000-0000019D0000}"/>
    <cellStyle name="Percent 7 3 3 3 3 3 3" xfId="17234" xr:uid="{00000000-0005-0000-0000-0000029D0000}"/>
    <cellStyle name="Percent 7 3 3 3 3 4" xfId="11305" xr:uid="{00000000-0005-0000-0000-0000039D0000}"/>
    <cellStyle name="Percent 7 3 3 3 3 4 2" xfId="14897" xr:uid="{00000000-0005-0000-0000-0000049D0000}"/>
    <cellStyle name="Percent 7 3 3 3 3 4 3" xfId="17235" xr:uid="{00000000-0005-0000-0000-0000059D0000}"/>
    <cellStyle name="Percent 7 3 3 3 3 5" xfId="12701" xr:uid="{00000000-0005-0000-0000-0000069D0000}"/>
    <cellStyle name="Percent 7 3 3 3 3 5 2" xfId="41527" xr:uid="{00000000-0005-0000-0000-0000079D0000}"/>
    <cellStyle name="Percent 7 3 3 3 3 6" xfId="17231" xr:uid="{00000000-0005-0000-0000-0000089D0000}"/>
    <cellStyle name="Percent 7 3 3 3 4" xfId="9388" xr:uid="{00000000-0005-0000-0000-0000099D0000}"/>
    <cellStyle name="Percent 7 3 3 3 4 2" xfId="10442" xr:uid="{00000000-0005-0000-0000-00000A9D0000}"/>
    <cellStyle name="Percent 7 3 3 3 4 2 2" xfId="14036" xr:uid="{00000000-0005-0000-0000-00000B9D0000}"/>
    <cellStyle name="Percent 7 3 3 3 4 2 2 2" xfId="41530" xr:uid="{00000000-0005-0000-0000-00000C9D0000}"/>
    <cellStyle name="Percent 7 3 3 3 4 2 3" xfId="17237" xr:uid="{00000000-0005-0000-0000-00000D9D0000}"/>
    <cellStyle name="Percent 7 3 3 3 4 3" xfId="12983" xr:uid="{00000000-0005-0000-0000-00000E9D0000}"/>
    <cellStyle name="Percent 7 3 3 3 4 3 2" xfId="41529" xr:uid="{00000000-0005-0000-0000-00000F9D0000}"/>
    <cellStyle name="Percent 7 3 3 3 4 4" xfId="17236" xr:uid="{00000000-0005-0000-0000-0000109D0000}"/>
    <cellStyle name="Percent 7 3 3 3 5" xfId="9904" xr:uid="{00000000-0005-0000-0000-0000119D0000}"/>
    <cellStyle name="Percent 7 3 3 3 5 2" xfId="13498" xr:uid="{00000000-0005-0000-0000-0000129D0000}"/>
    <cellStyle name="Percent 7 3 3 3 5 2 2" xfId="41531" xr:uid="{00000000-0005-0000-0000-0000139D0000}"/>
    <cellStyle name="Percent 7 3 3 3 5 3" xfId="17238" xr:uid="{00000000-0005-0000-0000-0000149D0000}"/>
    <cellStyle name="Percent 7 3 3 3 6" xfId="11302" xr:uid="{00000000-0005-0000-0000-0000159D0000}"/>
    <cellStyle name="Percent 7 3 3 3 6 2" xfId="14894" xr:uid="{00000000-0005-0000-0000-0000169D0000}"/>
    <cellStyle name="Percent 7 3 3 3 6 2 2" xfId="41532" xr:uid="{00000000-0005-0000-0000-0000179D0000}"/>
    <cellStyle name="Percent 7 3 3 3 6 3" xfId="17239" xr:uid="{00000000-0005-0000-0000-0000189D0000}"/>
    <cellStyle name="Percent 7 3 3 3 7" xfId="12445" xr:uid="{00000000-0005-0000-0000-0000199D0000}"/>
    <cellStyle name="Percent 7 3 3 3 7 2" xfId="41524" xr:uid="{00000000-0005-0000-0000-00001A9D0000}"/>
    <cellStyle name="Percent 7 3 3 3 8" xfId="17220" xr:uid="{00000000-0005-0000-0000-00001B9D0000}"/>
    <cellStyle name="Percent 7 3 3 4" xfId="8852" xr:uid="{00000000-0005-0000-0000-00001C9D0000}"/>
    <cellStyle name="Percent 7 3 3 4 2" xfId="8980" xr:uid="{00000000-0005-0000-0000-00001D9D0000}"/>
    <cellStyle name="Percent 7 3 3 4 2 2" xfId="9236" xr:uid="{00000000-0005-0000-0000-00001E9D0000}"/>
    <cellStyle name="Percent 7 3 3 4 2 2 2" xfId="9804" xr:uid="{00000000-0005-0000-0000-00001F9D0000}"/>
    <cellStyle name="Percent 7 3 3 4 2 2 2 2" xfId="10858" xr:uid="{00000000-0005-0000-0000-0000209D0000}"/>
    <cellStyle name="Percent 7 3 3 4 2 2 2 2 2" xfId="14452" xr:uid="{00000000-0005-0000-0000-0000219D0000}"/>
    <cellStyle name="Percent 7 3 3 4 2 2 2 2 3" xfId="17244" xr:uid="{00000000-0005-0000-0000-0000229D0000}"/>
    <cellStyle name="Percent 7 3 3 4 2 2 2 3" xfId="13399" xr:uid="{00000000-0005-0000-0000-0000239D0000}"/>
    <cellStyle name="Percent 7 3 3 4 2 2 2 4" xfId="17243" xr:uid="{00000000-0005-0000-0000-0000249D0000}"/>
    <cellStyle name="Percent 7 3 3 4 2 2 3" xfId="10320" xr:uid="{00000000-0005-0000-0000-0000259D0000}"/>
    <cellStyle name="Percent 7 3 3 4 2 2 3 2" xfId="13914" xr:uid="{00000000-0005-0000-0000-0000269D0000}"/>
    <cellStyle name="Percent 7 3 3 4 2 2 3 3" xfId="17245" xr:uid="{00000000-0005-0000-0000-0000279D0000}"/>
    <cellStyle name="Percent 7 3 3 4 2 2 4" xfId="11308" xr:uid="{00000000-0005-0000-0000-0000289D0000}"/>
    <cellStyle name="Percent 7 3 3 4 2 2 4 2" xfId="14900" xr:uid="{00000000-0005-0000-0000-0000299D0000}"/>
    <cellStyle name="Percent 7 3 3 4 2 2 4 3" xfId="17246" xr:uid="{00000000-0005-0000-0000-00002A9D0000}"/>
    <cellStyle name="Percent 7 3 3 4 2 2 5" xfId="12861" xr:uid="{00000000-0005-0000-0000-00002B9D0000}"/>
    <cellStyle name="Percent 7 3 3 4 2 2 5 2" xfId="41535" xr:uid="{00000000-0005-0000-0000-00002C9D0000}"/>
    <cellStyle name="Percent 7 3 3 4 2 2 6" xfId="17242" xr:uid="{00000000-0005-0000-0000-00002D9D0000}"/>
    <cellStyle name="Percent 7 3 3 4 2 3" xfId="9548" xr:uid="{00000000-0005-0000-0000-00002E9D0000}"/>
    <cellStyle name="Percent 7 3 3 4 2 3 2" xfId="10602" xr:uid="{00000000-0005-0000-0000-00002F9D0000}"/>
    <cellStyle name="Percent 7 3 3 4 2 3 2 2" xfId="14196" xr:uid="{00000000-0005-0000-0000-0000309D0000}"/>
    <cellStyle name="Percent 7 3 3 4 2 3 2 3" xfId="17248" xr:uid="{00000000-0005-0000-0000-0000319D0000}"/>
    <cellStyle name="Percent 7 3 3 4 2 3 3" xfId="13143" xr:uid="{00000000-0005-0000-0000-0000329D0000}"/>
    <cellStyle name="Percent 7 3 3 4 2 3 4" xfId="17247" xr:uid="{00000000-0005-0000-0000-0000339D0000}"/>
    <cellStyle name="Percent 7 3 3 4 2 4" xfId="10064" xr:uid="{00000000-0005-0000-0000-0000349D0000}"/>
    <cellStyle name="Percent 7 3 3 4 2 4 2" xfId="13658" xr:uid="{00000000-0005-0000-0000-0000359D0000}"/>
    <cellStyle name="Percent 7 3 3 4 2 4 3" xfId="17249" xr:uid="{00000000-0005-0000-0000-0000369D0000}"/>
    <cellStyle name="Percent 7 3 3 4 2 5" xfId="11307" xr:uid="{00000000-0005-0000-0000-0000379D0000}"/>
    <cellStyle name="Percent 7 3 3 4 2 5 2" xfId="14899" xr:uid="{00000000-0005-0000-0000-0000389D0000}"/>
    <cellStyle name="Percent 7 3 3 4 2 5 3" xfId="17250" xr:uid="{00000000-0005-0000-0000-0000399D0000}"/>
    <cellStyle name="Percent 7 3 3 4 2 6" xfId="12605" xr:uid="{00000000-0005-0000-0000-00003A9D0000}"/>
    <cellStyle name="Percent 7 3 3 4 2 6 2" xfId="41534" xr:uid="{00000000-0005-0000-0000-00003B9D0000}"/>
    <cellStyle name="Percent 7 3 3 4 2 7" xfId="17241" xr:uid="{00000000-0005-0000-0000-00003C9D0000}"/>
    <cellStyle name="Percent 7 3 3 4 3" xfId="9108" xr:uid="{00000000-0005-0000-0000-00003D9D0000}"/>
    <cellStyle name="Percent 7 3 3 4 3 2" xfId="9676" xr:uid="{00000000-0005-0000-0000-00003E9D0000}"/>
    <cellStyle name="Percent 7 3 3 4 3 2 2" xfId="10730" xr:uid="{00000000-0005-0000-0000-00003F9D0000}"/>
    <cellStyle name="Percent 7 3 3 4 3 2 2 2" xfId="14324" xr:uid="{00000000-0005-0000-0000-0000409D0000}"/>
    <cellStyle name="Percent 7 3 3 4 3 2 2 3" xfId="17253" xr:uid="{00000000-0005-0000-0000-0000419D0000}"/>
    <cellStyle name="Percent 7 3 3 4 3 2 3" xfId="13271" xr:uid="{00000000-0005-0000-0000-0000429D0000}"/>
    <cellStyle name="Percent 7 3 3 4 3 2 3 2" xfId="41537" xr:uid="{00000000-0005-0000-0000-0000439D0000}"/>
    <cellStyle name="Percent 7 3 3 4 3 2 4" xfId="17252" xr:uid="{00000000-0005-0000-0000-0000449D0000}"/>
    <cellStyle name="Percent 7 3 3 4 3 3" xfId="10192" xr:uid="{00000000-0005-0000-0000-0000459D0000}"/>
    <cellStyle name="Percent 7 3 3 4 3 3 2" xfId="13786" xr:uid="{00000000-0005-0000-0000-0000469D0000}"/>
    <cellStyle name="Percent 7 3 3 4 3 3 3" xfId="17254" xr:uid="{00000000-0005-0000-0000-0000479D0000}"/>
    <cellStyle name="Percent 7 3 3 4 3 4" xfId="11309" xr:uid="{00000000-0005-0000-0000-0000489D0000}"/>
    <cellStyle name="Percent 7 3 3 4 3 4 2" xfId="14901" xr:uid="{00000000-0005-0000-0000-0000499D0000}"/>
    <cellStyle name="Percent 7 3 3 4 3 4 3" xfId="17255" xr:uid="{00000000-0005-0000-0000-00004A9D0000}"/>
    <cellStyle name="Percent 7 3 3 4 3 5" xfId="12733" xr:uid="{00000000-0005-0000-0000-00004B9D0000}"/>
    <cellStyle name="Percent 7 3 3 4 3 5 2" xfId="41536" xr:uid="{00000000-0005-0000-0000-00004C9D0000}"/>
    <cellStyle name="Percent 7 3 3 4 3 6" xfId="17251" xr:uid="{00000000-0005-0000-0000-00004D9D0000}"/>
    <cellStyle name="Percent 7 3 3 4 4" xfId="9420" xr:uid="{00000000-0005-0000-0000-00004E9D0000}"/>
    <cellStyle name="Percent 7 3 3 4 4 2" xfId="10474" xr:uid="{00000000-0005-0000-0000-00004F9D0000}"/>
    <cellStyle name="Percent 7 3 3 4 4 2 2" xfId="14068" xr:uid="{00000000-0005-0000-0000-0000509D0000}"/>
    <cellStyle name="Percent 7 3 3 4 4 2 2 2" xfId="41539" xr:uid="{00000000-0005-0000-0000-0000519D0000}"/>
    <cellStyle name="Percent 7 3 3 4 4 2 3" xfId="17257" xr:uid="{00000000-0005-0000-0000-0000529D0000}"/>
    <cellStyle name="Percent 7 3 3 4 4 3" xfId="13015" xr:uid="{00000000-0005-0000-0000-0000539D0000}"/>
    <cellStyle name="Percent 7 3 3 4 4 3 2" xfId="41538" xr:uid="{00000000-0005-0000-0000-0000549D0000}"/>
    <cellStyle name="Percent 7 3 3 4 4 4" xfId="17256" xr:uid="{00000000-0005-0000-0000-0000559D0000}"/>
    <cellStyle name="Percent 7 3 3 4 5" xfId="9936" xr:uid="{00000000-0005-0000-0000-0000569D0000}"/>
    <cellStyle name="Percent 7 3 3 4 5 2" xfId="13530" xr:uid="{00000000-0005-0000-0000-0000579D0000}"/>
    <cellStyle name="Percent 7 3 3 4 5 2 2" xfId="41540" xr:uid="{00000000-0005-0000-0000-0000589D0000}"/>
    <cellStyle name="Percent 7 3 3 4 5 3" xfId="17258" xr:uid="{00000000-0005-0000-0000-0000599D0000}"/>
    <cellStyle name="Percent 7 3 3 4 6" xfId="11306" xr:uid="{00000000-0005-0000-0000-00005A9D0000}"/>
    <cellStyle name="Percent 7 3 3 4 6 2" xfId="14898" xr:uid="{00000000-0005-0000-0000-00005B9D0000}"/>
    <cellStyle name="Percent 7 3 3 4 6 2 2" xfId="41541" xr:uid="{00000000-0005-0000-0000-00005C9D0000}"/>
    <cellStyle name="Percent 7 3 3 4 6 3" xfId="17259" xr:uid="{00000000-0005-0000-0000-00005D9D0000}"/>
    <cellStyle name="Percent 7 3 3 4 7" xfId="12477" xr:uid="{00000000-0005-0000-0000-00005E9D0000}"/>
    <cellStyle name="Percent 7 3 3 4 7 2" xfId="41533" xr:uid="{00000000-0005-0000-0000-00005F9D0000}"/>
    <cellStyle name="Percent 7 3 3 4 8" xfId="17240" xr:uid="{00000000-0005-0000-0000-0000609D0000}"/>
    <cellStyle name="Percent 7 3 3 5" xfId="8891" xr:uid="{00000000-0005-0000-0000-0000619D0000}"/>
    <cellStyle name="Percent 7 3 3 5 2" xfId="9147" xr:uid="{00000000-0005-0000-0000-0000629D0000}"/>
    <cellStyle name="Percent 7 3 3 5 2 2" xfId="9715" xr:uid="{00000000-0005-0000-0000-0000639D0000}"/>
    <cellStyle name="Percent 7 3 3 5 2 2 2" xfId="10769" xr:uid="{00000000-0005-0000-0000-0000649D0000}"/>
    <cellStyle name="Percent 7 3 3 5 2 2 2 2" xfId="14363" xr:uid="{00000000-0005-0000-0000-0000659D0000}"/>
    <cellStyle name="Percent 7 3 3 5 2 2 2 3" xfId="17263" xr:uid="{00000000-0005-0000-0000-0000669D0000}"/>
    <cellStyle name="Percent 7 3 3 5 2 2 3" xfId="13310" xr:uid="{00000000-0005-0000-0000-0000679D0000}"/>
    <cellStyle name="Percent 7 3 3 5 2 2 3 2" xfId="41544" xr:uid="{00000000-0005-0000-0000-0000689D0000}"/>
    <cellStyle name="Percent 7 3 3 5 2 2 4" xfId="17262" xr:uid="{00000000-0005-0000-0000-0000699D0000}"/>
    <cellStyle name="Percent 7 3 3 5 2 3" xfId="10231" xr:uid="{00000000-0005-0000-0000-00006A9D0000}"/>
    <cellStyle name="Percent 7 3 3 5 2 3 2" xfId="13825" xr:uid="{00000000-0005-0000-0000-00006B9D0000}"/>
    <cellStyle name="Percent 7 3 3 5 2 3 3" xfId="17264" xr:uid="{00000000-0005-0000-0000-00006C9D0000}"/>
    <cellStyle name="Percent 7 3 3 5 2 4" xfId="11311" xr:uid="{00000000-0005-0000-0000-00006D9D0000}"/>
    <cellStyle name="Percent 7 3 3 5 2 4 2" xfId="14903" xr:uid="{00000000-0005-0000-0000-00006E9D0000}"/>
    <cellStyle name="Percent 7 3 3 5 2 4 3" xfId="17265" xr:uid="{00000000-0005-0000-0000-00006F9D0000}"/>
    <cellStyle name="Percent 7 3 3 5 2 5" xfId="12772" xr:uid="{00000000-0005-0000-0000-0000709D0000}"/>
    <cellStyle name="Percent 7 3 3 5 2 5 2" xfId="41543" xr:uid="{00000000-0005-0000-0000-0000719D0000}"/>
    <cellStyle name="Percent 7 3 3 5 2 6" xfId="17261" xr:uid="{00000000-0005-0000-0000-0000729D0000}"/>
    <cellStyle name="Percent 7 3 3 5 3" xfId="9459" xr:uid="{00000000-0005-0000-0000-0000739D0000}"/>
    <cellStyle name="Percent 7 3 3 5 3 2" xfId="10513" xr:uid="{00000000-0005-0000-0000-0000749D0000}"/>
    <cellStyle name="Percent 7 3 3 5 3 2 2" xfId="14107" xr:uid="{00000000-0005-0000-0000-0000759D0000}"/>
    <cellStyle name="Percent 7 3 3 5 3 2 2 2" xfId="41546" xr:uid="{00000000-0005-0000-0000-0000769D0000}"/>
    <cellStyle name="Percent 7 3 3 5 3 2 3" xfId="17267" xr:uid="{00000000-0005-0000-0000-0000779D0000}"/>
    <cellStyle name="Percent 7 3 3 5 3 3" xfId="13054" xr:uid="{00000000-0005-0000-0000-0000789D0000}"/>
    <cellStyle name="Percent 7 3 3 5 3 3 2" xfId="41545" xr:uid="{00000000-0005-0000-0000-0000799D0000}"/>
    <cellStyle name="Percent 7 3 3 5 3 4" xfId="17266" xr:uid="{00000000-0005-0000-0000-00007A9D0000}"/>
    <cellStyle name="Percent 7 3 3 5 4" xfId="9975" xr:uid="{00000000-0005-0000-0000-00007B9D0000}"/>
    <cellStyle name="Percent 7 3 3 5 4 2" xfId="13569" xr:uid="{00000000-0005-0000-0000-00007C9D0000}"/>
    <cellStyle name="Percent 7 3 3 5 4 2 2" xfId="41547" xr:uid="{00000000-0005-0000-0000-00007D9D0000}"/>
    <cellStyle name="Percent 7 3 3 5 4 3" xfId="17268" xr:uid="{00000000-0005-0000-0000-00007E9D0000}"/>
    <cellStyle name="Percent 7 3 3 5 5" xfId="11310" xr:uid="{00000000-0005-0000-0000-00007F9D0000}"/>
    <cellStyle name="Percent 7 3 3 5 5 2" xfId="14902" xr:uid="{00000000-0005-0000-0000-0000809D0000}"/>
    <cellStyle name="Percent 7 3 3 5 5 2 2" xfId="41548" xr:uid="{00000000-0005-0000-0000-0000819D0000}"/>
    <cellStyle name="Percent 7 3 3 5 5 3" xfId="17269" xr:uid="{00000000-0005-0000-0000-0000829D0000}"/>
    <cellStyle name="Percent 7 3 3 5 6" xfId="12516" xr:uid="{00000000-0005-0000-0000-0000839D0000}"/>
    <cellStyle name="Percent 7 3 3 5 6 2" xfId="41542" xr:uid="{00000000-0005-0000-0000-0000849D0000}"/>
    <cellStyle name="Percent 7 3 3 5 7" xfId="17260" xr:uid="{00000000-0005-0000-0000-0000859D0000}"/>
    <cellStyle name="Percent 7 3 3 6" xfId="9019" xr:uid="{00000000-0005-0000-0000-0000869D0000}"/>
    <cellStyle name="Percent 7 3 3 6 2" xfId="9587" xr:uid="{00000000-0005-0000-0000-0000879D0000}"/>
    <cellStyle name="Percent 7 3 3 6 2 2" xfId="10641" xr:uid="{00000000-0005-0000-0000-0000889D0000}"/>
    <cellStyle name="Percent 7 3 3 6 2 2 2" xfId="14235" xr:uid="{00000000-0005-0000-0000-0000899D0000}"/>
    <cellStyle name="Percent 7 3 3 6 2 2 3" xfId="17272" xr:uid="{00000000-0005-0000-0000-00008A9D0000}"/>
    <cellStyle name="Percent 7 3 3 6 2 3" xfId="13182" xr:uid="{00000000-0005-0000-0000-00008B9D0000}"/>
    <cellStyle name="Percent 7 3 3 6 2 3 2" xfId="41550" xr:uid="{00000000-0005-0000-0000-00008C9D0000}"/>
    <cellStyle name="Percent 7 3 3 6 2 4" xfId="17271" xr:uid="{00000000-0005-0000-0000-00008D9D0000}"/>
    <cellStyle name="Percent 7 3 3 6 3" xfId="10103" xr:uid="{00000000-0005-0000-0000-00008E9D0000}"/>
    <cellStyle name="Percent 7 3 3 6 3 2" xfId="13697" xr:uid="{00000000-0005-0000-0000-00008F9D0000}"/>
    <cellStyle name="Percent 7 3 3 6 3 3" xfId="17273" xr:uid="{00000000-0005-0000-0000-0000909D0000}"/>
    <cellStyle name="Percent 7 3 3 6 4" xfId="11312" xr:uid="{00000000-0005-0000-0000-0000919D0000}"/>
    <cellStyle name="Percent 7 3 3 6 4 2" xfId="14904" xr:uid="{00000000-0005-0000-0000-0000929D0000}"/>
    <cellStyle name="Percent 7 3 3 6 4 3" xfId="17274" xr:uid="{00000000-0005-0000-0000-0000939D0000}"/>
    <cellStyle name="Percent 7 3 3 6 5" xfId="12644" xr:uid="{00000000-0005-0000-0000-0000949D0000}"/>
    <cellStyle name="Percent 7 3 3 6 5 2" xfId="41549" xr:uid="{00000000-0005-0000-0000-0000959D0000}"/>
    <cellStyle name="Percent 7 3 3 6 6" xfId="17270" xr:uid="{00000000-0005-0000-0000-0000969D0000}"/>
    <cellStyle name="Percent 7 3 3 7" xfId="9331" xr:uid="{00000000-0005-0000-0000-0000979D0000}"/>
    <cellStyle name="Percent 7 3 3 7 2" xfId="10385" xr:uid="{00000000-0005-0000-0000-0000989D0000}"/>
    <cellStyle name="Percent 7 3 3 7 2 2" xfId="13979" xr:uid="{00000000-0005-0000-0000-0000999D0000}"/>
    <cellStyle name="Percent 7 3 3 7 2 2 2" xfId="41552" xr:uid="{00000000-0005-0000-0000-00009A9D0000}"/>
    <cellStyle name="Percent 7 3 3 7 2 3" xfId="17276" xr:uid="{00000000-0005-0000-0000-00009B9D0000}"/>
    <cellStyle name="Percent 7 3 3 7 3" xfId="12926" xr:uid="{00000000-0005-0000-0000-00009C9D0000}"/>
    <cellStyle name="Percent 7 3 3 7 3 2" xfId="41551" xr:uid="{00000000-0005-0000-0000-00009D9D0000}"/>
    <cellStyle name="Percent 7 3 3 7 4" xfId="17275" xr:uid="{00000000-0005-0000-0000-00009E9D0000}"/>
    <cellStyle name="Percent 7 3 3 8" xfId="9847" xr:uid="{00000000-0005-0000-0000-00009F9D0000}"/>
    <cellStyle name="Percent 7 3 3 8 2" xfId="13441" xr:uid="{00000000-0005-0000-0000-0000A09D0000}"/>
    <cellStyle name="Percent 7 3 3 8 2 2" xfId="41554" xr:uid="{00000000-0005-0000-0000-0000A19D0000}"/>
    <cellStyle name="Percent 7 3 3 8 3" xfId="41553" xr:uid="{00000000-0005-0000-0000-0000A29D0000}"/>
    <cellStyle name="Percent 7 3 3 8 4" xfId="17277" xr:uid="{00000000-0005-0000-0000-0000A39D0000}"/>
    <cellStyle name="Percent 7 3 3 9" xfId="11297" xr:uid="{00000000-0005-0000-0000-0000A49D0000}"/>
    <cellStyle name="Percent 7 3 3 9 2" xfId="14889" xr:uid="{00000000-0005-0000-0000-0000A59D0000}"/>
    <cellStyle name="Percent 7 3 3 9 2 2" xfId="41555" xr:uid="{00000000-0005-0000-0000-0000A69D0000}"/>
    <cellStyle name="Percent 7 3 3 9 3" xfId="17278" xr:uid="{00000000-0005-0000-0000-0000A79D0000}"/>
    <cellStyle name="Percent 7 3 4" xfId="8772" xr:uid="{00000000-0005-0000-0000-0000A89D0000}"/>
    <cellStyle name="Percent 7 3 4 10" xfId="41557" xr:uid="{00000000-0005-0000-0000-0000A99D0000}"/>
    <cellStyle name="Percent 7 3 4 11" xfId="41556" xr:uid="{00000000-0005-0000-0000-0000AA9D0000}"/>
    <cellStyle name="Percent 7 3 4 12" xfId="17279" xr:uid="{00000000-0005-0000-0000-0000AB9D0000}"/>
    <cellStyle name="Percent 7 3 4 2" xfId="8900" xr:uid="{00000000-0005-0000-0000-0000AC9D0000}"/>
    <cellStyle name="Percent 7 3 4 2 2" xfId="9156" xr:uid="{00000000-0005-0000-0000-0000AD9D0000}"/>
    <cellStyle name="Percent 7 3 4 2 2 2" xfId="9724" xr:uid="{00000000-0005-0000-0000-0000AE9D0000}"/>
    <cellStyle name="Percent 7 3 4 2 2 2 2" xfId="10778" xr:uid="{00000000-0005-0000-0000-0000AF9D0000}"/>
    <cellStyle name="Percent 7 3 4 2 2 2 2 2" xfId="14372" xr:uid="{00000000-0005-0000-0000-0000B09D0000}"/>
    <cellStyle name="Percent 7 3 4 2 2 2 2 3" xfId="17283" xr:uid="{00000000-0005-0000-0000-0000B19D0000}"/>
    <cellStyle name="Percent 7 3 4 2 2 2 3" xfId="13319" xr:uid="{00000000-0005-0000-0000-0000B29D0000}"/>
    <cellStyle name="Percent 7 3 4 2 2 2 3 2" xfId="41560" xr:uid="{00000000-0005-0000-0000-0000B39D0000}"/>
    <cellStyle name="Percent 7 3 4 2 2 2 4" xfId="17282" xr:uid="{00000000-0005-0000-0000-0000B49D0000}"/>
    <cellStyle name="Percent 7 3 4 2 2 3" xfId="10240" xr:uid="{00000000-0005-0000-0000-0000B59D0000}"/>
    <cellStyle name="Percent 7 3 4 2 2 3 2" xfId="13834" xr:uid="{00000000-0005-0000-0000-0000B69D0000}"/>
    <cellStyle name="Percent 7 3 4 2 2 3 3" xfId="17284" xr:uid="{00000000-0005-0000-0000-0000B79D0000}"/>
    <cellStyle name="Percent 7 3 4 2 2 4" xfId="11315" xr:uid="{00000000-0005-0000-0000-0000B89D0000}"/>
    <cellStyle name="Percent 7 3 4 2 2 4 2" xfId="14907" xr:uid="{00000000-0005-0000-0000-0000B99D0000}"/>
    <cellStyle name="Percent 7 3 4 2 2 4 3" xfId="17285" xr:uid="{00000000-0005-0000-0000-0000BA9D0000}"/>
    <cellStyle name="Percent 7 3 4 2 2 5" xfId="12781" xr:uid="{00000000-0005-0000-0000-0000BB9D0000}"/>
    <cellStyle name="Percent 7 3 4 2 2 5 2" xfId="41559" xr:uid="{00000000-0005-0000-0000-0000BC9D0000}"/>
    <cellStyle name="Percent 7 3 4 2 2 6" xfId="17281" xr:uid="{00000000-0005-0000-0000-0000BD9D0000}"/>
    <cellStyle name="Percent 7 3 4 2 3" xfId="9468" xr:uid="{00000000-0005-0000-0000-0000BE9D0000}"/>
    <cellStyle name="Percent 7 3 4 2 3 2" xfId="10522" xr:uid="{00000000-0005-0000-0000-0000BF9D0000}"/>
    <cellStyle name="Percent 7 3 4 2 3 2 2" xfId="14116" xr:uid="{00000000-0005-0000-0000-0000C09D0000}"/>
    <cellStyle name="Percent 7 3 4 2 3 2 2 2" xfId="41562" xr:uid="{00000000-0005-0000-0000-0000C19D0000}"/>
    <cellStyle name="Percent 7 3 4 2 3 2 3" xfId="17287" xr:uid="{00000000-0005-0000-0000-0000C29D0000}"/>
    <cellStyle name="Percent 7 3 4 2 3 3" xfId="13063" xr:uid="{00000000-0005-0000-0000-0000C39D0000}"/>
    <cellStyle name="Percent 7 3 4 2 3 3 2" xfId="41561" xr:uid="{00000000-0005-0000-0000-0000C49D0000}"/>
    <cellStyle name="Percent 7 3 4 2 3 4" xfId="17286" xr:uid="{00000000-0005-0000-0000-0000C59D0000}"/>
    <cellStyle name="Percent 7 3 4 2 4" xfId="9984" xr:uid="{00000000-0005-0000-0000-0000C69D0000}"/>
    <cellStyle name="Percent 7 3 4 2 4 2" xfId="13578" xr:uid="{00000000-0005-0000-0000-0000C79D0000}"/>
    <cellStyle name="Percent 7 3 4 2 4 2 2" xfId="41564" xr:uid="{00000000-0005-0000-0000-0000C89D0000}"/>
    <cellStyle name="Percent 7 3 4 2 4 3" xfId="41563" xr:uid="{00000000-0005-0000-0000-0000C99D0000}"/>
    <cellStyle name="Percent 7 3 4 2 4 4" xfId="17288" xr:uid="{00000000-0005-0000-0000-0000CA9D0000}"/>
    <cellStyle name="Percent 7 3 4 2 5" xfId="11314" xr:uid="{00000000-0005-0000-0000-0000CB9D0000}"/>
    <cellStyle name="Percent 7 3 4 2 5 2" xfId="14906" xr:uid="{00000000-0005-0000-0000-0000CC9D0000}"/>
    <cellStyle name="Percent 7 3 4 2 5 2 2" xfId="41565" xr:uid="{00000000-0005-0000-0000-0000CD9D0000}"/>
    <cellStyle name="Percent 7 3 4 2 5 3" xfId="17289" xr:uid="{00000000-0005-0000-0000-0000CE9D0000}"/>
    <cellStyle name="Percent 7 3 4 2 6" xfId="12525" xr:uid="{00000000-0005-0000-0000-0000CF9D0000}"/>
    <cellStyle name="Percent 7 3 4 2 6 2" xfId="41566" xr:uid="{00000000-0005-0000-0000-0000D09D0000}"/>
    <cellStyle name="Percent 7 3 4 2 7" xfId="41558" xr:uid="{00000000-0005-0000-0000-0000D19D0000}"/>
    <cellStyle name="Percent 7 3 4 2 8" xfId="17280" xr:uid="{00000000-0005-0000-0000-0000D29D0000}"/>
    <cellStyle name="Percent 7 3 4 3" xfId="9028" xr:uid="{00000000-0005-0000-0000-0000D39D0000}"/>
    <cellStyle name="Percent 7 3 4 3 2" xfId="9596" xr:uid="{00000000-0005-0000-0000-0000D49D0000}"/>
    <cellStyle name="Percent 7 3 4 3 2 2" xfId="10650" xr:uid="{00000000-0005-0000-0000-0000D59D0000}"/>
    <cellStyle name="Percent 7 3 4 3 2 2 2" xfId="14244" xr:uid="{00000000-0005-0000-0000-0000D69D0000}"/>
    <cellStyle name="Percent 7 3 4 3 2 2 2 2" xfId="41569" xr:uid="{00000000-0005-0000-0000-0000D79D0000}"/>
    <cellStyle name="Percent 7 3 4 3 2 2 3" xfId="17292" xr:uid="{00000000-0005-0000-0000-0000D89D0000}"/>
    <cellStyle name="Percent 7 3 4 3 2 3" xfId="13191" xr:uid="{00000000-0005-0000-0000-0000D99D0000}"/>
    <cellStyle name="Percent 7 3 4 3 2 3 2" xfId="41568" xr:uid="{00000000-0005-0000-0000-0000DA9D0000}"/>
    <cellStyle name="Percent 7 3 4 3 2 4" xfId="17291" xr:uid="{00000000-0005-0000-0000-0000DB9D0000}"/>
    <cellStyle name="Percent 7 3 4 3 3" xfId="10112" xr:uid="{00000000-0005-0000-0000-0000DC9D0000}"/>
    <cellStyle name="Percent 7 3 4 3 3 2" xfId="13706" xr:uid="{00000000-0005-0000-0000-0000DD9D0000}"/>
    <cellStyle name="Percent 7 3 4 3 3 2 2" xfId="41571" xr:uid="{00000000-0005-0000-0000-0000DE9D0000}"/>
    <cellStyle name="Percent 7 3 4 3 3 3" xfId="41570" xr:uid="{00000000-0005-0000-0000-0000DF9D0000}"/>
    <cellStyle name="Percent 7 3 4 3 3 4" xfId="17293" xr:uid="{00000000-0005-0000-0000-0000E09D0000}"/>
    <cellStyle name="Percent 7 3 4 3 4" xfId="11316" xr:uid="{00000000-0005-0000-0000-0000E19D0000}"/>
    <cellStyle name="Percent 7 3 4 3 4 2" xfId="14908" xr:uid="{00000000-0005-0000-0000-0000E29D0000}"/>
    <cellStyle name="Percent 7 3 4 3 4 2 2" xfId="41573" xr:uid="{00000000-0005-0000-0000-0000E39D0000}"/>
    <cellStyle name="Percent 7 3 4 3 4 3" xfId="41572" xr:uid="{00000000-0005-0000-0000-0000E49D0000}"/>
    <cellStyle name="Percent 7 3 4 3 4 4" xfId="17294" xr:uid="{00000000-0005-0000-0000-0000E59D0000}"/>
    <cellStyle name="Percent 7 3 4 3 5" xfId="12653" xr:uid="{00000000-0005-0000-0000-0000E69D0000}"/>
    <cellStyle name="Percent 7 3 4 3 5 2" xfId="41574" xr:uid="{00000000-0005-0000-0000-0000E79D0000}"/>
    <cellStyle name="Percent 7 3 4 3 6" xfId="41575" xr:uid="{00000000-0005-0000-0000-0000E89D0000}"/>
    <cellStyle name="Percent 7 3 4 3 7" xfId="41567" xr:uid="{00000000-0005-0000-0000-0000E99D0000}"/>
    <cellStyle name="Percent 7 3 4 3 8" xfId="17290" xr:uid="{00000000-0005-0000-0000-0000EA9D0000}"/>
    <cellStyle name="Percent 7 3 4 4" xfId="9340" xr:uid="{00000000-0005-0000-0000-0000EB9D0000}"/>
    <cellStyle name="Percent 7 3 4 4 2" xfId="10394" xr:uid="{00000000-0005-0000-0000-0000EC9D0000}"/>
    <cellStyle name="Percent 7 3 4 4 2 2" xfId="13988" xr:uid="{00000000-0005-0000-0000-0000ED9D0000}"/>
    <cellStyle name="Percent 7 3 4 4 2 2 2" xfId="41578" xr:uid="{00000000-0005-0000-0000-0000EE9D0000}"/>
    <cellStyle name="Percent 7 3 4 4 2 3" xfId="41577" xr:uid="{00000000-0005-0000-0000-0000EF9D0000}"/>
    <cellStyle name="Percent 7 3 4 4 2 4" xfId="17296" xr:uid="{00000000-0005-0000-0000-0000F09D0000}"/>
    <cellStyle name="Percent 7 3 4 4 3" xfId="12935" xr:uid="{00000000-0005-0000-0000-0000F19D0000}"/>
    <cellStyle name="Percent 7 3 4 4 3 2" xfId="41580" xr:uid="{00000000-0005-0000-0000-0000F29D0000}"/>
    <cellStyle name="Percent 7 3 4 4 3 3" xfId="41579" xr:uid="{00000000-0005-0000-0000-0000F39D0000}"/>
    <cellStyle name="Percent 7 3 4 4 4" xfId="41581" xr:uid="{00000000-0005-0000-0000-0000F49D0000}"/>
    <cellStyle name="Percent 7 3 4 4 4 2" xfId="41582" xr:uid="{00000000-0005-0000-0000-0000F59D0000}"/>
    <cellStyle name="Percent 7 3 4 4 5" xfId="41583" xr:uid="{00000000-0005-0000-0000-0000F69D0000}"/>
    <cellStyle name="Percent 7 3 4 4 6" xfId="41584" xr:uid="{00000000-0005-0000-0000-0000F79D0000}"/>
    <cellStyle name="Percent 7 3 4 4 7" xfId="41576" xr:uid="{00000000-0005-0000-0000-0000F89D0000}"/>
    <cellStyle name="Percent 7 3 4 4 8" xfId="17295" xr:uid="{00000000-0005-0000-0000-0000F99D0000}"/>
    <cellStyle name="Percent 7 3 4 5" xfId="9856" xr:uid="{00000000-0005-0000-0000-0000FA9D0000}"/>
    <cellStyle name="Percent 7 3 4 5 2" xfId="13450" xr:uid="{00000000-0005-0000-0000-0000FB9D0000}"/>
    <cellStyle name="Percent 7 3 4 5 2 2" xfId="41587" xr:uid="{00000000-0005-0000-0000-0000FC9D0000}"/>
    <cellStyle name="Percent 7 3 4 5 2 3" xfId="41586" xr:uid="{00000000-0005-0000-0000-0000FD9D0000}"/>
    <cellStyle name="Percent 7 3 4 5 3" xfId="41588" xr:uid="{00000000-0005-0000-0000-0000FE9D0000}"/>
    <cellStyle name="Percent 7 3 4 5 3 2" xfId="41589" xr:uid="{00000000-0005-0000-0000-0000FF9D0000}"/>
    <cellStyle name="Percent 7 3 4 5 4" xfId="41590" xr:uid="{00000000-0005-0000-0000-0000009E0000}"/>
    <cellStyle name="Percent 7 3 4 5 5" xfId="41591" xr:uid="{00000000-0005-0000-0000-0000019E0000}"/>
    <cellStyle name="Percent 7 3 4 5 6" xfId="41585" xr:uid="{00000000-0005-0000-0000-0000029E0000}"/>
    <cellStyle name="Percent 7 3 4 5 7" xfId="17297" xr:uid="{00000000-0005-0000-0000-0000039E0000}"/>
    <cellStyle name="Percent 7 3 4 6" xfId="11313" xr:uid="{00000000-0005-0000-0000-0000049E0000}"/>
    <cellStyle name="Percent 7 3 4 6 2" xfId="14905" xr:uid="{00000000-0005-0000-0000-0000059E0000}"/>
    <cellStyle name="Percent 7 3 4 6 2 2" xfId="41593" xr:uid="{00000000-0005-0000-0000-0000069E0000}"/>
    <cellStyle name="Percent 7 3 4 6 3" xfId="41592" xr:uid="{00000000-0005-0000-0000-0000079E0000}"/>
    <cellStyle name="Percent 7 3 4 6 4" xfId="17298" xr:uid="{00000000-0005-0000-0000-0000089E0000}"/>
    <cellStyle name="Percent 7 3 4 7" xfId="12397" xr:uid="{00000000-0005-0000-0000-0000099E0000}"/>
    <cellStyle name="Percent 7 3 4 7 2" xfId="41595" xr:uid="{00000000-0005-0000-0000-00000A9E0000}"/>
    <cellStyle name="Percent 7 3 4 7 3" xfId="41594" xr:uid="{00000000-0005-0000-0000-00000B9E0000}"/>
    <cellStyle name="Percent 7 3 4 8" xfId="41596" xr:uid="{00000000-0005-0000-0000-00000C9E0000}"/>
    <cellStyle name="Percent 7 3 4 8 2" xfId="41597" xr:uid="{00000000-0005-0000-0000-00000D9E0000}"/>
    <cellStyle name="Percent 7 3 4 9" xfId="41598" xr:uid="{00000000-0005-0000-0000-00000E9E0000}"/>
    <cellStyle name="Percent 7 3 5" xfId="8804" xr:uid="{00000000-0005-0000-0000-00000F9E0000}"/>
    <cellStyle name="Percent 7 3 5 2" xfId="8932" xr:uid="{00000000-0005-0000-0000-0000109E0000}"/>
    <cellStyle name="Percent 7 3 5 2 2" xfId="9188" xr:uid="{00000000-0005-0000-0000-0000119E0000}"/>
    <cellStyle name="Percent 7 3 5 2 2 2" xfId="9756" xr:uid="{00000000-0005-0000-0000-0000129E0000}"/>
    <cellStyle name="Percent 7 3 5 2 2 2 2" xfId="10810" xr:uid="{00000000-0005-0000-0000-0000139E0000}"/>
    <cellStyle name="Percent 7 3 5 2 2 2 2 2" xfId="14404" xr:uid="{00000000-0005-0000-0000-0000149E0000}"/>
    <cellStyle name="Percent 7 3 5 2 2 2 2 3" xfId="17303" xr:uid="{00000000-0005-0000-0000-0000159E0000}"/>
    <cellStyle name="Percent 7 3 5 2 2 2 3" xfId="13351" xr:uid="{00000000-0005-0000-0000-0000169E0000}"/>
    <cellStyle name="Percent 7 3 5 2 2 2 4" xfId="17302" xr:uid="{00000000-0005-0000-0000-0000179E0000}"/>
    <cellStyle name="Percent 7 3 5 2 2 3" xfId="10272" xr:uid="{00000000-0005-0000-0000-0000189E0000}"/>
    <cellStyle name="Percent 7 3 5 2 2 3 2" xfId="13866" xr:uid="{00000000-0005-0000-0000-0000199E0000}"/>
    <cellStyle name="Percent 7 3 5 2 2 3 3" xfId="17304" xr:uid="{00000000-0005-0000-0000-00001A9E0000}"/>
    <cellStyle name="Percent 7 3 5 2 2 4" xfId="11319" xr:uid="{00000000-0005-0000-0000-00001B9E0000}"/>
    <cellStyle name="Percent 7 3 5 2 2 4 2" xfId="14911" xr:uid="{00000000-0005-0000-0000-00001C9E0000}"/>
    <cellStyle name="Percent 7 3 5 2 2 4 3" xfId="17305" xr:uid="{00000000-0005-0000-0000-00001D9E0000}"/>
    <cellStyle name="Percent 7 3 5 2 2 5" xfId="12813" xr:uid="{00000000-0005-0000-0000-00001E9E0000}"/>
    <cellStyle name="Percent 7 3 5 2 2 5 2" xfId="41601" xr:uid="{00000000-0005-0000-0000-00001F9E0000}"/>
    <cellStyle name="Percent 7 3 5 2 2 6" xfId="17301" xr:uid="{00000000-0005-0000-0000-0000209E0000}"/>
    <cellStyle name="Percent 7 3 5 2 3" xfId="9500" xr:uid="{00000000-0005-0000-0000-0000219E0000}"/>
    <cellStyle name="Percent 7 3 5 2 3 2" xfId="10554" xr:uid="{00000000-0005-0000-0000-0000229E0000}"/>
    <cellStyle name="Percent 7 3 5 2 3 2 2" xfId="14148" xr:uid="{00000000-0005-0000-0000-0000239E0000}"/>
    <cellStyle name="Percent 7 3 5 2 3 2 3" xfId="17307" xr:uid="{00000000-0005-0000-0000-0000249E0000}"/>
    <cellStyle name="Percent 7 3 5 2 3 3" xfId="13095" xr:uid="{00000000-0005-0000-0000-0000259E0000}"/>
    <cellStyle name="Percent 7 3 5 2 3 4" xfId="17306" xr:uid="{00000000-0005-0000-0000-0000269E0000}"/>
    <cellStyle name="Percent 7 3 5 2 4" xfId="10016" xr:uid="{00000000-0005-0000-0000-0000279E0000}"/>
    <cellStyle name="Percent 7 3 5 2 4 2" xfId="13610" xr:uid="{00000000-0005-0000-0000-0000289E0000}"/>
    <cellStyle name="Percent 7 3 5 2 4 3" xfId="17308" xr:uid="{00000000-0005-0000-0000-0000299E0000}"/>
    <cellStyle name="Percent 7 3 5 2 5" xfId="11318" xr:uid="{00000000-0005-0000-0000-00002A9E0000}"/>
    <cellStyle name="Percent 7 3 5 2 5 2" xfId="14910" xr:uid="{00000000-0005-0000-0000-00002B9E0000}"/>
    <cellStyle name="Percent 7 3 5 2 5 3" xfId="17309" xr:uid="{00000000-0005-0000-0000-00002C9E0000}"/>
    <cellStyle name="Percent 7 3 5 2 6" xfId="12557" xr:uid="{00000000-0005-0000-0000-00002D9E0000}"/>
    <cellStyle name="Percent 7 3 5 2 6 2" xfId="41600" xr:uid="{00000000-0005-0000-0000-00002E9E0000}"/>
    <cellStyle name="Percent 7 3 5 2 7" xfId="17300" xr:uid="{00000000-0005-0000-0000-00002F9E0000}"/>
    <cellStyle name="Percent 7 3 5 3" xfId="9060" xr:uid="{00000000-0005-0000-0000-0000309E0000}"/>
    <cellStyle name="Percent 7 3 5 3 2" xfId="9628" xr:uid="{00000000-0005-0000-0000-0000319E0000}"/>
    <cellStyle name="Percent 7 3 5 3 2 2" xfId="10682" xr:uid="{00000000-0005-0000-0000-0000329E0000}"/>
    <cellStyle name="Percent 7 3 5 3 2 2 2" xfId="14276" xr:uid="{00000000-0005-0000-0000-0000339E0000}"/>
    <cellStyle name="Percent 7 3 5 3 2 2 3" xfId="17312" xr:uid="{00000000-0005-0000-0000-0000349E0000}"/>
    <cellStyle name="Percent 7 3 5 3 2 3" xfId="13223" xr:uid="{00000000-0005-0000-0000-0000359E0000}"/>
    <cellStyle name="Percent 7 3 5 3 2 3 2" xfId="41603" xr:uid="{00000000-0005-0000-0000-0000369E0000}"/>
    <cellStyle name="Percent 7 3 5 3 2 4" xfId="17311" xr:uid="{00000000-0005-0000-0000-0000379E0000}"/>
    <cellStyle name="Percent 7 3 5 3 3" xfId="10144" xr:uid="{00000000-0005-0000-0000-0000389E0000}"/>
    <cellStyle name="Percent 7 3 5 3 3 2" xfId="13738" xr:uid="{00000000-0005-0000-0000-0000399E0000}"/>
    <cellStyle name="Percent 7 3 5 3 3 3" xfId="17313" xr:uid="{00000000-0005-0000-0000-00003A9E0000}"/>
    <cellStyle name="Percent 7 3 5 3 4" xfId="11320" xr:uid="{00000000-0005-0000-0000-00003B9E0000}"/>
    <cellStyle name="Percent 7 3 5 3 4 2" xfId="14912" xr:uid="{00000000-0005-0000-0000-00003C9E0000}"/>
    <cellStyle name="Percent 7 3 5 3 4 3" xfId="17314" xr:uid="{00000000-0005-0000-0000-00003D9E0000}"/>
    <cellStyle name="Percent 7 3 5 3 5" xfId="12685" xr:uid="{00000000-0005-0000-0000-00003E9E0000}"/>
    <cellStyle name="Percent 7 3 5 3 5 2" xfId="41602" xr:uid="{00000000-0005-0000-0000-00003F9E0000}"/>
    <cellStyle name="Percent 7 3 5 3 6" xfId="17310" xr:uid="{00000000-0005-0000-0000-0000409E0000}"/>
    <cellStyle name="Percent 7 3 5 4" xfId="9372" xr:uid="{00000000-0005-0000-0000-0000419E0000}"/>
    <cellStyle name="Percent 7 3 5 4 2" xfId="10426" xr:uid="{00000000-0005-0000-0000-0000429E0000}"/>
    <cellStyle name="Percent 7 3 5 4 2 2" xfId="14020" xr:uid="{00000000-0005-0000-0000-0000439E0000}"/>
    <cellStyle name="Percent 7 3 5 4 2 2 2" xfId="41605" xr:uid="{00000000-0005-0000-0000-0000449E0000}"/>
    <cellStyle name="Percent 7 3 5 4 2 3" xfId="17316" xr:uid="{00000000-0005-0000-0000-0000459E0000}"/>
    <cellStyle name="Percent 7 3 5 4 3" xfId="12967" xr:uid="{00000000-0005-0000-0000-0000469E0000}"/>
    <cellStyle name="Percent 7 3 5 4 3 2" xfId="41604" xr:uid="{00000000-0005-0000-0000-0000479E0000}"/>
    <cellStyle name="Percent 7 3 5 4 4" xfId="17315" xr:uid="{00000000-0005-0000-0000-0000489E0000}"/>
    <cellStyle name="Percent 7 3 5 5" xfId="9888" xr:uid="{00000000-0005-0000-0000-0000499E0000}"/>
    <cellStyle name="Percent 7 3 5 5 2" xfId="13482" xr:uid="{00000000-0005-0000-0000-00004A9E0000}"/>
    <cellStyle name="Percent 7 3 5 5 2 2" xfId="41606" xr:uid="{00000000-0005-0000-0000-00004B9E0000}"/>
    <cellStyle name="Percent 7 3 5 5 3" xfId="17317" xr:uid="{00000000-0005-0000-0000-00004C9E0000}"/>
    <cellStyle name="Percent 7 3 5 6" xfId="11317" xr:uid="{00000000-0005-0000-0000-00004D9E0000}"/>
    <cellStyle name="Percent 7 3 5 6 2" xfId="14909" xr:uid="{00000000-0005-0000-0000-00004E9E0000}"/>
    <cellStyle name="Percent 7 3 5 6 2 2" xfId="41607" xr:uid="{00000000-0005-0000-0000-00004F9E0000}"/>
    <cellStyle name="Percent 7 3 5 6 3" xfId="17318" xr:uid="{00000000-0005-0000-0000-0000509E0000}"/>
    <cellStyle name="Percent 7 3 5 7" xfId="12429" xr:uid="{00000000-0005-0000-0000-0000519E0000}"/>
    <cellStyle name="Percent 7 3 5 7 2" xfId="41599" xr:uid="{00000000-0005-0000-0000-0000529E0000}"/>
    <cellStyle name="Percent 7 3 5 8" xfId="17299" xr:uid="{00000000-0005-0000-0000-0000539E0000}"/>
    <cellStyle name="Percent 7 3 6" xfId="8836" xr:uid="{00000000-0005-0000-0000-0000549E0000}"/>
    <cellStyle name="Percent 7 3 6 2" xfId="8964" xr:uid="{00000000-0005-0000-0000-0000559E0000}"/>
    <cellStyle name="Percent 7 3 6 2 2" xfId="9220" xr:uid="{00000000-0005-0000-0000-0000569E0000}"/>
    <cellStyle name="Percent 7 3 6 2 2 2" xfId="9788" xr:uid="{00000000-0005-0000-0000-0000579E0000}"/>
    <cellStyle name="Percent 7 3 6 2 2 2 2" xfId="10842" xr:uid="{00000000-0005-0000-0000-0000589E0000}"/>
    <cellStyle name="Percent 7 3 6 2 2 2 2 2" xfId="14436" xr:uid="{00000000-0005-0000-0000-0000599E0000}"/>
    <cellStyle name="Percent 7 3 6 2 2 2 2 3" xfId="17323" xr:uid="{00000000-0005-0000-0000-00005A9E0000}"/>
    <cellStyle name="Percent 7 3 6 2 2 2 3" xfId="13383" xr:uid="{00000000-0005-0000-0000-00005B9E0000}"/>
    <cellStyle name="Percent 7 3 6 2 2 2 4" xfId="17322" xr:uid="{00000000-0005-0000-0000-00005C9E0000}"/>
    <cellStyle name="Percent 7 3 6 2 2 3" xfId="10304" xr:uid="{00000000-0005-0000-0000-00005D9E0000}"/>
    <cellStyle name="Percent 7 3 6 2 2 3 2" xfId="13898" xr:uid="{00000000-0005-0000-0000-00005E9E0000}"/>
    <cellStyle name="Percent 7 3 6 2 2 3 3" xfId="17324" xr:uid="{00000000-0005-0000-0000-00005F9E0000}"/>
    <cellStyle name="Percent 7 3 6 2 2 4" xfId="11323" xr:uid="{00000000-0005-0000-0000-0000609E0000}"/>
    <cellStyle name="Percent 7 3 6 2 2 4 2" xfId="14915" xr:uid="{00000000-0005-0000-0000-0000619E0000}"/>
    <cellStyle name="Percent 7 3 6 2 2 4 3" xfId="17325" xr:uid="{00000000-0005-0000-0000-0000629E0000}"/>
    <cellStyle name="Percent 7 3 6 2 2 5" xfId="12845" xr:uid="{00000000-0005-0000-0000-0000639E0000}"/>
    <cellStyle name="Percent 7 3 6 2 2 5 2" xfId="41610" xr:uid="{00000000-0005-0000-0000-0000649E0000}"/>
    <cellStyle name="Percent 7 3 6 2 2 6" xfId="17321" xr:uid="{00000000-0005-0000-0000-0000659E0000}"/>
    <cellStyle name="Percent 7 3 6 2 3" xfId="9532" xr:uid="{00000000-0005-0000-0000-0000669E0000}"/>
    <cellStyle name="Percent 7 3 6 2 3 2" xfId="10586" xr:uid="{00000000-0005-0000-0000-0000679E0000}"/>
    <cellStyle name="Percent 7 3 6 2 3 2 2" xfId="14180" xr:uid="{00000000-0005-0000-0000-0000689E0000}"/>
    <cellStyle name="Percent 7 3 6 2 3 2 3" xfId="17327" xr:uid="{00000000-0005-0000-0000-0000699E0000}"/>
    <cellStyle name="Percent 7 3 6 2 3 3" xfId="13127" xr:uid="{00000000-0005-0000-0000-00006A9E0000}"/>
    <cellStyle name="Percent 7 3 6 2 3 4" xfId="17326" xr:uid="{00000000-0005-0000-0000-00006B9E0000}"/>
    <cellStyle name="Percent 7 3 6 2 4" xfId="10048" xr:uid="{00000000-0005-0000-0000-00006C9E0000}"/>
    <cellStyle name="Percent 7 3 6 2 4 2" xfId="13642" xr:uid="{00000000-0005-0000-0000-00006D9E0000}"/>
    <cellStyle name="Percent 7 3 6 2 4 3" xfId="17328" xr:uid="{00000000-0005-0000-0000-00006E9E0000}"/>
    <cellStyle name="Percent 7 3 6 2 5" xfId="11322" xr:uid="{00000000-0005-0000-0000-00006F9E0000}"/>
    <cellStyle name="Percent 7 3 6 2 5 2" xfId="14914" xr:uid="{00000000-0005-0000-0000-0000709E0000}"/>
    <cellStyle name="Percent 7 3 6 2 5 3" xfId="17329" xr:uid="{00000000-0005-0000-0000-0000719E0000}"/>
    <cellStyle name="Percent 7 3 6 2 6" xfId="12589" xr:uid="{00000000-0005-0000-0000-0000729E0000}"/>
    <cellStyle name="Percent 7 3 6 2 6 2" xfId="41609" xr:uid="{00000000-0005-0000-0000-0000739E0000}"/>
    <cellStyle name="Percent 7 3 6 2 7" xfId="17320" xr:uid="{00000000-0005-0000-0000-0000749E0000}"/>
    <cellStyle name="Percent 7 3 6 3" xfId="9092" xr:uid="{00000000-0005-0000-0000-0000759E0000}"/>
    <cellStyle name="Percent 7 3 6 3 2" xfId="9660" xr:uid="{00000000-0005-0000-0000-0000769E0000}"/>
    <cellStyle name="Percent 7 3 6 3 2 2" xfId="10714" xr:uid="{00000000-0005-0000-0000-0000779E0000}"/>
    <cellStyle name="Percent 7 3 6 3 2 2 2" xfId="14308" xr:uid="{00000000-0005-0000-0000-0000789E0000}"/>
    <cellStyle name="Percent 7 3 6 3 2 2 3" xfId="17332" xr:uid="{00000000-0005-0000-0000-0000799E0000}"/>
    <cellStyle name="Percent 7 3 6 3 2 3" xfId="13255" xr:uid="{00000000-0005-0000-0000-00007A9E0000}"/>
    <cellStyle name="Percent 7 3 6 3 2 3 2" xfId="41612" xr:uid="{00000000-0005-0000-0000-00007B9E0000}"/>
    <cellStyle name="Percent 7 3 6 3 2 4" xfId="17331" xr:uid="{00000000-0005-0000-0000-00007C9E0000}"/>
    <cellStyle name="Percent 7 3 6 3 3" xfId="10176" xr:uid="{00000000-0005-0000-0000-00007D9E0000}"/>
    <cellStyle name="Percent 7 3 6 3 3 2" xfId="13770" xr:uid="{00000000-0005-0000-0000-00007E9E0000}"/>
    <cellStyle name="Percent 7 3 6 3 3 3" xfId="17333" xr:uid="{00000000-0005-0000-0000-00007F9E0000}"/>
    <cellStyle name="Percent 7 3 6 3 4" xfId="11324" xr:uid="{00000000-0005-0000-0000-0000809E0000}"/>
    <cellStyle name="Percent 7 3 6 3 4 2" xfId="14916" xr:uid="{00000000-0005-0000-0000-0000819E0000}"/>
    <cellStyle name="Percent 7 3 6 3 4 3" xfId="17334" xr:uid="{00000000-0005-0000-0000-0000829E0000}"/>
    <cellStyle name="Percent 7 3 6 3 5" xfId="12717" xr:uid="{00000000-0005-0000-0000-0000839E0000}"/>
    <cellStyle name="Percent 7 3 6 3 5 2" xfId="41611" xr:uid="{00000000-0005-0000-0000-0000849E0000}"/>
    <cellStyle name="Percent 7 3 6 3 6" xfId="17330" xr:uid="{00000000-0005-0000-0000-0000859E0000}"/>
    <cellStyle name="Percent 7 3 6 4" xfId="9404" xr:uid="{00000000-0005-0000-0000-0000869E0000}"/>
    <cellStyle name="Percent 7 3 6 4 2" xfId="10458" xr:uid="{00000000-0005-0000-0000-0000879E0000}"/>
    <cellStyle name="Percent 7 3 6 4 2 2" xfId="14052" xr:uid="{00000000-0005-0000-0000-0000889E0000}"/>
    <cellStyle name="Percent 7 3 6 4 2 2 2" xfId="41614" xr:uid="{00000000-0005-0000-0000-0000899E0000}"/>
    <cellStyle name="Percent 7 3 6 4 2 3" xfId="17336" xr:uid="{00000000-0005-0000-0000-00008A9E0000}"/>
    <cellStyle name="Percent 7 3 6 4 3" xfId="12999" xr:uid="{00000000-0005-0000-0000-00008B9E0000}"/>
    <cellStyle name="Percent 7 3 6 4 3 2" xfId="41613" xr:uid="{00000000-0005-0000-0000-00008C9E0000}"/>
    <cellStyle name="Percent 7 3 6 4 4" xfId="17335" xr:uid="{00000000-0005-0000-0000-00008D9E0000}"/>
    <cellStyle name="Percent 7 3 6 5" xfId="9920" xr:uid="{00000000-0005-0000-0000-00008E9E0000}"/>
    <cellStyle name="Percent 7 3 6 5 2" xfId="13514" xr:uid="{00000000-0005-0000-0000-00008F9E0000}"/>
    <cellStyle name="Percent 7 3 6 5 2 2" xfId="41615" xr:uid="{00000000-0005-0000-0000-0000909E0000}"/>
    <cellStyle name="Percent 7 3 6 5 3" xfId="17337" xr:uid="{00000000-0005-0000-0000-0000919E0000}"/>
    <cellStyle name="Percent 7 3 6 6" xfId="11321" xr:uid="{00000000-0005-0000-0000-0000929E0000}"/>
    <cellStyle name="Percent 7 3 6 6 2" xfId="14913" xr:uid="{00000000-0005-0000-0000-0000939E0000}"/>
    <cellStyle name="Percent 7 3 6 6 2 2" xfId="41616" xr:uid="{00000000-0005-0000-0000-0000949E0000}"/>
    <cellStyle name="Percent 7 3 6 6 3" xfId="17338" xr:uid="{00000000-0005-0000-0000-0000959E0000}"/>
    <cellStyle name="Percent 7 3 6 7" xfId="12461" xr:uid="{00000000-0005-0000-0000-0000969E0000}"/>
    <cellStyle name="Percent 7 3 6 7 2" xfId="41608" xr:uid="{00000000-0005-0000-0000-0000979E0000}"/>
    <cellStyle name="Percent 7 3 6 8" xfId="17319" xr:uid="{00000000-0005-0000-0000-0000989E0000}"/>
    <cellStyle name="Percent 7 3 7" xfId="8888" xr:uid="{00000000-0005-0000-0000-0000999E0000}"/>
    <cellStyle name="Percent 7 3 7 2" xfId="9144" xr:uid="{00000000-0005-0000-0000-00009A9E0000}"/>
    <cellStyle name="Percent 7 3 7 2 2" xfId="9712" xr:uid="{00000000-0005-0000-0000-00009B9E0000}"/>
    <cellStyle name="Percent 7 3 7 2 2 2" xfId="10766" xr:uid="{00000000-0005-0000-0000-00009C9E0000}"/>
    <cellStyle name="Percent 7 3 7 2 2 2 2" xfId="14360" xr:uid="{00000000-0005-0000-0000-00009D9E0000}"/>
    <cellStyle name="Percent 7 3 7 2 2 2 3" xfId="17342" xr:uid="{00000000-0005-0000-0000-00009E9E0000}"/>
    <cellStyle name="Percent 7 3 7 2 2 3" xfId="13307" xr:uid="{00000000-0005-0000-0000-00009F9E0000}"/>
    <cellStyle name="Percent 7 3 7 2 2 3 2" xfId="41619" xr:uid="{00000000-0005-0000-0000-0000A09E0000}"/>
    <cellStyle name="Percent 7 3 7 2 2 4" xfId="17341" xr:uid="{00000000-0005-0000-0000-0000A19E0000}"/>
    <cellStyle name="Percent 7 3 7 2 3" xfId="10228" xr:uid="{00000000-0005-0000-0000-0000A29E0000}"/>
    <cellStyle name="Percent 7 3 7 2 3 2" xfId="13822" xr:uid="{00000000-0005-0000-0000-0000A39E0000}"/>
    <cellStyle name="Percent 7 3 7 2 3 3" xfId="17343" xr:uid="{00000000-0005-0000-0000-0000A49E0000}"/>
    <cellStyle name="Percent 7 3 7 2 4" xfId="11326" xr:uid="{00000000-0005-0000-0000-0000A59E0000}"/>
    <cellStyle name="Percent 7 3 7 2 4 2" xfId="14918" xr:uid="{00000000-0005-0000-0000-0000A69E0000}"/>
    <cellStyle name="Percent 7 3 7 2 4 3" xfId="17344" xr:uid="{00000000-0005-0000-0000-0000A79E0000}"/>
    <cellStyle name="Percent 7 3 7 2 5" xfId="12769" xr:uid="{00000000-0005-0000-0000-0000A89E0000}"/>
    <cellStyle name="Percent 7 3 7 2 5 2" xfId="41618" xr:uid="{00000000-0005-0000-0000-0000A99E0000}"/>
    <cellStyle name="Percent 7 3 7 2 6" xfId="17340" xr:uid="{00000000-0005-0000-0000-0000AA9E0000}"/>
    <cellStyle name="Percent 7 3 7 3" xfId="9456" xr:uid="{00000000-0005-0000-0000-0000AB9E0000}"/>
    <cellStyle name="Percent 7 3 7 3 2" xfId="10510" xr:uid="{00000000-0005-0000-0000-0000AC9E0000}"/>
    <cellStyle name="Percent 7 3 7 3 2 2" xfId="14104" xr:uid="{00000000-0005-0000-0000-0000AD9E0000}"/>
    <cellStyle name="Percent 7 3 7 3 2 2 2" xfId="41621" xr:uid="{00000000-0005-0000-0000-0000AE9E0000}"/>
    <cellStyle name="Percent 7 3 7 3 2 3" xfId="17346" xr:uid="{00000000-0005-0000-0000-0000AF9E0000}"/>
    <cellStyle name="Percent 7 3 7 3 3" xfId="13051" xr:uid="{00000000-0005-0000-0000-0000B09E0000}"/>
    <cellStyle name="Percent 7 3 7 3 3 2" xfId="41620" xr:uid="{00000000-0005-0000-0000-0000B19E0000}"/>
    <cellStyle name="Percent 7 3 7 3 4" xfId="17345" xr:uid="{00000000-0005-0000-0000-0000B29E0000}"/>
    <cellStyle name="Percent 7 3 7 4" xfId="9972" xr:uid="{00000000-0005-0000-0000-0000B39E0000}"/>
    <cellStyle name="Percent 7 3 7 4 2" xfId="13566" xr:uid="{00000000-0005-0000-0000-0000B49E0000}"/>
    <cellStyle name="Percent 7 3 7 4 2 2" xfId="41623" xr:uid="{00000000-0005-0000-0000-0000B59E0000}"/>
    <cellStyle name="Percent 7 3 7 4 3" xfId="41622" xr:uid="{00000000-0005-0000-0000-0000B69E0000}"/>
    <cellStyle name="Percent 7 3 7 4 4" xfId="17347" xr:uid="{00000000-0005-0000-0000-0000B79E0000}"/>
    <cellStyle name="Percent 7 3 7 5" xfId="11325" xr:uid="{00000000-0005-0000-0000-0000B89E0000}"/>
    <cellStyle name="Percent 7 3 7 5 2" xfId="14917" xr:uid="{00000000-0005-0000-0000-0000B99E0000}"/>
    <cellStyle name="Percent 7 3 7 5 2 2" xfId="41624" xr:uid="{00000000-0005-0000-0000-0000BA9E0000}"/>
    <cellStyle name="Percent 7 3 7 5 3" xfId="17348" xr:uid="{00000000-0005-0000-0000-0000BB9E0000}"/>
    <cellStyle name="Percent 7 3 7 6" xfId="12513" xr:uid="{00000000-0005-0000-0000-0000BC9E0000}"/>
    <cellStyle name="Percent 7 3 7 6 2" xfId="41625" xr:uid="{00000000-0005-0000-0000-0000BD9E0000}"/>
    <cellStyle name="Percent 7 3 7 7" xfId="41617" xr:uid="{00000000-0005-0000-0000-0000BE9E0000}"/>
    <cellStyle name="Percent 7 3 7 8" xfId="17339" xr:uid="{00000000-0005-0000-0000-0000BF9E0000}"/>
    <cellStyle name="Percent 7 3 8" xfId="9016" xr:uid="{00000000-0005-0000-0000-0000C09E0000}"/>
    <cellStyle name="Percent 7 3 8 2" xfId="9584" xr:uid="{00000000-0005-0000-0000-0000C19E0000}"/>
    <cellStyle name="Percent 7 3 8 2 2" xfId="10638" xr:uid="{00000000-0005-0000-0000-0000C29E0000}"/>
    <cellStyle name="Percent 7 3 8 2 2 2" xfId="14232" xr:uid="{00000000-0005-0000-0000-0000C39E0000}"/>
    <cellStyle name="Percent 7 3 8 2 2 2 2" xfId="41628" xr:uid="{00000000-0005-0000-0000-0000C49E0000}"/>
    <cellStyle name="Percent 7 3 8 2 2 3" xfId="17351" xr:uid="{00000000-0005-0000-0000-0000C59E0000}"/>
    <cellStyle name="Percent 7 3 8 2 3" xfId="13179" xr:uid="{00000000-0005-0000-0000-0000C69E0000}"/>
    <cellStyle name="Percent 7 3 8 2 3 2" xfId="41627" xr:uid="{00000000-0005-0000-0000-0000C79E0000}"/>
    <cellStyle name="Percent 7 3 8 2 4" xfId="17350" xr:uid="{00000000-0005-0000-0000-0000C89E0000}"/>
    <cellStyle name="Percent 7 3 8 3" xfId="10100" xr:uid="{00000000-0005-0000-0000-0000C99E0000}"/>
    <cellStyle name="Percent 7 3 8 3 2" xfId="13694" xr:uid="{00000000-0005-0000-0000-0000CA9E0000}"/>
    <cellStyle name="Percent 7 3 8 3 2 2" xfId="41630" xr:uid="{00000000-0005-0000-0000-0000CB9E0000}"/>
    <cellStyle name="Percent 7 3 8 3 3" xfId="41629" xr:uid="{00000000-0005-0000-0000-0000CC9E0000}"/>
    <cellStyle name="Percent 7 3 8 3 4" xfId="17352" xr:uid="{00000000-0005-0000-0000-0000CD9E0000}"/>
    <cellStyle name="Percent 7 3 8 4" xfId="11327" xr:uid="{00000000-0005-0000-0000-0000CE9E0000}"/>
    <cellStyle name="Percent 7 3 8 4 2" xfId="14919" xr:uid="{00000000-0005-0000-0000-0000CF9E0000}"/>
    <cellStyle name="Percent 7 3 8 4 2 2" xfId="41631" xr:uid="{00000000-0005-0000-0000-0000D09E0000}"/>
    <cellStyle name="Percent 7 3 8 4 3" xfId="17353" xr:uid="{00000000-0005-0000-0000-0000D19E0000}"/>
    <cellStyle name="Percent 7 3 8 5" xfId="12641" xr:uid="{00000000-0005-0000-0000-0000D29E0000}"/>
    <cellStyle name="Percent 7 3 8 5 2" xfId="41632" xr:uid="{00000000-0005-0000-0000-0000D39E0000}"/>
    <cellStyle name="Percent 7 3 8 6" xfId="41626" xr:uid="{00000000-0005-0000-0000-0000D49E0000}"/>
    <cellStyle name="Percent 7 3 8 7" xfId="17349" xr:uid="{00000000-0005-0000-0000-0000D59E0000}"/>
    <cellStyle name="Percent 7 3 9" xfId="9328" xr:uid="{00000000-0005-0000-0000-0000D69E0000}"/>
    <cellStyle name="Percent 7 3 9 2" xfId="10382" xr:uid="{00000000-0005-0000-0000-0000D79E0000}"/>
    <cellStyle name="Percent 7 3 9 2 2" xfId="13976" xr:uid="{00000000-0005-0000-0000-0000D89E0000}"/>
    <cellStyle name="Percent 7 3 9 2 2 2" xfId="41634" xr:uid="{00000000-0005-0000-0000-0000D99E0000}"/>
    <cellStyle name="Percent 7 3 9 2 3" xfId="17355" xr:uid="{00000000-0005-0000-0000-0000DA9E0000}"/>
    <cellStyle name="Percent 7 3 9 3" xfId="12923" xr:uid="{00000000-0005-0000-0000-0000DB9E0000}"/>
    <cellStyle name="Percent 7 3 9 3 2" xfId="41633" xr:uid="{00000000-0005-0000-0000-0000DC9E0000}"/>
    <cellStyle name="Percent 7 3 9 4" xfId="17354" xr:uid="{00000000-0005-0000-0000-0000DD9E0000}"/>
    <cellStyle name="Percent 7 4" xfId="8761" xr:uid="{00000000-0005-0000-0000-0000DE9E0000}"/>
    <cellStyle name="Percent 7 4 10" xfId="11328" xr:uid="{00000000-0005-0000-0000-0000DF9E0000}"/>
    <cellStyle name="Percent 7 4 10 2" xfId="14920" xr:uid="{00000000-0005-0000-0000-0000E09E0000}"/>
    <cellStyle name="Percent 7 4 10 2 2" xfId="41637" xr:uid="{00000000-0005-0000-0000-0000E19E0000}"/>
    <cellStyle name="Percent 7 4 10 3" xfId="41636" xr:uid="{00000000-0005-0000-0000-0000E29E0000}"/>
    <cellStyle name="Percent 7 4 10 4" xfId="17357" xr:uid="{00000000-0005-0000-0000-0000E39E0000}"/>
    <cellStyle name="Percent 7 4 11" xfId="12389" xr:uid="{00000000-0005-0000-0000-0000E49E0000}"/>
    <cellStyle name="Percent 7 4 11 2" xfId="41638" xr:uid="{00000000-0005-0000-0000-0000E59E0000}"/>
    <cellStyle name="Percent 7 4 12" xfId="41639" xr:uid="{00000000-0005-0000-0000-0000E69E0000}"/>
    <cellStyle name="Percent 7 4 13" xfId="41635" xr:uid="{00000000-0005-0000-0000-0000E79E0000}"/>
    <cellStyle name="Percent 7 4 14" xfId="17356" xr:uid="{00000000-0005-0000-0000-0000E89E0000}"/>
    <cellStyle name="Percent 7 4 2" xfId="8762" xr:uid="{00000000-0005-0000-0000-0000E99E0000}"/>
    <cellStyle name="Percent 7 4 2 10" xfId="12390" xr:uid="{00000000-0005-0000-0000-0000EA9E0000}"/>
    <cellStyle name="Percent 7 4 2 10 2" xfId="41641" xr:uid="{00000000-0005-0000-0000-0000EB9E0000}"/>
    <cellStyle name="Percent 7 4 2 11" xfId="41640" xr:uid="{00000000-0005-0000-0000-0000EC9E0000}"/>
    <cellStyle name="Percent 7 4 2 12" xfId="17358" xr:uid="{00000000-0005-0000-0000-0000ED9E0000}"/>
    <cellStyle name="Percent 7 4 2 2" xfId="8792" xr:uid="{00000000-0005-0000-0000-0000EE9E0000}"/>
    <cellStyle name="Percent 7 4 2 2 2" xfId="8920" xr:uid="{00000000-0005-0000-0000-0000EF9E0000}"/>
    <cellStyle name="Percent 7 4 2 2 2 2" xfId="9176" xr:uid="{00000000-0005-0000-0000-0000F09E0000}"/>
    <cellStyle name="Percent 7 4 2 2 2 2 2" xfId="9744" xr:uid="{00000000-0005-0000-0000-0000F19E0000}"/>
    <cellStyle name="Percent 7 4 2 2 2 2 2 2" xfId="10798" xr:uid="{00000000-0005-0000-0000-0000F29E0000}"/>
    <cellStyle name="Percent 7 4 2 2 2 2 2 2 2" xfId="14392" xr:uid="{00000000-0005-0000-0000-0000F39E0000}"/>
    <cellStyle name="Percent 7 4 2 2 2 2 2 2 3" xfId="17363" xr:uid="{00000000-0005-0000-0000-0000F49E0000}"/>
    <cellStyle name="Percent 7 4 2 2 2 2 2 3" xfId="13339" xr:uid="{00000000-0005-0000-0000-0000F59E0000}"/>
    <cellStyle name="Percent 7 4 2 2 2 2 2 4" xfId="17362" xr:uid="{00000000-0005-0000-0000-0000F69E0000}"/>
    <cellStyle name="Percent 7 4 2 2 2 2 3" xfId="10260" xr:uid="{00000000-0005-0000-0000-0000F79E0000}"/>
    <cellStyle name="Percent 7 4 2 2 2 2 3 2" xfId="13854" xr:uid="{00000000-0005-0000-0000-0000F89E0000}"/>
    <cellStyle name="Percent 7 4 2 2 2 2 3 3" xfId="17364" xr:uid="{00000000-0005-0000-0000-0000F99E0000}"/>
    <cellStyle name="Percent 7 4 2 2 2 2 4" xfId="11332" xr:uid="{00000000-0005-0000-0000-0000FA9E0000}"/>
    <cellStyle name="Percent 7 4 2 2 2 2 4 2" xfId="14924" xr:uid="{00000000-0005-0000-0000-0000FB9E0000}"/>
    <cellStyle name="Percent 7 4 2 2 2 2 4 3" xfId="17365" xr:uid="{00000000-0005-0000-0000-0000FC9E0000}"/>
    <cellStyle name="Percent 7 4 2 2 2 2 5" xfId="12801" xr:uid="{00000000-0005-0000-0000-0000FD9E0000}"/>
    <cellStyle name="Percent 7 4 2 2 2 2 5 2" xfId="41644" xr:uid="{00000000-0005-0000-0000-0000FE9E0000}"/>
    <cellStyle name="Percent 7 4 2 2 2 2 6" xfId="17361" xr:uid="{00000000-0005-0000-0000-0000FF9E0000}"/>
    <cellStyle name="Percent 7 4 2 2 2 3" xfId="9488" xr:uid="{00000000-0005-0000-0000-0000009F0000}"/>
    <cellStyle name="Percent 7 4 2 2 2 3 2" xfId="10542" xr:uid="{00000000-0005-0000-0000-0000019F0000}"/>
    <cellStyle name="Percent 7 4 2 2 2 3 2 2" xfId="14136" xr:uid="{00000000-0005-0000-0000-0000029F0000}"/>
    <cellStyle name="Percent 7 4 2 2 2 3 2 3" xfId="17367" xr:uid="{00000000-0005-0000-0000-0000039F0000}"/>
    <cellStyle name="Percent 7 4 2 2 2 3 3" xfId="13083" xr:uid="{00000000-0005-0000-0000-0000049F0000}"/>
    <cellStyle name="Percent 7 4 2 2 2 3 4" xfId="17366" xr:uid="{00000000-0005-0000-0000-0000059F0000}"/>
    <cellStyle name="Percent 7 4 2 2 2 4" xfId="10004" xr:uid="{00000000-0005-0000-0000-0000069F0000}"/>
    <cellStyle name="Percent 7 4 2 2 2 4 2" xfId="13598" xr:uid="{00000000-0005-0000-0000-0000079F0000}"/>
    <cellStyle name="Percent 7 4 2 2 2 4 3" xfId="17368" xr:uid="{00000000-0005-0000-0000-0000089F0000}"/>
    <cellStyle name="Percent 7 4 2 2 2 5" xfId="11331" xr:uid="{00000000-0005-0000-0000-0000099F0000}"/>
    <cellStyle name="Percent 7 4 2 2 2 5 2" xfId="14923" xr:uid="{00000000-0005-0000-0000-00000A9F0000}"/>
    <cellStyle name="Percent 7 4 2 2 2 5 3" xfId="17369" xr:uid="{00000000-0005-0000-0000-00000B9F0000}"/>
    <cellStyle name="Percent 7 4 2 2 2 6" xfId="12545" xr:uid="{00000000-0005-0000-0000-00000C9F0000}"/>
    <cellStyle name="Percent 7 4 2 2 2 6 2" xfId="41643" xr:uid="{00000000-0005-0000-0000-00000D9F0000}"/>
    <cellStyle name="Percent 7 4 2 2 2 7" xfId="17360" xr:uid="{00000000-0005-0000-0000-00000E9F0000}"/>
    <cellStyle name="Percent 7 4 2 2 3" xfId="9048" xr:uid="{00000000-0005-0000-0000-00000F9F0000}"/>
    <cellStyle name="Percent 7 4 2 2 3 2" xfId="9616" xr:uid="{00000000-0005-0000-0000-0000109F0000}"/>
    <cellStyle name="Percent 7 4 2 2 3 2 2" xfId="10670" xr:uid="{00000000-0005-0000-0000-0000119F0000}"/>
    <cellStyle name="Percent 7 4 2 2 3 2 2 2" xfId="14264" xr:uid="{00000000-0005-0000-0000-0000129F0000}"/>
    <cellStyle name="Percent 7 4 2 2 3 2 2 3" xfId="17372" xr:uid="{00000000-0005-0000-0000-0000139F0000}"/>
    <cellStyle name="Percent 7 4 2 2 3 2 3" xfId="13211" xr:uid="{00000000-0005-0000-0000-0000149F0000}"/>
    <cellStyle name="Percent 7 4 2 2 3 2 3 2" xfId="41646" xr:uid="{00000000-0005-0000-0000-0000159F0000}"/>
    <cellStyle name="Percent 7 4 2 2 3 2 4" xfId="17371" xr:uid="{00000000-0005-0000-0000-0000169F0000}"/>
    <cellStyle name="Percent 7 4 2 2 3 3" xfId="10132" xr:uid="{00000000-0005-0000-0000-0000179F0000}"/>
    <cellStyle name="Percent 7 4 2 2 3 3 2" xfId="13726" xr:uid="{00000000-0005-0000-0000-0000189F0000}"/>
    <cellStyle name="Percent 7 4 2 2 3 3 3" xfId="17373" xr:uid="{00000000-0005-0000-0000-0000199F0000}"/>
    <cellStyle name="Percent 7 4 2 2 3 4" xfId="11333" xr:uid="{00000000-0005-0000-0000-00001A9F0000}"/>
    <cellStyle name="Percent 7 4 2 2 3 4 2" xfId="14925" xr:uid="{00000000-0005-0000-0000-00001B9F0000}"/>
    <cellStyle name="Percent 7 4 2 2 3 4 3" xfId="17374" xr:uid="{00000000-0005-0000-0000-00001C9F0000}"/>
    <cellStyle name="Percent 7 4 2 2 3 5" xfId="12673" xr:uid="{00000000-0005-0000-0000-00001D9F0000}"/>
    <cellStyle name="Percent 7 4 2 2 3 5 2" xfId="41645" xr:uid="{00000000-0005-0000-0000-00001E9F0000}"/>
    <cellStyle name="Percent 7 4 2 2 3 6" xfId="17370" xr:uid="{00000000-0005-0000-0000-00001F9F0000}"/>
    <cellStyle name="Percent 7 4 2 2 4" xfId="9360" xr:uid="{00000000-0005-0000-0000-0000209F0000}"/>
    <cellStyle name="Percent 7 4 2 2 4 2" xfId="10414" xr:uid="{00000000-0005-0000-0000-0000219F0000}"/>
    <cellStyle name="Percent 7 4 2 2 4 2 2" xfId="14008" xr:uid="{00000000-0005-0000-0000-0000229F0000}"/>
    <cellStyle name="Percent 7 4 2 2 4 2 2 2" xfId="41648" xr:uid="{00000000-0005-0000-0000-0000239F0000}"/>
    <cellStyle name="Percent 7 4 2 2 4 2 3" xfId="17376" xr:uid="{00000000-0005-0000-0000-0000249F0000}"/>
    <cellStyle name="Percent 7 4 2 2 4 3" xfId="12955" xr:uid="{00000000-0005-0000-0000-0000259F0000}"/>
    <cellStyle name="Percent 7 4 2 2 4 3 2" xfId="41647" xr:uid="{00000000-0005-0000-0000-0000269F0000}"/>
    <cellStyle name="Percent 7 4 2 2 4 4" xfId="17375" xr:uid="{00000000-0005-0000-0000-0000279F0000}"/>
    <cellStyle name="Percent 7 4 2 2 5" xfId="9876" xr:uid="{00000000-0005-0000-0000-0000289F0000}"/>
    <cellStyle name="Percent 7 4 2 2 5 2" xfId="13470" xr:uid="{00000000-0005-0000-0000-0000299F0000}"/>
    <cellStyle name="Percent 7 4 2 2 5 2 2" xfId="41649" xr:uid="{00000000-0005-0000-0000-00002A9F0000}"/>
    <cellStyle name="Percent 7 4 2 2 5 3" xfId="17377" xr:uid="{00000000-0005-0000-0000-00002B9F0000}"/>
    <cellStyle name="Percent 7 4 2 2 6" xfId="11330" xr:uid="{00000000-0005-0000-0000-00002C9F0000}"/>
    <cellStyle name="Percent 7 4 2 2 6 2" xfId="14922" xr:uid="{00000000-0005-0000-0000-00002D9F0000}"/>
    <cellStyle name="Percent 7 4 2 2 6 2 2" xfId="41650" xr:uid="{00000000-0005-0000-0000-00002E9F0000}"/>
    <cellStyle name="Percent 7 4 2 2 6 3" xfId="17378" xr:uid="{00000000-0005-0000-0000-00002F9F0000}"/>
    <cellStyle name="Percent 7 4 2 2 7" xfId="12417" xr:uid="{00000000-0005-0000-0000-0000309F0000}"/>
    <cellStyle name="Percent 7 4 2 2 7 2" xfId="41642" xr:uid="{00000000-0005-0000-0000-0000319F0000}"/>
    <cellStyle name="Percent 7 4 2 2 8" xfId="17359" xr:uid="{00000000-0005-0000-0000-0000329F0000}"/>
    <cellStyle name="Percent 7 4 2 3" xfId="8824" xr:uid="{00000000-0005-0000-0000-0000339F0000}"/>
    <cellStyle name="Percent 7 4 2 3 2" xfId="8952" xr:uid="{00000000-0005-0000-0000-0000349F0000}"/>
    <cellStyle name="Percent 7 4 2 3 2 2" xfId="9208" xr:uid="{00000000-0005-0000-0000-0000359F0000}"/>
    <cellStyle name="Percent 7 4 2 3 2 2 2" xfId="9776" xr:uid="{00000000-0005-0000-0000-0000369F0000}"/>
    <cellStyle name="Percent 7 4 2 3 2 2 2 2" xfId="10830" xr:uid="{00000000-0005-0000-0000-0000379F0000}"/>
    <cellStyle name="Percent 7 4 2 3 2 2 2 2 2" xfId="14424" xr:uid="{00000000-0005-0000-0000-0000389F0000}"/>
    <cellStyle name="Percent 7 4 2 3 2 2 2 2 3" xfId="17383" xr:uid="{00000000-0005-0000-0000-0000399F0000}"/>
    <cellStyle name="Percent 7 4 2 3 2 2 2 3" xfId="13371" xr:uid="{00000000-0005-0000-0000-00003A9F0000}"/>
    <cellStyle name="Percent 7 4 2 3 2 2 2 4" xfId="17382" xr:uid="{00000000-0005-0000-0000-00003B9F0000}"/>
    <cellStyle name="Percent 7 4 2 3 2 2 3" xfId="10292" xr:uid="{00000000-0005-0000-0000-00003C9F0000}"/>
    <cellStyle name="Percent 7 4 2 3 2 2 3 2" xfId="13886" xr:uid="{00000000-0005-0000-0000-00003D9F0000}"/>
    <cellStyle name="Percent 7 4 2 3 2 2 3 3" xfId="17384" xr:uid="{00000000-0005-0000-0000-00003E9F0000}"/>
    <cellStyle name="Percent 7 4 2 3 2 2 4" xfId="11336" xr:uid="{00000000-0005-0000-0000-00003F9F0000}"/>
    <cellStyle name="Percent 7 4 2 3 2 2 4 2" xfId="14928" xr:uid="{00000000-0005-0000-0000-0000409F0000}"/>
    <cellStyle name="Percent 7 4 2 3 2 2 4 3" xfId="17385" xr:uid="{00000000-0005-0000-0000-0000419F0000}"/>
    <cellStyle name="Percent 7 4 2 3 2 2 5" xfId="12833" xr:uid="{00000000-0005-0000-0000-0000429F0000}"/>
    <cellStyle name="Percent 7 4 2 3 2 2 5 2" xfId="41653" xr:uid="{00000000-0005-0000-0000-0000439F0000}"/>
    <cellStyle name="Percent 7 4 2 3 2 2 6" xfId="17381" xr:uid="{00000000-0005-0000-0000-0000449F0000}"/>
    <cellStyle name="Percent 7 4 2 3 2 3" xfId="9520" xr:uid="{00000000-0005-0000-0000-0000459F0000}"/>
    <cellStyle name="Percent 7 4 2 3 2 3 2" xfId="10574" xr:uid="{00000000-0005-0000-0000-0000469F0000}"/>
    <cellStyle name="Percent 7 4 2 3 2 3 2 2" xfId="14168" xr:uid="{00000000-0005-0000-0000-0000479F0000}"/>
    <cellStyle name="Percent 7 4 2 3 2 3 2 3" xfId="17387" xr:uid="{00000000-0005-0000-0000-0000489F0000}"/>
    <cellStyle name="Percent 7 4 2 3 2 3 3" xfId="13115" xr:uid="{00000000-0005-0000-0000-0000499F0000}"/>
    <cellStyle name="Percent 7 4 2 3 2 3 4" xfId="17386" xr:uid="{00000000-0005-0000-0000-00004A9F0000}"/>
    <cellStyle name="Percent 7 4 2 3 2 4" xfId="10036" xr:uid="{00000000-0005-0000-0000-00004B9F0000}"/>
    <cellStyle name="Percent 7 4 2 3 2 4 2" xfId="13630" xr:uid="{00000000-0005-0000-0000-00004C9F0000}"/>
    <cellStyle name="Percent 7 4 2 3 2 4 3" xfId="17388" xr:uid="{00000000-0005-0000-0000-00004D9F0000}"/>
    <cellStyle name="Percent 7 4 2 3 2 5" xfId="11335" xr:uid="{00000000-0005-0000-0000-00004E9F0000}"/>
    <cellStyle name="Percent 7 4 2 3 2 5 2" xfId="14927" xr:uid="{00000000-0005-0000-0000-00004F9F0000}"/>
    <cellStyle name="Percent 7 4 2 3 2 5 3" xfId="17389" xr:uid="{00000000-0005-0000-0000-0000509F0000}"/>
    <cellStyle name="Percent 7 4 2 3 2 6" xfId="12577" xr:uid="{00000000-0005-0000-0000-0000519F0000}"/>
    <cellStyle name="Percent 7 4 2 3 2 6 2" xfId="41652" xr:uid="{00000000-0005-0000-0000-0000529F0000}"/>
    <cellStyle name="Percent 7 4 2 3 2 7" xfId="17380" xr:uid="{00000000-0005-0000-0000-0000539F0000}"/>
    <cellStyle name="Percent 7 4 2 3 3" xfId="9080" xr:uid="{00000000-0005-0000-0000-0000549F0000}"/>
    <cellStyle name="Percent 7 4 2 3 3 2" xfId="9648" xr:uid="{00000000-0005-0000-0000-0000559F0000}"/>
    <cellStyle name="Percent 7 4 2 3 3 2 2" xfId="10702" xr:uid="{00000000-0005-0000-0000-0000569F0000}"/>
    <cellStyle name="Percent 7 4 2 3 3 2 2 2" xfId="14296" xr:uid="{00000000-0005-0000-0000-0000579F0000}"/>
    <cellStyle name="Percent 7 4 2 3 3 2 2 3" xfId="17392" xr:uid="{00000000-0005-0000-0000-0000589F0000}"/>
    <cellStyle name="Percent 7 4 2 3 3 2 3" xfId="13243" xr:uid="{00000000-0005-0000-0000-0000599F0000}"/>
    <cellStyle name="Percent 7 4 2 3 3 2 3 2" xfId="41655" xr:uid="{00000000-0005-0000-0000-00005A9F0000}"/>
    <cellStyle name="Percent 7 4 2 3 3 2 4" xfId="17391" xr:uid="{00000000-0005-0000-0000-00005B9F0000}"/>
    <cellStyle name="Percent 7 4 2 3 3 3" xfId="10164" xr:uid="{00000000-0005-0000-0000-00005C9F0000}"/>
    <cellStyle name="Percent 7 4 2 3 3 3 2" xfId="13758" xr:uid="{00000000-0005-0000-0000-00005D9F0000}"/>
    <cellStyle name="Percent 7 4 2 3 3 3 3" xfId="17393" xr:uid="{00000000-0005-0000-0000-00005E9F0000}"/>
    <cellStyle name="Percent 7 4 2 3 3 4" xfId="11337" xr:uid="{00000000-0005-0000-0000-00005F9F0000}"/>
    <cellStyle name="Percent 7 4 2 3 3 4 2" xfId="14929" xr:uid="{00000000-0005-0000-0000-0000609F0000}"/>
    <cellStyle name="Percent 7 4 2 3 3 4 3" xfId="17394" xr:uid="{00000000-0005-0000-0000-0000619F0000}"/>
    <cellStyle name="Percent 7 4 2 3 3 5" xfId="12705" xr:uid="{00000000-0005-0000-0000-0000629F0000}"/>
    <cellStyle name="Percent 7 4 2 3 3 5 2" xfId="41654" xr:uid="{00000000-0005-0000-0000-0000639F0000}"/>
    <cellStyle name="Percent 7 4 2 3 3 6" xfId="17390" xr:uid="{00000000-0005-0000-0000-0000649F0000}"/>
    <cellStyle name="Percent 7 4 2 3 4" xfId="9392" xr:uid="{00000000-0005-0000-0000-0000659F0000}"/>
    <cellStyle name="Percent 7 4 2 3 4 2" xfId="10446" xr:uid="{00000000-0005-0000-0000-0000669F0000}"/>
    <cellStyle name="Percent 7 4 2 3 4 2 2" xfId="14040" xr:uid="{00000000-0005-0000-0000-0000679F0000}"/>
    <cellStyle name="Percent 7 4 2 3 4 2 2 2" xfId="41657" xr:uid="{00000000-0005-0000-0000-0000689F0000}"/>
    <cellStyle name="Percent 7 4 2 3 4 2 3" xfId="17396" xr:uid="{00000000-0005-0000-0000-0000699F0000}"/>
    <cellStyle name="Percent 7 4 2 3 4 3" xfId="12987" xr:uid="{00000000-0005-0000-0000-00006A9F0000}"/>
    <cellStyle name="Percent 7 4 2 3 4 3 2" xfId="41656" xr:uid="{00000000-0005-0000-0000-00006B9F0000}"/>
    <cellStyle name="Percent 7 4 2 3 4 4" xfId="17395" xr:uid="{00000000-0005-0000-0000-00006C9F0000}"/>
    <cellStyle name="Percent 7 4 2 3 5" xfId="9908" xr:uid="{00000000-0005-0000-0000-00006D9F0000}"/>
    <cellStyle name="Percent 7 4 2 3 5 2" xfId="13502" xr:uid="{00000000-0005-0000-0000-00006E9F0000}"/>
    <cellStyle name="Percent 7 4 2 3 5 2 2" xfId="41658" xr:uid="{00000000-0005-0000-0000-00006F9F0000}"/>
    <cellStyle name="Percent 7 4 2 3 5 3" xfId="17397" xr:uid="{00000000-0005-0000-0000-0000709F0000}"/>
    <cellStyle name="Percent 7 4 2 3 6" xfId="11334" xr:uid="{00000000-0005-0000-0000-0000719F0000}"/>
    <cellStyle name="Percent 7 4 2 3 6 2" xfId="14926" xr:uid="{00000000-0005-0000-0000-0000729F0000}"/>
    <cellStyle name="Percent 7 4 2 3 6 2 2" xfId="41659" xr:uid="{00000000-0005-0000-0000-0000739F0000}"/>
    <cellStyle name="Percent 7 4 2 3 6 3" xfId="17398" xr:uid="{00000000-0005-0000-0000-0000749F0000}"/>
    <cellStyle name="Percent 7 4 2 3 7" xfId="12449" xr:uid="{00000000-0005-0000-0000-0000759F0000}"/>
    <cellStyle name="Percent 7 4 2 3 7 2" xfId="41651" xr:uid="{00000000-0005-0000-0000-0000769F0000}"/>
    <cellStyle name="Percent 7 4 2 3 8" xfId="17379" xr:uid="{00000000-0005-0000-0000-0000779F0000}"/>
    <cellStyle name="Percent 7 4 2 4" xfId="8856" xr:uid="{00000000-0005-0000-0000-0000789F0000}"/>
    <cellStyle name="Percent 7 4 2 4 2" xfId="8984" xr:uid="{00000000-0005-0000-0000-0000799F0000}"/>
    <cellStyle name="Percent 7 4 2 4 2 2" xfId="9240" xr:uid="{00000000-0005-0000-0000-00007A9F0000}"/>
    <cellStyle name="Percent 7 4 2 4 2 2 2" xfId="9808" xr:uid="{00000000-0005-0000-0000-00007B9F0000}"/>
    <cellStyle name="Percent 7 4 2 4 2 2 2 2" xfId="10862" xr:uid="{00000000-0005-0000-0000-00007C9F0000}"/>
    <cellStyle name="Percent 7 4 2 4 2 2 2 2 2" xfId="14456" xr:uid="{00000000-0005-0000-0000-00007D9F0000}"/>
    <cellStyle name="Percent 7 4 2 4 2 2 2 2 3" xfId="17403" xr:uid="{00000000-0005-0000-0000-00007E9F0000}"/>
    <cellStyle name="Percent 7 4 2 4 2 2 2 3" xfId="13403" xr:uid="{00000000-0005-0000-0000-00007F9F0000}"/>
    <cellStyle name="Percent 7 4 2 4 2 2 2 4" xfId="17402" xr:uid="{00000000-0005-0000-0000-0000809F0000}"/>
    <cellStyle name="Percent 7 4 2 4 2 2 3" xfId="10324" xr:uid="{00000000-0005-0000-0000-0000819F0000}"/>
    <cellStyle name="Percent 7 4 2 4 2 2 3 2" xfId="13918" xr:uid="{00000000-0005-0000-0000-0000829F0000}"/>
    <cellStyle name="Percent 7 4 2 4 2 2 3 3" xfId="17404" xr:uid="{00000000-0005-0000-0000-0000839F0000}"/>
    <cellStyle name="Percent 7 4 2 4 2 2 4" xfId="11340" xr:uid="{00000000-0005-0000-0000-0000849F0000}"/>
    <cellStyle name="Percent 7 4 2 4 2 2 4 2" xfId="14932" xr:uid="{00000000-0005-0000-0000-0000859F0000}"/>
    <cellStyle name="Percent 7 4 2 4 2 2 4 3" xfId="17405" xr:uid="{00000000-0005-0000-0000-0000869F0000}"/>
    <cellStyle name="Percent 7 4 2 4 2 2 5" xfId="12865" xr:uid="{00000000-0005-0000-0000-0000879F0000}"/>
    <cellStyle name="Percent 7 4 2 4 2 2 5 2" xfId="41662" xr:uid="{00000000-0005-0000-0000-0000889F0000}"/>
    <cellStyle name="Percent 7 4 2 4 2 2 6" xfId="17401" xr:uid="{00000000-0005-0000-0000-0000899F0000}"/>
    <cellStyle name="Percent 7 4 2 4 2 3" xfId="9552" xr:uid="{00000000-0005-0000-0000-00008A9F0000}"/>
    <cellStyle name="Percent 7 4 2 4 2 3 2" xfId="10606" xr:uid="{00000000-0005-0000-0000-00008B9F0000}"/>
    <cellStyle name="Percent 7 4 2 4 2 3 2 2" xfId="14200" xr:uid="{00000000-0005-0000-0000-00008C9F0000}"/>
    <cellStyle name="Percent 7 4 2 4 2 3 2 3" xfId="17407" xr:uid="{00000000-0005-0000-0000-00008D9F0000}"/>
    <cellStyle name="Percent 7 4 2 4 2 3 3" xfId="13147" xr:uid="{00000000-0005-0000-0000-00008E9F0000}"/>
    <cellStyle name="Percent 7 4 2 4 2 3 4" xfId="17406" xr:uid="{00000000-0005-0000-0000-00008F9F0000}"/>
    <cellStyle name="Percent 7 4 2 4 2 4" xfId="10068" xr:uid="{00000000-0005-0000-0000-0000909F0000}"/>
    <cellStyle name="Percent 7 4 2 4 2 4 2" xfId="13662" xr:uid="{00000000-0005-0000-0000-0000919F0000}"/>
    <cellStyle name="Percent 7 4 2 4 2 4 3" xfId="17408" xr:uid="{00000000-0005-0000-0000-0000929F0000}"/>
    <cellStyle name="Percent 7 4 2 4 2 5" xfId="11339" xr:uid="{00000000-0005-0000-0000-0000939F0000}"/>
    <cellStyle name="Percent 7 4 2 4 2 5 2" xfId="14931" xr:uid="{00000000-0005-0000-0000-0000949F0000}"/>
    <cellStyle name="Percent 7 4 2 4 2 5 3" xfId="17409" xr:uid="{00000000-0005-0000-0000-0000959F0000}"/>
    <cellStyle name="Percent 7 4 2 4 2 6" xfId="12609" xr:uid="{00000000-0005-0000-0000-0000969F0000}"/>
    <cellStyle name="Percent 7 4 2 4 2 6 2" xfId="41661" xr:uid="{00000000-0005-0000-0000-0000979F0000}"/>
    <cellStyle name="Percent 7 4 2 4 2 7" xfId="17400" xr:uid="{00000000-0005-0000-0000-0000989F0000}"/>
    <cellStyle name="Percent 7 4 2 4 3" xfId="9112" xr:uid="{00000000-0005-0000-0000-0000999F0000}"/>
    <cellStyle name="Percent 7 4 2 4 3 2" xfId="9680" xr:uid="{00000000-0005-0000-0000-00009A9F0000}"/>
    <cellStyle name="Percent 7 4 2 4 3 2 2" xfId="10734" xr:uid="{00000000-0005-0000-0000-00009B9F0000}"/>
    <cellStyle name="Percent 7 4 2 4 3 2 2 2" xfId="14328" xr:uid="{00000000-0005-0000-0000-00009C9F0000}"/>
    <cellStyle name="Percent 7 4 2 4 3 2 2 3" xfId="17412" xr:uid="{00000000-0005-0000-0000-00009D9F0000}"/>
    <cellStyle name="Percent 7 4 2 4 3 2 3" xfId="13275" xr:uid="{00000000-0005-0000-0000-00009E9F0000}"/>
    <cellStyle name="Percent 7 4 2 4 3 2 3 2" xfId="41664" xr:uid="{00000000-0005-0000-0000-00009F9F0000}"/>
    <cellStyle name="Percent 7 4 2 4 3 2 4" xfId="17411" xr:uid="{00000000-0005-0000-0000-0000A09F0000}"/>
    <cellStyle name="Percent 7 4 2 4 3 3" xfId="10196" xr:uid="{00000000-0005-0000-0000-0000A19F0000}"/>
    <cellStyle name="Percent 7 4 2 4 3 3 2" xfId="13790" xr:uid="{00000000-0005-0000-0000-0000A29F0000}"/>
    <cellStyle name="Percent 7 4 2 4 3 3 3" xfId="17413" xr:uid="{00000000-0005-0000-0000-0000A39F0000}"/>
    <cellStyle name="Percent 7 4 2 4 3 4" xfId="11341" xr:uid="{00000000-0005-0000-0000-0000A49F0000}"/>
    <cellStyle name="Percent 7 4 2 4 3 4 2" xfId="14933" xr:uid="{00000000-0005-0000-0000-0000A59F0000}"/>
    <cellStyle name="Percent 7 4 2 4 3 4 3" xfId="17414" xr:uid="{00000000-0005-0000-0000-0000A69F0000}"/>
    <cellStyle name="Percent 7 4 2 4 3 5" xfId="12737" xr:uid="{00000000-0005-0000-0000-0000A79F0000}"/>
    <cellStyle name="Percent 7 4 2 4 3 5 2" xfId="41663" xr:uid="{00000000-0005-0000-0000-0000A89F0000}"/>
    <cellStyle name="Percent 7 4 2 4 3 6" xfId="17410" xr:uid="{00000000-0005-0000-0000-0000A99F0000}"/>
    <cellStyle name="Percent 7 4 2 4 4" xfId="9424" xr:uid="{00000000-0005-0000-0000-0000AA9F0000}"/>
    <cellStyle name="Percent 7 4 2 4 4 2" xfId="10478" xr:uid="{00000000-0005-0000-0000-0000AB9F0000}"/>
    <cellStyle name="Percent 7 4 2 4 4 2 2" xfId="14072" xr:uid="{00000000-0005-0000-0000-0000AC9F0000}"/>
    <cellStyle name="Percent 7 4 2 4 4 2 2 2" xfId="41666" xr:uid="{00000000-0005-0000-0000-0000AD9F0000}"/>
    <cellStyle name="Percent 7 4 2 4 4 2 3" xfId="17416" xr:uid="{00000000-0005-0000-0000-0000AE9F0000}"/>
    <cellStyle name="Percent 7 4 2 4 4 3" xfId="13019" xr:uid="{00000000-0005-0000-0000-0000AF9F0000}"/>
    <cellStyle name="Percent 7 4 2 4 4 3 2" xfId="41665" xr:uid="{00000000-0005-0000-0000-0000B09F0000}"/>
    <cellStyle name="Percent 7 4 2 4 4 4" xfId="17415" xr:uid="{00000000-0005-0000-0000-0000B19F0000}"/>
    <cellStyle name="Percent 7 4 2 4 5" xfId="9940" xr:uid="{00000000-0005-0000-0000-0000B29F0000}"/>
    <cellStyle name="Percent 7 4 2 4 5 2" xfId="13534" xr:uid="{00000000-0005-0000-0000-0000B39F0000}"/>
    <cellStyle name="Percent 7 4 2 4 5 2 2" xfId="41667" xr:uid="{00000000-0005-0000-0000-0000B49F0000}"/>
    <cellStyle name="Percent 7 4 2 4 5 3" xfId="17417" xr:uid="{00000000-0005-0000-0000-0000B59F0000}"/>
    <cellStyle name="Percent 7 4 2 4 6" xfId="11338" xr:uid="{00000000-0005-0000-0000-0000B69F0000}"/>
    <cellStyle name="Percent 7 4 2 4 6 2" xfId="14930" xr:uid="{00000000-0005-0000-0000-0000B79F0000}"/>
    <cellStyle name="Percent 7 4 2 4 6 2 2" xfId="41668" xr:uid="{00000000-0005-0000-0000-0000B89F0000}"/>
    <cellStyle name="Percent 7 4 2 4 6 3" xfId="17418" xr:uid="{00000000-0005-0000-0000-0000B99F0000}"/>
    <cellStyle name="Percent 7 4 2 4 7" xfId="12481" xr:uid="{00000000-0005-0000-0000-0000BA9F0000}"/>
    <cellStyle name="Percent 7 4 2 4 7 2" xfId="41660" xr:uid="{00000000-0005-0000-0000-0000BB9F0000}"/>
    <cellStyle name="Percent 7 4 2 4 8" xfId="17399" xr:uid="{00000000-0005-0000-0000-0000BC9F0000}"/>
    <cellStyle name="Percent 7 4 2 5" xfId="8893" xr:uid="{00000000-0005-0000-0000-0000BD9F0000}"/>
    <cellStyle name="Percent 7 4 2 5 2" xfId="9149" xr:uid="{00000000-0005-0000-0000-0000BE9F0000}"/>
    <cellStyle name="Percent 7 4 2 5 2 2" xfId="9717" xr:uid="{00000000-0005-0000-0000-0000BF9F0000}"/>
    <cellStyle name="Percent 7 4 2 5 2 2 2" xfId="10771" xr:uid="{00000000-0005-0000-0000-0000C09F0000}"/>
    <cellStyle name="Percent 7 4 2 5 2 2 2 2" xfId="14365" xr:uid="{00000000-0005-0000-0000-0000C19F0000}"/>
    <cellStyle name="Percent 7 4 2 5 2 2 2 3" xfId="17422" xr:uid="{00000000-0005-0000-0000-0000C29F0000}"/>
    <cellStyle name="Percent 7 4 2 5 2 2 3" xfId="13312" xr:uid="{00000000-0005-0000-0000-0000C39F0000}"/>
    <cellStyle name="Percent 7 4 2 5 2 2 3 2" xfId="41671" xr:uid="{00000000-0005-0000-0000-0000C49F0000}"/>
    <cellStyle name="Percent 7 4 2 5 2 2 4" xfId="17421" xr:uid="{00000000-0005-0000-0000-0000C59F0000}"/>
    <cellStyle name="Percent 7 4 2 5 2 3" xfId="10233" xr:uid="{00000000-0005-0000-0000-0000C69F0000}"/>
    <cellStyle name="Percent 7 4 2 5 2 3 2" xfId="13827" xr:uid="{00000000-0005-0000-0000-0000C79F0000}"/>
    <cellStyle name="Percent 7 4 2 5 2 3 3" xfId="17423" xr:uid="{00000000-0005-0000-0000-0000C89F0000}"/>
    <cellStyle name="Percent 7 4 2 5 2 4" xfId="11343" xr:uid="{00000000-0005-0000-0000-0000C99F0000}"/>
    <cellStyle name="Percent 7 4 2 5 2 4 2" xfId="14935" xr:uid="{00000000-0005-0000-0000-0000CA9F0000}"/>
    <cellStyle name="Percent 7 4 2 5 2 4 3" xfId="17424" xr:uid="{00000000-0005-0000-0000-0000CB9F0000}"/>
    <cellStyle name="Percent 7 4 2 5 2 5" xfId="12774" xr:uid="{00000000-0005-0000-0000-0000CC9F0000}"/>
    <cellStyle name="Percent 7 4 2 5 2 5 2" xfId="41670" xr:uid="{00000000-0005-0000-0000-0000CD9F0000}"/>
    <cellStyle name="Percent 7 4 2 5 2 6" xfId="17420" xr:uid="{00000000-0005-0000-0000-0000CE9F0000}"/>
    <cellStyle name="Percent 7 4 2 5 3" xfId="9461" xr:uid="{00000000-0005-0000-0000-0000CF9F0000}"/>
    <cellStyle name="Percent 7 4 2 5 3 2" xfId="10515" xr:uid="{00000000-0005-0000-0000-0000D09F0000}"/>
    <cellStyle name="Percent 7 4 2 5 3 2 2" xfId="14109" xr:uid="{00000000-0005-0000-0000-0000D19F0000}"/>
    <cellStyle name="Percent 7 4 2 5 3 2 2 2" xfId="41673" xr:uid="{00000000-0005-0000-0000-0000D29F0000}"/>
    <cellStyle name="Percent 7 4 2 5 3 2 3" xfId="17426" xr:uid="{00000000-0005-0000-0000-0000D39F0000}"/>
    <cellStyle name="Percent 7 4 2 5 3 3" xfId="13056" xr:uid="{00000000-0005-0000-0000-0000D49F0000}"/>
    <cellStyle name="Percent 7 4 2 5 3 3 2" xfId="41672" xr:uid="{00000000-0005-0000-0000-0000D59F0000}"/>
    <cellStyle name="Percent 7 4 2 5 3 4" xfId="17425" xr:uid="{00000000-0005-0000-0000-0000D69F0000}"/>
    <cellStyle name="Percent 7 4 2 5 4" xfId="9977" xr:uid="{00000000-0005-0000-0000-0000D79F0000}"/>
    <cellStyle name="Percent 7 4 2 5 4 2" xfId="13571" xr:uid="{00000000-0005-0000-0000-0000D89F0000}"/>
    <cellStyle name="Percent 7 4 2 5 4 2 2" xfId="41674" xr:uid="{00000000-0005-0000-0000-0000D99F0000}"/>
    <cellStyle name="Percent 7 4 2 5 4 3" xfId="17427" xr:uid="{00000000-0005-0000-0000-0000DA9F0000}"/>
    <cellStyle name="Percent 7 4 2 5 5" xfId="11342" xr:uid="{00000000-0005-0000-0000-0000DB9F0000}"/>
    <cellStyle name="Percent 7 4 2 5 5 2" xfId="14934" xr:uid="{00000000-0005-0000-0000-0000DC9F0000}"/>
    <cellStyle name="Percent 7 4 2 5 5 2 2" xfId="41675" xr:uid="{00000000-0005-0000-0000-0000DD9F0000}"/>
    <cellStyle name="Percent 7 4 2 5 5 3" xfId="17428" xr:uid="{00000000-0005-0000-0000-0000DE9F0000}"/>
    <cellStyle name="Percent 7 4 2 5 6" xfId="12518" xr:uid="{00000000-0005-0000-0000-0000DF9F0000}"/>
    <cellStyle name="Percent 7 4 2 5 6 2" xfId="41669" xr:uid="{00000000-0005-0000-0000-0000E09F0000}"/>
    <cellStyle name="Percent 7 4 2 5 7" xfId="17419" xr:uid="{00000000-0005-0000-0000-0000E19F0000}"/>
    <cellStyle name="Percent 7 4 2 6" xfId="9021" xr:uid="{00000000-0005-0000-0000-0000E29F0000}"/>
    <cellStyle name="Percent 7 4 2 6 2" xfId="9589" xr:uid="{00000000-0005-0000-0000-0000E39F0000}"/>
    <cellStyle name="Percent 7 4 2 6 2 2" xfId="10643" xr:uid="{00000000-0005-0000-0000-0000E49F0000}"/>
    <cellStyle name="Percent 7 4 2 6 2 2 2" xfId="14237" xr:uid="{00000000-0005-0000-0000-0000E59F0000}"/>
    <cellStyle name="Percent 7 4 2 6 2 2 3" xfId="17431" xr:uid="{00000000-0005-0000-0000-0000E69F0000}"/>
    <cellStyle name="Percent 7 4 2 6 2 3" xfId="13184" xr:uid="{00000000-0005-0000-0000-0000E79F0000}"/>
    <cellStyle name="Percent 7 4 2 6 2 3 2" xfId="41677" xr:uid="{00000000-0005-0000-0000-0000E89F0000}"/>
    <cellStyle name="Percent 7 4 2 6 2 4" xfId="17430" xr:uid="{00000000-0005-0000-0000-0000E99F0000}"/>
    <cellStyle name="Percent 7 4 2 6 3" xfId="10105" xr:uid="{00000000-0005-0000-0000-0000EA9F0000}"/>
    <cellStyle name="Percent 7 4 2 6 3 2" xfId="13699" xr:uid="{00000000-0005-0000-0000-0000EB9F0000}"/>
    <cellStyle name="Percent 7 4 2 6 3 3" xfId="17432" xr:uid="{00000000-0005-0000-0000-0000EC9F0000}"/>
    <cellStyle name="Percent 7 4 2 6 4" xfId="11344" xr:uid="{00000000-0005-0000-0000-0000ED9F0000}"/>
    <cellStyle name="Percent 7 4 2 6 4 2" xfId="14936" xr:uid="{00000000-0005-0000-0000-0000EE9F0000}"/>
    <cellStyle name="Percent 7 4 2 6 4 3" xfId="17433" xr:uid="{00000000-0005-0000-0000-0000EF9F0000}"/>
    <cellStyle name="Percent 7 4 2 6 5" xfId="12646" xr:uid="{00000000-0005-0000-0000-0000F09F0000}"/>
    <cellStyle name="Percent 7 4 2 6 5 2" xfId="41676" xr:uid="{00000000-0005-0000-0000-0000F19F0000}"/>
    <cellStyle name="Percent 7 4 2 6 6" xfId="17429" xr:uid="{00000000-0005-0000-0000-0000F29F0000}"/>
    <cellStyle name="Percent 7 4 2 7" xfId="9333" xr:uid="{00000000-0005-0000-0000-0000F39F0000}"/>
    <cellStyle name="Percent 7 4 2 7 2" xfId="10387" xr:uid="{00000000-0005-0000-0000-0000F49F0000}"/>
    <cellStyle name="Percent 7 4 2 7 2 2" xfId="13981" xr:uid="{00000000-0005-0000-0000-0000F59F0000}"/>
    <cellStyle name="Percent 7 4 2 7 2 2 2" xfId="41679" xr:uid="{00000000-0005-0000-0000-0000F69F0000}"/>
    <cellStyle name="Percent 7 4 2 7 2 3" xfId="17435" xr:uid="{00000000-0005-0000-0000-0000F79F0000}"/>
    <cellStyle name="Percent 7 4 2 7 3" xfId="12928" xr:uid="{00000000-0005-0000-0000-0000F89F0000}"/>
    <cellStyle name="Percent 7 4 2 7 3 2" xfId="41678" xr:uid="{00000000-0005-0000-0000-0000F99F0000}"/>
    <cellStyle name="Percent 7 4 2 7 4" xfId="17434" xr:uid="{00000000-0005-0000-0000-0000FA9F0000}"/>
    <cellStyle name="Percent 7 4 2 8" xfId="9849" xr:uid="{00000000-0005-0000-0000-0000FB9F0000}"/>
    <cellStyle name="Percent 7 4 2 8 2" xfId="13443" xr:uid="{00000000-0005-0000-0000-0000FC9F0000}"/>
    <cellStyle name="Percent 7 4 2 8 2 2" xfId="41681" xr:uid="{00000000-0005-0000-0000-0000FD9F0000}"/>
    <cellStyle name="Percent 7 4 2 8 3" xfId="41680" xr:uid="{00000000-0005-0000-0000-0000FE9F0000}"/>
    <cellStyle name="Percent 7 4 2 8 4" xfId="17436" xr:uid="{00000000-0005-0000-0000-0000FF9F0000}"/>
    <cellStyle name="Percent 7 4 2 9" xfId="11329" xr:uid="{00000000-0005-0000-0000-000000A00000}"/>
    <cellStyle name="Percent 7 4 2 9 2" xfId="14921" xr:uid="{00000000-0005-0000-0000-000001A00000}"/>
    <cellStyle name="Percent 7 4 2 9 2 2" xfId="41682" xr:uid="{00000000-0005-0000-0000-000002A00000}"/>
    <cellStyle name="Percent 7 4 2 9 3" xfId="17437" xr:uid="{00000000-0005-0000-0000-000003A00000}"/>
    <cellStyle name="Percent 7 4 3" xfId="8776" xr:uid="{00000000-0005-0000-0000-000004A00000}"/>
    <cellStyle name="Percent 7 4 3 10" xfId="41684" xr:uid="{00000000-0005-0000-0000-000005A00000}"/>
    <cellStyle name="Percent 7 4 3 11" xfId="41683" xr:uid="{00000000-0005-0000-0000-000006A00000}"/>
    <cellStyle name="Percent 7 4 3 12" xfId="17438" xr:uid="{00000000-0005-0000-0000-000007A00000}"/>
    <cellStyle name="Percent 7 4 3 2" xfId="8904" xr:uid="{00000000-0005-0000-0000-000008A00000}"/>
    <cellStyle name="Percent 7 4 3 2 2" xfId="9160" xr:uid="{00000000-0005-0000-0000-000009A00000}"/>
    <cellStyle name="Percent 7 4 3 2 2 2" xfId="9728" xr:uid="{00000000-0005-0000-0000-00000AA00000}"/>
    <cellStyle name="Percent 7 4 3 2 2 2 2" xfId="10782" xr:uid="{00000000-0005-0000-0000-00000BA00000}"/>
    <cellStyle name="Percent 7 4 3 2 2 2 2 2" xfId="14376" xr:uid="{00000000-0005-0000-0000-00000CA00000}"/>
    <cellStyle name="Percent 7 4 3 2 2 2 2 3" xfId="17442" xr:uid="{00000000-0005-0000-0000-00000DA00000}"/>
    <cellStyle name="Percent 7 4 3 2 2 2 3" xfId="13323" xr:uid="{00000000-0005-0000-0000-00000EA00000}"/>
    <cellStyle name="Percent 7 4 3 2 2 2 3 2" xfId="41687" xr:uid="{00000000-0005-0000-0000-00000FA00000}"/>
    <cellStyle name="Percent 7 4 3 2 2 2 4" xfId="17441" xr:uid="{00000000-0005-0000-0000-000010A00000}"/>
    <cellStyle name="Percent 7 4 3 2 2 3" xfId="10244" xr:uid="{00000000-0005-0000-0000-000011A00000}"/>
    <cellStyle name="Percent 7 4 3 2 2 3 2" xfId="13838" xr:uid="{00000000-0005-0000-0000-000012A00000}"/>
    <cellStyle name="Percent 7 4 3 2 2 3 3" xfId="17443" xr:uid="{00000000-0005-0000-0000-000013A00000}"/>
    <cellStyle name="Percent 7 4 3 2 2 4" xfId="11347" xr:uid="{00000000-0005-0000-0000-000014A00000}"/>
    <cellStyle name="Percent 7 4 3 2 2 4 2" xfId="14939" xr:uid="{00000000-0005-0000-0000-000015A00000}"/>
    <cellStyle name="Percent 7 4 3 2 2 4 3" xfId="17444" xr:uid="{00000000-0005-0000-0000-000016A00000}"/>
    <cellStyle name="Percent 7 4 3 2 2 5" xfId="12785" xr:uid="{00000000-0005-0000-0000-000017A00000}"/>
    <cellStyle name="Percent 7 4 3 2 2 5 2" xfId="41686" xr:uid="{00000000-0005-0000-0000-000018A00000}"/>
    <cellStyle name="Percent 7 4 3 2 2 6" xfId="17440" xr:uid="{00000000-0005-0000-0000-000019A00000}"/>
    <cellStyle name="Percent 7 4 3 2 3" xfId="9472" xr:uid="{00000000-0005-0000-0000-00001AA00000}"/>
    <cellStyle name="Percent 7 4 3 2 3 2" xfId="10526" xr:uid="{00000000-0005-0000-0000-00001BA00000}"/>
    <cellStyle name="Percent 7 4 3 2 3 2 2" xfId="14120" xr:uid="{00000000-0005-0000-0000-00001CA00000}"/>
    <cellStyle name="Percent 7 4 3 2 3 2 2 2" xfId="41689" xr:uid="{00000000-0005-0000-0000-00001DA00000}"/>
    <cellStyle name="Percent 7 4 3 2 3 2 3" xfId="17446" xr:uid="{00000000-0005-0000-0000-00001EA00000}"/>
    <cellStyle name="Percent 7 4 3 2 3 3" xfId="13067" xr:uid="{00000000-0005-0000-0000-00001FA00000}"/>
    <cellStyle name="Percent 7 4 3 2 3 3 2" xfId="41688" xr:uid="{00000000-0005-0000-0000-000020A00000}"/>
    <cellStyle name="Percent 7 4 3 2 3 4" xfId="17445" xr:uid="{00000000-0005-0000-0000-000021A00000}"/>
    <cellStyle name="Percent 7 4 3 2 4" xfId="9988" xr:uid="{00000000-0005-0000-0000-000022A00000}"/>
    <cellStyle name="Percent 7 4 3 2 4 2" xfId="13582" xr:uid="{00000000-0005-0000-0000-000023A00000}"/>
    <cellStyle name="Percent 7 4 3 2 4 2 2" xfId="41691" xr:uid="{00000000-0005-0000-0000-000024A00000}"/>
    <cellStyle name="Percent 7 4 3 2 4 3" xfId="41690" xr:uid="{00000000-0005-0000-0000-000025A00000}"/>
    <cellStyle name="Percent 7 4 3 2 4 4" xfId="17447" xr:uid="{00000000-0005-0000-0000-000026A00000}"/>
    <cellStyle name="Percent 7 4 3 2 5" xfId="11346" xr:uid="{00000000-0005-0000-0000-000027A00000}"/>
    <cellStyle name="Percent 7 4 3 2 5 2" xfId="14938" xr:uid="{00000000-0005-0000-0000-000028A00000}"/>
    <cellStyle name="Percent 7 4 3 2 5 2 2" xfId="41692" xr:uid="{00000000-0005-0000-0000-000029A00000}"/>
    <cellStyle name="Percent 7 4 3 2 5 3" xfId="17448" xr:uid="{00000000-0005-0000-0000-00002AA00000}"/>
    <cellStyle name="Percent 7 4 3 2 6" xfId="12529" xr:uid="{00000000-0005-0000-0000-00002BA00000}"/>
    <cellStyle name="Percent 7 4 3 2 6 2" xfId="41693" xr:uid="{00000000-0005-0000-0000-00002CA00000}"/>
    <cellStyle name="Percent 7 4 3 2 7" xfId="41685" xr:uid="{00000000-0005-0000-0000-00002DA00000}"/>
    <cellStyle name="Percent 7 4 3 2 8" xfId="17439" xr:uid="{00000000-0005-0000-0000-00002EA00000}"/>
    <cellStyle name="Percent 7 4 3 3" xfId="9032" xr:uid="{00000000-0005-0000-0000-00002FA00000}"/>
    <cellStyle name="Percent 7 4 3 3 2" xfId="9600" xr:uid="{00000000-0005-0000-0000-000030A00000}"/>
    <cellStyle name="Percent 7 4 3 3 2 2" xfId="10654" xr:uid="{00000000-0005-0000-0000-000031A00000}"/>
    <cellStyle name="Percent 7 4 3 3 2 2 2" xfId="14248" xr:uid="{00000000-0005-0000-0000-000032A00000}"/>
    <cellStyle name="Percent 7 4 3 3 2 2 2 2" xfId="41696" xr:uid="{00000000-0005-0000-0000-000033A00000}"/>
    <cellStyle name="Percent 7 4 3 3 2 2 3" xfId="17451" xr:uid="{00000000-0005-0000-0000-000034A00000}"/>
    <cellStyle name="Percent 7 4 3 3 2 3" xfId="13195" xr:uid="{00000000-0005-0000-0000-000035A00000}"/>
    <cellStyle name="Percent 7 4 3 3 2 3 2" xfId="41695" xr:uid="{00000000-0005-0000-0000-000036A00000}"/>
    <cellStyle name="Percent 7 4 3 3 2 4" xfId="17450" xr:uid="{00000000-0005-0000-0000-000037A00000}"/>
    <cellStyle name="Percent 7 4 3 3 3" xfId="10116" xr:uid="{00000000-0005-0000-0000-000038A00000}"/>
    <cellStyle name="Percent 7 4 3 3 3 2" xfId="13710" xr:uid="{00000000-0005-0000-0000-000039A00000}"/>
    <cellStyle name="Percent 7 4 3 3 3 2 2" xfId="41698" xr:uid="{00000000-0005-0000-0000-00003AA00000}"/>
    <cellStyle name="Percent 7 4 3 3 3 3" xfId="41697" xr:uid="{00000000-0005-0000-0000-00003BA00000}"/>
    <cellStyle name="Percent 7 4 3 3 3 4" xfId="17452" xr:uid="{00000000-0005-0000-0000-00003CA00000}"/>
    <cellStyle name="Percent 7 4 3 3 4" xfId="11348" xr:uid="{00000000-0005-0000-0000-00003DA00000}"/>
    <cellStyle name="Percent 7 4 3 3 4 2" xfId="14940" xr:uid="{00000000-0005-0000-0000-00003EA00000}"/>
    <cellStyle name="Percent 7 4 3 3 4 2 2" xfId="41700" xr:uid="{00000000-0005-0000-0000-00003FA00000}"/>
    <cellStyle name="Percent 7 4 3 3 4 3" xfId="41699" xr:uid="{00000000-0005-0000-0000-000040A00000}"/>
    <cellStyle name="Percent 7 4 3 3 4 4" xfId="17453" xr:uid="{00000000-0005-0000-0000-000041A00000}"/>
    <cellStyle name="Percent 7 4 3 3 5" xfId="12657" xr:uid="{00000000-0005-0000-0000-000042A00000}"/>
    <cellStyle name="Percent 7 4 3 3 5 2" xfId="41701" xr:uid="{00000000-0005-0000-0000-000043A00000}"/>
    <cellStyle name="Percent 7 4 3 3 6" xfId="41702" xr:uid="{00000000-0005-0000-0000-000044A00000}"/>
    <cellStyle name="Percent 7 4 3 3 7" xfId="41694" xr:uid="{00000000-0005-0000-0000-000045A00000}"/>
    <cellStyle name="Percent 7 4 3 3 8" xfId="17449" xr:uid="{00000000-0005-0000-0000-000046A00000}"/>
    <cellStyle name="Percent 7 4 3 4" xfId="9344" xr:uid="{00000000-0005-0000-0000-000047A00000}"/>
    <cellStyle name="Percent 7 4 3 4 2" xfId="10398" xr:uid="{00000000-0005-0000-0000-000048A00000}"/>
    <cellStyle name="Percent 7 4 3 4 2 2" xfId="13992" xr:uid="{00000000-0005-0000-0000-000049A00000}"/>
    <cellStyle name="Percent 7 4 3 4 2 2 2" xfId="41705" xr:uid="{00000000-0005-0000-0000-00004AA00000}"/>
    <cellStyle name="Percent 7 4 3 4 2 3" xfId="41704" xr:uid="{00000000-0005-0000-0000-00004BA00000}"/>
    <cellStyle name="Percent 7 4 3 4 2 4" xfId="17455" xr:uid="{00000000-0005-0000-0000-00004CA00000}"/>
    <cellStyle name="Percent 7 4 3 4 3" xfId="12939" xr:uid="{00000000-0005-0000-0000-00004DA00000}"/>
    <cellStyle name="Percent 7 4 3 4 3 2" xfId="41707" xr:uid="{00000000-0005-0000-0000-00004EA00000}"/>
    <cellStyle name="Percent 7 4 3 4 3 3" xfId="41706" xr:uid="{00000000-0005-0000-0000-00004FA00000}"/>
    <cellStyle name="Percent 7 4 3 4 4" xfId="41708" xr:uid="{00000000-0005-0000-0000-000050A00000}"/>
    <cellStyle name="Percent 7 4 3 4 4 2" xfId="41709" xr:uid="{00000000-0005-0000-0000-000051A00000}"/>
    <cellStyle name="Percent 7 4 3 4 5" xfId="41710" xr:uid="{00000000-0005-0000-0000-000052A00000}"/>
    <cellStyle name="Percent 7 4 3 4 6" xfId="41711" xr:uid="{00000000-0005-0000-0000-000053A00000}"/>
    <cellStyle name="Percent 7 4 3 4 7" xfId="41703" xr:uid="{00000000-0005-0000-0000-000054A00000}"/>
    <cellStyle name="Percent 7 4 3 4 8" xfId="17454" xr:uid="{00000000-0005-0000-0000-000055A00000}"/>
    <cellStyle name="Percent 7 4 3 5" xfId="9860" xr:uid="{00000000-0005-0000-0000-000056A00000}"/>
    <cellStyle name="Percent 7 4 3 5 2" xfId="13454" xr:uid="{00000000-0005-0000-0000-000057A00000}"/>
    <cellStyle name="Percent 7 4 3 5 2 2" xfId="41714" xr:uid="{00000000-0005-0000-0000-000058A00000}"/>
    <cellStyle name="Percent 7 4 3 5 2 3" xfId="41713" xr:uid="{00000000-0005-0000-0000-000059A00000}"/>
    <cellStyle name="Percent 7 4 3 5 3" xfId="41715" xr:uid="{00000000-0005-0000-0000-00005AA00000}"/>
    <cellStyle name="Percent 7 4 3 5 3 2" xfId="41716" xr:uid="{00000000-0005-0000-0000-00005BA00000}"/>
    <cellStyle name="Percent 7 4 3 5 4" xfId="41717" xr:uid="{00000000-0005-0000-0000-00005CA00000}"/>
    <cellStyle name="Percent 7 4 3 5 5" xfId="41718" xr:uid="{00000000-0005-0000-0000-00005DA00000}"/>
    <cellStyle name="Percent 7 4 3 5 6" xfId="41712" xr:uid="{00000000-0005-0000-0000-00005EA00000}"/>
    <cellStyle name="Percent 7 4 3 5 7" xfId="17456" xr:uid="{00000000-0005-0000-0000-00005FA00000}"/>
    <cellStyle name="Percent 7 4 3 6" xfId="11345" xr:uid="{00000000-0005-0000-0000-000060A00000}"/>
    <cellStyle name="Percent 7 4 3 6 2" xfId="14937" xr:uid="{00000000-0005-0000-0000-000061A00000}"/>
    <cellStyle name="Percent 7 4 3 6 2 2" xfId="41720" xr:uid="{00000000-0005-0000-0000-000062A00000}"/>
    <cellStyle name="Percent 7 4 3 6 3" xfId="41719" xr:uid="{00000000-0005-0000-0000-000063A00000}"/>
    <cellStyle name="Percent 7 4 3 6 4" xfId="17457" xr:uid="{00000000-0005-0000-0000-000064A00000}"/>
    <cellStyle name="Percent 7 4 3 7" xfId="12401" xr:uid="{00000000-0005-0000-0000-000065A00000}"/>
    <cellStyle name="Percent 7 4 3 7 2" xfId="41722" xr:uid="{00000000-0005-0000-0000-000066A00000}"/>
    <cellStyle name="Percent 7 4 3 7 3" xfId="41721" xr:uid="{00000000-0005-0000-0000-000067A00000}"/>
    <cellStyle name="Percent 7 4 3 8" xfId="41723" xr:uid="{00000000-0005-0000-0000-000068A00000}"/>
    <cellStyle name="Percent 7 4 3 8 2" xfId="41724" xr:uid="{00000000-0005-0000-0000-000069A00000}"/>
    <cellStyle name="Percent 7 4 3 9" xfId="41725" xr:uid="{00000000-0005-0000-0000-00006AA00000}"/>
    <cellStyle name="Percent 7 4 4" xfId="8808" xr:uid="{00000000-0005-0000-0000-00006BA00000}"/>
    <cellStyle name="Percent 7 4 4 2" xfId="8936" xr:uid="{00000000-0005-0000-0000-00006CA00000}"/>
    <cellStyle name="Percent 7 4 4 2 2" xfId="9192" xr:uid="{00000000-0005-0000-0000-00006DA00000}"/>
    <cellStyle name="Percent 7 4 4 2 2 2" xfId="9760" xr:uid="{00000000-0005-0000-0000-00006EA00000}"/>
    <cellStyle name="Percent 7 4 4 2 2 2 2" xfId="10814" xr:uid="{00000000-0005-0000-0000-00006FA00000}"/>
    <cellStyle name="Percent 7 4 4 2 2 2 2 2" xfId="14408" xr:uid="{00000000-0005-0000-0000-000070A00000}"/>
    <cellStyle name="Percent 7 4 4 2 2 2 2 3" xfId="17462" xr:uid="{00000000-0005-0000-0000-000071A00000}"/>
    <cellStyle name="Percent 7 4 4 2 2 2 3" xfId="13355" xr:uid="{00000000-0005-0000-0000-000072A00000}"/>
    <cellStyle name="Percent 7 4 4 2 2 2 4" xfId="17461" xr:uid="{00000000-0005-0000-0000-000073A00000}"/>
    <cellStyle name="Percent 7 4 4 2 2 3" xfId="10276" xr:uid="{00000000-0005-0000-0000-000074A00000}"/>
    <cellStyle name="Percent 7 4 4 2 2 3 2" xfId="13870" xr:uid="{00000000-0005-0000-0000-000075A00000}"/>
    <cellStyle name="Percent 7 4 4 2 2 3 3" xfId="17463" xr:uid="{00000000-0005-0000-0000-000076A00000}"/>
    <cellStyle name="Percent 7 4 4 2 2 4" xfId="11351" xr:uid="{00000000-0005-0000-0000-000077A00000}"/>
    <cellStyle name="Percent 7 4 4 2 2 4 2" xfId="14943" xr:uid="{00000000-0005-0000-0000-000078A00000}"/>
    <cellStyle name="Percent 7 4 4 2 2 4 3" xfId="17464" xr:uid="{00000000-0005-0000-0000-000079A00000}"/>
    <cellStyle name="Percent 7 4 4 2 2 5" xfId="12817" xr:uid="{00000000-0005-0000-0000-00007AA00000}"/>
    <cellStyle name="Percent 7 4 4 2 2 5 2" xfId="41728" xr:uid="{00000000-0005-0000-0000-00007BA00000}"/>
    <cellStyle name="Percent 7 4 4 2 2 6" xfId="17460" xr:uid="{00000000-0005-0000-0000-00007CA00000}"/>
    <cellStyle name="Percent 7 4 4 2 3" xfId="9504" xr:uid="{00000000-0005-0000-0000-00007DA00000}"/>
    <cellStyle name="Percent 7 4 4 2 3 2" xfId="10558" xr:uid="{00000000-0005-0000-0000-00007EA00000}"/>
    <cellStyle name="Percent 7 4 4 2 3 2 2" xfId="14152" xr:uid="{00000000-0005-0000-0000-00007FA00000}"/>
    <cellStyle name="Percent 7 4 4 2 3 2 3" xfId="17466" xr:uid="{00000000-0005-0000-0000-000080A00000}"/>
    <cellStyle name="Percent 7 4 4 2 3 3" xfId="13099" xr:uid="{00000000-0005-0000-0000-000081A00000}"/>
    <cellStyle name="Percent 7 4 4 2 3 4" xfId="17465" xr:uid="{00000000-0005-0000-0000-000082A00000}"/>
    <cellStyle name="Percent 7 4 4 2 4" xfId="10020" xr:uid="{00000000-0005-0000-0000-000083A00000}"/>
    <cellStyle name="Percent 7 4 4 2 4 2" xfId="13614" xr:uid="{00000000-0005-0000-0000-000084A00000}"/>
    <cellStyle name="Percent 7 4 4 2 4 3" xfId="17467" xr:uid="{00000000-0005-0000-0000-000085A00000}"/>
    <cellStyle name="Percent 7 4 4 2 5" xfId="11350" xr:uid="{00000000-0005-0000-0000-000086A00000}"/>
    <cellStyle name="Percent 7 4 4 2 5 2" xfId="14942" xr:uid="{00000000-0005-0000-0000-000087A00000}"/>
    <cellStyle name="Percent 7 4 4 2 5 3" xfId="17468" xr:uid="{00000000-0005-0000-0000-000088A00000}"/>
    <cellStyle name="Percent 7 4 4 2 6" xfId="12561" xr:uid="{00000000-0005-0000-0000-000089A00000}"/>
    <cellStyle name="Percent 7 4 4 2 6 2" xfId="41727" xr:uid="{00000000-0005-0000-0000-00008AA00000}"/>
    <cellStyle name="Percent 7 4 4 2 7" xfId="17459" xr:uid="{00000000-0005-0000-0000-00008BA00000}"/>
    <cellStyle name="Percent 7 4 4 3" xfId="9064" xr:uid="{00000000-0005-0000-0000-00008CA00000}"/>
    <cellStyle name="Percent 7 4 4 3 2" xfId="9632" xr:uid="{00000000-0005-0000-0000-00008DA00000}"/>
    <cellStyle name="Percent 7 4 4 3 2 2" xfId="10686" xr:uid="{00000000-0005-0000-0000-00008EA00000}"/>
    <cellStyle name="Percent 7 4 4 3 2 2 2" xfId="14280" xr:uid="{00000000-0005-0000-0000-00008FA00000}"/>
    <cellStyle name="Percent 7 4 4 3 2 2 3" xfId="17471" xr:uid="{00000000-0005-0000-0000-000090A00000}"/>
    <cellStyle name="Percent 7 4 4 3 2 3" xfId="13227" xr:uid="{00000000-0005-0000-0000-000091A00000}"/>
    <cellStyle name="Percent 7 4 4 3 2 3 2" xfId="41730" xr:uid="{00000000-0005-0000-0000-000092A00000}"/>
    <cellStyle name="Percent 7 4 4 3 2 4" xfId="17470" xr:uid="{00000000-0005-0000-0000-000093A00000}"/>
    <cellStyle name="Percent 7 4 4 3 3" xfId="10148" xr:uid="{00000000-0005-0000-0000-000094A00000}"/>
    <cellStyle name="Percent 7 4 4 3 3 2" xfId="13742" xr:uid="{00000000-0005-0000-0000-000095A00000}"/>
    <cellStyle name="Percent 7 4 4 3 3 3" xfId="17472" xr:uid="{00000000-0005-0000-0000-000096A00000}"/>
    <cellStyle name="Percent 7 4 4 3 4" xfId="11352" xr:uid="{00000000-0005-0000-0000-000097A00000}"/>
    <cellStyle name="Percent 7 4 4 3 4 2" xfId="14944" xr:uid="{00000000-0005-0000-0000-000098A00000}"/>
    <cellStyle name="Percent 7 4 4 3 4 3" xfId="17473" xr:uid="{00000000-0005-0000-0000-000099A00000}"/>
    <cellStyle name="Percent 7 4 4 3 5" xfId="12689" xr:uid="{00000000-0005-0000-0000-00009AA00000}"/>
    <cellStyle name="Percent 7 4 4 3 5 2" xfId="41729" xr:uid="{00000000-0005-0000-0000-00009BA00000}"/>
    <cellStyle name="Percent 7 4 4 3 6" xfId="17469" xr:uid="{00000000-0005-0000-0000-00009CA00000}"/>
    <cellStyle name="Percent 7 4 4 4" xfId="9376" xr:uid="{00000000-0005-0000-0000-00009DA00000}"/>
    <cellStyle name="Percent 7 4 4 4 2" xfId="10430" xr:uid="{00000000-0005-0000-0000-00009EA00000}"/>
    <cellStyle name="Percent 7 4 4 4 2 2" xfId="14024" xr:uid="{00000000-0005-0000-0000-00009FA00000}"/>
    <cellStyle name="Percent 7 4 4 4 2 2 2" xfId="41732" xr:uid="{00000000-0005-0000-0000-0000A0A00000}"/>
    <cellStyle name="Percent 7 4 4 4 2 3" xfId="17475" xr:uid="{00000000-0005-0000-0000-0000A1A00000}"/>
    <cellStyle name="Percent 7 4 4 4 3" xfId="12971" xr:uid="{00000000-0005-0000-0000-0000A2A00000}"/>
    <cellStyle name="Percent 7 4 4 4 3 2" xfId="41731" xr:uid="{00000000-0005-0000-0000-0000A3A00000}"/>
    <cellStyle name="Percent 7 4 4 4 4" xfId="17474" xr:uid="{00000000-0005-0000-0000-0000A4A00000}"/>
    <cellStyle name="Percent 7 4 4 5" xfId="9892" xr:uid="{00000000-0005-0000-0000-0000A5A00000}"/>
    <cellStyle name="Percent 7 4 4 5 2" xfId="13486" xr:uid="{00000000-0005-0000-0000-0000A6A00000}"/>
    <cellStyle name="Percent 7 4 4 5 2 2" xfId="41733" xr:uid="{00000000-0005-0000-0000-0000A7A00000}"/>
    <cellStyle name="Percent 7 4 4 5 3" xfId="17476" xr:uid="{00000000-0005-0000-0000-0000A8A00000}"/>
    <cellStyle name="Percent 7 4 4 6" xfId="11349" xr:uid="{00000000-0005-0000-0000-0000A9A00000}"/>
    <cellStyle name="Percent 7 4 4 6 2" xfId="14941" xr:uid="{00000000-0005-0000-0000-0000AAA00000}"/>
    <cellStyle name="Percent 7 4 4 6 2 2" xfId="41734" xr:uid="{00000000-0005-0000-0000-0000ABA00000}"/>
    <cellStyle name="Percent 7 4 4 6 3" xfId="17477" xr:uid="{00000000-0005-0000-0000-0000ACA00000}"/>
    <cellStyle name="Percent 7 4 4 7" xfId="12433" xr:uid="{00000000-0005-0000-0000-0000ADA00000}"/>
    <cellStyle name="Percent 7 4 4 7 2" xfId="41726" xr:uid="{00000000-0005-0000-0000-0000AEA00000}"/>
    <cellStyle name="Percent 7 4 4 8" xfId="17458" xr:uid="{00000000-0005-0000-0000-0000AFA00000}"/>
    <cellStyle name="Percent 7 4 5" xfId="8840" xr:uid="{00000000-0005-0000-0000-0000B0A00000}"/>
    <cellStyle name="Percent 7 4 5 2" xfId="8968" xr:uid="{00000000-0005-0000-0000-0000B1A00000}"/>
    <cellStyle name="Percent 7 4 5 2 2" xfId="9224" xr:uid="{00000000-0005-0000-0000-0000B2A00000}"/>
    <cellStyle name="Percent 7 4 5 2 2 2" xfId="9792" xr:uid="{00000000-0005-0000-0000-0000B3A00000}"/>
    <cellStyle name="Percent 7 4 5 2 2 2 2" xfId="10846" xr:uid="{00000000-0005-0000-0000-0000B4A00000}"/>
    <cellStyle name="Percent 7 4 5 2 2 2 2 2" xfId="14440" xr:uid="{00000000-0005-0000-0000-0000B5A00000}"/>
    <cellStyle name="Percent 7 4 5 2 2 2 2 3" xfId="17482" xr:uid="{00000000-0005-0000-0000-0000B6A00000}"/>
    <cellStyle name="Percent 7 4 5 2 2 2 3" xfId="13387" xr:uid="{00000000-0005-0000-0000-0000B7A00000}"/>
    <cellStyle name="Percent 7 4 5 2 2 2 4" xfId="17481" xr:uid="{00000000-0005-0000-0000-0000B8A00000}"/>
    <cellStyle name="Percent 7 4 5 2 2 3" xfId="10308" xr:uid="{00000000-0005-0000-0000-0000B9A00000}"/>
    <cellStyle name="Percent 7 4 5 2 2 3 2" xfId="13902" xr:uid="{00000000-0005-0000-0000-0000BAA00000}"/>
    <cellStyle name="Percent 7 4 5 2 2 3 3" xfId="17483" xr:uid="{00000000-0005-0000-0000-0000BBA00000}"/>
    <cellStyle name="Percent 7 4 5 2 2 4" xfId="11355" xr:uid="{00000000-0005-0000-0000-0000BCA00000}"/>
    <cellStyle name="Percent 7 4 5 2 2 4 2" xfId="14947" xr:uid="{00000000-0005-0000-0000-0000BDA00000}"/>
    <cellStyle name="Percent 7 4 5 2 2 4 3" xfId="17484" xr:uid="{00000000-0005-0000-0000-0000BEA00000}"/>
    <cellStyle name="Percent 7 4 5 2 2 5" xfId="12849" xr:uid="{00000000-0005-0000-0000-0000BFA00000}"/>
    <cellStyle name="Percent 7 4 5 2 2 5 2" xfId="41737" xr:uid="{00000000-0005-0000-0000-0000C0A00000}"/>
    <cellStyle name="Percent 7 4 5 2 2 6" xfId="17480" xr:uid="{00000000-0005-0000-0000-0000C1A00000}"/>
    <cellStyle name="Percent 7 4 5 2 3" xfId="9536" xr:uid="{00000000-0005-0000-0000-0000C2A00000}"/>
    <cellStyle name="Percent 7 4 5 2 3 2" xfId="10590" xr:uid="{00000000-0005-0000-0000-0000C3A00000}"/>
    <cellStyle name="Percent 7 4 5 2 3 2 2" xfId="14184" xr:uid="{00000000-0005-0000-0000-0000C4A00000}"/>
    <cellStyle name="Percent 7 4 5 2 3 2 3" xfId="17486" xr:uid="{00000000-0005-0000-0000-0000C5A00000}"/>
    <cellStyle name="Percent 7 4 5 2 3 3" xfId="13131" xr:uid="{00000000-0005-0000-0000-0000C6A00000}"/>
    <cellStyle name="Percent 7 4 5 2 3 4" xfId="17485" xr:uid="{00000000-0005-0000-0000-0000C7A00000}"/>
    <cellStyle name="Percent 7 4 5 2 4" xfId="10052" xr:uid="{00000000-0005-0000-0000-0000C8A00000}"/>
    <cellStyle name="Percent 7 4 5 2 4 2" xfId="13646" xr:uid="{00000000-0005-0000-0000-0000C9A00000}"/>
    <cellStyle name="Percent 7 4 5 2 4 3" xfId="17487" xr:uid="{00000000-0005-0000-0000-0000CAA00000}"/>
    <cellStyle name="Percent 7 4 5 2 5" xfId="11354" xr:uid="{00000000-0005-0000-0000-0000CBA00000}"/>
    <cellStyle name="Percent 7 4 5 2 5 2" xfId="14946" xr:uid="{00000000-0005-0000-0000-0000CCA00000}"/>
    <cellStyle name="Percent 7 4 5 2 5 3" xfId="17488" xr:uid="{00000000-0005-0000-0000-0000CDA00000}"/>
    <cellStyle name="Percent 7 4 5 2 6" xfId="12593" xr:uid="{00000000-0005-0000-0000-0000CEA00000}"/>
    <cellStyle name="Percent 7 4 5 2 6 2" xfId="41736" xr:uid="{00000000-0005-0000-0000-0000CFA00000}"/>
    <cellStyle name="Percent 7 4 5 2 7" xfId="17479" xr:uid="{00000000-0005-0000-0000-0000D0A00000}"/>
    <cellStyle name="Percent 7 4 5 3" xfId="9096" xr:uid="{00000000-0005-0000-0000-0000D1A00000}"/>
    <cellStyle name="Percent 7 4 5 3 2" xfId="9664" xr:uid="{00000000-0005-0000-0000-0000D2A00000}"/>
    <cellStyle name="Percent 7 4 5 3 2 2" xfId="10718" xr:uid="{00000000-0005-0000-0000-0000D3A00000}"/>
    <cellStyle name="Percent 7 4 5 3 2 2 2" xfId="14312" xr:uid="{00000000-0005-0000-0000-0000D4A00000}"/>
    <cellStyle name="Percent 7 4 5 3 2 2 3" xfId="17491" xr:uid="{00000000-0005-0000-0000-0000D5A00000}"/>
    <cellStyle name="Percent 7 4 5 3 2 3" xfId="13259" xr:uid="{00000000-0005-0000-0000-0000D6A00000}"/>
    <cellStyle name="Percent 7 4 5 3 2 3 2" xfId="41739" xr:uid="{00000000-0005-0000-0000-0000D7A00000}"/>
    <cellStyle name="Percent 7 4 5 3 2 4" xfId="17490" xr:uid="{00000000-0005-0000-0000-0000D8A00000}"/>
    <cellStyle name="Percent 7 4 5 3 3" xfId="10180" xr:uid="{00000000-0005-0000-0000-0000D9A00000}"/>
    <cellStyle name="Percent 7 4 5 3 3 2" xfId="13774" xr:uid="{00000000-0005-0000-0000-0000DAA00000}"/>
    <cellStyle name="Percent 7 4 5 3 3 3" xfId="17492" xr:uid="{00000000-0005-0000-0000-0000DBA00000}"/>
    <cellStyle name="Percent 7 4 5 3 4" xfId="11356" xr:uid="{00000000-0005-0000-0000-0000DCA00000}"/>
    <cellStyle name="Percent 7 4 5 3 4 2" xfId="14948" xr:uid="{00000000-0005-0000-0000-0000DDA00000}"/>
    <cellStyle name="Percent 7 4 5 3 4 3" xfId="17493" xr:uid="{00000000-0005-0000-0000-0000DEA00000}"/>
    <cellStyle name="Percent 7 4 5 3 5" xfId="12721" xr:uid="{00000000-0005-0000-0000-0000DFA00000}"/>
    <cellStyle name="Percent 7 4 5 3 5 2" xfId="41738" xr:uid="{00000000-0005-0000-0000-0000E0A00000}"/>
    <cellStyle name="Percent 7 4 5 3 6" xfId="17489" xr:uid="{00000000-0005-0000-0000-0000E1A00000}"/>
    <cellStyle name="Percent 7 4 5 4" xfId="9408" xr:uid="{00000000-0005-0000-0000-0000E2A00000}"/>
    <cellStyle name="Percent 7 4 5 4 2" xfId="10462" xr:uid="{00000000-0005-0000-0000-0000E3A00000}"/>
    <cellStyle name="Percent 7 4 5 4 2 2" xfId="14056" xr:uid="{00000000-0005-0000-0000-0000E4A00000}"/>
    <cellStyle name="Percent 7 4 5 4 2 2 2" xfId="41741" xr:uid="{00000000-0005-0000-0000-0000E5A00000}"/>
    <cellStyle name="Percent 7 4 5 4 2 3" xfId="17495" xr:uid="{00000000-0005-0000-0000-0000E6A00000}"/>
    <cellStyle name="Percent 7 4 5 4 3" xfId="13003" xr:uid="{00000000-0005-0000-0000-0000E7A00000}"/>
    <cellStyle name="Percent 7 4 5 4 3 2" xfId="41740" xr:uid="{00000000-0005-0000-0000-0000E8A00000}"/>
    <cellStyle name="Percent 7 4 5 4 4" xfId="17494" xr:uid="{00000000-0005-0000-0000-0000E9A00000}"/>
    <cellStyle name="Percent 7 4 5 5" xfId="9924" xr:uid="{00000000-0005-0000-0000-0000EAA00000}"/>
    <cellStyle name="Percent 7 4 5 5 2" xfId="13518" xr:uid="{00000000-0005-0000-0000-0000EBA00000}"/>
    <cellStyle name="Percent 7 4 5 5 2 2" xfId="41742" xr:uid="{00000000-0005-0000-0000-0000ECA00000}"/>
    <cellStyle name="Percent 7 4 5 5 3" xfId="17496" xr:uid="{00000000-0005-0000-0000-0000EDA00000}"/>
    <cellStyle name="Percent 7 4 5 6" xfId="11353" xr:uid="{00000000-0005-0000-0000-0000EEA00000}"/>
    <cellStyle name="Percent 7 4 5 6 2" xfId="14945" xr:uid="{00000000-0005-0000-0000-0000EFA00000}"/>
    <cellStyle name="Percent 7 4 5 6 2 2" xfId="41743" xr:uid="{00000000-0005-0000-0000-0000F0A00000}"/>
    <cellStyle name="Percent 7 4 5 6 3" xfId="17497" xr:uid="{00000000-0005-0000-0000-0000F1A00000}"/>
    <cellStyle name="Percent 7 4 5 7" xfId="12465" xr:uid="{00000000-0005-0000-0000-0000F2A00000}"/>
    <cellStyle name="Percent 7 4 5 7 2" xfId="41735" xr:uid="{00000000-0005-0000-0000-0000F3A00000}"/>
    <cellStyle name="Percent 7 4 5 8" xfId="17478" xr:uid="{00000000-0005-0000-0000-0000F4A00000}"/>
    <cellStyle name="Percent 7 4 6" xfId="8892" xr:uid="{00000000-0005-0000-0000-0000F5A00000}"/>
    <cellStyle name="Percent 7 4 6 2" xfId="9148" xr:uid="{00000000-0005-0000-0000-0000F6A00000}"/>
    <cellStyle name="Percent 7 4 6 2 2" xfId="9716" xr:uid="{00000000-0005-0000-0000-0000F7A00000}"/>
    <cellStyle name="Percent 7 4 6 2 2 2" xfId="10770" xr:uid="{00000000-0005-0000-0000-0000F8A00000}"/>
    <cellStyle name="Percent 7 4 6 2 2 2 2" xfId="14364" xr:uid="{00000000-0005-0000-0000-0000F9A00000}"/>
    <cellStyle name="Percent 7 4 6 2 2 2 3" xfId="17501" xr:uid="{00000000-0005-0000-0000-0000FAA00000}"/>
    <cellStyle name="Percent 7 4 6 2 2 3" xfId="13311" xr:uid="{00000000-0005-0000-0000-0000FBA00000}"/>
    <cellStyle name="Percent 7 4 6 2 2 3 2" xfId="41746" xr:uid="{00000000-0005-0000-0000-0000FCA00000}"/>
    <cellStyle name="Percent 7 4 6 2 2 4" xfId="17500" xr:uid="{00000000-0005-0000-0000-0000FDA00000}"/>
    <cellStyle name="Percent 7 4 6 2 3" xfId="10232" xr:uid="{00000000-0005-0000-0000-0000FEA00000}"/>
    <cellStyle name="Percent 7 4 6 2 3 2" xfId="13826" xr:uid="{00000000-0005-0000-0000-0000FFA00000}"/>
    <cellStyle name="Percent 7 4 6 2 3 3" xfId="17502" xr:uid="{00000000-0005-0000-0000-000000A10000}"/>
    <cellStyle name="Percent 7 4 6 2 4" xfId="11358" xr:uid="{00000000-0005-0000-0000-000001A10000}"/>
    <cellStyle name="Percent 7 4 6 2 4 2" xfId="14950" xr:uid="{00000000-0005-0000-0000-000002A10000}"/>
    <cellStyle name="Percent 7 4 6 2 4 3" xfId="17503" xr:uid="{00000000-0005-0000-0000-000003A10000}"/>
    <cellStyle name="Percent 7 4 6 2 5" xfId="12773" xr:uid="{00000000-0005-0000-0000-000004A10000}"/>
    <cellStyle name="Percent 7 4 6 2 5 2" xfId="41745" xr:uid="{00000000-0005-0000-0000-000005A10000}"/>
    <cellStyle name="Percent 7 4 6 2 6" xfId="17499" xr:uid="{00000000-0005-0000-0000-000006A10000}"/>
    <cellStyle name="Percent 7 4 6 3" xfId="9460" xr:uid="{00000000-0005-0000-0000-000007A10000}"/>
    <cellStyle name="Percent 7 4 6 3 2" xfId="10514" xr:uid="{00000000-0005-0000-0000-000008A10000}"/>
    <cellStyle name="Percent 7 4 6 3 2 2" xfId="14108" xr:uid="{00000000-0005-0000-0000-000009A10000}"/>
    <cellStyle name="Percent 7 4 6 3 2 2 2" xfId="41748" xr:uid="{00000000-0005-0000-0000-00000AA10000}"/>
    <cellStyle name="Percent 7 4 6 3 2 3" xfId="17505" xr:uid="{00000000-0005-0000-0000-00000BA10000}"/>
    <cellStyle name="Percent 7 4 6 3 3" xfId="13055" xr:uid="{00000000-0005-0000-0000-00000CA10000}"/>
    <cellStyle name="Percent 7 4 6 3 3 2" xfId="41747" xr:uid="{00000000-0005-0000-0000-00000DA10000}"/>
    <cellStyle name="Percent 7 4 6 3 4" xfId="17504" xr:uid="{00000000-0005-0000-0000-00000EA10000}"/>
    <cellStyle name="Percent 7 4 6 4" xfId="9976" xr:uid="{00000000-0005-0000-0000-00000FA10000}"/>
    <cellStyle name="Percent 7 4 6 4 2" xfId="13570" xr:uid="{00000000-0005-0000-0000-000010A10000}"/>
    <cellStyle name="Percent 7 4 6 4 2 2" xfId="41750" xr:uid="{00000000-0005-0000-0000-000011A10000}"/>
    <cellStyle name="Percent 7 4 6 4 3" xfId="41749" xr:uid="{00000000-0005-0000-0000-000012A10000}"/>
    <cellStyle name="Percent 7 4 6 4 4" xfId="17506" xr:uid="{00000000-0005-0000-0000-000013A10000}"/>
    <cellStyle name="Percent 7 4 6 5" xfId="11357" xr:uid="{00000000-0005-0000-0000-000014A10000}"/>
    <cellStyle name="Percent 7 4 6 5 2" xfId="14949" xr:uid="{00000000-0005-0000-0000-000015A10000}"/>
    <cellStyle name="Percent 7 4 6 5 2 2" xfId="41751" xr:uid="{00000000-0005-0000-0000-000016A10000}"/>
    <cellStyle name="Percent 7 4 6 5 3" xfId="17507" xr:uid="{00000000-0005-0000-0000-000017A10000}"/>
    <cellStyle name="Percent 7 4 6 6" xfId="12517" xr:uid="{00000000-0005-0000-0000-000018A10000}"/>
    <cellStyle name="Percent 7 4 6 6 2" xfId="41752" xr:uid="{00000000-0005-0000-0000-000019A10000}"/>
    <cellStyle name="Percent 7 4 6 7" xfId="41744" xr:uid="{00000000-0005-0000-0000-00001AA10000}"/>
    <cellStyle name="Percent 7 4 6 8" xfId="17498" xr:uid="{00000000-0005-0000-0000-00001BA10000}"/>
    <cellStyle name="Percent 7 4 7" xfId="9020" xr:uid="{00000000-0005-0000-0000-00001CA10000}"/>
    <cellStyle name="Percent 7 4 7 2" xfId="9588" xr:uid="{00000000-0005-0000-0000-00001DA10000}"/>
    <cellStyle name="Percent 7 4 7 2 2" xfId="10642" xr:uid="{00000000-0005-0000-0000-00001EA10000}"/>
    <cellStyle name="Percent 7 4 7 2 2 2" xfId="14236" xr:uid="{00000000-0005-0000-0000-00001FA10000}"/>
    <cellStyle name="Percent 7 4 7 2 2 2 2" xfId="41755" xr:uid="{00000000-0005-0000-0000-000020A10000}"/>
    <cellStyle name="Percent 7 4 7 2 2 3" xfId="17510" xr:uid="{00000000-0005-0000-0000-000021A10000}"/>
    <cellStyle name="Percent 7 4 7 2 3" xfId="13183" xr:uid="{00000000-0005-0000-0000-000022A10000}"/>
    <cellStyle name="Percent 7 4 7 2 3 2" xfId="41754" xr:uid="{00000000-0005-0000-0000-000023A10000}"/>
    <cellStyle name="Percent 7 4 7 2 4" xfId="17509" xr:uid="{00000000-0005-0000-0000-000024A10000}"/>
    <cellStyle name="Percent 7 4 7 3" xfId="10104" xr:uid="{00000000-0005-0000-0000-000025A10000}"/>
    <cellStyle name="Percent 7 4 7 3 2" xfId="13698" xr:uid="{00000000-0005-0000-0000-000026A10000}"/>
    <cellStyle name="Percent 7 4 7 3 2 2" xfId="41757" xr:uid="{00000000-0005-0000-0000-000027A10000}"/>
    <cellStyle name="Percent 7 4 7 3 3" xfId="41756" xr:uid="{00000000-0005-0000-0000-000028A10000}"/>
    <cellStyle name="Percent 7 4 7 3 4" xfId="17511" xr:uid="{00000000-0005-0000-0000-000029A10000}"/>
    <cellStyle name="Percent 7 4 7 4" xfId="11359" xr:uid="{00000000-0005-0000-0000-00002AA10000}"/>
    <cellStyle name="Percent 7 4 7 4 2" xfId="14951" xr:uid="{00000000-0005-0000-0000-00002BA10000}"/>
    <cellStyle name="Percent 7 4 7 4 2 2" xfId="41758" xr:uid="{00000000-0005-0000-0000-00002CA10000}"/>
    <cellStyle name="Percent 7 4 7 4 3" xfId="17512" xr:uid="{00000000-0005-0000-0000-00002DA10000}"/>
    <cellStyle name="Percent 7 4 7 5" xfId="12645" xr:uid="{00000000-0005-0000-0000-00002EA10000}"/>
    <cellStyle name="Percent 7 4 7 5 2" xfId="41759" xr:uid="{00000000-0005-0000-0000-00002FA10000}"/>
    <cellStyle name="Percent 7 4 7 6" xfId="41753" xr:uid="{00000000-0005-0000-0000-000030A10000}"/>
    <cellStyle name="Percent 7 4 7 7" xfId="17508" xr:uid="{00000000-0005-0000-0000-000031A10000}"/>
    <cellStyle name="Percent 7 4 8" xfId="9332" xr:uid="{00000000-0005-0000-0000-000032A10000}"/>
    <cellStyle name="Percent 7 4 8 2" xfId="10386" xr:uid="{00000000-0005-0000-0000-000033A10000}"/>
    <cellStyle name="Percent 7 4 8 2 2" xfId="13980" xr:uid="{00000000-0005-0000-0000-000034A10000}"/>
    <cellStyle name="Percent 7 4 8 2 2 2" xfId="41761" xr:uid="{00000000-0005-0000-0000-000035A10000}"/>
    <cellStyle name="Percent 7 4 8 2 3" xfId="17514" xr:uid="{00000000-0005-0000-0000-000036A10000}"/>
    <cellStyle name="Percent 7 4 8 3" xfId="12927" xr:uid="{00000000-0005-0000-0000-000037A10000}"/>
    <cellStyle name="Percent 7 4 8 3 2" xfId="41760" xr:uid="{00000000-0005-0000-0000-000038A10000}"/>
    <cellStyle name="Percent 7 4 8 4" xfId="17513" xr:uid="{00000000-0005-0000-0000-000039A10000}"/>
    <cellStyle name="Percent 7 4 9" xfId="9848" xr:uid="{00000000-0005-0000-0000-00003AA10000}"/>
    <cellStyle name="Percent 7 4 9 2" xfId="13442" xr:uid="{00000000-0005-0000-0000-00003BA10000}"/>
    <cellStyle name="Percent 7 4 9 2 2" xfId="41763" xr:uid="{00000000-0005-0000-0000-00003CA10000}"/>
    <cellStyle name="Percent 7 4 9 3" xfId="41762" xr:uid="{00000000-0005-0000-0000-00003DA10000}"/>
    <cellStyle name="Percent 7 4 9 4" xfId="17515" xr:uid="{00000000-0005-0000-0000-00003EA10000}"/>
    <cellStyle name="Percent 7 5" xfId="8763" xr:uid="{00000000-0005-0000-0000-00003FA10000}"/>
    <cellStyle name="Percent 7 5 10" xfId="12391" xr:uid="{00000000-0005-0000-0000-000040A10000}"/>
    <cellStyle name="Percent 7 5 10 2" xfId="41765" xr:uid="{00000000-0005-0000-0000-000041A10000}"/>
    <cellStyle name="Percent 7 5 11" xfId="41766" xr:uid="{00000000-0005-0000-0000-000042A10000}"/>
    <cellStyle name="Percent 7 5 12" xfId="41764" xr:uid="{00000000-0005-0000-0000-000043A10000}"/>
    <cellStyle name="Percent 7 5 13" xfId="17516" xr:uid="{00000000-0005-0000-0000-000044A10000}"/>
    <cellStyle name="Percent 7 5 2" xfId="8784" xr:uid="{00000000-0005-0000-0000-000045A10000}"/>
    <cellStyle name="Percent 7 5 2 2" xfId="8912" xr:uid="{00000000-0005-0000-0000-000046A10000}"/>
    <cellStyle name="Percent 7 5 2 2 2" xfId="9168" xr:uid="{00000000-0005-0000-0000-000047A10000}"/>
    <cellStyle name="Percent 7 5 2 2 2 2" xfId="9736" xr:uid="{00000000-0005-0000-0000-000048A10000}"/>
    <cellStyle name="Percent 7 5 2 2 2 2 2" xfId="10790" xr:uid="{00000000-0005-0000-0000-000049A10000}"/>
    <cellStyle name="Percent 7 5 2 2 2 2 2 2" xfId="14384" xr:uid="{00000000-0005-0000-0000-00004AA10000}"/>
    <cellStyle name="Percent 7 5 2 2 2 2 2 3" xfId="17521" xr:uid="{00000000-0005-0000-0000-00004BA10000}"/>
    <cellStyle name="Percent 7 5 2 2 2 2 3" xfId="13331" xr:uid="{00000000-0005-0000-0000-00004CA10000}"/>
    <cellStyle name="Percent 7 5 2 2 2 2 4" xfId="17520" xr:uid="{00000000-0005-0000-0000-00004DA10000}"/>
    <cellStyle name="Percent 7 5 2 2 2 3" xfId="10252" xr:uid="{00000000-0005-0000-0000-00004EA10000}"/>
    <cellStyle name="Percent 7 5 2 2 2 3 2" xfId="13846" xr:uid="{00000000-0005-0000-0000-00004FA10000}"/>
    <cellStyle name="Percent 7 5 2 2 2 3 3" xfId="17522" xr:uid="{00000000-0005-0000-0000-000050A10000}"/>
    <cellStyle name="Percent 7 5 2 2 2 4" xfId="11363" xr:uid="{00000000-0005-0000-0000-000051A10000}"/>
    <cellStyle name="Percent 7 5 2 2 2 4 2" xfId="14955" xr:uid="{00000000-0005-0000-0000-000052A10000}"/>
    <cellStyle name="Percent 7 5 2 2 2 4 3" xfId="17523" xr:uid="{00000000-0005-0000-0000-000053A10000}"/>
    <cellStyle name="Percent 7 5 2 2 2 5" xfId="12793" xr:uid="{00000000-0005-0000-0000-000054A10000}"/>
    <cellStyle name="Percent 7 5 2 2 2 5 2" xfId="41769" xr:uid="{00000000-0005-0000-0000-000055A10000}"/>
    <cellStyle name="Percent 7 5 2 2 2 6" xfId="17519" xr:uid="{00000000-0005-0000-0000-000056A10000}"/>
    <cellStyle name="Percent 7 5 2 2 3" xfId="9480" xr:uid="{00000000-0005-0000-0000-000057A10000}"/>
    <cellStyle name="Percent 7 5 2 2 3 2" xfId="10534" xr:uid="{00000000-0005-0000-0000-000058A10000}"/>
    <cellStyle name="Percent 7 5 2 2 3 2 2" xfId="14128" xr:uid="{00000000-0005-0000-0000-000059A10000}"/>
    <cellStyle name="Percent 7 5 2 2 3 2 3" xfId="17525" xr:uid="{00000000-0005-0000-0000-00005AA10000}"/>
    <cellStyle name="Percent 7 5 2 2 3 3" xfId="13075" xr:uid="{00000000-0005-0000-0000-00005BA10000}"/>
    <cellStyle name="Percent 7 5 2 2 3 4" xfId="17524" xr:uid="{00000000-0005-0000-0000-00005CA10000}"/>
    <cellStyle name="Percent 7 5 2 2 4" xfId="9996" xr:uid="{00000000-0005-0000-0000-00005DA10000}"/>
    <cellStyle name="Percent 7 5 2 2 4 2" xfId="13590" xr:uid="{00000000-0005-0000-0000-00005EA10000}"/>
    <cellStyle name="Percent 7 5 2 2 4 3" xfId="17526" xr:uid="{00000000-0005-0000-0000-00005FA10000}"/>
    <cellStyle name="Percent 7 5 2 2 5" xfId="11362" xr:uid="{00000000-0005-0000-0000-000060A10000}"/>
    <cellStyle name="Percent 7 5 2 2 5 2" xfId="14954" xr:uid="{00000000-0005-0000-0000-000061A10000}"/>
    <cellStyle name="Percent 7 5 2 2 5 3" xfId="17527" xr:uid="{00000000-0005-0000-0000-000062A10000}"/>
    <cellStyle name="Percent 7 5 2 2 6" xfId="12537" xr:uid="{00000000-0005-0000-0000-000063A10000}"/>
    <cellStyle name="Percent 7 5 2 2 6 2" xfId="41768" xr:uid="{00000000-0005-0000-0000-000064A10000}"/>
    <cellStyle name="Percent 7 5 2 2 7" xfId="17518" xr:uid="{00000000-0005-0000-0000-000065A10000}"/>
    <cellStyle name="Percent 7 5 2 3" xfId="9040" xr:uid="{00000000-0005-0000-0000-000066A10000}"/>
    <cellStyle name="Percent 7 5 2 3 2" xfId="9608" xr:uid="{00000000-0005-0000-0000-000067A10000}"/>
    <cellStyle name="Percent 7 5 2 3 2 2" xfId="10662" xr:uid="{00000000-0005-0000-0000-000068A10000}"/>
    <cellStyle name="Percent 7 5 2 3 2 2 2" xfId="14256" xr:uid="{00000000-0005-0000-0000-000069A10000}"/>
    <cellStyle name="Percent 7 5 2 3 2 2 3" xfId="17530" xr:uid="{00000000-0005-0000-0000-00006AA10000}"/>
    <cellStyle name="Percent 7 5 2 3 2 3" xfId="13203" xr:uid="{00000000-0005-0000-0000-00006BA10000}"/>
    <cellStyle name="Percent 7 5 2 3 2 3 2" xfId="41771" xr:uid="{00000000-0005-0000-0000-00006CA10000}"/>
    <cellStyle name="Percent 7 5 2 3 2 4" xfId="17529" xr:uid="{00000000-0005-0000-0000-00006DA10000}"/>
    <cellStyle name="Percent 7 5 2 3 3" xfId="10124" xr:uid="{00000000-0005-0000-0000-00006EA10000}"/>
    <cellStyle name="Percent 7 5 2 3 3 2" xfId="13718" xr:uid="{00000000-0005-0000-0000-00006FA10000}"/>
    <cellStyle name="Percent 7 5 2 3 3 3" xfId="17531" xr:uid="{00000000-0005-0000-0000-000070A10000}"/>
    <cellStyle name="Percent 7 5 2 3 4" xfId="11364" xr:uid="{00000000-0005-0000-0000-000071A10000}"/>
    <cellStyle name="Percent 7 5 2 3 4 2" xfId="14956" xr:uid="{00000000-0005-0000-0000-000072A10000}"/>
    <cellStyle name="Percent 7 5 2 3 4 3" xfId="17532" xr:uid="{00000000-0005-0000-0000-000073A10000}"/>
    <cellStyle name="Percent 7 5 2 3 5" xfId="12665" xr:uid="{00000000-0005-0000-0000-000074A10000}"/>
    <cellStyle name="Percent 7 5 2 3 5 2" xfId="41770" xr:uid="{00000000-0005-0000-0000-000075A10000}"/>
    <cellStyle name="Percent 7 5 2 3 6" xfId="17528" xr:uid="{00000000-0005-0000-0000-000076A10000}"/>
    <cellStyle name="Percent 7 5 2 4" xfId="9352" xr:uid="{00000000-0005-0000-0000-000077A10000}"/>
    <cellStyle name="Percent 7 5 2 4 2" xfId="10406" xr:uid="{00000000-0005-0000-0000-000078A10000}"/>
    <cellStyle name="Percent 7 5 2 4 2 2" xfId="14000" xr:uid="{00000000-0005-0000-0000-000079A10000}"/>
    <cellStyle name="Percent 7 5 2 4 2 2 2" xfId="41773" xr:uid="{00000000-0005-0000-0000-00007AA10000}"/>
    <cellStyle name="Percent 7 5 2 4 2 3" xfId="17534" xr:uid="{00000000-0005-0000-0000-00007BA10000}"/>
    <cellStyle name="Percent 7 5 2 4 3" xfId="12947" xr:uid="{00000000-0005-0000-0000-00007CA10000}"/>
    <cellStyle name="Percent 7 5 2 4 3 2" xfId="41772" xr:uid="{00000000-0005-0000-0000-00007DA10000}"/>
    <cellStyle name="Percent 7 5 2 4 4" xfId="17533" xr:uid="{00000000-0005-0000-0000-00007EA10000}"/>
    <cellStyle name="Percent 7 5 2 5" xfId="9868" xr:uid="{00000000-0005-0000-0000-00007FA10000}"/>
    <cellStyle name="Percent 7 5 2 5 2" xfId="13462" xr:uid="{00000000-0005-0000-0000-000080A10000}"/>
    <cellStyle name="Percent 7 5 2 5 2 2" xfId="41774" xr:uid="{00000000-0005-0000-0000-000081A10000}"/>
    <cellStyle name="Percent 7 5 2 5 3" xfId="17535" xr:uid="{00000000-0005-0000-0000-000082A10000}"/>
    <cellStyle name="Percent 7 5 2 6" xfId="11361" xr:uid="{00000000-0005-0000-0000-000083A10000}"/>
    <cellStyle name="Percent 7 5 2 6 2" xfId="14953" xr:uid="{00000000-0005-0000-0000-000084A10000}"/>
    <cellStyle name="Percent 7 5 2 6 2 2" xfId="41775" xr:uid="{00000000-0005-0000-0000-000085A10000}"/>
    <cellStyle name="Percent 7 5 2 6 3" xfId="17536" xr:uid="{00000000-0005-0000-0000-000086A10000}"/>
    <cellStyle name="Percent 7 5 2 7" xfId="12409" xr:uid="{00000000-0005-0000-0000-000087A10000}"/>
    <cellStyle name="Percent 7 5 2 7 2" xfId="41767" xr:uid="{00000000-0005-0000-0000-000088A10000}"/>
    <cellStyle name="Percent 7 5 2 8" xfId="17517" xr:uid="{00000000-0005-0000-0000-000089A10000}"/>
    <cellStyle name="Percent 7 5 3" xfId="8816" xr:uid="{00000000-0005-0000-0000-00008AA10000}"/>
    <cellStyle name="Percent 7 5 3 2" xfId="8944" xr:uid="{00000000-0005-0000-0000-00008BA10000}"/>
    <cellStyle name="Percent 7 5 3 2 2" xfId="9200" xr:uid="{00000000-0005-0000-0000-00008CA10000}"/>
    <cellStyle name="Percent 7 5 3 2 2 2" xfId="9768" xr:uid="{00000000-0005-0000-0000-00008DA10000}"/>
    <cellStyle name="Percent 7 5 3 2 2 2 2" xfId="10822" xr:uid="{00000000-0005-0000-0000-00008EA10000}"/>
    <cellStyle name="Percent 7 5 3 2 2 2 2 2" xfId="14416" xr:uid="{00000000-0005-0000-0000-00008FA10000}"/>
    <cellStyle name="Percent 7 5 3 2 2 2 2 3" xfId="17541" xr:uid="{00000000-0005-0000-0000-000090A10000}"/>
    <cellStyle name="Percent 7 5 3 2 2 2 3" xfId="13363" xr:uid="{00000000-0005-0000-0000-000091A10000}"/>
    <cellStyle name="Percent 7 5 3 2 2 2 4" xfId="17540" xr:uid="{00000000-0005-0000-0000-000092A10000}"/>
    <cellStyle name="Percent 7 5 3 2 2 3" xfId="10284" xr:uid="{00000000-0005-0000-0000-000093A10000}"/>
    <cellStyle name="Percent 7 5 3 2 2 3 2" xfId="13878" xr:uid="{00000000-0005-0000-0000-000094A10000}"/>
    <cellStyle name="Percent 7 5 3 2 2 3 3" xfId="17542" xr:uid="{00000000-0005-0000-0000-000095A10000}"/>
    <cellStyle name="Percent 7 5 3 2 2 4" xfId="11367" xr:uid="{00000000-0005-0000-0000-000096A10000}"/>
    <cellStyle name="Percent 7 5 3 2 2 4 2" xfId="14959" xr:uid="{00000000-0005-0000-0000-000097A10000}"/>
    <cellStyle name="Percent 7 5 3 2 2 4 3" xfId="17543" xr:uid="{00000000-0005-0000-0000-000098A10000}"/>
    <cellStyle name="Percent 7 5 3 2 2 5" xfId="12825" xr:uid="{00000000-0005-0000-0000-000099A10000}"/>
    <cellStyle name="Percent 7 5 3 2 2 5 2" xfId="41778" xr:uid="{00000000-0005-0000-0000-00009AA10000}"/>
    <cellStyle name="Percent 7 5 3 2 2 6" xfId="17539" xr:uid="{00000000-0005-0000-0000-00009BA10000}"/>
    <cellStyle name="Percent 7 5 3 2 3" xfId="9512" xr:uid="{00000000-0005-0000-0000-00009CA10000}"/>
    <cellStyle name="Percent 7 5 3 2 3 2" xfId="10566" xr:uid="{00000000-0005-0000-0000-00009DA10000}"/>
    <cellStyle name="Percent 7 5 3 2 3 2 2" xfId="14160" xr:uid="{00000000-0005-0000-0000-00009EA10000}"/>
    <cellStyle name="Percent 7 5 3 2 3 2 3" xfId="17545" xr:uid="{00000000-0005-0000-0000-00009FA10000}"/>
    <cellStyle name="Percent 7 5 3 2 3 3" xfId="13107" xr:uid="{00000000-0005-0000-0000-0000A0A10000}"/>
    <cellStyle name="Percent 7 5 3 2 3 4" xfId="17544" xr:uid="{00000000-0005-0000-0000-0000A1A10000}"/>
    <cellStyle name="Percent 7 5 3 2 4" xfId="10028" xr:uid="{00000000-0005-0000-0000-0000A2A10000}"/>
    <cellStyle name="Percent 7 5 3 2 4 2" xfId="13622" xr:uid="{00000000-0005-0000-0000-0000A3A10000}"/>
    <cellStyle name="Percent 7 5 3 2 4 3" xfId="17546" xr:uid="{00000000-0005-0000-0000-0000A4A10000}"/>
    <cellStyle name="Percent 7 5 3 2 5" xfId="11366" xr:uid="{00000000-0005-0000-0000-0000A5A10000}"/>
    <cellStyle name="Percent 7 5 3 2 5 2" xfId="14958" xr:uid="{00000000-0005-0000-0000-0000A6A10000}"/>
    <cellStyle name="Percent 7 5 3 2 5 3" xfId="17547" xr:uid="{00000000-0005-0000-0000-0000A7A10000}"/>
    <cellStyle name="Percent 7 5 3 2 6" xfId="12569" xr:uid="{00000000-0005-0000-0000-0000A8A10000}"/>
    <cellStyle name="Percent 7 5 3 2 6 2" xfId="41777" xr:uid="{00000000-0005-0000-0000-0000A9A10000}"/>
    <cellStyle name="Percent 7 5 3 2 7" xfId="17538" xr:uid="{00000000-0005-0000-0000-0000AAA10000}"/>
    <cellStyle name="Percent 7 5 3 3" xfId="9072" xr:uid="{00000000-0005-0000-0000-0000ABA10000}"/>
    <cellStyle name="Percent 7 5 3 3 2" xfId="9640" xr:uid="{00000000-0005-0000-0000-0000ACA10000}"/>
    <cellStyle name="Percent 7 5 3 3 2 2" xfId="10694" xr:uid="{00000000-0005-0000-0000-0000ADA10000}"/>
    <cellStyle name="Percent 7 5 3 3 2 2 2" xfId="14288" xr:uid="{00000000-0005-0000-0000-0000AEA10000}"/>
    <cellStyle name="Percent 7 5 3 3 2 2 3" xfId="17550" xr:uid="{00000000-0005-0000-0000-0000AFA10000}"/>
    <cellStyle name="Percent 7 5 3 3 2 3" xfId="13235" xr:uid="{00000000-0005-0000-0000-0000B0A10000}"/>
    <cellStyle name="Percent 7 5 3 3 2 3 2" xfId="41780" xr:uid="{00000000-0005-0000-0000-0000B1A10000}"/>
    <cellStyle name="Percent 7 5 3 3 2 4" xfId="17549" xr:uid="{00000000-0005-0000-0000-0000B2A10000}"/>
    <cellStyle name="Percent 7 5 3 3 3" xfId="10156" xr:uid="{00000000-0005-0000-0000-0000B3A10000}"/>
    <cellStyle name="Percent 7 5 3 3 3 2" xfId="13750" xr:uid="{00000000-0005-0000-0000-0000B4A10000}"/>
    <cellStyle name="Percent 7 5 3 3 3 3" xfId="17551" xr:uid="{00000000-0005-0000-0000-0000B5A10000}"/>
    <cellStyle name="Percent 7 5 3 3 4" xfId="11368" xr:uid="{00000000-0005-0000-0000-0000B6A10000}"/>
    <cellStyle name="Percent 7 5 3 3 4 2" xfId="14960" xr:uid="{00000000-0005-0000-0000-0000B7A10000}"/>
    <cellStyle name="Percent 7 5 3 3 4 3" xfId="17552" xr:uid="{00000000-0005-0000-0000-0000B8A10000}"/>
    <cellStyle name="Percent 7 5 3 3 5" xfId="12697" xr:uid="{00000000-0005-0000-0000-0000B9A10000}"/>
    <cellStyle name="Percent 7 5 3 3 5 2" xfId="41779" xr:uid="{00000000-0005-0000-0000-0000BAA10000}"/>
    <cellStyle name="Percent 7 5 3 3 6" xfId="17548" xr:uid="{00000000-0005-0000-0000-0000BBA10000}"/>
    <cellStyle name="Percent 7 5 3 4" xfId="9384" xr:uid="{00000000-0005-0000-0000-0000BCA10000}"/>
    <cellStyle name="Percent 7 5 3 4 2" xfId="10438" xr:uid="{00000000-0005-0000-0000-0000BDA10000}"/>
    <cellStyle name="Percent 7 5 3 4 2 2" xfId="14032" xr:uid="{00000000-0005-0000-0000-0000BEA10000}"/>
    <cellStyle name="Percent 7 5 3 4 2 2 2" xfId="41782" xr:uid="{00000000-0005-0000-0000-0000BFA10000}"/>
    <cellStyle name="Percent 7 5 3 4 2 3" xfId="17554" xr:uid="{00000000-0005-0000-0000-0000C0A10000}"/>
    <cellStyle name="Percent 7 5 3 4 3" xfId="12979" xr:uid="{00000000-0005-0000-0000-0000C1A10000}"/>
    <cellStyle name="Percent 7 5 3 4 3 2" xfId="41781" xr:uid="{00000000-0005-0000-0000-0000C2A10000}"/>
    <cellStyle name="Percent 7 5 3 4 4" xfId="17553" xr:uid="{00000000-0005-0000-0000-0000C3A10000}"/>
    <cellStyle name="Percent 7 5 3 5" xfId="9900" xr:uid="{00000000-0005-0000-0000-0000C4A10000}"/>
    <cellStyle name="Percent 7 5 3 5 2" xfId="13494" xr:uid="{00000000-0005-0000-0000-0000C5A10000}"/>
    <cellStyle name="Percent 7 5 3 5 2 2" xfId="41783" xr:uid="{00000000-0005-0000-0000-0000C6A10000}"/>
    <cellStyle name="Percent 7 5 3 5 3" xfId="17555" xr:uid="{00000000-0005-0000-0000-0000C7A10000}"/>
    <cellStyle name="Percent 7 5 3 6" xfId="11365" xr:uid="{00000000-0005-0000-0000-0000C8A10000}"/>
    <cellStyle name="Percent 7 5 3 6 2" xfId="14957" xr:uid="{00000000-0005-0000-0000-0000C9A10000}"/>
    <cellStyle name="Percent 7 5 3 6 2 2" xfId="41784" xr:uid="{00000000-0005-0000-0000-0000CAA10000}"/>
    <cellStyle name="Percent 7 5 3 6 3" xfId="17556" xr:uid="{00000000-0005-0000-0000-0000CBA10000}"/>
    <cellStyle name="Percent 7 5 3 7" xfId="12441" xr:uid="{00000000-0005-0000-0000-0000CCA10000}"/>
    <cellStyle name="Percent 7 5 3 7 2" xfId="41776" xr:uid="{00000000-0005-0000-0000-0000CDA10000}"/>
    <cellStyle name="Percent 7 5 3 8" xfId="17537" xr:uid="{00000000-0005-0000-0000-0000CEA10000}"/>
    <cellStyle name="Percent 7 5 4" xfId="8848" xr:uid="{00000000-0005-0000-0000-0000CFA10000}"/>
    <cellStyle name="Percent 7 5 4 2" xfId="8976" xr:uid="{00000000-0005-0000-0000-0000D0A10000}"/>
    <cellStyle name="Percent 7 5 4 2 2" xfId="9232" xr:uid="{00000000-0005-0000-0000-0000D1A10000}"/>
    <cellStyle name="Percent 7 5 4 2 2 2" xfId="9800" xr:uid="{00000000-0005-0000-0000-0000D2A10000}"/>
    <cellStyle name="Percent 7 5 4 2 2 2 2" xfId="10854" xr:uid="{00000000-0005-0000-0000-0000D3A10000}"/>
    <cellStyle name="Percent 7 5 4 2 2 2 2 2" xfId="14448" xr:uid="{00000000-0005-0000-0000-0000D4A10000}"/>
    <cellStyle name="Percent 7 5 4 2 2 2 2 3" xfId="17561" xr:uid="{00000000-0005-0000-0000-0000D5A10000}"/>
    <cellStyle name="Percent 7 5 4 2 2 2 3" xfId="13395" xr:uid="{00000000-0005-0000-0000-0000D6A10000}"/>
    <cellStyle name="Percent 7 5 4 2 2 2 4" xfId="17560" xr:uid="{00000000-0005-0000-0000-0000D7A10000}"/>
    <cellStyle name="Percent 7 5 4 2 2 3" xfId="10316" xr:uid="{00000000-0005-0000-0000-0000D8A10000}"/>
    <cellStyle name="Percent 7 5 4 2 2 3 2" xfId="13910" xr:uid="{00000000-0005-0000-0000-0000D9A10000}"/>
    <cellStyle name="Percent 7 5 4 2 2 3 3" xfId="17562" xr:uid="{00000000-0005-0000-0000-0000DAA10000}"/>
    <cellStyle name="Percent 7 5 4 2 2 4" xfId="11371" xr:uid="{00000000-0005-0000-0000-0000DBA10000}"/>
    <cellStyle name="Percent 7 5 4 2 2 4 2" xfId="14963" xr:uid="{00000000-0005-0000-0000-0000DCA10000}"/>
    <cellStyle name="Percent 7 5 4 2 2 4 3" xfId="17563" xr:uid="{00000000-0005-0000-0000-0000DDA10000}"/>
    <cellStyle name="Percent 7 5 4 2 2 5" xfId="12857" xr:uid="{00000000-0005-0000-0000-0000DEA10000}"/>
    <cellStyle name="Percent 7 5 4 2 2 5 2" xfId="41787" xr:uid="{00000000-0005-0000-0000-0000DFA10000}"/>
    <cellStyle name="Percent 7 5 4 2 2 6" xfId="17559" xr:uid="{00000000-0005-0000-0000-0000E0A10000}"/>
    <cellStyle name="Percent 7 5 4 2 3" xfId="9544" xr:uid="{00000000-0005-0000-0000-0000E1A10000}"/>
    <cellStyle name="Percent 7 5 4 2 3 2" xfId="10598" xr:uid="{00000000-0005-0000-0000-0000E2A10000}"/>
    <cellStyle name="Percent 7 5 4 2 3 2 2" xfId="14192" xr:uid="{00000000-0005-0000-0000-0000E3A10000}"/>
    <cellStyle name="Percent 7 5 4 2 3 2 3" xfId="17565" xr:uid="{00000000-0005-0000-0000-0000E4A10000}"/>
    <cellStyle name="Percent 7 5 4 2 3 3" xfId="13139" xr:uid="{00000000-0005-0000-0000-0000E5A10000}"/>
    <cellStyle name="Percent 7 5 4 2 3 4" xfId="17564" xr:uid="{00000000-0005-0000-0000-0000E6A10000}"/>
    <cellStyle name="Percent 7 5 4 2 4" xfId="10060" xr:uid="{00000000-0005-0000-0000-0000E7A10000}"/>
    <cellStyle name="Percent 7 5 4 2 4 2" xfId="13654" xr:uid="{00000000-0005-0000-0000-0000E8A10000}"/>
    <cellStyle name="Percent 7 5 4 2 4 3" xfId="17566" xr:uid="{00000000-0005-0000-0000-0000E9A10000}"/>
    <cellStyle name="Percent 7 5 4 2 5" xfId="11370" xr:uid="{00000000-0005-0000-0000-0000EAA10000}"/>
    <cellStyle name="Percent 7 5 4 2 5 2" xfId="14962" xr:uid="{00000000-0005-0000-0000-0000EBA10000}"/>
    <cellStyle name="Percent 7 5 4 2 5 3" xfId="17567" xr:uid="{00000000-0005-0000-0000-0000ECA10000}"/>
    <cellStyle name="Percent 7 5 4 2 6" xfId="12601" xr:uid="{00000000-0005-0000-0000-0000EDA10000}"/>
    <cellStyle name="Percent 7 5 4 2 6 2" xfId="41786" xr:uid="{00000000-0005-0000-0000-0000EEA10000}"/>
    <cellStyle name="Percent 7 5 4 2 7" xfId="17558" xr:uid="{00000000-0005-0000-0000-0000EFA10000}"/>
    <cellStyle name="Percent 7 5 4 3" xfId="9104" xr:uid="{00000000-0005-0000-0000-0000F0A10000}"/>
    <cellStyle name="Percent 7 5 4 3 2" xfId="9672" xr:uid="{00000000-0005-0000-0000-0000F1A10000}"/>
    <cellStyle name="Percent 7 5 4 3 2 2" xfId="10726" xr:uid="{00000000-0005-0000-0000-0000F2A10000}"/>
    <cellStyle name="Percent 7 5 4 3 2 2 2" xfId="14320" xr:uid="{00000000-0005-0000-0000-0000F3A10000}"/>
    <cellStyle name="Percent 7 5 4 3 2 2 3" xfId="17570" xr:uid="{00000000-0005-0000-0000-0000F4A10000}"/>
    <cellStyle name="Percent 7 5 4 3 2 3" xfId="13267" xr:uid="{00000000-0005-0000-0000-0000F5A10000}"/>
    <cellStyle name="Percent 7 5 4 3 2 3 2" xfId="41789" xr:uid="{00000000-0005-0000-0000-0000F6A10000}"/>
    <cellStyle name="Percent 7 5 4 3 2 4" xfId="17569" xr:uid="{00000000-0005-0000-0000-0000F7A10000}"/>
    <cellStyle name="Percent 7 5 4 3 3" xfId="10188" xr:uid="{00000000-0005-0000-0000-0000F8A10000}"/>
    <cellStyle name="Percent 7 5 4 3 3 2" xfId="13782" xr:uid="{00000000-0005-0000-0000-0000F9A10000}"/>
    <cellStyle name="Percent 7 5 4 3 3 3" xfId="17571" xr:uid="{00000000-0005-0000-0000-0000FAA10000}"/>
    <cellStyle name="Percent 7 5 4 3 4" xfId="11372" xr:uid="{00000000-0005-0000-0000-0000FBA10000}"/>
    <cellStyle name="Percent 7 5 4 3 4 2" xfId="14964" xr:uid="{00000000-0005-0000-0000-0000FCA10000}"/>
    <cellStyle name="Percent 7 5 4 3 4 3" xfId="17572" xr:uid="{00000000-0005-0000-0000-0000FDA10000}"/>
    <cellStyle name="Percent 7 5 4 3 5" xfId="12729" xr:uid="{00000000-0005-0000-0000-0000FEA10000}"/>
    <cellStyle name="Percent 7 5 4 3 5 2" xfId="41788" xr:uid="{00000000-0005-0000-0000-0000FFA10000}"/>
    <cellStyle name="Percent 7 5 4 3 6" xfId="17568" xr:uid="{00000000-0005-0000-0000-000000A20000}"/>
    <cellStyle name="Percent 7 5 4 4" xfId="9416" xr:uid="{00000000-0005-0000-0000-000001A20000}"/>
    <cellStyle name="Percent 7 5 4 4 2" xfId="10470" xr:uid="{00000000-0005-0000-0000-000002A20000}"/>
    <cellStyle name="Percent 7 5 4 4 2 2" xfId="14064" xr:uid="{00000000-0005-0000-0000-000003A20000}"/>
    <cellStyle name="Percent 7 5 4 4 2 2 2" xfId="41791" xr:uid="{00000000-0005-0000-0000-000004A20000}"/>
    <cellStyle name="Percent 7 5 4 4 2 3" xfId="17574" xr:uid="{00000000-0005-0000-0000-000005A20000}"/>
    <cellStyle name="Percent 7 5 4 4 3" xfId="13011" xr:uid="{00000000-0005-0000-0000-000006A20000}"/>
    <cellStyle name="Percent 7 5 4 4 3 2" xfId="41790" xr:uid="{00000000-0005-0000-0000-000007A20000}"/>
    <cellStyle name="Percent 7 5 4 4 4" xfId="17573" xr:uid="{00000000-0005-0000-0000-000008A20000}"/>
    <cellStyle name="Percent 7 5 4 5" xfId="9932" xr:uid="{00000000-0005-0000-0000-000009A20000}"/>
    <cellStyle name="Percent 7 5 4 5 2" xfId="13526" xr:uid="{00000000-0005-0000-0000-00000AA20000}"/>
    <cellStyle name="Percent 7 5 4 5 2 2" xfId="41792" xr:uid="{00000000-0005-0000-0000-00000BA20000}"/>
    <cellStyle name="Percent 7 5 4 5 3" xfId="17575" xr:uid="{00000000-0005-0000-0000-00000CA20000}"/>
    <cellStyle name="Percent 7 5 4 6" xfId="11369" xr:uid="{00000000-0005-0000-0000-00000DA20000}"/>
    <cellStyle name="Percent 7 5 4 6 2" xfId="14961" xr:uid="{00000000-0005-0000-0000-00000EA20000}"/>
    <cellStyle name="Percent 7 5 4 6 2 2" xfId="41793" xr:uid="{00000000-0005-0000-0000-00000FA20000}"/>
    <cellStyle name="Percent 7 5 4 6 3" xfId="17576" xr:uid="{00000000-0005-0000-0000-000010A20000}"/>
    <cellStyle name="Percent 7 5 4 7" xfId="12473" xr:uid="{00000000-0005-0000-0000-000011A20000}"/>
    <cellStyle name="Percent 7 5 4 7 2" xfId="41785" xr:uid="{00000000-0005-0000-0000-000012A20000}"/>
    <cellStyle name="Percent 7 5 4 8" xfId="17557" xr:uid="{00000000-0005-0000-0000-000013A20000}"/>
    <cellStyle name="Percent 7 5 5" xfId="8894" xr:uid="{00000000-0005-0000-0000-000014A20000}"/>
    <cellStyle name="Percent 7 5 5 2" xfId="9150" xr:uid="{00000000-0005-0000-0000-000015A20000}"/>
    <cellStyle name="Percent 7 5 5 2 2" xfId="9718" xr:uid="{00000000-0005-0000-0000-000016A20000}"/>
    <cellStyle name="Percent 7 5 5 2 2 2" xfId="10772" xr:uid="{00000000-0005-0000-0000-000017A20000}"/>
    <cellStyle name="Percent 7 5 5 2 2 2 2" xfId="14366" xr:uid="{00000000-0005-0000-0000-000018A20000}"/>
    <cellStyle name="Percent 7 5 5 2 2 2 3" xfId="17580" xr:uid="{00000000-0005-0000-0000-000019A20000}"/>
    <cellStyle name="Percent 7 5 5 2 2 3" xfId="13313" xr:uid="{00000000-0005-0000-0000-00001AA20000}"/>
    <cellStyle name="Percent 7 5 5 2 2 3 2" xfId="41796" xr:uid="{00000000-0005-0000-0000-00001BA20000}"/>
    <cellStyle name="Percent 7 5 5 2 2 4" xfId="17579" xr:uid="{00000000-0005-0000-0000-00001CA20000}"/>
    <cellStyle name="Percent 7 5 5 2 3" xfId="10234" xr:uid="{00000000-0005-0000-0000-00001DA20000}"/>
    <cellStyle name="Percent 7 5 5 2 3 2" xfId="13828" xr:uid="{00000000-0005-0000-0000-00001EA20000}"/>
    <cellStyle name="Percent 7 5 5 2 3 3" xfId="17581" xr:uid="{00000000-0005-0000-0000-00001FA20000}"/>
    <cellStyle name="Percent 7 5 5 2 4" xfId="11374" xr:uid="{00000000-0005-0000-0000-000020A20000}"/>
    <cellStyle name="Percent 7 5 5 2 4 2" xfId="14966" xr:uid="{00000000-0005-0000-0000-000021A20000}"/>
    <cellStyle name="Percent 7 5 5 2 4 3" xfId="17582" xr:uid="{00000000-0005-0000-0000-000022A20000}"/>
    <cellStyle name="Percent 7 5 5 2 5" xfId="12775" xr:uid="{00000000-0005-0000-0000-000023A20000}"/>
    <cellStyle name="Percent 7 5 5 2 5 2" xfId="41795" xr:uid="{00000000-0005-0000-0000-000024A20000}"/>
    <cellStyle name="Percent 7 5 5 2 6" xfId="17578" xr:uid="{00000000-0005-0000-0000-000025A20000}"/>
    <cellStyle name="Percent 7 5 5 3" xfId="9462" xr:uid="{00000000-0005-0000-0000-000026A20000}"/>
    <cellStyle name="Percent 7 5 5 3 2" xfId="10516" xr:uid="{00000000-0005-0000-0000-000027A20000}"/>
    <cellStyle name="Percent 7 5 5 3 2 2" xfId="14110" xr:uid="{00000000-0005-0000-0000-000028A20000}"/>
    <cellStyle name="Percent 7 5 5 3 2 2 2" xfId="41798" xr:uid="{00000000-0005-0000-0000-000029A20000}"/>
    <cellStyle name="Percent 7 5 5 3 2 3" xfId="17584" xr:uid="{00000000-0005-0000-0000-00002AA20000}"/>
    <cellStyle name="Percent 7 5 5 3 3" xfId="13057" xr:uid="{00000000-0005-0000-0000-00002BA20000}"/>
    <cellStyle name="Percent 7 5 5 3 3 2" xfId="41797" xr:uid="{00000000-0005-0000-0000-00002CA20000}"/>
    <cellStyle name="Percent 7 5 5 3 4" xfId="17583" xr:uid="{00000000-0005-0000-0000-00002DA20000}"/>
    <cellStyle name="Percent 7 5 5 4" xfId="9978" xr:uid="{00000000-0005-0000-0000-00002EA20000}"/>
    <cellStyle name="Percent 7 5 5 4 2" xfId="13572" xr:uid="{00000000-0005-0000-0000-00002FA20000}"/>
    <cellStyle name="Percent 7 5 5 4 2 2" xfId="41800" xr:uid="{00000000-0005-0000-0000-000030A20000}"/>
    <cellStyle name="Percent 7 5 5 4 3" xfId="41799" xr:uid="{00000000-0005-0000-0000-000031A20000}"/>
    <cellStyle name="Percent 7 5 5 4 4" xfId="17585" xr:uid="{00000000-0005-0000-0000-000032A20000}"/>
    <cellStyle name="Percent 7 5 5 5" xfId="11373" xr:uid="{00000000-0005-0000-0000-000033A20000}"/>
    <cellStyle name="Percent 7 5 5 5 2" xfId="14965" xr:uid="{00000000-0005-0000-0000-000034A20000}"/>
    <cellStyle name="Percent 7 5 5 5 2 2" xfId="41801" xr:uid="{00000000-0005-0000-0000-000035A20000}"/>
    <cellStyle name="Percent 7 5 5 5 3" xfId="17586" xr:uid="{00000000-0005-0000-0000-000036A20000}"/>
    <cellStyle name="Percent 7 5 5 6" xfId="12519" xr:uid="{00000000-0005-0000-0000-000037A20000}"/>
    <cellStyle name="Percent 7 5 5 6 2" xfId="41802" xr:uid="{00000000-0005-0000-0000-000038A20000}"/>
    <cellStyle name="Percent 7 5 5 7" xfId="41794" xr:uid="{00000000-0005-0000-0000-000039A20000}"/>
    <cellStyle name="Percent 7 5 5 8" xfId="17577" xr:uid="{00000000-0005-0000-0000-00003AA20000}"/>
    <cellStyle name="Percent 7 5 6" xfId="9022" xr:uid="{00000000-0005-0000-0000-00003BA20000}"/>
    <cellStyle name="Percent 7 5 6 2" xfId="9590" xr:uid="{00000000-0005-0000-0000-00003CA20000}"/>
    <cellStyle name="Percent 7 5 6 2 2" xfId="10644" xr:uid="{00000000-0005-0000-0000-00003DA20000}"/>
    <cellStyle name="Percent 7 5 6 2 2 2" xfId="14238" xr:uid="{00000000-0005-0000-0000-00003EA20000}"/>
    <cellStyle name="Percent 7 5 6 2 2 2 2" xfId="41805" xr:uid="{00000000-0005-0000-0000-00003FA20000}"/>
    <cellStyle name="Percent 7 5 6 2 2 3" xfId="17589" xr:uid="{00000000-0005-0000-0000-000040A20000}"/>
    <cellStyle name="Percent 7 5 6 2 3" xfId="13185" xr:uid="{00000000-0005-0000-0000-000041A20000}"/>
    <cellStyle name="Percent 7 5 6 2 3 2" xfId="41804" xr:uid="{00000000-0005-0000-0000-000042A20000}"/>
    <cellStyle name="Percent 7 5 6 2 4" xfId="17588" xr:uid="{00000000-0005-0000-0000-000043A20000}"/>
    <cellStyle name="Percent 7 5 6 3" xfId="10106" xr:uid="{00000000-0005-0000-0000-000044A20000}"/>
    <cellStyle name="Percent 7 5 6 3 2" xfId="13700" xr:uid="{00000000-0005-0000-0000-000045A20000}"/>
    <cellStyle name="Percent 7 5 6 3 2 2" xfId="41807" xr:uid="{00000000-0005-0000-0000-000046A20000}"/>
    <cellStyle name="Percent 7 5 6 3 3" xfId="41806" xr:uid="{00000000-0005-0000-0000-000047A20000}"/>
    <cellStyle name="Percent 7 5 6 3 4" xfId="17590" xr:uid="{00000000-0005-0000-0000-000048A20000}"/>
    <cellStyle name="Percent 7 5 6 4" xfId="11375" xr:uid="{00000000-0005-0000-0000-000049A20000}"/>
    <cellStyle name="Percent 7 5 6 4 2" xfId="14967" xr:uid="{00000000-0005-0000-0000-00004AA20000}"/>
    <cellStyle name="Percent 7 5 6 4 2 2" xfId="41808" xr:uid="{00000000-0005-0000-0000-00004BA20000}"/>
    <cellStyle name="Percent 7 5 6 4 3" xfId="17591" xr:uid="{00000000-0005-0000-0000-00004CA20000}"/>
    <cellStyle name="Percent 7 5 6 5" xfId="12647" xr:uid="{00000000-0005-0000-0000-00004DA20000}"/>
    <cellStyle name="Percent 7 5 6 5 2" xfId="41809" xr:uid="{00000000-0005-0000-0000-00004EA20000}"/>
    <cellStyle name="Percent 7 5 6 6" xfId="41803" xr:uid="{00000000-0005-0000-0000-00004FA20000}"/>
    <cellStyle name="Percent 7 5 6 7" xfId="17587" xr:uid="{00000000-0005-0000-0000-000050A20000}"/>
    <cellStyle name="Percent 7 5 7" xfId="9334" xr:uid="{00000000-0005-0000-0000-000051A20000}"/>
    <cellStyle name="Percent 7 5 7 2" xfId="10388" xr:uid="{00000000-0005-0000-0000-000052A20000}"/>
    <cellStyle name="Percent 7 5 7 2 2" xfId="13982" xr:uid="{00000000-0005-0000-0000-000053A20000}"/>
    <cellStyle name="Percent 7 5 7 2 2 2" xfId="41811" xr:uid="{00000000-0005-0000-0000-000054A20000}"/>
    <cellStyle name="Percent 7 5 7 2 3" xfId="17593" xr:uid="{00000000-0005-0000-0000-000055A20000}"/>
    <cellStyle name="Percent 7 5 7 3" xfId="12929" xr:uid="{00000000-0005-0000-0000-000056A20000}"/>
    <cellStyle name="Percent 7 5 7 3 2" xfId="41810" xr:uid="{00000000-0005-0000-0000-000057A20000}"/>
    <cellStyle name="Percent 7 5 7 4" xfId="17592" xr:uid="{00000000-0005-0000-0000-000058A20000}"/>
    <cellStyle name="Percent 7 5 8" xfId="9850" xr:uid="{00000000-0005-0000-0000-000059A20000}"/>
    <cellStyle name="Percent 7 5 8 2" xfId="13444" xr:uid="{00000000-0005-0000-0000-00005AA20000}"/>
    <cellStyle name="Percent 7 5 8 2 2" xfId="41813" xr:uid="{00000000-0005-0000-0000-00005BA20000}"/>
    <cellStyle name="Percent 7 5 8 3" xfId="41812" xr:uid="{00000000-0005-0000-0000-00005CA20000}"/>
    <cellStyle name="Percent 7 5 8 4" xfId="17594" xr:uid="{00000000-0005-0000-0000-00005DA20000}"/>
    <cellStyle name="Percent 7 5 9" xfId="11360" xr:uid="{00000000-0005-0000-0000-00005EA20000}"/>
    <cellStyle name="Percent 7 5 9 2" xfId="14952" xr:uid="{00000000-0005-0000-0000-00005FA20000}"/>
    <cellStyle name="Percent 7 5 9 2 2" xfId="41815" xr:uid="{00000000-0005-0000-0000-000060A20000}"/>
    <cellStyle name="Percent 7 5 9 3" xfId="41814" xr:uid="{00000000-0005-0000-0000-000061A20000}"/>
    <cellStyle name="Percent 7 5 9 4" xfId="17595" xr:uid="{00000000-0005-0000-0000-000062A20000}"/>
    <cellStyle name="Percent 7 6" xfId="8768" xr:uid="{00000000-0005-0000-0000-000063A20000}"/>
    <cellStyle name="Percent 7 6 10" xfId="41817" xr:uid="{00000000-0005-0000-0000-000064A20000}"/>
    <cellStyle name="Percent 7 6 11" xfId="41816" xr:uid="{00000000-0005-0000-0000-000065A20000}"/>
    <cellStyle name="Percent 7 6 12" xfId="17596" xr:uid="{00000000-0005-0000-0000-000066A20000}"/>
    <cellStyle name="Percent 7 6 2" xfId="8896" xr:uid="{00000000-0005-0000-0000-000067A20000}"/>
    <cellStyle name="Percent 7 6 2 2" xfId="9152" xr:uid="{00000000-0005-0000-0000-000068A20000}"/>
    <cellStyle name="Percent 7 6 2 2 2" xfId="9720" xr:uid="{00000000-0005-0000-0000-000069A20000}"/>
    <cellStyle name="Percent 7 6 2 2 2 2" xfId="10774" xr:uid="{00000000-0005-0000-0000-00006AA20000}"/>
    <cellStyle name="Percent 7 6 2 2 2 2 2" xfId="14368" xr:uid="{00000000-0005-0000-0000-00006BA20000}"/>
    <cellStyle name="Percent 7 6 2 2 2 2 3" xfId="17600" xr:uid="{00000000-0005-0000-0000-00006CA20000}"/>
    <cellStyle name="Percent 7 6 2 2 2 3" xfId="13315" xr:uid="{00000000-0005-0000-0000-00006DA20000}"/>
    <cellStyle name="Percent 7 6 2 2 2 3 2" xfId="41820" xr:uid="{00000000-0005-0000-0000-00006EA20000}"/>
    <cellStyle name="Percent 7 6 2 2 2 4" xfId="17599" xr:uid="{00000000-0005-0000-0000-00006FA20000}"/>
    <cellStyle name="Percent 7 6 2 2 3" xfId="10236" xr:uid="{00000000-0005-0000-0000-000070A20000}"/>
    <cellStyle name="Percent 7 6 2 2 3 2" xfId="13830" xr:uid="{00000000-0005-0000-0000-000071A20000}"/>
    <cellStyle name="Percent 7 6 2 2 3 3" xfId="17601" xr:uid="{00000000-0005-0000-0000-000072A20000}"/>
    <cellStyle name="Percent 7 6 2 2 4" xfId="11378" xr:uid="{00000000-0005-0000-0000-000073A20000}"/>
    <cellStyle name="Percent 7 6 2 2 4 2" xfId="14970" xr:uid="{00000000-0005-0000-0000-000074A20000}"/>
    <cellStyle name="Percent 7 6 2 2 4 3" xfId="17602" xr:uid="{00000000-0005-0000-0000-000075A20000}"/>
    <cellStyle name="Percent 7 6 2 2 5" xfId="12777" xr:uid="{00000000-0005-0000-0000-000076A20000}"/>
    <cellStyle name="Percent 7 6 2 2 5 2" xfId="41819" xr:uid="{00000000-0005-0000-0000-000077A20000}"/>
    <cellStyle name="Percent 7 6 2 2 6" xfId="17598" xr:uid="{00000000-0005-0000-0000-000078A20000}"/>
    <cellStyle name="Percent 7 6 2 3" xfId="9464" xr:uid="{00000000-0005-0000-0000-000079A20000}"/>
    <cellStyle name="Percent 7 6 2 3 2" xfId="10518" xr:uid="{00000000-0005-0000-0000-00007AA20000}"/>
    <cellStyle name="Percent 7 6 2 3 2 2" xfId="14112" xr:uid="{00000000-0005-0000-0000-00007BA20000}"/>
    <cellStyle name="Percent 7 6 2 3 2 2 2" xfId="41822" xr:uid="{00000000-0005-0000-0000-00007CA20000}"/>
    <cellStyle name="Percent 7 6 2 3 2 3" xfId="17604" xr:uid="{00000000-0005-0000-0000-00007DA20000}"/>
    <cellStyle name="Percent 7 6 2 3 3" xfId="13059" xr:uid="{00000000-0005-0000-0000-00007EA20000}"/>
    <cellStyle name="Percent 7 6 2 3 3 2" xfId="41821" xr:uid="{00000000-0005-0000-0000-00007FA20000}"/>
    <cellStyle name="Percent 7 6 2 3 4" xfId="17603" xr:uid="{00000000-0005-0000-0000-000080A20000}"/>
    <cellStyle name="Percent 7 6 2 4" xfId="9980" xr:uid="{00000000-0005-0000-0000-000081A20000}"/>
    <cellStyle name="Percent 7 6 2 4 2" xfId="13574" xr:uid="{00000000-0005-0000-0000-000082A20000}"/>
    <cellStyle name="Percent 7 6 2 4 2 2" xfId="41824" xr:uid="{00000000-0005-0000-0000-000083A20000}"/>
    <cellStyle name="Percent 7 6 2 4 3" xfId="41823" xr:uid="{00000000-0005-0000-0000-000084A20000}"/>
    <cellStyle name="Percent 7 6 2 4 4" xfId="17605" xr:uid="{00000000-0005-0000-0000-000085A20000}"/>
    <cellStyle name="Percent 7 6 2 5" xfId="11377" xr:uid="{00000000-0005-0000-0000-000086A20000}"/>
    <cellStyle name="Percent 7 6 2 5 2" xfId="14969" xr:uid="{00000000-0005-0000-0000-000087A20000}"/>
    <cellStyle name="Percent 7 6 2 5 2 2" xfId="41825" xr:uid="{00000000-0005-0000-0000-000088A20000}"/>
    <cellStyle name="Percent 7 6 2 5 3" xfId="17606" xr:uid="{00000000-0005-0000-0000-000089A20000}"/>
    <cellStyle name="Percent 7 6 2 6" xfId="12521" xr:uid="{00000000-0005-0000-0000-00008AA20000}"/>
    <cellStyle name="Percent 7 6 2 6 2" xfId="41826" xr:uid="{00000000-0005-0000-0000-00008BA20000}"/>
    <cellStyle name="Percent 7 6 2 7" xfId="41818" xr:uid="{00000000-0005-0000-0000-00008CA20000}"/>
    <cellStyle name="Percent 7 6 2 8" xfId="17597" xr:uid="{00000000-0005-0000-0000-00008DA20000}"/>
    <cellStyle name="Percent 7 6 3" xfId="9024" xr:uid="{00000000-0005-0000-0000-00008EA20000}"/>
    <cellStyle name="Percent 7 6 3 2" xfId="9592" xr:uid="{00000000-0005-0000-0000-00008FA20000}"/>
    <cellStyle name="Percent 7 6 3 2 2" xfId="10646" xr:uid="{00000000-0005-0000-0000-000090A20000}"/>
    <cellStyle name="Percent 7 6 3 2 2 2" xfId="14240" xr:uid="{00000000-0005-0000-0000-000091A20000}"/>
    <cellStyle name="Percent 7 6 3 2 2 2 2" xfId="41829" xr:uid="{00000000-0005-0000-0000-000092A20000}"/>
    <cellStyle name="Percent 7 6 3 2 2 3" xfId="17609" xr:uid="{00000000-0005-0000-0000-000093A20000}"/>
    <cellStyle name="Percent 7 6 3 2 3" xfId="13187" xr:uid="{00000000-0005-0000-0000-000094A20000}"/>
    <cellStyle name="Percent 7 6 3 2 3 2" xfId="41828" xr:uid="{00000000-0005-0000-0000-000095A20000}"/>
    <cellStyle name="Percent 7 6 3 2 4" xfId="17608" xr:uid="{00000000-0005-0000-0000-000096A20000}"/>
    <cellStyle name="Percent 7 6 3 3" xfId="10108" xr:uid="{00000000-0005-0000-0000-000097A20000}"/>
    <cellStyle name="Percent 7 6 3 3 2" xfId="13702" xr:uid="{00000000-0005-0000-0000-000098A20000}"/>
    <cellStyle name="Percent 7 6 3 3 2 2" xfId="41831" xr:uid="{00000000-0005-0000-0000-000099A20000}"/>
    <cellStyle name="Percent 7 6 3 3 3" xfId="41830" xr:uid="{00000000-0005-0000-0000-00009AA20000}"/>
    <cellStyle name="Percent 7 6 3 3 4" xfId="17610" xr:uid="{00000000-0005-0000-0000-00009BA20000}"/>
    <cellStyle name="Percent 7 6 3 4" xfId="11379" xr:uid="{00000000-0005-0000-0000-00009CA20000}"/>
    <cellStyle name="Percent 7 6 3 4 2" xfId="14971" xr:uid="{00000000-0005-0000-0000-00009DA20000}"/>
    <cellStyle name="Percent 7 6 3 4 2 2" xfId="41833" xr:uid="{00000000-0005-0000-0000-00009EA20000}"/>
    <cellStyle name="Percent 7 6 3 4 3" xfId="41832" xr:uid="{00000000-0005-0000-0000-00009FA20000}"/>
    <cellStyle name="Percent 7 6 3 4 4" xfId="17611" xr:uid="{00000000-0005-0000-0000-0000A0A20000}"/>
    <cellStyle name="Percent 7 6 3 5" xfId="12649" xr:uid="{00000000-0005-0000-0000-0000A1A20000}"/>
    <cellStyle name="Percent 7 6 3 5 2" xfId="41834" xr:uid="{00000000-0005-0000-0000-0000A2A20000}"/>
    <cellStyle name="Percent 7 6 3 6" xfId="41835" xr:uid="{00000000-0005-0000-0000-0000A3A20000}"/>
    <cellStyle name="Percent 7 6 3 7" xfId="41827" xr:uid="{00000000-0005-0000-0000-0000A4A20000}"/>
    <cellStyle name="Percent 7 6 3 8" xfId="17607" xr:uid="{00000000-0005-0000-0000-0000A5A20000}"/>
    <cellStyle name="Percent 7 6 4" xfId="9336" xr:uid="{00000000-0005-0000-0000-0000A6A20000}"/>
    <cellStyle name="Percent 7 6 4 2" xfId="10390" xr:uid="{00000000-0005-0000-0000-0000A7A20000}"/>
    <cellStyle name="Percent 7 6 4 2 2" xfId="13984" xr:uid="{00000000-0005-0000-0000-0000A8A20000}"/>
    <cellStyle name="Percent 7 6 4 2 2 2" xfId="41838" xr:uid="{00000000-0005-0000-0000-0000A9A20000}"/>
    <cellStyle name="Percent 7 6 4 2 3" xfId="41837" xr:uid="{00000000-0005-0000-0000-0000AAA20000}"/>
    <cellStyle name="Percent 7 6 4 2 4" xfId="17613" xr:uid="{00000000-0005-0000-0000-0000ABA20000}"/>
    <cellStyle name="Percent 7 6 4 3" xfId="12931" xr:uid="{00000000-0005-0000-0000-0000ACA20000}"/>
    <cellStyle name="Percent 7 6 4 3 2" xfId="41840" xr:uid="{00000000-0005-0000-0000-0000ADA20000}"/>
    <cellStyle name="Percent 7 6 4 3 3" xfId="41839" xr:uid="{00000000-0005-0000-0000-0000AEA20000}"/>
    <cellStyle name="Percent 7 6 4 4" xfId="41841" xr:uid="{00000000-0005-0000-0000-0000AFA20000}"/>
    <cellStyle name="Percent 7 6 4 4 2" xfId="41842" xr:uid="{00000000-0005-0000-0000-0000B0A20000}"/>
    <cellStyle name="Percent 7 6 4 5" xfId="41843" xr:uid="{00000000-0005-0000-0000-0000B1A20000}"/>
    <cellStyle name="Percent 7 6 4 6" xfId="41844" xr:uid="{00000000-0005-0000-0000-0000B2A20000}"/>
    <cellStyle name="Percent 7 6 4 7" xfId="41836" xr:uid="{00000000-0005-0000-0000-0000B3A20000}"/>
    <cellStyle name="Percent 7 6 4 8" xfId="17612" xr:uid="{00000000-0005-0000-0000-0000B4A20000}"/>
    <cellStyle name="Percent 7 6 5" xfId="9852" xr:uid="{00000000-0005-0000-0000-0000B5A20000}"/>
    <cellStyle name="Percent 7 6 5 2" xfId="13446" xr:uid="{00000000-0005-0000-0000-0000B6A20000}"/>
    <cellStyle name="Percent 7 6 5 2 2" xfId="41847" xr:uid="{00000000-0005-0000-0000-0000B7A20000}"/>
    <cellStyle name="Percent 7 6 5 2 3" xfId="41846" xr:uid="{00000000-0005-0000-0000-0000B8A20000}"/>
    <cellStyle name="Percent 7 6 5 3" xfId="41848" xr:uid="{00000000-0005-0000-0000-0000B9A20000}"/>
    <cellStyle name="Percent 7 6 5 3 2" xfId="41849" xr:uid="{00000000-0005-0000-0000-0000BAA20000}"/>
    <cellStyle name="Percent 7 6 5 4" xfId="41850" xr:uid="{00000000-0005-0000-0000-0000BBA20000}"/>
    <cellStyle name="Percent 7 6 5 5" xfId="41851" xr:uid="{00000000-0005-0000-0000-0000BCA20000}"/>
    <cellStyle name="Percent 7 6 5 6" xfId="41845" xr:uid="{00000000-0005-0000-0000-0000BDA20000}"/>
    <cellStyle name="Percent 7 6 5 7" xfId="17614" xr:uid="{00000000-0005-0000-0000-0000BEA20000}"/>
    <cellStyle name="Percent 7 6 6" xfId="11376" xr:uid="{00000000-0005-0000-0000-0000BFA20000}"/>
    <cellStyle name="Percent 7 6 6 2" xfId="14968" xr:uid="{00000000-0005-0000-0000-0000C0A20000}"/>
    <cellStyle name="Percent 7 6 6 2 2" xfId="41853" xr:uid="{00000000-0005-0000-0000-0000C1A20000}"/>
    <cellStyle name="Percent 7 6 6 3" xfId="41852" xr:uid="{00000000-0005-0000-0000-0000C2A20000}"/>
    <cellStyle name="Percent 7 6 6 4" xfId="17615" xr:uid="{00000000-0005-0000-0000-0000C3A20000}"/>
    <cellStyle name="Percent 7 6 7" xfId="12393" xr:uid="{00000000-0005-0000-0000-0000C4A20000}"/>
    <cellStyle name="Percent 7 6 7 2" xfId="41855" xr:uid="{00000000-0005-0000-0000-0000C5A20000}"/>
    <cellStyle name="Percent 7 6 7 3" xfId="41854" xr:uid="{00000000-0005-0000-0000-0000C6A20000}"/>
    <cellStyle name="Percent 7 6 8" xfId="41856" xr:uid="{00000000-0005-0000-0000-0000C7A20000}"/>
    <cellStyle name="Percent 7 6 8 2" xfId="41857" xr:uid="{00000000-0005-0000-0000-0000C8A20000}"/>
    <cellStyle name="Percent 7 6 9" xfId="41858" xr:uid="{00000000-0005-0000-0000-0000C9A20000}"/>
    <cellStyle name="Percent 7 7" xfId="8800" xr:uid="{00000000-0005-0000-0000-0000CAA20000}"/>
    <cellStyle name="Percent 7 7 10" xfId="41860" xr:uid="{00000000-0005-0000-0000-0000CBA20000}"/>
    <cellStyle name="Percent 7 7 11" xfId="41859" xr:uid="{00000000-0005-0000-0000-0000CCA20000}"/>
    <cellStyle name="Percent 7 7 12" xfId="17616" xr:uid="{00000000-0005-0000-0000-0000CDA20000}"/>
    <cellStyle name="Percent 7 7 2" xfId="8928" xr:uid="{00000000-0005-0000-0000-0000CEA20000}"/>
    <cellStyle name="Percent 7 7 2 2" xfId="9184" xr:uid="{00000000-0005-0000-0000-0000CFA20000}"/>
    <cellStyle name="Percent 7 7 2 2 2" xfId="9752" xr:uid="{00000000-0005-0000-0000-0000D0A20000}"/>
    <cellStyle name="Percent 7 7 2 2 2 2" xfId="10806" xr:uid="{00000000-0005-0000-0000-0000D1A20000}"/>
    <cellStyle name="Percent 7 7 2 2 2 2 2" xfId="14400" xr:uid="{00000000-0005-0000-0000-0000D2A20000}"/>
    <cellStyle name="Percent 7 7 2 2 2 2 3" xfId="17620" xr:uid="{00000000-0005-0000-0000-0000D3A20000}"/>
    <cellStyle name="Percent 7 7 2 2 2 3" xfId="13347" xr:uid="{00000000-0005-0000-0000-0000D4A20000}"/>
    <cellStyle name="Percent 7 7 2 2 2 3 2" xfId="41863" xr:uid="{00000000-0005-0000-0000-0000D5A20000}"/>
    <cellStyle name="Percent 7 7 2 2 2 4" xfId="17619" xr:uid="{00000000-0005-0000-0000-0000D6A20000}"/>
    <cellStyle name="Percent 7 7 2 2 3" xfId="10268" xr:uid="{00000000-0005-0000-0000-0000D7A20000}"/>
    <cellStyle name="Percent 7 7 2 2 3 2" xfId="13862" xr:uid="{00000000-0005-0000-0000-0000D8A20000}"/>
    <cellStyle name="Percent 7 7 2 2 3 3" xfId="17621" xr:uid="{00000000-0005-0000-0000-0000D9A20000}"/>
    <cellStyle name="Percent 7 7 2 2 4" xfId="11382" xr:uid="{00000000-0005-0000-0000-0000DAA20000}"/>
    <cellStyle name="Percent 7 7 2 2 4 2" xfId="14974" xr:uid="{00000000-0005-0000-0000-0000DBA20000}"/>
    <cellStyle name="Percent 7 7 2 2 4 3" xfId="17622" xr:uid="{00000000-0005-0000-0000-0000DCA20000}"/>
    <cellStyle name="Percent 7 7 2 2 5" xfId="12809" xr:uid="{00000000-0005-0000-0000-0000DDA20000}"/>
    <cellStyle name="Percent 7 7 2 2 5 2" xfId="41862" xr:uid="{00000000-0005-0000-0000-0000DEA20000}"/>
    <cellStyle name="Percent 7 7 2 2 6" xfId="17618" xr:uid="{00000000-0005-0000-0000-0000DFA20000}"/>
    <cellStyle name="Percent 7 7 2 3" xfId="9496" xr:uid="{00000000-0005-0000-0000-0000E0A20000}"/>
    <cellStyle name="Percent 7 7 2 3 2" xfId="10550" xr:uid="{00000000-0005-0000-0000-0000E1A20000}"/>
    <cellStyle name="Percent 7 7 2 3 2 2" xfId="14144" xr:uid="{00000000-0005-0000-0000-0000E2A20000}"/>
    <cellStyle name="Percent 7 7 2 3 2 2 2" xfId="41865" xr:uid="{00000000-0005-0000-0000-0000E3A20000}"/>
    <cellStyle name="Percent 7 7 2 3 2 3" xfId="17624" xr:uid="{00000000-0005-0000-0000-0000E4A20000}"/>
    <cellStyle name="Percent 7 7 2 3 3" xfId="13091" xr:uid="{00000000-0005-0000-0000-0000E5A20000}"/>
    <cellStyle name="Percent 7 7 2 3 3 2" xfId="41864" xr:uid="{00000000-0005-0000-0000-0000E6A20000}"/>
    <cellStyle name="Percent 7 7 2 3 4" xfId="17623" xr:uid="{00000000-0005-0000-0000-0000E7A20000}"/>
    <cellStyle name="Percent 7 7 2 4" xfId="10012" xr:uid="{00000000-0005-0000-0000-0000E8A20000}"/>
    <cellStyle name="Percent 7 7 2 4 2" xfId="13606" xr:uid="{00000000-0005-0000-0000-0000E9A20000}"/>
    <cellStyle name="Percent 7 7 2 4 2 2" xfId="41867" xr:uid="{00000000-0005-0000-0000-0000EAA20000}"/>
    <cellStyle name="Percent 7 7 2 4 3" xfId="41866" xr:uid="{00000000-0005-0000-0000-0000EBA20000}"/>
    <cellStyle name="Percent 7 7 2 4 4" xfId="17625" xr:uid="{00000000-0005-0000-0000-0000ECA20000}"/>
    <cellStyle name="Percent 7 7 2 5" xfId="11381" xr:uid="{00000000-0005-0000-0000-0000EDA20000}"/>
    <cellStyle name="Percent 7 7 2 5 2" xfId="14973" xr:uid="{00000000-0005-0000-0000-0000EEA20000}"/>
    <cellStyle name="Percent 7 7 2 5 2 2" xfId="41868" xr:uid="{00000000-0005-0000-0000-0000EFA20000}"/>
    <cellStyle name="Percent 7 7 2 5 3" xfId="17626" xr:uid="{00000000-0005-0000-0000-0000F0A20000}"/>
    <cellStyle name="Percent 7 7 2 6" xfId="12553" xr:uid="{00000000-0005-0000-0000-0000F1A20000}"/>
    <cellStyle name="Percent 7 7 2 6 2" xfId="41869" xr:uid="{00000000-0005-0000-0000-0000F2A20000}"/>
    <cellStyle name="Percent 7 7 2 7" xfId="41861" xr:uid="{00000000-0005-0000-0000-0000F3A20000}"/>
    <cellStyle name="Percent 7 7 2 8" xfId="17617" xr:uid="{00000000-0005-0000-0000-0000F4A20000}"/>
    <cellStyle name="Percent 7 7 3" xfId="9056" xr:uid="{00000000-0005-0000-0000-0000F5A20000}"/>
    <cellStyle name="Percent 7 7 3 2" xfId="9624" xr:uid="{00000000-0005-0000-0000-0000F6A20000}"/>
    <cellStyle name="Percent 7 7 3 2 2" xfId="10678" xr:uid="{00000000-0005-0000-0000-0000F7A20000}"/>
    <cellStyle name="Percent 7 7 3 2 2 2" xfId="14272" xr:uid="{00000000-0005-0000-0000-0000F8A20000}"/>
    <cellStyle name="Percent 7 7 3 2 2 2 2" xfId="41872" xr:uid="{00000000-0005-0000-0000-0000F9A20000}"/>
    <cellStyle name="Percent 7 7 3 2 2 3" xfId="17629" xr:uid="{00000000-0005-0000-0000-0000FAA20000}"/>
    <cellStyle name="Percent 7 7 3 2 3" xfId="13219" xr:uid="{00000000-0005-0000-0000-0000FBA20000}"/>
    <cellStyle name="Percent 7 7 3 2 3 2" xfId="41871" xr:uid="{00000000-0005-0000-0000-0000FCA20000}"/>
    <cellStyle name="Percent 7 7 3 2 4" xfId="17628" xr:uid="{00000000-0005-0000-0000-0000FDA20000}"/>
    <cellStyle name="Percent 7 7 3 3" xfId="10140" xr:uid="{00000000-0005-0000-0000-0000FEA20000}"/>
    <cellStyle name="Percent 7 7 3 3 2" xfId="13734" xr:uid="{00000000-0005-0000-0000-0000FFA20000}"/>
    <cellStyle name="Percent 7 7 3 3 2 2" xfId="41874" xr:uid="{00000000-0005-0000-0000-000000A30000}"/>
    <cellStyle name="Percent 7 7 3 3 3" xfId="41873" xr:uid="{00000000-0005-0000-0000-000001A30000}"/>
    <cellStyle name="Percent 7 7 3 3 4" xfId="17630" xr:uid="{00000000-0005-0000-0000-000002A30000}"/>
    <cellStyle name="Percent 7 7 3 4" xfId="11383" xr:uid="{00000000-0005-0000-0000-000003A30000}"/>
    <cellStyle name="Percent 7 7 3 4 2" xfId="14975" xr:uid="{00000000-0005-0000-0000-000004A30000}"/>
    <cellStyle name="Percent 7 7 3 4 2 2" xfId="41876" xr:uid="{00000000-0005-0000-0000-000005A30000}"/>
    <cellStyle name="Percent 7 7 3 4 3" xfId="41875" xr:uid="{00000000-0005-0000-0000-000006A30000}"/>
    <cellStyle name="Percent 7 7 3 4 4" xfId="17631" xr:uid="{00000000-0005-0000-0000-000007A30000}"/>
    <cellStyle name="Percent 7 7 3 5" xfId="12681" xr:uid="{00000000-0005-0000-0000-000008A30000}"/>
    <cellStyle name="Percent 7 7 3 5 2" xfId="41877" xr:uid="{00000000-0005-0000-0000-000009A30000}"/>
    <cellStyle name="Percent 7 7 3 6" xfId="41878" xr:uid="{00000000-0005-0000-0000-00000AA30000}"/>
    <cellStyle name="Percent 7 7 3 7" xfId="41870" xr:uid="{00000000-0005-0000-0000-00000BA30000}"/>
    <cellStyle name="Percent 7 7 3 8" xfId="17627" xr:uid="{00000000-0005-0000-0000-00000CA30000}"/>
    <cellStyle name="Percent 7 7 4" xfId="9368" xr:uid="{00000000-0005-0000-0000-00000DA30000}"/>
    <cellStyle name="Percent 7 7 4 2" xfId="10422" xr:uid="{00000000-0005-0000-0000-00000EA30000}"/>
    <cellStyle name="Percent 7 7 4 2 2" xfId="14016" xr:uid="{00000000-0005-0000-0000-00000FA30000}"/>
    <cellStyle name="Percent 7 7 4 2 2 2" xfId="41881" xr:uid="{00000000-0005-0000-0000-000010A30000}"/>
    <cellStyle name="Percent 7 7 4 2 3" xfId="41880" xr:uid="{00000000-0005-0000-0000-000011A30000}"/>
    <cellStyle name="Percent 7 7 4 2 4" xfId="17633" xr:uid="{00000000-0005-0000-0000-000012A30000}"/>
    <cellStyle name="Percent 7 7 4 3" xfId="12963" xr:uid="{00000000-0005-0000-0000-000013A30000}"/>
    <cellStyle name="Percent 7 7 4 3 2" xfId="41883" xr:uid="{00000000-0005-0000-0000-000014A30000}"/>
    <cellStyle name="Percent 7 7 4 3 3" xfId="41882" xr:uid="{00000000-0005-0000-0000-000015A30000}"/>
    <cellStyle name="Percent 7 7 4 4" xfId="41884" xr:uid="{00000000-0005-0000-0000-000016A30000}"/>
    <cellStyle name="Percent 7 7 4 4 2" xfId="41885" xr:uid="{00000000-0005-0000-0000-000017A30000}"/>
    <cellStyle name="Percent 7 7 4 5" xfId="41886" xr:uid="{00000000-0005-0000-0000-000018A30000}"/>
    <cellStyle name="Percent 7 7 4 6" xfId="41887" xr:uid="{00000000-0005-0000-0000-000019A30000}"/>
    <cellStyle name="Percent 7 7 4 7" xfId="41879" xr:uid="{00000000-0005-0000-0000-00001AA30000}"/>
    <cellStyle name="Percent 7 7 4 8" xfId="17632" xr:uid="{00000000-0005-0000-0000-00001BA30000}"/>
    <cellStyle name="Percent 7 7 5" xfId="9884" xr:uid="{00000000-0005-0000-0000-00001CA30000}"/>
    <cellStyle name="Percent 7 7 5 2" xfId="13478" xr:uid="{00000000-0005-0000-0000-00001DA30000}"/>
    <cellStyle name="Percent 7 7 5 2 2" xfId="41890" xr:uid="{00000000-0005-0000-0000-00001EA30000}"/>
    <cellStyle name="Percent 7 7 5 2 3" xfId="41889" xr:uid="{00000000-0005-0000-0000-00001FA30000}"/>
    <cellStyle name="Percent 7 7 5 3" xfId="41891" xr:uid="{00000000-0005-0000-0000-000020A30000}"/>
    <cellStyle name="Percent 7 7 5 3 2" xfId="41892" xr:uid="{00000000-0005-0000-0000-000021A30000}"/>
    <cellStyle name="Percent 7 7 5 4" xfId="41893" xr:uid="{00000000-0005-0000-0000-000022A30000}"/>
    <cellStyle name="Percent 7 7 5 5" xfId="41894" xr:uid="{00000000-0005-0000-0000-000023A30000}"/>
    <cellStyle name="Percent 7 7 5 6" xfId="41888" xr:uid="{00000000-0005-0000-0000-000024A30000}"/>
    <cellStyle name="Percent 7 7 5 7" xfId="17634" xr:uid="{00000000-0005-0000-0000-000025A30000}"/>
    <cellStyle name="Percent 7 7 6" xfId="11380" xr:uid="{00000000-0005-0000-0000-000026A30000}"/>
    <cellStyle name="Percent 7 7 6 2" xfId="14972" xr:uid="{00000000-0005-0000-0000-000027A30000}"/>
    <cellStyle name="Percent 7 7 6 2 2" xfId="41896" xr:uid="{00000000-0005-0000-0000-000028A30000}"/>
    <cellStyle name="Percent 7 7 6 3" xfId="41895" xr:uid="{00000000-0005-0000-0000-000029A30000}"/>
    <cellStyle name="Percent 7 7 6 4" xfId="17635" xr:uid="{00000000-0005-0000-0000-00002AA30000}"/>
    <cellStyle name="Percent 7 7 7" xfId="12425" xr:uid="{00000000-0005-0000-0000-00002BA30000}"/>
    <cellStyle name="Percent 7 7 7 2" xfId="41898" xr:uid="{00000000-0005-0000-0000-00002CA30000}"/>
    <cellStyle name="Percent 7 7 7 3" xfId="41897" xr:uid="{00000000-0005-0000-0000-00002DA30000}"/>
    <cellStyle name="Percent 7 7 8" xfId="41899" xr:uid="{00000000-0005-0000-0000-00002EA30000}"/>
    <cellStyle name="Percent 7 7 8 2" xfId="41900" xr:uid="{00000000-0005-0000-0000-00002FA30000}"/>
    <cellStyle name="Percent 7 7 9" xfId="41901" xr:uid="{00000000-0005-0000-0000-000030A30000}"/>
    <cellStyle name="Percent 7 8" xfId="8832" xr:uid="{00000000-0005-0000-0000-000031A30000}"/>
    <cellStyle name="Percent 7 8 2" xfId="8960" xr:uid="{00000000-0005-0000-0000-000032A30000}"/>
    <cellStyle name="Percent 7 8 2 2" xfId="9216" xr:uid="{00000000-0005-0000-0000-000033A30000}"/>
    <cellStyle name="Percent 7 8 2 2 2" xfId="9784" xr:uid="{00000000-0005-0000-0000-000034A30000}"/>
    <cellStyle name="Percent 7 8 2 2 2 2" xfId="10838" xr:uid="{00000000-0005-0000-0000-000035A30000}"/>
    <cellStyle name="Percent 7 8 2 2 2 2 2" xfId="14432" xr:uid="{00000000-0005-0000-0000-000036A30000}"/>
    <cellStyle name="Percent 7 8 2 2 2 2 3" xfId="17640" xr:uid="{00000000-0005-0000-0000-000037A30000}"/>
    <cellStyle name="Percent 7 8 2 2 2 3" xfId="13379" xr:uid="{00000000-0005-0000-0000-000038A30000}"/>
    <cellStyle name="Percent 7 8 2 2 2 4" xfId="17639" xr:uid="{00000000-0005-0000-0000-000039A30000}"/>
    <cellStyle name="Percent 7 8 2 2 3" xfId="10300" xr:uid="{00000000-0005-0000-0000-00003AA30000}"/>
    <cellStyle name="Percent 7 8 2 2 3 2" xfId="13894" xr:uid="{00000000-0005-0000-0000-00003BA30000}"/>
    <cellStyle name="Percent 7 8 2 2 3 3" xfId="17641" xr:uid="{00000000-0005-0000-0000-00003CA30000}"/>
    <cellStyle name="Percent 7 8 2 2 4" xfId="11386" xr:uid="{00000000-0005-0000-0000-00003DA30000}"/>
    <cellStyle name="Percent 7 8 2 2 4 2" xfId="14978" xr:uid="{00000000-0005-0000-0000-00003EA30000}"/>
    <cellStyle name="Percent 7 8 2 2 4 3" xfId="17642" xr:uid="{00000000-0005-0000-0000-00003FA30000}"/>
    <cellStyle name="Percent 7 8 2 2 5" xfId="12841" xr:uid="{00000000-0005-0000-0000-000040A30000}"/>
    <cellStyle name="Percent 7 8 2 2 5 2" xfId="41904" xr:uid="{00000000-0005-0000-0000-000041A30000}"/>
    <cellStyle name="Percent 7 8 2 2 6" xfId="17638" xr:uid="{00000000-0005-0000-0000-000042A30000}"/>
    <cellStyle name="Percent 7 8 2 3" xfId="9528" xr:uid="{00000000-0005-0000-0000-000043A30000}"/>
    <cellStyle name="Percent 7 8 2 3 2" xfId="10582" xr:uid="{00000000-0005-0000-0000-000044A30000}"/>
    <cellStyle name="Percent 7 8 2 3 2 2" xfId="14176" xr:uid="{00000000-0005-0000-0000-000045A30000}"/>
    <cellStyle name="Percent 7 8 2 3 2 3" xfId="17644" xr:uid="{00000000-0005-0000-0000-000046A30000}"/>
    <cellStyle name="Percent 7 8 2 3 3" xfId="13123" xr:uid="{00000000-0005-0000-0000-000047A30000}"/>
    <cellStyle name="Percent 7 8 2 3 4" xfId="17643" xr:uid="{00000000-0005-0000-0000-000048A30000}"/>
    <cellStyle name="Percent 7 8 2 4" xfId="10044" xr:uid="{00000000-0005-0000-0000-000049A30000}"/>
    <cellStyle name="Percent 7 8 2 4 2" xfId="13638" xr:uid="{00000000-0005-0000-0000-00004AA30000}"/>
    <cellStyle name="Percent 7 8 2 4 3" xfId="17645" xr:uid="{00000000-0005-0000-0000-00004BA30000}"/>
    <cellStyle name="Percent 7 8 2 5" xfId="11385" xr:uid="{00000000-0005-0000-0000-00004CA30000}"/>
    <cellStyle name="Percent 7 8 2 5 2" xfId="14977" xr:uid="{00000000-0005-0000-0000-00004DA30000}"/>
    <cellStyle name="Percent 7 8 2 5 3" xfId="17646" xr:uid="{00000000-0005-0000-0000-00004EA30000}"/>
    <cellStyle name="Percent 7 8 2 6" xfId="12585" xr:uid="{00000000-0005-0000-0000-00004FA30000}"/>
    <cellStyle name="Percent 7 8 2 6 2" xfId="41903" xr:uid="{00000000-0005-0000-0000-000050A30000}"/>
    <cellStyle name="Percent 7 8 2 7" xfId="17637" xr:uid="{00000000-0005-0000-0000-000051A30000}"/>
    <cellStyle name="Percent 7 8 3" xfId="9088" xr:uid="{00000000-0005-0000-0000-000052A30000}"/>
    <cellStyle name="Percent 7 8 3 2" xfId="9656" xr:uid="{00000000-0005-0000-0000-000053A30000}"/>
    <cellStyle name="Percent 7 8 3 2 2" xfId="10710" xr:uid="{00000000-0005-0000-0000-000054A30000}"/>
    <cellStyle name="Percent 7 8 3 2 2 2" xfId="14304" xr:uid="{00000000-0005-0000-0000-000055A30000}"/>
    <cellStyle name="Percent 7 8 3 2 2 3" xfId="17649" xr:uid="{00000000-0005-0000-0000-000056A30000}"/>
    <cellStyle name="Percent 7 8 3 2 3" xfId="13251" xr:uid="{00000000-0005-0000-0000-000057A30000}"/>
    <cellStyle name="Percent 7 8 3 2 3 2" xfId="41906" xr:uid="{00000000-0005-0000-0000-000058A30000}"/>
    <cellStyle name="Percent 7 8 3 2 4" xfId="17648" xr:uid="{00000000-0005-0000-0000-000059A30000}"/>
    <cellStyle name="Percent 7 8 3 3" xfId="10172" xr:uid="{00000000-0005-0000-0000-00005AA30000}"/>
    <cellStyle name="Percent 7 8 3 3 2" xfId="13766" xr:uid="{00000000-0005-0000-0000-00005BA30000}"/>
    <cellStyle name="Percent 7 8 3 3 3" xfId="17650" xr:uid="{00000000-0005-0000-0000-00005CA30000}"/>
    <cellStyle name="Percent 7 8 3 4" xfId="11387" xr:uid="{00000000-0005-0000-0000-00005DA30000}"/>
    <cellStyle name="Percent 7 8 3 4 2" xfId="14979" xr:uid="{00000000-0005-0000-0000-00005EA30000}"/>
    <cellStyle name="Percent 7 8 3 4 3" xfId="17651" xr:uid="{00000000-0005-0000-0000-00005FA30000}"/>
    <cellStyle name="Percent 7 8 3 5" xfId="12713" xr:uid="{00000000-0005-0000-0000-000060A30000}"/>
    <cellStyle name="Percent 7 8 3 5 2" xfId="41905" xr:uid="{00000000-0005-0000-0000-000061A30000}"/>
    <cellStyle name="Percent 7 8 3 6" xfId="17647" xr:uid="{00000000-0005-0000-0000-000062A30000}"/>
    <cellStyle name="Percent 7 8 4" xfId="9400" xr:uid="{00000000-0005-0000-0000-000063A30000}"/>
    <cellStyle name="Percent 7 8 4 2" xfId="10454" xr:uid="{00000000-0005-0000-0000-000064A30000}"/>
    <cellStyle name="Percent 7 8 4 2 2" xfId="14048" xr:uid="{00000000-0005-0000-0000-000065A30000}"/>
    <cellStyle name="Percent 7 8 4 2 2 2" xfId="41908" xr:uid="{00000000-0005-0000-0000-000066A30000}"/>
    <cellStyle name="Percent 7 8 4 2 3" xfId="17653" xr:uid="{00000000-0005-0000-0000-000067A30000}"/>
    <cellStyle name="Percent 7 8 4 3" xfId="12995" xr:uid="{00000000-0005-0000-0000-000068A30000}"/>
    <cellStyle name="Percent 7 8 4 3 2" xfId="41907" xr:uid="{00000000-0005-0000-0000-000069A30000}"/>
    <cellStyle name="Percent 7 8 4 4" xfId="17652" xr:uid="{00000000-0005-0000-0000-00006AA30000}"/>
    <cellStyle name="Percent 7 8 5" xfId="9916" xr:uid="{00000000-0005-0000-0000-00006BA30000}"/>
    <cellStyle name="Percent 7 8 5 2" xfId="13510" xr:uid="{00000000-0005-0000-0000-00006CA30000}"/>
    <cellStyle name="Percent 7 8 5 2 2" xfId="41909" xr:uid="{00000000-0005-0000-0000-00006DA30000}"/>
    <cellStyle name="Percent 7 8 5 3" xfId="17654" xr:uid="{00000000-0005-0000-0000-00006EA30000}"/>
    <cellStyle name="Percent 7 8 6" xfId="11384" xr:uid="{00000000-0005-0000-0000-00006FA30000}"/>
    <cellStyle name="Percent 7 8 6 2" xfId="14976" xr:uid="{00000000-0005-0000-0000-000070A30000}"/>
    <cellStyle name="Percent 7 8 6 2 2" xfId="41910" xr:uid="{00000000-0005-0000-0000-000071A30000}"/>
    <cellStyle name="Percent 7 8 6 3" xfId="17655" xr:uid="{00000000-0005-0000-0000-000072A30000}"/>
    <cellStyle name="Percent 7 8 7" xfId="12457" xr:uid="{00000000-0005-0000-0000-000073A30000}"/>
    <cellStyle name="Percent 7 8 7 2" xfId="41902" xr:uid="{00000000-0005-0000-0000-000074A30000}"/>
    <cellStyle name="Percent 7 8 8" xfId="17636" xr:uid="{00000000-0005-0000-0000-000075A30000}"/>
    <cellStyle name="Percent 7 9" xfId="8879" xr:uid="{00000000-0005-0000-0000-000076A30000}"/>
    <cellStyle name="Percent 7 9 2" xfId="9135" xr:uid="{00000000-0005-0000-0000-000077A30000}"/>
    <cellStyle name="Percent 7 9 2 2" xfId="9703" xr:uid="{00000000-0005-0000-0000-000078A30000}"/>
    <cellStyle name="Percent 7 9 2 2 2" xfId="10757" xr:uid="{00000000-0005-0000-0000-000079A30000}"/>
    <cellStyle name="Percent 7 9 2 2 2 2" xfId="14351" xr:uid="{00000000-0005-0000-0000-00007AA30000}"/>
    <cellStyle name="Percent 7 9 2 2 2 3" xfId="17659" xr:uid="{00000000-0005-0000-0000-00007BA30000}"/>
    <cellStyle name="Percent 7 9 2 2 3" xfId="13298" xr:uid="{00000000-0005-0000-0000-00007CA30000}"/>
    <cellStyle name="Percent 7 9 2 2 3 2" xfId="41913" xr:uid="{00000000-0005-0000-0000-00007DA30000}"/>
    <cellStyle name="Percent 7 9 2 2 4" xfId="17658" xr:uid="{00000000-0005-0000-0000-00007EA30000}"/>
    <cellStyle name="Percent 7 9 2 3" xfId="10219" xr:uid="{00000000-0005-0000-0000-00007FA30000}"/>
    <cellStyle name="Percent 7 9 2 3 2" xfId="13813" xr:uid="{00000000-0005-0000-0000-000080A30000}"/>
    <cellStyle name="Percent 7 9 2 3 3" xfId="17660" xr:uid="{00000000-0005-0000-0000-000081A30000}"/>
    <cellStyle name="Percent 7 9 2 4" xfId="11389" xr:uid="{00000000-0005-0000-0000-000082A30000}"/>
    <cellStyle name="Percent 7 9 2 4 2" xfId="14981" xr:uid="{00000000-0005-0000-0000-000083A30000}"/>
    <cellStyle name="Percent 7 9 2 4 3" xfId="17661" xr:uid="{00000000-0005-0000-0000-000084A30000}"/>
    <cellStyle name="Percent 7 9 2 5" xfId="12760" xr:uid="{00000000-0005-0000-0000-000085A30000}"/>
    <cellStyle name="Percent 7 9 2 5 2" xfId="41912" xr:uid="{00000000-0005-0000-0000-000086A30000}"/>
    <cellStyle name="Percent 7 9 2 6" xfId="17657" xr:uid="{00000000-0005-0000-0000-000087A30000}"/>
    <cellStyle name="Percent 7 9 3" xfId="9447" xr:uid="{00000000-0005-0000-0000-000088A30000}"/>
    <cellStyle name="Percent 7 9 3 2" xfId="10501" xr:uid="{00000000-0005-0000-0000-000089A30000}"/>
    <cellStyle name="Percent 7 9 3 2 2" xfId="14095" xr:uid="{00000000-0005-0000-0000-00008AA30000}"/>
    <cellStyle name="Percent 7 9 3 2 2 2" xfId="41915" xr:uid="{00000000-0005-0000-0000-00008BA30000}"/>
    <cellStyle name="Percent 7 9 3 2 3" xfId="17663" xr:uid="{00000000-0005-0000-0000-00008CA30000}"/>
    <cellStyle name="Percent 7 9 3 3" xfId="13042" xr:uid="{00000000-0005-0000-0000-00008DA30000}"/>
    <cellStyle name="Percent 7 9 3 3 2" xfId="41914" xr:uid="{00000000-0005-0000-0000-00008EA30000}"/>
    <cellStyle name="Percent 7 9 3 4" xfId="17662" xr:uid="{00000000-0005-0000-0000-00008FA30000}"/>
    <cellStyle name="Percent 7 9 4" xfId="9963" xr:uid="{00000000-0005-0000-0000-000090A30000}"/>
    <cellStyle name="Percent 7 9 4 2" xfId="13557" xr:uid="{00000000-0005-0000-0000-000091A30000}"/>
    <cellStyle name="Percent 7 9 4 2 2" xfId="41917" xr:uid="{00000000-0005-0000-0000-000092A30000}"/>
    <cellStyle name="Percent 7 9 4 3" xfId="41916" xr:uid="{00000000-0005-0000-0000-000093A30000}"/>
    <cellStyle name="Percent 7 9 4 4" xfId="17664" xr:uid="{00000000-0005-0000-0000-000094A30000}"/>
    <cellStyle name="Percent 7 9 5" xfId="11388" xr:uid="{00000000-0005-0000-0000-000095A30000}"/>
    <cellStyle name="Percent 7 9 5 2" xfId="14980" xr:uid="{00000000-0005-0000-0000-000096A30000}"/>
    <cellStyle name="Percent 7 9 5 2 2" xfId="41918" xr:uid="{00000000-0005-0000-0000-000097A30000}"/>
    <cellStyle name="Percent 7 9 5 3" xfId="17665" xr:uid="{00000000-0005-0000-0000-000098A30000}"/>
    <cellStyle name="Percent 7 9 6" xfId="12504" xr:uid="{00000000-0005-0000-0000-000099A30000}"/>
    <cellStyle name="Percent 7 9 6 2" xfId="41919" xr:uid="{00000000-0005-0000-0000-00009AA30000}"/>
    <cellStyle name="Percent 7 9 7" xfId="41911" xr:uid="{00000000-0005-0000-0000-00009BA30000}"/>
    <cellStyle name="Percent 7 9 8" xfId="17656" xr:uid="{00000000-0005-0000-0000-00009CA30000}"/>
    <cellStyle name="Percent 8" xfId="8764" xr:uid="{00000000-0005-0000-0000-00009DA30000}"/>
    <cellStyle name="Percent 8 10" xfId="41921" xr:uid="{00000000-0005-0000-0000-00009EA30000}"/>
    <cellStyle name="Percent 8 10 2" xfId="41922" xr:uid="{00000000-0005-0000-0000-00009FA30000}"/>
    <cellStyle name="Percent 8 10 2 2" xfId="41923" xr:uid="{00000000-0005-0000-0000-0000A0A30000}"/>
    <cellStyle name="Percent 8 10 3" xfId="41924" xr:uid="{00000000-0005-0000-0000-0000A1A30000}"/>
    <cellStyle name="Percent 8 10 3 2" xfId="41925" xr:uid="{00000000-0005-0000-0000-0000A2A30000}"/>
    <cellStyle name="Percent 8 10 4" xfId="41926" xr:uid="{00000000-0005-0000-0000-0000A3A30000}"/>
    <cellStyle name="Percent 8 10 4 2" xfId="41927" xr:uid="{00000000-0005-0000-0000-0000A4A30000}"/>
    <cellStyle name="Percent 8 10 5" xfId="41928" xr:uid="{00000000-0005-0000-0000-0000A5A30000}"/>
    <cellStyle name="Percent 8 10 6" xfId="41929" xr:uid="{00000000-0005-0000-0000-0000A6A30000}"/>
    <cellStyle name="Percent 8 11" xfId="41930" xr:uid="{00000000-0005-0000-0000-0000A7A30000}"/>
    <cellStyle name="Percent 8 11 2" xfId="41931" xr:uid="{00000000-0005-0000-0000-0000A8A30000}"/>
    <cellStyle name="Percent 8 11 2 2" xfId="41932" xr:uid="{00000000-0005-0000-0000-0000A9A30000}"/>
    <cellStyle name="Percent 8 11 3" xfId="41933" xr:uid="{00000000-0005-0000-0000-0000AAA30000}"/>
    <cellStyle name="Percent 8 11 3 2" xfId="41934" xr:uid="{00000000-0005-0000-0000-0000ABA30000}"/>
    <cellStyle name="Percent 8 11 4" xfId="41935" xr:uid="{00000000-0005-0000-0000-0000ACA30000}"/>
    <cellStyle name="Percent 8 11 4 2" xfId="41936" xr:uid="{00000000-0005-0000-0000-0000ADA30000}"/>
    <cellStyle name="Percent 8 11 5" xfId="41937" xr:uid="{00000000-0005-0000-0000-0000AEA30000}"/>
    <cellStyle name="Percent 8 11 6" xfId="41938" xr:uid="{00000000-0005-0000-0000-0000AFA30000}"/>
    <cellStyle name="Percent 8 12" xfId="41939" xr:uid="{00000000-0005-0000-0000-0000B0A30000}"/>
    <cellStyle name="Percent 8 12 2" xfId="41940" xr:uid="{00000000-0005-0000-0000-0000B1A30000}"/>
    <cellStyle name="Percent 8 12 2 2" xfId="41941" xr:uid="{00000000-0005-0000-0000-0000B2A30000}"/>
    <cellStyle name="Percent 8 12 3" xfId="41942" xr:uid="{00000000-0005-0000-0000-0000B3A30000}"/>
    <cellStyle name="Percent 8 12 3 2" xfId="41943" xr:uid="{00000000-0005-0000-0000-0000B4A30000}"/>
    <cellStyle name="Percent 8 12 4" xfId="41944" xr:uid="{00000000-0005-0000-0000-0000B5A30000}"/>
    <cellStyle name="Percent 8 12 4 2" xfId="41945" xr:uid="{00000000-0005-0000-0000-0000B6A30000}"/>
    <cellStyle name="Percent 8 12 5" xfId="41946" xr:uid="{00000000-0005-0000-0000-0000B7A30000}"/>
    <cellStyle name="Percent 8 12 6" xfId="41947" xr:uid="{00000000-0005-0000-0000-0000B8A30000}"/>
    <cellStyle name="Percent 8 13" xfId="41948" xr:uid="{00000000-0005-0000-0000-0000B9A30000}"/>
    <cellStyle name="Percent 8 13 2" xfId="41949" xr:uid="{00000000-0005-0000-0000-0000BAA30000}"/>
    <cellStyle name="Percent 8 13 2 2" xfId="41950" xr:uid="{00000000-0005-0000-0000-0000BBA30000}"/>
    <cellStyle name="Percent 8 13 3" xfId="41951" xr:uid="{00000000-0005-0000-0000-0000BCA30000}"/>
    <cellStyle name="Percent 8 13 3 2" xfId="41952" xr:uid="{00000000-0005-0000-0000-0000BDA30000}"/>
    <cellStyle name="Percent 8 13 4" xfId="41953" xr:uid="{00000000-0005-0000-0000-0000BEA30000}"/>
    <cellStyle name="Percent 8 13 5" xfId="41954" xr:uid="{00000000-0005-0000-0000-0000BFA30000}"/>
    <cellStyle name="Percent 8 14" xfId="41955" xr:uid="{00000000-0005-0000-0000-0000C0A30000}"/>
    <cellStyle name="Percent 8 14 2" xfId="41956" xr:uid="{00000000-0005-0000-0000-0000C1A30000}"/>
    <cellStyle name="Percent 8 15" xfId="41957" xr:uid="{00000000-0005-0000-0000-0000C2A30000}"/>
    <cellStyle name="Percent 8 15 2" xfId="41958" xr:uid="{00000000-0005-0000-0000-0000C3A30000}"/>
    <cellStyle name="Percent 8 16" xfId="41959" xr:uid="{00000000-0005-0000-0000-0000C4A30000}"/>
    <cellStyle name="Percent 8 16 2" xfId="41960" xr:uid="{00000000-0005-0000-0000-0000C5A30000}"/>
    <cellStyle name="Percent 8 17" xfId="41961" xr:uid="{00000000-0005-0000-0000-0000C6A30000}"/>
    <cellStyle name="Percent 8 18" xfId="41962" xr:uid="{00000000-0005-0000-0000-0000C7A30000}"/>
    <cellStyle name="Percent 8 19" xfId="41963" xr:uid="{00000000-0005-0000-0000-0000C8A30000}"/>
    <cellStyle name="Percent 8 2" xfId="41964" xr:uid="{00000000-0005-0000-0000-0000C9A30000}"/>
    <cellStyle name="Percent 8 2 10" xfId="41965" xr:uid="{00000000-0005-0000-0000-0000CAA30000}"/>
    <cellStyle name="Percent 8 2 10 2" xfId="41966" xr:uid="{00000000-0005-0000-0000-0000CBA30000}"/>
    <cellStyle name="Percent 8 2 10 2 2" xfId="41967" xr:uid="{00000000-0005-0000-0000-0000CCA30000}"/>
    <cellStyle name="Percent 8 2 10 3" xfId="41968" xr:uid="{00000000-0005-0000-0000-0000CDA30000}"/>
    <cellStyle name="Percent 8 2 10 3 2" xfId="41969" xr:uid="{00000000-0005-0000-0000-0000CEA30000}"/>
    <cellStyle name="Percent 8 2 10 4" xfId="41970" xr:uid="{00000000-0005-0000-0000-0000CFA30000}"/>
    <cellStyle name="Percent 8 2 10 4 2" xfId="41971" xr:uid="{00000000-0005-0000-0000-0000D0A30000}"/>
    <cellStyle name="Percent 8 2 10 5" xfId="41972" xr:uid="{00000000-0005-0000-0000-0000D1A30000}"/>
    <cellStyle name="Percent 8 2 10 6" xfId="41973" xr:uid="{00000000-0005-0000-0000-0000D2A30000}"/>
    <cellStyle name="Percent 8 2 11" xfId="41974" xr:uid="{00000000-0005-0000-0000-0000D3A30000}"/>
    <cellStyle name="Percent 8 2 11 2" xfId="41975" xr:uid="{00000000-0005-0000-0000-0000D4A30000}"/>
    <cellStyle name="Percent 8 2 11 2 2" xfId="41976" xr:uid="{00000000-0005-0000-0000-0000D5A30000}"/>
    <cellStyle name="Percent 8 2 11 3" xfId="41977" xr:uid="{00000000-0005-0000-0000-0000D6A30000}"/>
    <cellStyle name="Percent 8 2 11 3 2" xfId="41978" xr:uid="{00000000-0005-0000-0000-0000D7A30000}"/>
    <cellStyle name="Percent 8 2 11 4" xfId="41979" xr:uid="{00000000-0005-0000-0000-0000D8A30000}"/>
    <cellStyle name="Percent 8 2 11 5" xfId="41980" xr:uid="{00000000-0005-0000-0000-0000D9A30000}"/>
    <cellStyle name="Percent 8 2 12" xfId="41981" xr:uid="{00000000-0005-0000-0000-0000DAA30000}"/>
    <cellStyle name="Percent 8 2 12 2" xfId="41982" xr:uid="{00000000-0005-0000-0000-0000DBA30000}"/>
    <cellStyle name="Percent 8 2 13" xfId="41983" xr:uid="{00000000-0005-0000-0000-0000DCA30000}"/>
    <cellStyle name="Percent 8 2 13 2" xfId="41984" xr:uid="{00000000-0005-0000-0000-0000DDA30000}"/>
    <cellStyle name="Percent 8 2 14" xfId="41985" xr:uid="{00000000-0005-0000-0000-0000DEA30000}"/>
    <cellStyle name="Percent 8 2 14 2" xfId="41986" xr:uid="{00000000-0005-0000-0000-0000DFA30000}"/>
    <cellStyle name="Percent 8 2 15" xfId="41987" xr:uid="{00000000-0005-0000-0000-0000E0A30000}"/>
    <cellStyle name="Percent 8 2 16" xfId="41988" xr:uid="{00000000-0005-0000-0000-0000E1A30000}"/>
    <cellStyle name="Percent 8 2 2" xfId="41989" xr:uid="{00000000-0005-0000-0000-0000E2A30000}"/>
    <cellStyle name="Percent 8 2 2 10" xfId="41990" xr:uid="{00000000-0005-0000-0000-0000E3A30000}"/>
    <cellStyle name="Percent 8 2 2 10 2" xfId="41991" xr:uid="{00000000-0005-0000-0000-0000E4A30000}"/>
    <cellStyle name="Percent 8 2 2 11" xfId="41992" xr:uid="{00000000-0005-0000-0000-0000E5A30000}"/>
    <cellStyle name="Percent 8 2 2 11 2" xfId="41993" xr:uid="{00000000-0005-0000-0000-0000E6A30000}"/>
    <cellStyle name="Percent 8 2 2 12" xfId="41994" xr:uid="{00000000-0005-0000-0000-0000E7A30000}"/>
    <cellStyle name="Percent 8 2 2 13" xfId="41995" xr:uid="{00000000-0005-0000-0000-0000E8A30000}"/>
    <cellStyle name="Percent 8 2 2 2" xfId="41996" xr:uid="{00000000-0005-0000-0000-0000E9A30000}"/>
    <cellStyle name="Percent 8 2 2 2 10" xfId="41997" xr:uid="{00000000-0005-0000-0000-0000EAA30000}"/>
    <cellStyle name="Percent 8 2 2 2 11" xfId="41998" xr:uid="{00000000-0005-0000-0000-0000EBA30000}"/>
    <cellStyle name="Percent 8 2 2 2 2" xfId="41999" xr:uid="{00000000-0005-0000-0000-0000ECA30000}"/>
    <cellStyle name="Percent 8 2 2 2 2 2" xfId="42000" xr:uid="{00000000-0005-0000-0000-0000EDA30000}"/>
    <cellStyle name="Percent 8 2 2 2 2 2 2" xfId="42001" xr:uid="{00000000-0005-0000-0000-0000EEA30000}"/>
    <cellStyle name="Percent 8 2 2 2 2 3" xfId="42002" xr:uid="{00000000-0005-0000-0000-0000EFA30000}"/>
    <cellStyle name="Percent 8 2 2 2 2 3 2" xfId="42003" xr:uid="{00000000-0005-0000-0000-0000F0A30000}"/>
    <cellStyle name="Percent 8 2 2 2 2 4" xfId="42004" xr:uid="{00000000-0005-0000-0000-0000F1A30000}"/>
    <cellStyle name="Percent 8 2 2 2 2 4 2" xfId="42005" xr:uid="{00000000-0005-0000-0000-0000F2A30000}"/>
    <cellStyle name="Percent 8 2 2 2 2 5" xfId="42006" xr:uid="{00000000-0005-0000-0000-0000F3A30000}"/>
    <cellStyle name="Percent 8 2 2 2 2 6" xfId="42007" xr:uid="{00000000-0005-0000-0000-0000F4A30000}"/>
    <cellStyle name="Percent 8 2 2 2 3" xfId="42008" xr:uid="{00000000-0005-0000-0000-0000F5A30000}"/>
    <cellStyle name="Percent 8 2 2 2 3 2" xfId="42009" xr:uid="{00000000-0005-0000-0000-0000F6A30000}"/>
    <cellStyle name="Percent 8 2 2 2 3 2 2" xfId="42010" xr:uid="{00000000-0005-0000-0000-0000F7A30000}"/>
    <cellStyle name="Percent 8 2 2 2 3 3" xfId="42011" xr:uid="{00000000-0005-0000-0000-0000F8A30000}"/>
    <cellStyle name="Percent 8 2 2 2 3 3 2" xfId="42012" xr:uid="{00000000-0005-0000-0000-0000F9A30000}"/>
    <cellStyle name="Percent 8 2 2 2 3 4" xfId="42013" xr:uid="{00000000-0005-0000-0000-0000FAA30000}"/>
    <cellStyle name="Percent 8 2 2 2 3 4 2" xfId="42014" xr:uid="{00000000-0005-0000-0000-0000FBA30000}"/>
    <cellStyle name="Percent 8 2 2 2 3 5" xfId="42015" xr:uid="{00000000-0005-0000-0000-0000FCA30000}"/>
    <cellStyle name="Percent 8 2 2 2 3 6" xfId="42016" xr:uid="{00000000-0005-0000-0000-0000FDA30000}"/>
    <cellStyle name="Percent 8 2 2 2 4" xfId="42017" xr:uid="{00000000-0005-0000-0000-0000FEA30000}"/>
    <cellStyle name="Percent 8 2 2 2 4 2" xfId="42018" xr:uid="{00000000-0005-0000-0000-0000FFA30000}"/>
    <cellStyle name="Percent 8 2 2 2 4 2 2" xfId="42019" xr:uid="{00000000-0005-0000-0000-000000A40000}"/>
    <cellStyle name="Percent 8 2 2 2 4 3" xfId="42020" xr:uid="{00000000-0005-0000-0000-000001A40000}"/>
    <cellStyle name="Percent 8 2 2 2 4 3 2" xfId="42021" xr:uid="{00000000-0005-0000-0000-000002A40000}"/>
    <cellStyle name="Percent 8 2 2 2 4 4" xfId="42022" xr:uid="{00000000-0005-0000-0000-000003A40000}"/>
    <cellStyle name="Percent 8 2 2 2 4 4 2" xfId="42023" xr:uid="{00000000-0005-0000-0000-000004A40000}"/>
    <cellStyle name="Percent 8 2 2 2 4 5" xfId="42024" xr:uid="{00000000-0005-0000-0000-000005A40000}"/>
    <cellStyle name="Percent 8 2 2 2 4 6" xfId="42025" xr:uid="{00000000-0005-0000-0000-000006A40000}"/>
    <cellStyle name="Percent 8 2 2 2 5" xfId="42026" xr:uid="{00000000-0005-0000-0000-000007A40000}"/>
    <cellStyle name="Percent 8 2 2 2 5 2" xfId="42027" xr:uid="{00000000-0005-0000-0000-000008A40000}"/>
    <cellStyle name="Percent 8 2 2 2 5 2 2" xfId="42028" xr:uid="{00000000-0005-0000-0000-000009A40000}"/>
    <cellStyle name="Percent 8 2 2 2 5 3" xfId="42029" xr:uid="{00000000-0005-0000-0000-00000AA40000}"/>
    <cellStyle name="Percent 8 2 2 2 5 3 2" xfId="42030" xr:uid="{00000000-0005-0000-0000-00000BA40000}"/>
    <cellStyle name="Percent 8 2 2 2 5 4" xfId="42031" xr:uid="{00000000-0005-0000-0000-00000CA40000}"/>
    <cellStyle name="Percent 8 2 2 2 5 4 2" xfId="42032" xr:uid="{00000000-0005-0000-0000-00000DA40000}"/>
    <cellStyle name="Percent 8 2 2 2 5 5" xfId="42033" xr:uid="{00000000-0005-0000-0000-00000EA40000}"/>
    <cellStyle name="Percent 8 2 2 2 5 6" xfId="42034" xr:uid="{00000000-0005-0000-0000-00000FA40000}"/>
    <cellStyle name="Percent 8 2 2 2 6" xfId="42035" xr:uid="{00000000-0005-0000-0000-000010A40000}"/>
    <cellStyle name="Percent 8 2 2 2 6 2" xfId="42036" xr:uid="{00000000-0005-0000-0000-000011A40000}"/>
    <cellStyle name="Percent 8 2 2 2 6 2 2" xfId="42037" xr:uid="{00000000-0005-0000-0000-000012A40000}"/>
    <cellStyle name="Percent 8 2 2 2 6 3" xfId="42038" xr:uid="{00000000-0005-0000-0000-000013A40000}"/>
    <cellStyle name="Percent 8 2 2 2 6 3 2" xfId="42039" xr:uid="{00000000-0005-0000-0000-000014A40000}"/>
    <cellStyle name="Percent 8 2 2 2 6 4" xfId="42040" xr:uid="{00000000-0005-0000-0000-000015A40000}"/>
    <cellStyle name="Percent 8 2 2 2 6 5" xfId="42041" xr:uid="{00000000-0005-0000-0000-000016A40000}"/>
    <cellStyle name="Percent 8 2 2 2 7" xfId="42042" xr:uid="{00000000-0005-0000-0000-000017A40000}"/>
    <cellStyle name="Percent 8 2 2 2 7 2" xfId="42043" xr:uid="{00000000-0005-0000-0000-000018A40000}"/>
    <cellStyle name="Percent 8 2 2 2 8" xfId="42044" xr:uid="{00000000-0005-0000-0000-000019A40000}"/>
    <cellStyle name="Percent 8 2 2 2 8 2" xfId="42045" xr:uid="{00000000-0005-0000-0000-00001AA40000}"/>
    <cellStyle name="Percent 8 2 2 2 9" xfId="42046" xr:uid="{00000000-0005-0000-0000-00001BA40000}"/>
    <cellStyle name="Percent 8 2 2 2 9 2" xfId="42047" xr:uid="{00000000-0005-0000-0000-00001CA40000}"/>
    <cellStyle name="Percent 8 2 2 3" xfId="42048" xr:uid="{00000000-0005-0000-0000-00001DA40000}"/>
    <cellStyle name="Percent 8 2 2 3 10" xfId="42049" xr:uid="{00000000-0005-0000-0000-00001EA40000}"/>
    <cellStyle name="Percent 8 2 2 3 2" xfId="42050" xr:uid="{00000000-0005-0000-0000-00001FA40000}"/>
    <cellStyle name="Percent 8 2 2 3 2 2" xfId="42051" xr:uid="{00000000-0005-0000-0000-000020A40000}"/>
    <cellStyle name="Percent 8 2 2 3 2 2 2" xfId="42052" xr:uid="{00000000-0005-0000-0000-000021A40000}"/>
    <cellStyle name="Percent 8 2 2 3 2 3" xfId="42053" xr:uid="{00000000-0005-0000-0000-000022A40000}"/>
    <cellStyle name="Percent 8 2 2 3 2 3 2" xfId="42054" xr:uid="{00000000-0005-0000-0000-000023A40000}"/>
    <cellStyle name="Percent 8 2 2 3 2 4" xfId="42055" xr:uid="{00000000-0005-0000-0000-000024A40000}"/>
    <cellStyle name="Percent 8 2 2 3 2 4 2" xfId="42056" xr:uid="{00000000-0005-0000-0000-000025A40000}"/>
    <cellStyle name="Percent 8 2 2 3 2 5" xfId="42057" xr:uid="{00000000-0005-0000-0000-000026A40000}"/>
    <cellStyle name="Percent 8 2 2 3 2 6" xfId="42058" xr:uid="{00000000-0005-0000-0000-000027A40000}"/>
    <cellStyle name="Percent 8 2 2 3 3" xfId="42059" xr:uid="{00000000-0005-0000-0000-000028A40000}"/>
    <cellStyle name="Percent 8 2 2 3 3 2" xfId="42060" xr:uid="{00000000-0005-0000-0000-000029A40000}"/>
    <cellStyle name="Percent 8 2 2 3 3 2 2" xfId="42061" xr:uid="{00000000-0005-0000-0000-00002AA40000}"/>
    <cellStyle name="Percent 8 2 2 3 3 3" xfId="42062" xr:uid="{00000000-0005-0000-0000-00002BA40000}"/>
    <cellStyle name="Percent 8 2 2 3 3 3 2" xfId="42063" xr:uid="{00000000-0005-0000-0000-00002CA40000}"/>
    <cellStyle name="Percent 8 2 2 3 3 4" xfId="42064" xr:uid="{00000000-0005-0000-0000-00002DA40000}"/>
    <cellStyle name="Percent 8 2 2 3 3 4 2" xfId="42065" xr:uid="{00000000-0005-0000-0000-00002EA40000}"/>
    <cellStyle name="Percent 8 2 2 3 3 5" xfId="42066" xr:uid="{00000000-0005-0000-0000-00002FA40000}"/>
    <cellStyle name="Percent 8 2 2 3 3 6" xfId="42067" xr:uid="{00000000-0005-0000-0000-000030A40000}"/>
    <cellStyle name="Percent 8 2 2 3 4" xfId="42068" xr:uid="{00000000-0005-0000-0000-000031A40000}"/>
    <cellStyle name="Percent 8 2 2 3 4 2" xfId="42069" xr:uid="{00000000-0005-0000-0000-000032A40000}"/>
    <cellStyle name="Percent 8 2 2 3 4 2 2" xfId="42070" xr:uid="{00000000-0005-0000-0000-000033A40000}"/>
    <cellStyle name="Percent 8 2 2 3 4 3" xfId="42071" xr:uid="{00000000-0005-0000-0000-000034A40000}"/>
    <cellStyle name="Percent 8 2 2 3 4 3 2" xfId="42072" xr:uid="{00000000-0005-0000-0000-000035A40000}"/>
    <cellStyle name="Percent 8 2 2 3 4 4" xfId="42073" xr:uid="{00000000-0005-0000-0000-000036A40000}"/>
    <cellStyle name="Percent 8 2 2 3 4 4 2" xfId="42074" xr:uid="{00000000-0005-0000-0000-000037A40000}"/>
    <cellStyle name="Percent 8 2 2 3 4 5" xfId="42075" xr:uid="{00000000-0005-0000-0000-000038A40000}"/>
    <cellStyle name="Percent 8 2 2 3 4 6" xfId="42076" xr:uid="{00000000-0005-0000-0000-000039A40000}"/>
    <cellStyle name="Percent 8 2 2 3 5" xfId="42077" xr:uid="{00000000-0005-0000-0000-00003AA40000}"/>
    <cellStyle name="Percent 8 2 2 3 5 2" xfId="42078" xr:uid="{00000000-0005-0000-0000-00003BA40000}"/>
    <cellStyle name="Percent 8 2 2 3 5 2 2" xfId="42079" xr:uid="{00000000-0005-0000-0000-00003CA40000}"/>
    <cellStyle name="Percent 8 2 2 3 5 3" xfId="42080" xr:uid="{00000000-0005-0000-0000-00003DA40000}"/>
    <cellStyle name="Percent 8 2 2 3 5 3 2" xfId="42081" xr:uid="{00000000-0005-0000-0000-00003EA40000}"/>
    <cellStyle name="Percent 8 2 2 3 5 4" xfId="42082" xr:uid="{00000000-0005-0000-0000-00003FA40000}"/>
    <cellStyle name="Percent 8 2 2 3 5 5" xfId="42083" xr:uid="{00000000-0005-0000-0000-000040A40000}"/>
    <cellStyle name="Percent 8 2 2 3 6" xfId="42084" xr:uid="{00000000-0005-0000-0000-000041A40000}"/>
    <cellStyle name="Percent 8 2 2 3 6 2" xfId="42085" xr:uid="{00000000-0005-0000-0000-000042A40000}"/>
    <cellStyle name="Percent 8 2 2 3 7" xfId="42086" xr:uid="{00000000-0005-0000-0000-000043A40000}"/>
    <cellStyle name="Percent 8 2 2 3 7 2" xfId="42087" xr:uid="{00000000-0005-0000-0000-000044A40000}"/>
    <cellStyle name="Percent 8 2 2 3 8" xfId="42088" xr:uid="{00000000-0005-0000-0000-000045A40000}"/>
    <cellStyle name="Percent 8 2 2 3 8 2" xfId="42089" xr:uid="{00000000-0005-0000-0000-000046A40000}"/>
    <cellStyle name="Percent 8 2 2 3 9" xfId="42090" xr:uid="{00000000-0005-0000-0000-000047A40000}"/>
    <cellStyle name="Percent 8 2 2 4" xfId="42091" xr:uid="{00000000-0005-0000-0000-000048A40000}"/>
    <cellStyle name="Percent 8 2 2 4 10" xfId="42092" xr:uid="{00000000-0005-0000-0000-000049A40000}"/>
    <cellStyle name="Percent 8 2 2 4 2" xfId="42093" xr:uid="{00000000-0005-0000-0000-00004AA40000}"/>
    <cellStyle name="Percent 8 2 2 4 2 2" xfId="42094" xr:uid="{00000000-0005-0000-0000-00004BA40000}"/>
    <cellStyle name="Percent 8 2 2 4 2 2 2" xfId="42095" xr:uid="{00000000-0005-0000-0000-00004CA40000}"/>
    <cellStyle name="Percent 8 2 2 4 2 3" xfId="42096" xr:uid="{00000000-0005-0000-0000-00004DA40000}"/>
    <cellStyle name="Percent 8 2 2 4 2 3 2" xfId="42097" xr:uid="{00000000-0005-0000-0000-00004EA40000}"/>
    <cellStyle name="Percent 8 2 2 4 2 4" xfId="42098" xr:uid="{00000000-0005-0000-0000-00004FA40000}"/>
    <cellStyle name="Percent 8 2 2 4 2 4 2" xfId="42099" xr:uid="{00000000-0005-0000-0000-000050A40000}"/>
    <cellStyle name="Percent 8 2 2 4 2 5" xfId="42100" xr:uid="{00000000-0005-0000-0000-000051A40000}"/>
    <cellStyle name="Percent 8 2 2 4 2 6" xfId="42101" xr:uid="{00000000-0005-0000-0000-000052A40000}"/>
    <cellStyle name="Percent 8 2 2 4 3" xfId="42102" xr:uid="{00000000-0005-0000-0000-000053A40000}"/>
    <cellStyle name="Percent 8 2 2 4 3 2" xfId="42103" xr:uid="{00000000-0005-0000-0000-000054A40000}"/>
    <cellStyle name="Percent 8 2 2 4 3 2 2" xfId="42104" xr:uid="{00000000-0005-0000-0000-000055A40000}"/>
    <cellStyle name="Percent 8 2 2 4 3 3" xfId="42105" xr:uid="{00000000-0005-0000-0000-000056A40000}"/>
    <cellStyle name="Percent 8 2 2 4 3 3 2" xfId="42106" xr:uid="{00000000-0005-0000-0000-000057A40000}"/>
    <cellStyle name="Percent 8 2 2 4 3 4" xfId="42107" xr:uid="{00000000-0005-0000-0000-000058A40000}"/>
    <cellStyle name="Percent 8 2 2 4 3 4 2" xfId="42108" xr:uid="{00000000-0005-0000-0000-000059A40000}"/>
    <cellStyle name="Percent 8 2 2 4 3 5" xfId="42109" xr:uid="{00000000-0005-0000-0000-00005AA40000}"/>
    <cellStyle name="Percent 8 2 2 4 3 6" xfId="42110" xr:uid="{00000000-0005-0000-0000-00005BA40000}"/>
    <cellStyle name="Percent 8 2 2 4 4" xfId="42111" xr:uid="{00000000-0005-0000-0000-00005CA40000}"/>
    <cellStyle name="Percent 8 2 2 4 4 2" xfId="42112" xr:uid="{00000000-0005-0000-0000-00005DA40000}"/>
    <cellStyle name="Percent 8 2 2 4 4 2 2" xfId="42113" xr:uid="{00000000-0005-0000-0000-00005EA40000}"/>
    <cellStyle name="Percent 8 2 2 4 4 3" xfId="42114" xr:uid="{00000000-0005-0000-0000-00005FA40000}"/>
    <cellStyle name="Percent 8 2 2 4 4 3 2" xfId="42115" xr:uid="{00000000-0005-0000-0000-000060A40000}"/>
    <cellStyle name="Percent 8 2 2 4 4 4" xfId="42116" xr:uid="{00000000-0005-0000-0000-000061A40000}"/>
    <cellStyle name="Percent 8 2 2 4 4 4 2" xfId="42117" xr:uid="{00000000-0005-0000-0000-000062A40000}"/>
    <cellStyle name="Percent 8 2 2 4 4 5" xfId="42118" xr:uid="{00000000-0005-0000-0000-000063A40000}"/>
    <cellStyle name="Percent 8 2 2 4 4 6" xfId="42119" xr:uid="{00000000-0005-0000-0000-000064A40000}"/>
    <cellStyle name="Percent 8 2 2 4 5" xfId="42120" xr:uid="{00000000-0005-0000-0000-000065A40000}"/>
    <cellStyle name="Percent 8 2 2 4 5 2" xfId="42121" xr:uid="{00000000-0005-0000-0000-000066A40000}"/>
    <cellStyle name="Percent 8 2 2 4 5 2 2" xfId="42122" xr:uid="{00000000-0005-0000-0000-000067A40000}"/>
    <cellStyle name="Percent 8 2 2 4 5 3" xfId="42123" xr:uid="{00000000-0005-0000-0000-000068A40000}"/>
    <cellStyle name="Percent 8 2 2 4 5 3 2" xfId="42124" xr:uid="{00000000-0005-0000-0000-000069A40000}"/>
    <cellStyle name="Percent 8 2 2 4 5 4" xfId="42125" xr:uid="{00000000-0005-0000-0000-00006AA40000}"/>
    <cellStyle name="Percent 8 2 2 4 5 5" xfId="42126" xr:uid="{00000000-0005-0000-0000-00006BA40000}"/>
    <cellStyle name="Percent 8 2 2 4 6" xfId="42127" xr:uid="{00000000-0005-0000-0000-00006CA40000}"/>
    <cellStyle name="Percent 8 2 2 4 6 2" xfId="42128" xr:uid="{00000000-0005-0000-0000-00006DA40000}"/>
    <cellStyle name="Percent 8 2 2 4 7" xfId="42129" xr:uid="{00000000-0005-0000-0000-00006EA40000}"/>
    <cellStyle name="Percent 8 2 2 4 7 2" xfId="42130" xr:uid="{00000000-0005-0000-0000-00006FA40000}"/>
    <cellStyle name="Percent 8 2 2 4 8" xfId="42131" xr:uid="{00000000-0005-0000-0000-000070A40000}"/>
    <cellStyle name="Percent 8 2 2 4 8 2" xfId="42132" xr:uid="{00000000-0005-0000-0000-000071A40000}"/>
    <cellStyle name="Percent 8 2 2 4 9" xfId="42133" xr:uid="{00000000-0005-0000-0000-000072A40000}"/>
    <cellStyle name="Percent 8 2 2 5" xfId="42134" xr:uid="{00000000-0005-0000-0000-000073A40000}"/>
    <cellStyle name="Percent 8 2 2 5 2" xfId="42135" xr:uid="{00000000-0005-0000-0000-000074A40000}"/>
    <cellStyle name="Percent 8 2 2 5 2 2" xfId="42136" xr:uid="{00000000-0005-0000-0000-000075A40000}"/>
    <cellStyle name="Percent 8 2 2 5 3" xfId="42137" xr:uid="{00000000-0005-0000-0000-000076A40000}"/>
    <cellStyle name="Percent 8 2 2 5 3 2" xfId="42138" xr:uid="{00000000-0005-0000-0000-000077A40000}"/>
    <cellStyle name="Percent 8 2 2 5 4" xfId="42139" xr:uid="{00000000-0005-0000-0000-000078A40000}"/>
    <cellStyle name="Percent 8 2 2 5 4 2" xfId="42140" xr:uid="{00000000-0005-0000-0000-000079A40000}"/>
    <cellStyle name="Percent 8 2 2 5 5" xfId="42141" xr:uid="{00000000-0005-0000-0000-00007AA40000}"/>
    <cellStyle name="Percent 8 2 2 5 6" xfId="42142" xr:uid="{00000000-0005-0000-0000-00007BA40000}"/>
    <cellStyle name="Percent 8 2 2 6" xfId="42143" xr:uid="{00000000-0005-0000-0000-00007CA40000}"/>
    <cellStyle name="Percent 8 2 2 6 2" xfId="42144" xr:uid="{00000000-0005-0000-0000-00007DA40000}"/>
    <cellStyle name="Percent 8 2 2 6 2 2" xfId="42145" xr:uid="{00000000-0005-0000-0000-00007EA40000}"/>
    <cellStyle name="Percent 8 2 2 6 3" xfId="42146" xr:uid="{00000000-0005-0000-0000-00007FA40000}"/>
    <cellStyle name="Percent 8 2 2 6 3 2" xfId="42147" xr:uid="{00000000-0005-0000-0000-000080A40000}"/>
    <cellStyle name="Percent 8 2 2 6 4" xfId="42148" xr:uid="{00000000-0005-0000-0000-000081A40000}"/>
    <cellStyle name="Percent 8 2 2 6 4 2" xfId="42149" xr:uid="{00000000-0005-0000-0000-000082A40000}"/>
    <cellStyle name="Percent 8 2 2 6 5" xfId="42150" xr:uid="{00000000-0005-0000-0000-000083A40000}"/>
    <cellStyle name="Percent 8 2 2 6 6" xfId="42151" xr:uid="{00000000-0005-0000-0000-000084A40000}"/>
    <cellStyle name="Percent 8 2 2 7" xfId="42152" xr:uid="{00000000-0005-0000-0000-000085A40000}"/>
    <cellStyle name="Percent 8 2 2 7 2" xfId="42153" xr:uid="{00000000-0005-0000-0000-000086A40000}"/>
    <cellStyle name="Percent 8 2 2 7 2 2" xfId="42154" xr:uid="{00000000-0005-0000-0000-000087A40000}"/>
    <cellStyle name="Percent 8 2 2 7 3" xfId="42155" xr:uid="{00000000-0005-0000-0000-000088A40000}"/>
    <cellStyle name="Percent 8 2 2 7 3 2" xfId="42156" xr:uid="{00000000-0005-0000-0000-000089A40000}"/>
    <cellStyle name="Percent 8 2 2 7 4" xfId="42157" xr:uid="{00000000-0005-0000-0000-00008AA40000}"/>
    <cellStyle name="Percent 8 2 2 7 4 2" xfId="42158" xr:uid="{00000000-0005-0000-0000-00008BA40000}"/>
    <cellStyle name="Percent 8 2 2 7 5" xfId="42159" xr:uid="{00000000-0005-0000-0000-00008CA40000}"/>
    <cellStyle name="Percent 8 2 2 7 6" xfId="42160" xr:uid="{00000000-0005-0000-0000-00008DA40000}"/>
    <cellStyle name="Percent 8 2 2 8" xfId="42161" xr:uid="{00000000-0005-0000-0000-00008EA40000}"/>
    <cellStyle name="Percent 8 2 2 8 2" xfId="42162" xr:uid="{00000000-0005-0000-0000-00008FA40000}"/>
    <cellStyle name="Percent 8 2 2 8 2 2" xfId="42163" xr:uid="{00000000-0005-0000-0000-000090A40000}"/>
    <cellStyle name="Percent 8 2 2 8 3" xfId="42164" xr:uid="{00000000-0005-0000-0000-000091A40000}"/>
    <cellStyle name="Percent 8 2 2 8 3 2" xfId="42165" xr:uid="{00000000-0005-0000-0000-000092A40000}"/>
    <cellStyle name="Percent 8 2 2 8 4" xfId="42166" xr:uid="{00000000-0005-0000-0000-000093A40000}"/>
    <cellStyle name="Percent 8 2 2 8 5" xfId="42167" xr:uid="{00000000-0005-0000-0000-000094A40000}"/>
    <cellStyle name="Percent 8 2 2 9" xfId="42168" xr:uid="{00000000-0005-0000-0000-000095A40000}"/>
    <cellStyle name="Percent 8 2 2 9 2" xfId="42169" xr:uid="{00000000-0005-0000-0000-000096A40000}"/>
    <cellStyle name="Percent 8 2 3" xfId="42170" xr:uid="{00000000-0005-0000-0000-000097A40000}"/>
    <cellStyle name="Percent 8 2 3 10" xfId="42171" xr:uid="{00000000-0005-0000-0000-000098A40000}"/>
    <cellStyle name="Percent 8 2 3 10 2" xfId="42172" xr:uid="{00000000-0005-0000-0000-000099A40000}"/>
    <cellStyle name="Percent 8 2 3 11" xfId="42173" xr:uid="{00000000-0005-0000-0000-00009AA40000}"/>
    <cellStyle name="Percent 8 2 3 11 2" xfId="42174" xr:uid="{00000000-0005-0000-0000-00009BA40000}"/>
    <cellStyle name="Percent 8 2 3 12" xfId="42175" xr:uid="{00000000-0005-0000-0000-00009CA40000}"/>
    <cellStyle name="Percent 8 2 3 13" xfId="42176" xr:uid="{00000000-0005-0000-0000-00009DA40000}"/>
    <cellStyle name="Percent 8 2 3 2" xfId="42177" xr:uid="{00000000-0005-0000-0000-00009EA40000}"/>
    <cellStyle name="Percent 8 2 3 2 10" xfId="42178" xr:uid="{00000000-0005-0000-0000-00009FA40000}"/>
    <cellStyle name="Percent 8 2 3 2 11" xfId="42179" xr:uid="{00000000-0005-0000-0000-0000A0A40000}"/>
    <cellStyle name="Percent 8 2 3 2 2" xfId="42180" xr:uid="{00000000-0005-0000-0000-0000A1A40000}"/>
    <cellStyle name="Percent 8 2 3 2 2 2" xfId="42181" xr:uid="{00000000-0005-0000-0000-0000A2A40000}"/>
    <cellStyle name="Percent 8 2 3 2 2 2 2" xfId="42182" xr:uid="{00000000-0005-0000-0000-0000A3A40000}"/>
    <cellStyle name="Percent 8 2 3 2 2 3" xfId="42183" xr:uid="{00000000-0005-0000-0000-0000A4A40000}"/>
    <cellStyle name="Percent 8 2 3 2 2 3 2" xfId="42184" xr:uid="{00000000-0005-0000-0000-0000A5A40000}"/>
    <cellStyle name="Percent 8 2 3 2 2 4" xfId="42185" xr:uid="{00000000-0005-0000-0000-0000A6A40000}"/>
    <cellStyle name="Percent 8 2 3 2 2 4 2" xfId="42186" xr:uid="{00000000-0005-0000-0000-0000A7A40000}"/>
    <cellStyle name="Percent 8 2 3 2 2 5" xfId="42187" xr:uid="{00000000-0005-0000-0000-0000A8A40000}"/>
    <cellStyle name="Percent 8 2 3 2 2 6" xfId="42188" xr:uid="{00000000-0005-0000-0000-0000A9A40000}"/>
    <cellStyle name="Percent 8 2 3 2 3" xfId="42189" xr:uid="{00000000-0005-0000-0000-0000AAA40000}"/>
    <cellStyle name="Percent 8 2 3 2 3 2" xfId="42190" xr:uid="{00000000-0005-0000-0000-0000ABA40000}"/>
    <cellStyle name="Percent 8 2 3 2 3 2 2" xfId="42191" xr:uid="{00000000-0005-0000-0000-0000ACA40000}"/>
    <cellStyle name="Percent 8 2 3 2 3 3" xfId="42192" xr:uid="{00000000-0005-0000-0000-0000ADA40000}"/>
    <cellStyle name="Percent 8 2 3 2 3 3 2" xfId="42193" xr:uid="{00000000-0005-0000-0000-0000AEA40000}"/>
    <cellStyle name="Percent 8 2 3 2 3 4" xfId="42194" xr:uid="{00000000-0005-0000-0000-0000AFA40000}"/>
    <cellStyle name="Percent 8 2 3 2 3 4 2" xfId="42195" xr:uid="{00000000-0005-0000-0000-0000B0A40000}"/>
    <cellStyle name="Percent 8 2 3 2 3 5" xfId="42196" xr:uid="{00000000-0005-0000-0000-0000B1A40000}"/>
    <cellStyle name="Percent 8 2 3 2 3 6" xfId="42197" xr:uid="{00000000-0005-0000-0000-0000B2A40000}"/>
    <cellStyle name="Percent 8 2 3 2 4" xfId="42198" xr:uid="{00000000-0005-0000-0000-0000B3A40000}"/>
    <cellStyle name="Percent 8 2 3 2 4 2" xfId="42199" xr:uid="{00000000-0005-0000-0000-0000B4A40000}"/>
    <cellStyle name="Percent 8 2 3 2 4 2 2" xfId="42200" xr:uid="{00000000-0005-0000-0000-0000B5A40000}"/>
    <cellStyle name="Percent 8 2 3 2 4 3" xfId="42201" xr:uid="{00000000-0005-0000-0000-0000B6A40000}"/>
    <cellStyle name="Percent 8 2 3 2 4 3 2" xfId="42202" xr:uid="{00000000-0005-0000-0000-0000B7A40000}"/>
    <cellStyle name="Percent 8 2 3 2 4 4" xfId="42203" xr:uid="{00000000-0005-0000-0000-0000B8A40000}"/>
    <cellStyle name="Percent 8 2 3 2 4 4 2" xfId="42204" xr:uid="{00000000-0005-0000-0000-0000B9A40000}"/>
    <cellStyle name="Percent 8 2 3 2 4 5" xfId="42205" xr:uid="{00000000-0005-0000-0000-0000BAA40000}"/>
    <cellStyle name="Percent 8 2 3 2 4 6" xfId="42206" xr:uid="{00000000-0005-0000-0000-0000BBA40000}"/>
    <cellStyle name="Percent 8 2 3 2 5" xfId="42207" xr:uid="{00000000-0005-0000-0000-0000BCA40000}"/>
    <cellStyle name="Percent 8 2 3 2 5 2" xfId="42208" xr:uid="{00000000-0005-0000-0000-0000BDA40000}"/>
    <cellStyle name="Percent 8 2 3 2 5 2 2" xfId="42209" xr:uid="{00000000-0005-0000-0000-0000BEA40000}"/>
    <cellStyle name="Percent 8 2 3 2 5 3" xfId="42210" xr:uid="{00000000-0005-0000-0000-0000BFA40000}"/>
    <cellStyle name="Percent 8 2 3 2 5 3 2" xfId="42211" xr:uid="{00000000-0005-0000-0000-0000C0A40000}"/>
    <cellStyle name="Percent 8 2 3 2 5 4" xfId="42212" xr:uid="{00000000-0005-0000-0000-0000C1A40000}"/>
    <cellStyle name="Percent 8 2 3 2 5 4 2" xfId="42213" xr:uid="{00000000-0005-0000-0000-0000C2A40000}"/>
    <cellStyle name="Percent 8 2 3 2 5 5" xfId="42214" xr:uid="{00000000-0005-0000-0000-0000C3A40000}"/>
    <cellStyle name="Percent 8 2 3 2 5 6" xfId="42215" xr:uid="{00000000-0005-0000-0000-0000C4A40000}"/>
    <cellStyle name="Percent 8 2 3 2 6" xfId="42216" xr:uid="{00000000-0005-0000-0000-0000C5A40000}"/>
    <cellStyle name="Percent 8 2 3 2 6 2" xfId="42217" xr:uid="{00000000-0005-0000-0000-0000C6A40000}"/>
    <cellStyle name="Percent 8 2 3 2 6 2 2" xfId="42218" xr:uid="{00000000-0005-0000-0000-0000C7A40000}"/>
    <cellStyle name="Percent 8 2 3 2 6 3" xfId="42219" xr:uid="{00000000-0005-0000-0000-0000C8A40000}"/>
    <cellStyle name="Percent 8 2 3 2 6 3 2" xfId="42220" xr:uid="{00000000-0005-0000-0000-0000C9A40000}"/>
    <cellStyle name="Percent 8 2 3 2 6 4" xfId="42221" xr:uid="{00000000-0005-0000-0000-0000CAA40000}"/>
    <cellStyle name="Percent 8 2 3 2 6 5" xfId="42222" xr:uid="{00000000-0005-0000-0000-0000CBA40000}"/>
    <cellStyle name="Percent 8 2 3 2 7" xfId="42223" xr:uid="{00000000-0005-0000-0000-0000CCA40000}"/>
    <cellStyle name="Percent 8 2 3 2 7 2" xfId="42224" xr:uid="{00000000-0005-0000-0000-0000CDA40000}"/>
    <cellStyle name="Percent 8 2 3 2 8" xfId="42225" xr:uid="{00000000-0005-0000-0000-0000CEA40000}"/>
    <cellStyle name="Percent 8 2 3 2 8 2" xfId="42226" xr:uid="{00000000-0005-0000-0000-0000CFA40000}"/>
    <cellStyle name="Percent 8 2 3 2 9" xfId="42227" xr:uid="{00000000-0005-0000-0000-0000D0A40000}"/>
    <cellStyle name="Percent 8 2 3 2 9 2" xfId="42228" xr:uid="{00000000-0005-0000-0000-0000D1A40000}"/>
    <cellStyle name="Percent 8 2 3 3" xfId="42229" xr:uid="{00000000-0005-0000-0000-0000D2A40000}"/>
    <cellStyle name="Percent 8 2 3 3 10" xfId="42230" xr:uid="{00000000-0005-0000-0000-0000D3A40000}"/>
    <cellStyle name="Percent 8 2 3 3 2" xfId="42231" xr:uid="{00000000-0005-0000-0000-0000D4A40000}"/>
    <cellStyle name="Percent 8 2 3 3 2 2" xfId="42232" xr:uid="{00000000-0005-0000-0000-0000D5A40000}"/>
    <cellStyle name="Percent 8 2 3 3 2 2 2" xfId="42233" xr:uid="{00000000-0005-0000-0000-0000D6A40000}"/>
    <cellStyle name="Percent 8 2 3 3 2 3" xfId="42234" xr:uid="{00000000-0005-0000-0000-0000D7A40000}"/>
    <cellStyle name="Percent 8 2 3 3 2 3 2" xfId="42235" xr:uid="{00000000-0005-0000-0000-0000D8A40000}"/>
    <cellStyle name="Percent 8 2 3 3 2 4" xfId="42236" xr:uid="{00000000-0005-0000-0000-0000D9A40000}"/>
    <cellStyle name="Percent 8 2 3 3 2 4 2" xfId="42237" xr:uid="{00000000-0005-0000-0000-0000DAA40000}"/>
    <cellStyle name="Percent 8 2 3 3 2 5" xfId="42238" xr:uid="{00000000-0005-0000-0000-0000DBA40000}"/>
    <cellStyle name="Percent 8 2 3 3 2 6" xfId="42239" xr:uid="{00000000-0005-0000-0000-0000DCA40000}"/>
    <cellStyle name="Percent 8 2 3 3 3" xfId="42240" xr:uid="{00000000-0005-0000-0000-0000DDA40000}"/>
    <cellStyle name="Percent 8 2 3 3 3 2" xfId="42241" xr:uid="{00000000-0005-0000-0000-0000DEA40000}"/>
    <cellStyle name="Percent 8 2 3 3 3 2 2" xfId="42242" xr:uid="{00000000-0005-0000-0000-0000DFA40000}"/>
    <cellStyle name="Percent 8 2 3 3 3 3" xfId="42243" xr:uid="{00000000-0005-0000-0000-0000E0A40000}"/>
    <cellStyle name="Percent 8 2 3 3 3 3 2" xfId="42244" xr:uid="{00000000-0005-0000-0000-0000E1A40000}"/>
    <cellStyle name="Percent 8 2 3 3 3 4" xfId="42245" xr:uid="{00000000-0005-0000-0000-0000E2A40000}"/>
    <cellStyle name="Percent 8 2 3 3 3 4 2" xfId="42246" xr:uid="{00000000-0005-0000-0000-0000E3A40000}"/>
    <cellStyle name="Percent 8 2 3 3 3 5" xfId="42247" xr:uid="{00000000-0005-0000-0000-0000E4A40000}"/>
    <cellStyle name="Percent 8 2 3 3 3 6" xfId="42248" xr:uid="{00000000-0005-0000-0000-0000E5A40000}"/>
    <cellStyle name="Percent 8 2 3 3 4" xfId="42249" xr:uid="{00000000-0005-0000-0000-0000E6A40000}"/>
    <cellStyle name="Percent 8 2 3 3 4 2" xfId="42250" xr:uid="{00000000-0005-0000-0000-0000E7A40000}"/>
    <cellStyle name="Percent 8 2 3 3 4 2 2" xfId="42251" xr:uid="{00000000-0005-0000-0000-0000E8A40000}"/>
    <cellStyle name="Percent 8 2 3 3 4 3" xfId="42252" xr:uid="{00000000-0005-0000-0000-0000E9A40000}"/>
    <cellStyle name="Percent 8 2 3 3 4 3 2" xfId="42253" xr:uid="{00000000-0005-0000-0000-0000EAA40000}"/>
    <cellStyle name="Percent 8 2 3 3 4 4" xfId="42254" xr:uid="{00000000-0005-0000-0000-0000EBA40000}"/>
    <cellStyle name="Percent 8 2 3 3 4 4 2" xfId="42255" xr:uid="{00000000-0005-0000-0000-0000ECA40000}"/>
    <cellStyle name="Percent 8 2 3 3 4 5" xfId="42256" xr:uid="{00000000-0005-0000-0000-0000EDA40000}"/>
    <cellStyle name="Percent 8 2 3 3 4 6" xfId="42257" xr:uid="{00000000-0005-0000-0000-0000EEA40000}"/>
    <cellStyle name="Percent 8 2 3 3 5" xfId="42258" xr:uid="{00000000-0005-0000-0000-0000EFA40000}"/>
    <cellStyle name="Percent 8 2 3 3 5 2" xfId="42259" xr:uid="{00000000-0005-0000-0000-0000F0A40000}"/>
    <cellStyle name="Percent 8 2 3 3 5 2 2" xfId="42260" xr:uid="{00000000-0005-0000-0000-0000F1A40000}"/>
    <cellStyle name="Percent 8 2 3 3 5 3" xfId="42261" xr:uid="{00000000-0005-0000-0000-0000F2A40000}"/>
    <cellStyle name="Percent 8 2 3 3 5 3 2" xfId="42262" xr:uid="{00000000-0005-0000-0000-0000F3A40000}"/>
    <cellStyle name="Percent 8 2 3 3 5 4" xfId="42263" xr:uid="{00000000-0005-0000-0000-0000F4A40000}"/>
    <cellStyle name="Percent 8 2 3 3 5 5" xfId="42264" xr:uid="{00000000-0005-0000-0000-0000F5A40000}"/>
    <cellStyle name="Percent 8 2 3 3 6" xfId="42265" xr:uid="{00000000-0005-0000-0000-0000F6A40000}"/>
    <cellStyle name="Percent 8 2 3 3 6 2" xfId="42266" xr:uid="{00000000-0005-0000-0000-0000F7A40000}"/>
    <cellStyle name="Percent 8 2 3 3 7" xfId="42267" xr:uid="{00000000-0005-0000-0000-0000F8A40000}"/>
    <cellStyle name="Percent 8 2 3 3 7 2" xfId="42268" xr:uid="{00000000-0005-0000-0000-0000F9A40000}"/>
    <cellStyle name="Percent 8 2 3 3 8" xfId="42269" xr:uid="{00000000-0005-0000-0000-0000FAA40000}"/>
    <cellStyle name="Percent 8 2 3 3 8 2" xfId="42270" xr:uid="{00000000-0005-0000-0000-0000FBA40000}"/>
    <cellStyle name="Percent 8 2 3 3 9" xfId="42271" xr:uid="{00000000-0005-0000-0000-0000FCA40000}"/>
    <cellStyle name="Percent 8 2 3 4" xfId="42272" xr:uid="{00000000-0005-0000-0000-0000FDA40000}"/>
    <cellStyle name="Percent 8 2 3 4 10" xfId="42273" xr:uid="{00000000-0005-0000-0000-0000FEA40000}"/>
    <cellStyle name="Percent 8 2 3 4 2" xfId="42274" xr:uid="{00000000-0005-0000-0000-0000FFA40000}"/>
    <cellStyle name="Percent 8 2 3 4 2 2" xfId="42275" xr:uid="{00000000-0005-0000-0000-000000A50000}"/>
    <cellStyle name="Percent 8 2 3 4 2 2 2" xfId="42276" xr:uid="{00000000-0005-0000-0000-000001A50000}"/>
    <cellStyle name="Percent 8 2 3 4 2 3" xfId="42277" xr:uid="{00000000-0005-0000-0000-000002A50000}"/>
    <cellStyle name="Percent 8 2 3 4 2 3 2" xfId="42278" xr:uid="{00000000-0005-0000-0000-000003A50000}"/>
    <cellStyle name="Percent 8 2 3 4 2 4" xfId="42279" xr:uid="{00000000-0005-0000-0000-000004A50000}"/>
    <cellStyle name="Percent 8 2 3 4 2 4 2" xfId="42280" xr:uid="{00000000-0005-0000-0000-000005A50000}"/>
    <cellStyle name="Percent 8 2 3 4 2 5" xfId="42281" xr:uid="{00000000-0005-0000-0000-000006A50000}"/>
    <cellStyle name="Percent 8 2 3 4 2 6" xfId="42282" xr:uid="{00000000-0005-0000-0000-000007A50000}"/>
    <cellStyle name="Percent 8 2 3 4 3" xfId="42283" xr:uid="{00000000-0005-0000-0000-000008A50000}"/>
    <cellStyle name="Percent 8 2 3 4 3 2" xfId="42284" xr:uid="{00000000-0005-0000-0000-000009A50000}"/>
    <cellStyle name="Percent 8 2 3 4 3 2 2" xfId="42285" xr:uid="{00000000-0005-0000-0000-00000AA50000}"/>
    <cellStyle name="Percent 8 2 3 4 3 3" xfId="42286" xr:uid="{00000000-0005-0000-0000-00000BA50000}"/>
    <cellStyle name="Percent 8 2 3 4 3 3 2" xfId="42287" xr:uid="{00000000-0005-0000-0000-00000CA50000}"/>
    <cellStyle name="Percent 8 2 3 4 3 4" xfId="42288" xr:uid="{00000000-0005-0000-0000-00000DA50000}"/>
    <cellStyle name="Percent 8 2 3 4 3 4 2" xfId="42289" xr:uid="{00000000-0005-0000-0000-00000EA50000}"/>
    <cellStyle name="Percent 8 2 3 4 3 5" xfId="42290" xr:uid="{00000000-0005-0000-0000-00000FA50000}"/>
    <cellStyle name="Percent 8 2 3 4 3 6" xfId="42291" xr:uid="{00000000-0005-0000-0000-000010A50000}"/>
    <cellStyle name="Percent 8 2 3 4 4" xfId="42292" xr:uid="{00000000-0005-0000-0000-000011A50000}"/>
    <cellStyle name="Percent 8 2 3 4 4 2" xfId="42293" xr:uid="{00000000-0005-0000-0000-000012A50000}"/>
    <cellStyle name="Percent 8 2 3 4 4 2 2" xfId="42294" xr:uid="{00000000-0005-0000-0000-000013A50000}"/>
    <cellStyle name="Percent 8 2 3 4 4 3" xfId="42295" xr:uid="{00000000-0005-0000-0000-000014A50000}"/>
    <cellStyle name="Percent 8 2 3 4 4 3 2" xfId="42296" xr:uid="{00000000-0005-0000-0000-000015A50000}"/>
    <cellStyle name="Percent 8 2 3 4 4 4" xfId="42297" xr:uid="{00000000-0005-0000-0000-000016A50000}"/>
    <cellStyle name="Percent 8 2 3 4 4 4 2" xfId="42298" xr:uid="{00000000-0005-0000-0000-000017A50000}"/>
    <cellStyle name="Percent 8 2 3 4 4 5" xfId="42299" xr:uid="{00000000-0005-0000-0000-000018A50000}"/>
    <cellStyle name="Percent 8 2 3 4 4 6" xfId="42300" xr:uid="{00000000-0005-0000-0000-000019A50000}"/>
    <cellStyle name="Percent 8 2 3 4 5" xfId="42301" xr:uid="{00000000-0005-0000-0000-00001AA50000}"/>
    <cellStyle name="Percent 8 2 3 4 5 2" xfId="42302" xr:uid="{00000000-0005-0000-0000-00001BA50000}"/>
    <cellStyle name="Percent 8 2 3 4 5 2 2" xfId="42303" xr:uid="{00000000-0005-0000-0000-00001CA50000}"/>
    <cellStyle name="Percent 8 2 3 4 5 3" xfId="42304" xr:uid="{00000000-0005-0000-0000-00001DA50000}"/>
    <cellStyle name="Percent 8 2 3 4 5 3 2" xfId="42305" xr:uid="{00000000-0005-0000-0000-00001EA50000}"/>
    <cellStyle name="Percent 8 2 3 4 5 4" xfId="42306" xr:uid="{00000000-0005-0000-0000-00001FA50000}"/>
    <cellStyle name="Percent 8 2 3 4 5 5" xfId="42307" xr:uid="{00000000-0005-0000-0000-000020A50000}"/>
    <cellStyle name="Percent 8 2 3 4 6" xfId="42308" xr:uid="{00000000-0005-0000-0000-000021A50000}"/>
    <cellStyle name="Percent 8 2 3 4 6 2" xfId="42309" xr:uid="{00000000-0005-0000-0000-000022A50000}"/>
    <cellStyle name="Percent 8 2 3 4 7" xfId="42310" xr:uid="{00000000-0005-0000-0000-000023A50000}"/>
    <cellStyle name="Percent 8 2 3 4 7 2" xfId="42311" xr:uid="{00000000-0005-0000-0000-000024A50000}"/>
    <cellStyle name="Percent 8 2 3 4 8" xfId="42312" xr:uid="{00000000-0005-0000-0000-000025A50000}"/>
    <cellStyle name="Percent 8 2 3 4 8 2" xfId="42313" xr:uid="{00000000-0005-0000-0000-000026A50000}"/>
    <cellStyle name="Percent 8 2 3 4 9" xfId="42314" xr:uid="{00000000-0005-0000-0000-000027A50000}"/>
    <cellStyle name="Percent 8 2 3 5" xfId="42315" xr:uid="{00000000-0005-0000-0000-000028A50000}"/>
    <cellStyle name="Percent 8 2 3 5 2" xfId="42316" xr:uid="{00000000-0005-0000-0000-000029A50000}"/>
    <cellStyle name="Percent 8 2 3 5 2 2" xfId="42317" xr:uid="{00000000-0005-0000-0000-00002AA50000}"/>
    <cellStyle name="Percent 8 2 3 5 3" xfId="42318" xr:uid="{00000000-0005-0000-0000-00002BA50000}"/>
    <cellStyle name="Percent 8 2 3 5 3 2" xfId="42319" xr:uid="{00000000-0005-0000-0000-00002CA50000}"/>
    <cellStyle name="Percent 8 2 3 5 4" xfId="42320" xr:uid="{00000000-0005-0000-0000-00002DA50000}"/>
    <cellStyle name="Percent 8 2 3 5 4 2" xfId="42321" xr:uid="{00000000-0005-0000-0000-00002EA50000}"/>
    <cellStyle name="Percent 8 2 3 5 5" xfId="42322" xr:uid="{00000000-0005-0000-0000-00002FA50000}"/>
    <cellStyle name="Percent 8 2 3 5 6" xfId="42323" xr:uid="{00000000-0005-0000-0000-000030A50000}"/>
    <cellStyle name="Percent 8 2 3 6" xfId="42324" xr:uid="{00000000-0005-0000-0000-000031A50000}"/>
    <cellStyle name="Percent 8 2 3 6 2" xfId="42325" xr:uid="{00000000-0005-0000-0000-000032A50000}"/>
    <cellStyle name="Percent 8 2 3 6 2 2" xfId="42326" xr:uid="{00000000-0005-0000-0000-000033A50000}"/>
    <cellStyle name="Percent 8 2 3 6 3" xfId="42327" xr:uid="{00000000-0005-0000-0000-000034A50000}"/>
    <cellStyle name="Percent 8 2 3 6 3 2" xfId="42328" xr:uid="{00000000-0005-0000-0000-000035A50000}"/>
    <cellStyle name="Percent 8 2 3 6 4" xfId="42329" xr:uid="{00000000-0005-0000-0000-000036A50000}"/>
    <cellStyle name="Percent 8 2 3 6 4 2" xfId="42330" xr:uid="{00000000-0005-0000-0000-000037A50000}"/>
    <cellStyle name="Percent 8 2 3 6 5" xfId="42331" xr:uid="{00000000-0005-0000-0000-000038A50000}"/>
    <cellStyle name="Percent 8 2 3 6 6" xfId="42332" xr:uid="{00000000-0005-0000-0000-000039A50000}"/>
    <cellStyle name="Percent 8 2 3 7" xfId="42333" xr:uid="{00000000-0005-0000-0000-00003AA50000}"/>
    <cellStyle name="Percent 8 2 3 7 2" xfId="42334" xr:uid="{00000000-0005-0000-0000-00003BA50000}"/>
    <cellStyle name="Percent 8 2 3 7 2 2" xfId="42335" xr:uid="{00000000-0005-0000-0000-00003CA50000}"/>
    <cellStyle name="Percent 8 2 3 7 3" xfId="42336" xr:uid="{00000000-0005-0000-0000-00003DA50000}"/>
    <cellStyle name="Percent 8 2 3 7 3 2" xfId="42337" xr:uid="{00000000-0005-0000-0000-00003EA50000}"/>
    <cellStyle name="Percent 8 2 3 7 4" xfId="42338" xr:uid="{00000000-0005-0000-0000-00003FA50000}"/>
    <cellStyle name="Percent 8 2 3 7 4 2" xfId="42339" xr:uid="{00000000-0005-0000-0000-000040A50000}"/>
    <cellStyle name="Percent 8 2 3 7 5" xfId="42340" xr:uid="{00000000-0005-0000-0000-000041A50000}"/>
    <cellStyle name="Percent 8 2 3 7 6" xfId="42341" xr:uid="{00000000-0005-0000-0000-000042A50000}"/>
    <cellStyle name="Percent 8 2 3 8" xfId="42342" xr:uid="{00000000-0005-0000-0000-000043A50000}"/>
    <cellStyle name="Percent 8 2 3 8 2" xfId="42343" xr:uid="{00000000-0005-0000-0000-000044A50000}"/>
    <cellStyle name="Percent 8 2 3 8 2 2" xfId="42344" xr:uid="{00000000-0005-0000-0000-000045A50000}"/>
    <cellStyle name="Percent 8 2 3 8 3" xfId="42345" xr:uid="{00000000-0005-0000-0000-000046A50000}"/>
    <cellStyle name="Percent 8 2 3 8 3 2" xfId="42346" xr:uid="{00000000-0005-0000-0000-000047A50000}"/>
    <cellStyle name="Percent 8 2 3 8 4" xfId="42347" xr:uid="{00000000-0005-0000-0000-000048A50000}"/>
    <cellStyle name="Percent 8 2 3 8 5" xfId="42348" xr:uid="{00000000-0005-0000-0000-000049A50000}"/>
    <cellStyle name="Percent 8 2 3 9" xfId="42349" xr:uid="{00000000-0005-0000-0000-00004AA50000}"/>
    <cellStyle name="Percent 8 2 3 9 2" xfId="42350" xr:uid="{00000000-0005-0000-0000-00004BA50000}"/>
    <cellStyle name="Percent 8 2 4" xfId="42351" xr:uid="{00000000-0005-0000-0000-00004CA50000}"/>
    <cellStyle name="Percent 8 2 4 10" xfId="42352" xr:uid="{00000000-0005-0000-0000-00004DA50000}"/>
    <cellStyle name="Percent 8 2 4 10 2" xfId="42353" xr:uid="{00000000-0005-0000-0000-00004EA50000}"/>
    <cellStyle name="Percent 8 2 4 11" xfId="42354" xr:uid="{00000000-0005-0000-0000-00004FA50000}"/>
    <cellStyle name="Percent 8 2 4 12" xfId="42355" xr:uid="{00000000-0005-0000-0000-000050A50000}"/>
    <cellStyle name="Percent 8 2 4 2" xfId="42356" xr:uid="{00000000-0005-0000-0000-000051A50000}"/>
    <cellStyle name="Percent 8 2 4 2 10" xfId="42357" xr:uid="{00000000-0005-0000-0000-000052A50000}"/>
    <cellStyle name="Percent 8 2 4 2 2" xfId="42358" xr:uid="{00000000-0005-0000-0000-000053A50000}"/>
    <cellStyle name="Percent 8 2 4 2 2 2" xfId="42359" xr:uid="{00000000-0005-0000-0000-000054A50000}"/>
    <cellStyle name="Percent 8 2 4 2 2 2 2" xfId="42360" xr:uid="{00000000-0005-0000-0000-000055A50000}"/>
    <cellStyle name="Percent 8 2 4 2 2 3" xfId="42361" xr:uid="{00000000-0005-0000-0000-000056A50000}"/>
    <cellStyle name="Percent 8 2 4 2 2 3 2" xfId="42362" xr:uid="{00000000-0005-0000-0000-000057A50000}"/>
    <cellStyle name="Percent 8 2 4 2 2 4" xfId="42363" xr:uid="{00000000-0005-0000-0000-000058A50000}"/>
    <cellStyle name="Percent 8 2 4 2 2 4 2" xfId="42364" xr:uid="{00000000-0005-0000-0000-000059A50000}"/>
    <cellStyle name="Percent 8 2 4 2 2 5" xfId="42365" xr:uid="{00000000-0005-0000-0000-00005AA50000}"/>
    <cellStyle name="Percent 8 2 4 2 2 6" xfId="42366" xr:uid="{00000000-0005-0000-0000-00005BA50000}"/>
    <cellStyle name="Percent 8 2 4 2 3" xfId="42367" xr:uid="{00000000-0005-0000-0000-00005CA50000}"/>
    <cellStyle name="Percent 8 2 4 2 3 2" xfId="42368" xr:uid="{00000000-0005-0000-0000-00005DA50000}"/>
    <cellStyle name="Percent 8 2 4 2 3 2 2" xfId="42369" xr:uid="{00000000-0005-0000-0000-00005EA50000}"/>
    <cellStyle name="Percent 8 2 4 2 3 3" xfId="42370" xr:uid="{00000000-0005-0000-0000-00005FA50000}"/>
    <cellStyle name="Percent 8 2 4 2 3 3 2" xfId="42371" xr:uid="{00000000-0005-0000-0000-000060A50000}"/>
    <cellStyle name="Percent 8 2 4 2 3 4" xfId="42372" xr:uid="{00000000-0005-0000-0000-000061A50000}"/>
    <cellStyle name="Percent 8 2 4 2 3 4 2" xfId="42373" xr:uid="{00000000-0005-0000-0000-000062A50000}"/>
    <cellStyle name="Percent 8 2 4 2 3 5" xfId="42374" xr:uid="{00000000-0005-0000-0000-000063A50000}"/>
    <cellStyle name="Percent 8 2 4 2 3 6" xfId="42375" xr:uid="{00000000-0005-0000-0000-000064A50000}"/>
    <cellStyle name="Percent 8 2 4 2 4" xfId="42376" xr:uid="{00000000-0005-0000-0000-000065A50000}"/>
    <cellStyle name="Percent 8 2 4 2 4 2" xfId="42377" xr:uid="{00000000-0005-0000-0000-000066A50000}"/>
    <cellStyle name="Percent 8 2 4 2 4 2 2" xfId="42378" xr:uid="{00000000-0005-0000-0000-000067A50000}"/>
    <cellStyle name="Percent 8 2 4 2 4 3" xfId="42379" xr:uid="{00000000-0005-0000-0000-000068A50000}"/>
    <cellStyle name="Percent 8 2 4 2 4 3 2" xfId="42380" xr:uid="{00000000-0005-0000-0000-000069A50000}"/>
    <cellStyle name="Percent 8 2 4 2 4 4" xfId="42381" xr:uid="{00000000-0005-0000-0000-00006AA50000}"/>
    <cellStyle name="Percent 8 2 4 2 4 4 2" xfId="42382" xr:uid="{00000000-0005-0000-0000-00006BA50000}"/>
    <cellStyle name="Percent 8 2 4 2 4 5" xfId="42383" xr:uid="{00000000-0005-0000-0000-00006CA50000}"/>
    <cellStyle name="Percent 8 2 4 2 4 6" xfId="42384" xr:uid="{00000000-0005-0000-0000-00006DA50000}"/>
    <cellStyle name="Percent 8 2 4 2 5" xfId="42385" xr:uid="{00000000-0005-0000-0000-00006EA50000}"/>
    <cellStyle name="Percent 8 2 4 2 5 2" xfId="42386" xr:uid="{00000000-0005-0000-0000-00006FA50000}"/>
    <cellStyle name="Percent 8 2 4 2 5 2 2" xfId="42387" xr:uid="{00000000-0005-0000-0000-000070A50000}"/>
    <cellStyle name="Percent 8 2 4 2 5 3" xfId="42388" xr:uid="{00000000-0005-0000-0000-000071A50000}"/>
    <cellStyle name="Percent 8 2 4 2 5 3 2" xfId="42389" xr:uid="{00000000-0005-0000-0000-000072A50000}"/>
    <cellStyle name="Percent 8 2 4 2 5 4" xfId="42390" xr:uid="{00000000-0005-0000-0000-000073A50000}"/>
    <cellStyle name="Percent 8 2 4 2 5 5" xfId="42391" xr:uid="{00000000-0005-0000-0000-000074A50000}"/>
    <cellStyle name="Percent 8 2 4 2 6" xfId="42392" xr:uid="{00000000-0005-0000-0000-000075A50000}"/>
    <cellStyle name="Percent 8 2 4 2 6 2" xfId="42393" xr:uid="{00000000-0005-0000-0000-000076A50000}"/>
    <cellStyle name="Percent 8 2 4 2 7" xfId="42394" xr:uid="{00000000-0005-0000-0000-000077A50000}"/>
    <cellStyle name="Percent 8 2 4 2 7 2" xfId="42395" xr:uid="{00000000-0005-0000-0000-000078A50000}"/>
    <cellStyle name="Percent 8 2 4 2 8" xfId="42396" xr:uid="{00000000-0005-0000-0000-000079A50000}"/>
    <cellStyle name="Percent 8 2 4 2 8 2" xfId="42397" xr:uid="{00000000-0005-0000-0000-00007AA50000}"/>
    <cellStyle name="Percent 8 2 4 2 9" xfId="42398" xr:uid="{00000000-0005-0000-0000-00007BA50000}"/>
    <cellStyle name="Percent 8 2 4 3" xfId="42399" xr:uid="{00000000-0005-0000-0000-00007CA50000}"/>
    <cellStyle name="Percent 8 2 4 3 10" xfId="42400" xr:uid="{00000000-0005-0000-0000-00007DA50000}"/>
    <cellStyle name="Percent 8 2 4 3 2" xfId="42401" xr:uid="{00000000-0005-0000-0000-00007EA50000}"/>
    <cellStyle name="Percent 8 2 4 3 2 2" xfId="42402" xr:uid="{00000000-0005-0000-0000-00007FA50000}"/>
    <cellStyle name="Percent 8 2 4 3 2 2 2" xfId="42403" xr:uid="{00000000-0005-0000-0000-000080A50000}"/>
    <cellStyle name="Percent 8 2 4 3 2 3" xfId="42404" xr:uid="{00000000-0005-0000-0000-000081A50000}"/>
    <cellStyle name="Percent 8 2 4 3 2 3 2" xfId="42405" xr:uid="{00000000-0005-0000-0000-000082A50000}"/>
    <cellStyle name="Percent 8 2 4 3 2 4" xfId="42406" xr:uid="{00000000-0005-0000-0000-000083A50000}"/>
    <cellStyle name="Percent 8 2 4 3 2 4 2" xfId="42407" xr:uid="{00000000-0005-0000-0000-000084A50000}"/>
    <cellStyle name="Percent 8 2 4 3 2 5" xfId="42408" xr:uid="{00000000-0005-0000-0000-000085A50000}"/>
    <cellStyle name="Percent 8 2 4 3 2 6" xfId="42409" xr:uid="{00000000-0005-0000-0000-000086A50000}"/>
    <cellStyle name="Percent 8 2 4 3 3" xfId="42410" xr:uid="{00000000-0005-0000-0000-000087A50000}"/>
    <cellStyle name="Percent 8 2 4 3 3 2" xfId="42411" xr:uid="{00000000-0005-0000-0000-000088A50000}"/>
    <cellStyle name="Percent 8 2 4 3 3 2 2" xfId="42412" xr:uid="{00000000-0005-0000-0000-000089A50000}"/>
    <cellStyle name="Percent 8 2 4 3 3 3" xfId="42413" xr:uid="{00000000-0005-0000-0000-00008AA50000}"/>
    <cellStyle name="Percent 8 2 4 3 3 3 2" xfId="42414" xr:uid="{00000000-0005-0000-0000-00008BA50000}"/>
    <cellStyle name="Percent 8 2 4 3 3 4" xfId="42415" xr:uid="{00000000-0005-0000-0000-00008CA50000}"/>
    <cellStyle name="Percent 8 2 4 3 3 4 2" xfId="42416" xr:uid="{00000000-0005-0000-0000-00008DA50000}"/>
    <cellStyle name="Percent 8 2 4 3 3 5" xfId="42417" xr:uid="{00000000-0005-0000-0000-00008EA50000}"/>
    <cellStyle name="Percent 8 2 4 3 3 6" xfId="42418" xr:uid="{00000000-0005-0000-0000-00008FA50000}"/>
    <cellStyle name="Percent 8 2 4 3 4" xfId="42419" xr:uid="{00000000-0005-0000-0000-000090A50000}"/>
    <cellStyle name="Percent 8 2 4 3 4 2" xfId="42420" xr:uid="{00000000-0005-0000-0000-000091A50000}"/>
    <cellStyle name="Percent 8 2 4 3 4 2 2" xfId="42421" xr:uid="{00000000-0005-0000-0000-000092A50000}"/>
    <cellStyle name="Percent 8 2 4 3 4 3" xfId="42422" xr:uid="{00000000-0005-0000-0000-000093A50000}"/>
    <cellStyle name="Percent 8 2 4 3 4 3 2" xfId="42423" xr:uid="{00000000-0005-0000-0000-000094A50000}"/>
    <cellStyle name="Percent 8 2 4 3 4 4" xfId="42424" xr:uid="{00000000-0005-0000-0000-000095A50000}"/>
    <cellStyle name="Percent 8 2 4 3 4 4 2" xfId="42425" xr:uid="{00000000-0005-0000-0000-000096A50000}"/>
    <cellStyle name="Percent 8 2 4 3 4 5" xfId="42426" xr:uid="{00000000-0005-0000-0000-000097A50000}"/>
    <cellStyle name="Percent 8 2 4 3 4 6" xfId="42427" xr:uid="{00000000-0005-0000-0000-000098A50000}"/>
    <cellStyle name="Percent 8 2 4 3 5" xfId="42428" xr:uid="{00000000-0005-0000-0000-000099A50000}"/>
    <cellStyle name="Percent 8 2 4 3 5 2" xfId="42429" xr:uid="{00000000-0005-0000-0000-00009AA50000}"/>
    <cellStyle name="Percent 8 2 4 3 5 2 2" xfId="42430" xr:uid="{00000000-0005-0000-0000-00009BA50000}"/>
    <cellStyle name="Percent 8 2 4 3 5 3" xfId="42431" xr:uid="{00000000-0005-0000-0000-00009CA50000}"/>
    <cellStyle name="Percent 8 2 4 3 5 3 2" xfId="42432" xr:uid="{00000000-0005-0000-0000-00009DA50000}"/>
    <cellStyle name="Percent 8 2 4 3 5 4" xfId="42433" xr:uid="{00000000-0005-0000-0000-00009EA50000}"/>
    <cellStyle name="Percent 8 2 4 3 5 5" xfId="42434" xr:uid="{00000000-0005-0000-0000-00009FA50000}"/>
    <cellStyle name="Percent 8 2 4 3 6" xfId="42435" xr:uid="{00000000-0005-0000-0000-0000A0A50000}"/>
    <cellStyle name="Percent 8 2 4 3 6 2" xfId="42436" xr:uid="{00000000-0005-0000-0000-0000A1A50000}"/>
    <cellStyle name="Percent 8 2 4 3 7" xfId="42437" xr:uid="{00000000-0005-0000-0000-0000A2A50000}"/>
    <cellStyle name="Percent 8 2 4 3 7 2" xfId="42438" xr:uid="{00000000-0005-0000-0000-0000A3A50000}"/>
    <cellStyle name="Percent 8 2 4 3 8" xfId="42439" xr:uid="{00000000-0005-0000-0000-0000A4A50000}"/>
    <cellStyle name="Percent 8 2 4 3 8 2" xfId="42440" xr:uid="{00000000-0005-0000-0000-0000A5A50000}"/>
    <cellStyle name="Percent 8 2 4 3 9" xfId="42441" xr:uid="{00000000-0005-0000-0000-0000A6A50000}"/>
    <cellStyle name="Percent 8 2 4 4" xfId="42442" xr:uid="{00000000-0005-0000-0000-0000A7A50000}"/>
    <cellStyle name="Percent 8 2 4 4 2" xfId="42443" xr:uid="{00000000-0005-0000-0000-0000A8A50000}"/>
    <cellStyle name="Percent 8 2 4 4 2 2" xfId="42444" xr:uid="{00000000-0005-0000-0000-0000A9A50000}"/>
    <cellStyle name="Percent 8 2 4 4 3" xfId="42445" xr:uid="{00000000-0005-0000-0000-0000AAA50000}"/>
    <cellStyle name="Percent 8 2 4 4 3 2" xfId="42446" xr:uid="{00000000-0005-0000-0000-0000ABA50000}"/>
    <cellStyle name="Percent 8 2 4 4 4" xfId="42447" xr:uid="{00000000-0005-0000-0000-0000ACA50000}"/>
    <cellStyle name="Percent 8 2 4 4 4 2" xfId="42448" xr:uid="{00000000-0005-0000-0000-0000ADA50000}"/>
    <cellStyle name="Percent 8 2 4 4 5" xfId="42449" xr:uid="{00000000-0005-0000-0000-0000AEA50000}"/>
    <cellStyle name="Percent 8 2 4 4 6" xfId="42450" xr:uid="{00000000-0005-0000-0000-0000AFA50000}"/>
    <cellStyle name="Percent 8 2 4 5" xfId="42451" xr:uid="{00000000-0005-0000-0000-0000B0A50000}"/>
    <cellStyle name="Percent 8 2 4 5 2" xfId="42452" xr:uid="{00000000-0005-0000-0000-0000B1A50000}"/>
    <cellStyle name="Percent 8 2 4 5 2 2" xfId="42453" xr:uid="{00000000-0005-0000-0000-0000B2A50000}"/>
    <cellStyle name="Percent 8 2 4 5 3" xfId="42454" xr:uid="{00000000-0005-0000-0000-0000B3A50000}"/>
    <cellStyle name="Percent 8 2 4 5 3 2" xfId="42455" xr:uid="{00000000-0005-0000-0000-0000B4A50000}"/>
    <cellStyle name="Percent 8 2 4 5 4" xfId="42456" xr:uid="{00000000-0005-0000-0000-0000B5A50000}"/>
    <cellStyle name="Percent 8 2 4 5 4 2" xfId="42457" xr:uid="{00000000-0005-0000-0000-0000B6A50000}"/>
    <cellStyle name="Percent 8 2 4 5 5" xfId="42458" xr:uid="{00000000-0005-0000-0000-0000B7A50000}"/>
    <cellStyle name="Percent 8 2 4 5 6" xfId="42459" xr:uid="{00000000-0005-0000-0000-0000B8A50000}"/>
    <cellStyle name="Percent 8 2 4 6" xfId="42460" xr:uid="{00000000-0005-0000-0000-0000B9A50000}"/>
    <cellStyle name="Percent 8 2 4 6 2" xfId="42461" xr:uid="{00000000-0005-0000-0000-0000BAA50000}"/>
    <cellStyle name="Percent 8 2 4 6 2 2" xfId="42462" xr:uid="{00000000-0005-0000-0000-0000BBA50000}"/>
    <cellStyle name="Percent 8 2 4 6 3" xfId="42463" xr:uid="{00000000-0005-0000-0000-0000BCA50000}"/>
    <cellStyle name="Percent 8 2 4 6 3 2" xfId="42464" xr:uid="{00000000-0005-0000-0000-0000BDA50000}"/>
    <cellStyle name="Percent 8 2 4 6 4" xfId="42465" xr:uid="{00000000-0005-0000-0000-0000BEA50000}"/>
    <cellStyle name="Percent 8 2 4 6 4 2" xfId="42466" xr:uid="{00000000-0005-0000-0000-0000BFA50000}"/>
    <cellStyle name="Percent 8 2 4 6 5" xfId="42467" xr:uid="{00000000-0005-0000-0000-0000C0A50000}"/>
    <cellStyle name="Percent 8 2 4 6 6" xfId="42468" xr:uid="{00000000-0005-0000-0000-0000C1A50000}"/>
    <cellStyle name="Percent 8 2 4 7" xfId="42469" xr:uid="{00000000-0005-0000-0000-0000C2A50000}"/>
    <cellStyle name="Percent 8 2 4 7 2" xfId="42470" xr:uid="{00000000-0005-0000-0000-0000C3A50000}"/>
    <cellStyle name="Percent 8 2 4 7 2 2" xfId="42471" xr:uid="{00000000-0005-0000-0000-0000C4A50000}"/>
    <cellStyle name="Percent 8 2 4 7 3" xfId="42472" xr:uid="{00000000-0005-0000-0000-0000C5A50000}"/>
    <cellStyle name="Percent 8 2 4 7 3 2" xfId="42473" xr:uid="{00000000-0005-0000-0000-0000C6A50000}"/>
    <cellStyle name="Percent 8 2 4 7 4" xfId="42474" xr:uid="{00000000-0005-0000-0000-0000C7A50000}"/>
    <cellStyle name="Percent 8 2 4 7 5" xfId="42475" xr:uid="{00000000-0005-0000-0000-0000C8A50000}"/>
    <cellStyle name="Percent 8 2 4 8" xfId="42476" xr:uid="{00000000-0005-0000-0000-0000C9A50000}"/>
    <cellStyle name="Percent 8 2 4 8 2" xfId="42477" xr:uid="{00000000-0005-0000-0000-0000CAA50000}"/>
    <cellStyle name="Percent 8 2 4 9" xfId="42478" xr:uid="{00000000-0005-0000-0000-0000CBA50000}"/>
    <cellStyle name="Percent 8 2 4 9 2" xfId="42479" xr:uid="{00000000-0005-0000-0000-0000CCA50000}"/>
    <cellStyle name="Percent 8 2 5" xfId="42480" xr:uid="{00000000-0005-0000-0000-0000CDA50000}"/>
    <cellStyle name="Percent 8 2 5 10" xfId="42481" xr:uid="{00000000-0005-0000-0000-0000CEA50000}"/>
    <cellStyle name="Percent 8 2 5 11" xfId="42482" xr:uid="{00000000-0005-0000-0000-0000CFA50000}"/>
    <cellStyle name="Percent 8 2 5 2" xfId="42483" xr:uid="{00000000-0005-0000-0000-0000D0A50000}"/>
    <cellStyle name="Percent 8 2 5 2 2" xfId="42484" xr:uid="{00000000-0005-0000-0000-0000D1A50000}"/>
    <cellStyle name="Percent 8 2 5 2 2 2" xfId="42485" xr:uid="{00000000-0005-0000-0000-0000D2A50000}"/>
    <cellStyle name="Percent 8 2 5 2 3" xfId="42486" xr:uid="{00000000-0005-0000-0000-0000D3A50000}"/>
    <cellStyle name="Percent 8 2 5 2 3 2" xfId="42487" xr:uid="{00000000-0005-0000-0000-0000D4A50000}"/>
    <cellStyle name="Percent 8 2 5 2 4" xfId="42488" xr:uid="{00000000-0005-0000-0000-0000D5A50000}"/>
    <cellStyle name="Percent 8 2 5 2 4 2" xfId="42489" xr:uid="{00000000-0005-0000-0000-0000D6A50000}"/>
    <cellStyle name="Percent 8 2 5 2 5" xfId="42490" xr:uid="{00000000-0005-0000-0000-0000D7A50000}"/>
    <cellStyle name="Percent 8 2 5 2 6" xfId="42491" xr:uid="{00000000-0005-0000-0000-0000D8A50000}"/>
    <cellStyle name="Percent 8 2 5 3" xfId="42492" xr:uid="{00000000-0005-0000-0000-0000D9A50000}"/>
    <cellStyle name="Percent 8 2 5 3 2" xfId="42493" xr:uid="{00000000-0005-0000-0000-0000DAA50000}"/>
    <cellStyle name="Percent 8 2 5 3 2 2" xfId="42494" xr:uid="{00000000-0005-0000-0000-0000DBA50000}"/>
    <cellStyle name="Percent 8 2 5 3 3" xfId="42495" xr:uid="{00000000-0005-0000-0000-0000DCA50000}"/>
    <cellStyle name="Percent 8 2 5 3 3 2" xfId="42496" xr:uid="{00000000-0005-0000-0000-0000DDA50000}"/>
    <cellStyle name="Percent 8 2 5 3 4" xfId="42497" xr:uid="{00000000-0005-0000-0000-0000DEA50000}"/>
    <cellStyle name="Percent 8 2 5 3 4 2" xfId="42498" xr:uid="{00000000-0005-0000-0000-0000DFA50000}"/>
    <cellStyle name="Percent 8 2 5 3 5" xfId="42499" xr:uid="{00000000-0005-0000-0000-0000E0A50000}"/>
    <cellStyle name="Percent 8 2 5 3 6" xfId="42500" xr:uid="{00000000-0005-0000-0000-0000E1A50000}"/>
    <cellStyle name="Percent 8 2 5 4" xfId="42501" xr:uid="{00000000-0005-0000-0000-0000E2A50000}"/>
    <cellStyle name="Percent 8 2 5 4 2" xfId="42502" xr:uid="{00000000-0005-0000-0000-0000E3A50000}"/>
    <cellStyle name="Percent 8 2 5 4 2 2" xfId="42503" xr:uid="{00000000-0005-0000-0000-0000E4A50000}"/>
    <cellStyle name="Percent 8 2 5 4 3" xfId="42504" xr:uid="{00000000-0005-0000-0000-0000E5A50000}"/>
    <cellStyle name="Percent 8 2 5 4 3 2" xfId="42505" xr:uid="{00000000-0005-0000-0000-0000E6A50000}"/>
    <cellStyle name="Percent 8 2 5 4 4" xfId="42506" xr:uid="{00000000-0005-0000-0000-0000E7A50000}"/>
    <cellStyle name="Percent 8 2 5 4 4 2" xfId="42507" xr:uid="{00000000-0005-0000-0000-0000E8A50000}"/>
    <cellStyle name="Percent 8 2 5 4 5" xfId="42508" xr:uid="{00000000-0005-0000-0000-0000E9A50000}"/>
    <cellStyle name="Percent 8 2 5 4 6" xfId="42509" xr:uid="{00000000-0005-0000-0000-0000EAA50000}"/>
    <cellStyle name="Percent 8 2 5 5" xfId="42510" xr:uid="{00000000-0005-0000-0000-0000EBA50000}"/>
    <cellStyle name="Percent 8 2 5 5 2" xfId="42511" xr:uid="{00000000-0005-0000-0000-0000ECA50000}"/>
    <cellStyle name="Percent 8 2 5 5 2 2" xfId="42512" xr:uid="{00000000-0005-0000-0000-0000EDA50000}"/>
    <cellStyle name="Percent 8 2 5 5 3" xfId="42513" xr:uid="{00000000-0005-0000-0000-0000EEA50000}"/>
    <cellStyle name="Percent 8 2 5 5 3 2" xfId="42514" xr:uid="{00000000-0005-0000-0000-0000EFA50000}"/>
    <cellStyle name="Percent 8 2 5 5 4" xfId="42515" xr:uid="{00000000-0005-0000-0000-0000F0A50000}"/>
    <cellStyle name="Percent 8 2 5 5 4 2" xfId="42516" xr:uid="{00000000-0005-0000-0000-0000F1A50000}"/>
    <cellStyle name="Percent 8 2 5 5 5" xfId="42517" xr:uid="{00000000-0005-0000-0000-0000F2A50000}"/>
    <cellStyle name="Percent 8 2 5 5 6" xfId="42518" xr:uid="{00000000-0005-0000-0000-0000F3A50000}"/>
    <cellStyle name="Percent 8 2 5 6" xfId="42519" xr:uid="{00000000-0005-0000-0000-0000F4A50000}"/>
    <cellStyle name="Percent 8 2 5 6 2" xfId="42520" xr:uid="{00000000-0005-0000-0000-0000F5A50000}"/>
    <cellStyle name="Percent 8 2 5 6 2 2" xfId="42521" xr:uid="{00000000-0005-0000-0000-0000F6A50000}"/>
    <cellStyle name="Percent 8 2 5 6 3" xfId="42522" xr:uid="{00000000-0005-0000-0000-0000F7A50000}"/>
    <cellStyle name="Percent 8 2 5 6 3 2" xfId="42523" xr:uid="{00000000-0005-0000-0000-0000F8A50000}"/>
    <cellStyle name="Percent 8 2 5 6 4" xfId="42524" xr:uid="{00000000-0005-0000-0000-0000F9A50000}"/>
    <cellStyle name="Percent 8 2 5 6 5" xfId="42525" xr:uid="{00000000-0005-0000-0000-0000FAA50000}"/>
    <cellStyle name="Percent 8 2 5 7" xfId="42526" xr:uid="{00000000-0005-0000-0000-0000FBA50000}"/>
    <cellStyle name="Percent 8 2 5 7 2" xfId="42527" xr:uid="{00000000-0005-0000-0000-0000FCA50000}"/>
    <cellStyle name="Percent 8 2 5 8" xfId="42528" xr:uid="{00000000-0005-0000-0000-0000FDA50000}"/>
    <cellStyle name="Percent 8 2 5 8 2" xfId="42529" xr:uid="{00000000-0005-0000-0000-0000FEA50000}"/>
    <cellStyle name="Percent 8 2 5 9" xfId="42530" xr:uid="{00000000-0005-0000-0000-0000FFA50000}"/>
    <cellStyle name="Percent 8 2 5 9 2" xfId="42531" xr:uid="{00000000-0005-0000-0000-000000A60000}"/>
    <cellStyle name="Percent 8 2 6" xfId="42532" xr:uid="{00000000-0005-0000-0000-000001A60000}"/>
    <cellStyle name="Percent 8 2 6 10" xfId="42533" xr:uid="{00000000-0005-0000-0000-000002A60000}"/>
    <cellStyle name="Percent 8 2 6 2" xfId="42534" xr:uid="{00000000-0005-0000-0000-000003A60000}"/>
    <cellStyle name="Percent 8 2 6 2 2" xfId="42535" xr:uid="{00000000-0005-0000-0000-000004A60000}"/>
    <cellStyle name="Percent 8 2 6 2 2 2" xfId="42536" xr:uid="{00000000-0005-0000-0000-000005A60000}"/>
    <cellStyle name="Percent 8 2 6 2 3" xfId="42537" xr:uid="{00000000-0005-0000-0000-000006A60000}"/>
    <cellStyle name="Percent 8 2 6 2 3 2" xfId="42538" xr:uid="{00000000-0005-0000-0000-000007A60000}"/>
    <cellStyle name="Percent 8 2 6 2 4" xfId="42539" xr:uid="{00000000-0005-0000-0000-000008A60000}"/>
    <cellStyle name="Percent 8 2 6 2 4 2" xfId="42540" xr:uid="{00000000-0005-0000-0000-000009A60000}"/>
    <cellStyle name="Percent 8 2 6 2 5" xfId="42541" xr:uid="{00000000-0005-0000-0000-00000AA60000}"/>
    <cellStyle name="Percent 8 2 6 2 6" xfId="42542" xr:uid="{00000000-0005-0000-0000-00000BA60000}"/>
    <cellStyle name="Percent 8 2 6 3" xfId="42543" xr:uid="{00000000-0005-0000-0000-00000CA60000}"/>
    <cellStyle name="Percent 8 2 6 3 2" xfId="42544" xr:uid="{00000000-0005-0000-0000-00000DA60000}"/>
    <cellStyle name="Percent 8 2 6 3 2 2" xfId="42545" xr:uid="{00000000-0005-0000-0000-00000EA60000}"/>
    <cellStyle name="Percent 8 2 6 3 3" xfId="42546" xr:uid="{00000000-0005-0000-0000-00000FA60000}"/>
    <cellStyle name="Percent 8 2 6 3 3 2" xfId="42547" xr:uid="{00000000-0005-0000-0000-000010A60000}"/>
    <cellStyle name="Percent 8 2 6 3 4" xfId="42548" xr:uid="{00000000-0005-0000-0000-000011A60000}"/>
    <cellStyle name="Percent 8 2 6 3 4 2" xfId="42549" xr:uid="{00000000-0005-0000-0000-000012A60000}"/>
    <cellStyle name="Percent 8 2 6 3 5" xfId="42550" xr:uid="{00000000-0005-0000-0000-000013A60000}"/>
    <cellStyle name="Percent 8 2 6 3 6" xfId="42551" xr:uid="{00000000-0005-0000-0000-000014A60000}"/>
    <cellStyle name="Percent 8 2 6 4" xfId="42552" xr:uid="{00000000-0005-0000-0000-000015A60000}"/>
    <cellStyle name="Percent 8 2 6 4 2" xfId="42553" xr:uid="{00000000-0005-0000-0000-000016A60000}"/>
    <cellStyle name="Percent 8 2 6 4 2 2" xfId="42554" xr:uid="{00000000-0005-0000-0000-000017A60000}"/>
    <cellStyle name="Percent 8 2 6 4 3" xfId="42555" xr:uid="{00000000-0005-0000-0000-000018A60000}"/>
    <cellStyle name="Percent 8 2 6 4 3 2" xfId="42556" xr:uid="{00000000-0005-0000-0000-000019A60000}"/>
    <cellStyle name="Percent 8 2 6 4 4" xfId="42557" xr:uid="{00000000-0005-0000-0000-00001AA60000}"/>
    <cellStyle name="Percent 8 2 6 4 4 2" xfId="42558" xr:uid="{00000000-0005-0000-0000-00001BA60000}"/>
    <cellStyle name="Percent 8 2 6 4 5" xfId="42559" xr:uid="{00000000-0005-0000-0000-00001CA60000}"/>
    <cellStyle name="Percent 8 2 6 4 6" xfId="42560" xr:uid="{00000000-0005-0000-0000-00001DA60000}"/>
    <cellStyle name="Percent 8 2 6 5" xfId="42561" xr:uid="{00000000-0005-0000-0000-00001EA60000}"/>
    <cellStyle name="Percent 8 2 6 5 2" xfId="42562" xr:uid="{00000000-0005-0000-0000-00001FA60000}"/>
    <cellStyle name="Percent 8 2 6 5 2 2" xfId="42563" xr:uid="{00000000-0005-0000-0000-000020A60000}"/>
    <cellStyle name="Percent 8 2 6 5 3" xfId="42564" xr:uid="{00000000-0005-0000-0000-000021A60000}"/>
    <cellStyle name="Percent 8 2 6 5 3 2" xfId="42565" xr:uid="{00000000-0005-0000-0000-000022A60000}"/>
    <cellStyle name="Percent 8 2 6 5 4" xfId="42566" xr:uid="{00000000-0005-0000-0000-000023A60000}"/>
    <cellStyle name="Percent 8 2 6 5 5" xfId="42567" xr:uid="{00000000-0005-0000-0000-000024A60000}"/>
    <cellStyle name="Percent 8 2 6 6" xfId="42568" xr:uid="{00000000-0005-0000-0000-000025A60000}"/>
    <cellStyle name="Percent 8 2 6 6 2" xfId="42569" xr:uid="{00000000-0005-0000-0000-000026A60000}"/>
    <cellStyle name="Percent 8 2 6 7" xfId="42570" xr:uid="{00000000-0005-0000-0000-000027A60000}"/>
    <cellStyle name="Percent 8 2 6 7 2" xfId="42571" xr:uid="{00000000-0005-0000-0000-000028A60000}"/>
    <cellStyle name="Percent 8 2 6 8" xfId="42572" xr:uid="{00000000-0005-0000-0000-000029A60000}"/>
    <cellStyle name="Percent 8 2 6 8 2" xfId="42573" xr:uid="{00000000-0005-0000-0000-00002AA60000}"/>
    <cellStyle name="Percent 8 2 6 9" xfId="42574" xr:uid="{00000000-0005-0000-0000-00002BA60000}"/>
    <cellStyle name="Percent 8 2 7" xfId="42575" xr:uid="{00000000-0005-0000-0000-00002CA60000}"/>
    <cellStyle name="Percent 8 2 7 10" xfId="42576" xr:uid="{00000000-0005-0000-0000-00002DA60000}"/>
    <cellStyle name="Percent 8 2 7 2" xfId="42577" xr:uid="{00000000-0005-0000-0000-00002EA60000}"/>
    <cellStyle name="Percent 8 2 7 2 2" xfId="42578" xr:uid="{00000000-0005-0000-0000-00002FA60000}"/>
    <cellStyle name="Percent 8 2 7 2 2 2" xfId="42579" xr:uid="{00000000-0005-0000-0000-000030A60000}"/>
    <cellStyle name="Percent 8 2 7 2 3" xfId="42580" xr:uid="{00000000-0005-0000-0000-000031A60000}"/>
    <cellStyle name="Percent 8 2 7 2 3 2" xfId="42581" xr:uid="{00000000-0005-0000-0000-000032A60000}"/>
    <cellStyle name="Percent 8 2 7 2 4" xfId="42582" xr:uid="{00000000-0005-0000-0000-000033A60000}"/>
    <cellStyle name="Percent 8 2 7 2 4 2" xfId="42583" xr:uid="{00000000-0005-0000-0000-000034A60000}"/>
    <cellStyle name="Percent 8 2 7 2 5" xfId="42584" xr:uid="{00000000-0005-0000-0000-000035A60000}"/>
    <cellStyle name="Percent 8 2 7 2 6" xfId="42585" xr:uid="{00000000-0005-0000-0000-000036A60000}"/>
    <cellStyle name="Percent 8 2 7 3" xfId="42586" xr:uid="{00000000-0005-0000-0000-000037A60000}"/>
    <cellStyle name="Percent 8 2 7 3 2" xfId="42587" xr:uid="{00000000-0005-0000-0000-000038A60000}"/>
    <cellStyle name="Percent 8 2 7 3 2 2" xfId="42588" xr:uid="{00000000-0005-0000-0000-000039A60000}"/>
    <cellStyle name="Percent 8 2 7 3 3" xfId="42589" xr:uid="{00000000-0005-0000-0000-00003AA60000}"/>
    <cellStyle name="Percent 8 2 7 3 3 2" xfId="42590" xr:uid="{00000000-0005-0000-0000-00003BA60000}"/>
    <cellStyle name="Percent 8 2 7 3 4" xfId="42591" xr:uid="{00000000-0005-0000-0000-00003CA60000}"/>
    <cellStyle name="Percent 8 2 7 3 4 2" xfId="42592" xr:uid="{00000000-0005-0000-0000-00003DA60000}"/>
    <cellStyle name="Percent 8 2 7 3 5" xfId="42593" xr:uid="{00000000-0005-0000-0000-00003EA60000}"/>
    <cellStyle name="Percent 8 2 7 3 6" xfId="42594" xr:uid="{00000000-0005-0000-0000-00003FA60000}"/>
    <cellStyle name="Percent 8 2 7 4" xfId="42595" xr:uid="{00000000-0005-0000-0000-000040A60000}"/>
    <cellStyle name="Percent 8 2 7 4 2" xfId="42596" xr:uid="{00000000-0005-0000-0000-000041A60000}"/>
    <cellStyle name="Percent 8 2 7 4 2 2" xfId="42597" xr:uid="{00000000-0005-0000-0000-000042A60000}"/>
    <cellStyle name="Percent 8 2 7 4 3" xfId="42598" xr:uid="{00000000-0005-0000-0000-000043A60000}"/>
    <cellStyle name="Percent 8 2 7 4 3 2" xfId="42599" xr:uid="{00000000-0005-0000-0000-000044A60000}"/>
    <cellStyle name="Percent 8 2 7 4 4" xfId="42600" xr:uid="{00000000-0005-0000-0000-000045A60000}"/>
    <cellStyle name="Percent 8 2 7 4 4 2" xfId="42601" xr:uid="{00000000-0005-0000-0000-000046A60000}"/>
    <cellStyle name="Percent 8 2 7 4 5" xfId="42602" xr:uid="{00000000-0005-0000-0000-000047A60000}"/>
    <cellStyle name="Percent 8 2 7 4 6" xfId="42603" xr:uid="{00000000-0005-0000-0000-000048A60000}"/>
    <cellStyle name="Percent 8 2 7 5" xfId="42604" xr:uid="{00000000-0005-0000-0000-000049A60000}"/>
    <cellStyle name="Percent 8 2 7 5 2" xfId="42605" xr:uid="{00000000-0005-0000-0000-00004AA60000}"/>
    <cellStyle name="Percent 8 2 7 5 2 2" xfId="42606" xr:uid="{00000000-0005-0000-0000-00004BA60000}"/>
    <cellStyle name="Percent 8 2 7 5 3" xfId="42607" xr:uid="{00000000-0005-0000-0000-00004CA60000}"/>
    <cellStyle name="Percent 8 2 7 5 3 2" xfId="42608" xr:uid="{00000000-0005-0000-0000-00004DA60000}"/>
    <cellStyle name="Percent 8 2 7 5 4" xfId="42609" xr:uid="{00000000-0005-0000-0000-00004EA60000}"/>
    <cellStyle name="Percent 8 2 7 5 5" xfId="42610" xr:uid="{00000000-0005-0000-0000-00004FA60000}"/>
    <cellStyle name="Percent 8 2 7 6" xfId="42611" xr:uid="{00000000-0005-0000-0000-000050A60000}"/>
    <cellStyle name="Percent 8 2 7 6 2" xfId="42612" xr:uid="{00000000-0005-0000-0000-000051A60000}"/>
    <cellStyle name="Percent 8 2 7 7" xfId="42613" xr:uid="{00000000-0005-0000-0000-000052A60000}"/>
    <cellStyle name="Percent 8 2 7 7 2" xfId="42614" xr:uid="{00000000-0005-0000-0000-000053A60000}"/>
    <cellStyle name="Percent 8 2 7 8" xfId="42615" xr:uid="{00000000-0005-0000-0000-000054A60000}"/>
    <cellStyle name="Percent 8 2 7 8 2" xfId="42616" xr:uid="{00000000-0005-0000-0000-000055A60000}"/>
    <cellStyle name="Percent 8 2 7 9" xfId="42617" xr:uid="{00000000-0005-0000-0000-000056A60000}"/>
    <cellStyle name="Percent 8 2 8" xfId="42618" xr:uid="{00000000-0005-0000-0000-000057A60000}"/>
    <cellStyle name="Percent 8 2 8 2" xfId="42619" xr:uid="{00000000-0005-0000-0000-000058A60000}"/>
    <cellStyle name="Percent 8 2 8 2 2" xfId="42620" xr:uid="{00000000-0005-0000-0000-000059A60000}"/>
    <cellStyle name="Percent 8 2 8 3" xfId="42621" xr:uid="{00000000-0005-0000-0000-00005AA60000}"/>
    <cellStyle name="Percent 8 2 8 3 2" xfId="42622" xr:uid="{00000000-0005-0000-0000-00005BA60000}"/>
    <cellStyle name="Percent 8 2 8 4" xfId="42623" xr:uid="{00000000-0005-0000-0000-00005CA60000}"/>
    <cellStyle name="Percent 8 2 8 4 2" xfId="42624" xr:uid="{00000000-0005-0000-0000-00005DA60000}"/>
    <cellStyle name="Percent 8 2 8 5" xfId="42625" xr:uid="{00000000-0005-0000-0000-00005EA60000}"/>
    <cellStyle name="Percent 8 2 8 6" xfId="42626" xr:uid="{00000000-0005-0000-0000-00005FA60000}"/>
    <cellStyle name="Percent 8 2 9" xfId="42627" xr:uid="{00000000-0005-0000-0000-000060A60000}"/>
    <cellStyle name="Percent 8 2 9 2" xfId="42628" xr:uid="{00000000-0005-0000-0000-000061A60000}"/>
    <cellStyle name="Percent 8 2 9 2 2" xfId="42629" xr:uid="{00000000-0005-0000-0000-000062A60000}"/>
    <cellStyle name="Percent 8 2 9 3" xfId="42630" xr:uid="{00000000-0005-0000-0000-000063A60000}"/>
    <cellStyle name="Percent 8 2 9 3 2" xfId="42631" xr:uid="{00000000-0005-0000-0000-000064A60000}"/>
    <cellStyle name="Percent 8 2 9 4" xfId="42632" xr:uid="{00000000-0005-0000-0000-000065A60000}"/>
    <cellStyle name="Percent 8 2 9 4 2" xfId="42633" xr:uid="{00000000-0005-0000-0000-000066A60000}"/>
    <cellStyle name="Percent 8 2 9 5" xfId="42634" xr:uid="{00000000-0005-0000-0000-000067A60000}"/>
    <cellStyle name="Percent 8 2 9 6" xfId="42635" xr:uid="{00000000-0005-0000-0000-000068A60000}"/>
    <cellStyle name="Percent 8 20" xfId="41920" xr:uid="{00000000-0005-0000-0000-000069A60000}"/>
    <cellStyle name="Percent 8 3" xfId="42636" xr:uid="{00000000-0005-0000-0000-00006AA60000}"/>
    <cellStyle name="Percent 8 3 10" xfId="42637" xr:uid="{00000000-0005-0000-0000-00006BA60000}"/>
    <cellStyle name="Percent 8 3 10 2" xfId="42638" xr:uid="{00000000-0005-0000-0000-00006CA60000}"/>
    <cellStyle name="Percent 8 3 10 2 2" xfId="42639" xr:uid="{00000000-0005-0000-0000-00006DA60000}"/>
    <cellStyle name="Percent 8 3 10 3" xfId="42640" xr:uid="{00000000-0005-0000-0000-00006EA60000}"/>
    <cellStyle name="Percent 8 3 10 3 2" xfId="42641" xr:uid="{00000000-0005-0000-0000-00006FA60000}"/>
    <cellStyle name="Percent 8 3 10 4" xfId="42642" xr:uid="{00000000-0005-0000-0000-000070A60000}"/>
    <cellStyle name="Percent 8 3 10 4 2" xfId="42643" xr:uid="{00000000-0005-0000-0000-000071A60000}"/>
    <cellStyle name="Percent 8 3 10 5" xfId="42644" xr:uid="{00000000-0005-0000-0000-000072A60000}"/>
    <cellStyle name="Percent 8 3 10 6" xfId="42645" xr:uid="{00000000-0005-0000-0000-000073A60000}"/>
    <cellStyle name="Percent 8 3 11" xfId="42646" xr:uid="{00000000-0005-0000-0000-000074A60000}"/>
    <cellStyle name="Percent 8 3 11 2" xfId="42647" xr:uid="{00000000-0005-0000-0000-000075A60000}"/>
    <cellStyle name="Percent 8 3 11 2 2" xfId="42648" xr:uid="{00000000-0005-0000-0000-000076A60000}"/>
    <cellStyle name="Percent 8 3 11 3" xfId="42649" xr:uid="{00000000-0005-0000-0000-000077A60000}"/>
    <cellStyle name="Percent 8 3 11 3 2" xfId="42650" xr:uid="{00000000-0005-0000-0000-000078A60000}"/>
    <cellStyle name="Percent 8 3 11 4" xfId="42651" xr:uid="{00000000-0005-0000-0000-000079A60000}"/>
    <cellStyle name="Percent 8 3 11 5" xfId="42652" xr:uid="{00000000-0005-0000-0000-00007AA60000}"/>
    <cellStyle name="Percent 8 3 12" xfId="42653" xr:uid="{00000000-0005-0000-0000-00007BA60000}"/>
    <cellStyle name="Percent 8 3 12 2" xfId="42654" xr:uid="{00000000-0005-0000-0000-00007CA60000}"/>
    <cellStyle name="Percent 8 3 13" xfId="42655" xr:uid="{00000000-0005-0000-0000-00007DA60000}"/>
    <cellStyle name="Percent 8 3 13 2" xfId="42656" xr:uid="{00000000-0005-0000-0000-00007EA60000}"/>
    <cellStyle name="Percent 8 3 14" xfId="42657" xr:uid="{00000000-0005-0000-0000-00007FA60000}"/>
    <cellStyle name="Percent 8 3 14 2" xfId="42658" xr:uid="{00000000-0005-0000-0000-000080A60000}"/>
    <cellStyle name="Percent 8 3 15" xfId="42659" xr:uid="{00000000-0005-0000-0000-000081A60000}"/>
    <cellStyle name="Percent 8 3 16" xfId="42660" xr:uid="{00000000-0005-0000-0000-000082A60000}"/>
    <cellStyle name="Percent 8 3 2" xfId="42661" xr:uid="{00000000-0005-0000-0000-000083A60000}"/>
    <cellStyle name="Percent 8 3 2 10" xfId="42662" xr:uid="{00000000-0005-0000-0000-000084A60000}"/>
    <cellStyle name="Percent 8 3 2 10 2" xfId="42663" xr:uid="{00000000-0005-0000-0000-000085A60000}"/>
    <cellStyle name="Percent 8 3 2 11" xfId="42664" xr:uid="{00000000-0005-0000-0000-000086A60000}"/>
    <cellStyle name="Percent 8 3 2 11 2" xfId="42665" xr:uid="{00000000-0005-0000-0000-000087A60000}"/>
    <cellStyle name="Percent 8 3 2 12" xfId="42666" xr:uid="{00000000-0005-0000-0000-000088A60000}"/>
    <cellStyle name="Percent 8 3 2 13" xfId="42667" xr:uid="{00000000-0005-0000-0000-000089A60000}"/>
    <cellStyle name="Percent 8 3 2 2" xfId="42668" xr:uid="{00000000-0005-0000-0000-00008AA60000}"/>
    <cellStyle name="Percent 8 3 2 2 10" xfId="42669" xr:uid="{00000000-0005-0000-0000-00008BA60000}"/>
    <cellStyle name="Percent 8 3 2 2 11" xfId="42670" xr:uid="{00000000-0005-0000-0000-00008CA60000}"/>
    <cellStyle name="Percent 8 3 2 2 2" xfId="42671" xr:uid="{00000000-0005-0000-0000-00008DA60000}"/>
    <cellStyle name="Percent 8 3 2 2 2 2" xfId="42672" xr:uid="{00000000-0005-0000-0000-00008EA60000}"/>
    <cellStyle name="Percent 8 3 2 2 2 2 2" xfId="42673" xr:uid="{00000000-0005-0000-0000-00008FA60000}"/>
    <cellStyle name="Percent 8 3 2 2 2 3" xfId="42674" xr:uid="{00000000-0005-0000-0000-000090A60000}"/>
    <cellStyle name="Percent 8 3 2 2 2 3 2" xfId="42675" xr:uid="{00000000-0005-0000-0000-000091A60000}"/>
    <cellStyle name="Percent 8 3 2 2 2 4" xfId="42676" xr:uid="{00000000-0005-0000-0000-000092A60000}"/>
    <cellStyle name="Percent 8 3 2 2 2 4 2" xfId="42677" xr:uid="{00000000-0005-0000-0000-000093A60000}"/>
    <cellStyle name="Percent 8 3 2 2 2 5" xfId="42678" xr:uid="{00000000-0005-0000-0000-000094A60000}"/>
    <cellStyle name="Percent 8 3 2 2 2 6" xfId="42679" xr:uid="{00000000-0005-0000-0000-000095A60000}"/>
    <cellStyle name="Percent 8 3 2 2 3" xfId="42680" xr:uid="{00000000-0005-0000-0000-000096A60000}"/>
    <cellStyle name="Percent 8 3 2 2 3 2" xfId="42681" xr:uid="{00000000-0005-0000-0000-000097A60000}"/>
    <cellStyle name="Percent 8 3 2 2 3 2 2" xfId="42682" xr:uid="{00000000-0005-0000-0000-000098A60000}"/>
    <cellStyle name="Percent 8 3 2 2 3 3" xfId="42683" xr:uid="{00000000-0005-0000-0000-000099A60000}"/>
    <cellStyle name="Percent 8 3 2 2 3 3 2" xfId="42684" xr:uid="{00000000-0005-0000-0000-00009AA60000}"/>
    <cellStyle name="Percent 8 3 2 2 3 4" xfId="42685" xr:uid="{00000000-0005-0000-0000-00009BA60000}"/>
    <cellStyle name="Percent 8 3 2 2 3 4 2" xfId="42686" xr:uid="{00000000-0005-0000-0000-00009CA60000}"/>
    <cellStyle name="Percent 8 3 2 2 3 5" xfId="42687" xr:uid="{00000000-0005-0000-0000-00009DA60000}"/>
    <cellStyle name="Percent 8 3 2 2 3 6" xfId="42688" xr:uid="{00000000-0005-0000-0000-00009EA60000}"/>
    <cellStyle name="Percent 8 3 2 2 4" xfId="42689" xr:uid="{00000000-0005-0000-0000-00009FA60000}"/>
    <cellStyle name="Percent 8 3 2 2 4 2" xfId="42690" xr:uid="{00000000-0005-0000-0000-0000A0A60000}"/>
    <cellStyle name="Percent 8 3 2 2 4 2 2" xfId="42691" xr:uid="{00000000-0005-0000-0000-0000A1A60000}"/>
    <cellStyle name="Percent 8 3 2 2 4 3" xfId="42692" xr:uid="{00000000-0005-0000-0000-0000A2A60000}"/>
    <cellStyle name="Percent 8 3 2 2 4 3 2" xfId="42693" xr:uid="{00000000-0005-0000-0000-0000A3A60000}"/>
    <cellStyle name="Percent 8 3 2 2 4 4" xfId="42694" xr:uid="{00000000-0005-0000-0000-0000A4A60000}"/>
    <cellStyle name="Percent 8 3 2 2 4 4 2" xfId="42695" xr:uid="{00000000-0005-0000-0000-0000A5A60000}"/>
    <cellStyle name="Percent 8 3 2 2 4 5" xfId="42696" xr:uid="{00000000-0005-0000-0000-0000A6A60000}"/>
    <cellStyle name="Percent 8 3 2 2 4 6" xfId="42697" xr:uid="{00000000-0005-0000-0000-0000A7A60000}"/>
    <cellStyle name="Percent 8 3 2 2 5" xfId="42698" xr:uid="{00000000-0005-0000-0000-0000A8A60000}"/>
    <cellStyle name="Percent 8 3 2 2 5 2" xfId="42699" xr:uid="{00000000-0005-0000-0000-0000A9A60000}"/>
    <cellStyle name="Percent 8 3 2 2 5 2 2" xfId="42700" xr:uid="{00000000-0005-0000-0000-0000AAA60000}"/>
    <cellStyle name="Percent 8 3 2 2 5 3" xfId="42701" xr:uid="{00000000-0005-0000-0000-0000ABA60000}"/>
    <cellStyle name="Percent 8 3 2 2 5 3 2" xfId="42702" xr:uid="{00000000-0005-0000-0000-0000ACA60000}"/>
    <cellStyle name="Percent 8 3 2 2 5 4" xfId="42703" xr:uid="{00000000-0005-0000-0000-0000ADA60000}"/>
    <cellStyle name="Percent 8 3 2 2 5 4 2" xfId="42704" xr:uid="{00000000-0005-0000-0000-0000AEA60000}"/>
    <cellStyle name="Percent 8 3 2 2 5 5" xfId="42705" xr:uid="{00000000-0005-0000-0000-0000AFA60000}"/>
    <cellStyle name="Percent 8 3 2 2 5 6" xfId="42706" xr:uid="{00000000-0005-0000-0000-0000B0A60000}"/>
    <cellStyle name="Percent 8 3 2 2 6" xfId="42707" xr:uid="{00000000-0005-0000-0000-0000B1A60000}"/>
    <cellStyle name="Percent 8 3 2 2 6 2" xfId="42708" xr:uid="{00000000-0005-0000-0000-0000B2A60000}"/>
    <cellStyle name="Percent 8 3 2 2 6 2 2" xfId="42709" xr:uid="{00000000-0005-0000-0000-0000B3A60000}"/>
    <cellStyle name="Percent 8 3 2 2 6 3" xfId="42710" xr:uid="{00000000-0005-0000-0000-0000B4A60000}"/>
    <cellStyle name="Percent 8 3 2 2 6 3 2" xfId="42711" xr:uid="{00000000-0005-0000-0000-0000B5A60000}"/>
    <cellStyle name="Percent 8 3 2 2 6 4" xfId="42712" xr:uid="{00000000-0005-0000-0000-0000B6A60000}"/>
    <cellStyle name="Percent 8 3 2 2 6 5" xfId="42713" xr:uid="{00000000-0005-0000-0000-0000B7A60000}"/>
    <cellStyle name="Percent 8 3 2 2 7" xfId="42714" xr:uid="{00000000-0005-0000-0000-0000B8A60000}"/>
    <cellStyle name="Percent 8 3 2 2 7 2" xfId="42715" xr:uid="{00000000-0005-0000-0000-0000B9A60000}"/>
    <cellStyle name="Percent 8 3 2 2 8" xfId="42716" xr:uid="{00000000-0005-0000-0000-0000BAA60000}"/>
    <cellStyle name="Percent 8 3 2 2 8 2" xfId="42717" xr:uid="{00000000-0005-0000-0000-0000BBA60000}"/>
    <cellStyle name="Percent 8 3 2 2 9" xfId="42718" xr:uid="{00000000-0005-0000-0000-0000BCA60000}"/>
    <cellStyle name="Percent 8 3 2 2 9 2" xfId="42719" xr:uid="{00000000-0005-0000-0000-0000BDA60000}"/>
    <cellStyle name="Percent 8 3 2 3" xfId="42720" xr:uid="{00000000-0005-0000-0000-0000BEA60000}"/>
    <cellStyle name="Percent 8 3 2 3 10" xfId="42721" xr:uid="{00000000-0005-0000-0000-0000BFA60000}"/>
    <cellStyle name="Percent 8 3 2 3 2" xfId="42722" xr:uid="{00000000-0005-0000-0000-0000C0A60000}"/>
    <cellStyle name="Percent 8 3 2 3 2 2" xfId="42723" xr:uid="{00000000-0005-0000-0000-0000C1A60000}"/>
    <cellStyle name="Percent 8 3 2 3 2 2 2" xfId="42724" xr:uid="{00000000-0005-0000-0000-0000C2A60000}"/>
    <cellStyle name="Percent 8 3 2 3 2 3" xfId="42725" xr:uid="{00000000-0005-0000-0000-0000C3A60000}"/>
    <cellStyle name="Percent 8 3 2 3 2 3 2" xfId="42726" xr:uid="{00000000-0005-0000-0000-0000C4A60000}"/>
    <cellStyle name="Percent 8 3 2 3 2 4" xfId="42727" xr:uid="{00000000-0005-0000-0000-0000C5A60000}"/>
    <cellStyle name="Percent 8 3 2 3 2 4 2" xfId="42728" xr:uid="{00000000-0005-0000-0000-0000C6A60000}"/>
    <cellStyle name="Percent 8 3 2 3 2 5" xfId="42729" xr:uid="{00000000-0005-0000-0000-0000C7A60000}"/>
    <cellStyle name="Percent 8 3 2 3 2 6" xfId="42730" xr:uid="{00000000-0005-0000-0000-0000C8A60000}"/>
    <cellStyle name="Percent 8 3 2 3 3" xfId="42731" xr:uid="{00000000-0005-0000-0000-0000C9A60000}"/>
    <cellStyle name="Percent 8 3 2 3 3 2" xfId="42732" xr:uid="{00000000-0005-0000-0000-0000CAA60000}"/>
    <cellStyle name="Percent 8 3 2 3 3 2 2" xfId="42733" xr:uid="{00000000-0005-0000-0000-0000CBA60000}"/>
    <cellStyle name="Percent 8 3 2 3 3 3" xfId="42734" xr:uid="{00000000-0005-0000-0000-0000CCA60000}"/>
    <cellStyle name="Percent 8 3 2 3 3 3 2" xfId="42735" xr:uid="{00000000-0005-0000-0000-0000CDA60000}"/>
    <cellStyle name="Percent 8 3 2 3 3 4" xfId="42736" xr:uid="{00000000-0005-0000-0000-0000CEA60000}"/>
    <cellStyle name="Percent 8 3 2 3 3 4 2" xfId="42737" xr:uid="{00000000-0005-0000-0000-0000CFA60000}"/>
    <cellStyle name="Percent 8 3 2 3 3 5" xfId="42738" xr:uid="{00000000-0005-0000-0000-0000D0A60000}"/>
    <cellStyle name="Percent 8 3 2 3 3 6" xfId="42739" xr:uid="{00000000-0005-0000-0000-0000D1A60000}"/>
    <cellStyle name="Percent 8 3 2 3 4" xfId="42740" xr:uid="{00000000-0005-0000-0000-0000D2A60000}"/>
    <cellStyle name="Percent 8 3 2 3 4 2" xfId="42741" xr:uid="{00000000-0005-0000-0000-0000D3A60000}"/>
    <cellStyle name="Percent 8 3 2 3 4 2 2" xfId="42742" xr:uid="{00000000-0005-0000-0000-0000D4A60000}"/>
    <cellStyle name="Percent 8 3 2 3 4 3" xfId="42743" xr:uid="{00000000-0005-0000-0000-0000D5A60000}"/>
    <cellStyle name="Percent 8 3 2 3 4 3 2" xfId="42744" xr:uid="{00000000-0005-0000-0000-0000D6A60000}"/>
    <cellStyle name="Percent 8 3 2 3 4 4" xfId="42745" xr:uid="{00000000-0005-0000-0000-0000D7A60000}"/>
    <cellStyle name="Percent 8 3 2 3 4 4 2" xfId="42746" xr:uid="{00000000-0005-0000-0000-0000D8A60000}"/>
    <cellStyle name="Percent 8 3 2 3 4 5" xfId="42747" xr:uid="{00000000-0005-0000-0000-0000D9A60000}"/>
    <cellStyle name="Percent 8 3 2 3 4 6" xfId="42748" xr:uid="{00000000-0005-0000-0000-0000DAA60000}"/>
    <cellStyle name="Percent 8 3 2 3 5" xfId="42749" xr:uid="{00000000-0005-0000-0000-0000DBA60000}"/>
    <cellStyle name="Percent 8 3 2 3 5 2" xfId="42750" xr:uid="{00000000-0005-0000-0000-0000DCA60000}"/>
    <cellStyle name="Percent 8 3 2 3 5 2 2" xfId="42751" xr:uid="{00000000-0005-0000-0000-0000DDA60000}"/>
    <cellStyle name="Percent 8 3 2 3 5 3" xfId="42752" xr:uid="{00000000-0005-0000-0000-0000DEA60000}"/>
    <cellStyle name="Percent 8 3 2 3 5 3 2" xfId="42753" xr:uid="{00000000-0005-0000-0000-0000DFA60000}"/>
    <cellStyle name="Percent 8 3 2 3 5 4" xfId="42754" xr:uid="{00000000-0005-0000-0000-0000E0A60000}"/>
    <cellStyle name="Percent 8 3 2 3 5 5" xfId="42755" xr:uid="{00000000-0005-0000-0000-0000E1A60000}"/>
    <cellStyle name="Percent 8 3 2 3 6" xfId="42756" xr:uid="{00000000-0005-0000-0000-0000E2A60000}"/>
    <cellStyle name="Percent 8 3 2 3 6 2" xfId="42757" xr:uid="{00000000-0005-0000-0000-0000E3A60000}"/>
    <cellStyle name="Percent 8 3 2 3 7" xfId="42758" xr:uid="{00000000-0005-0000-0000-0000E4A60000}"/>
    <cellStyle name="Percent 8 3 2 3 7 2" xfId="42759" xr:uid="{00000000-0005-0000-0000-0000E5A60000}"/>
    <cellStyle name="Percent 8 3 2 3 8" xfId="42760" xr:uid="{00000000-0005-0000-0000-0000E6A60000}"/>
    <cellStyle name="Percent 8 3 2 3 8 2" xfId="42761" xr:uid="{00000000-0005-0000-0000-0000E7A60000}"/>
    <cellStyle name="Percent 8 3 2 3 9" xfId="42762" xr:uid="{00000000-0005-0000-0000-0000E8A60000}"/>
    <cellStyle name="Percent 8 3 2 4" xfId="42763" xr:uid="{00000000-0005-0000-0000-0000E9A60000}"/>
    <cellStyle name="Percent 8 3 2 4 10" xfId="42764" xr:uid="{00000000-0005-0000-0000-0000EAA60000}"/>
    <cellStyle name="Percent 8 3 2 4 2" xfId="42765" xr:uid="{00000000-0005-0000-0000-0000EBA60000}"/>
    <cellStyle name="Percent 8 3 2 4 2 2" xfId="42766" xr:uid="{00000000-0005-0000-0000-0000ECA60000}"/>
    <cellStyle name="Percent 8 3 2 4 2 2 2" xfId="42767" xr:uid="{00000000-0005-0000-0000-0000EDA60000}"/>
    <cellStyle name="Percent 8 3 2 4 2 3" xfId="42768" xr:uid="{00000000-0005-0000-0000-0000EEA60000}"/>
    <cellStyle name="Percent 8 3 2 4 2 3 2" xfId="42769" xr:uid="{00000000-0005-0000-0000-0000EFA60000}"/>
    <cellStyle name="Percent 8 3 2 4 2 4" xfId="42770" xr:uid="{00000000-0005-0000-0000-0000F0A60000}"/>
    <cellStyle name="Percent 8 3 2 4 2 4 2" xfId="42771" xr:uid="{00000000-0005-0000-0000-0000F1A60000}"/>
    <cellStyle name="Percent 8 3 2 4 2 5" xfId="42772" xr:uid="{00000000-0005-0000-0000-0000F2A60000}"/>
    <cellStyle name="Percent 8 3 2 4 2 6" xfId="42773" xr:uid="{00000000-0005-0000-0000-0000F3A60000}"/>
    <cellStyle name="Percent 8 3 2 4 3" xfId="42774" xr:uid="{00000000-0005-0000-0000-0000F4A60000}"/>
    <cellStyle name="Percent 8 3 2 4 3 2" xfId="42775" xr:uid="{00000000-0005-0000-0000-0000F5A60000}"/>
    <cellStyle name="Percent 8 3 2 4 3 2 2" xfId="42776" xr:uid="{00000000-0005-0000-0000-0000F6A60000}"/>
    <cellStyle name="Percent 8 3 2 4 3 3" xfId="42777" xr:uid="{00000000-0005-0000-0000-0000F7A60000}"/>
    <cellStyle name="Percent 8 3 2 4 3 3 2" xfId="42778" xr:uid="{00000000-0005-0000-0000-0000F8A60000}"/>
    <cellStyle name="Percent 8 3 2 4 3 4" xfId="42779" xr:uid="{00000000-0005-0000-0000-0000F9A60000}"/>
    <cellStyle name="Percent 8 3 2 4 3 4 2" xfId="42780" xr:uid="{00000000-0005-0000-0000-0000FAA60000}"/>
    <cellStyle name="Percent 8 3 2 4 3 5" xfId="42781" xr:uid="{00000000-0005-0000-0000-0000FBA60000}"/>
    <cellStyle name="Percent 8 3 2 4 3 6" xfId="42782" xr:uid="{00000000-0005-0000-0000-0000FCA60000}"/>
    <cellStyle name="Percent 8 3 2 4 4" xfId="42783" xr:uid="{00000000-0005-0000-0000-0000FDA60000}"/>
    <cellStyle name="Percent 8 3 2 4 4 2" xfId="42784" xr:uid="{00000000-0005-0000-0000-0000FEA60000}"/>
    <cellStyle name="Percent 8 3 2 4 4 2 2" xfId="42785" xr:uid="{00000000-0005-0000-0000-0000FFA60000}"/>
    <cellStyle name="Percent 8 3 2 4 4 3" xfId="42786" xr:uid="{00000000-0005-0000-0000-000000A70000}"/>
    <cellStyle name="Percent 8 3 2 4 4 3 2" xfId="42787" xr:uid="{00000000-0005-0000-0000-000001A70000}"/>
    <cellStyle name="Percent 8 3 2 4 4 4" xfId="42788" xr:uid="{00000000-0005-0000-0000-000002A70000}"/>
    <cellStyle name="Percent 8 3 2 4 4 4 2" xfId="42789" xr:uid="{00000000-0005-0000-0000-000003A70000}"/>
    <cellStyle name="Percent 8 3 2 4 4 5" xfId="42790" xr:uid="{00000000-0005-0000-0000-000004A70000}"/>
    <cellStyle name="Percent 8 3 2 4 4 6" xfId="42791" xr:uid="{00000000-0005-0000-0000-000005A70000}"/>
    <cellStyle name="Percent 8 3 2 4 5" xfId="42792" xr:uid="{00000000-0005-0000-0000-000006A70000}"/>
    <cellStyle name="Percent 8 3 2 4 5 2" xfId="42793" xr:uid="{00000000-0005-0000-0000-000007A70000}"/>
    <cellStyle name="Percent 8 3 2 4 5 2 2" xfId="42794" xr:uid="{00000000-0005-0000-0000-000008A70000}"/>
    <cellStyle name="Percent 8 3 2 4 5 3" xfId="42795" xr:uid="{00000000-0005-0000-0000-000009A70000}"/>
    <cellStyle name="Percent 8 3 2 4 5 3 2" xfId="42796" xr:uid="{00000000-0005-0000-0000-00000AA70000}"/>
    <cellStyle name="Percent 8 3 2 4 5 4" xfId="42797" xr:uid="{00000000-0005-0000-0000-00000BA70000}"/>
    <cellStyle name="Percent 8 3 2 4 5 5" xfId="42798" xr:uid="{00000000-0005-0000-0000-00000CA70000}"/>
    <cellStyle name="Percent 8 3 2 4 6" xfId="42799" xr:uid="{00000000-0005-0000-0000-00000DA70000}"/>
    <cellStyle name="Percent 8 3 2 4 6 2" xfId="42800" xr:uid="{00000000-0005-0000-0000-00000EA70000}"/>
    <cellStyle name="Percent 8 3 2 4 7" xfId="42801" xr:uid="{00000000-0005-0000-0000-00000FA70000}"/>
    <cellStyle name="Percent 8 3 2 4 7 2" xfId="42802" xr:uid="{00000000-0005-0000-0000-000010A70000}"/>
    <cellStyle name="Percent 8 3 2 4 8" xfId="42803" xr:uid="{00000000-0005-0000-0000-000011A70000}"/>
    <cellStyle name="Percent 8 3 2 4 8 2" xfId="42804" xr:uid="{00000000-0005-0000-0000-000012A70000}"/>
    <cellStyle name="Percent 8 3 2 4 9" xfId="42805" xr:uid="{00000000-0005-0000-0000-000013A70000}"/>
    <cellStyle name="Percent 8 3 2 5" xfId="42806" xr:uid="{00000000-0005-0000-0000-000014A70000}"/>
    <cellStyle name="Percent 8 3 2 5 2" xfId="42807" xr:uid="{00000000-0005-0000-0000-000015A70000}"/>
    <cellStyle name="Percent 8 3 2 5 2 2" xfId="42808" xr:uid="{00000000-0005-0000-0000-000016A70000}"/>
    <cellStyle name="Percent 8 3 2 5 3" xfId="42809" xr:uid="{00000000-0005-0000-0000-000017A70000}"/>
    <cellStyle name="Percent 8 3 2 5 3 2" xfId="42810" xr:uid="{00000000-0005-0000-0000-000018A70000}"/>
    <cellStyle name="Percent 8 3 2 5 4" xfId="42811" xr:uid="{00000000-0005-0000-0000-000019A70000}"/>
    <cellStyle name="Percent 8 3 2 5 4 2" xfId="42812" xr:uid="{00000000-0005-0000-0000-00001AA70000}"/>
    <cellStyle name="Percent 8 3 2 5 5" xfId="42813" xr:uid="{00000000-0005-0000-0000-00001BA70000}"/>
    <cellStyle name="Percent 8 3 2 5 6" xfId="42814" xr:uid="{00000000-0005-0000-0000-00001CA70000}"/>
    <cellStyle name="Percent 8 3 2 6" xfId="42815" xr:uid="{00000000-0005-0000-0000-00001DA70000}"/>
    <cellStyle name="Percent 8 3 2 6 2" xfId="42816" xr:uid="{00000000-0005-0000-0000-00001EA70000}"/>
    <cellStyle name="Percent 8 3 2 6 2 2" xfId="42817" xr:uid="{00000000-0005-0000-0000-00001FA70000}"/>
    <cellStyle name="Percent 8 3 2 6 3" xfId="42818" xr:uid="{00000000-0005-0000-0000-000020A70000}"/>
    <cellStyle name="Percent 8 3 2 6 3 2" xfId="42819" xr:uid="{00000000-0005-0000-0000-000021A70000}"/>
    <cellStyle name="Percent 8 3 2 6 4" xfId="42820" xr:uid="{00000000-0005-0000-0000-000022A70000}"/>
    <cellStyle name="Percent 8 3 2 6 4 2" xfId="42821" xr:uid="{00000000-0005-0000-0000-000023A70000}"/>
    <cellStyle name="Percent 8 3 2 6 5" xfId="42822" xr:uid="{00000000-0005-0000-0000-000024A70000}"/>
    <cellStyle name="Percent 8 3 2 6 6" xfId="42823" xr:uid="{00000000-0005-0000-0000-000025A70000}"/>
    <cellStyle name="Percent 8 3 2 7" xfId="42824" xr:uid="{00000000-0005-0000-0000-000026A70000}"/>
    <cellStyle name="Percent 8 3 2 7 2" xfId="42825" xr:uid="{00000000-0005-0000-0000-000027A70000}"/>
    <cellStyle name="Percent 8 3 2 7 2 2" xfId="42826" xr:uid="{00000000-0005-0000-0000-000028A70000}"/>
    <cellStyle name="Percent 8 3 2 7 3" xfId="42827" xr:uid="{00000000-0005-0000-0000-000029A70000}"/>
    <cellStyle name="Percent 8 3 2 7 3 2" xfId="42828" xr:uid="{00000000-0005-0000-0000-00002AA70000}"/>
    <cellStyle name="Percent 8 3 2 7 4" xfId="42829" xr:uid="{00000000-0005-0000-0000-00002BA70000}"/>
    <cellStyle name="Percent 8 3 2 7 4 2" xfId="42830" xr:uid="{00000000-0005-0000-0000-00002CA70000}"/>
    <cellStyle name="Percent 8 3 2 7 5" xfId="42831" xr:uid="{00000000-0005-0000-0000-00002DA70000}"/>
    <cellStyle name="Percent 8 3 2 7 6" xfId="42832" xr:uid="{00000000-0005-0000-0000-00002EA70000}"/>
    <cellStyle name="Percent 8 3 2 8" xfId="42833" xr:uid="{00000000-0005-0000-0000-00002FA70000}"/>
    <cellStyle name="Percent 8 3 2 8 2" xfId="42834" xr:uid="{00000000-0005-0000-0000-000030A70000}"/>
    <cellStyle name="Percent 8 3 2 8 2 2" xfId="42835" xr:uid="{00000000-0005-0000-0000-000031A70000}"/>
    <cellStyle name="Percent 8 3 2 8 3" xfId="42836" xr:uid="{00000000-0005-0000-0000-000032A70000}"/>
    <cellStyle name="Percent 8 3 2 8 3 2" xfId="42837" xr:uid="{00000000-0005-0000-0000-000033A70000}"/>
    <cellStyle name="Percent 8 3 2 8 4" xfId="42838" xr:uid="{00000000-0005-0000-0000-000034A70000}"/>
    <cellStyle name="Percent 8 3 2 8 5" xfId="42839" xr:uid="{00000000-0005-0000-0000-000035A70000}"/>
    <cellStyle name="Percent 8 3 2 9" xfId="42840" xr:uid="{00000000-0005-0000-0000-000036A70000}"/>
    <cellStyle name="Percent 8 3 2 9 2" xfId="42841" xr:uid="{00000000-0005-0000-0000-000037A70000}"/>
    <cellStyle name="Percent 8 3 3" xfId="42842" xr:uid="{00000000-0005-0000-0000-000038A70000}"/>
    <cellStyle name="Percent 8 3 3 10" xfId="42843" xr:uid="{00000000-0005-0000-0000-000039A70000}"/>
    <cellStyle name="Percent 8 3 3 10 2" xfId="42844" xr:uid="{00000000-0005-0000-0000-00003AA70000}"/>
    <cellStyle name="Percent 8 3 3 11" xfId="42845" xr:uid="{00000000-0005-0000-0000-00003BA70000}"/>
    <cellStyle name="Percent 8 3 3 11 2" xfId="42846" xr:uid="{00000000-0005-0000-0000-00003CA70000}"/>
    <cellStyle name="Percent 8 3 3 12" xfId="42847" xr:uid="{00000000-0005-0000-0000-00003DA70000}"/>
    <cellStyle name="Percent 8 3 3 13" xfId="42848" xr:uid="{00000000-0005-0000-0000-00003EA70000}"/>
    <cellStyle name="Percent 8 3 3 2" xfId="42849" xr:uid="{00000000-0005-0000-0000-00003FA70000}"/>
    <cellStyle name="Percent 8 3 3 2 10" xfId="42850" xr:uid="{00000000-0005-0000-0000-000040A70000}"/>
    <cellStyle name="Percent 8 3 3 2 11" xfId="42851" xr:uid="{00000000-0005-0000-0000-000041A70000}"/>
    <cellStyle name="Percent 8 3 3 2 2" xfId="42852" xr:uid="{00000000-0005-0000-0000-000042A70000}"/>
    <cellStyle name="Percent 8 3 3 2 2 2" xfId="42853" xr:uid="{00000000-0005-0000-0000-000043A70000}"/>
    <cellStyle name="Percent 8 3 3 2 2 2 2" xfId="42854" xr:uid="{00000000-0005-0000-0000-000044A70000}"/>
    <cellStyle name="Percent 8 3 3 2 2 3" xfId="42855" xr:uid="{00000000-0005-0000-0000-000045A70000}"/>
    <cellStyle name="Percent 8 3 3 2 2 3 2" xfId="42856" xr:uid="{00000000-0005-0000-0000-000046A70000}"/>
    <cellStyle name="Percent 8 3 3 2 2 4" xfId="42857" xr:uid="{00000000-0005-0000-0000-000047A70000}"/>
    <cellStyle name="Percent 8 3 3 2 2 4 2" xfId="42858" xr:uid="{00000000-0005-0000-0000-000048A70000}"/>
    <cellStyle name="Percent 8 3 3 2 2 5" xfId="42859" xr:uid="{00000000-0005-0000-0000-000049A70000}"/>
    <cellStyle name="Percent 8 3 3 2 2 6" xfId="42860" xr:uid="{00000000-0005-0000-0000-00004AA70000}"/>
    <cellStyle name="Percent 8 3 3 2 3" xfId="42861" xr:uid="{00000000-0005-0000-0000-00004BA70000}"/>
    <cellStyle name="Percent 8 3 3 2 3 2" xfId="42862" xr:uid="{00000000-0005-0000-0000-00004CA70000}"/>
    <cellStyle name="Percent 8 3 3 2 3 2 2" xfId="42863" xr:uid="{00000000-0005-0000-0000-00004DA70000}"/>
    <cellStyle name="Percent 8 3 3 2 3 3" xfId="42864" xr:uid="{00000000-0005-0000-0000-00004EA70000}"/>
    <cellStyle name="Percent 8 3 3 2 3 3 2" xfId="42865" xr:uid="{00000000-0005-0000-0000-00004FA70000}"/>
    <cellStyle name="Percent 8 3 3 2 3 4" xfId="42866" xr:uid="{00000000-0005-0000-0000-000050A70000}"/>
    <cellStyle name="Percent 8 3 3 2 3 4 2" xfId="42867" xr:uid="{00000000-0005-0000-0000-000051A70000}"/>
    <cellStyle name="Percent 8 3 3 2 3 5" xfId="42868" xr:uid="{00000000-0005-0000-0000-000052A70000}"/>
    <cellStyle name="Percent 8 3 3 2 3 6" xfId="42869" xr:uid="{00000000-0005-0000-0000-000053A70000}"/>
    <cellStyle name="Percent 8 3 3 2 4" xfId="42870" xr:uid="{00000000-0005-0000-0000-000054A70000}"/>
    <cellStyle name="Percent 8 3 3 2 4 2" xfId="42871" xr:uid="{00000000-0005-0000-0000-000055A70000}"/>
    <cellStyle name="Percent 8 3 3 2 4 2 2" xfId="42872" xr:uid="{00000000-0005-0000-0000-000056A70000}"/>
    <cellStyle name="Percent 8 3 3 2 4 3" xfId="42873" xr:uid="{00000000-0005-0000-0000-000057A70000}"/>
    <cellStyle name="Percent 8 3 3 2 4 3 2" xfId="42874" xr:uid="{00000000-0005-0000-0000-000058A70000}"/>
    <cellStyle name="Percent 8 3 3 2 4 4" xfId="42875" xr:uid="{00000000-0005-0000-0000-000059A70000}"/>
    <cellStyle name="Percent 8 3 3 2 4 4 2" xfId="42876" xr:uid="{00000000-0005-0000-0000-00005AA70000}"/>
    <cellStyle name="Percent 8 3 3 2 4 5" xfId="42877" xr:uid="{00000000-0005-0000-0000-00005BA70000}"/>
    <cellStyle name="Percent 8 3 3 2 4 6" xfId="42878" xr:uid="{00000000-0005-0000-0000-00005CA70000}"/>
    <cellStyle name="Percent 8 3 3 2 5" xfId="42879" xr:uid="{00000000-0005-0000-0000-00005DA70000}"/>
    <cellStyle name="Percent 8 3 3 2 5 2" xfId="42880" xr:uid="{00000000-0005-0000-0000-00005EA70000}"/>
    <cellStyle name="Percent 8 3 3 2 5 2 2" xfId="42881" xr:uid="{00000000-0005-0000-0000-00005FA70000}"/>
    <cellStyle name="Percent 8 3 3 2 5 3" xfId="42882" xr:uid="{00000000-0005-0000-0000-000060A70000}"/>
    <cellStyle name="Percent 8 3 3 2 5 3 2" xfId="42883" xr:uid="{00000000-0005-0000-0000-000061A70000}"/>
    <cellStyle name="Percent 8 3 3 2 5 4" xfId="42884" xr:uid="{00000000-0005-0000-0000-000062A70000}"/>
    <cellStyle name="Percent 8 3 3 2 5 4 2" xfId="42885" xr:uid="{00000000-0005-0000-0000-000063A70000}"/>
    <cellStyle name="Percent 8 3 3 2 5 5" xfId="42886" xr:uid="{00000000-0005-0000-0000-000064A70000}"/>
    <cellStyle name="Percent 8 3 3 2 5 6" xfId="42887" xr:uid="{00000000-0005-0000-0000-000065A70000}"/>
    <cellStyle name="Percent 8 3 3 2 6" xfId="42888" xr:uid="{00000000-0005-0000-0000-000066A70000}"/>
    <cellStyle name="Percent 8 3 3 2 6 2" xfId="42889" xr:uid="{00000000-0005-0000-0000-000067A70000}"/>
    <cellStyle name="Percent 8 3 3 2 6 2 2" xfId="42890" xr:uid="{00000000-0005-0000-0000-000068A70000}"/>
    <cellStyle name="Percent 8 3 3 2 6 3" xfId="42891" xr:uid="{00000000-0005-0000-0000-000069A70000}"/>
    <cellStyle name="Percent 8 3 3 2 6 3 2" xfId="42892" xr:uid="{00000000-0005-0000-0000-00006AA70000}"/>
    <cellStyle name="Percent 8 3 3 2 6 4" xfId="42893" xr:uid="{00000000-0005-0000-0000-00006BA70000}"/>
    <cellStyle name="Percent 8 3 3 2 6 5" xfId="42894" xr:uid="{00000000-0005-0000-0000-00006CA70000}"/>
    <cellStyle name="Percent 8 3 3 2 7" xfId="42895" xr:uid="{00000000-0005-0000-0000-00006DA70000}"/>
    <cellStyle name="Percent 8 3 3 2 7 2" xfId="42896" xr:uid="{00000000-0005-0000-0000-00006EA70000}"/>
    <cellStyle name="Percent 8 3 3 2 8" xfId="42897" xr:uid="{00000000-0005-0000-0000-00006FA70000}"/>
    <cellStyle name="Percent 8 3 3 2 8 2" xfId="42898" xr:uid="{00000000-0005-0000-0000-000070A70000}"/>
    <cellStyle name="Percent 8 3 3 2 9" xfId="42899" xr:uid="{00000000-0005-0000-0000-000071A70000}"/>
    <cellStyle name="Percent 8 3 3 2 9 2" xfId="42900" xr:uid="{00000000-0005-0000-0000-000072A70000}"/>
    <cellStyle name="Percent 8 3 3 3" xfId="42901" xr:uid="{00000000-0005-0000-0000-000073A70000}"/>
    <cellStyle name="Percent 8 3 3 3 10" xfId="42902" xr:uid="{00000000-0005-0000-0000-000074A70000}"/>
    <cellStyle name="Percent 8 3 3 3 2" xfId="42903" xr:uid="{00000000-0005-0000-0000-000075A70000}"/>
    <cellStyle name="Percent 8 3 3 3 2 2" xfId="42904" xr:uid="{00000000-0005-0000-0000-000076A70000}"/>
    <cellStyle name="Percent 8 3 3 3 2 2 2" xfId="42905" xr:uid="{00000000-0005-0000-0000-000077A70000}"/>
    <cellStyle name="Percent 8 3 3 3 2 3" xfId="42906" xr:uid="{00000000-0005-0000-0000-000078A70000}"/>
    <cellStyle name="Percent 8 3 3 3 2 3 2" xfId="42907" xr:uid="{00000000-0005-0000-0000-000079A70000}"/>
    <cellStyle name="Percent 8 3 3 3 2 4" xfId="42908" xr:uid="{00000000-0005-0000-0000-00007AA70000}"/>
    <cellStyle name="Percent 8 3 3 3 2 4 2" xfId="42909" xr:uid="{00000000-0005-0000-0000-00007BA70000}"/>
    <cellStyle name="Percent 8 3 3 3 2 5" xfId="42910" xr:uid="{00000000-0005-0000-0000-00007CA70000}"/>
    <cellStyle name="Percent 8 3 3 3 2 6" xfId="42911" xr:uid="{00000000-0005-0000-0000-00007DA70000}"/>
    <cellStyle name="Percent 8 3 3 3 3" xfId="42912" xr:uid="{00000000-0005-0000-0000-00007EA70000}"/>
    <cellStyle name="Percent 8 3 3 3 3 2" xfId="42913" xr:uid="{00000000-0005-0000-0000-00007FA70000}"/>
    <cellStyle name="Percent 8 3 3 3 3 2 2" xfId="42914" xr:uid="{00000000-0005-0000-0000-000080A70000}"/>
    <cellStyle name="Percent 8 3 3 3 3 3" xfId="42915" xr:uid="{00000000-0005-0000-0000-000081A70000}"/>
    <cellStyle name="Percent 8 3 3 3 3 3 2" xfId="42916" xr:uid="{00000000-0005-0000-0000-000082A70000}"/>
    <cellStyle name="Percent 8 3 3 3 3 4" xfId="42917" xr:uid="{00000000-0005-0000-0000-000083A70000}"/>
    <cellStyle name="Percent 8 3 3 3 3 4 2" xfId="42918" xr:uid="{00000000-0005-0000-0000-000084A70000}"/>
    <cellStyle name="Percent 8 3 3 3 3 5" xfId="42919" xr:uid="{00000000-0005-0000-0000-000085A70000}"/>
    <cellStyle name="Percent 8 3 3 3 3 6" xfId="42920" xr:uid="{00000000-0005-0000-0000-000086A70000}"/>
    <cellStyle name="Percent 8 3 3 3 4" xfId="42921" xr:uid="{00000000-0005-0000-0000-000087A70000}"/>
    <cellStyle name="Percent 8 3 3 3 4 2" xfId="42922" xr:uid="{00000000-0005-0000-0000-000088A70000}"/>
    <cellStyle name="Percent 8 3 3 3 4 2 2" xfId="42923" xr:uid="{00000000-0005-0000-0000-000089A70000}"/>
    <cellStyle name="Percent 8 3 3 3 4 3" xfId="42924" xr:uid="{00000000-0005-0000-0000-00008AA70000}"/>
    <cellStyle name="Percent 8 3 3 3 4 3 2" xfId="42925" xr:uid="{00000000-0005-0000-0000-00008BA70000}"/>
    <cellStyle name="Percent 8 3 3 3 4 4" xfId="42926" xr:uid="{00000000-0005-0000-0000-00008CA70000}"/>
    <cellStyle name="Percent 8 3 3 3 4 4 2" xfId="42927" xr:uid="{00000000-0005-0000-0000-00008DA70000}"/>
    <cellStyle name="Percent 8 3 3 3 4 5" xfId="42928" xr:uid="{00000000-0005-0000-0000-00008EA70000}"/>
    <cellStyle name="Percent 8 3 3 3 4 6" xfId="42929" xr:uid="{00000000-0005-0000-0000-00008FA70000}"/>
    <cellStyle name="Percent 8 3 3 3 5" xfId="42930" xr:uid="{00000000-0005-0000-0000-000090A70000}"/>
    <cellStyle name="Percent 8 3 3 3 5 2" xfId="42931" xr:uid="{00000000-0005-0000-0000-000091A70000}"/>
    <cellStyle name="Percent 8 3 3 3 5 2 2" xfId="42932" xr:uid="{00000000-0005-0000-0000-000092A70000}"/>
    <cellStyle name="Percent 8 3 3 3 5 3" xfId="42933" xr:uid="{00000000-0005-0000-0000-000093A70000}"/>
    <cellStyle name="Percent 8 3 3 3 5 3 2" xfId="42934" xr:uid="{00000000-0005-0000-0000-000094A70000}"/>
    <cellStyle name="Percent 8 3 3 3 5 4" xfId="42935" xr:uid="{00000000-0005-0000-0000-000095A70000}"/>
    <cellStyle name="Percent 8 3 3 3 5 5" xfId="42936" xr:uid="{00000000-0005-0000-0000-000096A70000}"/>
    <cellStyle name="Percent 8 3 3 3 6" xfId="42937" xr:uid="{00000000-0005-0000-0000-000097A70000}"/>
    <cellStyle name="Percent 8 3 3 3 6 2" xfId="42938" xr:uid="{00000000-0005-0000-0000-000098A70000}"/>
    <cellStyle name="Percent 8 3 3 3 7" xfId="42939" xr:uid="{00000000-0005-0000-0000-000099A70000}"/>
    <cellStyle name="Percent 8 3 3 3 7 2" xfId="42940" xr:uid="{00000000-0005-0000-0000-00009AA70000}"/>
    <cellStyle name="Percent 8 3 3 3 8" xfId="42941" xr:uid="{00000000-0005-0000-0000-00009BA70000}"/>
    <cellStyle name="Percent 8 3 3 3 8 2" xfId="42942" xr:uid="{00000000-0005-0000-0000-00009CA70000}"/>
    <cellStyle name="Percent 8 3 3 3 9" xfId="42943" xr:uid="{00000000-0005-0000-0000-00009DA70000}"/>
    <cellStyle name="Percent 8 3 3 4" xfId="42944" xr:uid="{00000000-0005-0000-0000-00009EA70000}"/>
    <cellStyle name="Percent 8 3 3 4 10" xfId="42945" xr:uid="{00000000-0005-0000-0000-00009FA70000}"/>
    <cellStyle name="Percent 8 3 3 4 2" xfId="42946" xr:uid="{00000000-0005-0000-0000-0000A0A70000}"/>
    <cellStyle name="Percent 8 3 3 4 2 2" xfId="42947" xr:uid="{00000000-0005-0000-0000-0000A1A70000}"/>
    <cellStyle name="Percent 8 3 3 4 2 2 2" xfId="42948" xr:uid="{00000000-0005-0000-0000-0000A2A70000}"/>
    <cellStyle name="Percent 8 3 3 4 2 3" xfId="42949" xr:uid="{00000000-0005-0000-0000-0000A3A70000}"/>
    <cellStyle name="Percent 8 3 3 4 2 3 2" xfId="42950" xr:uid="{00000000-0005-0000-0000-0000A4A70000}"/>
    <cellStyle name="Percent 8 3 3 4 2 4" xfId="42951" xr:uid="{00000000-0005-0000-0000-0000A5A70000}"/>
    <cellStyle name="Percent 8 3 3 4 2 4 2" xfId="42952" xr:uid="{00000000-0005-0000-0000-0000A6A70000}"/>
    <cellStyle name="Percent 8 3 3 4 2 5" xfId="42953" xr:uid="{00000000-0005-0000-0000-0000A7A70000}"/>
    <cellStyle name="Percent 8 3 3 4 2 6" xfId="42954" xr:uid="{00000000-0005-0000-0000-0000A8A70000}"/>
    <cellStyle name="Percent 8 3 3 4 3" xfId="42955" xr:uid="{00000000-0005-0000-0000-0000A9A70000}"/>
    <cellStyle name="Percent 8 3 3 4 3 2" xfId="42956" xr:uid="{00000000-0005-0000-0000-0000AAA70000}"/>
    <cellStyle name="Percent 8 3 3 4 3 2 2" xfId="42957" xr:uid="{00000000-0005-0000-0000-0000ABA70000}"/>
    <cellStyle name="Percent 8 3 3 4 3 3" xfId="42958" xr:uid="{00000000-0005-0000-0000-0000ACA70000}"/>
    <cellStyle name="Percent 8 3 3 4 3 3 2" xfId="42959" xr:uid="{00000000-0005-0000-0000-0000ADA70000}"/>
    <cellStyle name="Percent 8 3 3 4 3 4" xfId="42960" xr:uid="{00000000-0005-0000-0000-0000AEA70000}"/>
    <cellStyle name="Percent 8 3 3 4 3 4 2" xfId="42961" xr:uid="{00000000-0005-0000-0000-0000AFA70000}"/>
    <cellStyle name="Percent 8 3 3 4 3 5" xfId="42962" xr:uid="{00000000-0005-0000-0000-0000B0A70000}"/>
    <cellStyle name="Percent 8 3 3 4 3 6" xfId="42963" xr:uid="{00000000-0005-0000-0000-0000B1A70000}"/>
    <cellStyle name="Percent 8 3 3 4 4" xfId="42964" xr:uid="{00000000-0005-0000-0000-0000B2A70000}"/>
    <cellStyle name="Percent 8 3 3 4 4 2" xfId="42965" xr:uid="{00000000-0005-0000-0000-0000B3A70000}"/>
    <cellStyle name="Percent 8 3 3 4 4 2 2" xfId="42966" xr:uid="{00000000-0005-0000-0000-0000B4A70000}"/>
    <cellStyle name="Percent 8 3 3 4 4 3" xfId="42967" xr:uid="{00000000-0005-0000-0000-0000B5A70000}"/>
    <cellStyle name="Percent 8 3 3 4 4 3 2" xfId="42968" xr:uid="{00000000-0005-0000-0000-0000B6A70000}"/>
    <cellStyle name="Percent 8 3 3 4 4 4" xfId="42969" xr:uid="{00000000-0005-0000-0000-0000B7A70000}"/>
    <cellStyle name="Percent 8 3 3 4 4 4 2" xfId="42970" xr:uid="{00000000-0005-0000-0000-0000B8A70000}"/>
    <cellStyle name="Percent 8 3 3 4 4 5" xfId="42971" xr:uid="{00000000-0005-0000-0000-0000B9A70000}"/>
    <cellStyle name="Percent 8 3 3 4 4 6" xfId="42972" xr:uid="{00000000-0005-0000-0000-0000BAA70000}"/>
    <cellStyle name="Percent 8 3 3 4 5" xfId="42973" xr:uid="{00000000-0005-0000-0000-0000BBA70000}"/>
    <cellStyle name="Percent 8 3 3 4 5 2" xfId="42974" xr:uid="{00000000-0005-0000-0000-0000BCA70000}"/>
    <cellStyle name="Percent 8 3 3 4 5 2 2" xfId="42975" xr:uid="{00000000-0005-0000-0000-0000BDA70000}"/>
    <cellStyle name="Percent 8 3 3 4 5 3" xfId="42976" xr:uid="{00000000-0005-0000-0000-0000BEA70000}"/>
    <cellStyle name="Percent 8 3 3 4 5 3 2" xfId="42977" xr:uid="{00000000-0005-0000-0000-0000BFA70000}"/>
    <cellStyle name="Percent 8 3 3 4 5 4" xfId="42978" xr:uid="{00000000-0005-0000-0000-0000C0A70000}"/>
    <cellStyle name="Percent 8 3 3 4 5 5" xfId="42979" xr:uid="{00000000-0005-0000-0000-0000C1A70000}"/>
    <cellStyle name="Percent 8 3 3 4 6" xfId="42980" xr:uid="{00000000-0005-0000-0000-0000C2A70000}"/>
    <cellStyle name="Percent 8 3 3 4 6 2" xfId="42981" xr:uid="{00000000-0005-0000-0000-0000C3A70000}"/>
    <cellStyle name="Percent 8 3 3 4 7" xfId="42982" xr:uid="{00000000-0005-0000-0000-0000C4A70000}"/>
    <cellStyle name="Percent 8 3 3 4 7 2" xfId="42983" xr:uid="{00000000-0005-0000-0000-0000C5A70000}"/>
    <cellStyle name="Percent 8 3 3 4 8" xfId="42984" xr:uid="{00000000-0005-0000-0000-0000C6A70000}"/>
    <cellStyle name="Percent 8 3 3 4 8 2" xfId="42985" xr:uid="{00000000-0005-0000-0000-0000C7A70000}"/>
    <cellStyle name="Percent 8 3 3 4 9" xfId="42986" xr:uid="{00000000-0005-0000-0000-0000C8A70000}"/>
    <cellStyle name="Percent 8 3 3 5" xfId="42987" xr:uid="{00000000-0005-0000-0000-0000C9A70000}"/>
    <cellStyle name="Percent 8 3 3 5 2" xfId="42988" xr:uid="{00000000-0005-0000-0000-0000CAA70000}"/>
    <cellStyle name="Percent 8 3 3 5 2 2" xfId="42989" xr:uid="{00000000-0005-0000-0000-0000CBA70000}"/>
    <cellStyle name="Percent 8 3 3 5 3" xfId="42990" xr:uid="{00000000-0005-0000-0000-0000CCA70000}"/>
    <cellStyle name="Percent 8 3 3 5 3 2" xfId="42991" xr:uid="{00000000-0005-0000-0000-0000CDA70000}"/>
    <cellStyle name="Percent 8 3 3 5 4" xfId="42992" xr:uid="{00000000-0005-0000-0000-0000CEA70000}"/>
    <cellStyle name="Percent 8 3 3 5 4 2" xfId="42993" xr:uid="{00000000-0005-0000-0000-0000CFA70000}"/>
    <cellStyle name="Percent 8 3 3 5 5" xfId="42994" xr:uid="{00000000-0005-0000-0000-0000D0A70000}"/>
    <cellStyle name="Percent 8 3 3 5 6" xfId="42995" xr:uid="{00000000-0005-0000-0000-0000D1A70000}"/>
    <cellStyle name="Percent 8 3 3 6" xfId="42996" xr:uid="{00000000-0005-0000-0000-0000D2A70000}"/>
    <cellStyle name="Percent 8 3 3 6 2" xfId="42997" xr:uid="{00000000-0005-0000-0000-0000D3A70000}"/>
    <cellStyle name="Percent 8 3 3 6 2 2" xfId="42998" xr:uid="{00000000-0005-0000-0000-0000D4A70000}"/>
    <cellStyle name="Percent 8 3 3 6 3" xfId="42999" xr:uid="{00000000-0005-0000-0000-0000D5A70000}"/>
    <cellStyle name="Percent 8 3 3 6 3 2" xfId="43000" xr:uid="{00000000-0005-0000-0000-0000D6A70000}"/>
    <cellStyle name="Percent 8 3 3 6 4" xfId="43001" xr:uid="{00000000-0005-0000-0000-0000D7A70000}"/>
    <cellStyle name="Percent 8 3 3 6 4 2" xfId="43002" xr:uid="{00000000-0005-0000-0000-0000D8A70000}"/>
    <cellStyle name="Percent 8 3 3 6 5" xfId="43003" xr:uid="{00000000-0005-0000-0000-0000D9A70000}"/>
    <cellStyle name="Percent 8 3 3 6 6" xfId="43004" xr:uid="{00000000-0005-0000-0000-0000DAA70000}"/>
    <cellStyle name="Percent 8 3 3 7" xfId="43005" xr:uid="{00000000-0005-0000-0000-0000DBA70000}"/>
    <cellStyle name="Percent 8 3 3 7 2" xfId="43006" xr:uid="{00000000-0005-0000-0000-0000DCA70000}"/>
    <cellStyle name="Percent 8 3 3 7 2 2" xfId="43007" xr:uid="{00000000-0005-0000-0000-0000DDA70000}"/>
    <cellStyle name="Percent 8 3 3 7 3" xfId="43008" xr:uid="{00000000-0005-0000-0000-0000DEA70000}"/>
    <cellStyle name="Percent 8 3 3 7 3 2" xfId="43009" xr:uid="{00000000-0005-0000-0000-0000DFA70000}"/>
    <cellStyle name="Percent 8 3 3 7 4" xfId="43010" xr:uid="{00000000-0005-0000-0000-0000E0A70000}"/>
    <cellStyle name="Percent 8 3 3 7 4 2" xfId="43011" xr:uid="{00000000-0005-0000-0000-0000E1A70000}"/>
    <cellStyle name="Percent 8 3 3 7 5" xfId="43012" xr:uid="{00000000-0005-0000-0000-0000E2A70000}"/>
    <cellStyle name="Percent 8 3 3 7 6" xfId="43013" xr:uid="{00000000-0005-0000-0000-0000E3A70000}"/>
    <cellStyle name="Percent 8 3 3 8" xfId="43014" xr:uid="{00000000-0005-0000-0000-0000E4A70000}"/>
    <cellStyle name="Percent 8 3 3 8 2" xfId="43015" xr:uid="{00000000-0005-0000-0000-0000E5A70000}"/>
    <cellStyle name="Percent 8 3 3 8 2 2" xfId="43016" xr:uid="{00000000-0005-0000-0000-0000E6A70000}"/>
    <cellStyle name="Percent 8 3 3 8 3" xfId="43017" xr:uid="{00000000-0005-0000-0000-0000E7A70000}"/>
    <cellStyle name="Percent 8 3 3 8 3 2" xfId="43018" xr:uid="{00000000-0005-0000-0000-0000E8A70000}"/>
    <cellStyle name="Percent 8 3 3 8 4" xfId="43019" xr:uid="{00000000-0005-0000-0000-0000E9A70000}"/>
    <cellStyle name="Percent 8 3 3 8 5" xfId="43020" xr:uid="{00000000-0005-0000-0000-0000EAA70000}"/>
    <cellStyle name="Percent 8 3 3 9" xfId="43021" xr:uid="{00000000-0005-0000-0000-0000EBA70000}"/>
    <cellStyle name="Percent 8 3 3 9 2" xfId="43022" xr:uid="{00000000-0005-0000-0000-0000ECA70000}"/>
    <cellStyle name="Percent 8 3 4" xfId="43023" xr:uid="{00000000-0005-0000-0000-0000EDA70000}"/>
    <cellStyle name="Percent 8 3 4 10" xfId="43024" xr:uid="{00000000-0005-0000-0000-0000EEA70000}"/>
    <cellStyle name="Percent 8 3 4 10 2" xfId="43025" xr:uid="{00000000-0005-0000-0000-0000EFA70000}"/>
    <cellStyle name="Percent 8 3 4 11" xfId="43026" xr:uid="{00000000-0005-0000-0000-0000F0A70000}"/>
    <cellStyle name="Percent 8 3 4 12" xfId="43027" xr:uid="{00000000-0005-0000-0000-0000F1A70000}"/>
    <cellStyle name="Percent 8 3 4 2" xfId="43028" xr:uid="{00000000-0005-0000-0000-0000F2A70000}"/>
    <cellStyle name="Percent 8 3 4 2 10" xfId="43029" xr:uid="{00000000-0005-0000-0000-0000F3A70000}"/>
    <cellStyle name="Percent 8 3 4 2 2" xfId="43030" xr:uid="{00000000-0005-0000-0000-0000F4A70000}"/>
    <cellStyle name="Percent 8 3 4 2 2 2" xfId="43031" xr:uid="{00000000-0005-0000-0000-0000F5A70000}"/>
    <cellStyle name="Percent 8 3 4 2 2 2 2" xfId="43032" xr:uid="{00000000-0005-0000-0000-0000F6A70000}"/>
    <cellStyle name="Percent 8 3 4 2 2 3" xfId="43033" xr:uid="{00000000-0005-0000-0000-0000F7A70000}"/>
    <cellStyle name="Percent 8 3 4 2 2 3 2" xfId="43034" xr:uid="{00000000-0005-0000-0000-0000F8A70000}"/>
    <cellStyle name="Percent 8 3 4 2 2 4" xfId="43035" xr:uid="{00000000-0005-0000-0000-0000F9A70000}"/>
    <cellStyle name="Percent 8 3 4 2 2 4 2" xfId="43036" xr:uid="{00000000-0005-0000-0000-0000FAA70000}"/>
    <cellStyle name="Percent 8 3 4 2 2 5" xfId="43037" xr:uid="{00000000-0005-0000-0000-0000FBA70000}"/>
    <cellStyle name="Percent 8 3 4 2 2 6" xfId="43038" xr:uid="{00000000-0005-0000-0000-0000FCA70000}"/>
    <cellStyle name="Percent 8 3 4 2 3" xfId="43039" xr:uid="{00000000-0005-0000-0000-0000FDA70000}"/>
    <cellStyle name="Percent 8 3 4 2 3 2" xfId="43040" xr:uid="{00000000-0005-0000-0000-0000FEA70000}"/>
    <cellStyle name="Percent 8 3 4 2 3 2 2" xfId="43041" xr:uid="{00000000-0005-0000-0000-0000FFA70000}"/>
    <cellStyle name="Percent 8 3 4 2 3 3" xfId="43042" xr:uid="{00000000-0005-0000-0000-000000A80000}"/>
    <cellStyle name="Percent 8 3 4 2 3 3 2" xfId="43043" xr:uid="{00000000-0005-0000-0000-000001A80000}"/>
    <cellStyle name="Percent 8 3 4 2 3 4" xfId="43044" xr:uid="{00000000-0005-0000-0000-000002A80000}"/>
    <cellStyle name="Percent 8 3 4 2 3 4 2" xfId="43045" xr:uid="{00000000-0005-0000-0000-000003A80000}"/>
    <cellStyle name="Percent 8 3 4 2 3 5" xfId="43046" xr:uid="{00000000-0005-0000-0000-000004A80000}"/>
    <cellStyle name="Percent 8 3 4 2 3 6" xfId="43047" xr:uid="{00000000-0005-0000-0000-000005A80000}"/>
    <cellStyle name="Percent 8 3 4 2 4" xfId="43048" xr:uid="{00000000-0005-0000-0000-000006A80000}"/>
    <cellStyle name="Percent 8 3 4 2 4 2" xfId="43049" xr:uid="{00000000-0005-0000-0000-000007A80000}"/>
    <cellStyle name="Percent 8 3 4 2 4 2 2" xfId="43050" xr:uid="{00000000-0005-0000-0000-000008A80000}"/>
    <cellStyle name="Percent 8 3 4 2 4 3" xfId="43051" xr:uid="{00000000-0005-0000-0000-000009A80000}"/>
    <cellStyle name="Percent 8 3 4 2 4 3 2" xfId="43052" xr:uid="{00000000-0005-0000-0000-00000AA80000}"/>
    <cellStyle name="Percent 8 3 4 2 4 4" xfId="43053" xr:uid="{00000000-0005-0000-0000-00000BA80000}"/>
    <cellStyle name="Percent 8 3 4 2 4 4 2" xfId="43054" xr:uid="{00000000-0005-0000-0000-00000CA80000}"/>
    <cellStyle name="Percent 8 3 4 2 4 5" xfId="43055" xr:uid="{00000000-0005-0000-0000-00000DA80000}"/>
    <cellStyle name="Percent 8 3 4 2 4 6" xfId="43056" xr:uid="{00000000-0005-0000-0000-00000EA80000}"/>
    <cellStyle name="Percent 8 3 4 2 5" xfId="43057" xr:uid="{00000000-0005-0000-0000-00000FA80000}"/>
    <cellStyle name="Percent 8 3 4 2 5 2" xfId="43058" xr:uid="{00000000-0005-0000-0000-000010A80000}"/>
    <cellStyle name="Percent 8 3 4 2 5 2 2" xfId="43059" xr:uid="{00000000-0005-0000-0000-000011A80000}"/>
    <cellStyle name="Percent 8 3 4 2 5 3" xfId="43060" xr:uid="{00000000-0005-0000-0000-000012A80000}"/>
    <cellStyle name="Percent 8 3 4 2 5 3 2" xfId="43061" xr:uid="{00000000-0005-0000-0000-000013A80000}"/>
    <cellStyle name="Percent 8 3 4 2 5 4" xfId="43062" xr:uid="{00000000-0005-0000-0000-000014A80000}"/>
    <cellStyle name="Percent 8 3 4 2 5 5" xfId="43063" xr:uid="{00000000-0005-0000-0000-000015A80000}"/>
    <cellStyle name="Percent 8 3 4 2 6" xfId="43064" xr:uid="{00000000-0005-0000-0000-000016A80000}"/>
    <cellStyle name="Percent 8 3 4 2 6 2" xfId="43065" xr:uid="{00000000-0005-0000-0000-000017A80000}"/>
    <cellStyle name="Percent 8 3 4 2 7" xfId="43066" xr:uid="{00000000-0005-0000-0000-000018A80000}"/>
    <cellStyle name="Percent 8 3 4 2 7 2" xfId="43067" xr:uid="{00000000-0005-0000-0000-000019A80000}"/>
    <cellStyle name="Percent 8 3 4 2 8" xfId="43068" xr:uid="{00000000-0005-0000-0000-00001AA80000}"/>
    <cellStyle name="Percent 8 3 4 2 8 2" xfId="43069" xr:uid="{00000000-0005-0000-0000-00001BA80000}"/>
    <cellStyle name="Percent 8 3 4 2 9" xfId="43070" xr:uid="{00000000-0005-0000-0000-00001CA80000}"/>
    <cellStyle name="Percent 8 3 4 3" xfId="43071" xr:uid="{00000000-0005-0000-0000-00001DA80000}"/>
    <cellStyle name="Percent 8 3 4 3 10" xfId="43072" xr:uid="{00000000-0005-0000-0000-00001EA80000}"/>
    <cellStyle name="Percent 8 3 4 3 2" xfId="43073" xr:uid="{00000000-0005-0000-0000-00001FA80000}"/>
    <cellStyle name="Percent 8 3 4 3 2 2" xfId="43074" xr:uid="{00000000-0005-0000-0000-000020A80000}"/>
    <cellStyle name="Percent 8 3 4 3 2 2 2" xfId="43075" xr:uid="{00000000-0005-0000-0000-000021A80000}"/>
    <cellStyle name="Percent 8 3 4 3 2 3" xfId="43076" xr:uid="{00000000-0005-0000-0000-000022A80000}"/>
    <cellStyle name="Percent 8 3 4 3 2 3 2" xfId="43077" xr:uid="{00000000-0005-0000-0000-000023A80000}"/>
    <cellStyle name="Percent 8 3 4 3 2 4" xfId="43078" xr:uid="{00000000-0005-0000-0000-000024A80000}"/>
    <cellStyle name="Percent 8 3 4 3 2 4 2" xfId="43079" xr:uid="{00000000-0005-0000-0000-000025A80000}"/>
    <cellStyle name="Percent 8 3 4 3 2 5" xfId="43080" xr:uid="{00000000-0005-0000-0000-000026A80000}"/>
    <cellStyle name="Percent 8 3 4 3 2 6" xfId="43081" xr:uid="{00000000-0005-0000-0000-000027A80000}"/>
    <cellStyle name="Percent 8 3 4 3 3" xfId="43082" xr:uid="{00000000-0005-0000-0000-000028A80000}"/>
    <cellStyle name="Percent 8 3 4 3 3 2" xfId="43083" xr:uid="{00000000-0005-0000-0000-000029A80000}"/>
    <cellStyle name="Percent 8 3 4 3 3 2 2" xfId="43084" xr:uid="{00000000-0005-0000-0000-00002AA80000}"/>
    <cellStyle name="Percent 8 3 4 3 3 3" xfId="43085" xr:uid="{00000000-0005-0000-0000-00002BA80000}"/>
    <cellStyle name="Percent 8 3 4 3 3 3 2" xfId="43086" xr:uid="{00000000-0005-0000-0000-00002CA80000}"/>
    <cellStyle name="Percent 8 3 4 3 3 4" xfId="43087" xr:uid="{00000000-0005-0000-0000-00002DA80000}"/>
    <cellStyle name="Percent 8 3 4 3 3 4 2" xfId="43088" xr:uid="{00000000-0005-0000-0000-00002EA80000}"/>
    <cellStyle name="Percent 8 3 4 3 3 5" xfId="43089" xr:uid="{00000000-0005-0000-0000-00002FA80000}"/>
    <cellStyle name="Percent 8 3 4 3 3 6" xfId="43090" xr:uid="{00000000-0005-0000-0000-000030A80000}"/>
    <cellStyle name="Percent 8 3 4 3 4" xfId="43091" xr:uid="{00000000-0005-0000-0000-000031A80000}"/>
    <cellStyle name="Percent 8 3 4 3 4 2" xfId="43092" xr:uid="{00000000-0005-0000-0000-000032A80000}"/>
    <cellStyle name="Percent 8 3 4 3 4 2 2" xfId="43093" xr:uid="{00000000-0005-0000-0000-000033A80000}"/>
    <cellStyle name="Percent 8 3 4 3 4 3" xfId="43094" xr:uid="{00000000-0005-0000-0000-000034A80000}"/>
    <cellStyle name="Percent 8 3 4 3 4 3 2" xfId="43095" xr:uid="{00000000-0005-0000-0000-000035A80000}"/>
    <cellStyle name="Percent 8 3 4 3 4 4" xfId="43096" xr:uid="{00000000-0005-0000-0000-000036A80000}"/>
    <cellStyle name="Percent 8 3 4 3 4 4 2" xfId="43097" xr:uid="{00000000-0005-0000-0000-000037A80000}"/>
    <cellStyle name="Percent 8 3 4 3 4 5" xfId="43098" xr:uid="{00000000-0005-0000-0000-000038A80000}"/>
    <cellStyle name="Percent 8 3 4 3 4 6" xfId="43099" xr:uid="{00000000-0005-0000-0000-000039A80000}"/>
    <cellStyle name="Percent 8 3 4 3 5" xfId="43100" xr:uid="{00000000-0005-0000-0000-00003AA80000}"/>
    <cellStyle name="Percent 8 3 4 3 5 2" xfId="43101" xr:uid="{00000000-0005-0000-0000-00003BA80000}"/>
    <cellStyle name="Percent 8 3 4 3 5 2 2" xfId="43102" xr:uid="{00000000-0005-0000-0000-00003CA80000}"/>
    <cellStyle name="Percent 8 3 4 3 5 3" xfId="43103" xr:uid="{00000000-0005-0000-0000-00003DA80000}"/>
    <cellStyle name="Percent 8 3 4 3 5 3 2" xfId="43104" xr:uid="{00000000-0005-0000-0000-00003EA80000}"/>
    <cellStyle name="Percent 8 3 4 3 5 4" xfId="43105" xr:uid="{00000000-0005-0000-0000-00003FA80000}"/>
    <cellStyle name="Percent 8 3 4 3 5 5" xfId="43106" xr:uid="{00000000-0005-0000-0000-000040A80000}"/>
    <cellStyle name="Percent 8 3 4 3 6" xfId="43107" xr:uid="{00000000-0005-0000-0000-000041A80000}"/>
    <cellStyle name="Percent 8 3 4 3 6 2" xfId="43108" xr:uid="{00000000-0005-0000-0000-000042A80000}"/>
    <cellStyle name="Percent 8 3 4 3 7" xfId="43109" xr:uid="{00000000-0005-0000-0000-000043A80000}"/>
    <cellStyle name="Percent 8 3 4 3 7 2" xfId="43110" xr:uid="{00000000-0005-0000-0000-000044A80000}"/>
    <cellStyle name="Percent 8 3 4 3 8" xfId="43111" xr:uid="{00000000-0005-0000-0000-000045A80000}"/>
    <cellStyle name="Percent 8 3 4 3 8 2" xfId="43112" xr:uid="{00000000-0005-0000-0000-000046A80000}"/>
    <cellStyle name="Percent 8 3 4 3 9" xfId="43113" xr:uid="{00000000-0005-0000-0000-000047A80000}"/>
    <cellStyle name="Percent 8 3 4 4" xfId="43114" xr:uid="{00000000-0005-0000-0000-000048A80000}"/>
    <cellStyle name="Percent 8 3 4 4 2" xfId="43115" xr:uid="{00000000-0005-0000-0000-000049A80000}"/>
    <cellStyle name="Percent 8 3 4 4 2 2" xfId="43116" xr:uid="{00000000-0005-0000-0000-00004AA80000}"/>
    <cellStyle name="Percent 8 3 4 4 3" xfId="43117" xr:uid="{00000000-0005-0000-0000-00004BA80000}"/>
    <cellStyle name="Percent 8 3 4 4 3 2" xfId="43118" xr:uid="{00000000-0005-0000-0000-00004CA80000}"/>
    <cellStyle name="Percent 8 3 4 4 4" xfId="43119" xr:uid="{00000000-0005-0000-0000-00004DA80000}"/>
    <cellStyle name="Percent 8 3 4 4 4 2" xfId="43120" xr:uid="{00000000-0005-0000-0000-00004EA80000}"/>
    <cellStyle name="Percent 8 3 4 4 5" xfId="43121" xr:uid="{00000000-0005-0000-0000-00004FA80000}"/>
    <cellStyle name="Percent 8 3 4 4 6" xfId="43122" xr:uid="{00000000-0005-0000-0000-000050A80000}"/>
    <cellStyle name="Percent 8 3 4 5" xfId="43123" xr:uid="{00000000-0005-0000-0000-000051A80000}"/>
    <cellStyle name="Percent 8 3 4 5 2" xfId="43124" xr:uid="{00000000-0005-0000-0000-000052A80000}"/>
    <cellStyle name="Percent 8 3 4 5 2 2" xfId="43125" xr:uid="{00000000-0005-0000-0000-000053A80000}"/>
    <cellStyle name="Percent 8 3 4 5 3" xfId="43126" xr:uid="{00000000-0005-0000-0000-000054A80000}"/>
    <cellStyle name="Percent 8 3 4 5 3 2" xfId="43127" xr:uid="{00000000-0005-0000-0000-000055A80000}"/>
    <cellStyle name="Percent 8 3 4 5 4" xfId="43128" xr:uid="{00000000-0005-0000-0000-000056A80000}"/>
    <cellStyle name="Percent 8 3 4 5 4 2" xfId="43129" xr:uid="{00000000-0005-0000-0000-000057A80000}"/>
    <cellStyle name="Percent 8 3 4 5 5" xfId="43130" xr:uid="{00000000-0005-0000-0000-000058A80000}"/>
    <cellStyle name="Percent 8 3 4 5 6" xfId="43131" xr:uid="{00000000-0005-0000-0000-000059A80000}"/>
    <cellStyle name="Percent 8 3 4 6" xfId="43132" xr:uid="{00000000-0005-0000-0000-00005AA80000}"/>
    <cellStyle name="Percent 8 3 4 6 2" xfId="43133" xr:uid="{00000000-0005-0000-0000-00005BA80000}"/>
    <cellStyle name="Percent 8 3 4 6 2 2" xfId="43134" xr:uid="{00000000-0005-0000-0000-00005CA80000}"/>
    <cellStyle name="Percent 8 3 4 6 3" xfId="43135" xr:uid="{00000000-0005-0000-0000-00005DA80000}"/>
    <cellStyle name="Percent 8 3 4 6 3 2" xfId="43136" xr:uid="{00000000-0005-0000-0000-00005EA80000}"/>
    <cellStyle name="Percent 8 3 4 6 4" xfId="43137" xr:uid="{00000000-0005-0000-0000-00005FA80000}"/>
    <cellStyle name="Percent 8 3 4 6 4 2" xfId="43138" xr:uid="{00000000-0005-0000-0000-000060A80000}"/>
    <cellStyle name="Percent 8 3 4 6 5" xfId="43139" xr:uid="{00000000-0005-0000-0000-000061A80000}"/>
    <cellStyle name="Percent 8 3 4 6 6" xfId="43140" xr:uid="{00000000-0005-0000-0000-000062A80000}"/>
    <cellStyle name="Percent 8 3 4 7" xfId="43141" xr:uid="{00000000-0005-0000-0000-000063A80000}"/>
    <cellStyle name="Percent 8 3 4 7 2" xfId="43142" xr:uid="{00000000-0005-0000-0000-000064A80000}"/>
    <cellStyle name="Percent 8 3 4 7 2 2" xfId="43143" xr:uid="{00000000-0005-0000-0000-000065A80000}"/>
    <cellStyle name="Percent 8 3 4 7 3" xfId="43144" xr:uid="{00000000-0005-0000-0000-000066A80000}"/>
    <cellStyle name="Percent 8 3 4 7 3 2" xfId="43145" xr:uid="{00000000-0005-0000-0000-000067A80000}"/>
    <cellStyle name="Percent 8 3 4 7 4" xfId="43146" xr:uid="{00000000-0005-0000-0000-000068A80000}"/>
    <cellStyle name="Percent 8 3 4 7 5" xfId="43147" xr:uid="{00000000-0005-0000-0000-000069A80000}"/>
    <cellStyle name="Percent 8 3 4 8" xfId="43148" xr:uid="{00000000-0005-0000-0000-00006AA80000}"/>
    <cellStyle name="Percent 8 3 4 8 2" xfId="43149" xr:uid="{00000000-0005-0000-0000-00006BA80000}"/>
    <cellStyle name="Percent 8 3 4 9" xfId="43150" xr:uid="{00000000-0005-0000-0000-00006CA80000}"/>
    <cellStyle name="Percent 8 3 4 9 2" xfId="43151" xr:uid="{00000000-0005-0000-0000-00006DA80000}"/>
    <cellStyle name="Percent 8 3 5" xfId="43152" xr:uid="{00000000-0005-0000-0000-00006EA80000}"/>
    <cellStyle name="Percent 8 3 5 10" xfId="43153" xr:uid="{00000000-0005-0000-0000-00006FA80000}"/>
    <cellStyle name="Percent 8 3 5 11" xfId="43154" xr:uid="{00000000-0005-0000-0000-000070A80000}"/>
    <cellStyle name="Percent 8 3 5 2" xfId="43155" xr:uid="{00000000-0005-0000-0000-000071A80000}"/>
    <cellStyle name="Percent 8 3 5 2 2" xfId="43156" xr:uid="{00000000-0005-0000-0000-000072A80000}"/>
    <cellStyle name="Percent 8 3 5 2 2 2" xfId="43157" xr:uid="{00000000-0005-0000-0000-000073A80000}"/>
    <cellStyle name="Percent 8 3 5 2 3" xfId="43158" xr:uid="{00000000-0005-0000-0000-000074A80000}"/>
    <cellStyle name="Percent 8 3 5 2 3 2" xfId="43159" xr:uid="{00000000-0005-0000-0000-000075A80000}"/>
    <cellStyle name="Percent 8 3 5 2 4" xfId="43160" xr:uid="{00000000-0005-0000-0000-000076A80000}"/>
    <cellStyle name="Percent 8 3 5 2 4 2" xfId="43161" xr:uid="{00000000-0005-0000-0000-000077A80000}"/>
    <cellStyle name="Percent 8 3 5 2 5" xfId="43162" xr:uid="{00000000-0005-0000-0000-000078A80000}"/>
    <cellStyle name="Percent 8 3 5 2 6" xfId="43163" xr:uid="{00000000-0005-0000-0000-000079A80000}"/>
    <cellStyle name="Percent 8 3 5 3" xfId="43164" xr:uid="{00000000-0005-0000-0000-00007AA80000}"/>
    <cellStyle name="Percent 8 3 5 3 2" xfId="43165" xr:uid="{00000000-0005-0000-0000-00007BA80000}"/>
    <cellStyle name="Percent 8 3 5 3 2 2" xfId="43166" xr:uid="{00000000-0005-0000-0000-00007CA80000}"/>
    <cellStyle name="Percent 8 3 5 3 3" xfId="43167" xr:uid="{00000000-0005-0000-0000-00007DA80000}"/>
    <cellStyle name="Percent 8 3 5 3 3 2" xfId="43168" xr:uid="{00000000-0005-0000-0000-00007EA80000}"/>
    <cellStyle name="Percent 8 3 5 3 4" xfId="43169" xr:uid="{00000000-0005-0000-0000-00007FA80000}"/>
    <cellStyle name="Percent 8 3 5 3 4 2" xfId="43170" xr:uid="{00000000-0005-0000-0000-000080A80000}"/>
    <cellStyle name="Percent 8 3 5 3 5" xfId="43171" xr:uid="{00000000-0005-0000-0000-000081A80000}"/>
    <cellStyle name="Percent 8 3 5 3 6" xfId="43172" xr:uid="{00000000-0005-0000-0000-000082A80000}"/>
    <cellStyle name="Percent 8 3 5 4" xfId="43173" xr:uid="{00000000-0005-0000-0000-000083A80000}"/>
    <cellStyle name="Percent 8 3 5 4 2" xfId="43174" xr:uid="{00000000-0005-0000-0000-000084A80000}"/>
    <cellStyle name="Percent 8 3 5 4 2 2" xfId="43175" xr:uid="{00000000-0005-0000-0000-000085A80000}"/>
    <cellStyle name="Percent 8 3 5 4 3" xfId="43176" xr:uid="{00000000-0005-0000-0000-000086A80000}"/>
    <cellStyle name="Percent 8 3 5 4 3 2" xfId="43177" xr:uid="{00000000-0005-0000-0000-000087A80000}"/>
    <cellStyle name="Percent 8 3 5 4 4" xfId="43178" xr:uid="{00000000-0005-0000-0000-000088A80000}"/>
    <cellStyle name="Percent 8 3 5 4 4 2" xfId="43179" xr:uid="{00000000-0005-0000-0000-000089A80000}"/>
    <cellStyle name="Percent 8 3 5 4 5" xfId="43180" xr:uid="{00000000-0005-0000-0000-00008AA80000}"/>
    <cellStyle name="Percent 8 3 5 4 6" xfId="43181" xr:uid="{00000000-0005-0000-0000-00008BA80000}"/>
    <cellStyle name="Percent 8 3 5 5" xfId="43182" xr:uid="{00000000-0005-0000-0000-00008CA80000}"/>
    <cellStyle name="Percent 8 3 5 5 2" xfId="43183" xr:uid="{00000000-0005-0000-0000-00008DA80000}"/>
    <cellStyle name="Percent 8 3 5 5 2 2" xfId="43184" xr:uid="{00000000-0005-0000-0000-00008EA80000}"/>
    <cellStyle name="Percent 8 3 5 5 3" xfId="43185" xr:uid="{00000000-0005-0000-0000-00008FA80000}"/>
    <cellStyle name="Percent 8 3 5 5 3 2" xfId="43186" xr:uid="{00000000-0005-0000-0000-000090A80000}"/>
    <cellStyle name="Percent 8 3 5 5 4" xfId="43187" xr:uid="{00000000-0005-0000-0000-000091A80000}"/>
    <cellStyle name="Percent 8 3 5 5 4 2" xfId="43188" xr:uid="{00000000-0005-0000-0000-000092A80000}"/>
    <cellStyle name="Percent 8 3 5 5 5" xfId="43189" xr:uid="{00000000-0005-0000-0000-000093A80000}"/>
    <cellStyle name="Percent 8 3 5 5 6" xfId="43190" xr:uid="{00000000-0005-0000-0000-000094A80000}"/>
    <cellStyle name="Percent 8 3 5 6" xfId="43191" xr:uid="{00000000-0005-0000-0000-000095A80000}"/>
    <cellStyle name="Percent 8 3 5 6 2" xfId="43192" xr:uid="{00000000-0005-0000-0000-000096A80000}"/>
    <cellStyle name="Percent 8 3 5 6 2 2" xfId="43193" xr:uid="{00000000-0005-0000-0000-000097A80000}"/>
    <cellStyle name="Percent 8 3 5 6 3" xfId="43194" xr:uid="{00000000-0005-0000-0000-000098A80000}"/>
    <cellStyle name="Percent 8 3 5 6 3 2" xfId="43195" xr:uid="{00000000-0005-0000-0000-000099A80000}"/>
    <cellStyle name="Percent 8 3 5 6 4" xfId="43196" xr:uid="{00000000-0005-0000-0000-00009AA80000}"/>
    <cellStyle name="Percent 8 3 5 6 5" xfId="43197" xr:uid="{00000000-0005-0000-0000-00009BA80000}"/>
    <cellStyle name="Percent 8 3 5 7" xfId="43198" xr:uid="{00000000-0005-0000-0000-00009CA80000}"/>
    <cellStyle name="Percent 8 3 5 7 2" xfId="43199" xr:uid="{00000000-0005-0000-0000-00009DA80000}"/>
    <cellStyle name="Percent 8 3 5 8" xfId="43200" xr:uid="{00000000-0005-0000-0000-00009EA80000}"/>
    <cellStyle name="Percent 8 3 5 8 2" xfId="43201" xr:uid="{00000000-0005-0000-0000-00009FA80000}"/>
    <cellStyle name="Percent 8 3 5 9" xfId="43202" xr:uid="{00000000-0005-0000-0000-0000A0A80000}"/>
    <cellStyle name="Percent 8 3 5 9 2" xfId="43203" xr:uid="{00000000-0005-0000-0000-0000A1A80000}"/>
    <cellStyle name="Percent 8 3 6" xfId="43204" xr:uid="{00000000-0005-0000-0000-0000A2A80000}"/>
    <cellStyle name="Percent 8 3 6 10" xfId="43205" xr:uid="{00000000-0005-0000-0000-0000A3A80000}"/>
    <cellStyle name="Percent 8 3 6 2" xfId="43206" xr:uid="{00000000-0005-0000-0000-0000A4A80000}"/>
    <cellStyle name="Percent 8 3 6 2 2" xfId="43207" xr:uid="{00000000-0005-0000-0000-0000A5A80000}"/>
    <cellStyle name="Percent 8 3 6 2 2 2" xfId="43208" xr:uid="{00000000-0005-0000-0000-0000A6A80000}"/>
    <cellStyle name="Percent 8 3 6 2 3" xfId="43209" xr:uid="{00000000-0005-0000-0000-0000A7A80000}"/>
    <cellStyle name="Percent 8 3 6 2 3 2" xfId="43210" xr:uid="{00000000-0005-0000-0000-0000A8A80000}"/>
    <cellStyle name="Percent 8 3 6 2 4" xfId="43211" xr:uid="{00000000-0005-0000-0000-0000A9A80000}"/>
    <cellStyle name="Percent 8 3 6 2 4 2" xfId="43212" xr:uid="{00000000-0005-0000-0000-0000AAA80000}"/>
    <cellStyle name="Percent 8 3 6 2 5" xfId="43213" xr:uid="{00000000-0005-0000-0000-0000ABA80000}"/>
    <cellStyle name="Percent 8 3 6 2 6" xfId="43214" xr:uid="{00000000-0005-0000-0000-0000ACA80000}"/>
    <cellStyle name="Percent 8 3 6 3" xfId="43215" xr:uid="{00000000-0005-0000-0000-0000ADA80000}"/>
    <cellStyle name="Percent 8 3 6 3 2" xfId="43216" xr:uid="{00000000-0005-0000-0000-0000AEA80000}"/>
    <cellStyle name="Percent 8 3 6 3 2 2" xfId="43217" xr:uid="{00000000-0005-0000-0000-0000AFA80000}"/>
    <cellStyle name="Percent 8 3 6 3 3" xfId="43218" xr:uid="{00000000-0005-0000-0000-0000B0A80000}"/>
    <cellStyle name="Percent 8 3 6 3 3 2" xfId="43219" xr:uid="{00000000-0005-0000-0000-0000B1A80000}"/>
    <cellStyle name="Percent 8 3 6 3 4" xfId="43220" xr:uid="{00000000-0005-0000-0000-0000B2A80000}"/>
    <cellStyle name="Percent 8 3 6 3 4 2" xfId="43221" xr:uid="{00000000-0005-0000-0000-0000B3A80000}"/>
    <cellStyle name="Percent 8 3 6 3 5" xfId="43222" xr:uid="{00000000-0005-0000-0000-0000B4A80000}"/>
    <cellStyle name="Percent 8 3 6 3 6" xfId="43223" xr:uid="{00000000-0005-0000-0000-0000B5A80000}"/>
    <cellStyle name="Percent 8 3 6 4" xfId="43224" xr:uid="{00000000-0005-0000-0000-0000B6A80000}"/>
    <cellStyle name="Percent 8 3 6 4 2" xfId="43225" xr:uid="{00000000-0005-0000-0000-0000B7A80000}"/>
    <cellStyle name="Percent 8 3 6 4 2 2" xfId="43226" xr:uid="{00000000-0005-0000-0000-0000B8A80000}"/>
    <cellStyle name="Percent 8 3 6 4 3" xfId="43227" xr:uid="{00000000-0005-0000-0000-0000B9A80000}"/>
    <cellStyle name="Percent 8 3 6 4 3 2" xfId="43228" xr:uid="{00000000-0005-0000-0000-0000BAA80000}"/>
    <cellStyle name="Percent 8 3 6 4 4" xfId="43229" xr:uid="{00000000-0005-0000-0000-0000BBA80000}"/>
    <cellStyle name="Percent 8 3 6 4 4 2" xfId="43230" xr:uid="{00000000-0005-0000-0000-0000BCA80000}"/>
    <cellStyle name="Percent 8 3 6 4 5" xfId="43231" xr:uid="{00000000-0005-0000-0000-0000BDA80000}"/>
    <cellStyle name="Percent 8 3 6 4 6" xfId="43232" xr:uid="{00000000-0005-0000-0000-0000BEA80000}"/>
    <cellStyle name="Percent 8 3 6 5" xfId="43233" xr:uid="{00000000-0005-0000-0000-0000BFA80000}"/>
    <cellStyle name="Percent 8 3 6 5 2" xfId="43234" xr:uid="{00000000-0005-0000-0000-0000C0A80000}"/>
    <cellStyle name="Percent 8 3 6 5 2 2" xfId="43235" xr:uid="{00000000-0005-0000-0000-0000C1A80000}"/>
    <cellStyle name="Percent 8 3 6 5 3" xfId="43236" xr:uid="{00000000-0005-0000-0000-0000C2A80000}"/>
    <cellStyle name="Percent 8 3 6 5 3 2" xfId="43237" xr:uid="{00000000-0005-0000-0000-0000C3A80000}"/>
    <cellStyle name="Percent 8 3 6 5 4" xfId="43238" xr:uid="{00000000-0005-0000-0000-0000C4A80000}"/>
    <cellStyle name="Percent 8 3 6 5 5" xfId="43239" xr:uid="{00000000-0005-0000-0000-0000C5A80000}"/>
    <cellStyle name="Percent 8 3 6 6" xfId="43240" xr:uid="{00000000-0005-0000-0000-0000C6A80000}"/>
    <cellStyle name="Percent 8 3 6 6 2" xfId="43241" xr:uid="{00000000-0005-0000-0000-0000C7A80000}"/>
    <cellStyle name="Percent 8 3 6 7" xfId="43242" xr:uid="{00000000-0005-0000-0000-0000C8A80000}"/>
    <cellStyle name="Percent 8 3 6 7 2" xfId="43243" xr:uid="{00000000-0005-0000-0000-0000C9A80000}"/>
    <cellStyle name="Percent 8 3 6 8" xfId="43244" xr:uid="{00000000-0005-0000-0000-0000CAA80000}"/>
    <cellStyle name="Percent 8 3 6 8 2" xfId="43245" xr:uid="{00000000-0005-0000-0000-0000CBA80000}"/>
    <cellStyle name="Percent 8 3 6 9" xfId="43246" xr:uid="{00000000-0005-0000-0000-0000CCA80000}"/>
    <cellStyle name="Percent 8 3 7" xfId="43247" xr:uid="{00000000-0005-0000-0000-0000CDA80000}"/>
    <cellStyle name="Percent 8 3 7 10" xfId="43248" xr:uid="{00000000-0005-0000-0000-0000CEA80000}"/>
    <cellStyle name="Percent 8 3 7 2" xfId="43249" xr:uid="{00000000-0005-0000-0000-0000CFA80000}"/>
    <cellStyle name="Percent 8 3 7 2 2" xfId="43250" xr:uid="{00000000-0005-0000-0000-0000D0A80000}"/>
    <cellStyle name="Percent 8 3 7 2 2 2" xfId="43251" xr:uid="{00000000-0005-0000-0000-0000D1A80000}"/>
    <cellStyle name="Percent 8 3 7 2 3" xfId="43252" xr:uid="{00000000-0005-0000-0000-0000D2A80000}"/>
    <cellStyle name="Percent 8 3 7 2 3 2" xfId="43253" xr:uid="{00000000-0005-0000-0000-0000D3A80000}"/>
    <cellStyle name="Percent 8 3 7 2 4" xfId="43254" xr:uid="{00000000-0005-0000-0000-0000D4A80000}"/>
    <cellStyle name="Percent 8 3 7 2 4 2" xfId="43255" xr:uid="{00000000-0005-0000-0000-0000D5A80000}"/>
    <cellStyle name="Percent 8 3 7 2 5" xfId="43256" xr:uid="{00000000-0005-0000-0000-0000D6A80000}"/>
    <cellStyle name="Percent 8 3 7 2 6" xfId="43257" xr:uid="{00000000-0005-0000-0000-0000D7A80000}"/>
    <cellStyle name="Percent 8 3 7 3" xfId="43258" xr:uid="{00000000-0005-0000-0000-0000D8A80000}"/>
    <cellStyle name="Percent 8 3 7 3 2" xfId="43259" xr:uid="{00000000-0005-0000-0000-0000D9A80000}"/>
    <cellStyle name="Percent 8 3 7 3 2 2" xfId="43260" xr:uid="{00000000-0005-0000-0000-0000DAA80000}"/>
    <cellStyle name="Percent 8 3 7 3 3" xfId="43261" xr:uid="{00000000-0005-0000-0000-0000DBA80000}"/>
    <cellStyle name="Percent 8 3 7 3 3 2" xfId="43262" xr:uid="{00000000-0005-0000-0000-0000DCA80000}"/>
    <cellStyle name="Percent 8 3 7 3 4" xfId="43263" xr:uid="{00000000-0005-0000-0000-0000DDA80000}"/>
    <cellStyle name="Percent 8 3 7 3 4 2" xfId="43264" xr:uid="{00000000-0005-0000-0000-0000DEA80000}"/>
    <cellStyle name="Percent 8 3 7 3 5" xfId="43265" xr:uid="{00000000-0005-0000-0000-0000DFA80000}"/>
    <cellStyle name="Percent 8 3 7 3 6" xfId="43266" xr:uid="{00000000-0005-0000-0000-0000E0A80000}"/>
    <cellStyle name="Percent 8 3 7 4" xfId="43267" xr:uid="{00000000-0005-0000-0000-0000E1A80000}"/>
    <cellStyle name="Percent 8 3 7 4 2" xfId="43268" xr:uid="{00000000-0005-0000-0000-0000E2A80000}"/>
    <cellStyle name="Percent 8 3 7 4 2 2" xfId="43269" xr:uid="{00000000-0005-0000-0000-0000E3A80000}"/>
    <cellStyle name="Percent 8 3 7 4 3" xfId="43270" xr:uid="{00000000-0005-0000-0000-0000E4A80000}"/>
    <cellStyle name="Percent 8 3 7 4 3 2" xfId="43271" xr:uid="{00000000-0005-0000-0000-0000E5A80000}"/>
    <cellStyle name="Percent 8 3 7 4 4" xfId="43272" xr:uid="{00000000-0005-0000-0000-0000E6A80000}"/>
    <cellStyle name="Percent 8 3 7 4 4 2" xfId="43273" xr:uid="{00000000-0005-0000-0000-0000E7A80000}"/>
    <cellStyle name="Percent 8 3 7 4 5" xfId="43274" xr:uid="{00000000-0005-0000-0000-0000E8A80000}"/>
    <cellStyle name="Percent 8 3 7 4 6" xfId="43275" xr:uid="{00000000-0005-0000-0000-0000E9A80000}"/>
    <cellStyle name="Percent 8 3 7 5" xfId="43276" xr:uid="{00000000-0005-0000-0000-0000EAA80000}"/>
    <cellStyle name="Percent 8 3 7 5 2" xfId="43277" xr:uid="{00000000-0005-0000-0000-0000EBA80000}"/>
    <cellStyle name="Percent 8 3 7 5 2 2" xfId="43278" xr:uid="{00000000-0005-0000-0000-0000ECA80000}"/>
    <cellStyle name="Percent 8 3 7 5 3" xfId="43279" xr:uid="{00000000-0005-0000-0000-0000EDA80000}"/>
    <cellStyle name="Percent 8 3 7 5 3 2" xfId="43280" xr:uid="{00000000-0005-0000-0000-0000EEA80000}"/>
    <cellStyle name="Percent 8 3 7 5 4" xfId="43281" xr:uid="{00000000-0005-0000-0000-0000EFA80000}"/>
    <cellStyle name="Percent 8 3 7 5 5" xfId="43282" xr:uid="{00000000-0005-0000-0000-0000F0A80000}"/>
    <cellStyle name="Percent 8 3 7 6" xfId="43283" xr:uid="{00000000-0005-0000-0000-0000F1A80000}"/>
    <cellStyle name="Percent 8 3 7 6 2" xfId="43284" xr:uid="{00000000-0005-0000-0000-0000F2A80000}"/>
    <cellStyle name="Percent 8 3 7 7" xfId="43285" xr:uid="{00000000-0005-0000-0000-0000F3A80000}"/>
    <cellStyle name="Percent 8 3 7 7 2" xfId="43286" xr:uid="{00000000-0005-0000-0000-0000F4A80000}"/>
    <cellStyle name="Percent 8 3 7 8" xfId="43287" xr:uid="{00000000-0005-0000-0000-0000F5A80000}"/>
    <cellStyle name="Percent 8 3 7 8 2" xfId="43288" xr:uid="{00000000-0005-0000-0000-0000F6A80000}"/>
    <cellStyle name="Percent 8 3 7 9" xfId="43289" xr:uid="{00000000-0005-0000-0000-0000F7A80000}"/>
    <cellStyle name="Percent 8 3 8" xfId="43290" xr:uid="{00000000-0005-0000-0000-0000F8A80000}"/>
    <cellStyle name="Percent 8 3 8 2" xfId="43291" xr:uid="{00000000-0005-0000-0000-0000F9A80000}"/>
    <cellStyle name="Percent 8 3 8 2 2" xfId="43292" xr:uid="{00000000-0005-0000-0000-0000FAA80000}"/>
    <cellStyle name="Percent 8 3 8 3" xfId="43293" xr:uid="{00000000-0005-0000-0000-0000FBA80000}"/>
    <cellStyle name="Percent 8 3 8 3 2" xfId="43294" xr:uid="{00000000-0005-0000-0000-0000FCA80000}"/>
    <cellStyle name="Percent 8 3 8 4" xfId="43295" xr:uid="{00000000-0005-0000-0000-0000FDA80000}"/>
    <cellStyle name="Percent 8 3 8 4 2" xfId="43296" xr:uid="{00000000-0005-0000-0000-0000FEA80000}"/>
    <cellStyle name="Percent 8 3 8 5" xfId="43297" xr:uid="{00000000-0005-0000-0000-0000FFA80000}"/>
    <cellStyle name="Percent 8 3 8 6" xfId="43298" xr:uid="{00000000-0005-0000-0000-000000A90000}"/>
    <cellStyle name="Percent 8 3 9" xfId="43299" xr:uid="{00000000-0005-0000-0000-000001A90000}"/>
    <cellStyle name="Percent 8 3 9 2" xfId="43300" xr:uid="{00000000-0005-0000-0000-000002A90000}"/>
    <cellStyle name="Percent 8 3 9 2 2" xfId="43301" xr:uid="{00000000-0005-0000-0000-000003A90000}"/>
    <cellStyle name="Percent 8 3 9 3" xfId="43302" xr:uid="{00000000-0005-0000-0000-000004A90000}"/>
    <cellStyle name="Percent 8 3 9 3 2" xfId="43303" xr:uid="{00000000-0005-0000-0000-000005A90000}"/>
    <cellStyle name="Percent 8 3 9 4" xfId="43304" xr:uid="{00000000-0005-0000-0000-000006A90000}"/>
    <cellStyle name="Percent 8 3 9 4 2" xfId="43305" xr:uid="{00000000-0005-0000-0000-000007A90000}"/>
    <cellStyle name="Percent 8 3 9 5" xfId="43306" xr:uid="{00000000-0005-0000-0000-000008A90000}"/>
    <cellStyle name="Percent 8 3 9 6" xfId="43307" xr:uid="{00000000-0005-0000-0000-000009A90000}"/>
    <cellStyle name="Percent 8 4" xfId="43308" xr:uid="{00000000-0005-0000-0000-00000AA90000}"/>
    <cellStyle name="Percent 8 4 10" xfId="43309" xr:uid="{00000000-0005-0000-0000-00000BA90000}"/>
    <cellStyle name="Percent 8 4 10 2" xfId="43310" xr:uid="{00000000-0005-0000-0000-00000CA90000}"/>
    <cellStyle name="Percent 8 4 11" xfId="43311" xr:uid="{00000000-0005-0000-0000-00000DA90000}"/>
    <cellStyle name="Percent 8 4 11 2" xfId="43312" xr:uid="{00000000-0005-0000-0000-00000EA90000}"/>
    <cellStyle name="Percent 8 4 12" xfId="43313" xr:uid="{00000000-0005-0000-0000-00000FA90000}"/>
    <cellStyle name="Percent 8 4 13" xfId="43314" xr:uid="{00000000-0005-0000-0000-000010A90000}"/>
    <cellStyle name="Percent 8 4 2" xfId="43315" xr:uid="{00000000-0005-0000-0000-000011A90000}"/>
    <cellStyle name="Percent 8 4 2 10" xfId="43316" xr:uid="{00000000-0005-0000-0000-000012A90000}"/>
    <cellStyle name="Percent 8 4 2 11" xfId="43317" xr:uid="{00000000-0005-0000-0000-000013A90000}"/>
    <cellStyle name="Percent 8 4 2 2" xfId="43318" xr:uid="{00000000-0005-0000-0000-000014A90000}"/>
    <cellStyle name="Percent 8 4 2 2 2" xfId="43319" xr:uid="{00000000-0005-0000-0000-000015A90000}"/>
    <cellStyle name="Percent 8 4 2 2 2 2" xfId="43320" xr:uid="{00000000-0005-0000-0000-000016A90000}"/>
    <cellStyle name="Percent 8 4 2 2 3" xfId="43321" xr:uid="{00000000-0005-0000-0000-000017A90000}"/>
    <cellStyle name="Percent 8 4 2 2 3 2" xfId="43322" xr:uid="{00000000-0005-0000-0000-000018A90000}"/>
    <cellStyle name="Percent 8 4 2 2 4" xfId="43323" xr:uid="{00000000-0005-0000-0000-000019A90000}"/>
    <cellStyle name="Percent 8 4 2 2 4 2" xfId="43324" xr:uid="{00000000-0005-0000-0000-00001AA90000}"/>
    <cellStyle name="Percent 8 4 2 2 5" xfId="43325" xr:uid="{00000000-0005-0000-0000-00001BA90000}"/>
    <cellStyle name="Percent 8 4 2 2 6" xfId="43326" xr:uid="{00000000-0005-0000-0000-00001CA90000}"/>
    <cellStyle name="Percent 8 4 2 3" xfId="43327" xr:uid="{00000000-0005-0000-0000-00001DA90000}"/>
    <cellStyle name="Percent 8 4 2 3 2" xfId="43328" xr:uid="{00000000-0005-0000-0000-00001EA90000}"/>
    <cellStyle name="Percent 8 4 2 3 2 2" xfId="43329" xr:uid="{00000000-0005-0000-0000-00001FA90000}"/>
    <cellStyle name="Percent 8 4 2 3 3" xfId="43330" xr:uid="{00000000-0005-0000-0000-000020A90000}"/>
    <cellStyle name="Percent 8 4 2 3 3 2" xfId="43331" xr:uid="{00000000-0005-0000-0000-000021A90000}"/>
    <cellStyle name="Percent 8 4 2 3 4" xfId="43332" xr:uid="{00000000-0005-0000-0000-000022A90000}"/>
    <cellStyle name="Percent 8 4 2 3 4 2" xfId="43333" xr:uid="{00000000-0005-0000-0000-000023A90000}"/>
    <cellStyle name="Percent 8 4 2 3 5" xfId="43334" xr:uid="{00000000-0005-0000-0000-000024A90000}"/>
    <cellStyle name="Percent 8 4 2 3 6" xfId="43335" xr:uid="{00000000-0005-0000-0000-000025A90000}"/>
    <cellStyle name="Percent 8 4 2 4" xfId="43336" xr:uid="{00000000-0005-0000-0000-000026A90000}"/>
    <cellStyle name="Percent 8 4 2 4 2" xfId="43337" xr:uid="{00000000-0005-0000-0000-000027A90000}"/>
    <cellStyle name="Percent 8 4 2 4 2 2" xfId="43338" xr:uid="{00000000-0005-0000-0000-000028A90000}"/>
    <cellStyle name="Percent 8 4 2 4 3" xfId="43339" xr:uid="{00000000-0005-0000-0000-000029A90000}"/>
    <cellStyle name="Percent 8 4 2 4 3 2" xfId="43340" xr:uid="{00000000-0005-0000-0000-00002AA90000}"/>
    <cellStyle name="Percent 8 4 2 4 4" xfId="43341" xr:uid="{00000000-0005-0000-0000-00002BA90000}"/>
    <cellStyle name="Percent 8 4 2 4 4 2" xfId="43342" xr:uid="{00000000-0005-0000-0000-00002CA90000}"/>
    <cellStyle name="Percent 8 4 2 4 5" xfId="43343" xr:uid="{00000000-0005-0000-0000-00002DA90000}"/>
    <cellStyle name="Percent 8 4 2 4 6" xfId="43344" xr:uid="{00000000-0005-0000-0000-00002EA90000}"/>
    <cellStyle name="Percent 8 4 2 5" xfId="43345" xr:uid="{00000000-0005-0000-0000-00002FA90000}"/>
    <cellStyle name="Percent 8 4 2 5 2" xfId="43346" xr:uid="{00000000-0005-0000-0000-000030A90000}"/>
    <cellStyle name="Percent 8 4 2 5 2 2" xfId="43347" xr:uid="{00000000-0005-0000-0000-000031A90000}"/>
    <cellStyle name="Percent 8 4 2 5 3" xfId="43348" xr:uid="{00000000-0005-0000-0000-000032A90000}"/>
    <cellStyle name="Percent 8 4 2 5 3 2" xfId="43349" xr:uid="{00000000-0005-0000-0000-000033A90000}"/>
    <cellStyle name="Percent 8 4 2 5 4" xfId="43350" xr:uid="{00000000-0005-0000-0000-000034A90000}"/>
    <cellStyle name="Percent 8 4 2 5 4 2" xfId="43351" xr:uid="{00000000-0005-0000-0000-000035A90000}"/>
    <cellStyle name="Percent 8 4 2 5 5" xfId="43352" xr:uid="{00000000-0005-0000-0000-000036A90000}"/>
    <cellStyle name="Percent 8 4 2 5 6" xfId="43353" xr:uid="{00000000-0005-0000-0000-000037A90000}"/>
    <cellStyle name="Percent 8 4 2 6" xfId="43354" xr:uid="{00000000-0005-0000-0000-000038A90000}"/>
    <cellStyle name="Percent 8 4 2 6 2" xfId="43355" xr:uid="{00000000-0005-0000-0000-000039A90000}"/>
    <cellStyle name="Percent 8 4 2 6 2 2" xfId="43356" xr:uid="{00000000-0005-0000-0000-00003AA90000}"/>
    <cellStyle name="Percent 8 4 2 6 3" xfId="43357" xr:uid="{00000000-0005-0000-0000-00003BA90000}"/>
    <cellStyle name="Percent 8 4 2 6 3 2" xfId="43358" xr:uid="{00000000-0005-0000-0000-00003CA90000}"/>
    <cellStyle name="Percent 8 4 2 6 4" xfId="43359" xr:uid="{00000000-0005-0000-0000-00003DA90000}"/>
    <cellStyle name="Percent 8 4 2 6 5" xfId="43360" xr:uid="{00000000-0005-0000-0000-00003EA90000}"/>
    <cellStyle name="Percent 8 4 2 7" xfId="43361" xr:uid="{00000000-0005-0000-0000-00003FA90000}"/>
    <cellStyle name="Percent 8 4 2 7 2" xfId="43362" xr:uid="{00000000-0005-0000-0000-000040A90000}"/>
    <cellStyle name="Percent 8 4 2 8" xfId="43363" xr:uid="{00000000-0005-0000-0000-000041A90000}"/>
    <cellStyle name="Percent 8 4 2 8 2" xfId="43364" xr:uid="{00000000-0005-0000-0000-000042A90000}"/>
    <cellStyle name="Percent 8 4 2 9" xfId="43365" xr:uid="{00000000-0005-0000-0000-000043A90000}"/>
    <cellStyle name="Percent 8 4 2 9 2" xfId="43366" xr:uid="{00000000-0005-0000-0000-000044A90000}"/>
    <cellStyle name="Percent 8 4 3" xfId="43367" xr:uid="{00000000-0005-0000-0000-000045A90000}"/>
    <cellStyle name="Percent 8 4 3 10" xfId="43368" xr:uid="{00000000-0005-0000-0000-000046A90000}"/>
    <cellStyle name="Percent 8 4 3 2" xfId="43369" xr:uid="{00000000-0005-0000-0000-000047A90000}"/>
    <cellStyle name="Percent 8 4 3 2 2" xfId="43370" xr:uid="{00000000-0005-0000-0000-000048A90000}"/>
    <cellStyle name="Percent 8 4 3 2 2 2" xfId="43371" xr:uid="{00000000-0005-0000-0000-000049A90000}"/>
    <cellStyle name="Percent 8 4 3 2 3" xfId="43372" xr:uid="{00000000-0005-0000-0000-00004AA90000}"/>
    <cellStyle name="Percent 8 4 3 2 3 2" xfId="43373" xr:uid="{00000000-0005-0000-0000-00004BA90000}"/>
    <cellStyle name="Percent 8 4 3 2 4" xfId="43374" xr:uid="{00000000-0005-0000-0000-00004CA90000}"/>
    <cellStyle name="Percent 8 4 3 2 4 2" xfId="43375" xr:uid="{00000000-0005-0000-0000-00004DA90000}"/>
    <cellStyle name="Percent 8 4 3 2 5" xfId="43376" xr:uid="{00000000-0005-0000-0000-00004EA90000}"/>
    <cellStyle name="Percent 8 4 3 2 6" xfId="43377" xr:uid="{00000000-0005-0000-0000-00004FA90000}"/>
    <cellStyle name="Percent 8 4 3 3" xfId="43378" xr:uid="{00000000-0005-0000-0000-000050A90000}"/>
    <cellStyle name="Percent 8 4 3 3 2" xfId="43379" xr:uid="{00000000-0005-0000-0000-000051A90000}"/>
    <cellStyle name="Percent 8 4 3 3 2 2" xfId="43380" xr:uid="{00000000-0005-0000-0000-000052A90000}"/>
    <cellStyle name="Percent 8 4 3 3 3" xfId="43381" xr:uid="{00000000-0005-0000-0000-000053A90000}"/>
    <cellStyle name="Percent 8 4 3 3 3 2" xfId="43382" xr:uid="{00000000-0005-0000-0000-000054A90000}"/>
    <cellStyle name="Percent 8 4 3 3 4" xfId="43383" xr:uid="{00000000-0005-0000-0000-000055A90000}"/>
    <cellStyle name="Percent 8 4 3 3 4 2" xfId="43384" xr:uid="{00000000-0005-0000-0000-000056A90000}"/>
    <cellStyle name="Percent 8 4 3 3 5" xfId="43385" xr:uid="{00000000-0005-0000-0000-000057A90000}"/>
    <cellStyle name="Percent 8 4 3 3 6" xfId="43386" xr:uid="{00000000-0005-0000-0000-000058A90000}"/>
    <cellStyle name="Percent 8 4 3 4" xfId="43387" xr:uid="{00000000-0005-0000-0000-000059A90000}"/>
    <cellStyle name="Percent 8 4 3 4 2" xfId="43388" xr:uid="{00000000-0005-0000-0000-00005AA90000}"/>
    <cellStyle name="Percent 8 4 3 4 2 2" xfId="43389" xr:uid="{00000000-0005-0000-0000-00005BA90000}"/>
    <cellStyle name="Percent 8 4 3 4 3" xfId="43390" xr:uid="{00000000-0005-0000-0000-00005CA90000}"/>
    <cellStyle name="Percent 8 4 3 4 3 2" xfId="43391" xr:uid="{00000000-0005-0000-0000-00005DA90000}"/>
    <cellStyle name="Percent 8 4 3 4 4" xfId="43392" xr:uid="{00000000-0005-0000-0000-00005EA90000}"/>
    <cellStyle name="Percent 8 4 3 4 4 2" xfId="43393" xr:uid="{00000000-0005-0000-0000-00005FA90000}"/>
    <cellStyle name="Percent 8 4 3 4 5" xfId="43394" xr:uid="{00000000-0005-0000-0000-000060A90000}"/>
    <cellStyle name="Percent 8 4 3 4 6" xfId="43395" xr:uid="{00000000-0005-0000-0000-000061A90000}"/>
    <cellStyle name="Percent 8 4 3 5" xfId="43396" xr:uid="{00000000-0005-0000-0000-000062A90000}"/>
    <cellStyle name="Percent 8 4 3 5 2" xfId="43397" xr:uid="{00000000-0005-0000-0000-000063A90000}"/>
    <cellStyle name="Percent 8 4 3 5 2 2" xfId="43398" xr:uid="{00000000-0005-0000-0000-000064A90000}"/>
    <cellStyle name="Percent 8 4 3 5 3" xfId="43399" xr:uid="{00000000-0005-0000-0000-000065A90000}"/>
    <cellStyle name="Percent 8 4 3 5 3 2" xfId="43400" xr:uid="{00000000-0005-0000-0000-000066A90000}"/>
    <cellStyle name="Percent 8 4 3 5 4" xfId="43401" xr:uid="{00000000-0005-0000-0000-000067A90000}"/>
    <cellStyle name="Percent 8 4 3 5 5" xfId="43402" xr:uid="{00000000-0005-0000-0000-000068A90000}"/>
    <cellStyle name="Percent 8 4 3 6" xfId="43403" xr:uid="{00000000-0005-0000-0000-000069A90000}"/>
    <cellStyle name="Percent 8 4 3 6 2" xfId="43404" xr:uid="{00000000-0005-0000-0000-00006AA90000}"/>
    <cellStyle name="Percent 8 4 3 7" xfId="43405" xr:uid="{00000000-0005-0000-0000-00006BA90000}"/>
    <cellStyle name="Percent 8 4 3 7 2" xfId="43406" xr:uid="{00000000-0005-0000-0000-00006CA90000}"/>
    <cellStyle name="Percent 8 4 3 8" xfId="43407" xr:uid="{00000000-0005-0000-0000-00006DA90000}"/>
    <cellStyle name="Percent 8 4 3 8 2" xfId="43408" xr:uid="{00000000-0005-0000-0000-00006EA90000}"/>
    <cellStyle name="Percent 8 4 3 9" xfId="43409" xr:uid="{00000000-0005-0000-0000-00006FA90000}"/>
    <cellStyle name="Percent 8 4 4" xfId="43410" xr:uid="{00000000-0005-0000-0000-000070A90000}"/>
    <cellStyle name="Percent 8 4 4 10" xfId="43411" xr:uid="{00000000-0005-0000-0000-000071A90000}"/>
    <cellStyle name="Percent 8 4 4 2" xfId="43412" xr:uid="{00000000-0005-0000-0000-000072A90000}"/>
    <cellStyle name="Percent 8 4 4 2 2" xfId="43413" xr:uid="{00000000-0005-0000-0000-000073A90000}"/>
    <cellStyle name="Percent 8 4 4 2 2 2" xfId="43414" xr:uid="{00000000-0005-0000-0000-000074A90000}"/>
    <cellStyle name="Percent 8 4 4 2 3" xfId="43415" xr:uid="{00000000-0005-0000-0000-000075A90000}"/>
    <cellStyle name="Percent 8 4 4 2 3 2" xfId="43416" xr:uid="{00000000-0005-0000-0000-000076A90000}"/>
    <cellStyle name="Percent 8 4 4 2 4" xfId="43417" xr:uid="{00000000-0005-0000-0000-000077A90000}"/>
    <cellStyle name="Percent 8 4 4 2 4 2" xfId="43418" xr:uid="{00000000-0005-0000-0000-000078A90000}"/>
    <cellStyle name="Percent 8 4 4 2 5" xfId="43419" xr:uid="{00000000-0005-0000-0000-000079A90000}"/>
    <cellStyle name="Percent 8 4 4 2 6" xfId="43420" xr:uid="{00000000-0005-0000-0000-00007AA90000}"/>
    <cellStyle name="Percent 8 4 4 3" xfId="43421" xr:uid="{00000000-0005-0000-0000-00007BA90000}"/>
    <cellStyle name="Percent 8 4 4 3 2" xfId="43422" xr:uid="{00000000-0005-0000-0000-00007CA90000}"/>
    <cellStyle name="Percent 8 4 4 3 2 2" xfId="43423" xr:uid="{00000000-0005-0000-0000-00007DA90000}"/>
    <cellStyle name="Percent 8 4 4 3 3" xfId="43424" xr:uid="{00000000-0005-0000-0000-00007EA90000}"/>
    <cellStyle name="Percent 8 4 4 3 3 2" xfId="43425" xr:uid="{00000000-0005-0000-0000-00007FA90000}"/>
    <cellStyle name="Percent 8 4 4 3 4" xfId="43426" xr:uid="{00000000-0005-0000-0000-000080A90000}"/>
    <cellStyle name="Percent 8 4 4 3 4 2" xfId="43427" xr:uid="{00000000-0005-0000-0000-000081A90000}"/>
    <cellStyle name="Percent 8 4 4 3 5" xfId="43428" xr:uid="{00000000-0005-0000-0000-000082A90000}"/>
    <cellStyle name="Percent 8 4 4 3 6" xfId="43429" xr:uid="{00000000-0005-0000-0000-000083A90000}"/>
    <cellStyle name="Percent 8 4 4 4" xfId="43430" xr:uid="{00000000-0005-0000-0000-000084A90000}"/>
    <cellStyle name="Percent 8 4 4 4 2" xfId="43431" xr:uid="{00000000-0005-0000-0000-000085A90000}"/>
    <cellStyle name="Percent 8 4 4 4 2 2" xfId="43432" xr:uid="{00000000-0005-0000-0000-000086A90000}"/>
    <cellStyle name="Percent 8 4 4 4 3" xfId="43433" xr:uid="{00000000-0005-0000-0000-000087A90000}"/>
    <cellStyle name="Percent 8 4 4 4 3 2" xfId="43434" xr:uid="{00000000-0005-0000-0000-000088A90000}"/>
    <cellStyle name="Percent 8 4 4 4 4" xfId="43435" xr:uid="{00000000-0005-0000-0000-000089A90000}"/>
    <cellStyle name="Percent 8 4 4 4 4 2" xfId="43436" xr:uid="{00000000-0005-0000-0000-00008AA90000}"/>
    <cellStyle name="Percent 8 4 4 4 5" xfId="43437" xr:uid="{00000000-0005-0000-0000-00008BA90000}"/>
    <cellStyle name="Percent 8 4 4 4 6" xfId="43438" xr:uid="{00000000-0005-0000-0000-00008CA90000}"/>
    <cellStyle name="Percent 8 4 4 5" xfId="43439" xr:uid="{00000000-0005-0000-0000-00008DA90000}"/>
    <cellStyle name="Percent 8 4 4 5 2" xfId="43440" xr:uid="{00000000-0005-0000-0000-00008EA90000}"/>
    <cellStyle name="Percent 8 4 4 5 2 2" xfId="43441" xr:uid="{00000000-0005-0000-0000-00008FA90000}"/>
    <cellStyle name="Percent 8 4 4 5 3" xfId="43442" xr:uid="{00000000-0005-0000-0000-000090A90000}"/>
    <cellStyle name="Percent 8 4 4 5 3 2" xfId="43443" xr:uid="{00000000-0005-0000-0000-000091A90000}"/>
    <cellStyle name="Percent 8 4 4 5 4" xfId="43444" xr:uid="{00000000-0005-0000-0000-000092A90000}"/>
    <cellStyle name="Percent 8 4 4 5 5" xfId="43445" xr:uid="{00000000-0005-0000-0000-000093A90000}"/>
    <cellStyle name="Percent 8 4 4 6" xfId="43446" xr:uid="{00000000-0005-0000-0000-000094A90000}"/>
    <cellStyle name="Percent 8 4 4 6 2" xfId="43447" xr:uid="{00000000-0005-0000-0000-000095A90000}"/>
    <cellStyle name="Percent 8 4 4 7" xfId="43448" xr:uid="{00000000-0005-0000-0000-000096A90000}"/>
    <cellStyle name="Percent 8 4 4 7 2" xfId="43449" xr:uid="{00000000-0005-0000-0000-000097A90000}"/>
    <cellStyle name="Percent 8 4 4 8" xfId="43450" xr:uid="{00000000-0005-0000-0000-000098A90000}"/>
    <cellStyle name="Percent 8 4 4 8 2" xfId="43451" xr:uid="{00000000-0005-0000-0000-000099A90000}"/>
    <cellStyle name="Percent 8 4 4 9" xfId="43452" xr:uid="{00000000-0005-0000-0000-00009AA90000}"/>
    <cellStyle name="Percent 8 4 5" xfId="43453" xr:uid="{00000000-0005-0000-0000-00009BA90000}"/>
    <cellStyle name="Percent 8 4 5 2" xfId="43454" xr:uid="{00000000-0005-0000-0000-00009CA90000}"/>
    <cellStyle name="Percent 8 4 5 2 2" xfId="43455" xr:uid="{00000000-0005-0000-0000-00009DA90000}"/>
    <cellStyle name="Percent 8 4 5 3" xfId="43456" xr:uid="{00000000-0005-0000-0000-00009EA90000}"/>
    <cellStyle name="Percent 8 4 5 3 2" xfId="43457" xr:uid="{00000000-0005-0000-0000-00009FA90000}"/>
    <cellStyle name="Percent 8 4 5 4" xfId="43458" xr:uid="{00000000-0005-0000-0000-0000A0A90000}"/>
    <cellStyle name="Percent 8 4 5 4 2" xfId="43459" xr:uid="{00000000-0005-0000-0000-0000A1A90000}"/>
    <cellStyle name="Percent 8 4 5 5" xfId="43460" xr:uid="{00000000-0005-0000-0000-0000A2A90000}"/>
    <cellStyle name="Percent 8 4 5 6" xfId="43461" xr:uid="{00000000-0005-0000-0000-0000A3A90000}"/>
    <cellStyle name="Percent 8 4 6" xfId="43462" xr:uid="{00000000-0005-0000-0000-0000A4A90000}"/>
    <cellStyle name="Percent 8 4 6 2" xfId="43463" xr:uid="{00000000-0005-0000-0000-0000A5A90000}"/>
    <cellStyle name="Percent 8 4 6 2 2" xfId="43464" xr:uid="{00000000-0005-0000-0000-0000A6A90000}"/>
    <cellStyle name="Percent 8 4 6 3" xfId="43465" xr:uid="{00000000-0005-0000-0000-0000A7A90000}"/>
    <cellStyle name="Percent 8 4 6 3 2" xfId="43466" xr:uid="{00000000-0005-0000-0000-0000A8A90000}"/>
    <cellStyle name="Percent 8 4 6 4" xfId="43467" xr:uid="{00000000-0005-0000-0000-0000A9A90000}"/>
    <cellStyle name="Percent 8 4 6 4 2" xfId="43468" xr:uid="{00000000-0005-0000-0000-0000AAA90000}"/>
    <cellStyle name="Percent 8 4 6 5" xfId="43469" xr:uid="{00000000-0005-0000-0000-0000ABA90000}"/>
    <cellStyle name="Percent 8 4 6 6" xfId="43470" xr:uid="{00000000-0005-0000-0000-0000ACA90000}"/>
    <cellStyle name="Percent 8 4 7" xfId="43471" xr:uid="{00000000-0005-0000-0000-0000ADA90000}"/>
    <cellStyle name="Percent 8 4 7 2" xfId="43472" xr:uid="{00000000-0005-0000-0000-0000AEA90000}"/>
    <cellStyle name="Percent 8 4 7 2 2" xfId="43473" xr:uid="{00000000-0005-0000-0000-0000AFA90000}"/>
    <cellStyle name="Percent 8 4 7 3" xfId="43474" xr:uid="{00000000-0005-0000-0000-0000B0A90000}"/>
    <cellStyle name="Percent 8 4 7 3 2" xfId="43475" xr:uid="{00000000-0005-0000-0000-0000B1A90000}"/>
    <cellStyle name="Percent 8 4 7 4" xfId="43476" xr:uid="{00000000-0005-0000-0000-0000B2A90000}"/>
    <cellStyle name="Percent 8 4 7 4 2" xfId="43477" xr:uid="{00000000-0005-0000-0000-0000B3A90000}"/>
    <cellStyle name="Percent 8 4 7 5" xfId="43478" xr:uid="{00000000-0005-0000-0000-0000B4A90000}"/>
    <cellStyle name="Percent 8 4 7 6" xfId="43479" xr:uid="{00000000-0005-0000-0000-0000B5A90000}"/>
    <cellStyle name="Percent 8 4 8" xfId="43480" xr:uid="{00000000-0005-0000-0000-0000B6A90000}"/>
    <cellStyle name="Percent 8 4 8 2" xfId="43481" xr:uid="{00000000-0005-0000-0000-0000B7A90000}"/>
    <cellStyle name="Percent 8 4 8 2 2" xfId="43482" xr:uid="{00000000-0005-0000-0000-0000B8A90000}"/>
    <cellStyle name="Percent 8 4 8 3" xfId="43483" xr:uid="{00000000-0005-0000-0000-0000B9A90000}"/>
    <cellStyle name="Percent 8 4 8 3 2" xfId="43484" xr:uid="{00000000-0005-0000-0000-0000BAA90000}"/>
    <cellStyle name="Percent 8 4 8 4" xfId="43485" xr:uid="{00000000-0005-0000-0000-0000BBA90000}"/>
    <cellStyle name="Percent 8 4 8 5" xfId="43486" xr:uid="{00000000-0005-0000-0000-0000BCA90000}"/>
    <cellStyle name="Percent 8 4 9" xfId="43487" xr:uid="{00000000-0005-0000-0000-0000BDA90000}"/>
    <cellStyle name="Percent 8 4 9 2" xfId="43488" xr:uid="{00000000-0005-0000-0000-0000BEA90000}"/>
    <cellStyle name="Percent 8 5" xfId="43489" xr:uid="{00000000-0005-0000-0000-0000BFA90000}"/>
    <cellStyle name="Percent 8 5 10" xfId="43490" xr:uid="{00000000-0005-0000-0000-0000C0A90000}"/>
    <cellStyle name="Percent 8 5 10 2" xfId="43491" xr:uid="{00000000-0005-0000-0000-0000C1A90000}"/>
    <cellStyle name="Percent 8 5 11" xfId="43492" xr:uid="{00000000-0005-0000-0000-0000C2A90000}"/>
    <cellStyle name="Percent 8 5 11 2" xfId="43493" xr:uid="{00000000-0005-0000-0000-0000C3A90000}"/>
    <cellStyle name="Percent 8 5 12" xfId="43494" xr:uid="{00000000-0005-0000-0000-0000C4A90000}"/>
    <cellStyle name="Percent 8 5 13" xfId="43495" xr:uid="{00000000-0005-0000-0000-0000C5A90000}"/>
    <cellStyle name="Percent 8 5 2" xfId="43496" xr:uid="{00000000-0005-0000-0000-0000C6A90000}"/>
    <cellStyle name="Percent 8 5 2 10" xfId="43497" xr:uid="{00000000-0005-0000-0000-0000C7A90000}"/>
    <cellStyle name="Percent 8 5 2 11" xfId="43498" xr:uid="{00000000-0005-0000-0000-0000C8A90000}"/>
    <cellStyle name="Percent 8 5 2 2" xfId="43499" xr:uid="{00000000-0005-0000-0000-0000C9A90000}"/>
    <cellStyle name="Percent 8 5 2 2 2" xfId="43500" xr:uid="{00000000-0005-0000-0000-0000CAA90000}"/>
    <cellStyle name="Percent 8 5 2 2 2 2" xfId="43501" xr:uid="{00000000-0005-0000-0000-0000CBA90000}"/>
    <cellStyle name="Percent 8 5 2 2 3" xfId="43502" xr:uid="{00000000-0005-0000-0000-0000CCA90000}"/>
    <cellStyle name="Percent 8 5 2 2 3 2" xfId="43503" xr:uid="{00000000-0005-0000-0000-0000CDA90000}"/>
    <cellStyle name="Percent 8 5 2 2 4" xfId="43504" xr:uid="{00000000-0005-0000-0000-0000CEA90000}"/>
    <cellStyle name="Percent 8 5 2 2 4 2" xfId="43505" xr:uid="{00000000-0005-0000-0000-0000CFA90000}"/>
    <cellStyle name="Percent 8 5 2 2 5" xfId="43506" xr:uid="{00000000-0005-0000-0000-0000D0A90000}"/>
    <cellStyle name="Percent 8 5 2 2 6" xfId="43507" xr:uid="{00000000-0005-0000-0000-0000D1A90000}"/>
    <cellStyle name="Percent 8 5 2 3" xfId="43508" xr:uid="{00000000-0005-0000-0000-0000D2A90000}"/>
    <cellStyle name="Percent 8 5 2 3 2" xfId="43509" xr:uid="{00000000-0005-0000-0000-0000D3A90000}"/>
    <cellStyle name="Percent 8 5 2 3 2 2" xfId="43510" xr:uid="{00000000-0005-0000-0000-0000D4A90000}"/>
    <cellStyle name="Percent 8 5 2 3 3" xfId="43511" xr:uid="{00000000-0005-0000-0000-0000D5A90000}"/>
    <cellStyle name="Percent 8 5 2 3 3 2" xfId="43512" xr:uid="{00000000-0005-0000-0000-0000D6A90000}"/>
    <cellStyle name="Percent 8 5 2 3 4" xfId="43513" xr:uid="{00000000-0005-0000-0000-0000D7A90000}"/>
    <cellStyle name="Percent 8 5 2 3 4 2" xfId="43514" xr:uid="{00000000-0005-0000-0000-0000D8A90000}"/>
    <cellStyle name="Percent 8 5 2 3 5" xfId="43515" xr:uid="{00000000-0005-0000-0000-0000D9A90000}"/>
    <cellStyle name="Percent 8 5 2 3 6" xfId="43516" xr:uid="{00000000-0005-0000-0000-0000DAA90000}"/>
    <cellStyle name="Percent 8 5 2 4" xfId="43517" xr:uid="{00000000-0005-0000-0000-0000DBA90000}"/>
    <cellStyle name="Percent 8 5 2 4 2" xfId="43518" xr:uid="{00000000-0005-0000-0000-0000DCA90000}"/>
    <cellStyle name="Percent 8 5 2 4 2 2" xfId="43519" xr:uid="{00000000-0005-0000-0000-0000DDA90000}"/>
    <cellStyle name="Percent 8 5 2 4 3" xfId="43520" xr:uid="{00000000-0005-0000-0000-0000DEA90000}"/>
    <cellStyle name="Percent 8 5 2 4 3 2" xfId="43521" xr:uid="{00000000-0005-0000-0000-0000DFA90000}"/>
    <cellStyle name="Percent 8 5 2 4 4" xfId="43522" xr:uid="{00000000-0005-0000-0000-0000E0A90000}"/>
    <cellStyle name="Percent 8 5 2 4 4 2" xfId="43523" xr:uid="{00000000-0005-0000-0000-0000E1A90000}"/>
    <cellStyle name="Percent 8 5 2 4 5" xfId="43524" xr:uid="{00000000-0005-0000-0000-0000E2A90000}"/>
    <cellStyle name="Percent 8 5 2 4 6" xfId="43525" xr:uid="{00000000-0005-0000-0000-0000E3A90000}"/>
    <cellStyle name="Percent 8 5 2 5" xfId="43526" xr:uid="{00000000-0005-0000-0000-0000E4A90000}"/>
    <cellStyle name="Percent 8 5 2 5 2" xfId="43527" xr:uid="{00000000-0005-0000-0000-0000E5A90000}"/>
    <cellStyle name="Percent 8 5 2 5 2 2" xfId="43528" xr:uid="{00000000-0005-0000-0000-0000E6A90000}"/>
    <cellStyle name="Percent 8 5 2 5 3" xfId="43529" xr:uid="{00000000-0005-0000-0000-0000E7A90000}"/>
    <cellStyle name="Percent 8 5 2 5 3 2" xfId="43530" xr:uid="{00000000-0005-0000-0000-0000E8A90000}"/>
    <cellStyle name="Percent 8 5 2 5 4" xfId="43531" xr:uid="{00000000-0005-0000-0000-0000E9A90000}"/>
    <cellStyle name="Percent 8 5 2 5 4 2" xfId="43532" xr:uid="{00000000-0005-0000-0000-0000EAA90000}"/>
    <cellStyle name="Percent 8 5 2 5 5" xfId="43533" xr:uid="{00000000-0005-0000-0000-0000EBA90000}"/>
    <cellStyle name="Percent 8 5 2 5 6" xfId="43534" xr:uid="{00000000-0005-0000-0000-0000ECA90000}"/>
    <cellStyle name="Percent 8 5 2 6" xfId="43535" xr:uid="{00000000-0005-0000-0000-0000EDA90000}"/>
    <cellStyle name="Percent 8 5 2 6 2" xfId="43536" xr:uid="{00000000-0005-0000-0000-0000EEA90000}"/>
    <cellStyle name="Percent 8 5 2 6 2 2" xfId="43537" xr:uid="{00000000-0005-0000-0000-0000EFA90000}"/>
    <cellStyle name="Percent 8 5 2 6 3" xfId="43538" xr:uid="{00000000-0005-0000-0000-0000F0A90000}"/>
    <cellStyle name="Percent 8 5 2 6 3 2" xfId="43539" xr:uid="{00000000-0005-0000-0000-0000F1A90000}"/>
    <cellStyle name="Percent 8 5 2 6 4" xfId="43540" xr:uid="{00000000-0005-0000-0000-0000F2A90000}"/>
    <cellStyle name="Percent 8 5 2 6 5" xfId="43541" xr:uid="{00000000-0005-0000-0000-0000F3A90000}"/>
    <cellStyle name="Percent 8 5 2 7" xfId="43542" xr:uid="{00000000-0005-0000-0000-0000F4A90000}"/>
    <cellStyle name="Percent 8 5 2 7 2" xfId="43543" xr:uid="{00000000-0005-0000-0000-0000F5A90000}"/>
    <cellStyle name="Percent 8 5 2 8" xfId="43544" xr:uid="{00000000-0005-0000-0000-0000F6A90000}"/>
    <cellStyle name="Percent 8 5 2 8 2" xfId="43545" xr:uid="{00000000-0005-0000-0000-0000F7A90000}"/>
    <cellStyle name="Percent 8 5 2 9" xfId="43546" xr:uid="{00000000-0005-0000-0000-0000F8A90000}"/>
    <cellStyle name="Percent 8 5 2 9 2" xfId="43547" xr:uid="{00000000-0005-0000-0000-0000F9A90000}"/>
    <cellStyle name="Percent 8 5 3" xfId="43548" xr:uid="{00000000-0005-0000-0000-0000FAA90000}"/>
    <cellStyle name="Percent 8 5 3 10" xfId="43549" xr:uid="{00000000-0005-0000-0000-0000FBA90000}"/>
    <cellStyle name="Percent 8 5 3 2" xfId="43550" xr:uid="{00000000-0005-0000-0000-0000FCA90000}"/>
    <cellStyle name="Percent 8 5 3 2 2" xfId="43551" xr:uid="{00000000-0005-0000-0000-0000FDA90000}"/>
    <cellStyle name="Percent 8 5 3 2 2 2" xfId="43552" xr:uid="{00000000-0005-0000-0000-0000FEA90000}"/>
    <cellStyle name="Percent 8 5 3 2 3" xfId="43553" xr:uid="{00000000-0005-0000-0000-0000FFA90000}"/>
    <cellStyle name="Percent 8 5 3 2 3 2" xfId="43554" xr:uid="{00000000-0005-0000-0000-000000AA0000}"/>
    <cellStyle name="Percent 8 5 3 2 4" xfId="43555" xr:uid="{00000000-0005-0000-0000-000001AA0000}"/>
    <cellStyle name="Percent 8 5 3 2 4 2" xfId="43556" xr:uid="{00000000-0005-0000-0000-000002AA0000}"/>
    <cellStyle name="Percent 8 5 3 2 5" xfId="43557" xr:uid="{00000000-0005-0000-0000-000003AA0000}"/>
    <cellStyle name="Percent 8 5 3 2 6" xfId="43558" xr:uid="{00000000-0005-0000-0000-000004AA0000}"/>
    <cellStyle name="Percent 8 5 3 3" xfId="43559" xr:uid="{00000000-0005-0000-0000-000005AA0000}"/>
    <cellStyle name="Percent 8 5 3 3 2" xfId="43560" xr:uid="{00000000-0005-0000-0000-000006AA0000}"/>
    <cellStyle name="Percent 8 5 3 3 2 2" xfId="43561" xr:uid="{00000000-0005-0000-0000-000007AA0000}"/>
    <cellStyle name="Percent 8 5 3 3 3" xfId="43562" xr:uid="{00000000-0005-0000-0000-000008AA0000}"/>
    <cellStyle name="Percent 8 5 3 3 3 2" xfId="43563" xr:uid="{00000000-0005-0000-0000-000009AA0000}"/>
    <cellStyle name="Percent 8 5 3 3 4" xfId="43564" xr:uid="{00000000-0005-0000-0000-00000AAA0000}"/>
    <cellStyle name="Percent 8 5 3 3 4 2" xfId="43565" xr:uid="{00000000-0005-0000-0000-00000BAA0000}"/>
    <cellStyle name="Percent 8 5 3 3 5" xfId="43566" xr:uid="{00000000-0005-0000-0000-00000CAA0000}"/>
    <cellStyle name="Percent 8 5 3 3 6" xfId="43567" xr:uid="{00000000-0005-0000-0000-00000DAA0000}"/>
    <cellStyle name="Percent 8 5 3 4" xfId="43568" xr:uid="{00000000-0005-0000-0000-00000EAA0000}"/>
    <cellStyle name="Percent 8 5 3 4 2" xfId="43569" xr:uid="{00000000-0005-0000-0000-00000FAA0000}"/>
    <cellStyle name="Percent 8 5 3 4 2 2" xfId="43570" xr:uid="{00000000-0005-0000-0000-000010AA0000}"/>
    <cellStyle name="Percent 8 5 3 4 3" xfId="43571" xr:uid="{00000000-0005-0000-0000-000011AA0000}"/>
    <cellStyle name="Percent 8 5 3 4 3 2" xfId="43572" xr:uid="{00000000-0005-0000-0000-000012AA0000}"/>
    <cellStyle name="Percent 8 5 3 4 4" xfId="43573" xr:uid="{00000000-0005-0000-0000-000013AA0000}"/>
    <cellStyle name="Percent 8 5 3 4 4 2" xfId="43574" xr:uid="{00000000-0005-0000-0000-000014AA0000}"/>
    <cellStyle name="Percent 8 5 3 4 5" xfId="43575" xr:uid="{00000000-0005-0000-0000-000015AA0000}"/>
    <cellStyle name="Percent 8 5 3 4 6" xfId="43576" xr:uid="{00000000-0005-0000-0000-000016AA0000}"/>
    <cellStyle name="Percent 8 5 3 5" xfId="43577" xr:uid="{00000000-0005-0000-0000-000017AA0000}"/>
    <cellStyle name="Percent 8 5 3 5 2" xfId="43578" xr:uid="{00000000-0005-0000-0000-000018AA0000}"/>
    <cellStyle name="Percent 8 5 3 5 2 2" xfId="43579" xr:uid="{00000000-0005-0000-0000-000019AA0000}"/>
    <cellStyle name="Percent 8 5 3 5 3" xfId="43580" xr:uid="{00000000-0005-0000-0000-00001AAA0000}"/>
    <cellStyle name="Percent 8 5 3 5 3 2" xfId="43581" xr:uid="{00000000-0005-0000-0000-00001BAA0000}"/>
    <cellStyle name="Percent 8 5 3 5 4" xfId="43582" xr:uid="{00000000-0005-0000-0000-00001CAA0000}"/>
    <cellStyle name="Percent 8 5 3 5 5" xfId="43583" xr:uid="{00000000-0005-0000-0000-00001DAA0000}"/>
    <cellStyle name="Percent 8 5 3 6" xfId="43584" xr:uid="{00000000-0005-0000-0000-00001EAA0000}"/>
    <cellStyle name="Percent 8 5 3 6 2" xfId="43585" xr:uid="{00000000-0005-0000-0000-00001FAA0000}"/>
    <cellStyle name="Percent 8 5 3 7" xfId="43586" xr:uid="{00000000-0005-0000-0000-000020AA0000}"/>
    <cellStyle name="Percent 8 5 3 7 2" xfId="43587" xr:uid="{00000000-0005-0000-0000-000021AA0000}"/>
    <cellStyle name="Percent 8 5 3 8" xfId="43588" xr:uid="{00000000-0005-0000-0000-000022AA0000}"/>
    <cellStyle name="Percent 8 5 3 8 2" xfId="43589" xr:uid="{00000000-0005-0000-0000-000023AA0000}"/>
    <cellStyle name="Percent 8 5 3 9" xfId="43590" xr:uid="{00000000-0005-0000-0000-000024AA0000}"/>
    <cellStyle name="Percent 8 5 4" xfId="43591" xr:uid="{00000000-0005-0000-0000-000025AA0000}"/>
    <cellStyle name="Percent 8 5 4 10" xfId="43592" xr:uid="{00000000-0005-0000-0000-000026AA0000}"/>
    <cellStyle name="Percent 8 5 4 2" xfId="43593" xr:uid="{00000000-0005-0000-0000-000027AA0000}"/>
    <cellStyle name="Percent 8 5 4 2 2" xfId="43594" xr:uid="{00000000-0005-0000-0000-000028AA0000}"/>
    <cellStyle name="Percent 8 5 4 2 2 2" xfId="43595" xr:uid="{00000000-0005-0000-0000-000029AA0000}"/>
    <cellStyle name="Percent 8 5 4 2 3" xfId="43596" xr:uid="{00000000-0005-0000-0000-00002AAA0000}"/>
    <cellStyle name="Percent 8 5 4 2 3 2" xfId="43597" xr:uid="{00000000-0005-0000-0000-00002BAA0000}"/>
    <cellStyle name="Percent 8 5 4 2 4" xfId="43598" xr:uid="{00000000-0005-0000-0000-00002CAA0000}"/>
    <cellStyle name="Percent 8 5 4 2 4 2" xfId="43599" xr:uid="{00000000-0005-0000-0000-00002DAA0000}"/>
    <cellStyle name="Percent 8 5 4 2 5" xfId="43600" xr:uid="{00000000-0005-0000-0000-00002EAA0000}"/>
    <cellStyle name="Percent 8 5 4 2 6" xfId="43601" xr:uid="{00000000-0005-0000-0000-00002FAA0000}"/>
    <cellStyle name="Percent 8 5 4 3" xfId="43602" xr:uid="{00000000-0005-0000-0000-000030AA0000}"/>
    <cellStyle name="Percent 8 5 4 3 2" xfId="43603" xr:uid="{00000000-0005-0000-0000-000031AA0000}"/>
    <cellStyle name="Percent 8 5 4 3 2 2" xfId="43604" xr:uid="{00000000-0005-0000-0000-000032AA0000}"/>
    <cellStyle name="Percent 8 5 4 3 3" xfId="43605" xr:uid="{00000000-0005-0000-0000-000033AA0000}"/>
    <cellStyle name="Percent 8 5 4 3 3 2" xfId="43606" xr:uid="{00000000-0005-0000-0000-000034AA0000}"/>
    <cellStyle name="Percent 8 5 4 3 4" xfId="43607" xr:uid="{00000000-0005-0000-0000-000035AA0000}"/>
    <cellStyle name="Percent 8 5 4 3 4 2" xfId="43608" xr:uid="{00000000-0005-0000-0000-000036AA0000}"/>
    <cellStyle name="Percent 8 5 4 3 5" xfId="43609" xr:uid="{00000000-0005-0000-0000-000037AA0000}"/>
    <cellStyle name="Percent 8 5 4 3 6" xfId="43610" xr:uid="{00000000-0005-0000-0000-000038AA0000}"/>
    <cellStyle name="Percent 8 5 4 4" xfId="43611" xr:uid="{00000000-0005-0000-0000-000039AA0000}"/>
    <cellStyle name="Percent 8 5 4 4 2" xfId="43612" xr:uid="{00000000-0005-0000-0000-00003AAA0000}"/>
    <cellStyle name="Percent 8 5 4 4 2 2" xfId="43613" xr:uid="{00000000-0005-0000-0000-00003BAA0000}"/>
    <cellStyle name="Percent 8 5 4 4 3" xfId="43614" xr:uid="{00000000-0005-0000-0000-00003CAA0000}"/>
    <cellStyle name="Percent 8 5 4 4 3 2" xfId="43615" xr:uid="{00000000-0005-0000-0000-00003DAA0000}"/>
    <cellStyle name="Percent 8 5 4 4 4" xfId="43616" xr:uid="{00000000-0005-0000-0000-00003EAA0000}"/>
    <cellStyle name="Percent 8 5 4 4 4 2" xfId="43617" xr:uid="{00000000-0005-0000-0000-00003FAA0000}"/>
    <cellStyle name="Percent 8 5 4 4 5" xfId="43618" xr:uid="{00000000-0005-0000-0000-000040AA0000}"/>
    <cellStyle name="Percent 8 5 4 4 6" xfId="43619" xr:uid="{00000000-0005-0000-0000-000041AA0000}"/>
    <cellStyle name="Percent 8 5 4 5" xfId="43620" xr:uid="{00000000-0005-0000-0000-000042AA0000}"/>
    <cellStyle name="Percent 8 5 4 5 2" xfId="43621" xr:uid="{00000000-0005-0000-0000-000043AA0000}"/>
    <cellStyle name="Percent 8 5 4 5 2 2" xfId="43622" xr:uid="{00000000-0005-0000-0000-000044AA0000}"/>
    <cellStyle name="Percent 8 5 4 5 3" xfId="43623" xr:uid="{00000000-0005-0000-0000-000045AA0000}"/>
    <cellStyle name="Percent 8 5 4 5 3 2" xfId="43624" xr:uid="{00000000-0005-0000-0000-000046AA0000}"/>
    <cellStyle name="Percent 8 5 4 5 4" xfId="43625" xr:uid="{00000000-0005-0000-0000-000047AA0000}"/>
    <cellStyle name="Percent 8 5 4 5 5" xfId="43626" xr:uid="{00000000-0005-0000-0000-000048AA0000}"/>
    <cellStyle name="Percent 8 5 4 6" xfId="43627" xr:uid="{00000000-0005-0000-0000-000049AA0000}"/>
    <cellStyle name="Percent 8 5 4 6 2" xfId="43628" xr:uid="{00000000-0005-0000-0000-00004AAA0000}"/>
    <cellStyle name="Percent 8 5 4 7" xfId="43629" xr:uid="{00000000-0005-0000-0000-00004BAA0000}"/>
    <cellStyle name="Percent 8 5 4 7 2" xfId="43630" xr:uid="{00000000-0005-0000-0000-00004CAA0000}"/>
    <cellStyle name="Percent 8 5 4 8" xfId="43631" xr:uid="{00000000-0005-0000-0000-00004DAA0000}"/>
    <cellStyle name="Percent 8 5 4 8 2" xfId="43632" xr:uid="{00000000-0005-0000-0000-00004EAA0000}"/>
    <cellStyle name="Percent 8 5 4 9" xfId="43633" xr:uid="{00000000-0005-0000-0000-00004FAA0000}"/>
    <cellStyle name="Percent 8 5 5" xfId="43634" xr:uid="{00000000-0005-0000-0000-000050AA0000}"/>
    <cellStyle name="Percent 8 5 5 2" xfId="43635" xr:uid="{00000000-0005-0000-0000-000051AA0000}"/>
    <cellStyle name="Percent 8 5 5 2 2" xfId="43636" xr:uid="{00000000-0005-0000-0000-000052AA0000}"/>
    <cellStyle name="Percent 8 5 5 3" xfId="43637" xr:uid="{00000000-0005-0000-0000-000053AA0000}"/>
    <cellStyle name="Percent 8 5 5 3 2" xfId="43638" xr:uid="{00000000-0005-0000-0000-000054AA0000}"/>
    <cellStyle name="Percent 8 5 5 4" xfId="43639" xr:uid="{00000000-0005-0000-0000-000055AA0000}"/>
    <cellStyle name="Percent 8 5 5 4 2" xfId="43640" xr:uid="{00000000-0005-0000-0000-000056AA0000}"/>
    <cellStyle name="Percent 8 5 5 5" xfId="43641" xr:uid="{00000000-0005-0000-0000-000057AA0000}"/>
    <cellStyle name="Percent 8 5 5 6" xfId="43642" xr:uid="{00000000-0005-0000-0000-000058AA0000}"/>
    <cellStyle name="Percent 8 5 6" xfId="43643" xr:uid="{00000000-0005-0000-0000-000059AA0000}"/>
    <cellStyle name="Percent 8 5 6 2" xfId="43644" xr:uid="{00000000-0005-0000-0000-00005AAA0000}"/>
    <cellStyle name="Percent 8 5 6 2 2" xfId="43645" xr:uid="{00000000-0005-0000-0000-00005BAA0000}"/>
    <cellStyle name="Percent 8 5 6 3" xfId="43646" xr:uid="{00000000-0005-0000-0000-00005CAA0000}"/>
    <cellStyle name="Percent 8 5 6 3 2" xfId="43647" xr:uid="{00000000-0005-0000-0000-00005DAA0000}"/>
    <cellStyle name="Percent 8 5 6 4" xfId="43648" xr:uid="{00000000-0005-0000-0000-00005EAA0000}"/>
    <cellStyle name="Percent 8 5 6 4 2" xfId="43649" xr:uid="{00000000-0005-0000-0000-00005FAA0000}"/>
    <cellStyle name="Percent 8 5 6 5" xfId="43650" xr:uid="{00000000-0005-0000-0000-000060AA0000}"/>
    <cellStyle name="Percent 8 5 6 6" xfId="43651" xr:uid="{00000000-0005-0000-0000-000061AA0000}"/>
    <cellStyle name="Percent 8 5 7" xfId="43652" xr:uid="{00000000-0005-0000-0000-000062AA0000}"/>
    <cellStyle name="Percent 8 5 7 2" xfId="43653" xr:uid="{00000000-0005-0000-0000-000063AA0000}"/>
    <cellStyle name="Percent 8 5 7 2 2" xfId="43654" xr:uid="{00000000-0005-0000-0000-000064AA0000}"/>
    <cellStyle name="Percent 8 5 7 3" xfId="43655" xr:uid="{00000000-0005-0000-0000-000065AA0000}"/>
    <cellStyle name="Percent 8 5 7 3 2" xfId="43656" xr:uid="{00000000-0005-0000-0000-000066AA0000}"/>
    <cellStyle name="Percent 8 5 7 4" xfId="43657" xr:uid="{00000000-0005-0000-0000-000067AA0000}"/>
    <cellStyle name="Percent 8 5 7 4 2" xfId="43658" xr:uid="{00000000-0005-0000-0000-000068AA0000}"/>
    <cellStyle name="Percent 8 5 7 5" xfId="43659" xr:uid="{00000000-0005-0000-0000-000069AA0000}"/>
    <cellStyle name="Percent 8 5 7 6" xfId="43660" xr:uid="{00000000-0005-0000-0000-00006AAA0000}"/>
    <cellStyle name="Percent 8 5 8" xfId="43661" xr:uid="{00000000-0005-0000-0000-00006BAA0000}"/>
    <cellStyle name="Percent 8 5 8 2" xfId="43662" xr:uid="{00000000-0005-0000-0000-00006CAA0000}"/>
    <cellStyle name="Percent 8 5 8 2 2" xfId="43663" xr:uid="{00000000-0005-0000-0000-00006DAA0000}"/>
    <cellStyle name="Percent 8 5 8 3" xfId="43664" xr:uid="{00000000-0005-0000-0000-00006EAA0000}"/>
    <cellStyle name="Percent 8 5 8 3 2" xfId="43665" xr:uid="{00000000-0005-0000-0000-00006FAA0000}"/>
    <cellStyle name="Percent 8 5 8 4" xfId="43666" xr:uid="{00000000-0005-0000-0000-000070AA0000}"/>
    <cellStyle name="Percent 8 5 8 5" xfId="43667" xr:uid="{00000000-0005-0000-0000-000071AA0000}"/>
    <cellStyle name="Percent 8 5 9" xfId="43668" xr:uid="{00000000-0005-0000-0000-000072AA0000}"/>
    <cellStyle name="Percent 8 5 9 2" xfId="43669" xr:uid="{00000000-0005-0000-0000-000073AA0000}"/>
    <cellStyle name="Percent 8 6" xfId="43670" xr:uid="{00000000-0005-0000-0000-000074AA0000}"/>
    <cellStyle name="Percent 8 6 10" xfId="43671" xr:uid="{00000000-0005-0000-0000-000075AA0000}"/>
    <cellStyle name="Percent 8 6 10 2" xfId="43672" xr:uid="{00000000-0005-0000-0000-000076AA0000}"/>
    <cellStyle name="Percent 8 6 11" xfId="43673" xr:uid="{00000000-0005-0000-0000-000077AA0000}"/>
    <cellStyle name="Percent 8 6 12" xfId="43674" xr:uid="{00000000-0005-0000-0000-000078AA0000}"/>
    <cellStyle name="Percent 8 6 2" xfId="43675" xr:uid="{00000000-0005-0000-0000-000079AA0000}"/>
    <cellStyle name="Percent 8 6 2 10" xfId="43676" xr:uid="{00000000-0005-0000-0000-00007AAA0000}"/>
    <cellStyle name="Percent 8 6 2 2" xfId="43677" xr:uid="{00000000-0005-0000-0000-00007BAA0000}"/>
    <cellStyle name="Percent 8 6 2 2 2" xfId="43678" xr:uid="{00000000-0005-0000-0000-00007CAA0000}"/>
    <cellStyle name="Percent 8 6 2 2 2 2" xfId="43679" xr:uid="{00000000-0005-0000-0000-00007DAA0000}"/>
    <cellStyle name="Percent 8 6 2 2 3" xfId="43680" xr:uid="{00000000-0005-0000-0000-00007EAA0000}"/>
    <cellStyle name="Percent 8 6 2 2 3 2" xfId="43681" xr:uid="{00000000-0005-0000-0000-00007FAA0000}"/>
    <cellStyle name="Percent 8 6 2 2 4" xfId="43682" xr:uid="{00000000-0005-0000-0000-000080AA0000}"/>
    <cellStyle name="Percent 8 6 2 2 4 2" xfId="43683" xr:uid="{00000000-0005-0000-0000-000081AA0000}"/>
    <cellStyle name="Percent 8 6 2 2 5" xfId="43684" xr:uid="{00000000-0005-0000-0000-000082AA0000}"/>
    <cellStyle name="Percent 8 6 2 2 6" xfId="43685" xr:uid="{00000000-0005-0000-0000-000083AA0000}"/>
    <cellStyle name="Percent 8 6 2 3" xfId="43686" xr:uid="{00000000-0005-0000-0000-000084AA0000}"/>
    <cellStyle name="Percent 8 6 2 3 2" xfId="43687" xr:uid="{00000000-0005-0000-0000-000085AA0000}"/>
    <cellStyle name="Percent 8 6 2 3 2 2" xfId="43688" xr:uid="{00000000-0005-0000-0000-000086AA0000}"/>
    <cellStyle name="Percent 8 6 2 3 3" xfId="43689" xr:uid="{00000000-0005-0000-0000-000087AA0000}"/>
    <cellStyle name="Percent 8 6 2 3 3 2" xfId="43690" xr:uid="{00000000-0005-0000-0000-000088AA0000}"/>
    <cellStyle name="Percent 8 6 2 3 4" xfId="43691" xr:uid="{00000000-0005-0000-0000-000089AA0000}"/>
    <cellStyle name="Percent 8 6 2 3 4 2" xfId="43692" xr:uid="{00000000-0005-0000-0000-00008AAA0000}"/>
    <cellStyle name="Percent 8 6 2 3 5" xfId="43693" xr:uid="{00000000-0005-0000-0000-00008BAA0000}"/>
    <cellStyle name="Percent 8 6 2 3 6" xfId="43694" xr:uid="{00000000-0005-0000-0000-00008CAA0000}"/>
    <cellStyle name="Percent 8 6 2 4" xfId="43695" xr:uid="{00000000-0005-0000-0000-00008DAA0000}"/>
    <cellStyle name="Percent 8 6 2 4 2" xfId="43696" xr:uid="{00000000-0005-0000-0000-00008EAA0000}"/>
    <cellStyle name="Percent 8 6 2 4 2 2" xfId="43697" xr:uid="{00000000-0005-0000-0000-00008FAA0000}"/>
    <cellStyle name="Percent 8 6 2 4 3" xfId="43698" xr:uid="{00000000-0005-0000-0000-000090AA0000}"/>
    <cellStyle name="Percent 8 6 2 4 3 2" xfId="43699" xr:uid="{00000000-0005-0000-0000-000091AA0000}"/>
    <cellStyle name="Percent 8 6 2 4 4" xfId="43700" xr:uid="{00000000-0005-0000-0000-000092AA0000}"/>
    <cellStyle name="Percent 8 6 2 4 4 2" xfId="43701" xr:uid="{00000000-0005-0000-0000-000093AA0000}"/>
    <cellStyle name="Percent 8 6 2 4 5" xfId="43702" xr:uid="{00000000-0005-0000-0000-000094AA0000}"/>
    <cellStyle name="Percent 8 6 2 4 6" xfId="43703" xr:uid="{00000000-0005-0000-0000-000095AA0000}"/>
    <cellStyle name="Percent 8 6 2 5" xfId="43704" xr:uid="{00000000-0005-0000-0000-000096AA0000}"/>
    <cellStyle name="Percent 8 6 2 5 2" xfId="43705" xr:uid="{00000000-0005-0000-0000-000097AA0000}"/>
    <cellStyle name="Percent 8 6 2 5 2 2" xfId="43706" xr:uid="{00000000-0005-0000-0000-000098AA0000}"/>
    <cellStyle name="Percent 8 6 2 5 3" xfId="43707" xr:uid="{00000000-0005-0000-0000-000099AA0000}"/>
    <cellStyle name="Percent 8 6 2 5 3 2" xfId="43708" xr:uid="{00000000-0005-0000-0000-00009AAA0000}"/>
    <cellStyle name="Percent 8 6 2 5 4" xfId="43709" xr:uid="{00000000-0005-0000-0000-00009BAA0000}"/>
    <cellStyle name="Percent 8 6 2 5 5" xfId="43710" xr:uid="{00000000-0005-0000-0000-00009CAA0000}"/>
    <cellStyle name="Percent 8 6 2 6" xfId="43711" xr:uid="{00000000-0005-0000-0000-00009DAA0000}"/>
    <cellStyle name="Percent 8 6 2 6 2" xfId="43712" xr:uid="{00000000-0005-0000-0000-00009EAA0000}"/>
    <cellStyle name="Percent 8 6 2 7" xfId="43713" xr:uid="{00000000-0005-0000-0000-00009FAA0000}"/>
    <cellStyle name="Percent 8 6 2 7 2" xfId="43714" xr:uid="{00000000-0005-0000-0000-0000A0AA0000}"/>
    <cellStyle name="Percent 8 6 2 8" xfId="43715" xr:uid="{00000000-0005-0000-0000-0000A1AA0000}"/>
    <cellStyle name="Percent 8 6 2 8 2" xfId="43716" xr:uid="{00000000-0005-0000-0000-0000A2AA0000}"/>
    <cellStyle name="Percent 8 6 2 9" xfId="43717" xr:uid="{00000000-0005-0000-0000-0000A3AA0000}"/>
    <cellStyle name="Percent 8 6 3" xfId="43718" xr:uid="{00000000-0005-0000-0000-0000A4AA0000}"/>
    <cellStyle name="Percent 8 6 3 10" xfId="43719" xr:uid="{00000000-0005-0000-0000-0000A5AA0000}"/>
    <cellStyle name="Percent 8 6 3 2" xfId="43720" xr:uid="{00000000-0005-0000-0000-0000A6AA0000}"/>
    <cellStyle name="Percent 8 6 3 2 2" xfId="43721" xr:uid="{00000000-0005-0000-0000-0000A7AA0000}"/>
    <cellStyle name="Percent 8 6 3 2 2 2" xfId="43722" xr:uid="{00000000-0005-0000-0000-0000A8AA0000}"/>
    <cellStyle name="Percent 8 6 3 2 3" xfId="43723" xr:uid="{00000000-0005-0000-0000-0000A9AA0000}"/>
    <cellStyle name="Percent 8 6 3 2 3 2" xfId="43724" xr:uid="{00000000-0005-0000-0000-0000AAAA0000}"/>
    <cellStyle name="Percent 8 6 3 2 4" xfId="43725" xr:uid="{00000000-0005-0000-0000-0000ABAA0000}"/>
    <cellStyle name="Percent 8 6 3 2 4 2" xfId="43726" xr:uid="{00000000-0005-0000-0000-0000ACAA0000}"/>
    <cellStyle name="Percent 8 6 3 2 5" xfId="43727" xr:uid="{00000000-0005-0000-0000-0000ADAA0000}"/>
    <cellStyle name="Percent 8 6 3 2 6" xfId="43728" xr:uid="{00000000-0005-0000-0000-0000AEAA0000}"/>
    <cellStyle name="Percent 8 6 3 3" xfId="43729" xr:uid="{00000000-0005-0000-0000-0000AFAA0000}"/>
    <cellStyle name="Percent 8 6 3 3 2" xfId="43730" xr:uid="{00000000-0005-0000-0000-0000B0AA0000}"/>
    <cellStyle name="Percent 8 6 3 3 2 2" xfId="43731" xr:uid="{00000000-0005-0000-0000-0000B1AA0000}"/>
    <cellStyle name="Percent 8 6 3 3 3" xfId="43732" xr:uid="{00000000-0005-0000-0000-0000B2AA0000}"/>
    <cellStyle name="Percent 8 6 3 3 3 2" xfId="43733" xr:uid="{00000000-0005-0000-0000-0000B3AA0000}"/>
    <cellStyle name="Percent 8 6 3 3 4" xfId="43734" xr:uid="{00000000-0005-0000-0000-0000B4AA0000}"/>
    <cellStyle name="Percent 8 6 3 3 4 2" xfId="43735" xr:uid="{00000000-0005-0000-0000-0000B5AA0000}"/>
    <cellStyle name="Percent 8 6 3 3 5" xfId="43736" xr:uid="{00000000-0005-0000-0000-0000B6AA0000}"/>
    <cellStyle name="Percent 8 6 3 3 6" xfId="43737" xr:uid="{00000000-0005-0000-0000-0000B7AA0000}"/>
    <cellStyle name="Percent 8 6 3 4" xfId="43738" xr:uid="{00000000-0005-0000-0000-0000B8AA0000}"/>
    <cellStyle name="Percent 8 6 3 4 2" xfId="43739" xr:uid="{00000000-0005-0000-0000-0000B9AA0000}"/>
    <cellStyle name="Percent 8 6 3 4 2 2" xfId="43740" xr:uid="{00000000-0005-0000-0000-0000BAAA0000}"/>
    <cellStyle name="Percent 8 6 3 4 3" xfId="43741" xr:uid="{00000000-0005-0000-0000-0000BBAA0000}"/>
    <cellStyle name="Percent 8 6 3 4 3 2" xfId="43742" xr:uid="{00000000-0005-0000-0000-0000BCAA0000}"/>
    <cellStyle name="Percent 8 6 3 4 4" xfId="43743" xr:uid="{00000000-0005-0000-0000-0000BDAA0000}"/>
    <cellStyle name="Percent 8 6 3 4 4 2" xfId="43744" xr:uid="{00000000-0005-0000-0000-0000BEAA0000}"/>
    <cellStyle name="Percent 8 6 3 4 5" xfId="43745" xr:uid="{00000000-0005-0000-0000-0000BFAA0000}"/>
    <cellStyle name="Percent 8 6 3 4 6" xfId="43746" xr:uid="{00000000-0005-0000-0000-0000C0AA0000}"/>
    <cellStyle name="Percent 8 6 3 5" xfId="43747" xr:uid="{00000000-0005-0000-0000-0000C1AA0000}"/>
    <cellStyle name="Percent 8 6 3 5 2" xfId="43748" xr:uid="{00000000-0005-0000-0000-0000C2AA0000}"/>
    <cellStyle name="Percent 8 6 3 5 2 2" xfId="43749" xr:uid="{00000000-0005-0000-0000-0000C3AA0000}"/>
    <cellStyle name="Percent 8 6 3 5 3" xfId="43750" xr:uid="{00000000-0005-0000-0000-0000C4AA0000}"/>
    <cellStyle name="Percent 8 6 3 5 3 2" xfId="43751" xr:uid="{00000000-0005-0000-0000-0000C5AA0000}"/>
    <cellStyle name="Percent 8 6 3 5 4" xfId="43752" xr:uid="{00000000-0005-0000-0000-0000C6AA0000}"/>
    <cellStyle name="Percent 8 6 3 5 5" xfId="43753" xr:uid="{00000000-0005-0000-0000-0000C7AA0000}"/>
    <cellStyle name="Percent 8 6 3 6" xfId="43754" xr:uid="{00000000-0005-0000-0000-0000C8AA0000}"/>
    <cellStyle name="Percent 8 6 3 6 2" xfId="43755" xr:uid="{00000000-0005-0000-0000-0000C9AA0000}"/>
    <cellStyle name="Percent 8 6 3 7" xfId="43756" xr:uid="{00000000-0005-0000-0000-0000CAAA0000}"/>
    <cellStyle name="Percent 8 6 3 7 2" xfId="43757" xr:uid="{00000000-0005-0000-0000-0000CBAA0000}"/>
    <cellStyle name="Percent 8 6 3 8" xfId="43758" xr:uid="{00000000-0005-0000-0000-0000CCAA0000}"/>
    <cellStyle name="Percent 8 6 3 8 2" xfId="43759" xr:uid="{00000000-0005-0000-0000-0000CDAA0000}"/>
    <cellStyle name="Percent 8 6 3 9" xfId="43760" xr:uid="{00000000-0005-0000-0000-0000CEAA0000}"/>
    <cellStyle name="Percent 8 6 4" xfId="43761" xr:uid="{00000000-0005-0000-0000-0000CFAA0000}"/>
    <cellStyle name="Percent 8 6 4 2" xfId="43762" xr:uid="{00000000-0005-0000-0000-0000D0AA0000}"/>
    <cellStyle name="Percent 8 6 4 2 2" xfId="43763" xr:uid="{00000000-0005-0000-0000-0000D1AA0000}"/>
    <cellStyle name="Percent 8 6 4 3" xfId="43764" xr:uid="{00000000-0005-0000-0000-0000D2AA0000}"/>
    <cellStyle name="Percent 8 6 4 3 2" xfId="43765" xr:uid="{00000000-0005-0000-0000-0000D3AA0000}"/>
    <cellStyle name="Percent 8 6 4 4" xfId="43766" xr:uid="{00000000-0005-0000-0000-0000D4AA0000}"/>
    <cellStyle name="Percent 8 6 4 4 2" xfId="43767" xr:uid="{00000000-0005-0000-0000-0000D5AA0000}"/>
    <cellStyle name="Percent 8 6 4 5" xfId="43768" xr:uid="{00000000-0005-0000-0000-0000D6AA0000}"/>
    <cellStyle name="Percent 8 6 4 6" xfId="43769" xr:uid="{00000000-0005-0000-0000-0000D7AA0000}"/>
    <cellStyle name="Percent 8 6 5" xfId="43770" xr:uid="{00000000-0005-0000-0000-0000D8AA0000}"/>
    <cellStyle name="Percent 8 6 5 2" xfId="43771" xr:uid="{00000000-0005-0000-0000-0000D9AA0000}"/>
    <cellStyle name="Percent 8 6 5 2 2" xfId="43772" xr:uid="{00000000-0005-0000-0000-0000DAAA0000}"/>
    <cellStyle name="Percent 8 6 5 3" xfId="43773" xr:uid="{00000000-0005-0000-0000-0000DBAA0000}"/>
    <cellStyle name="Percent 8 6 5 3 2" xfId="43774" xr:uid="{00000000-0005-0000-0000-0000DCAA0000}"/>
    <cellStyle name="Percent 8 6 5 4" xfId="43775" xr:uid="{00000000-0005-0000-0000-0000DDAA0000}"/>
    <cellStyle name="Percent 8 6 5 4 2" xfId="43776" xr:uid="{00000000-0005-0000-0000-0000DEAA0000}"/>
    <cellStyle name="Percent 8 6 5 5" xfId="43777" xr:uid="{00000000-0005-0000-0000-0000DFAA0000}"/>
    <cellStyle name="Percent 8 6 5 6" xfId="43778" xr:uid="{00000000-0005-0000-0000-0000E0AA0000}"/>
    <cellStyle name="Percent 8 6 6" xfId="43779" xr:uid="{00000000-0005-0000-0000-0000E1AA0000}"/>
    <cellStyle name="Percent 8 6 6 2" xfId="43780" xr:uid="{00000000-0005-0000-0000-0000E2AA0000}"/>
    <cellStyle name="Percent 8 6 6 2 2" xfId="43781" xr:uid="{00000000-0005-0000-0000-0000E3AA0000}"/>
    <cellStyle name="Percent 8 6 6 3" xfId="43782" xr:uid="{00000000-0005-0000-0000-0000E4AA0000}"/>
    <cellStyle name="Percent 8 6 6 3 2" xfId="43783" xr:uid="{00000000-0005-0000-0000-0000E5AA0000}"/>
    <cellStyle name="Percent 8 6 6 4" xfId="43784" xr:uid="{00000000-0005-0000-0000-0000E6AA0000}"/>
    <cellStyle name="Percent 8 6 6 4 2" xfId="43785" xr:uid="{00000000-0005-0000-0000-0000E7AA0000}"/>
    <cellStyle name="Percent 8 6 6 5" xfId="43786" xr:uid="{00000000-0005-0000-0000-0000E8AA0000}"/>
    <cellStyle name="Percent 8 6 6 6" xfId="43787" xr:uid="{00000000-0005-0000-0000-0000E9AA0000}"/>
    <cellStyle name="Percent 8 6 7" xfId="43788" xr:uid="{00000000-0005-0000-0000-0000EAAA0000}"/>
    <cellStyle name="Percent 8 6 7 2" xfId="43789" xr:uid="{00000000-0005-0000-0000-0000EBAA0000}"/>
    <cellStyle name="Percent 8 6 7 2 2" xfId="43790" xr:uid="{00000000-0005-0000-0000-0000ECAA0000}"/>
    <cellStyle name="Percent 8 6 7 3" xfId="43791" xr:uid="{00000000-0005-0000-0000-0000EDAA0000}"/>
    <cellStyle name="Percent 8 6 7 3 2" xfId="43792" xr:uid="{00000000-0005-0000-0000-0000EEAA0000}"/>
    <cellStyle name="Percent 8 6 7 4" xfId="43793" xr:uid="{00000000-0005-0000-0000-0000EFAA0000}"/>
    <cellStyle name="Percent 8 6 7 5" xfId="43794" xr:uid="{00000000-0005-0000-0000-0000F0AA0000}"/>
    <cellStyle name="Percent 8 6 8" xfId="43795" xr:uid="{00000000-0005-0000-0000-0000F1AA0000}"/>
    <cellStyle name="Percent 8 6 8 2" xfId="43796" xr:uid="{00000000-0005-0000-0000-0000F2AA0000}"/>
    <cellStyle name="Percent 8 6 9" xfId="43797" xr:uid="{00000000-0005-0000-0000-0000F3AA0000}"/>
    <cellStyle name="Percent 8 6 9 2" xfId="43798" xr:uid="{00000000-0005-0000-0000-0000F4AA0000}"/>
    <cellStyle name="Percent 8 7" xfId="43799" xr:uid="{00000000-0005-0000-0000-0000F5AA0000}"/>
    <cellStyle name="Percent 8 7 10" xfId="43800" xr:uid="{00000000-0005-0000-0000-0000F6AA0000}"/>
    <cellStyle name="Percent 8 7 11" xfId="43801" xr:uid="{00000000-0005-0000-0000-0000F7AA0000}"/>
    <cellStyle name="Percent 8 7 2" xfId="43802" xr:uid="{00000000-0005-0000-0000-0000F8AA0000}"/>
    <cellStyle name="Percent 8 7 2 2" xfId="43803" xr:uid="{00000000-0005-0000-0000-0000F9AA0000}"/>
    <cellStyle name="Percent 8 7 2 2 2" xfId="43804" xr:uid="{00000000-0005-0000-0000-0000FAAA0000}"/>
    <cellStyle name="Percent 8 7 2 3" xfId="43805" xr:uid="{00000000-0005-0000-0000-0000FBAA0000}"/>
    <cellStyle name="Percent 8 7 2 3 2" xfId="43806" xr:uid="{00000000-0005-0000-0000-0000FCAA0000}"/>
    <cellStyle name="Percent 8 7 2 4" xfId="43807" xr:uid="{00000000-0005-0000-0000-0000FDAA0000}"/>
    <cellStyle name="Percent 8 7 2 4 2" xfId="43808" xr:uid="{00000000-0005-0000-0000-0000FEAA0000}"/>
    <cellStyle name="Percent 8 7 2 5" xfId="43809" xr:uid="{00000000-0005-0000-0000-0000FFAA0000}"/>
    <cellStyle name="Percent 8 7 2 6" xfId="43810" xr:uid="{00000000-0005-0000-0000-000000AB0000}"/>
    <cellStyle name="Percent 8 7 3" xfId="43811" xr:uid="{00000000-0005-0000-0000-000001AB0000}"/>
    <cellStyle name="Percent 8 7 3 2" xfId="43812" xr:uid="{00000000-0005-0000-0000-000002AB0000}"/>
    <cellStyle name="Percent 8 7 3 2 2" xfId="43813" xr:uid="{00000000-0005-0000-0000-000003AB0000}"/>
    <cellStyle name="Percent 8 7 3 3" xfId="43814" xr:uid="{00000000-0005-0000-0000-000004AB0000}"/>
    <cellStyle name="Percent 8 7 3 3 2" xfId="43815" xr:uid="{00000000-0005-0000-0000-000005AB0000}"/>
    <cellStyle name="Percent 8 7 3 4" xfId="43816" xr:uid="{00000000-0005-0000-0000-000006AB0000}"/>
    <cellStyle name="Percent 8 7 3 4 2" xfId="43817" xr:uid="{00000000-0005-0000-0000-000007AB0000}"/>
    <cellStyle name="Percent 8 7 3 5" xfId="43818" xr:uid="{00000000-0005-0000-0000-000008AB0000}"/>
    <cellStyle name="Percent 8 7 3 6" xfId="43819" xr:uid="{00000000-0005-0000-0000-000009AB0000}"/>
    <cellStyle name="Percent 8 7 4" xfId="43820" xr:uid="{00000000-0005-0000-0000-00000AAB0000}"/>
    <cellStyle name="Percent 8 7 4 2" xfId="43821" xr:uid="{00000000-0005-0000-0000-00000BAB0000}"/>
    <cellStyle name="Percent 8 7 4 2 2" xfId="43822" xr:uid="{00000000-0005-0000-0000-00000CAB0000}"/>
    <cellStyle name="Percent 8 7 4 3" xfId="43823" xr:uid="{00000000-0005-0000-0000-00000DAB0000}"/>
    <cellStyle name="Percent 8 7 4 3 2" xfId="43824" xr:uid="{00000000-0005-0000-0000-00000EAB0000}"/>
    <cellStyle name="Percent 8 7 4 4" xfId="43825" xr:uid="{00000000-0005-0000-0000-00000FAB0000}"/>
    <cellStyle name="Percent 8 7 4 4 2" xfId="43826" xr:uid="{00000000-0005-0000-0000-000010AB0000}"/>
    <cellStyle name="Percent 8 7 4 5" xfId="43827" xr:uid="{00000000-0005-0000-0000-000011AB0000}"/>
    <cellStyle name="Percent 8 7 4 6" xfId="43828" xr:uid="{00000000-0005-0000-0000-000012AB0000}"/>
    <cellStyle name="Percent 8 7 5" xfId="43829" xr:uid="{00000000-0005-0000-0000-000013AB0000}"/>
    <cellStyle name="Percent 8 7 5 2" xfId="43830" xr:uid="{00000000-0005-0000-0000-000014AB0000}"/>
    <cellStyle name="Percent 8 7 5 2 2" xfId="43831" xr:uid="{00000000-0005-0000-0000-000015AB0000}"/>
    <cellStyle name="Percent 8 7 5 3" xfId="43832" xr:uid="{00000000-0005-0000-0000-000016AB0000}"/>
    <cellStyle name="Percent 8 7 5 3 2" xfId="43833" xr:uid="{00000000-0005-0000-0000-000017AB0000}"/>
    <cellStyle name="Percent 8 7 5 4" xfId="43834" xr:uid="{00000000-0005-0000-0000-000018AB0000}"/>
    <cellStyle name="Percent 8 7 5 4 2" xfId="43835" xr:uid="{00000000-0005-0000-0000-000019AB0000}"/>
    <cellStyle name="Percent 8 7 5 5" xfId="43836" xr:uid="{00000000-0005-0000-0000-00001AAB0000}"/>
    <cellStyle name="Percent 8 7 5 6" xfId="43837" xr:uid="{00000000-0005-0000-0000-00001BAB0000}"/>
    <cellStyle name="Percent 8 7 6" xfId="43838" xr:uid="{00000000-0005-0000-0000-00001CAB0000}"/>
    <cellStyle name="Percent 8 7 6 2" xfId="43839" xr:uid="{00000000-0005-0000-0000-00001DAB0000}"/>
    <cellStyle name="Percent 8 7 6 2 2" xfId="43840" xr:uid="{00000000-0005-0000-0000-00001EAB0000}"/>
    <cellStyle name="Percent 8 7 6 3" xfId="43841" xr:uid="{00000000-0005-0000-0000-00001FAB0000}"/>
    <cellStyle name="Percent 8 7 6 3 2" xfId="43842" xr:uid="{00000000-0005-0000-0000-000020AB0000}"/>
    <cellStyle name="Percent 8 7 6 4" xfId="43843" xr:uid="{00000000-0005-0000-0000-000021AB0000}"/>
    <cellStyle name="Percent 8 7 6 5" xfId="43844" xr:uid="{00000000-0005-0000-0000-000022AB0000}"/>
    <cellStyle name="Percent 8 7 7" xfId="43845" xr:uid="{00000000-0005-0000-0000-000023AB0000}"/>
    <cellStyle name="Percent 8 7 7 2" xfId="43846" xr:uid="{00000000-0005-0000-0000-000024AB0000}"/>
    <cellStyle name="Percent 8 7 8" xfId="43847" xr:uid="{00000000-0005-0000-0000-000025AB0000}"/>
    <cellStyle name="Percent 8 7 8 2" xfId="43848" xr:uid="{00000000-0005-0000-0000-000026AB0000}"/>
    <cellStyle name="Percent 8 7 9" xfId="43849" xr:uid="{00000000-0005-0000-0000-000027AB0000}"/>
    <cellStyle name="Percent 8 7 9 2" xfId="43850" xr:uid="{00000000-0005-0000-0000-000028AB0000}"/>
    <cellStyle name="Percent 8 8" xfId="43851" xr:uid="{00000000-0005-0000-0000-000029AB0000}"/>
    <cellStyle name="Percent 8 8 10" xfId="43852" xr:uid="{00000000-0005-0000-0000-00002AAB0000}"/>
    <cellStyle name="Percent 8 8 2" xfId="43853" xr:uid="{00000000-0005-0000-0000-00002BAB0000}"/>
    <cellStyle name="Percent 8 8 2 2" xfId="43854" xr:uid="{00000000-0005-0000-0000-00002CAB0000}"/>
    <cellStyle name="Percent 8 8 2 2 2" xfId="43855" xr:uid="{00000000-0005-0000-0000-00002DAB0000}"/>
    <cellStyle name="Percent 8 8 2 3" xfId="43856" xr:uid="{00000000-0005-0000-0000-00002EAB0000}"/>
    <cellStyle name="Percent 8 8 2 3 2" xfId="43857" xr:uid="{00000000-0005-0000-0000-00002FAB0000}"/>
    <cellStyle name="Percent 8 8 2 4" xfId="43858" xr:uid="{00000000-0005-0000-0000-000030AB0000}"/>
    <cellStyle name="Percent 8 8 2 4 2" xfId="43859" xr:uid="{00000000-0005-0000-0000-000031AB0000}"/>
    <cellStyle name="Percent 8 8 2 5" xfId="43860" xr:uid="{00000000-0005-0000-0000-000032AB0000}"/>
    <cellStyle name="Percent 8 8 2 6" xfId="43861" xr:uid="{00000000-0005-0000-0000-000033AB0000}"/>
    <cellStyle name="Percent 8 8 3" xfId="43862" xr:uid="{00000000-0005-0000-0000-000034AB0000}"/>
    <cellStyle name="Percent 8 8 3 2" xfId="43863" xr:uid="{00000000-0005-0000-0000-000035AB0000}"/>
    <cellStyle name="Percent 8 8 3 2 2" xfId="43864" xr:uid="{00000000-0005-0000-0000-000036AB0000}"/>
    <cellStyle name="Percent 8 8 3 3" xfId="43865" xr:uid="{00000000-0005-0000-0000-000037AB0000}"/>
    <cellStyle name="Percent 8 8 3 3 2" xfId="43866" xr:uid="{00000000-0005-0000-0000-000038AB0000}"/>
    <cellStyle name="Percent 8 8 3 4" xfId="43867" xr:uid="{00000000-0005-0000-0000-000039AB0000}"/>
    <cellStyle name="Percent 8 8 3 4 2" xfId="43868" xr:uid="{00000000-0005-0000-0000-00003AAB0000}"/>
    <cellStyle name="Percent 8 8 3 5" xfId="43869" xr:uid="{00000000-0005-0000-0000-00003BAB0000}"/>
    <cellStyle name="Percent 8 8 3 6" xfId="43870" xr:uid="{00000000-0005-0000-0000-00003CAB0000}"/>
    <cellStyle name="Percent 8 8 4" xfId="43871" xr:uid="{00000000-0005-0000-0000-00003DAB0000}"/>
    <cellStyle name="Percent 8 8 4 2" xfId="43872" xr:uid="{00000000-0005-0000-0000-00003EAB0000}"/>
    <cellStyle name="Percent 8 8 4 2 2" xfId="43873" xr:uid="{00000000-0005-0000-0000-00003FAB0000}"/>
    <cellStyle name="Percent 8 8 4 3" xfId="43874" xr:uid="{00000000-0005-0000-0000-000040AB0000}"/>
    <cellStyle name="Percent 8 8 4 3 2" xfId="43875" xr:uid="{00000000-0005-0000-0000-000041AB0000}"/>
    <cellStyle name="Percent 8 8 4 4" xfId="43876" xr:uid="{00000000-0005-0000-0000-000042AB0000}"/>
    <cellStyle name="Percent 8 8 4 4 2" xfId="43877" xr:uid="{00000000-0005-0000-0000-000043AB0000}"/>
    <cellStyle name="Percent 8 8 4 5" xfId="43878" xr:uid="{00000000-0005-0000-0000-000044AB0000}"/>
    <cellStyle name="Percent 8 8 4 6" xfId="43879" xr:uid="{00000000-0005-0000-0000-000045AB0000}"/>
    <cellStyle name="Percent 8 8 5" xfId="43880" xr:uid="{00000000-0005-0000-0000-000046AB0000}"/>
    <cellStyle name="Percent 8 8 5 2" xfId="43881" xr:uid="{00000000-0005-0000-0000-000047AB0000}"/>
    <cellStyle name="Percent 8 8 5 2 2" xfId="43882" xr:uid="{00000000-0005-0000-0000-000048AB0000}"/>
    <cellStyle name="Percent 8 8 5 3" xfId="43883" xr:uid="{00000000-0005-0000-0000-000049AB0000}"/>
    <cellStyle name="Percent 8 8 5 3 2" xfId="43884" xr:uid="{00000000-0005-0000-0000-00004AAB0000}"/>
    <cellStyle name="Percent 8 8 5 4" xfId="43885" xr:uid="{00000000-0005-0000-0000-00004BAB0000}"/>
    <cellStyle name="Percent 8 8 5 5" xfId="43886" xr:uid="{00000000-0005-0000-0000-00004CAB0000}"/>
    <cellStyle name="Percent 8 8 6" xfId="43887" xr:uid="{00000000-0005-0000-0000-00004DAB0000}"/>
    <cellStyle name="Percent 8 8 6 2" xfId="43888" xr:uid="{00000000-0005-0000-0000-00004EAB0000}"/>
    <cellStyle name="Percent 8 8 7" xfId="43889" xr:uid="{00000000-0005-0000-0000-00004FAB0000}"/>
    <cellStyle name="Percent 8 8 7 2" xfId="43890" xr:uid="{00000000-0005-0000-0000-000050AB0000}"/>
    <cellStyle name="Percent 8 8 8" xfId="43891" xr:uid="{00000000-0005-0000-0000-000051AB0000}"/>
    <cellStyle name="Percent 8 8 8 2" xfId="43892" xr:uid="{00000000-0005-0000-0000-000052AB0000}"/>
    <cellStyle name="Percent 8 8 9" xfId="43893" xr:uid="{00000000-0005-0000-0000-000053AB0000}"/>
    <cellStyle name="Percent 8 9" xfId="43894" xr:uid="{00000000-0005-0000-0000-000054AB0000}"/>
    <cellStyle name="Percent 8 9 10" xfId="43895" xr:uid="{00000000-0005-0000-0000-000055AB0000}"/>
    <cellStyle name="Percent 8 9 2" xfId="43896" xr:uid="{00000000-0005-0000-0000-000056AB0000}"/>
    <cellStyle name="Percent 8 9 2 2" xfId="43897" xr:uid="{00000000-0005-0000-0000-000057AB0000}"/>
    <cellStyle name="Percent 8 9 2 2 2" xfId="43898" xr:uid="{00000000-0005-0000-0000-000058AB0000}"/>
    <cellStyle name="Percent 8 9 2 3" xfId="43899" xr:uid="{00000000-0005-0000-0000-000059AB0000}"/>
    <cellStyle name="Percent 8 9 2 3 2" xfId="43900" xr:uid="{00000000-0005-0000-0000-00005AAB0000}"/>
    <cellStyle name="Percent 8 9 2 4" xfId="43901" xr:uid="{00000000-0005-0000-0000-00005BAB0000}"/>
    <cellStyle name="Percent 8 9 2 4 2" xfId="43902" xr:uid="{00000000-0005-0000-0000-00005CAB0000}"/>
    <cellStyle name="Percent 8 9 2 5" xfId="43903" xr:uid="{00000000-0005-0000-0000-00005DAB0000}"/>
    <cellStyle name="Percent 8 9 2 6" xfId="43904" xr:uid="{00000000-0005-0000-0000-00005EAB0000}"/>
    <cellStyle name="Percent 8 9 3" xfId="43905" xr:uid="{00000000-0005-0000-0000-00005FAB0000}"/>
    <cellStyle name="Percent 8 9 3 2" xfId="43906" xr:uid="{00000000-0005-0000-0000-000060AB0000}"/>
    <cellStyle name="Percent 8 9 3 2 2" xfId="43907" xr:uid="{00000000-0005-0000-0000-000061AB0000}"/>
    <cellStyle name="Percent 8 9 3 3" xfId="43908" xr:uid="{00000000-0005-0000-0000-000062AB0000}"/>
    <cellStyle name="Percent 8 9 3 3 2" xfId="43909" xr:uid="{00000000-0005-0000-0000-000063AB0000}"/>
    <cellStyle name="Percent 8 9 3 4" xfId="43910" xr:uid="{00000000-0005-0000-0000-000064AB0000}"/>
    <cellStyle name="Percent 8 9 3 4 2" xfId="43911" xr:uid="{00000000-0005-0000-0000-000065AB0000}"/>
    <cellStyle name="Percent 8 9 3 5" xfId="43912" xr:uid="{00000000-0005-0000-0000-000066AB0000}"/>
    <cellStyle name="Percent 8 9 3 6" xfId="43913" xr:uid="{00000000-0005-0000-0000-000067AB0000}"/>
    <cellStyle name="Percent 8 9 4" xfId="43914" xr:uid="{00000000-0005-0000-0000-000068AB0000}"/>
    <cellStyle name="Percent 8 9 4 2" xfId="43915" xr:uid="{00000000-0005-0000-0000-000069AB0000}"/>
    <cellStyle name="Percent 8 9 4 2 2" xfId="43916" xr:uid="{00000000-0005-0000-0000-00006AAB0000}"/>
    <cellStyle name="Percent 8 9 4 3" xfId="43917" xr:uid="{00000000-0005-0000-0000-00006BAB0000}"/>
    <cellStyle name="Percent 8 9 4 3 2" xfId="43918" xr:uid="{00000000-0005-0000-0000-00006CAB0000}"/>
    <cellStyle name="Percent 8 9 4 4" xfId="43919" xr:uid="{00000000-0005-0000-0000-00006DAB0000}"/>
    <cellStyle name="Percent 8 9 4 4 2" xfId="43920" xr:uid="{00000000-0005-0000-0000-00006EAB0000}"/>
    <cellStyle name="Percent 8 9 4 5" xfId="43921" xr:uid="{00000000-0005-0000-0000-00006FAB0000}"/>
    <cellStyle name="Percent 8 9 4 6" xfId="43922" xr:uid="{00000000-0005-0000-0000-000070AB0000}"/>
    <cellStyle name="Percent 8 9 5" xfId="43923" xr:uid="{00000000-0005-0000-0000-000071AB0000}"/>
    <cellStyle name="Percent 8 9 5 2" xfId="43924" xr:uid="{00000000-0005-0000-0000-000072AB0000}"/>
    <cellStyle name="Percent 8 9 5 2 2" xfId="43925" xr:uid="{00000000-0005-0000-0000-000073AB0000}"/>
    <cellStyle name="Percent 8 9 5 3" xfId="43926" xr:uid="{00000000-0005-0000-0000-000074AB0000}"/>
    <cellStyle name="Percent 8 9 5 3 2" xfId="43927" xr:uid="{00000000-0005-0000-0000-000075AB0000}"/>
    <cellStyle name="Percent 8 9 5 4" xfId="43928" xr:uid="{00000000-0005-0000-0000-000076AB0000}"/>
    <cellStyle name="Percent 8 9 5 5" xfId="43929" xr:uid="{00000000-0005-0000-0000-000077AB0000}"/>
    <cellStyle name="Percent 8 9 6" xfId="43930" xr:uid="{00000000-0005-0000-0000-000078AB0000}"/>
    <cellStyle name="Percent 8 9 6 2" xfId="43931" xr:uid="{00000000-0005-0000-0000-000079AB0000}"/>
    <cellStyle name="Percent 8 9 7" xfId="43932" xr:uid="{00000000-0005-0000-0000-00007AAB0000}"/>
    <cellStyle name="Percent 8 9 7 2" xfId="43933" xr:uid="{00000000-0005-0000-0000-00007BAB0000}"/>
    <cellStyle name="Percent 8 9 8" xfId="43934" xr:uid="{00000000-0005-0000-0000-00007CAB0000}"/>
    <cellStyle name="Percent 8 9 8 2" xfId="43935" xr:uid="{00000000-0005-0000-0000-00007DAB0000}"/>
    <cellStyle name="Percent 8 9 9" xfId="43936" xr:uid="{00000000-0005-0000-0000-00007EAB0000}"/>
    <cellStyle name="Percent 9" xfId="9302" xr:uid="{00000000-0005-0000-0000-00007FAB0000}"/>
    <cellStyle name="Percent 9 2" xfId="12289" xr:uid="{00000000-0005-0000-0000-000080AB0000}"/>
    <cellStyle name="Percent 9 2 2" xfId="43937" xr:uid="{00000000-0005-0000-0000-000081AB0000}"/>
    <cellStyle name="Percent 9 3" xfId="12288" xr:uid="{00000000-0005-0000-0000-000082AB0000}"/>
    <cellStyle name="Phase" xfId="12290" xr:uid="{00000000-0005-0000-0000-000083AB0000}"/>
    <cellStyle name="Proposal" xfId="43938" xr:uid="{00000000-0005-0000-0000-000084AB0000}"/>
    <cellStyle name="PSChar" xfId="64" xr:uid="{00000000-0005-0000-0000-000085AB0000}"/>
    <cellStyle name="PSDate" xfId="12291" xr:uid="{00000000-0005-0000-0000-000086AB0000}"/>
    <cellStyle name="PSDec" xfId="65" xr:uid="{00000000-0005-0000-0000-000087AB0000}"/>
    <cellStyle name="PSDetail" xfId="12292" xr:uid="{00000000-0005-0000-0000-000088AB0000}"/>
    <cellStyle name="PSHeading" xfId="66" xr:uid="{00000000-0005-0000-0000-000089AB0000}"/>
    <cellStyle name="PSInt" xfId="12293" xr:uid="{00000000-0005-0000-0000-00008AAB0000}"/>
    <cellStyle name="PSSpacer" xfId="12294" xr:uid="{00000000-0005-0000-0000-00008BAB0000}"/>
    <cellStyle name="R01A" xfId="43939" xr:uid="{00000000-0005-0000-0000-00008CAB0000}"/>
    <cellStyle name="Rangename" xfId="12295" xr:uid="{00000000-0005-0000-0000-00008DAB0000}"/>
    <cellStyle name="Rangenames" xfId="12296" xr:uid="{00000000-0005-0000-0000-00008EAB0000}"/>
    <cellStyle name="Result field" xfId="12297" xr:uid="{00000000-0005-0000-0000-00008FAB0000}"/>
    <cellStyle name="Result field 2" xfId="43940" xr:uid="{00000000-0005-0000-0000-000090AB0000}"/>
    <cellStyle name="Result field_KY NBV" xfId="43941" xr:uid="{00000000-0005-0000-0000-000091AB0000}"/>
    <cellStyle name="RowLevel_" xfId="12298" xr:uid="{00000000-0005-0000-0000-000092AB0000}"/>
    <cellStyle name="Schedule Heading" xfId="12299" xr:uid="{00000000-0005-0000-0000-000093AB0000}"/>
    <cellStyle name="Screen Display Heading" xfId="12300" xr:uid="{00000000-0005-0000-0000-000094AB0000}"/>
    <cellStyle name="Setup" xfId="12301" xr:uid="{00000000-0005-0000-0000-000095AB0000}"/>
    <cellStyle name="Shade" xfId="43942" xr:uid="{00000000-0005-0000-0000-000096AB0000}"/>
    <cellStyle name="Shading" xfId="43943" xr:uid="{00000000-0005-0000-0000-000097AB0000}"/>
    <cellStyle name="SMALL HEADINGS" xfId="43944" xr:uid="{00000000-0005-0000-0000-000098AB0000}"/>
    <cellStyle name="Standard_By Team" xfId="12302" xr:uid="{00000000-0005-0000-0000-000099AB0000}"/>
    <cellStyle name="Style 1" xfId="12303" xr:uid="{00000000-0005-0000-0000-00009AAB0000}"/>
    <cellStyle name="SUB HEADING" xfId="43945" xr:uid="{00000000-0005-0000-0000-00009BAB0000}"/>
    <cellStyle name="Subheading" xfId="43946" xr:uid="{00000000-0005-0000-0000-00009CAB0000}"/>
    <cellStyle name="Summary Column Cell" xfId="12304" xr:uid="{00000000-0005-0000-0000-00009DAB0000}"/>
    <cellStyle name="Summary Column Cell 2" xfId="43947" xr:uid="{00000000-0005-0000-0000-00009EAB0000}"/>
    <cellStyle name="Summary Column Cell_KY NBV" xfId="43948" xr:uid="{00000000-0005-0000-0000-00009FAB0000}"/>
    <cellStyle name="Title" xfId="70" builtinId="15" customBuiltin="1"/>
    <cellStyle name="Title 2" xfId="43949" xr:uid="{00000000-0005-0000-0000-0000A1AB0000}"/>
    <cellStyle name="Title 3" xfId="43950" xr:uid="{00000000-0005-0000-0000-0000A2AB0000}"/>
    <cellStyle name="Total" xfId="9261" builtinId="25" customBuiltin="1"/>
    <cellStyle name="Total 2" xfId="8765" xr:uid="{00000000-0005-0000-0000-0000A4AB0000}"/>
    <cellStyle name="Total 2 2" xfId="43952" xr:uid="{00000000-0005-0000-0000-0000A5AB0000}"/>
    <cellStyle name="Total 2 3" xfId="43953" xr:uid="{00000000-0005-0000-0000-0000A6AB0000}"/>
    <cellStyle name="Total 2 4" xfId="43954" xr:uid="{00000000-0005-0000-0000-0000A7AB0000}"/>
    <cellStyle name="Total 2 5" xfId="43955" xr:uid="{00000000-0005-0000-0000-0000A8AB0000}"/>
    <cellStyle name="Total 2 6" xfId="43951" xr:uid="{00000000-0005-0000-0000-0000A9AB0000}"/>
    <cellStyle name="Total 3" xfId="43956" xr:uid="{00000000-0005-0000-0000-0000AAAB0000}"/>
    <cellStyle name="Total 3 2" xfId="43957" xr:uid="{00000000-0005-0000-0000-0000ABAB0000}"/>
    <cellStyle name="Total 4" xfId="43958" xr:uid="{00000000-0005-0000-0000-0000ACAB0000}"/>
    <cellStyle name="Total 5" xfId="43959" xr:uid="{00000000-0005-0000-0000-0000ADAB0000}"/>
    <cellStyle name="Transition" xfId="12305" xr:uid="{00000000-0005-0000-0000-0000AEAB0000}"/>
    <cellStyle name="ubordinated Debt" xfId="43960" xr:uid="{00000000-0005-0000-0000-0000AFAB0000}"/>
    <cellStyle name="Undefined" xfId="12306" xr:uid="{00000000-0005-0000-0000-0000B0AB0000}"/>
    <cellStyle name="UNITS" xfId="43961" xr:uid="{00000000-0005-0000-0000-0000B1AB0000}"/>
    <cellStyle name="Unprot" xfId="12307" xr:uid="{00000000-0005-0000-0000-0000B2AB0000}"/>
    <cellStyle name="Unprot 2" xfId="43962" xr:uid="{00000000-0005-0000-0000-0000B3AB0000}"/>
    <cellStyle name="Unprot 3" xfId="43963" xr:uid="{00000000-0005-0000-0000-0000B4AB0000}"/>
    <cellStyle name="Unprot 4" xfId="43964" xr:uid="{00000000-0005-0000-0000-0000B5AB0000}"/>
    <cellStyle name="Unprot 5" xfId="43965" xr:uid="{00000000-0005-0000-0000-0000B6AB0000}"/>
    <cellStyle name="Unprot$" xfId="12308" xr:uid="{00000000-0005-0000-0000-0000B7AB0000}"/>
    <cellStyle name="Unprot$ 2" xfId="43966" xr:uid="{00000000-0005-0000-0000-0000B8AB0000}"/>
    <cellStyle name="Unprot$ 3" xfId="43967" xr:uid="{00000000-0005-0000-0000-0000B9AB0000}"/>
    <cellStyle name="Unprot$ 4" xfId="43968" xr:uid="{00000000-0005-0000-0000-0000BAAB0000}"/>
    <cellStyle name="Unprot$ 5" xfId="43969" xr:uid="{00000000-0005-0000-0000-0000BBAB0000}"/>
    <cellStyle name="Unprot_0308 USFE&amp;G Financial Results Summary" xfId="43970" xr:uid="{00000000-0005-0000-0000-0000BCAB0000}"/>
    <cellStyle name="Unprotect" xfId="12309" xr:uid="{00000000-0005-0000-0000-0000BDAB0000}"/>
    <cellStyle name="UNSHADED" xfId="43971" xr:uid="{00000000-0005-0000-0000-0000BEAB0000}"/>
    <cellStyle name="Variable Inputs" xfId="12310" xr:uid="{00000000-0005-0000-0000-0000BFAB0000}"/>
    <cellStyle name="Variable Inputs 2" xfId="15002" xr:uid="{00000000-0005-0000-0000-0000C0AB0000}"/>
    <cellStyle name="Variable Inputs 3" xfId="15039" xr:uid="{00000000-0005-0000-0000-0000C1AB0000}"/>
    <cellStyle name="Variable Inputs 4" xfId="15041" xr:uid="{00000000-0005-0000-0000-0000C2AB0000}"/>
    <cellStyle name="Variable Inputs 5" xfId="15043" xr:uid="{00000000-0005-0000-0000-0000C3AB0000}"/>
    <cellStyle name="Variable Inputs 6" xfId="15045" xr:uid="{00000000-0005-0000-0000-0000C4AB0000}"/>
    <cellStyle name="Variable Inputs 7" xfId="15047" xr:uid="{00000000-0005-0000-0000-0000C5AB0000}"/>
    <cellStyle name="Variable Inputs 8" xfId="15049" xr:uid="{00000000-0005-0000-0000-0000C6AB0000}"/>
    <cellStyle name="Variable Inputs 9" xfId="15051" xr:uid="{00000000-0005-0000-0000-0000C7AB0000}"/>
    <cellStyle name="Währung [0]_fee projec" xfId="12311" xr:uid="{00000000-0005-0000-0000-0000C8AB0000}"/>
    <cellStyle name="Währung_fee projec" xfId="12312" xr:uid="{00000000-0005-0000-0000-0000C9AB0000}"/>
    <cellStyle name="Warning Text" xfId="9259" builtinId="11" customBuiltin="1"/>
    <cellStyle name="Warning Text 2" xfId="8766" xr:uid="{00000000-0005-0000-0000-0000CBAB0000}"/>
    <cellStyle name="Warning Text 2 2" xfId="43972" xr:uid="{00000000-0005-0000-0000-0000CCAB0000}"/>
    <cellStyle name="Warning Text 3" xfId="43973" xr:uid="{00000000-0005-0000-0000-0000CDAB0000}"/>
    <cellStyle name="years" xfId="43974" xr:uid="{00000000-0005-0000-0000-0000CEAB0000}"/>
    <cellStyle name="콤마 [0]_VERA" xfId="12313" xr:uid="{00000000-0005-0000-0000-0000CFAB0000}"/>
    <cellStyle name="콤마_VERA" xfId="12314" xr:uid="{00000000-0005-0000-0000-0000D0AB0000}"/>
    <cellStyle name="하이퍼링크_VERA" xfId="12315" xr:uid="{00000000-0005-0000-0000-0000D1AB0000}"/>
  </cellStyles>
  <dxfs count="0"/>
  <tableStyles count="0" defaultTableStyle="TableStyleMedium9" defaultPivotStyle="PivotStyleLight16"/>
  <colors>
    <mruColors>
      <color rgb="FF0000FF"/>
      <color rgb="FFFF9933"/>
      <color rgb="FFFFFF00"/>
      <color rgb="FF00FF00"/>
      <color rgb="FF99CCFF"/>
      <color rgb="FF33CCFF"/>
      <color rgb="FFFFFF66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sheetMetadata" Target="metadata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calcChain" Target="calcChain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styles" Target="styles.xml"/><Relationship Id="rId115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</xdr:row>
          <xdr:rowOff>0</xdr:rowOff>
        </xdr:from>
        <xdr:to>
          <xdr:col>2</xdr:col>
          <xdr:colOff>0</xdr:colOff>
          <xdr:row>3</xdr:row>
          <xdr:rowOff>30480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Courier"/>
                </a:rPr>
                <a:t>SCH 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3</xdr:row>
          <xdr:rowOff>144780</xdr:rowOff>
        </xdr:from>
        <xdr:to>
          <xdr:col>2</xdr:col>
          <xdr:colOff>0</xdr:colOff>
          <xdr:row>5</xdr:row>
          <xdr:rowOff>114300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2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76200</xdr:rowOff>
        </xdr:from>
        <xdr:to>
          <xdr:col>4</xdr:col>
          <xdr:colOff>0</xdr:colOff>
          <xdr:row>15</xdr:row>
          <xdr:rowOff>68580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2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15</xdr:row>
          <xdr:rowOff>152400</xdr:rowOff>
        </xdr:from>
        <xdr:to>
          <xdr:col>4</xdr:col>
          <xdr:colOff>0</xdr:colOff>
          <xdr:row>17</xdr:row>
          <xdr:rowOff>152400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2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18</xdr:row>
          <xdr:rowOff>76200</xdr:rowOff>
        </xdr:from>
        <xdr:to>
          <xdr:col>4</xdr:col>
          <xdr:colOff>0</xdr:colOff>
          <xdr:row>20</xdr:row>
          <xdr:rowOff>68580</xdr:rowOff>
        </xdr:to>
        <xdr:sp macro="" textlink="">
          <xdr:nvSpPr>
            <xdr:cNvPr id="1029" name="Butto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2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20</xdr:row>
          <xdr:rowOff>182880</xdr:rowOff>
        </xdr:from>
        <xdr:to>
          <xdr:col>4</xdr:col>
          <xdr:colOff>0</xdr:colOff>
          <xdr:row>22</xdr:row>
          <xdr:rowOff>182880</xdr:rowOff>
        </xdr:to>
        <xdr:sp macro="" textlink="">
          <xdr:nvSpPr>
            <xdr:cNvPr id="1030" name="Butto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2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30480</xdr:colOff>
          <xdr:row>1</xdr:row>
          <xdr:rowOff>30480</xdr:rowOff>
        </xdr:from>
        <xdr:to>
          <xdr:col>6</xdr:col>
          <xdr:colOff>0</xdr:colOff>
          <xdr:row>3</xdr:row>
          <xdr:rowOff>30480</xdr:rowOff>
        </xdr:to>
        <xdr:sp macro="" textlink="">
          <xdr:nvSpPr>
            <xdr:cNvPr id="1031" name="Butto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2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30480</xdr:colOff>
          <xdr:row>3</xdr:row>
          <xdr:rowOff>114300</xdr:rowOff>
        </xdr:from>
        <xdr:to>
          <xdr:col>6</xdr:col>
          <xdr:colOff>0</xdr:colOff>
          <xdr:row>5</xdr:row>
          <xdr:rowOff>114300</xdr:rowOff>
        </xdr:to>
        <xdr:sp macro="" textlink="">
          <xdr:nvSpPr>
            <xdr:cNvPr id="1032" name="Butto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2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30480</xdr:colOff>
          <xdr:row>6</xdr:row>
          <xdr:rowOff>30480</xdr:rowOff>
        </xdr:from>
        <xdr:to>
          <xdr:col>6</xdr:col>
          <xdr:colOff>38100</xdr:colOff>
          <xdr:row>8</xdr:row>
          <xdr:rowOff>30480</xdr:rowOff>
        </xdr:to>
        <xdr:sp macro="" textlink="">
          <xdr:nvSpPr>
            <xdr:cNvPr id="1033" name="Butto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2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C2.1 BP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1</xdr:row>
          <xdr:rowOff>30480</xdr:rowOff>
        </xdr:from>
        <xdr:to>
          <xdr:col>10</xdr:col>
          <xdr:colOff>30480</xdr:colOff>
          <xdr:row>2</xdr:row>
          <xdr:rowOff>182880</xdr:rowOff>
        </xdr:to>
        <xdr:sp macro="" textlink="">
          <xdr:nvSpPr>
            <xdr:cNvPr id="1045" name="Butto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2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3</xdr:row>
          <xdr:rowOff>114300</xdr:rowOff>
        </xdr:from>
        <xdr:to>
          <xdr:col>10</xdr:col>
          <xdr:colOff>30480</xdr:colOff>
          <xdr:row>5</xdr:row>
          <xdr:rowOff>106680</xdr:rowOff>
        </xdr:to>
        <xdr:sp macro="" textlink="">
          <xdr:nvSpPr>
            <xdr:cNvPr id="1046" name="Butto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2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6</xdr:row>
          <xdr:rowOff>30480</xdr:rowOff>
        </xdr:from>
        <xdr:to>
          <xdr:col>10</xdr:col>
          <xdr:colOff>30480</xdr:colOff>
          <xdr:row>8</xdr:row>
          <xdr:rowOff>30480</xdr:rowOff>
        </xdr:to>
        <xdr:sp macro="" textlink="">
          <xdr:nvSpPr>
            <xdr:cNvPr id="1047" name="Butto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2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8</xdr:row>
          <xdr:rowOff>106680</xdr:rowOff>
        </xdr:from>
        <xdr:to>
          <xdr:col>10</xdr:col>
          <xdr:colOff>30480</xdr:colOff>
          <xdr:row>10</xdr:row>
          <xdr:rowOff>106680</xdr:rowOff>
        </xdr:to>
        <xdr:sp macro="" textlink="">
          <xdr:nvSpPr>
            <xdr:cNvPr id="1048" name="Butto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2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10</xdr:row>
          <xdr:rowOff>182880</xdr:rowOff>
        </xdr:from>
        <xdr:to>
          <xdr:col>10</xdr:col>
          <xdr:colOff>30480</xdr:colOff>
          <xdr:row>12</xdr:row>
          <xdr:rowOff>182880</xdr:rowOff>
        </xdr:to>
        <xdr:sp macro="" textlink="">
          <xdr:nvSpPr>
            <xdr:cNvPr id="1049" name="Butto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2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13</xdr:row>
          <xdr:rowOff>76200</xdr:rowOff>
        </xdr:from>
        <xdr:to>
          <xdr:col>10</xdr:col>
          <xdr:colOff>30480</xdr:colOff>
          <xdr:row>15</xdr:row>
          <xdr:rowOff>38100</xdr:rowOff>
        </xdr:to>
        <xdr:sp macro="" textlink="">
          <xdr:nvSpPr>
            <xdr:cNvPr id="1050" name="Butto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2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15</xdr:row>
          <xdr:rowOff>144780</xdr:rowOff>
        </xdr:from>
        <xdr:to>
          <xdr:col>10</xdr:col>
          <xdr:colOff>30480</xdr:colOff>
          <xdr:row>17</xdr:row>
          <xdr:rowOff>144780</xdr:rowOff>
        </xdr:to>
        <xdr:sp macro="" textlink="">
          <xdr:nvSpPr>
            <xdr:cNvPr id="1051" name="Butto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2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5</xdr:row>
          <xdr:rowOff>182880</xdr:rowOff>
        </xdr:from>
        <xdr:to>
          <xdr:col>14</xdr:col>
          <xdr:colOff>30480</xdr:colOff>
          <xdr:row>7</xdr:row>
          <xdr:rowOff>182880</xdr:rowOff>
        </xdr:to>
        <xdr:sp macro="" textlink="">
          <xdr:nvSpPr>
            <xdr:cNvPr id="1055" name="Butto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2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8</xdr:row>
          <xdr:rowOff>68580</xdr:rowOff>
        </xdr:from>
        <xdr:to>
          <xdr:col>14</xdr:col>
          <xdr:colOff>30480</xdr:colOff>
          <xdr:row>10</xdr:row>
          <xdr:rowOff>68580</xdr:rowOff>
        </xdr:to>
        <xdr:sp macro="" textlink="">
          <xdr:nvSpPr>
            <xdr:cNvPr id="1056" name="Butto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2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10</xdr:row>
          <xdr:rowOff>144780</xdr:rowOff>
        </xdr:from>
        <xdr:to>
          <xdr:col>14</xdr:col>
          <xdr:colOff>30480</xdr:colOff>
          <xdr:row>12</xdr:row>
          <xdr:rowOff>144780</xdr:rowOff>
        </xdr:to>
        <xdr:sp macro="" textlink="">
          <xdr:nvSpPr>
            <xdr:cNvPr id="1057" name="Butto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2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13</xdr:row>
          <xdr:rowOff>38100</xdr:rowOff>
        </xdr:from>
        <xdr:to>
          <xdr:col>14</xdr:col>
          <xdr:colOff>30480</xdr:colOff>
          <xdr:row>15</xdr:row>
          <xdr:rowOff>30480</xdr:rowOff>
        </xdr:to>
        <xdr:sp macro="" textlink="">
          <xdr:nvSpPr>
            <xdr:cNvPr id="1058" name="Butto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2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15</xdr:row>
          <xdr:rowOff>114300</xdr:rowOff>
        </xdr:from>
        <xdr:to>
          <xdr:col>14</xdr:col>
          <xdr:colOff>30480</xdr:colOff>
          <xdr:row>17</xdr:row>
          <xdr:rowOff>106680</xdr:rowOff>
        </xdr:to>
        <xdr:sp macro="" textlink="">
          <xdr:nvSpPr>
            <xdr:cNvPr id="1059" name="Butto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2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18</xdr:row>
          <xdr:rowOff>30480</xdr:rowOff>
        </xdr:from>
        <xdr:to>
          <xdr:col>14</xdr:col>
          <xdr:colOff>30480</xdr:colOff>
          <xdr:row>20</xdr:row>
          <xdr:rowOff>0</xdr:rowOff>
        </xdr:to>
        <xdr:sp macro="" textlink="">
          <xdr:nvSpPr>
            <xdr:cNvPr id="1060" name="Butto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2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20</xdr:row>
          <xdr:rowOff>106680</xdr:rowOff>
        </xdr:from>
        <xdr:to>
          <xdr:col>14</xdr:col>
          <xdr:colOff>30480</xdr:colOff>
          <xdr:row>22</xdr:row>
          <xdr:rowOff>76200</xdr:rowOff>
        </xdr:to>
        <xdr:sp macro="" textlink="">
          <xdr:nvSpPr>
            <xdr:cNvPr id="1064" name="Butto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2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68580</xdr:colOff>
          <xdr:row>1</xdr:row>
          <xdr:rowOff>30480</xdr:rowOff>
        </xdr:from>
        <xdr:to>
          <xdr:col>27</xdr:col>
          <xdr:colOff>30480</xdr:colOff>
          <xdr:row>3</xdr:row>
          <xdr:rowOff>30480</xdr:rowOff>
        </xdr:to>
        <xdr:sp macro="" textlink="">
          <xdr:nvSpPr>
            <xdr:cNvPr id="1068" name="Button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2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BASE PERIOD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68580</xdr:colOff>
          <xdr:row>3</xdr:row>
          <xdr:rowOff>106680</xdr:rowOff>
        </xdr:from>
        <xdr:to>
          <xdr:col>27</xdr:col>
          <xdr:colOff>30480</xdr:colOff>
          <xdr:row>5</xdr:row>
          <xdr:rowOff>76200</xdr:rowOff>
        </xdr:to>
        <xdr:sp macro="" textlink="">
          <xdr:nvSpPr>
            <xdr:cNvPr id="1069" name="Button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2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FORECAST PERIOD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30480</xdr:colOff>
          <xdr:row>8</xdr:row>
          <xdr:rowOff>106680</xdr:rowOff>
        </xdr:from>
        <xdr:to>
          <xdr:col>19</xdr:col>
          <xdr:colOff>601980</xdr:colOff>
          <xdr:row>10</xdr:row>
          <xdr:rowOff>68580</xdr:rowOff>
        </xdr:to>
        <xdr:sp macro="" textlink="">
          <xdr:nvSpPr>
            <xdr:cNvPr id="1082" name="Button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2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J2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30480</xdr:colOff>
          <xdr:row>10</xdr:row>
          <xdr:rowOff>182880</xdr:rowOff>
        </xdr:from>
        <xdr:to>
          <xdr:col>19</xdr:col>
          <xdr:colOff>601980</xdr:colOff>
          <xdr:row>12</xdr:row>
          <xdr:rowOff>144780</xdr:rowOff>
        </xdr:to>
        <xdr:sp macro="" textlink="">
          <xdr:nvSpPr>
            <xdr:cNvPr id="1083" name="Button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2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J3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30480</xdr:colOff>
          <xdr:row>13</xdr:row>
          <xdr:rowOff>106680</xdr:rowOff>
        </xdr:from>
        <xdr:to>
          <xdr:col>19</xdr:col>
          <xdr:colOff>601980</xdr:colOff>
          <xdr:row>15</xdr:row>
          <xdr:rowOff>106680</xdr:rowOff>
        </xdr:to>
        <xdr:sp macro="" textlink="">
          <xdr:nvSpPr>
            <xdr:cNvPr id="1084" name="Button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2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68580</xdr:colOff>
          <xdr:row>8</xdr:row>
          <xdr:rowOff>106680</xdr:rowOff>
        </xdr:from>
        <xdr:to>
          <xdr:col>27</xdr:col>
          <xdr:colOff>0</xdr:colOff>
          <xdr:row>10</xdr:row>
          <xdr:rowOff>106680</xdr:rowOff>
        </xdr:to>
        <xdr:sp macro="" textlink="">
          <xdr:nvSpPr>
            <xdr:cNvPr id="1097" name="Button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2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RATE BASE RATIO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30480</xdr:colOff>
          <xdr:row>1</xdr:row>
          <xdr:rowOff>30480</xdr:rowOff>
        </xdr:from>
        <xdr:to>
          <xdr:col>15</xdr:col>
          <xdr:colOff>563880</xdr:colOff>
          <xdr:row>3</xdr:row>
          <xdr:rowOff>30480</xdr:rowOff>
        </xdr:to>
        <xdr:sp macro="" textlink="">
          <xdr:nvSpPr>
            <xdr:cNvPr id="1098" name="Button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2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G1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Courier"/>
              </a:endParaRP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Courier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30480</xdr:colOff>
          <xdr:row>3</xdr:row>
          <xdr:rowOff>144780</xdr:rowOff>
        </xdr:from>
        <xdr:to>
          <xdr:col>16</xdr:col>
          <xdr:colOff>0</xdr:colOff>
          <xdr:row>5</xdr:row>
          <xdr:rowOff>106680</xdr:rowOff>
        </xdr:to>
        <xdr:sp macro="" textlink="">
          <xdr:nvSpPr>
            <xdr:cNvPr id="1099" name="Button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2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G2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30480</xdr:colOff>
          <xdr:row>6</xdr:row>
          <xdr:rowOff>30480</xdr:rowOff>
        </xdr:from>
        <xdr:to>
          <xdr:col>16</xdr:col>
          <xdr:colOff>0</xdr:colOff>
          <xdr:row>8</xdr:row>
          <xdr:rowOff>30480</xdr:rowOff>
        </xdr:to>
        <xdr:sp macro="" textlink="">
          <xdr:nvSpPr>
            <xdr:cNvPr id="1100" name="Button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2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G3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Courier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68580</xdr:colOff>
          <xdr:row>5</xdr:row>
          <xdr:rowOff>182880</xdr:rowOff>
        </xdr:from>
        <xdr:to>
          <xdr:col>27</xdr:col>
          <xdr:colOff>30480</xdr:colOff>
          <xdr:row>7</xdr:row>
          <xdr:rowOff>182880</xdr:rowOff>
        </xdr:to>
        <xdr:sp macro="" textlink="">
          <xdr:nvSpPr>
            <xdr:cNvPr id="1103" name="Button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2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PRIOR PERIOD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30480</xdr:colOff>
          <xdr:row>8</xdr:row>
          <xdr:rowOff>144780</xdr:rowOff>
        </xdr:from>
        <xdr:to>
          <xdr:col>6</xdr:col>
          <xdr:colOff>30480</xdr:colOff>
          <xdr:row>10</xdr:row>
          <xdr:rowOff>144780</xdr:rowOff>
        </xdr:to>
        <xdr:sp macro="" textlink="">
          <xdr:nvSpPr>
            <xdr:cNvPr id="1104" name="Button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2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C2.1 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30480</xdr:colOff>
          <xdr:row>11</xdr:row>
          <xdr:rowOff>68580</xdr:rowOff>
        </xdr:from>
        <xdr:to>
          <xdr:col>6</xdr:col>
          <xdr:colOff>30480</xdr:colOff>
          <xdr:row>13</xdr:row>
          <xdr:rowOff>68580</xdr:rowOff>
        </xdr:to>
        <xdr:sp macro="" textlink="">
          <xdr:nvSpPr>
            <xdr:cNvPr id="1105" name="Button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2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1</xdr:row>
          <xdr:rowOff>30480</xdr:rowOff>
        </xdr:from>
        <xdr:to>
          <xdr:col>8</xdr:col>
          <xdr:colOff>0</xdr:colOff>
          <xdr:row>2</xdr:row>
          <xdr:rowOff>182880</xdr:rowOff>
        </xdr:to>
        <xdr:sp macro="" textlink="">
          <xdr:nvSpPr>
            <xdr:cNvPr id="1106" name="Button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2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3</xdr:row>
          <xdr:rowOff>106680</xdr:rowOff>
        </xdr:from>
        <xdr:to>
          <xdr:col>8</xdr:col>
          <xdr:colOff>0</xdr:colOff>
          <xdr:row>5</xdr:row>
          <xdr:rowOff>76200</xdr:rowOff>
        </xdr:to>
        <xdr:sp macro="" textlink="">
          <xdr:nvSpPr>
            <xdr:cNvPr id="1107" name="Button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2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5</xdr:row>
          <xdr:rowOff>182880</xdr:rowOff>
        </xdr:from>
        <xdr:to>
          <xdr:col>8</xdr:col>
          <xdr:colOff>30480</xdr:colOff>
          <xdr:row>7</xdr:row>
          <xdr:rowOff>182880</xdr:rowOff>
        </xdr:to>
        <xdr:sp macro="" textlink="">
          <xdr:nvSpPr>
            <xdr:cNvPr id="1108" name="Button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2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8</xdr:row>
          <xdr:rowOff>68580</xdr:rowOff>
        </xdr:from>
        <xdr:to>
          <xdr:col>8</xdr:col>
          <xdr:colOff>30480</xdr:colOff>
          <xdr:row>10</xdr:row>
          <xdr:rowOff>68580</xdr:rowOff>
        </xdr:to>
        <xdr:sp macro="" textlink="">
          <xdr:nvSpPr>
            <xdr:cNvPr id="1109" name="Button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2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10</xdr:row>
          <xdr:rowOff>144780</xdr:rowOff>
        </xdr:from>
        <xdr:to>
          <xdr:col>8</xdr:col>
          <xdr:colOff>0</xdr:colOff>
          <xdr:row>12</xdr:row>
          <xdr:rowOff>144780</xdr:rowOff>
        </xdr:to>
        <xdr:sp macro="" textlink="">
          <xdr:nvSpPr>
            <xdr:cNvPr id="1110" name="Button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2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13</xdr:row>
          <xdr:rowOff>68580</xdr:rowOff>
        </xdr:from>
        <xdr:to>
          <xdr:col>8</xdr:col>
          <xdr:colOff>30480</xdr:colOff>
          <xdr:row>15</xdr:row>
          <xdr:rowOff>30480</xdr:rowOff>
        </xdr:to>
        <xdr:sp macro="" textlink="">
          <xdr:nvSpPr>
            <xdr:cNvPr id="1111" name="Button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2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15</xdr:row>
          <xdr:rowOff>144780</xdr:rowOff>
        </xdr:from>
        <xdr:to>
          <xdr:col>8</xdr:col>
          <xdr:colOff>30480</xdr:colOff>
          <xdr:row>17</xdr:row>
          <xdr:rowOff>144780</xdr:rowOff>
        </xdr:to>
        <xdr:sp macro="" textlink="">
          <xdr:nvSpPr>
            <xdr:cNvPr id="1112" name="Button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2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18</xdr:row>
          <xdr:rowOff>68580</xdr:rowOff>
        </xdr:from>
        <xdr:to>
          <xdr:col>8</xdr:col>
          <xdr:colOff>0</xdr:colOff>
          <xdr:row>20</xdr:row>
          <xdr:rowOff>68580</xdr:rowOff>
        </xdr:to>
        <xdr:sp macro="" textlink="">
          <xdr:nvSpPr>
            <xdr:cNvPr id="1113" name="Button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2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20</xdr:row>
          <xdr:rowOff>182880</xdr:rowOff>
        </xdr:from>
        <xdr:to>
          <xdr:col>8</xdr:col>
          <xdr:colOff>0</xdr:colOff>
          <xdr:row>22</xdr:row>
          <xdr:rowOff>144780</xdr:rowOff>
        </xdr:to>
        <xdr:sp macro="" textlink="">
          <xdr:nvSpPr>
            <xdr:cNvPr id="1114" name="Button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2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23</xdr:row>
          <xdr:rowOff>68580</xdr:rowOff>
        </xdr:from>
        <xdr:to>
          <xdr:col>8</xdr:col>
          <xdr:colOff>0</xdr:colOff>
          <xdr:row>25</xdr:row>
          <xdr:rowOff>68580</xdr:rowOff>
        </xdr:to>
        <xdr:sp macro="" textlink="">
          <xdr:nvSpPr>
            <xdr:cNvPr id="1115" name="Button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2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25</xdr:row>
          <xdr:rowOff>144780</xdr:rowOff>
        </xdr:from>
        <xdr:to>
          <xdr:col>8</xdr:col>
          <xdr:colOff>0</xdr:colOff>
          <xdr:row>27</xdr:row>
          <xdr:rowOff>144780</xdr:rowOff>
        </xdr:to>
        <xdr:sp macro="" textlink="">
          <xdr:nvSpPr>
            <xdr:cNvPr id="1116" name="Button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2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18</xdr:row>
          <xdr:rowOff>68580</xdr:rowOff>
        </xdr:from>
        <xdr:to>
          <xdr:col>9</xdr:col>
          <xdr:colOff>563880</xdr:colOff>
          <xdr:row>20</xdr:row>
          <xdr:rowOff>38100</xdr:rowOff>
        </xdr:to>
        <xdr:sp macro="" textlink="">
          <xdr:nvSpPr>
            <xdr:cNvPr id="1117" name="Button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2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20</xdr:row>
          <xdr:rowOff>144780</xdr:rowOff>
        </xdr:from>
        <xdr:to>
          <xdr:col>10</xdr:col>
          <xdr:colOff>30480</xdr:colOff>
          <xdr:row>22</xdr:row>
          <xdr:rowOff>144780</xdr:rowOff>
        </xdr:to>
        <xdr:sp macro="" textlink="">
          <xdr:nvSpPr>
            <xdr:cNvPr id="1118" name="Button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2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23</xdr:row>
          <xdr:rowOff>68580</xdr:rowOff>
        </xdr:from>
        <xdr:to>
          <xdr:col>10</xdr:col>
          <xdr:colOff>30480</xdr:colOff>
          <xdr:row>25</xdr:row>
          <xdr:rowOff>68580</xdr:rowOff>
        </xdr:to>
        <xdr:sp macro="" textlink="">
          <xdr:nvSpPr>
            <xdr:cNvPr id="1119" name="Button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2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25</xdr:row>
          <xdr:rowOff>144780</xdr:rowOff>
        </xdr:from>
        <xdr:to>
          <xdr:col>10</xdr:col>
          <xdr:colOff>30480</xdr:colOff>
          <xdr:row>27</xdr:row>
          <xdr:rowOff>144780</xdr:rowOff>
        </xdr:to>
        <xdr:sp macro="" textlink="">
          <xdr:nvSpPr>
            <xdr:cNvPr id="1120" name="Button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2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30480</xdr:colOff>
          <xdr:row>1</xdr:row>
          <xdr:rowOff>0</xdr:rowOff>
        </xdr:from>
        <xdr:to>
          <xdr:col>12</xdr:col>
          <xdr:colOff>30480</xdr:colOff>
          <xdr:row>2</xdr:row>
          <xdr:rowOff>182880</xdr:rowOff>
        </xdr:to>
        <xdr:sp macro="" textlink="">
          <xdr:nvSpPr>
            <xdr:cNvPr id="1121" name="Button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2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30480</xdr:colOff>
          <xdr:row>3</xdr:row>
          <xdr:rowOff>106680</xdr:rowOff>
        </xdr:from>
        <xdr:to>
          <xdr:col>12</xdr:col>
          <xdr:colOff>30480</xdr:colOff>
          <xdr:row>5</xdr:row>
          <xdr:rowOff>106680</xdr:rowOff>
        </xdr:to>
        <xdr:sp macro="" textlink="">
          <xdr:nvSpPr>
            <xdr:cNvPr id="1122" name="Button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2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30480</xdr:colOff>
          <xdr:row>6</xdr:row>
          <xdr:rowOff>30480</xdr:rowOff>
        </xdr:from>
        <xdr:to>
          <xdr:col>12</xdr:col>
          <xdr:colOff>30480</xdr:colOff>
          <xdr:row>8</xdr:row>
          <xdr:rowOff>30480</xdr:rowOff>
        </xdr:to>
        <xdr:sp macro="" textlink="">
          <xdr:nvSpPr>
            <xdr:cNvPr id="1123" name="Button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2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30480</xdr:colOff>
          <xdr:row>8</xdr:row>
          <xdr:rowOff>106680</xdr:rowOff>
        </xdr:from>
        <xdr:to>
          <xdr:col>12</xdr:col>
          <xdr:colOff>30480</xdr:colOff>
          <xdr:row>10</xdr:row>
          <xdr:rowOff>106680</xdr:rowOff>
        </xdr:to>
        <xdr:sp macro="" textlink="">
          <xdr:nvSpPr>
            <xdr:cNvPr id="1124" name="Button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2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</xdr:row>
          <xdr:rowOff>30480</xdr:rowOff>
        </xdr:from>
        <xdr:to>
          <xdr:col>14</xdr:col>
          <xdr:colOff>30480</xdr:colOff>
          <xdr:row>3</xdr:row>
          <xdr:rowOff>30480</xdr:rowOff>
        </xdr:to>
        <xdr:sp macro="" textlink="">
          <xdr:nvSpPr>
            <xdr:cNvPr id="1125" name="Button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2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3</xdr:row>
          <xdr:rowOff>114300</xdr:rowOff>
        </xdr:from>
        <xdr:to>
          <xdr:col>14</xdr:col>
          <xdr:colOff>30480</xdr:colOff>
          <xdr:row>5</xdr:row>
          <xdr:rowOff>106680</xdr:rowOff>
        </xdr:to>
        <xdr:sp macro="" textlink="">
          <xdr:nvSpPr>
            <xdr:cNvPr id="1126" name="Button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2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660066"/>
                  </a:solidFill>
                  <a:latin typeface="Courier"/>
                </a:rPr>
                <a:t>SCH F2.1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30480</xdr:colOff>
          <xdr:row>8</xdr:row>
          <xdr:rowOff>106680</xdr:rowOff>
        </xdr:from>
        <xdr:to>
          <xdr:col>16</xdr:col>
          <xdr:colOff>30480</xdr:colOff>
          <xdr:row>10</xdr:row>
          <xdr:rowOff>106680</xdr:rowOff>
        </xdr:to>
        <xdr:sp macro="" textlink="">
          <xdr:nvSpPr>
            <xdr:cNvPr id="1127" name="Button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2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Courier"/>
                </a:rPr>
                <a:t>SCH H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Courier"/>
                </a:rPr>
                <a:t>BP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30480</xdr:colOff>
          <xdr:row>1</xdr:row>
          <xdr:rowOff>30480</xdr:rowOff>
        </xdr:from>
        <xdr:to>
          <xdr:col>18</xdr:col>
          <xdr:colOff>30480</xdr:colOff>
          <xdr:row>3</xdr:row>
          <xdr:rowOff>30480</xdr:rowOff>
        </xdr:to>
        <xdr:sp macro="" textlink="">
          <xdr:nvSpPr>
            <xdr:cNvPr id="1128" name="Button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2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30480</xdr:colOff>
          <xdr:row>3</xdr:row>
          <xdr:rowOff>114300</xdr:rowOff>
        </xdr:from>
        <xdr:to>
          <xdr:col>18</xdr:col>
          <xdr:colOff>30480</xdr:colOff>
          <xdr:row>5</xdr:row>
          <xdr:rowOff>106680</xdr:rowOff>
        </xdr:to>
        <xdr:sp macro="" textlink="">
          <xdr:nvSpPr>
            <xdr:cNvPr id="1129" name="Button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2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30480</xdr:colOff>
          <xdr:row>6</xdr:row>
          <xdr:rowOff>0</xdr:rowOff>
        </xdr:from>
        <xdr:to>
          <xdr:col>18</xdr:col>
          <xdr:colOff>30480</xdr:colOff>
          <xdr:row>7</xdr:row>
          <xdr:rowOff>182880</xdr:rowOff>
        </xdr:to>
        <xdr:sp macro="" textlink="">
          <xdr:nvSpPr>
            <xdr:cNvPr id="1130" name="Button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2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30480</xdr:colOff>
          <xdr:row>8</xdr:row>
          <xdr:rowOff>106680</xdr:rowOff>
        </xdr:from>
        <xdr:to>
          <xdr:col>18</xdr:col>
          <xdr:colOff>30480</xdr:colOff>
          <xdr:row>10</xdr:row>
          <xdr:rowOff>106680</xdr:rowOff>
        </xdr:to>
        <xdr:sp macro="" textlink="">
          <xdr:nvSpPr>
            <xdr:cNvPr id="1131" name="Button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2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30480</xdr:colOff>
          <xdr:row>10</xdr:row>
          <xdr:rowOff>182880</xdr:rowOff>
        </xdr:from>
        <xdr:to>
          <xdr:col>18</xdr:col>
          <xdr:colOff>30480</xdr:colOff>
          <xdr:row>12</xdr:row>
          <xdr:rowOff>182880</xdr:rowOff>
        </xdr:to>
        <xdr:sp macro="" textlink="">
          <xdr:nvSpPr>
            <xdr:cNvPr id="1132" name="Button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2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30480</xdr:colOff>
          <xdr:row>1</xdr:row>
          <xdr:rowOff>30480</xdr:rowOff>
        </xdr:from>
        <xdr:to>
          <xdr:col>19</xdr:col>
          <xdr:colOff>601980</xdr:colOff>
          <xdr:row>2</xdr:row>
          <xdr:rowOff>182880</xdr:rowOff>
        </xdr:to>
        <xdr:sp macro="" textlink="">
          <xdr:nvSpPr>
            <xdr:cNvPr id="1133" name="Button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2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J1 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30480</xdr:colOff>
          <xdr:row>16</xdr:row>
          <xdr:rowOff>76200</xdr:rowOff>
        </xdr:from>
        <xdr:to>
          <xdr:col>19</xdr:col>
          <xdr:colOff>601980</xdr:colOff>
          <xdr:row>18</xdr:row>
          <xdr:rowOff>68580</xdr:rowOff>
        </xdr:to>
        <xdr:sp macro="" textlink="">
          <xdr:nvSpPr>
            <xdr:cNvPr id="1134" name="Button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2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6600"/>
                  </a:solidFill>
                  <a:latin typeface="Courier"/>
                </a:rPr>
                <a:t>SCH  K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38100</xdr:colOff>
          <xdr:row>8</xdr:row>
          <xdr:rowOff>106680</xdr:rowOff>
        </xdr:from>
        <xdr:to>
          <xdr:col>21</xdr:col>
          <xdr:colOff>601980</xdr:colOff>
          <xdr:row>10</xdr:row>
          <xdr:rowOff>68580</xdr:rowOff>
        </xdr:to>
        <xdr:sp macro="" textlink="">
          <xdr:nvSpPr>
            <xdr:cNvPr id="1137" name="Button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2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J2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38100</xdr:colOff>
          <xdr:row>10</xdr:row>
          <xdr:rowOff>182880</xdr:rowOff>
        </xdr:from>
        <xdr:to>
          <xdr:col>21</xdr:col>
          <xdr:colOff>601980</xdr:colOff>
          <xdr:row>12</xdr:row>
          <xdr:rowOff>144780</xdr:rowOff>
        </xdr:to>
        <xdr:sp macro="" textlink="">
          <xdr:nvSpPr>
            <xdr:cNvPr id="1138" name="Button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2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J3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38100</xdr:colOff>
          <xdr:row>1</xdr:row>
          <xdr:rowOff>30480</xdr:rowOff>
        </xdr:from>
        <xdr:to>
          <xdr:col>21</xdr:col>
          <xdr:colOff>601980</xdr:colOff>
          <xdr:row>2</xdr:row>
          <xdr:rowOff>182880</xdr:rowOff>
        </xdr:to>
        <xdr:sp macro="" textlink="">
          <xdr:nvSpPr>
            <xdr:cNvPr id="1140" name="Button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2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J1 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</xdr:row>
          <xdr:rowOff>30480</xdr:rowOff>
        </xdr:from>
        <xdr:to>
          <xdr:col>2</xdr:col>
          <xdr:colOff>0</xdr:colOff>
          <xdr:row>8</xdr:row>
          <xdr:rowOff>30480</xdr:rowOff>
        </xdr:to>
        <xdr:sp macro="" textlink="">
          <xdr:nvSpPr>
            <xdr:cNvPr id="1143" name="Button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2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8</xdr:row>
          <xdr:rowOff>106680</xdr:rowOff>
        </xdr:from>
        <xdr:to>
          <xdr:col>2</xdr:col>
          <xdr:colOff>0</xdr:colOff>
          <xdr:row>10</xdr:row>
          <xdr:rowOff>106680</xdr:rowOff>
        </xdr:to>
        <xdr:sp macro="" textlink="">
          <xdr:nvSpPr>
            <xdr:cNvPr id="1144" name="Button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2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10</xdr:row>
          <xdr:rowOff>182880</xdr:rowOff>
        </xdr:from>
        <xdr:to>
          <xdr:col>2</xdr:col>
          <xdr:colOff>0</xdr:colOff>
          <xdr:row>12</xdr:row>
          <xdr:rowOff>182880</xdr:rowOff>
        </xdr:to>
        <xdr:sp macro="" textlink="">
          <xdr:nvSpPr>
            <xdr:cNvPr id="1145" name="Button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2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13</xdr:row>
          <xdr:rowOff>76200</xdr:rowOff>
        </xdr:from>
        <xdr:to>
          <xdr:col>2</xdr:col>
          <xdr:colOff>0</xdr:colOff>
          <xdr:row>15</xdr:row>
          <xdr:rowOff>68580</xdr:rowOff>
        </xdr:to>
        <xdr:sp macro="" textlink="">
          <xdr:nvSpPr>
            <xdr:cNvPr id="1146" name="Button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2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15</xdr:row>
          <xdr:rowOff>144780</xdr:rowOff>
        </xdr:from>
        <xdr:to>
          <xdr:col>2</xdr:col>
          <xdr:colOff>0</xdr:colOff>
          <xdr:row>17</xdr:row>
          <xdr:rowOff>144780</xdr:rowOff>
        </xdr:to>
        <xdr:sp macro="" textlink="">
          <xdr:nvSpPr>
            <xdr:cNvPr id="1147" name="Button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2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18</xdr:row>
          <xdr:rowOff>68580</xdr:rowOff>
        </xdr:from>
        <xdr:to>
          <xdr:col>2</xdr:col>
          <xdr:colOff>0</xdr:colOff>
          <xdr:row>20</xdr:row>
          <xdr:rowOff>38100</xdr:rowOff>
        </xdr:to>
        <xdr:sp macro="" textlink="">
          <xdr:nvSpPr>
            <xdr:cNvPr id="1148" name="Button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2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20</xdr:row>
          <xdr:rowOff>152400</xdr:rowOff>
        </xdr:from>
        <xdr:to>
          <xdr:col>2</xdr:col>
          <xdr:colOff>0</xdr:colOff>
          <xdr:row>22</xdr:row>
          <xdr:rowOff>144780</xdr:rowOff>
        </xdr:to>
        <xdr:sp macro="" textlink="">
          <xdr:nvSpPr>
            <xdr:cNvPr id="1149" name="Button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2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23</xdr:row>
          <xdr:rowOff>68580</xdr:rowOff>
        </xdr:from>
        <xdr:to>
          <xdr:col>2</xdr:col>
          <xdr:colOff>0</xdr:colOff>
          <xdr:row>25</xdr:row>
          <xdr:rowOff>68580</xdr:rowOff>
        </xdr:to>
        <xdr:sp macro="" textlink="">
          <xdr:nvSpPr>
            <xdr:cNvPr id="1150" name="Button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2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1</xdr:row>
          <xdr:rowOff>30480</xdr:rowOff>
        </xdr:from>
        <xdr:to>
          <xdr:col>3</xdr:col>
          <xdr:colOff>563880</xdr:colOff>
          <xdr:row>2</xdr:row>
          <xdr:rowOff>182880</xdr:rowOff>
        </xdr:to>
        <xdr:sp macro="" textlink="">
          <xdr:nvSpPr>
            <xdr:cNvPr id="1151" name="Button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2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3</xdr:row>
          <xdr:rowOff>114300</xdr:rowOff>
        </xdr:from>
        <xdr:to>
          <xdr:col>3</xdr:col>
          <xdr:colOff>563880</xdr:colOff>
          <xdr:row>5</xdr:row>
          <xdr:rowOff>106680</xdr:rowOff>
        </xdr:to>
        <xdr:sp macro="" textlink="">
          <xdr:nvSpPr>
            <xdr:cNvPr id="1152" name="Button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2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6</xdr:row>
          <xdr:rowOff>30480</xdr:rowOff>
        </xdr:from>
        <xdr:to>
          <xdr:col>3</xdr:col>
          <xdr:colOff>563880</xdr:colOff>
          <xdr:row>8</xdr:row>
          <xdr:rowOff>30480</xdr:rowOff>
        </xdr:to>
        <xdr:sp macro="" textlink="">
          <xdr:nvSpPr>
            <xdr:cNvPr id="1153" name="Button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2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8</xdr:row>
          <xdr:rowOff>144780</xdr:rowOff>
        </xdr:from>
        <xdr:to>
          <xdr:col>3</xdr:col>
          <xdr:colOff>563880</xdr:colOff>
          <xdr:row>10</xdr:row>
          <xdr:rowOff>144780</xdr:rowOff>
        </xdr:to>
        <xdr:sp macro="" textlink="">
          <xdr:nvSpPr>
            <xdr:cNvPr id="1154" name="Button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2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11</xdr:row>
          <xdr:rowOff>30480</xdr:rowOff>
        </xdr:from>
        <xdr:to>
          <xdr:col>3</xdr:col>
          <xdr:colOff>563880</xdr:colOff>
          <xdr:row>13</xdr:row>
          <xdr:rowOff>30480</xdr:rowOff>
        </xdr:to>
        <xdr:sp macro="" textlink="">
          <xdr:nvSpPr>
            <xdr:cNvPr id="1155" name="Button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2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B4.1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68580</xdr:colOff>
          <xdr:row>1</xdr:row>
          <xdr:rowOff>30480</xdr:rowOff>
        </xdr:from>
        <xdr:to>
          <xdr:col>24</xdr:col>
          <xdr:colOff>38100</xdr:colOff>
          <xdr:row>3</xdr:row>
          <xdr:rowOff>30480</xdr:rowOff>
        </xdr:to>
        <xdr:sp macro="" textlink="">
          <xdr:nvSpPr>
            <xdr:cNvPr id="1162" name="Button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2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WPB-2s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68580</xdr:colOff>
          <xdr:row>3</xdr:row>
          <xdr:rowOff>144780</xdr:rowOff>
        </xdr:from>
        <xdr:to>
          <xdr:col>24</xdr:col>
          <xdr:colOff>38100</xdr:colOff>
          <xdr:row>5</xdr:row>
          <xdr:rowOff>144780</xdr:rowOff>
        </xdr:to>
        <xdr:sp macro="" textlink="">
          <xdr:nvSpPr>
            <xdr:cNvPr id="1163" name="Button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2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WPB-3s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38100</xdr:colOff>
          <xdr:row>13</xdr:row>
          <xdr:rowOff>152400</xdr:rowOff>
        </xdr:from>
        <xdr:to>
          <xdr:col>24</xdr:col>
          <xdr:colOff>68580</xdr:colOff>
          <xdr:row>15</xdr:row>
          <xdr:rowOff>144780</xdr:rowOff>
        </xdr:to>
        <xdr:sp macro="" textlink="">
          <xdr:nvSpPr>
            <xdr:cNvPr id="1164" name="Button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2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FF00"/>
                  </a:solidFill>
                  <a:latin typeface="Courier"/>
                </a:rPr>
                <a:t>WPE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68580</xdr:colOff>
          <xdr:row>11</xdr:row>
          <xdr:rowOff>68580</xdr:rowOff>
        </xdr:from>
        <xdr:to>
          <xdr:col>24</xdr:col>
          <xdr:colOff>68580</xdr:colOff>
          <xdr:row>13</xdr:row>
          <xdr:rowOff>68580</xdr:rowOff>
        </xdr:to>
        <xdr:sp macro="" textlink="">
          <xdr:nvSpPr>
            <xdr:cNvPr id="1165" name="Button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2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WPD 2s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68580</xdr:colOff>
          <xdr:row>6</xdr:row>
          <xdr:rowOff>30480</xdr:rowOff>
        </xdr:from>
        <xdr:to>
          <xdr:col>24</xdr:col>
          <xdr:colOff>38100</xdr:colOff>
          <xdr:row>8</xdr:row>
          <xdr:rowOff>30480</xdr:rowOff>
        </xdr:to>
        <xdr:sp macro="" textlink="">
          <xdr:nvSpPr>
            <xdr:cNvPr id="1166" name="Button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2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WPB-5s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68580</xdr:colOff>
          <xdr:row>8</xdr:row>
          <xdr:rowOff>106680</xdr:rowOff>
        </xdr:from>
        <xdr:to>
          <xdr:col>24</xdr:col>
          <xdr:colOff>38100</xdr:colOff>
          <xdr:row>10</xdr:row>
          <xdr:rowOff>106680</xdr:rowOff>
        </xdr:to>
        <xdr:sp macro="" textlink="">
          <xdr:nvSpPr>
            <xdr:cNvPr id="1167" name="Button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2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30480</xdr:colOff>
          <xdr:row>11</xdr:row>
          <xdr:rowOff>30480</xdr:rowOff>
        </xdr:from>
        <xdr:to>
          <xdr:col>12</xdr:col>
          <xdr:colOff>30480</xdr:colOff>
          <xdr:row>12</xdr:row>
          <xdr:rowOff>182880</xdr:rowOff>
        </xdr:to>
        <xdr:sp macro="" textlink="">
          <xdr:nvSpPr>
            <xdr:cNvPr id="1170" name="Button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2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30480</xdr:colOff>
          <xdr:row>13</xdr:row>
          <xdr:rowOff>106680</xdr:rowOff>
        </xdr:from>
        <xdr:to>
          <xdr:col>12</xdr:col>
          <xdr:colOff>38100</xdr:colOff>
          <xdr:row>15</xdr:row>
          <xdr:rowOff>68580</xdr:rowOff>
        </xdr:to>
        <xdr:sp macro="" textlink="">
          <xdr:nvSpPr>
            <xdr:cNvPr id="1171" name="Button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2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30480</xdr:colOff>
          <xdr:row>10</xdr:row>
          <xdr:rowOff>182880</xdr:rowOff>
        </xdr:from>
        <xdr:to>
          <xdr:col>16</xdr:col>
          <xdr:colOff>30480</xdr:colOff>
          <xdr:row>12</xdr:row>
          <xdr:rowOff>182880</xdr:rowOff>
        </xdr:to>
        <xdr:sp macro="" textlink="">
          <xdr:nvSpPr>
            <xdr:cNvPr id="1172" name="Button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2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Courier"/>
                </a:rPr>
                <a:t>SCH H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Courier"/>
                </a:rPr>
                <a:t>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30480</xdr:colOff>
          <xdr:row>15</xdr:row>
          <xdr:rowOff>182880</xdr:rowOff>
        </xdr:from>
        <xdr:to>
          <xdr:col>12</xdr:col>
          <xdr:colOff>38100</xdr:colOff>
          <xdr:row>17</xdr:row>
          <xdr:rowOff>144780</xdr:rowOff>
        </xdr:to>
        <xdr:sp macro="" textlink="">
          <xdr:nvSpPr>
            <xdr:cNvPr id="1173" name="Button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2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30480</xdr:colOff>
          <xdr:row>18</xdr:row>
          <xdr:rowOff>68580</xdr:rowOff>
        </xdr:from>
        <xdr:to>
          <xdr:col>12</xdr:col>
          <xdr:colOff>30480</xdr:colOff>
          <xdr:row>20</xdr:row>
          <xdr:rowOff>38100</xdr:rowOff>
        </xdr:to>
        <xdr:sp macro="" textlink="">
          <xdr:nvSpPr>
            <xdr:cNvPr id="1174" name="Button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2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30480</xdr:colOff>
          <xdr:row>20</xdr:row>
          <xdr:rowOff>144780</xdr:rowOff>
        </xdr:from>
        <xdr:to>
          <xdr:col>12</xdr:col>
          <xdr:colOff>30480</xdr:colOff>
          <xdr:row>22</xdr:row>
          <xdr:rowOff>106680</xdr:rowOff>
        </xdr:to>
        <xdr:sp macro="" textlink="">
          <xdr:nvSpPr>
            <xdr:cNvPr id="1177" name="Button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2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23</xdr:row>
          <xdr:rowOff>106680</xdr:rowOff>
        </xdr:from>
        <xdr:to>
          <xdr:col>14</xdr:col>
          <xdr:colOff>30480</xdr:colOff>
          <xdr:row>25</xdr:row>
          <xdr:rowOff>68580</xdr:rowOff>
        </xdr:to>
        <xdr:sp macro="" textlink="">
          <xdr:nvSpPr>
            <xdr:cNvPr id="1178" name="Button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2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FF00"/>
                  </a:solidFill>
                  <a:latin typeface="Courier"/>
                </a:rPr>
                <a:t>SCH E1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25</xdr:row>
          <xdr:rowOff>144780</xdr:rowOff>
        </xdr:from>
        <xdr:to>
          <xdr:col>14</xdr:col>
          <xdr:colOff>30480</xdr:colOff>
          <xdr:row>27</xdr:row>
          <xdr:rowOff>144780</xdr:rowOff>
        </xdr:to>
        <xdr:sp macro="" textlink="">
          <xdr:nvSpPr>
            <xdr:cNvPr id="1179" name="Button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2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FF00"/>
                  </a:solidFill>
                  <a:latin typeface="Courier"/>
                </a:rPr>
                <a:t>SCH E2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30480</xdr:colOff>
          <xdr:row>23</xdr:row>
          <xdr:rowOff>68580</xdr:rowOff>
        </xdr:from>
        <xdr:to>
          <xdr:col>12</xdr:col>
          <xdr:colOff>30480</xdr:colOff>
          <xdr:row>25</xdr:row>
          <xdr:rowOff>30480</xdr:rowOff>
        </xdr:to>
        <xdr:sp macro="" textlink="">
          <xdr:nvSpPr>
            <xdr:cNvPr id="1180" name="Button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2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30480</xdr:colOff>
          <xdr:row>25</xdr:row>
          <xdr:rowOff>182880</xdr:rowOff>
        </xdr:from>
        <xdr:to>
          <xdr:col>12</xdr:col>
          <xdr:colOff>30480</xdr:colOff>
          <xdr:row>27</xdr:row>
          <xdr:rowOff>144780</xdr:rowOff>
        </xdr:to>
        <xdr:sp macro="" textlink="">
          <xdr:nvSpPr>
            <xdr:cNvPr id="1181" name="Button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2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106680</xdr:colOff>
          <xdr:row>28</xdr:row>
          <xdr:rowOff>30480</xdr:rowOff>
        </xdr:from>
        <xdr:to>
          <xdr:col>12</xdr:col>
          <xdr:colOff>30480</xdr:colOff>
          <xdr:row>29</xdr:row>
          <xdr:rowOff>182880</xdr:rowOff>
        </xdr:to>
        <xdr:sp macro="" textlink="">
          <xdr:nvSpPr>
            <xdr:cNvPr id="1182" name="Button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2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106680</xdr:colOff>
          <xdr:row>30</xdr:row>
          <xdr:rowOff>68580</xdr:rowOff>
        </xdr:from>
        <xdr:to>
          <xdr:col>12</xdr:col>
          <xdr:colOff>30480</xdr:colOff>
          <xdr:row>32</xdr:row>
          <xdr:rowOff>30480</xdr:rowOff>
        </xdr:to>
        <xdr:sp macro="" textlink="">
          <xdr:nvSpPr>
            <xdr:cNvPr id="1183" name="Button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2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30480</xdr:colOff>
          <xdr:row>32</xdr:row>
          <xdr:rowOff>106680</xdr:rowOff>
        </xdr:from>
        <xdr:to>
          <xdr:col>12</xdr:col>
          <xdr:colOff>30480</xdr:colOff>
          <xdr:row>34</xdr:row>
          <xdr:rowOff>144780</xdr:rowOff>
        </xdr:to>
        <xdr:sp macro="" textlink="">
          <xdr:nvSpPr>
            <xdr:cNvPr id="1184" name="Button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2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SCH D2.35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784860</xdr:colOff>
      <xdr:row>53</xdr:row>
      <xdr:rowOff>144780</xdr:rowOff>
    </xdr:from>
    <xdr:to>
      <xdr:col>19</xdr:col>
      <xdr:colOff>784860</xdr:colOff>
      <xdr:row>56</xdr:row>
      <xdr:rowOff>7620</xdr:rowOff>
    </xdr:to>
    <xdr:sp macro="" textlink="">
      <xdr:nvSpPr>
        <xdr:cNvPr id="16385" name="Line 1">
          <a:extLst>
            <a:ext uri="{FF2B5EF4-FFF2-40B4-BE49-F238E27FC236}">
              <a16:creationId xmlns:a16="http://schemas.microsoft.com/office/drawing/2014/main" id="{00000000-0008-0000-2F00-000001400000}"/>
            </a:ext>
          </a:extLst>
        </xdr:cNvPr>
        <xdr:cNvSpPr>
          <a:spLocks noChangeShapeType="1"/>
        </xdr:cNvSpPr>
      </xdr:nvSpPr>
      <xdr:spPr bwMode="auto">
        <a:xfrm flipV="1">
          <a:off x="14478000" y="9060180"/>
          <a:ext cx="0" cy="3733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746760</xdr:colOff>
      <xdr:row>53</xdr:row>
      <xdr:rowOff>144780</xdr:rowOff>
    </xdr:from>
    <xdr:to>
      <xdr:col>19</xdr:col>
      <xdr:colOff>746760</xdr:colOff>
      <xdr:row>56</xdr:row>
      <xdr:rowOff>7620</xdr:rowOff>
    </xdr:to>
    <xdr:sp macro="" textlink="">
      <xdr:nvSpPr>
        <xdr:cNvPr id="17409" name="Line 1">
          <a:extLst>
            <a:ext uri="{FF2B5EF4-FFF2-40B4-BE49-F238E27FC236}">
              <a16:creationId xmlns:a16="http://schemas.microsoft.com/office/drawing/2014/main" id="{00000000-0008-0000-3000-000001440000}"/>
            </a:ext>
          </a:extLst>
        </xdr:cNvPr>
        <xdr:cNvSpPr>
          <a:spLocks noChangeShapeType="1"/>
        </xdr:cNvSpPr>
      </xdr:nvSpPr>
      <xdr:spPr bwMode="auto">
        <a:xfrm flipV="1">
          <a:off x="15377160" y="9060180"/>
          <a:ext cx="0" cy="3733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769620</xdr:colOff>
      <xdr:row>53</xdr:row>
      <xdr:rowOff>144780</xdr:rowOff>
    </xdr:from>
    <xdr:to>
      <xdr:col>19</xdr:col>
      <xdr:colOff>769620</xdr:colOff>
      <xdr:row>56</xdr:row>
      <xdr:rowOff>7620</xdr:rowOff>
    </xdr:to>
    <xdr:sp macro="" textlink="">
      <xdr:nvSpPr>
        <xdr:cNvPr id="18433" name="Line 1">
          <a:extLst>
            <a:ext uri="{FF2B5EF4-FFF2-40B4-BE49-F238E27FC236}">
              <a16:creationId xmlns:a16="http://schemas.microsoft.com/office/drawing/2014/main" id="{00000000-0008-0000-3100-000001480000}"/>
            </a:ext>
          </a:extLst>
        </xdr:cNvPr>
        <xdr:cNvSpPr>
          <a:spLocks noChangeShapeType="1"/>
        </xdr:cNvSpPr>
      </xdr:nvSpPr>
      <xdr:spPr bwMode="auto">
        <a:xfrm flipV="1">
          <a:off x="14424660" y="9060180"/>
          <a:ext cx="0" cy="3733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777240</xdr:colOff>
      <xdr:row>53</xdr:row>
      <xdr:rowOff>144780</xdr:rowOff>
    </xdr:from>
    <xdr:to>
      <xdr:col>19</xdr:col>
      <xdr:colOff>777240</xdr:colOff>
      <xdr:row>56</xdr:row>
      <xdr:rowOff>7620</xdr:rowOff>
    </xdr:to>
    <xdr:sp macro="" textlink="">
      <xdr:nvSpPr>
        <xdr:cNvPr id="19457" name="Line 1">
          <a:extLst>
            <a:ext uri="{FF2B5EF4-FFF2-40B4-BE49-F238E27FC236}">
              <a16:creationId xmlns:a16="http://schemas.microsoft.com/office/drawing/2014/main" id="{00000000-0008-0000-3200-0000014C0000}"/>
            </a:ext>
          </a:extLst>
        </xdr:cNvPr>
        <xdr:cNvSpPr>
          <a:spLocks noChangeShapeType="1"/>
        </xdr:cNvSpPr>
      </xdr:nvSpPr>
      <xdr:spPr bwMode="auto">
        <a:xfrm flipV="1">
          <a:off x="14417040" y="9060180"/>
          <a:ext cx="0" cy="3733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762000</xdr:colOff>
      <xdr:row>53</xdr:row>
      <xdr:rowOff>144780</xdr:rowOff>
    </xdr:from>
    <xdr:to>
      <xdr:col>19</xdr:col>
      <xdr:colOff>762000</xdr:colOff>
      <xdr:row>56</xdr:row>
      <xdr:rowOff>7620</xdr:rowOff>
    </xdr:to>
    <xdr:sp macro="" textlink="">
      <xdr:nvSpPr>
        <xdr:cNvPr id="41985" name="Line 1">
          <a:extLst>
            <a:ext uri="{FF2B5EF4-FFF2-40B4-BE49-F238E27FC236}">
              <a16:creationId xmlns:a16="http://schemas.microsoft.com/office/drawing/2014/main" id="{00000000-0008-0000-3300-000001A40000}"/>
            </a:ext>
          </a:extLst>
        </xdr:cNvPr>
        <xdr:cNvSpPr>
          <a:spLocks noChangeShapeType="1"/>
        </xdr:cNvSpPr>
      </xdr:nvSpPr>
      <xdr:spPr bwMode="auto">
        <a:xfrm flipV="1">
          <a:off x="14546580" y="9060180"/>
          <a:ext cx="0" cy="3733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739140</xdr:colOff>
      <xdr:row>53</xdr:row>
      <xdr:rowOff>144780</xdr:rowOff>
    </xdr:from>
    <xdr:to>
      <xdr:col>19</xdr:col>
      <xdr:colOff>739140</xdr:colOff>
      <xdr:row>56</xdr:row>
      <xdr:rowOff>7620</xdr:rowOff>
    </xdr:to>
    <xdr:sp macro="" textlink="">
      <xdr:nvSpPr>
        <xdr:cNvPr id="20481" name="Line 1">
          <a:extLst>
            <a:ext uri="{FF2B5EF4-FFF2-40B4-BE49-F238E27FC236}">
              <a16:creationId xmlns:a16="http://schemas.microsoft.com/office/drawing/2014/main" id="{00000000-0008-0000-3400-000001500000}"/>
            </a:ext>
          </a:extLst>
        </xdr:cNvPr>
        <xdr:cNvSpPr>
          <a:spLocks noChangeShapeType="1"/>
        </xdr:cNvSpPr>
      </xdr:nvSpPr>
      <xdr:spPr bwMode="auto">
        <a:xfrm flipV="1">
          <a:off x="14417040" y="9060180"/>
          <a:ext cx="0" cy="3733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723900</xdr:colOff>
      <xdr:row>60</xdr:row>
      <xdr:rowOff>144780</xdr:rowOff>
    </xdr:from>
    <xdr:to>
      <xdr:col>19</xdr:col>
      <xdr:colOff>723900</xdr:colOff>
      <xdr:row>63</xdr:row>
      <xdr:rowOff>7620</xdr:rowOff>
    </xdr:to>
    <xdr:sp macro="" textlink="">
      <xdr:nvSpPr>
        <xdr:cNvPr id="21505" name="Line 1">
          <a:extLst>
            <a:ext uri="{FF2B5EF4-FFF2-40B4-BE49-F238E27FC236}">
              <a16:creationId xmlns:a16="http://schemas.microsoft.com/office/drawing/2014/main" id="{00000000-0008-0000-3500-000001540000}"/>
            </a:ext>
          </a:extLst>
        </xdr:cNvPr>
        <xdr:cNvSpPr>
          <a:spLocks noChangeShapeType="1"/>
        </xdr:cNvSpPr>
      </xdr:nvSpPr>
      <xdr:spPr bwMode="auto">
        <a:xfrm flipV="1">
          <a:off x="14828520" y="10233660"/>
          <a:ext cx="0" cy="3733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631614</xdr:colOff>
      <xdr:row>71</xdr:row>
      <xdr:rowOff>68580</xdr:rowOff>
    </xdr:from>
    <xdr:to>
      <xdr:col>18</xdr:col>
      <xdr:colOff>631614</xdr:colOff>
      <xdr:row>73</xdr:row>
      <xdr:rowOff>99060</xdr:rowOff>
    </xdr:to>
    <xdr:sp macro="" textlink="">
      <xdr:nvSpPr>
        <xdr:cNvPr id="46081" name="Line 1">
          <a:extLst>
            <a:ext uri="{FF2B5EF4-FFF2-40B4-BE49-F238E27FC236}">
              <a16:creationId xmlns:a16="http://schemas.microsoft.com/office/drawing/2014/main" id="{00000000-0008-0000-3600-000001B40000}"/>
            </a:ext>
          </a:extLst>
        </xdr:cNvPr>
        <xdr:cNvSpPr>
          <a:spLocks noChangeShapeType="1"/>
        </xdr:cNvSpPr>
      </xdr:nvSpPr>
      <xdr:spPr bwMode="auto">
        <a:xfrm flipV="1">
          <a:off x="12198774" y="11986260"/>
          <a:ext cx="0" cy="3657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  <xdr:txBody>
        <a:bodyPr/>
        <a:lstStyle/>
        <a:p>
          <a:endParaRPr lang="en-US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82</xdr:row>
      <xdr:rowOff>0</xdr:rowOff>
    </xdr:from>
    <xdr:to>
      <xdr:col>7</xdr:col>
      <xdr:colOff>76200</xdr:colOff>
      <xdr:row>82</xdr:row>
      <xdr:rowOff>15240</xdr:rowOff>
    </xdr:to>
    <xdr:pic>
      <xdr:nvPicPr>
        <xdr:cNvPr id="2" name="Picture 1" descr="BolC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04120" y="7734300"/>
          <a:ext cx="76200" cy="762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82</xdr:row>
      <xdr:rowOff>0</xdr:rowOff>
    </xdr:from>
    <xdr:to>
      <xdr:col>9</xdr:col>
      <xdr:colOff>76200</xdr:colOff>
      <xdr:row>82</xdr:row>
      <xdr:rowOff>15240</xdr:rowOff>
    </xdr:to>
    <xdr:pic>
      <xdr:nvPicPr>
        <xdr:cNvPr id="3" name="Picture 1" descr="BolC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04120" y="7734300"/>
          <a:ext cx="76200" cy="7620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67</xdr:row>
      <xdr:rowOff>0</xdr:rowOff>
    </xdr:from>
    <xdr:to>
      <xdr:col>9</xdr:col>
      <xdr:colOff>76200</xdr:colOff>
      <xdr:row>67</xdr:row>
      <xdr:rowOff>11430</xdr:rowOff>
    </xdr:to>
    <xdr:pic>
      <xdr:nvPicPr>
        <xdr:cNvPr id="2" name="Picture 1" descr="BolC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04120" y="7566660"/>
          <a:ext cx="76200" cy="7620"/>
        </a:xfrm>
        <a:prstGeom prst="rect">
          <a:avLst/>
        </a:prstGeom>
        <a:noFill/>
      </xdr:spPr>
    </xdr:pic>
    <xdr:clientData/>
  </xdr:twoCellAnchor>
  <xdr:oneCellAnchor>
    <xdr:from>
      <xdr:col>9</xdr:col>
      <xdr:colOff>0</xdr:colOff>
      <xdr:row>67</xdr:row>
      <xdr:rowOff>0</xdr:rowOff>
    </xdr:from>
    <xdr:ext cx="76200" cy="7620"/>
    <xdr:pic>
      <xdr:nvPicPr>
        <xdr:cNvPr id="7" name="Picture 6" descr="BolC">
          <a:extLst>
            <a:ext uri="{FF2B5EF4-FFF2-40B4-BE49-F238E27FC236}">
              <a16:creationId xmlns:a16="http://schemas.microsoft.com/office/drawing/2014/main" id="{00000000-0008-0000-3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492067" y="134789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67</xdr:row>
      <xdr:rowOff>0</xdr:rowOff>
    </xdr:from>
    <xdr:ext cx="76200" cy="7620"/>
    <xdr:pic>
      <xdr:nvPicPr>
        <xdr:cNvPr id="9" name="Picture 8" descr="BolC">
          <a:extLst>
            <a:ext uri="{FF2B5EF4-FFF2-40B4-BE49-F238E27FC236}">
              <a16:creationId xmlns:a16="http://schemas.microsoft.com/office/drawing/2014/main" id="{00000000-0008-0000-3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492067" y="134789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71</xdr:row>
      <xdr:rowOff>0</xdr:rowOff>
    </xdr:from>
    <xdr:ext cx="76200" cy="7620"/>
    <xdr:pic>
      <xdr:nvPicPr>
        <xdr:cNvPr id="10" name="Picture 9" descr="BolC">
          <a:extLst>
            <a:ext uri="{FF2B5EF4-FFF2-40B4-BE49-F238E27FC236}">
              <a16:creationId xmlns:a16="http://schemas.microsoft.com/office/drawing/2014/main" id="{00000000-0008-0000-3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492067" y="134789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72</xdr:row>
      <xdr:rowOff>0</xdr:rowOff>
    </xdr:from>
    <xdr:ext cx="76200" cy="7620"/>
    <xdr:pic>
      <xdr:nvPicPr>
        <xdr:cNvPr id="12" name="Picture 11" descr="BolC">
          <a:extLst>
            <a:ext uri="{FF2B5EF4-FFF2-40B4-BE49-F238E27FC236}">
              <a16:creationId xmlns:a16="http://schemas.microsoft.com/office/drawing/2014/main" id="{00000000-0008-0000-3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492067" y="134789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13" name="Picture 12" descr="BolC">
          <a:extLst>
            <a:ext uri="{FF2B5EF4-FFF2-40B4-BE49-F238E27FC236}">
              <a16:creationId xmlns:a16="http://schemas.microsoft.com/office/drawing/2014/main" id="{00000000-0008-0000-3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86097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14" name="Picture 13" descr="BolC">
          <a:extLst>
            <a:ext uri="{FF2B5EF4-FFF2-40B4-BE49-F238E27FC236}">
              <a16:creationId xmlns:a16="http://schemas.microsoft.com/office/drawing/2014/main" id="{00000000-0008-0000-3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96257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78</xdr:row>
      <xdr:rowOff>0</xdr:rowOff>
    </xdr:from>
    <xdr:ext cx="76200" cy="7620"/>
    <xdr:pic>
      <xdr:nvPicPr>
        <xdr:cNvPr id="15" name="Picture 14" descr="BolC">
          <a:extLst>
            <a:ext uri="{FF2B5EF4-FFF2-40B4-BE49-F238E27FC236}">
              <a16:creationId xmlns:a16="http://schemas.microsoft.com/office/drawing/2014/main" id="{00000000-0008-0000-3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211497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77</xdr:row>
      <xdr:rowOff>0</xdr:rowOff>
    </xdr:from>
    <xdr:ext cx="76200" cy="7620"/>
    <xdr:pic>
      <xdr:nvPicPr>
        <xdr:cNvPr id="16" name="Picture 15" descr="BolC">
          <a:extLst>
            <a:ext uri="{FF2B5EF4-FFF2-40B4-BE49-F238E27FC236}">
              <a16:creationId xmlns:a16="http://schemas.microsoft.com/office/drawing/2014/main" id="{00000000-0008-0000-3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209804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70</xdr:row>
      <xdr:rowOff>0</xdr:rowOff>
    </xdr:from>
    <xdr:ext cx="76200" cy="7620"/>
    <xdr:pic>
      <xdr:nvPicPr>
        <xdr:cNvPr id="17" name="Picture 16" descr="BolC">
          <a:extLst>
            <a:ext uri="{FF2B5EF4-FFF2-40B4-BE49-F238E27FC236}">
              <a16:creationId xmlns:a16="http://schemas.microsoft.com/office/drawing/2014/main" id="{00000000-0008-0000-3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70</xdr:row>
      <xdr:rowOff>0</xdr:rowOff>
    </xdr:from>
    <xdr:ext cx="76200" cy="7620"/>
    <xdr:pic>
      <xdr:nvPicPr>
        <xdr:cNvPr id="18" name="Picture 17" descr="BolC">
          <a:extLst>
            <a:ext uri="{FF2B5EF4-FFF2-40B4-BE49-F238E27FC236}">
              <a16:creationId xmlns:a16="http://schemas.microsoft.com/office/drawing/2014/main" id="{00000000-0008-0000-3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70</xdr:row>
      <xdr:rowOff>0</xdr:rowOff>
    </xdr:from>
    <xdr:ext cx="76200" cy="7620"/>
    <xdr:pic>
      <xdr:nvPicPr>
        <xdr:cNvPr id="19" name="Picture 18" descr="BolC">
          <a:extLst>
            <a:ext uri="{FF2B5EF4-FFF2-40B4-BE49-F238E27FC236}">
              <a16:creationId xmlns:a16="http://schemas.microsoft.com/office/drawing/2014/main" id="{00000000-0008-0000-3B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20" name="Picture 19" descr="BolC">
          <a:extLst>
            <a:ext uri="{FF2B5EF4-FFF2-40B4-BE49-F238E27FC236}">
              <a16:creationId xmlns:a16="http://schemas.microsoft.com/office/drawing/2014/main" id="{00000000-0008-0000-3B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21" name="Picture 20" descr="BolC">
          <a:extLst>
            <a:ext uri="{FF2B5EF4-FFF2-40B4-BE49-F238E27FC236}">
              <a16:creationId xmlns:a16="http://schemas.microsoft.com/office/drawing/2014/main" id="{00000000-0008-0000-3B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22" name="Picture 21" descr="BolC">
          <a:extLst>
            <a:ext uri="{FF2B5EF4-FFF2-40B4-BE49-F238E27FC236}">
              <a16:creationId xmlns:a16="http://schemas.microsoft.com/office/drawing/2014/main" id="{00000000-0008-0000-3B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23" name="Picture 22" descr="BolC">
          <a:extLst>
            <a:ext uri="{FF2B5EF4-FFF2-40B4-BE49-F238E27FC236}">
              <a16:creationId xmlns:a16="http://schemas.microsoft.com/office/drawing/2014/main" id="{00000000-0008-0000-3B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24" name="Picture 23" descr="BolC">
          <a:extLst>
            <a:ext uri="{FF2B5EF4-FFF2-40B4-BE49-F238E27FC236}">
              <a16:creationId xmlns:a16="http://schemas.microsoft.com/office/drawing/2014/main" id="{00000000-0008-0000-3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25" name="Picture 24" descr="BolC">
          <a:extLst>
            <a:ext uri="{FF2B5EF4-FFF2-40B4-BE49-F238E27FC236}">
              <a16:creationId xmlns:a16="http://schemas.microsoft.com/office/drawing/2014/main" id="{00000000-0008-0000-3B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76</xdr:row>
      <xdr:rowOff>0</xdr:rowOff>
    </xdr:from>
    <xdr:ext cx="76200" cy="7620"/>
    <xdr:pic>
      <xdr:nvPicPr>
        <xdr:cNvPr id="26" name="Picture 25" descr="BolC">
          <a:extLst>
            <a:ext uri="{FF2B5EF4-FFF2-40B4-BE49-F238E27FC236}">
              <a16:creationId xmlns:a16="http://schemas.microsoft.com/office/drawing/2014/main" id="{00000000-0008-0000-3B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76</xdr:row>
      <xdr:rowOff>0</xdr:rowOff>
    </xdr:from>
    <xdr:ext cx="76200" cy="7620"/>
    <xdr:pic>
      <xdr:nvPicPr>
        <xdr:cNvPr id="27" name="Picture 26" descr="BolC">
          <a:extLst>
            <a:ext uri="{FF2B5EF4-FFF2-40B4-BE49-F238E27FC236}">
              <a16:creationId xmlns:a16="http://schemas.microsoft.com/office/drawing/2014/main" id="{00000000-0008-0000-3B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76</xdr:row>
      <xdr:rowOff>0</xdr:rowOff>
    </xdr:from>
    <xdr:ext cx="76200" cy="7620"/>
    <xdr:pic>
      <xdr:nvPicPr>
        <xdr:cNvPr id="28" name="Picture 27" descr="BolC">
          <a:extLst>
            <a:ext uri="{FF2B5EF4-FFF2-40B4-BE49-F238E27FC236}">
              <a16:creationId xmlns:a16="http://schemas.microsoft.com/office/drawing/2014/main" id="{00000000-0008-0000-3B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78</xdr:row>
      <xdr:rowOff>0</xdr:rowOff>
    </xdr:from>
    <xdr:ext cx="76200" cy="7620"/>
    <xdr:pic>
      <xdr:nvPicPr>
        <xdr:cNvPr id="29" name="Picture 28" descr="BolC">
          <a:extLst>
            <a:ext uri="{FF2B5EF4-FFF2-40B4-BE49-F238E27FC236}">
              <a16:creationId xmlns:a16="http://schemas.microsoft.com/office/drawing/2014/main" id="{00000000-0008-0000-3B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78</xdr:row>
      <xdr:rowOff>0</xdr:rowOff>
    </xdr:from>
    <xdr:ext cx="76200" cy="7620"/>
    <xdr:pic>
      <xdr:nvPicPr>
        <xdr:cNvPr id="30" name="Picture 29" descr="BolC">
          <a:extLst>
            <a:ext uri="{FF2B5EF4-FFF2-40B4-BE49-F238E27FC236}">
              <a16:creationId xmlns:a16="http://schemas.microsoft.com/office/drawing/2014/main" id="{00000000-0008-0000-3B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78</xdr:row>
      <xdr:rowOff>0</xdr:rowOff>
    </xdr:from>
    <xdr:ext cx="76200" cy="7620"/>
    <xdr:pic>
      <xdr:nvPicPr>
        <xdr:cNvPr id="31" name="Picture 30" descr="BolC">
          <a:extLst>
            <a:ext uri="{FF2B5EF4-FFF2-40B4-BE49-F238E27FC236}">
              <a16:creationId xmlns:a16="http://schemas.microsoft.com/office/drawing/2014/main" id="{00000000-0008-0000-3B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80</xdr:row>
      <xdr:rowOff>0</xdr:rowOff>
    </xdr:from>
    <xdr:ext cx="76200" cy="7620"/>
    <xdr:pic>
      <xdr:nvPicPr>
        <xdr:cNvPr id="32" name="Picture 31" descr="BolC">
          <a:extLst>
            <a:ext uri="{FF2B5EF4-FFF2-40B4-BE49-F238E27FC236}">
              <a16:creationId xmlns:a16="http://schemas.microsoft.com/office/drawing/2014/main" id="{00000000-0008-0000-3B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80</xdr:row>
      <xdr:rowOff>0</xdr:rowOff>
    </xdr:from>
    <xdr:ext cx="76200" cy="7620"/>
    <xdr:pic>
      <xdr:nvPicPr>
        <xdr:cNvPr id="33" name="Picture 32" descr="BolC">
          <a:extLst>
            <a:ext uri="{FF2B5EF4-FFF2-40B4-BE49-F238E27FC236}">
              <a16:creationId xmlns:a16="http://schemas.microsoft.com/office/drawing/2014/main" id="{00000000-0008-0000-3B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80</xdr:row>
      <xdr:rowOff>0</xdr:rowOff>
    </xdr:from>
    <xdr:ext cx="76200" cy="7620"/>
    <xdr:pic>
      <xdr:nvPicPr>
        <xdr:cNvPr id="34" name="Picture 33" descr="BolC">
          <a:extLst>
            <a:ext uri="{FF2B5EF4-FFF2-40B4-BE49-F238E27FC236}">
              <a16:creationId xmlns:a16="http://schemas.microsoft.com/office/drawing/2014/main" id="{00000000-0008-0000-3B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35" name="Picture 34" descr="BolC">
          <a:extLst>
            <a:ext uri="{FF2B5EF4-FFF2-40B4-BE49-F238E27FC236}">
              <a16:creationId xmlns:a16="http://schemas.microsoft.com/office/drawing/2014/main" id="{00000000-0008-0000-3B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2031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36" name="Picture 35" descr="BolC">
          <a:extLst>
            <a:ext uri="{FF2B5EF4-FFF2-40B4-BE49-F238E27FC236}">
              <a16:creationId xmlns:a16="http://schemas.microsoft.com/office/drawing/2014/main" id="{00000000-0008-0000-3B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2031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37" name="Picture 36" descr="BolC">
          <a:extLst>
            <a:ext uri="{FF2B5EF4-FFF2-40B4-BE49-F238E27FC236}">
              <a16:creationId xmlns:a16="http://schemas.microsoft.com/office/drawing/2014/main" id="{00000000-0008-0000-3B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2031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38" name="Picture 37" descr="BolC">
          <a:extLst>
            <a:ext uri="{FF2B5EF4-FFF2-40B4-BE49-F238E27FC236}">
              <a16:creationId xmlns:a16="http://schemas.microsoft.com/office/drawing/2014/main" id="{00000000-0008-0000-3B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2708467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39" name="Picture 38" descr="BolC">
          <a:extLst>
            <a:ext uri="{FF2B5EF4-FFF2-40B4-BE49-F238E27FC236}">
              <a16:creationId xmlns:a16="http://schemas.microsoft.com/office/drawing/2014/main" id="{00000000-0008-0000-3B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28778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40" name="Picture 39" descr="BolC">
          <a:extLst>
            <a:ext uri="{FF2B5EF4-FFF2-40B4-BE49-F238E27FC236}">
              <a16:creationId xmlns:a16="http://schemas.microsoft.com/office/drawing/2014/main" id="{00000000-0008-0000-3B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2539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41" name="Picture 40" descr="BolC">
          <a:extLst>
            <a:ext uri="{FF2B5EF4-FFF2-40B4-BE49-F238E27FC236}">
              <a16:creationId xmlns:a16="http://schemas.microsoft.com/office/drawing/2014/main" id="{00000000-0008-0000-3B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2539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42" name="Picture 41" descr="BolC">
          <a:extLst>
            <a:ext uri="{FF2B5EF4-FFF2-40B4-BE49-F238E27FC236}">
              <a16:creationId xmlns:a16="http://schemas.microsoft.com/office/drawing/2014/main" id="{00000000-0008-0000-3B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2539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78</xdr:row>
      <xdr:rowOff>0</xdr:rowOff>
    </xdr:from>
    <xdr:ext cx="76200" cy="7620"/>
    <xdr:pic>
      <xdr:nvPicPr>
        <xdr:cNvPr id="43" name="Picture 42" descr="BolC">
          <a:extLst>
            <a:ext uri="{FF2B5EF4-FFF2-40B4-BE49-F238E27FC236}">
              <a16:creationId xmlns:a16="http://schemas.microsoft.com/office/drawing/2014/main" id="{00000000-0008-0000-3B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8938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78</xdr:row>
      <xdr:rowOff>0</xdr:rowOff>
    </xdr:from>
    <xdr:ext cx="76200" cy="7620"/>
    <xdr:pic>
      <xdr:nvPicPr>
        <xdr:cNvPr id="44" name="Picture 43" descr="BolC">
          <a:extLst>
            <a:ext uri="{FF2B5EF4-FFF2-40B4-BE49-F238E27FC236}">
              <a16:creationId xmlns:a16="http://schemas.microsoft.com/office/drawing/2014/main" id="{00000000-0008-0000-3B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8938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45" name="Picture 44" descr="BolC">
          <a:extLst>
            <a:ext uri="{FF2B5EF4-FFF2-40B4-BE49-F238E27FC236}">
              <a16:creationId xmlns:a16="http://schemas.microsoft.com/office/drawing/2014/main" id="{00000000-0008-0000-3B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047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46" name="Picture 45" descr="BolC">
          <a:extLst>
            <a:ext uri="{FF2B5EF4-FFF2-40B4-BE49-F238E27FC236}">
              <a16:creationId xmlns:a16="http://schemas.microsoft.com/office/drawing/2014/main" id="{00000000-0008-0000-3B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047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47" name="Picture 46" descr="BolC">
          <a:extLst>
            <a:ext uri="{FF2B5EF4-FFF2-40B4-BE49-F238E27FC236}">
              <a16:creationId xmlns:a16="http://schemas.microsoft.com/office/drawing/2014/main" id="{00000000-0008-0000-3B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047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77</xdr:row>
      <xdr:rowOff>0</xdr:rowOff>
    </xdr:from>
    <xdr:ext cx="76200" cy="7620"/>
    <xdr:pic>
      <xdr:nvPicPr>
        <xdr:cNvPr id="48" name="Picture 47" descr="BolC">
          <a:extLst>
            <a:ext uri="{FF2B5EF4-FFF2-40B4-BE49-F238E27FC236}">
              <a16:creationId xmlns:a16="http://schemas.microsoft.com/office/drawing/2014/main" id="{00000000-0008-0000-3B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724467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77</xdr:row>
      <xdr:rowOff>0</xdr:rowOff>
    </xdr:from>
    <xdr:ext cx="76200" cy="7620"/>
    <xdr:pic>
      <xdr:nvPicPr>
        <xdr:cNvPr id="49" name="Picture 48" descr="BolC">
          <a:extLst>
            <a:ext uri="{FF2B5EF4-FFF2-40B4-BE49-F238E27FC236}">
              <a16:creationId xmlns:a16="http://schemas.microsoft.com/office/drawing/2014/main" id="{00000000-0008-0000-3B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724467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77</xdr:row>
      <xdr:rowOff>0</xdr:rowOff>
    </xdr:from>
    <xdr:ext cx="76200" cy="7620"/>
    <xdr:pic>
      <xdr:nvPicPr>
        <xdr:cNvPr id="50" name="Picture 49" descr="BolC">
          <a:extLst>
            <a:ext uri="{FF2B5EF4-FFF2-40B4-BE49-F238E27FC236}">
              <a16:creationId xmlns:a16="http://schemas.microsoft.com/office/drawing/2014/main" id="{00000000-0008-0000-3B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724467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51" name="Picture 50" descr="BolC">
          <a:extLst>
            <a:ext uri="{FF2B5EF4-FFF2-40B4-BE49-F238E27FC236}">
              <a16:creationId xmlns:a16="http://schemas.microsoft.com/office/drawing/2014/main" id="{00000000-0008-0000-3B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047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52" name="Picture 51" descr="BolC">
          <a:extLst>
            <a:ext uri="{FF2B5EF4-FFF2-40B4-BE49-F238E27FC236}">
              <a16:creationId xmlns:a16="http://schemas.microsoft.com/office/drawing/2014/main" id="{00000000-0008-0000-3B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047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53" name="Picture 52" descr="BolC">
          <a:extLst>
            <a:ext uri="{FF2B5EF4-FFF2-40B4-BE49-F238E27FC236}">
              <a16:creationId xmlns:a16="http://schemas.microsoft.com/office/drawing/2014/main" id="{00000000-0008-0000-3B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047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77</xdr:row>
      <xdr:rowOff>0</xdr:rowOff>
    </xdr:from>
    <xdr:ext cx="76200" cy="7620"/>
    <xdr:pic>
      <xdr:nvPicPr>
        <xdr:cNvPr id="54" name="Picture 53" descr="BolC">
          <a:extLst>
            <a:ext uri="{FF2B5EF4-FFF2-40B4-BE49-F238E27FC236}">
              <a16:creationId xmlns:a16="http://schemas.microsoft.com/office/drawing/2014/main" id="{00000000-0008-0000-3B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724467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78</xdr:row>
      <xdr:rowOff>0</xdr:rowOff>
    </xdr:from>
    <xdr:ext cx="76200" cy="7620"/>
    <xdr:pic>
      <xdr:nvPicPr>
        <xdr:cNvPr id="55" name="Picture 54" descr="BolC">
          <a:extLst>
            <a:ext uri="{FF2B5EF4-FFF2-40B4-BE49-F238E27FC236}">
              <a16:creationId xmlns:a16="http://schemas.microsoft.com/office/drawing/2014/main" id="{00000000-0008-0000-3B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8938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76</xdr:row>
      <xdr:rowOff>0</xdr:rowOff>
    </xdr:from>
    <xdr:ext cx="76200" cy="7620"/>
    <xdr:pic>
      <xdr:nvPicPr>
        <xdr:cNvPr id="56" name="Picture 55" descr="BolC">
          <a:extLst>
            <a:ext uri="{FF2B5EF4-FFF2-40B4-BE49-F238E27FC236}">
              <a16:creationId xmlns:a16="http://schemas.microsoft.com/office/drawing/2014/main" id="{00000000-0008-0000-3B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555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76</xdr:row>
      <xdr:rowOff>0</xdr:rowOff>
    </xdr:from>
    <xdr:ext cx="76200" cy="7620"/>
    <xdr:pic>
      <xdr:nvPicPr>
        <xdr:cNvPr id="57" name="Picture 56" descr="BolC">
          <a:extLst>
            <a:ext uri="{FF2B5EF4-FFF2-40B4-BE49-F238E27FC236}">
              <a16:creationId xmlns:a16="http://schemas.microsoft.com/office/drawing/2014/main" id="{00000000-0008-0000-3B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555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76</xdr:row>
      <xdr:rowOff>0</xdr:rowOff>
    </xdr:from>
    <xdr:ext cx="76200" cy="7620"/>
    <xdr:pic>
      <xdr:nvPicPr>
        <xdr:cNvPr id="58" name="Picture 57" descr="BolC">
          <a:extLst>
            <a:ext uri="{FF2B5EF4-FFF2-40B4-BE49-F238E27FC236}">
              <a16:creationId xmlns:a16="http://schemas.microsoft.com/office/drawing/2014/main" id="{00000000-0008-0000-3B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555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59" name="Picture 58" descr="BolC">
          <a:extLst>
            <a:ext uri="{FF2B5EF4-FFF2-40B4-BE49-F238E27FC236}">
              <a16:creationId xmlns:a16="http://schemas.microsoft.com/office/drawing/2014/main" id="{00000000-0008-0000-3B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241867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60" name="Picture 59" descr="BolC">
          <a:extLst>
            <a:ext uri="{FF2B5EF4-FFF2-40B4-BE49-F238E27FC236}">
              <a16:creationId xmlns:a16="http://schemas.microsoft.com/office/drawing/2014/main" id="{00000000-0008-0000-3B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4112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61" name="Picture 60" descr="BolC">
          <a:extLst>
            <a:ext uri="{FF2B5EF4-FFF2-40B4-BE49-F238E27FC236}">
              <a16:creationId xmlns:a16="http://schemas.microsoft.com/office/drawing/2014/main" id="{00000000-0008-0000-3B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072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62" name="Picture 61" descr="BolC">
          <a:extLst>
            <a:ext uri="{FF2B5EF4-FFF2-40B4-BE49-F238E27FC236}">
              <a16:creationId xmlns:a16="http://schemas.microsoft.com/office/drawing/2014/main" id="{00000000-0008-0000-3B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072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63" name="Picture 62" descr="BolC">
          <a:extLst>
            <a:ext uri="{FF2B5EF4-FFF2-40B4-BE49-F238E27FC236}">
              <a16:creationId xmlns:a16="http://schemas.microsoft.com/office/drawing/2014/main" id="{00000000-0008-0000-3B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072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64" name="Picture 63" descr="BolC">
          <a:extLst>
            <a:ext uri="{FF2B5EF4-FFF2-40B4-BE49-F238E27FC236}">
              <a16:creationId xmlns:a16="http://schemas.microsoft.com/office/drawing/2014/main" id="{00000000-0008-0000-3B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65" name="Picture 64" descr="BolC">
          <a:extLst>
            <a:ext uri="{FF2B5EF4-FFF2-40B4-BE49-F238E27FC236}">
              <a16:creationId xmlns:a16="http://schemas.microsoft.com/office/drawing/2014/main" id="{00000000-0008-0000-3B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66" name="Picture 65" descr="BolC">
          <a:extLst>
            <a:ext uri="{FF2B5EF4-FFF2-40B4-BE49-F238E27FC236}">
              <a16:creationId xmlns:a16="http://schemas.microsoft.com/office/drawing/2014/main" id="{00000000-0008-0000-3B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67" name="Picture 66" descr="BolC">
          <a:extLst>
            <a:ext uri="{FF2B5EF4-FFF2-40B4-BE49-F238E27FC236}">
              <a16:creationId xmlns:a16="http://schemas.microsoft.com/office/drawing/2014/main" id="{00000000-0008-0000-3B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68" name="Picture 67" descr="BolC">
          <a:extLst>
            <a:ext uri="{FF2B5EF4-FFF2-40B4-BE49-F238E27FC236}">
              <a16:creationId xmlns:a16="http://schemas.microsoft.com/office/drawing/2014/main" id="{00000000-0008-0000-3B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69" name="Picture 68" descr="BolC">
          <a:extLst>
            <a:ext uri="{FF2B5EF4-FFF2-40B4-BE49-F238E27FC236}">
              <a16:creationId xmlns:a16="http://schemas.microsoft.com/office/drawing/2014/main" id="{00000000-0008-0000-3B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70" name="Picture 69" descr="BolC">
          <a:extLst>
            <a:ext uri="{FF2B5EF4-FFF2-40B4-BE49-F238E27FC236}">
              <a16:creationId xmlns:a16="http://schemas.microsoft.com/office/drawing/2014/main" id="{00000000-0008-0000-3B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241867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74</xdr:row>
      <xdr:rowOff>0</xdr:rowOff>
    </xdr:from>
    <xdr:ext cx="76200" cy="7620"/>
    <xdr:pic>
      <xdr:nvPicPr>
        <xdr:cNvPr id="71" name="Picture 70" descr="BolC">
          <a:extLst>
            <a:ext uri="{FF2B5EF4-FFF2-40B4-BE49-F238E27FC236}">
              <a16:creationId xmlns:a16="http://schemas.microsoft.com/office/drawing/2014/main" id="{00000000-0008-0000-3B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4112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72" name="Picture 71" descr="BolC">
          <a:extLst>
            <a:ext uri="{FF2B5EF4-FFF2-40B4-BE49-F238E27FC236}">
              <a16:creationId xmlns:a16="http://schemas.microsoft.com/office/drawing/2014/main" id="{00000000-0008-0000-3B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072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73" name="Picture 72" descr="BolC">
          <a:extLst>
            <a:ext uri="{FF2B5EF4-FFF2-40B4-BE49-F238E27FC236}">
              <a16:creationId xmlns:a16="http://schemas.microsoft.com/office/drawing/2014/main" id="{00000000-0008-0000-3B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072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74" name="Picture 73" descr="BolC">
          <a:extLst>
            <a:ext uri="{FF2B5EF4-FFF2-40B4-BE49-F238E27FC236}">
              <a16:creationId xmlns:a16="http://schemas.microsoft.com/office/drawing/2014/main" id="{00000000-0008-0000-3B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072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75</xdr:row>
      <xdr:rowOff>0</xdr:rowOff>
    </xdr:from>
    <xdr:ext cx="76200" cy="7620"/>
    <xdr:pic>
      <xdr:nvPicPr>
        <xdr:cNvPr id="75" name="Picture 74" descr="BolC">
          <a:extLst>
            <a:ext uri="{FF2B5EF4-FFF2-40B4-BE49-F238E27FC236}">
              <a16:creationId xmlns:a16="http://schemas.microsoft.com/office/drawing/2014/main" id="{00000000-0008-0000-3B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75</xdr:row>
      <xdr:rowOff>0</xdr:rowOff>
    </xdr:from>
    <xdr:ext cx="76200" cy="7620"/>
    <xdr:pic>
      <xdr:nvPicPr>
        <xdr:cNvPr id="76" name="Picture 75" descr="BolC">
          <a:extLst>
            <a:ext uri="{FF2B5EF4-FFF2-40B4-BE49-F238E27FC236}">
              <a16:creationId xmlns:a16="http://schemas.microsoft.com/office/drawing/2014/main" id="{00000000-0008-0000-3B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75</xdr:row>
      <xdr:rowOff>0</xdr:rowOff>
    </xdr:from>
    <xdr:ext cx="76200" cy="7620"/>
    <xdr:pic>
      <xdr:nvPicPr>
        <xdr:cNvPr id="77" name="Picture 76" descr="BolC">
          <a:extLst>
            <a:ext uri="{FF2B5EF4-FFF2-40B4-BE49-F238E27FC236}">
              <a16:creationId xmlns:a16="http://schemas.microsoft.com/office/drawing/2014/main" id="{00000000-0008-0000-3B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75</xdr:row>
      <xdr:rowOff>0</xdr:rowOff>
    </xdr:from>
    <xdr:ext cx="76200" cy="7620"/>
    <xdr:pic>
      <xdr:nvPicPr>
        <xdr:cNvPr id="78" name="Picture 77" descr="BolC">
          <a:extLst>
            <a:ext uri="{FF2B5EF4-FFF2-40B4-BE49-F238E27FC236}">
              <a16:creationId xmlns:a16="http://schemas.microsoft.com/office/drawing/2014/main" id="{00000000-0008-0000-3B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75</xdr:row>
      <xdr:rowOff>0</xdr:rowOff>
    </xdr:from>
    <xdr:ext cx="76200" cy="7620"/>
    <xdr:pic>
      <xdr:nvPicPr>
        <xdr:cNvPr id="79" name="Picture 78" descr="BolC">
          <a:extLst>
            <a:ext uri="{FF2B5EF4-FFF2-40B4-BE49-F238E27FC236}">
              <a16:creationId xmlns:a16="http://schemas.microsoft.com/office/drawing/2014/main" id="{00000000-0008-0000-3B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75</xdr:row>
      <xdr:rowOff>0</xdr:rowOff>
    </xdr:from>
    <xdr:ext cx="76200" cy="7620"/>
    <xdr:pic>
      <xdr:nvPicPr>
        <xdr:cNvPr id="80" name="Picture 79" descr="BolC">
          <a:extLst>
            <a:ext uri="{FF2B5EF4-FFF2-40B4-BE49-F238E27FC236}">
              <a16:creationId xmlns:a16="http://schemas.microsoft.com/office/drawing/2014/main" id="{00000000-0008-0000-3B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77</xdr:row>
      <xdr:rowOff>0</xdr:rowOff>
    </xdr:from>
    <xdr:ext cx="76200" cy="7620"/>
    <xdr:pic>
      <xdr:nvPicPr>
        <xdr:cNvPr id="81" name="Picture 80" descr="BolC">
          <a:extLst>
            <a:ext uri="{FF2B5EF4-FFF2-40B4-BE49-F238E27FC236}">
              <a16:creationId xmlns:a16="http://schemas.microsoft.com/office/drawing/2014/main" id="{00000000-0008-0000-3B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241867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78</xdr:row>
      <xdr:rowOff>0</xdr:rowOff>
    </xdr:from>
    <xdr:ext cx="76200" cy="7620"/>
    <xdr:pic>
      <xdr:nvPicPr>
        <xdr:cNvPr id="82" name="Picture 81" descr="BolC">
          <a:extLst>
            <a:ext uri="{FF2B5EF4-FFF2-40B4-BE49-F238E27FC236}">
              <a16:creationId xmlns:a16="http://schemas.microsoft.com/office/drawing/2014/main" id="{00000000-0008-0000-3B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4112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76</xdr:row>
      <xdr:rowOff>0</xdr:rowOff>
    </xdr:from>
    <xdr:ext cx="76200" cy="7620"/>
    <xdr:pic>
      <xdr:nvPicPr>
        <xdr:cNvPr id="83" name="Picture 82" descr="BolC">
          <a:extLst>
            <a:ext uri="{FF2B5EF4-FFF2-40B4-BE49-F238E27FC236}">
              <a16:creationId xmlns:a16="http://schemas.microsoft.com/office/drawing/2014/main" id="{00000000-0008-0000-3B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072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76</xdr:row>
      <xdr:rowOff>0</xdr:rowOff>
    </xdr:from>
    <xdr:ext cx="76200" cy="7620"/>
    <xdr:pic>
      <xdr:nvPicPr>
        <xdr:cNvPr id="84" name="Picture 83" descr="BolC">
          <a:extLst>
            <a:ext uri="{FF2B5EF4-FFF2-40B4-BE49-F238E27FC236}">
              <a16:creationId xmlns:a16="http://schemas.microsoft.com/office/drawing/2014/main" id="{00000000-0008-0000-3B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072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76</xdr:row>
      <xdr:rowOff>0</xdr:rowOff>
    </xdr:from>
    <xdr:ext cx="76200" cy="7620"/>
    <xdr:pic>
      <xdr:nvPicPr>
        <xdr:cNvPr id="85" name="Picture 84" descr="BolC">
          <a:extLst>
            <a:ext uri="{FF2B5EF4-FFF2-40B4-BE49-F238E27FC236}">
              <a16:creationId xmlns:a16="http://schemas.microsoft.com/office/drawing/2014/main" id="{00000000-0008-0000-3B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072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78</xdr:row>
      <xdr:rowOff>0</xdr:rowOff>
    </xdr:from>
    <xdr:ext cx="76200" cy="7620"/>
    <xdr:pic>
      <xdr:nvPicPr>
        <xdr:cNvPr id="86" name="Picture 85" descr="BolC">
          <a:extLst>
            <a:ext uri="{FF2B5EF4-FFF2-40B4-BE49-F238E27FC236}">
              <a16:creationId xmlns:a16="http://schemas.microsoft.com/office/drawing/2014/main" id="{00000000-0008-0000-3B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78</xdr:row>
      <xdr:rowOff>0</xdr:rowOff>
    </xdr:from>
    <xdr:ext cx="76200" cy="7620"/>
    <xdr:pic>
      <xdr:nvPicPr>
        <xdr:cNvPr id="87" name="Picture 86" descr="BolC">
          <a:extLst>
            <a:ext uri="{FF2B5EF4-FFF2-40B4-BE49-F238E27FC236}">
              <a16:creationId xmlns:a16="http://schemas.microsoft.com/office/drawing/2014/main" id="{00000000-0008-0000-3B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78</xdr:row>
      <xdr:rowOff>0</xdr:rowOff>
    </xdr:from>
    <xdr:ext cx="76200" cy="7620"/>
    <xdr:pic>
      <xdr:nvPicPr>
        <xdr:cNvPr id="88" name="Picture 87" descr="BolC">
          <a:extLst>
            <a:ext uri="{FF2B5EF4-FFF2-40B4-BE49-F238E27FC236}">
              <a16:creationId xmlns:a16="http://schemas.microsoft.com/office/drawing/2014/main" id="{00000000-0008-0000-3B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78</xdr:row>
      <xdr:rowOff>0</xdr:rowOff>
    </xdr:from>
    <xdr:ext cx="76200" cy="7620"/>
    <xdr:pic>
      <xdr:nvPicPr>
        <xdr:cNvPr id="89" name="Picture 88" descr="BolC">
          <a:extLst>
            <a:ext uri="{FF2B5EF4-FFF2-40B4-BE49-F238E27FC236}">
              <a16:creationId xmlns:a16="http://schemas.microsoft.com/office/drawing/2014/main" id="{00000000-0008-0000-3B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78</xdr:row>
      <xdr:rowOff>0</xdr:rowOff>
    </xdr:from>
    <xdr:ext cx="76200" cy="7620"/>
    <xdr:pic>
      <xdr:nvPicPr>
        <xdr:cNvPr id="90" name="Picture 89" descr="BolC">
          <a:extLst>
            <a:ext uri="{FF2B5EF4-FFF2-40B4-BE49-F238E27FC236}">
              <a16:creationId xmlns:a16="http://schemas.microsoft.com/office/drawing/2014/main" id="{00000000-0008-0000-3B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78</xdr:row>
      <xdr:rowOff>0</xdr:rowOff>
    </xdr:from>
    <xdr:ext cx="76200" cy="7620"/>
    <xdr:pic>
      <xdr:nvPicPr>
        <xdr:cNvPr id="91" name="Picture 90" descr="BolC">
          <a:extLst>
            <a:ext uri="{FF2B5EF4-FFF2-40B4-BE49-F238E27FC236}">
              <a16:creationId xmlns:a16="http://schemas.microsoft.com/office/drawing/2014/main" id="{00000000-0008-0000-3B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71</xdr:row>
      <xdr:rowOff>0</xdr:rowOff>
    </xdr:from>
    <xdr:ext cx="76200" cy="7620"/>
    <xdr:pic>
      <xdr:nvPicPr>
        <xdr:cNvPr id="92" name="Picture 91" descr="BolC">
          <a:extLst>
            <a:ext uri="{FF2B5EF4-FFF2-40B4-BE49-F238E27FC236}">
              <a16:creationId xmlns:a16="http://schemas.microsoft.com/office/drawing/2014/main" id="{00000000-0008-0000-3B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91500" y="1239774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71</xdr:row>
      <xdr:rowOff>0</xdr:rowOff>
    </xdr:from>
    <xdr:ext cx="76200" cy="7620"/>
    <xdr:pic>
      <xdr:nvPicPr>
        <xdr:cNvPr id="93" name="Picture 92" descr="BolC">
          <a:extLst>
            <a:ext uri="{FF2B5EF4-FFF2-40B4-BE49-F238E27FC236}">
              <a16:creationId xmlns:a16="http://schemas.microsoft.com/office/drawing/2014/main" id="{00000000-0008-0000-3B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91500" y="1239774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71</xdr:row>
      <xdr:rowOff>0</xdr:rowOff>
    </xdr:from>
    <xdr:ext cx="76200" cy="7620"/>
    <xdr:pic>
      <xdr:nvPicPr>
        <xdr:cNvPr id="94" name="Picture 93" descr="BolC">
          <a:extLst>
            <a:ext uri="{FF2B5EF4-FFF2-40B4-BE49-F238E27FC236}">
              <a16:creationId xmlns:a16="http://schemas.microsoft.com/office/drawing/2014/main" id="{00000000-0008-0000-3B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91500" y="1239774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75</xdr:row>
      <xdr:rowOff>0</xdr:rowOff>
    </xdr:from>
    <xdr:ext cx="76200" cy="7620"/>
    <xdr:pic>
      <xdr:nvPicPr>
        <xdr:cNvPr id="95" name="Picture 94" descr="BolC">
          <a:extLst>
            <a:ext uri="{FF2B5EF4-FFF2-40B4-BE49-F238E27FC236}">
              <a16:creationId xmlns:a16="http://schemas.microsoft.com/office/drawing/2014/main" id="{00000000-0008-0000-3B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91500" y="1239774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75</xdr:row>
      <xdr:rowOff>0</xdr:rowOff>
    </xdr:from>
    <xdr:ext cx="76200" cy="7620"/>
    <xdr:pic>
      <xdr:nvPicPr>
        <xdr:cNvPr id="96" name="Picture 95" descr="BolC">
          <a:extLst>
            <a:ext uri="{FF2B5EF4-FFF2-40B4-BE49-F238E27FC236}">
              <a16:creationId xmlns:a16="http://schemas.microsoft.com/office/drawing/2014/main" id="{00000000-0008-0000-3B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91500" y="1239774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75</xdr:row>
      <xdr:rowOff>0</xdr:rowOff>
    </xdr:from>
    <xdr:ext cx="76200" cy="7620"/>
    <xdr:pic>
      <xdr:nvPicPr>
        <xdr:cNvPr id="97" name="Picture 96" descr="BolC">
          <a:extLst>
            <a:ext uri="{FF2B5EF4-FFF2-40B4-BE49-F238E27FC236}">
              <a16:creationId xmlns:a16="http://schemas.microsoft.com/office/drawing/2014/main" id="{00000000-0008-0000-3B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91500" y="1239774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98" name="Picture 97" descr="BolC">
          <a:extLst>
            <a:ext uri="{FF2B5EF4-FFF2-40B4-BE49-F238E27FC236}">
              <a16:creationId xmlns:a16="http://schemas.microsoft.com/office/drawing/2014/main" id="{00000000-0008-0000-3B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91500" y="1153668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99" name="Picture 98" descr="BolC">
          <a:extLst>
            <a:ext uri="{FF2B5EF4-FFF2-40B4-BE49-F238E27FC236}">
              <a16:creationId xmlns:a16="http://schemas.microsoft.com/office/drawing/2014/main" id="{00000000-0008-0000-3B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91500" y="1153668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100" name="Picture 99" descr="BolC">
          <a:extLst>
            <a:ext uri="{FF2B5EF4-FFF2-40B4-BE49-F238E27FC236}">
              <a16:creationId xmlns:a16="http://schemas.microsoft.com/office/drawing/2014/main" id="{00000000-0008-0000-3B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91500" y="11536680"/>
          <a:ext cx="76200" cy="762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</xdr:row>
          <xdr:rowOff>0</xdr:rowOff>
        </xdr:from>
        <xdr:to>
          <xdr:col>1</xdr:col>
          <xdr:colOff>533400</xdr:colOff>
          <xdr:row>3</xdr:row>
          <xdr:rowOff>30480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Courier"/>
                </a:rPr>
                <a:t>SCH 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3</xdr:row>
          <xdr:rowOff>106680</xdr:rowOff>
        </xdr:from>
        <xdr:to>
          <xdr:col>1</xdr:col>
          <xdr:colOff>533400</xdr:colOff>
          <xdr:row>5</xdr:row>
          <xdr:rowOff>76200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3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30480</xdr:rowOff>
        </xdr:from>
        <xdr:to>
          <xdr:col>3</xdr:col>
          <xdr:colOff>563880</xdr:colOff>
          <xdr:row>15</xdr:row>
          <xdr:rowOff>30480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3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15</xdr:row>
          <xdr:rowOff>144780</xdr:rowOff>
        </xdr:from>
        <xdr:to>
          <xdr:col>3</xdr:col>
          <xdr:colOff>563880</xdr:colOff>
          <xdr:row>17</xdr:row>
          <xdr:rowOff>106680</xdr:rowOff>
        </xdr:to>
        <xdr:sp macro="" textlink="">
          <xdr:nvSpPr>
            <xdr:cNvPr id="2052" name="Butto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3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182880</xdr:rowOff>
        </xdr:from>
        <xdr:to>
          <xdr:col>4</xdr:col>
          <xdr:colOff>0</xdr:colOff>
          <xdr:row>19</xdr:row>
          <xdr:rowOff>152400</xdr:rowOff>
        </xdr:to>
        <xdr:sp macro="" textlink="">
          <xdr:nvSpPr>
            <xdr:cNvPr id="2053" name="Button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3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20</xdr:row>
          <xdr:rowOff>76200</xdr:rowOff>
        </xdr:from>
        <xdr:to>
          <xdr:col>4</xdr:col>
          <xdr:colOff>0</xdr:colOff>
          <xdr:row>22</xdr:row>
          <xdr:rowOff>68580</xdr:rowOff>
        </xdr:to>
        <xdr:sp macro="" textlink="">
          <xdr:nvSpPr>
            <xdr:cNvPr id="2054" name="Butto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3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30480</xdr:colOff>
          <xdr:row>1</xdr:row>
          <xdr:rowOff>30480</xdr:rowOff>
        </xdr:from>
        <xdr:to>
          <xdr:col>5</xdr:col>
          <xdr:colOff>563880</xdr:colOff>
          <xdr:row>3</xdr:row>
          <xdr:rowOff>30480</xdr:rowOff>
        </xdr:to>
        <xdr:sp macro="" textlink="">
          <xdr:nvSpPr>
            <xdr:cNvPr id="2055" name="Butto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3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30480</xdr:colOff>
          <xdr:row>3</xdr:row>
          <xdr:rowOff>106680</xdr:rowOff>
        </xdr:from>
        <xdr:to>
          <xdr:col>5</xdr:col>
          <xdr:colOff>563880</xdr:colOff>
          <xdr:row>5</xdr:row>
          <xdr:rowOff>106680</xdr:rowOff>
        </xdr:to>
        <xdr:sp macro="" textlink="">
          <xdr:nvSpPr>
            <xdr:cNvPr id="2056" name="Button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3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6</xdr:row>
          <xdr:rowOff>0</xdr:rowOff>
        </xdr:from>
        <xdr:to>
          <xdr:col>6</xdr:col>
          <xdr:colOff>0</xdr:colOff>
          <xdr:row>8</xdr:row>
          <xdr:rowOff>30480</xdr:rowOff>
        </xdr:to>
        <xdr:sp macro="" textlink="">
          <xdr:nvSpPr>
            <xdr:cNvPr id="2057" name="Button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3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2.1 BP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10</xdr:row>
          <xdr:rowOff>106680</xdr:rowOff>
        </xdr:from>
        <xdr:to>
          <xdr:col>8</xdr:col>
          <xdr:colOff>0</xdr:colOff>
          <xdr:row>12</xdr:row>
          <xdr:rowOff>106680</xdr:rowOff>
        </xdr:to>
        <xdr:sp macro="" textlink="">
          <xdr:nvSpPr>
            <xdr:cNvPr id="2062" name="Button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3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13</xdr:row>
          <xdr:rowOff>0</xdr:rowOff>
        </xdr:from>
        <xdr:to>
          <xdr:col>8</xdr:col>
          <xdr:colOff>30480</xdr:colOff>
          <xdr:row>14</xdr:row>
          <xdr:rowOff>182880</xdr:rowOff>
        </xdr:to>
        <xdr:sp macro="" textlink="">
          <xdr:nvSpPr>
            <xdr:cNvPr id="2063" name="Button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3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15</xdr:row>
          <xdr:rowOff>76200</xdr:rowOff>
        </xdr:from>
        <xdr:to>
          <xdr:col>8</xdr:col>
          <xdr:colOff>30480</xdr:colOff>
          <xdr:row>17</xdr:row>
          <xdr:rowOff>68580</xdr:rowOff>
        </xdr:to>
        <xdr:sp macro="" textlink="">
          <xdr:nvSpPr>
            <xdr:cNvPr id="2064" name="Button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3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17</xdr:row>
          <xdr:rowOff>182880</xdr:rowOff>
        </xdr:from>
        <xdr:to>
          <xdr:col>8</xdr:col>
          <xdr:colOff>0</xdr:colOff>
          <xdr:row>19</xdr:row>
          <xdr:rowOff>182880</xdr:rowOff>
        </xdr:to>
        <xdr:sp macro="" textlink="">
          <xdr:nvSpPr>
            <xdr:cNvPr id="2065" name="Button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3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20</xdr:row>
          <xdr:rowOff>106680</xdr:rowOff>
        </xdr:from>
        <xdr:to>
          <xdr:col>8</xdr:col>
          <xdr:colOff>0</xdr:colOff>
          <xdr:row>22</xdr:row>
          <xdr:rowOff>68580</xdr:rowOff>
        </xdr:to>
        <xdr:sp macro="" textlink="">
          <xdr:nvSpPr>
            <xdr:cNvPr id="2066" name="Button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3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22</xdr:row>
          <xdr:rowOff>182880</xdr:rowOff>
        </xdr:from>
        <xdr:to>
          <xdr:col>8</xdr:col>
          <xdr:colOff>0</xdr:colOff>
          <xdr:row>24</xdr:row>
          <xdr:rowOff>144780</xdr:rowOff>
        </xdr:to>
        <xdr:sp macro="" textlink="">
          <xdr:nvSpPr>
            <xdr:cNvPr id="2067" name="Button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3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25</xdr:row>
          <xdr:rowOff>68580</xdr:rowOff>
        </xdr:from>
        <xdr:to>
          <xdr:col>8</xdr:col>
          <xdr:colOff>0</xdr:colOff>
          <xdr:row>27</xdr:row>
          <xdr:rowOff>30480</xdr:rowOff>
        </xdr:to>
        <xdr:sp macro="" textlink="">
          <xdr:nvSpPr>
            <xdr:cNvPr id="2068" name="Butto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3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1</xdr:row>
          <xdr:rowOff>30480</xdr:rowOff>
        </xdr:from>
        <xdr:to>
          <xdr:col>10</xdr:col>
          <xdr:colOff>0</xdr:colOff>
          <xdr:row>2</xdr:row>
          <xdr:rowOff>182880</xdr:rowOff>
        </xdr:to>
        <xdr:sp macro="" textlink="">
          <xdr:nvSpPr>
            <xdr:cNvPr id="2069" name="Button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3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3</xdr:row>
          <xdr:rowOff>106680</xdr:rowOff>
        </xdr:from>
        <xdr:to>
          <xdr:col>10</xdr:col>
          <xdr:colOff>0</xdr:colOff>
          <xdr:row>5</xdr:row>
          <xdr:rowOff>68580</xdr:rowOff>
        </xdr:to>
        <xdr:sp macro="" textlink="">
          <xdr:nvSpPr>
            <xdr:cNvPr id="2070" name="Button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3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5</xdr:row>
          <xdr:rowOff>182880</xdr:rowOff>
        </xdr:from>
        <xdr:to>
          <xdr:col>10</xdr:col>
          <xdr:colOff>30480</xdr:colOff>
          <xdr:row>7</xdr:row>
          <xdr:rowOff>152400</xdr:rowOff>
        </xdr:to>
        <xdr:sp macro="" textlink="">
          <xdr:nvSpPr>
            <xdr:cNvPr id="2071" name="Butto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3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8</xdr:row>
          <xdr:rowOff>68580</xdr:rowOff>
        </xdr:from>
        <xdr:to>
          <xdr:col>10</xdr:col>
          <xdr:colOff>30480</xdr:colOff>
          <xdr:row>10</xdr:row>
          <xdr:rowOff>30480</xdr:rowOff>
        </xdr:to>
        <xdr:sp macro="" textlink="">
          <xdr:nvSpPr>
            <xdr:cNvPr id="2072" name="Butto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3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10</xdr:row>
          <xdr:rowOff>106680</xdr:rowOff>
        </xdr:from>
        <xdr:to>
          <xdr:col>10</xdr:col>
          <xdr:colOff>0</xdr:colOff>
          <xdr:row>12</xdr:row>
          <xdr:rowOff>106680</xdr:rowOff>
        </xdr:to>
        <xdr:sp macro="" textlink="">
          <xdr:nvSpPr>
            <xdr:cNvPr id="2073" name="Button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3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12</xdr:row>
          <xdr:rowOff>182880</xdr:rowOff>
        </xdr:from>
        <xdr:to>
          <xdr:col>10</xdr:col>
          <xdr:colOff>0</xdr:colOff>
          <xdr:row>14</xdr:row>
          <xdr:rowOff>182880</xdr:rowOff>
        </xdr:to>
        <xdr:sp macro="" textlink="">
          <xdr:nvSpPr>
            <xdr:cNvPr id="2074" name="Button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3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15</xdr:row>
          <xdr:rowOff>106680</xdr:rowOff>
        </xdr:from>
        <xdr:to>
          <xdr:col>10</xdr:col>
          <xdr:colOff>0</xdr:colOff>
          <xdr:row>17</xdr:row>
          <xdr:rowOff>76200</xdr:rowOff>
        </xdr:to>
        <xdr:sp macro="" textlink="">
          <xdr:nvSpPr>
            <xdr:cNvPr id="2075" name="Button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3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38100</xdr:colOff>
          <xdr:row>1</xdr:row>
          <xdr:rowOff>30480</xdr:rowOff>
        </xdr:from>
        <xdr:to>
          <xdr:col>27</xdr:col>
          <xdr:colOff>0</xdr:colOff>
          <xdr:row>3</xdr:row>
          <xdr:rowOff>30480</xdr:rowOff>
        </xdr:to>
        <xdr:sp macro="" textlink="">
          <xdr:nvSpPr>
            <xdr:cNvPr id="2092" name="Button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3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FF00"/>
                  </a:solidFill>
                  <a:latin typeface="Times New Roman"/>
                  <a:cs typeface="Times New Roman"/>
                </a:rPr>
                <a:t>PRINT ALL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38100</xdr:colOff>
          <xdr:row>3</xdr:row>
          <xdr:rowOff>106680</xdr:rowOff>
        </xdr:from>
        <xdr:to>
          <xdr:col>27</xdr:col>
          <xdr:colOff>0</xdr:colOff>
          <xdr:row>5</xdr:row>
          <xdr:rowOff>76200</xdr:rowOff>
        </xdr:to>
        <xdr:sp macro="" textlink="">
          <xdr:nvSpPr>
            <xdr:cNvPr id="2093" name="Button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3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Times New Roman"/>
                  <a:cs typeface="Times New Roman"/>
                </a:rPr>
                <a:t>PRINT B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38100</xdr:colOff>
          <xdr:row>5</xdr:row>
          <xdr:rowOff>182880</xdr:rowOff>
        </xdr:from>
        <xdr:to>
          <xdr:col>27</xdr:col>
          <xdr:colOff>0</xdr:colOff>
          <xdr:row>8</xdr:row>
          <xdr:rowOff>30480</xdr:rowOff>
        </xdr:to>
        <xdr:sp macro="" textlink="">
          <xdr:nvSpPr>
            <xdr:cNvPr id="2094" name="Button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3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Times New Roman"/>
                  <a:cs typeface="Times New Roman"/>
                </a:rPr>
                <a:t>PRINT C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38100</xdr:colOff>
          <xdr:row>8</xdr:row>
          <xdr:rowOff>106680</xdr:rowOff>
        </xdr:from>
        <xdr:to>
          <xdr:col>27</xdr:col>
          <xdr:colOff>0</xdr:colOff>
          <xdr:row>10</xdr:row>
          <xdr:rowOff>106680</xdr:rowOff>
        </xdr:to>
        <xdr:sp macro="" textlink="">
          <xdr:nvSpPr>
            <xdr:cNvPr id="2098" name="Button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3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Times New Roman"/>
                  <a:cs typeface="Times New Roman"/>
                </a:rPr>
                <a:t>PRINT D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38100</xdr:colOff>
          <xdr:row>10</xdr:row>
          <xdr:rowOff>182880</xdr:rowOff>
        </xdr:from>
        <xdr:to>
          <xdr:col>27</xdr:col>
          <xdr:colOff>0</xdr:colOff>
          <xdr:row>12</xdr:row>
          <xdr:rowOff>182880</xdr:rowOff>
        </xdr:to>
        <xdr:sp macro="" textlink="">
          <xdr:nvSpPr>
            <xdr:cNvPr id="2099" name="Button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3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FF"/>
                  </a:solidFill>
                  <a:latin typeface="Times New Roman"/>
                  <a:cs typeface="Times New Roman"/>
                </a:rPr>
                <a:t>PRINT E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38100</xdr:colOff>
          <xdr:row>13</xdr:row>
          <xdr:rowOff>76200</xdr:rowOff>
        </xdr:from>
        <xdr:to>
          <xdr:col>27</xdr:col>
          <xdr:colOff>0</xdr:colOff>
          <xdr:row>15</xdr:row>
          <xdr:rowOff>68580</xdr:rowOff>
        </xdr:to>
        <xdr:sp macro="" textlink="">
          <xdr:nvSpPr>
            <xdr:cNvPr id="2100" name="Button 5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3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Times New Roman"/>
                  <a:cs typeface="Times New Roman"/>
                </a:rPr>
                <a:t>PRINT F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38100</xdr:colOff>
          <xdr:row>15</xdr:row>
          <xdr:rowOff>182880</xdr:rowOff>
        </xdr:from>
        <xdr:to>
          <xdr:col>27</xdr:col>
          <xdr:colOff>0</xdr:colOff>
          <xdr:row>17</xdr:row>
          <xdr:rowOff>144780</xdr:rowOff>
        </xdr:to>
        <xdr:sp macro="" textlink="">
          <xdr:nvSpPr>
            <xdr:cNvPr id="2101" name="Button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3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6600"/>
                  </a:solidFill>
                  <a:latin typeface="Times New Roman"/>
                  <a:cs typeface="Times New Roman"/>
                </a:rPr>
                <a:t>PRINT G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38100</xdr:colOff>
          <xdr:row>18</xdr:row>
          <xdr:rowOff>68580</xdr:rowOff>
        </xdr:from>
        <xdr:to>
          <xdr:col>27</xdr:col>
          <xdr:colOff>0</xdr:colOff>
          <xdr:row>20</xdr:row>
          <xdr:rowOff>68580</xdr:rowOff>
        </xdr:to>
        <xdr:sp macro="" textlink="">
          <xdr:nvSpPr>
            <xdr:cNvPr id="2102" name="Button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3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PRINT I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11</xdr:row>
          <xdr:rowOff>30480</xdr:rowOff>
        </xdr:from>
        <xdr:to>
          <xdr:col>24</xdr:col>
          <xdr:colOff>30480</xdr:colOff>
          <xdr:row>13</xdr:row>
          <xdr:rowOff>30480</xdr:rowOff>
        </xdr:to>
        <xdr:sp macro="" textlink="">
          <xdr:nvSpPr>
            <xdr:cNvPr id="2103" name="Button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3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16</xdr:row>
          <xdr:rowOff>30480</xdr:rowOff>
        </xdr:from>
        <xdr:to>
          <xdr:col>24</xdr:col>
          <xdr:colOff>68580</xdr:colOff>
          <xdr:row>18</xdr:row>
          <xdr:rowOff>0</xdr:rowOff>
        </xdr:to>
        <xdr:sp macro="" textlink="">
          <xdr:nvSpPr>
            <xdr:cNvPr id="2104" name="Button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3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FF"/>
                  </a:solidFill>
                  <a:latin typeface="Courier"/>
                </a:rPr>
                <a:t>WPE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13</xdr:row>
          <xdr:rowOff>144780</xdr:rowOff>
        </xdr:from>
        <xdr:to>
          <xdr:col>24</xdr:col>
          <xdr:colOff>38100</xdr:colOff>
          <xdr:row>15</xdr:row>
          <xdr:rowOff>144780</xdr:rowOff>
        </xdr:to>
        <xdr:sp macro="" textlink="">
          <xdr:nvSpPr>
            <xdr:cNvPr id="2105" name="Button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3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WPD 2s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6</xdr:row>
          <xdr:rowOff>30480</xdr:rowOff>
        </xdr:from>
        <xdr:to>
          <xdr:col>24</xdr:col>
          <xdr:colOff>30480</xdr:colOff>
          <xdr:row>8</xdr:row>
          <xdr:rowOff>30480</xdr:rowOff>
        </xdr:to>
        <xdr:sp macro="" textlink="">
          <xdr:nvSpPr>
            <xdr:cNvPr id="2119" name="Button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3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WPB-5s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30480</xdr:colOff>
          <xdr:row>1</xdr:row>
          <xdr:rowOff>30480</xdr:rowOff>
        </xdr:from>
        <xdr:to>
          <xdr:col>16</xdr:col>
          <xdr:colOff>30480</xdr:colOff>
          <xdr:row>3</xdr:row>
          <xdr:rowOff>30480</xdr:rowOff>
        </xdr:to>
        <xdr:sp macro="" textlink="">
          <xdr:nvSpPr>
            <xdr:cNvPr id="2122" name="Button 74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3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FF00"/>
                  </a:solidFill>
                  <a:latin typeface="Courier"/>
                </a:rPr>
                <a:t>SCH G1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30480</xdr:colOff>
          <xdr:row>3</xdr:row>
          <xdr:rowOff>114300</xdr:rowOff>
        </xdr:from>
        <xdr:to>
          <xdr:col>15</xdr:col>
          <xdr:colOff>563880</xdr:colOff>
          <xdr:row>5</xdr:row>
          <xdr:rowOff>106680</xdr:rowOff>
        </xdr:to>
        <xdr:sp macro="" textlink="">
          <xdr:nvSpPr>
            <xdr:cNvPr id="2123" name="Button 75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3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FF00"/>
                  </a:solidFill>
                  <a:latin typeface="Courier"/>
                </a:rPr>
                <a:t>SCH G2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30480</xdr:colOff>
          <xdr:row>6</xdr:row>
          <xdr:rowOff>0</xdr:rowOff>
        </xdr:from>
        <xdr:to>
          <xdr:col>15</xdr:col>
          <xdr:colOff>563880</xdr:colOff>
          <xdr:row>7</xdr:row>
          <xdr:rowOff>182880</xdr:rowOff>
        </xdr:to>
        <xdr:sp macro="" textlink="">
          <xdr:nvSpPr>
            <xdr:cNvPr id="2124" name="Button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3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FF00"/>
                  </a:solidFill>
                  <a:latin typeface="Courier"/>
                </a:rPr>
                <a:t>SCH G3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FFFF00"/>
                </a:solidFill>
                <a:latin typeface="Courier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30480</xdr:colOff>
          <xdr:row>5</xdr:row>
          <xdr:rowOff>182880</xdr:rowOff>
        </xdr:from>
        <xdr:to>
          <xdr:col>18</xdr:col>
          <xdr:colOff>30480</xdr:colOff>
          <xdr:row>7</xdr:row>
          <xdr:rowOff>152400</xdr:rowOff>
        </xdr:to>
        <xdr:sp macro="" textlink="">
          <xdr:nvSpPr>
            <xdr:cNvPr id="2128" name="Button 80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300-00005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30480</xdr:colOff>
          <xdr:row>8</xdr:row>
          <xdr:rowOff>68580</xdr:rowOff>
        </xdr:from>
        <xdr:to>
          <xdr:col>18</xdr:col>
          <xdr:colOff>30480</xdr:colOff>
          <xdr:row>10</xdr:row>
          <xdr:rowOff>68580</xdr:rowOff>
        </xdr:to>
        <xdr:sp macro="" textlink="">
          <xdr:nvSpPr>
            <xdr:cNvPr id="2129" name="Button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3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8</xdr:row>
          <xdr:rowOff>106680</xdr:rowOff>
        </xdr:from>
        <xdr:to>
          <xdr:col>6</xdr:col>
          <xdr:colOff>0</xdr:colOff>
          <xdr:row>10</xdr:row>
          <xdr:rowOff>106680</xdr:rowOff>
        </xdr:to>
        <xdr:sp macro="" textlink="">
          <xdr:nvSpPr>
            <xdr:cNvPr id="2141" name="Button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3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2.1 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1</xdr:row>
          <xdr:rowOff>30480</xdr:rowOff>
        </xdr:from>
        <xdr:to>
          <xdr:col>8</xdr:col>
          <xdr:colOff>0</xdr:colOff>
          <xdr:row>3</xdr:row>
          <xdr:rowOff>30480</xdr:rowOff>
        </xdr:to>
        <xdr:sp macro="" textlink="">
          <xdr:nvSpPr>
            <xdr:cNvPr id="2142" name="Button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3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3</xdr:row>
          <xdr:rowOff>76200</xdr:rowOff>
        </xdr:from>
        <xdr:to>
          <xdr:col>8</xdr:col>
          <xdr:colOff>0</xdr:colOff>
          <xdr:row>5</xdr:row>
          <xdr:rowOff>68580</xdr:rowOff>
        </xdr:to>
        <xdr:sp macro="" textlink="">
          <xdr:nvSpPr>
            <xdr:cNvPr id="2143" name="Button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3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5</xdr:row>
          <xdr:rowOff>152400</xdr:rowOff>
        </xdr:from>
        <xdr:to>
          <xdr:col>8</xdr:col>
          <xdr:colOff>30480</xdr:colOff>
          <xdr:row>7</xdr:row>
          <xdr:rowOff>144780</xdr:rowOff>
        </xdr:to>
        <xdr:sp macro="" textlink="">
          <xdr:nvSpPr>
            <xdr:cNvPr id="2144" name="Button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3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8</xdr:row>
          <xdr:rowOff>68580</xdr:rowOff>
        </xdr:from>
        <xdr:to>
          <xdr:col>8</xdr:col>
          <xdr:colOff>0</xdr:colOff>
          <xdr:row>10</xdr:row>
          <xdr:rowOff>30480</xdr:rowOff>
        </xdr:to>
        <xdr:sp macro="" textlink="">
          <xdr:nvSpPr>
            <xdr:cNvPr id="2145" name="Button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3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10</xdr:row>
          <xdr:rowOff>182880</xdr:rowOff>
        </xdr:from>
        <xdr:to>
          <xdr:col>6</xdr:col>
          <xdr:colOff>0</xdr:colOff>
          <xdr:row>13</xdr:row>
          <xdr:rowOff>0</xdr:rowOff>
        </xdr:to>
        <xdr:sp macro="" textlink="">
          <xdr:nvSpPr>
            <xdr:cNvPr id="2146" name="Button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3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2.2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17</xdr:row>
          <xdr:rowOff>152400</xdr:rowOff>
        </xdr:from>
        <xdr:to>
          <xdr:col>10</xdr:col>
          <xdr:colOff>0</xdr:colOff>
          <xdr:row>19</xdr:row>
          <xdr:rowOff>144780</xdr:rowOff>
        </xdr:to>
        <xdr:sp macro="" textlink="">
          <xdr:nvSpPr>
            <xdr:cNvPr id="2147" name="Button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3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20</xdr:row>
          <xdr:rowOff>68580</xdr:rowOff>
        </xdr:from>
        <xdr:to>
          <xdr:col>10</xdr:col>
          <xdr:colOff>0</xdr:colOff>
          <xdr:row>22</xdr:row>
          <xdr:rowOff>68580</xdr:rowOff>
        </xdr:to>
        <xdr:sp macro="" textlink="">
          <xdr:nvSpPr>
            <xdr:cNvPr id="2148" name="Button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3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22</xdr:row>
          <xdr:rowOff>144780</xdr:rowOff>
        </xdr:from>
        <xdr:to>
          <xdr:col>10</xdr:col>
          <xdr:colOff>30480</xdr:colOff>
          <xdr:row>24</xdr:row>
          <xdr:rowOff>144780</xdr:rowOff>
        </xdr:to>
        <xdr:sp macro="" textlink="">
          <xdr:nvSpPr>
            <xdr:cNvPr id="2149" name="Button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3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25</xdr:row>
          <xdr:rowOff>68580</xdr:rowOff>
        </xdr:from>
        <xdr:to>
          <xdr:col>10</xdr:col>
          <xdr:colOff>30480</xdr:colOff>
          <xdr:row>27</xdr:row>
          <xdr:rowOff>68580</xdr:rowOff>
        </xdr:to>
        <xdr:sp macro="" textlink="">
          <xdr:nvSpPr>
            <xdr:cNvPr id="2150" name="Button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3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</xdr:row>
          <xdr:rowOff>30480</xdr:rowOff>
        </xdr:from>
        <xdr:to>
          <xdr:col>14</xdr:col>
          <xdr:colOff>30480</xdr:colOff>
          <xdr:row>3</xdr:row>
          <xdr:rowOff>30480</xdr:rowOff>
        </xdr:to>
        <xdr:sp macro="" textlink="">
          <xdr:nvSpPr>
            <xdr:cNvPr id="2157" name="Button 109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00000000-0008-0000-0300-00006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3</xdr:row>
          <xdr:rowOff>106680</xdr:rowOff>
        </xdr:from>
        <xdr:to>
          <xdr:col>14</xdr:col>
          <xdr:colOff>68580</xdr:colOff>
          <xdr:row>5</xdr:row>
          <xdr:rowOff>76200</xdr:rowOff>
        </xdr:to>
        <xdr:sp macro="" textlink="">
          <xdr:nvSpPr>
            <xdr:cNvPr id="2158" name="Button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3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660066"/>
                  </a:solidFill>
                  <a:latin typeface="Courier"/>
                </a:rPr>
                <a:t>SCH F2.1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5</xdr:row>
          <xdr:rowOff>182880</xdr:rowOff>
        </xdr:from>
        <xdr:to>
          <xdr:col>14</xdr:col>
          <xdr:colOff>68580</xdr:colOff>
          <xdr:row>7</xdr:row>
          <xdr:rowOff>152400</xdr:rowOff>
        </xdr:to>
        <xdr:sp macro="" textlink="">
          <xdr:nvSpPr>
            <xdr:cNvPr id="2159" name="Button 111" hidden="1">
              <a:extLst>
                <a:ext uri="{63B3BB69-23CF-44E3-9099-C40C66FF867C}">
                  <a14:compatExt spid="_x0000_s2159"/>
                </a:ext>
                <a:ext uri="{FF2B5EF4-FFF2-40B4-BE49-F238E27FC236}">
                  <a16:creationId xmlns:a16="http://schemas.microsoft.com/office/drawing/2014/main" id="{00000000-0008-0000-0300-00006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8</xdr:row>
          <xdr:rowOff>68580</xdr:rowOff>
        </xdr:from>
        <xdr:to>
          <xdr:col>14</xdr:col>
          <xdr:colOff>68580</xdr:colOff>
          <xdr:row>10</xdr:row>
          <xdr:rowOff>30480</xdr:rowOff>
        </xdr:to>
        <xdr:sp macro="" textlink="">
          <xdr:nvSpPr>
            <xdr:cNvPr id="2160" name="Button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3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10</xdr:row>
          <xdr:rowOff>144780</xdr:rowOff>
        </xdr:from>
        <xdr:to>
          <xdr:col>14</xdr:col>
          <xdr:colOff>68580</xdr:colOff>
          <xdr:row>12</xdr:row>
          <xdr:rowOff>114300</xdr:rowOff>
        </xdr:to>
        <xdr:sp macro="" textlink="">
          <xdr:nvSpPr>
            <xdr:cNvPr id="2161" name="Button 113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3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13</xdr:row>
          <xdr:rowOff>30480</xdr:rowOff>
        </xdr:from>
        <xdr:to>
          <xdr:col>14</xdr:col>
          <xdr:colOff>68580</xdr:colOff>
          <xdr:row>15</xdr:row>
          <xdr:rowOff>0</xdr:rowOff>
        </xdr:to>
        <xdr:sp macro="" textlink="">
          <xdr:nvSpPr>
            <xdr:cNvPr id="2162" name="Button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3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15</xdr:row>
          <xdr:rowOff>106680</xdr:rowOff>
        </xdr:from>
        <xdr:to>
          <xdr:col>14</xdr:col>
          <xdr:colOff>68580</xdr:colOff>
          <xdr:row>17</xdr:row>
          <xdr:rowOff>106680</xdr:rowOff>
        </xdr:to>
        <xdr:sp macro="" textlink="">
          <xdr:nvSpPr>
            <xdr:cNvPr id="2163" name="Button 115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300-00007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17</xdr:row>
          <xdr:rowOff>182880</xdr:rowOff>
        </xdr:from>
        <xdr:to>
          <xdr:col>14</xdr:col>
          <xdr:colOff>68580</xdr:colOff>
          <xdr:row>19</xdr:row>
          <xdr:rowOff>182880</xdr:rowOff>
        </xdr:to>
        <xdr:sp macro="" textlink="">
          <xdr:nvSpPr>
            <xdr:cNvPr id="2164" name="Button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3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20</xdr:row>
          <xdr:rowOff>76200</xdr:rowOff>
        </xdr:from>
        <xdr:to>
          <xdr:col>14</xdr:col>
          <xdr:colOff>68580</xdr:colOff>
          <xdr:row>22</xdr:row>
          <xdr:rowOff>68580</xdr:rowOff>
        </xdr:to>
        <xdr:sp macro="" textlink="">
          <xdr:nvSpPr>
            <xdr:cNvPr id="2165" name="Button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3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30480</xdr:colOff>
          <xdr:row>8</xdr:row>
          <xdr:rowOff>68580</xdr:rowOff>
        </xdr:from>
        <xdr:to>
          <xdr:col>16</xdr:col>
          <xdr:colOff>30480</xdr:colOff>
          <xdr:row>10</xdr:row>
          <xdr:rowOff>68580</xdr:rowOff>
        </xdr:to>
        <xdr:sp macro="" textlink="">
          <xdr:nvSpPr>
            <xdr:cNvPr id="2166" name="Button 118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00000000-0008-0000-0300-00007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Courier"/>
                </a:rPr>
                <a:t>SCH 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30480</xdr:colOff>
          <xdr:row>1</xdr:row>
          <xdr:rowOff>30480</xdr:rowOff>
        </xdr:from>
        <xdr:to>
          <xdr:col>18</xdr:col>
          <xdr:colOff>30480</xdr:colOff>
          <xdr:row>3</xdr:row>
          <xdr:rowOff>30480</xdr:rowOff>
        </xdr:to>
        <xdr:sp macro="" textlink="">
          <xdr:nvSpPr>
            <xdr:cNvPr id="2167" name="Button 119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3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30480</xdr:colOff>
          <xdr:row>3</xdr:row>
          <xdr:rowOff>106680</xdr:rowOff>
        </xdr:from>
        <xdr:to>
          <xdr:col>18</xdr:col>
          <xdr:colOff>30480</xdr:colOff>
          <xdr:row>5</xdr:row>
          <xdr:rowOff>68580</xdr:rowOff>
        </xdr:to>
        <xdr:sp macro="" textlink="">
          <xdr:nvSpPr>
            <xdr:cNvPr id="2168" name="Button 120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3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30480</xdr:colOff>
          <xdr:row>10</xdr:row>
          <xdr:rowOff>144780</xdr:rowOff>
        </xdr:from>
        <xdr:to>
          <xdr:col>18</xdr:col>
          <xdr:colOff>30480</xdr:colOff>
          <xdr:row>12</xdr:row>
          <xdr:rowOff>144780</xdr:rowOff>
        </xdr:to>
        <xdr:sp macro="" textlink="">
          <xdr:nvSpPr>
            <xdr:cNvPr id="2169" name="Button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3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30480</xdr:colOff>
          <xdr:row>1</xdr:row>
          <xdr:rowOff>30480</xdr:rowOff>
        </xdr:from>
        <xdr:to>
          <xdr:col>20</xdr:col>
          <xdr:colOff>30480</xdr:colOff>
          <xdr:row>2</xdr:row>
          <xdr:rowOff>182880</xdr:rowOff>
        </xdr:to>
        <xdr:sp macro="" textlink="">
          <xdr:nvSpPr>
            <xdr:cNvPr id="2170" name="Button 122" hidden="1">
              <a:extLst>
                <a:ext uri="{63B3BB69-23CF-44E3-9099-C40C66FF867C}">
                  <a14:compatExt spid="_x0000_s2170"/>
                </a:ext>
                <a:ext uri="{FF2B5EF4-FFF2-40B4-BE49-F238E27FC236}">
                  <a16:creationId xmlns:a16="http://schemas.microsoft.com/office/drawing/2014/main" id="{00000000-0008-0000-0300-00007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J1 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68580</xdr:colOff>
          <xdr:row>1</xdr:row>
          <xdr:rowOff>30480</xdr:rowOff>
        </xdr:from>
        <xdr:to>
          <xdr:col>22</xdr:col>
          <xdr:colOff>30480</xdr:colOff>
          <xdr:row>2</xdr:row>
          <xdr:rowOff>182880</xdr:rowOff>
        </xdr:to>
        <xdr:sp macro="" textlink="">
          <xdr:nvSpPr>
            <xdr:cNvPr id="2171" name="Button 123" hidden="1">
              <a:extLst>
                <a:ext uri="{63B3BB69-23CF-44E3-9099-C40C66FF867C}">
                  <a14:compatExt spid="_x0000_s2171"/>
                </a:ext>
                <a:ext uri="{FF2B5EF4-FFF2-40B4-BE49-F238E27FC236}">
                  <a16:creationId xmlns:a16="http://schemas.microsoft.com/office/drawing/2014/main" id="{00000000-0008-0000-0300-00007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J1 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30480</xdr:colOff>
          <xdr:row>3</xdr:row>
          <xdr:rowOff>76200</xdr:rowOff>
        </xdr:from>
        <xdr:to>
          <xdr:col>20</xdr:col>
          <xdr:colOff>68580</xdr:colOff>
          <xdr:row>5</xdr:row>
          <xdr:rowOff>68580</xdr:rowOff>
        </xdr:to>
        <xdr:sp macro="" textlink="">
          <xdr:nvSpPr>
            <xdr:cNvPr id="2172" name="Button 124" hidden="1">
              <a:extLst>
                <a:ext uri="{63B3BB69-23CF-44E3-9099-C40C66FF867C}">
                  <a14:compatExt spid="_x0000_s2172"/>
                </a:ext>
                <a:ext uri="{FF2B5EF4-FFF2-40B4-BE49-F238E27FC236}">
                  <a16:creationId xmlns:a16="http://schemas.microsoft.com/office/drawing/2014/main" id="{00000000-0008-0000-0300-00007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1 .1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30480</xdr:colOff>
          <xdr:row>5</xdr:row>
          <xdr:rowOff>152400</xdr:rowOff>
        </xdr:from>
        <xdr:to>
          <xdr:col>20</xdr:col>
          <xdr:colOff>68580</xdr:colOff>
          <xdr:row>7</xdr:row>
          <xdr:rowOff>144780</xdr:rowOff>
        </xdr:to>
        <xdr:sp macro="" textlink="">
          <xdr:nvSpPr>
            <xdr:cNvPr id="2173" name="Button 125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3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1 .2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30480</xdr:colOff>
          <xdr:row>8</xdr:row>
          <xdr:rowOff>106680</xdr:rowOff>
        </xdr:from>
        <xdr:to>
          <xdr:col>20</xdr:col>
          <xdr:colOff>30480</xdr:colOff>
          <xdr:row>10</xdr:row>
          <xdr:rowOff>68580</xdr:rowOff>
        </xdr:to>
        <xdr:sp macro="" textlink="">
          <xdr:nvSpPr>
            <xdr:cNvPr id="2174" name="Button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3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J2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68580</xdr:colOff>
          <xdr:row>8</xdr:row>
          <xdr:rowOff>106680</xdr:rowOff>
        </xdr:from>
        <xdr:to>
          <xdr:col>22</xdr:col>
          <xdr:colOff>30480</xdr:colOff>
          <xdr:row>10</xdr:row>
          <xdr:rowOff>106680</xdr:rowOff>
        </xdr:to>
        <xdr:sp macro="" textlink="">
          <xdr:nvSpPr>
            <xdr:cNvPr id="2175" name="Button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3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J2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30480</xdr:colOff>
          <xdr:row>10</xdr:row>
          <xdr:rowOff>182880</xdr:rowOff>
        </xdr:from>
        <xdr:to>
          <xdr:col>20</xdr:col>
          <xdr:colOff>30480</xdr:colOff>
          <xdr:row>12</xdr:row>
          <xdr:rowOff>152400</xdr:rowOff>
        </xdr:to>
        <xdr:sp macro="" textlink="">
          <xdr:nvSpPr>
            <xdr:cNvPr id="2176" name="Button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3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J3 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68580</xdr:colOff>
          <xdr:row>10</xdr:row>
          <xdr:rowOff>182880</xdr:rowOff>
        </xdr:from>
        <xdr:to>
          <xdr:col>22</xdr:col>
          <xdr:colOff>30480</xdr:colOff>
          <xdr:row>12</xdr:row>
          <xdr:rowOff>182880</xdr:rowOff>
        </xdr:to>
        <xdr:sp macro="" textlink="">
          <xdr:nvSpPr>
            <xdr:cNvPr id="2177" name="Button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3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J3 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30480</xdr:colOff>
          <xdr:row>13</xdr:row>
          <xdr:rowOff>68580</xdr:rowOff>
        </xdr:from>
        <xdr:to>
          <xdr:col>20</xdr:col>
          <xdr:colOff>30480</xdr:colOff>
          <xdr:row>15</xdr:row>
          <xdr:rowOff>68580</xdr:rowOff>
        </xdr:to>
        <xdr:sp macro="" textlink="">
          <xdr:nvSpPr>
            <xdr:cNvPr id="2178" name="Button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3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30480</xdr:colOff>
          <xdr:row>16</xdr:row>
          <xdr:rowOff>68580</xdr:rowOff>
        </xdr:from>
        <xdr:to>
          <xdr:col>20</xdr:col>
          <xdr:colOff>30480</xdr:colOff>
          <xdr:row>18</xdr:row>
          <xdr:rowOff>30480</xdr:rowOff>
        </xdr:to>
        <xdr:sp macro="" textlink="">
          <xdr:nvSpPr>
            <xdr:cNvPr id="2179" name="Button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3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6600"/>
                  </a:solidFill>
                  <a:latin typeface="Courier"/>
                </a:rPr>
                <a:t>SCH  K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8</xdr:row>
          <xdr:rowOff>106680</xdr:rowOff>
        </xdr:from>
        <xdr:to>
          <xdr:col>24</xdr:col>
          <xdr:colOff>30480</xdr:colOff>
          <xdr:row>10</xdr:row>
          <xdr:rowOff>106680</xdr:rowOff>
        </xdr:to>
        <xdr:sp macro="" textlink="">
          <xdr:nvSpPr>
            <xdr:cNvPr id="2180" name="Button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3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RB vs Cap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Reconciliation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</xdr:row>
          <xdr:rowOff>182880</xdr:rowOff>
        </xdr:from>
        <xdr:to>
          <xdr:col>1</xdr:col>
          <xdr:colOff>533400</xdr:colOff>
          <xdr:row>7</xdr:row>
          <xdr:rowOff>152400</xdr:rowOff>
        </xdr:to>
        <xdr:sp macro="" textlink="">
          <xdr:nvSpPr>
            <xdr:cNvPr id="2181" name="Button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3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8</xdr:row>
          <xdr:rowOff>68580</xdr:rowOff>
        </xdr:from>
        <xdr:to>
          <xdr:col>1</xdr:col>
          <xdr:colOff>533400</xdr:colOff>
          <xdr:row>10</xdr:row>
          <xdr:rowOff>68580</xdr:rowOff>
        </xdr:to>
        <xdr:sp macro="" textlink="">
          <xdr:nvSpPr>
            <xdr:cNvPr id="2182" name="Button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3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10</xdr:row>
          <xdr:rowOff>144780</xdr:rowOff>
        </xdr:from>
        <xdr:to>
          <xdr:col>1</xdr:col>
          <xdr:colOff>533400</xdr:colOff>
          <xdr:row>12</xdr:row>
          <xdr:rowOff>144780</xdr:rowOff>
        </xdr:to>
        <xdr:sp macro="" textlink="">
          <xdr:nvSpPr>
            <xdr:cNvPr id="2183" name="Button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3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13</xdr:row>
          <xdr:rowOff>30480</xdr:rowOff>
        </xdr:from>
        <xdr:to>
          <xdr:col>1</xdr:col>
          <xdr:colOff>533400</xdr:colOff>
          <xdr:row>15</xdr:row>
          <xdr:rowOff>30480</xdr:rowOff>
        </xdr:to>
        <xdr:sp macro="" textlink="">
          <xdr:nvSpPr>
            <xdr:cNvPr id="2184" name="Button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3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15</xdr:row>
          <xdr:rowOff>114300</xdr:rowOff>
        </xdr:from>
        <xdr:to>
          <xdr:col>1</xdr:col>
          <xdr:colOff>533400</xdr:colOff>
          <xdr:row>17</xdr:row>
          <xdr:rowOff>106680</xdr:rowOff>
        </xdr:to>
        <xdr:sp macro="" textlink="">
          <xdr:nvSpPr>
            <xdr:cNvPr id="2185" name="Button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3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18</xdr:row>
          <xdr:rowOff>0</xdr:rowOff>
        </xdr:from>
        <xdr:to>
          <xdr:col>1</xdr:col>
          <xdr:colOff>533400</xdr:colOff>
          <xdr:row>19</xdr:row>
          <xdr:rowOff>182880</xdr:rowOff>
        </xdr:to>
        <xdr:sp macro="" textlink="">
          <xdr:nvSpPr>
            <xdr:cNvPr id="2186" name="Button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3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20</xdr:row>
          <xdr:rowOff>106680</xdr:rowOff>
        </xdr:from>
        <xdr:to>
          <xdr:col>1</xdr:col>
          <xdr:colOff>533400</xdr:colOff>
          <xdr:row>22</xdr:row>
          <xdr:rowOff>76200</xdr:rowOff>
        </xdr:to>
        <xdr:sp macro="" textlink="">
          <xdr:nvSpPr>
            <xdr:cNvPr id="2187" name="Button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3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22</xdr:row>
          <xdr:rowOff>182880</xdr:rowOff>
        </xdr:from>
        <xdr:to>
          <xdr:col>1</xdr:col>
          <xdr:colOff>533400</xdr:colOff>
          <xdr:row>24</xdr:row>
          <xdr:rowOff>182880</xdr:rowOff>
        </xdr:to>
        <xdr:sp macro="" textlink="">
          <xdr:nvSpPr>
            <xdr:cNvPr id="2188" name="Button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3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1</xdr:row>
          <xdr:rowOff>30480</xdr:rowOff>
        </xdr:from>
        <xdr:to>
          <xdr:col>3</xdr:col>
          <xdr:colOff>563880</xdr:colOff>
          <xdr:row>3</xdr:row>
          <xdr:rowOff>30480</xdr:rowOff>
        </xdr:to>
        <xdr:sp macro="" textlink="">
          <xdr:nvSpPr>
            <xdr:cNvPr id="2211" name="Button 163" hidden="1">
              <a:extLst>
                <a:ext uri="{63B3BB69-23CF-44E3-9099-C40C66FF867C}">
                  <a14:compatExt spid="_x0000_s2211"/>
                </a:ext>
                <a:ext uri="{FF2B5EF4-FFF2-40B4-BE49-F238E27FC236}">
                  <a16:creationId xmlns:a16="http://schemas.microsoft.com/office/drawing/2014/main" id="{00000000-0008-0000-0300-0000A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3</xdr:row>
          <xdr:rowOff>144780</xdr:rowOff>
        </xdr:from>
        <xdr:to>
          <xdr:col>3</xdr:col>
          <xdr:colOff>563880</xdr:colOff>
          <xdr:row>5</xdr:row>
          <xdr:rowOff>114300</xdr:rowOff>
        </xdr:to>
        <xdr:sp macro="" textlink="">
          <xdr:nvSpPr>
            <xdr:cNvPr id="2212" name="Button 164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3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6</xdr:row>
          <xdr:rowOff>30480</xdr:rowOff>
        </xdr:from>
        <xdr:to>
          <xdr:col>3</xdr:col>
          <xdr:colOff>563880</xdr:colOff>
          <xdr:row>8</xdr:row>
          <xdr:rowOff>30480</xdr:rowOff>
        </xdr:to>
        <xdr:sp macro="" textlink="">
          <xdr:nvSpPr>
            <xdr:cNvPr id="2213" name="Button 165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3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8</xdr:row>
          <xdr:rowOff>106680</xdr:rowOff>
        </xdr:from>
        <xdr:to>
          <xdr:col>3</xdr:col>
          <xdr:colOff>563880</xdr:colOff>
          <xdr:row>10</xdr:row>
          <xdr:rowOff>106680</xdr:rowOff>
        </xdr:to>
        <xdr:sp macro="" textlink="">
          <xdr:nvSpPr>
            <xdr:cNvPr id="2214" name="Button 166" hidden="1">
              <a:extLst>
                <a:ext uri="{63B3BB69-23CF-44E3-9099-C40C66FF867C}">
                  <a14:compatExt spid="_x0000_s2214"/>
                </a:ext>
                <a:ext uri="{FF2B5EF4-FFF2-40B4-BE49-F238E27FC236}">
                  <a16:creationId xmlns:a16="http://schemas.microsoft.com/office/drawing/2014/main" id="{00000000-0008-0000-0300-0000A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10</xdr:row>
          <xdr:rowOff>182880</xdr:rowOff>
        </xdr:from>
        <xdr:to>
          <xdr:col>3</xdr:col>
          <xdr:colOff>563880</xdr:colOff>
          <xdr:row>12</xdr:row>
          <xdr:rowOff>182880</xdr:rowOff>
        </xdr:to>
        <xdr:sp macro="" textlink="">
          <xdr:nvSpPr>
            <xdr:cNvPr id="2215" name="Button 167" hidden="1">
              <a:extLst>
                <a:ext uri="{63B3BB69-23CF-44E3-9099-C40C66FF867C}">
                  <a14:compatExt spid="_x0000_s2215"/>
                </a:ext>
                <a:ext uri="{FF2B5EF4-FFF2-40B4-BE49-F238E27FC236}">
                  <a16:creationId xmlns:a16="http://schemas.microsoft.com/office/drawing/2014/main" id="{00000000-0008-0000-0300-0000A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B4.1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68580</xdr:colOff>
          <xdr:row>20</xdr:row>
          <xdr:rowOff>182880</xdr:rowOff>
        </xdr:from>
        <xdr:to>
          <xdr:col>27</xdr:col>
          <xdr:colOff>30480</xdr:colOff>
          <xdr:row>22</xdr:row>
          <xdr:rowOff>182880</xdr:rowOff>
        </xdr:to>
        <xdr:sp macro="" textlink="">
          <xdr:nvSpPr>
            <xdr:cNvPr id="2218" name="Button 170" hidden="1">
              <a:extLst>
                <a:ext uri="{63B3BB69-23CF-44E3-9099-C40C66FF867C}">
                  <a14:compatExt spid="_x0000_s2218"/>
                </a:ext>
                <a:ext uri="{FF2B5EF4-FFF2-40B4-BE49-F238E27FC236}">
                  <a16:creationId xmlns:a16="http://schemas.microsoft.com/office/drawing/2014/main" id="{00000000-0008-0000-0300-0000A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Times New Roman"/>
                  <a:cs typeface="Times New Roman"/>
                </a:rPr>
                <a:t>PRINT J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68580</xdr:colOff>
          <xdr:row>1</xdr:row>
          <xdr:rowOff>30480</xdr:rowOff>
        </xdr:from>
        <xdr:to>
          <xdr:col>12</xdr:col>
          <xdr:colOff>30480</xdr:colOff>
          <xdr:row>2</xdr:row>
          <xdr:rowOff>182880</xdr:rowOff>
        </xdr:to>
        <xdr:sp macro="" textlink="">
          <xdr:nvSpPr>
            <xdr:cNvPr id="2222" name="Button 174" hidden="1">
              <a:extLst>
                <a:ext uri="{63B3BB69-23CF-44E3-9099-C40C66FF867C}">
                  <a14:compatExt spid="_x0000_s2222"/>
                </a:ext>
                <a:ext uri="{FF2B5EF4-FFF2-40B4-BE49-F238E27FC236}">
                  <a16:creationId xmlns:a16="http://schemas.microsoft.com/office/drawing/2014/main" id="{00000000-0008-0000-0300-0000A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68580</xdr:colOff>
          <xdr:row>22</xdr:row>
          <xdr:rowOff>182880</xdr:rowOff>
        </xdr:from>
        <xdr:to>
          <xdr:col>14</xdr:col>
          <xdr:colOff>76200</xdr:colOff>
          <xdr:row>24</xdr:row>
          <xdr:rowOff>144780</xdr:rowOff>
        </xdr:to>
        <xdr:sp macro="" textlink="">
          <xdr:nvSpPr>
            <xdr:cNvPr id="2226" name="Button 178" hidden="1">
              <a:extLst>
                <a:ext uri="{63B3BB69-23CF-44E3-9099-C40C66FF867C}">
                  <a14:compatExt spid="_x0000_s2226"/>
                </a:ext>
                <a:ext uri="{FF2B5EF4-FFF2-40B4-BE49-F238E27FC236}">
                  <a16:creationId xmlns:a16="http://schemas.microsoft.com/office/drawing/2014/main" id="{00000000-0008-0000-0300-0000B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FF00"/>
                  </a:solidFill>
                  <a:latin typeface="Courier"/>
                </a:rPr>
                <a:t>SCH E1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68580</xdr:colOff>
          <xdr:row>25</xdr:row>
          <xdr:rowOff>68580</xdr:rowOff>
        </xdr:from>
        <xdr:to>
          <xdr:col>15</xdr:col>
          <xdr:colOff>30480</xdr:colOff>
          <xdr:row>27</xdr:row>
          <xdr:rowOff>68580</xdr:rowOff>
        </xdr:to>
        <xdr:sp macro="" textlink="">
          <xdr:nvSpPr>
            <xdr:cNvPr id="2227" name="Button 179" hidden="1">
              <a:extLst>
                <a:ext uri="{63B3BB69-23CF-44E3-9099-C40C66FF867C}">
                  <a14:compatExt spid="_x0000_s2227"/>
                </a:ext>
                <a:ext uri="{FF2B5EF4-FFF2-40B4-BE49-F238E27FC236}">
                  <a16:creationId xmlns:a16="http://schemas.microsoft.com/office/drawing/2014/main" id="{00000000-0008-0000-0300-0000B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FF00"/>
                  </a:solidFill>
                  <a:latin typeface="Courier"/>
                </a:rPr>
                <a:t>SCH E2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29</xdr:row>
          <xdr:rowOff>144780</xdr:rowOff>
        </xdr:from>
        <xdr:to>
          <xdr:col>10</xdr:col>
          <xdr:colOff>30480</xdr:colOff>
          <xdr:row>31</xdr:row>
          <xdr:rowOff>114300</xdr:rowOff>
        </xdr:to>
        <xdr:sp macro="" textlink="">
          <xdr:nvSpPr>
            <xdr:cNvPr id="2233" name="Button 185" hidden="1">
              <a:extLst>
                <a:ext uri="{63B3BB69-23CF-44E3-9099-C40C66FF867C}">
                  <a14:compatExt spid="_x0000_s2233"/>
                </a:ext>
                <a:ext uri="{FF2B5EF4-FFF2-40B4-BE49-F238E27FC236}">
                  <a16:creationId xmlns:a16="http://schemas.microsoft.com/office/drawing/2014/main" id="{00000000-0008-0000-0300-0000B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27</xdr:row>
          <xdr:rowOff>106680</xdr:rowOff>
        </xdr:from>
        <xdr:to>
          <xdr:col>10</xdr:col>
          <xdr:colOff>30480</xdr:colOff>
          <xdr:row>29</xdr:row>
          <xdr:rowOff>76200</xdr:rowOff>
        </xdr:to>
        <xdr:sp macro="" textlink="">
          <xdr:nvSpPr>
            <xdr:cNvPr id="2234" name="Button 186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300-0000B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31</xdr:row>
          <xdr:rowOff>190500</xdr:rowOff>
        </xdr:from>
        <xdr:to>
          <xdr:col>10</xdr:col>
          <xdr:colOff>30480</xdr:colOff>
          <xdr:row>33</xdr:row>
          <xdr:rowOff>190500</xdr:rowOff>
        </xdr:to>
        <xdr:sp macro="" textlink="">
          <xdr:nvSpPr>
            <xdr:cNvPr id="2235" name="Button 187" hidden="1">
              <a:extLst>
                <a:ext uri="{63B3BB69-23CF-44E3-9099-C40C66FF867C}">
                  <a14:compatExt spid="_x0000_s2235"/>
                </a:ext>
                <a:ext uri="{FF2B5EF4-FFF2-40B4-BE49-F238E27FC236}">
                  <a16:creationId xmlns:a16="http://schemas.microsoft.com/office/drawing/2014/main" id="{00000000-0008-0000-0300-0000B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34</xdr:row>
          <xdr:rowOff>68580</xdr:rowOff>
        </xdr:from>
        <xdr:to>
          <xdr:col>10</xdr:col>
          <xdr:colOff>30480</xdr:colOff>
          <xdr:row>36</xdr:row>
          <xdr:rowOff>68580</xdr:rowOff>
        </xdr:to>
        <xdr:sp macro="" textlink="">
          <xdr:nvSpPr>
            <xdr:cNvPr id="2236" name="Button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3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36</xdr:row>
          <xdr:rowOff>144780</xdr:rowOff>
        </xdr:from>
        <xdr:to>
          <xdr:col>10</xdr:col>
          <xdr:colOff>30480</xdr:colOff>
          <xdr:row>38</xdr:row>
          <xdr:rowOff>144780</xdr:rowOff>
        </xdr:to>
        <xdr:sp macro="" textlink="">
          <xdr:nvSpPr>
            <xdr:cNvPr id="2237" name="Button 189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3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68580</xdr:colOff>
          <xdr:row>3</xdr:row>
          <xdr:rowOff>106680</xdr:rowOff>
        </xdr:from>
        <xdr:to>
          <xdr:col>12</xdr:col>
          <xdr:colOff>30480</xdr:colOff>
          <xdr:row>5</xdr:row>
          <xdr:rowOff>106680</xdr:rowOff>
        </xdr:to>
        <xdr:sp macro="" textlink="">
          <xdr:nvSpPr>
            <xdr:cNvPr id="2238" name="Button 190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3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106680</xdr:colOff>
          <xdr:row>5</xdr:row>
          <xdr:rowOff>182880</xdr:rowOff>
        </xdr:from>
        <xdr:to>
          <xdr:col>12</xdr:col>
          <xdr:colOff>30480</xdr:colOff>
          <xdr:row>7</xdr:row>
          <xdr:rowOff>182880</xdr:rowOff>
        </xdr:to>
        <xdr:sp macro="" textlink="">
          <xdr:nvSpPr>
            <xdr:cNvPr id="2239" name="Button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3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106680</xdr:colOff>
          <xdr:row>8</xdr:row>
          <xdr:rowOff>68580</xdr:rowOff>
        </xdr:from>
        <xdr:to>
          <xdr:col>12</xdr:col>
          <xdr:colOff>30480</xdr:colOff>
          <xdr:row>10</xdr:row>
          <xdr:rowOff>68580</xdr:rowOff>
        </xdr:to>
        <xdr:sp macro="" textlink="">
          <xdr:nvSpPr>
            <xdr:cNvPr id="2240" name="Button 192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3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106680</xdr:colOff>
          <xdr:row>10</xdr:row>
          <xdr:rowOff>144780</xdr:rowOff>
        </xdr:from>
        <xdr:to>
          <xdr:col>11</xdr:col>
          <xdr:colOff>563880</xdr:colOff>
          <xdr:row>12</xdr:row>
          <xdr:rowOff>144780</xdr:rowOff>
        </xdr:to>
        <xdr:sp macro="" textlink="">
          <xdr:nvSpPr>
            <xdr:cNvPr id="2241" name="Button 193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3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76200</xdr:colOff>
          <xdr:row>12</xdr:row>
          <xdr:rowOff>182880</xdr:rowOff>
        </xdr:from>
        <xdr:to>
          <xdr:col>11</xdr:col>
          <xdr:colOff>563880</xdr:colOff>
          <xdr:row>14</xdr:row>
          <xdr:rowOff>182880</xdr:rowOff>
        </xdr:to>
        <xdr:sp macro="" textlink="">
          <xdr:nvSpPr>
            <xdr:cNvPr id="2242" name="Button 194" hidden="1">
              <a:extLst>
                <a:ext uri="{63B3BB69-23CF-44E3-9099-C40C66FF867C}">
                  <a14:compatExt spid="_x0000_s2242"/>
                </a:ext>
                <a:ext uri="{FF2B5EF4-FFF2-40B4-BE49-F238E27FC236}">
                  <a16:creationId xmlns:a16="http://schemas.microsoft.com/office/drawing/2014/main" id="{00000000-0008-0000-0300-0000C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76200</xdr:colOff>
          <xdr:row>15</xdr:row>
          <xdr:rowOff>68580</xdr:rowOff>
        </xdr:from>
        <xdr:to>
          <xdr:col>11</xdr:col>
          <xdr:colOff>563880</xdr:colOff>
          <xdr:row>17</xdr:row>
          <xdr:rowOff>68580</xdr:rowOff>
        </xdr:to>
        <xdr:sp macro="" textlink="">
          <xdr:nvSpPr>
            <xdr:cNvPr id="2243" name="Button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3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76200</xdr:colOff>
          <xdr:row>17</xdr:row>
          <xdr:rowOff>182880</xdr:rowOff>
        </xdr:from>
        <xdr:to>
          <xdr:col>11</xdr:col>
          <xdr:colOff>563880</xdr:colOff>
          <xdr:row>19</xdr:row>
          <xdr:rowOff>152400</xdr:rowOff>
        </xdr:to>
        <xdr:sp macro="" textlink="">
          <xdr:nvSpPr>
            <xdr:cNvPr id="2244" name="Button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3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76200</xdr:colOff>
          <xdr:row>20</xdr:row>
          <xdr:rowOff>38100</xdr:rowOff>
        </xdr:from>
        <xdr:to>
          <xdr:col>11</xdr:col>
          <xdr:colOff>563880</xdr:colOff>
          <xdr:row>22</xdr:row>
          <xdr:rowOff>30480</xdr:rowOff>
        </xdr:to>
        <xdr:sp macro="" textlink="">
          <xdr:nvSpPr>
            <xdr:cNvPr id="2245" name="Button 197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3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30480</xdr:colOff>
          <xdr:row>22</xdr:row>
          <xdr:rowOff>152400</xdr:rowOff>
        </xdr:from>
        <xdr:to>
          <xdr:col>12</xdr:col>
          <xdr:colOff>30480</xdr:colOff>
          <xdr:row>24</xdr:row>
          <xdr:rowOff>144780</xdr:rowOff>
        </xdr:to>
        <xdr:sp macro="" textlink="">
          <xdr:nvSpPr>
            <xdr:cNvPr id="2246" name="Button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3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30480</xdr:colOff>
          <xdr:row>25</xdr:row>
          <xdr:rowOff>68580</xdr:rowOff>
        </xdr:from>
        <xdr:to>
          <xdr:col>12</xdr:col>
          <xdr:colOff>30480</xdr:colOff>
          <xdr:row>27</xdr:row>
          <xdr:rowOff>38100</xdr:rowOff>
        </xdr:to>
        <xdr:sp macro="" textlink="">
          <xdr:nvSpPr>
            <xdr:cNvPr id="2247" name="Button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3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30480</xdr:colOff>
          <xdr:row>27</xdr:row>
          <xdr:rowOff>106680</xdr:rowOff>
        </xdr:from>
        <xdr:to>
          <xdr:col>12</xdr:col>
          <xdr:colOff>30480</xdr:colOff>
          <xdr:row>29</xdr:row>
          <xdr:rowOff>76200</xdr:rowOff>
        </xdr:to>
        <xdr:sp macro="" textlink="">
          <xdr:nvSpPr>
            <xdr:cNvPr id="2248" name="Button 200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3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30480</xdr:colOff>
          <xdr:row>29</xdr:row>
          <xdr:rowOff>144780</xdr:rowOff>
        </xdr:from>
        <xdr:to>
          <xdr:col>12</xdr:col>
          <xdr:colOff>30480</xdr:colOff>
          <xdr:row>31</xdr:row>
          <xdr:rowOff>144780</xdr:rowOff>
        </xdr:to>
        <xdr:sp macro="" textlink="">
          <xdr:nvSpPr>
            <xdr:cNvPr id="2249" name="Button 201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3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D2.39</a:t>
              </a:r>
            </a:p>
          </xdr:txBody>
        </xdr:sp>
        <xdr:clientData fPrintsWithSheet="0"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624840</xdr:colOff>
      <xdr:row>96</xdr:row>
      <xdr:rowOff>144780</xdr:rowOff>
    </xdr:from>
    <xdr:to>
      <xdr:col>17</xdr:col>
      <xdr:colOff>635000</xdr:colOff>
      <xdr:row>97</xdr:row>
      <xdr:rowOff>101600</xdr:rowOff>
    </xdr:to>
    <xdr:sp macro="" textlink="">
      <xdr:nvSpPr>
        <xdr:cNvPr id="50177" name="Line 1">
          <a:extLst>
            <a:ext uri="{FF2B5EF4-FFF2-40B4-BE49-F238E27FC236}">
              <a16:creationId xmlns:a16="http://schemas.microsoft.com/office/drawing/2014/main" id="{00000000-0008-0000-3E00-000001C40000}"/>
            </a:ext>
          </a:extLst>
        </xdr:cNvPr>
        <xdr:cNvSpPr>
          <a:spLocks noChangeShapeType="1"/>
        </xdr:cNvSpPr>
      </xdr:nvSpPr>
      <xdr:spPr bwMode="auto">
        <a:xfrm flipH="1" flipV="1">
          <a:off x="17913773" y="21006647"/>
          <a:ext cx="10160" cy="1346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</xdr:colOff>
      <xdr:row>26</xdr:row>
      <xdr:rowOff>114300</xdr:rowOff>
    </xdr:from>
    <xdr:to>
      <xdr:col>8</xdr:col>
      <xdr:colOff>708660</xdr:colOff>
      <xdr:row>26</xdr:row>
      <xdr:rowOff>114300</xdr:rowOff>
    </xdr:to>
    <xdr:sp macro="" textlink="">
      <xdr:nvSpPr>
        <xdr:cNvPr id="54273" name="Line 1">
          <a:extLst>
            <a:ext uri="{FF2B5EF4-FFF2-40B4-BE49-F238E27FC236}">
              <a16:creationId xmlns:a16="http://schemas.microsoft.com/office/drawing/2014/main" id="{00000000-0008-0000-3F00-000001D40000}"/>
            </a:ext>
          </a:extLst>
        </xdr:cNvPr>
        <xdr:cNvSpPr>
          <a:spLocks noChangeShapeType="1"/>
        </xdr:cNvSpPr>
      </xdr:nvSpPr>
      <xdr:spPr bwMode="auto">
        <a:xfrm flipH="1">
          <a:off x="5890260" y="4472940"/>
          <a:ext cx="6629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15</xdr:row>
      <xdr:rowOff>0</xdr:rowOff>
    </xdr:from>
    <xdr:to>
      <xdr:col>9</xdr:col>
      <xdr:colOff>76200</xdr:colOff>
      <xdr:row>15</xdr:row>
      <xdr:rowOff>19050</xdr:rowOff>
    </xdr:to>
    <xdr:pic>
      <xdr:nvPicPr>
        <xdr:cNvPr id="2" name="Picture 1" descr="BolC">
          <a:extLst>
            <a:ext uri="{FF2B5EF4-FFF2-40B4-BE49-F238E27FC236}">
              <a16:creationId xmlns:a16="http://schemas.microsoft.com/office/drawing/2014/main" id="{E8A3A5C3-D93F-48D7-BE95-2D259C6A8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1020425"/>
          <a:ext cx="76200" cy="7620"/>
        </a:xfrm>
        <a:prstGeom prst="rect">
          <a:avLst/>
        </a:prstGeom>
        <a:noFill/>
      </xdr:spPr>
    </xdr:pic>
    <xdr:clientData/>
  </xdr:twoCellAnchor>
  <xdr:oneCellAnchor>
    <xdr:from>
      <xdr:col>9</xdr:col>
      <xdr:colOff>0</xdr:colOff>
      <xdr:row>15</xdr:row>
      <xdr:rowOff>0</xdr:rowOff>
    </xdr:from>
    <xdr:ext cx="76200" cy="7620"/>
    <xdr:pic>
      <xdr:nvPicPr>
        <xdr:cNvPr id="3" name="Picture 2" descr="BolC">
          <a:extLst>
            <a:ext uri="{FF2B5EF4-FFF2-40B4-BE49-F238E27FC236}">
              <a16:creationId xmlns:a16="http://schemas.microsoft.com/office/drawing/2014/main" id="{9141DEEB-5DA3-4632-B1A5-B8BDED2E8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102042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4" name="Picture 3" descr="BolC">
          <a:extLst>
            <a:ext uri="{FF2B5EF4-FFF2-40B4-BE49-F238E27FC236}">
              <a16:creationId xmlns:a16="http://schemas.microsoft.com/office/drawing/2014/main" id="{1A294D39-B65A-4FE6-BF66-FCF61F2E2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102042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5" name="Picture 4" descr="BolC">
          <a:extLst>
            <a:ext uri="{FF2B5EF4-FFF2-40B4-BE49-F238E27FC236}">
              <a16:creationId xmlns:a16="http://schemas.microsoft.com/office/drawing/2014/main" id="{06874C05-3D32-4963-B384-B99E1897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16967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6" name="Picture 5" descr="BolC">
          <a:extLst>
            <a:ext uri="{FF2B5EF4-FFF2-40B4-BE49-F238E27FC236}">
              <a16:creationId xmlns:a16="http://schemas.microsoft.com/office/drawing/2014/main" id="{119BF0A1-769D-4499-A958-E4DEED806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185862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7" name="Picture 6" descr="BolC">
          <a:extLst>
            <a:ext uri="{FF2B5EF4-FFF2-40B4-BE49-F238E27FC236}">
              <a16:creationId xmlns:a16="http://schemas.microsoft.com/office/drawing/2014/main" id="{33542350-0C4D-41A2-B59A-6A3E08584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8" name="Picture 7" descr="BolC">
          <a:extLst>
            <a:ext uri="{FF2B5EF4-FFF2-40B4-BE49-F238E27FC236}">
              <a16:creationId xmlns:a16="http://schemas.microsoft.com/office/drawing/2014/main" id="{F8DD945D-D9BF-4FAC-BCDE-B5C14F4EE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9" name="Picture 8" descr="BolC">
          <a:extLst>
            <a:ext uri="{FF2B5EF4-FFF2-40B4-BE49-F238E27FC236}">
              <a16:creationId xmlns:a16="http://schemas.microsoft.com/office/drawing/2014/main" id="{8F876893-DE6E-47A0-A103-D103A243C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83017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10" name="Picture 9" descr="BolC">
          <a:extLst>
            <a:ext uri="{FF2B5EF4-FFF2-40B4-BE49-F238E27FC236}">
              <a16:creationId xmlns:a16="http://schemas.microsoft.com/office/drawing/2014/main" id="{47CAAD03-1B57-4D01-B566-2DECA645D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6682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11" name="Picture 10" descr="BolC">
          <a:extLst>
            <a:ext uri="{FF2B5EF4-FFF2-40B4-BE49-F238E27FC236}">
              <a16:creationId xmlns:a16="http://schemas.microsoft.com/office/drawing/2014/main" id="{69212316-948E-4D47-8E83-01C552697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153477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12" name="Picture 11" descr="BolC">
          <a:extLst>
            <a:ext uri="{FF2B5EF4-FFF2-40B4-BE49-F238E27FC236}">
              <a16:creationId xmlns:a16="http://schemas.microsoft.com/office/drawing/2014/main" id="{2A3F06F6-5D65-47E4-9743-7C312D5A9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153477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13" name="Picture 12" descr="BolC">
          <a:extLst>
            <a:ext uri="{FF2B5EF4-FFF2-40B4-BE49-F238E27FC236}">
              <a16:creationId xmlns:a16="http://schemas.microsoft.com/office/drawing/2014/main" id="{A5092390-BD19-4A30-8B91-C75B8813F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153477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14" name="Picture 13" descr="BolC">
          <a:extLst>
            <a:ext uri="{FF2B5EF4-FFF2-40B4-BE49-F238E27FC236}">
              <a16:creationId xmlns:a16="http://schemas.microsoft.com/office/drawing/2014/main" id="{918C1EEA-7952-41A3-B211-EAC271F49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15" name="Picture 14" descr="BolC">
          <a:extLst>
            <a:ext uri="{FF2B5EF4-FFF2-40B4-BE49-F238E27FC236}">
              <a16:creationId xmlns:a16="http://schemas.microsoft.com/office/drawing/2014/main" id="{298BF228-11CD-462B-8A2F-01EDA9DCD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16" name="Picture 15" descr="BolC">
          <a:extLst>
            <a:ext uri="{FF2B5EF4-FFF2-40B4-BE49-F238E27FC236}">
              <a16:creationId xmlns:a16="http://schemas.microsoft.com/office/drawing/2014/main" id="{BEA40B6B-F930-4262-B3DE-34676F527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17" name="Picture 16" descr="BolC">
          <a:extLst>
            <a:ext uri="{FF2B5EF4-FFF2-40B4-BE49-F238E27FC236}">
              <a16:creationId xmlns:a16="http://schemas.microsoft.com/office/drawing/2014/main" id="{C95F37B0-8126-47E6-BD9E-9414CAFF4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18" name="Picture 17" descr="BolC">
          <a:extLst>
            <a:ext uri="{FF2B5EF4-FFF2-40B4-BE49-F238E27FC236}">
              <a16:creationId xmlns:a16="http://schemas.microsoft.com/office/drawing/2014/main" id="{CC4D9619-01E8-41B0-9EA9-DFFAF52DD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19" name="Picture 18" descr="BolC">
          <a:extLst>
            <a:ext uri="{FF2B5EF4-FFF2-40B4-BE49-F238E27FC236}">
              <a16:creationId xmlns:a16="http://schemas.microsoft.com/office/drawing/2014/main" id="{9C40F505-3574-4FFF-94EA-AE8F3F165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20" name="Picture 19" descr="BolC">
          <a:extLst>
            <a:ext uri="{FF2B5EF4-FFF2-40B4-BE49-F238E27FC236}">
              <a16:creationId xmlns:a16="http://schemas.microsoft.com/office/drawing/2014/main" id="{DB8EC228-E151-4E7D-AD01-D00189528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50632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21" name="Picture 20" descr="BolC">
          <a:extLst>
            <a:ext uri="{FF2B5EF4-FFF2-40B4-BE49-F238E27FC236}">
              <a16:creationId xmlns:a16="http://schemas.microsoft.com/office/drawing/2014/main" id="{F140EE4B-F68E-4554-BCC1-AE8C689F1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50632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22" name="Picture 21" descr="BolC">
          <a:extLst>
            <a:ext uri="{FF2B5EF4-FFF2-40B4-BE49-F238E27FC236}">
              <a16:creationId xmlns:a16="http://schemas.microsoft.com/office/drawing/2014/main" id="{A65763A4-9306-468D-9ACB-40F5C8BAE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50632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23" name="Picture 22" descr="BolC">
          <a:extLst>
            <a:ext uri="{FF2B5EF4-FFF2-40B4-BE49-F238E27FC236}">
              <a16:creationId xmlns:a16="http://schemas.microsoft.com/office/drawing/2014/main" id="{0A55B1D5-90C7-4A0E-8E8A-7BCBD2137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83017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24" name="Picture 23" descr="BolC">
          <a:extLst>
            <a:ext uri="{FF2B5EF4-FFF2-40B4-BE49-F238E27FC236}">
              <a16:creationId xmlns:a16="http://schemas.microsoft.com/office/drawing/2014/main" id="{D7996117-FB85-4588-88F9-EE17959D5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83017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25" name="Picture 24" descr="BolC">
          <a:extLst>
            <a:ext uri="{FF2B5EF4-FFF2-40B4-BE49-F238E27FC236}">
              <a16:creationId xmlns:a16="http://schemas.microsoft.com/office/drawing/2014/main" id="{8ADCA1B4-DB19-4E42-BA61-DA91F9C9C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83017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26" name="Picture 25" descr="BolC">
          <a:extLst>
            <a:ext uri="{FF2B5EF4-FFF2-40B4-BE49-F238E27FC236}">
              <a16:creationId xmlns:a16="http://schemas.microsoft.com/office/drawing/2014/main" id="{2BFED2C7-A408-4C95-B55D-8C67961B2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27" name="Picture 26" descr="BolC">
          <a:extLst>
            <a:ext uri="{FF2B5EF4-FFF2-40B4-BE49-F238E27FC236}">
              <a16:creationId xmlns:a16="http://schemas.microsoft.com/office/drawing/2014/main" id="{FC240198-60A9-4D22-97C0-B9C507EAD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28" name="Picture 27" descr="BolC">
          <a:extLst>
            <a:ext uri="{FF2B5EF4-FFF2-40B4-BE49-F238E27FC236}">
              <a16:creationId xmlns:a16="http://schemas.microsoft.com/office/drawing/2014/main" id="{D25F2A49-B5EC-4426-BC5B-3AF19AEEC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29" name="Picture 28" descr="BolC">
          <a:extLst>
            <a:ext uri="{FF2B5EF4-FFF2-40B4-BE49-F238E27FC236}">
              <a16:creationId xmlns:a16="http://schemas.microsoft.com/office/drawing/2014/main" id="{D270CF65-AF9A-4499-9A32-86465E756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30" name="Picture 29" descr="BolC">
          <a:extLst>
            <a:ext uri="{FF2B5EF4-FFF2-40B4-BE49-F238E27FC236}">
              <a16:creationId xmlns:a16="http://schemas.microsoft.com/office/drawing/2014/main" id="{AF5C0CE1-9CDE-4838-A5AB-F72138A85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31" name="Picture 30" descr="BolC">
          <a:extLst>
            <a:ext uri="{FF2B5EF4-FFF2-40B4-BE49-F238E27FC236}">
              <a16:creationId xmlns:a16="http://schemas.microsoft.com/office/drawing/2014/main" id="{6726EF44-886E-49B7-B02C-54A1D2BDA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32" name="Picture 31" descr="BolC">
          <a:extLst>
            <a:ext uri="{FF2B5EF4-FFF2-40B4-BE49-F238E27FC236}">
              <a16:creationId xmlns:a16="http://schemas.microsoft.com/office/drawing/2014/main" id="{5788DDE1-3418-47F2-A13D-F1B3DB155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33" name="Picture 32" descr="BolC">
          <a:extLst>
            <a:ext uri="{FF2B5EF4-FFF2-40B4-BE49-F238E27FC236}">
              <a16:creationId xmlns:a16="http://schemas.microsoft.com/office/drawing/2014/main" id="{2FF72265-FB02-4202-B1EB-0A2D8526C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34" name="Picture 33" descr="BolC">
          <a:extLst>
            <a:ext uri="{FF2B5EF4-FFF2-40B4-BE49-F238E27FC236}">
              <a16:creationId xmlns:a16="http://schemas.microsoft.com/office/drawing/2014/main" id="{0D267D93-8418-4EA3-9786-FD294B8FB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83017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35" name="Picture 34" descr="BolC">
          <a:extLst>
            <a:ext uri="{FF2B5EF4-FFF2-40B4-BE49-F238E27FC236}">
              <a16:creationId xmlns:a16="http://schemas.microsoft.com/office/drawing/2014/main" id="{0C1D0B06-D9C5-427E-98D8-1767E983A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83017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36" name="Picture 35" descr="BolC">
          <a:extLst>
            <a:ext uri="{FF2B5EF4-FFF2-40B4-BE49-F238E27FC236}">
              <a16:creationId xmlns:a16="http://schemas.microsoft.com/office/drawing/2014/main" id="{513DB945-3C3B-47E8-967C-CC1E2AC28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37" name="Picture 36" descr="BolC">
          <a:extLst>
            <a:ext uri="{FF2B5EF4-FFF2-40B4-BE49-F238E27FC236}">
              <a16:creationId xmlns:a16="http://schemas.microsoft.com/office/drawing/2014/main" id="{EF6DF43A-CED0-42A5-B0B8-53038EBA4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38" name="Picture 37" descr="BolC">
          <a:extLst>
            <a:ext uri="{FF2B5EF4-FFF2-40B4-BE49-F238E27FC236}">
              <a16:creationId xmlns:a16="http://schemas.microsoft.com/office/drawing/2014/main" id="{E673CA6C-9E69-434B-BB98-1CE1718C5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39" name="Picture 38" descr="BolC">
          <a:extLst>
            <a:ext uri="{FF2B5EF4-FFF2-40B4-BE49-F238E27FC236}">
              <a16:creationId xmlns:a16="http://schemas.microsoft.com/office/drawing/2014/main" id="{D80F2979-D433-4FB6-AEE2-B5C724C60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6682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40" name="Picture 39" descr="BolC">
          <a:extLst>
            <a:ext uri="{FF2B5EF4-FFF2-40B4-BE49-F238E27FC236}">
              <a16:creationId xmlns:a16="http://schemas.microsoft.com/office/drawing/2014/main" id="{7AC6E369-FF00-4C19-B6AC-21066C9D3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6682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41" name="Picture 40" descr="BolC">
          <a:extLst>
            <a:ext uri="{FF2B5EF4-FFF2-40B4-BE49-F238E27FC236}">
              <a16:creationId xmlns:a16="http://schemas.microsoft.com/office/drawing/2014/main" id="{167300E1-FAA7-4891-8517-E68AA4BE6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6682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42" name="Picture 41" descr="BolC">
          <a:extLst>
            <a:ext uri="{FF2B5EF4-FFF2-40B4-BE49-F238E27FC236}">
              <a16:creationId xmlns:a16="http://schemas.microsoft.com/office/drawing/2014/main" id="{4C11F9C4-17CB-4734-9635-8894A2C93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43" name="Picture 42" descr="BolC">
          <a:extLst>
            <a:ext uri="{FF2B5EF4-FFF2-40B4-BE49-F238E27FC236}">
              <a16:creationId xmlns:a16="http://schemas.microsoft.com/office/drawing/2014/main" id="{72C64D98-88A5-4A30-A8EF-D027A9165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44" name="Picture 43" descr="BolC">
          <a:extLst>
            <a:ext uri="{FF2B5EF4-FFF2-40B4-BE49-F238E27FC236}">
              <a16:creationId xmlns:a16="http://schemas.microsoft.com/office/drawing/2014/main" id="{D6685E09-8504-458C-A751-4F638B697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45" name="Picture 44" descr="BolC">
          <a:extLst>
            <a:ext uri="{FF2B5EF4-FFF2-40B4-BE49-F238E27FC236}">
              <a16:creationId xmlns:a16="http://schemas.microsoft.com/office/drawing/2014/main" id="{4F09443C-4ED9-4771-9C48-5DD073258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6682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46" name="Picture 45" descr="BolC">
          <a:extLst>
            <a:ext uri="{FF2B5EF4-FFF2-40B4-BE49-F238E27FC236}">
              <a16:creationId xmlns:a16="http://schemas.microsoft.com/office/drawing/2014/main" id="{EEA9F072-2C58-4155-A4C5-6D569336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83017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47" name="Picture 46" descr="BolC">
          <a:extLst>
            <a:ext uri="{FF2B5EF4-FFF2-40B4-BE49-F238E27FC236}">
              <a16:creationId xmlns:a16="http://schemas.microsoft.com/office/drawing/2014/main" id="{F8B98336-FD3F-42D3-8704-B8DD151DD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50632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48" name="Picture 47" descr="BolC">
          <a:extLst>
            <a:ext uri="{FF2B5EF4-FFF2-40B4-BE49-F238E27FC236}">
              <a16:creationId xmlns:a16="http://schemas.microsoft.com/office/drawing/2014/main" id="{8C4592CD-0E97-46AC-AAD0-7C9530AAE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50632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49" name="Picture 48" descr="BolC">
          <a:extLst>
            <a:ext uri="{FF2B5EF4-FFF2-40B4-BE49-F238E27FC236}">
              <a16:creationId xmlns:a16="http://schemas.microsoft.com/office/drawing/2014/main" id="{CF984FCC-04FE-400E-ABAC-22098A828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50632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50" name="Picture 49" descr="BolC">
          <a:extLst>
            <a:ext uri="{FF2B5EF4-FFF2-40B4-BE49-F238E27FC236}">
              <a16:creationId xmlns:a16="http://schemas.microsoft.com/office/drawing/2014/main" id="{83FB60D5-8FAD-4D62-A6E6-A56A27E03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51" name="Picture 50" descr="BolC">
          <a:extLst>
            <a:ext uri="{FF2B5EF4-FFF2-40B4-BE49-F238E27FC236}">
              <a16:creationId xmlns:a16="http://schemas.microsoft.com/office/drawing/2014/main" id="{C38EDA84-1EB2-4721-AEDB-8C3DF5AAD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52" name="Picture 51" descr="BolC">
          <a:extLst>
            <a:ext uri="{FF2B5EF4-FFF2-40B4-BE49-F238E27FC236}">
              <a16:creationId xmlns:a16="http://schemas.microsoft.com/office/drawing/2014/main" id="{910D4353-E46E-481E-AF08-83793FDD9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53" name="Picture 52" descr="BolC">
          <a:extLst>
            <a:ext uri="{FF2B5EF4-FFF2-40B4-BE49-F238E27FC236}">
              <a16:creationId xmlns:a16="http://schemas.microsoft.com/office/drawing/2014/main" id="{2A091451-80D9-4A7C-92EB-7CEEEBC24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54" name="Picture 53" descr="BolC">
          <a:extLst>
            <a:ext uri="{FF2B5EF4-FFF2-40B4-BE49-F238E27FC236}">
              <a16:creationId xmlns:a16="http://schemas.microsoft.com/office/drawing/2014/main" id="{E7076D77-215C-4D94-86AE-E5CABA8FC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55" name="Picture 54" descr="BolC">
          <a:extLst>
            <a:ext uri="{FF2B5EF4-FFF2-40B4-BE49-F238E27FC236}">
              <a16:creationId xmlns:a16="http://schemas.microsoft.com/office/drawing/2014/main" id="{7D118368-B501-41E5-A4C1-01963390C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56" name="Picture 55" descr="BolC">
          <a:extLst>
            <a:ext uri="{FF2B5EF4-FFF2-40B4-BE49-F238E27FC236}">
              <a16:creationId xmlns:a16="http://schemas.microsoft.com/office/drawing/2014/main" id="{BF87979E-B8E0-4A4D-A498-A9FACC486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57" name="Picture 56" descr="BolC">
          <a:extLst>
            <a:ext uri="{FF2B5EF4-FFF2-40B4-BE49-F238E27FC236}">
              <a16:creationId xmlns:a16="http://schemas.microsoft.com/office/drawing/2014/main" id="{074A8166-B145-4E66-9C64-5839C53BF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58" name="Picture 57" descr="BolC">
          <a:extLst>
            <a:ext uri="{FF2B5EF4-FFF2-40B4-BE49-F238E27FC236}">
              <a16:creationId xmlns:a16="http://schemas.microsoft.com/office/drawing/2014/main" id="{F998D5F8-C967-4B41-93AC-FFBF18A9A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59" name="Picture 58" descr="BolC">
          <a:extLst>
            <a:ext uri="{FF2B5EF4-FFF2-40B4-BE49-F238E27FC236}">
              <a16:creationId xmlns:a16="http://schemas.microsoft.com/office/drawing/2014/main" id="{4BAE44A5-ACD4-4397-BA95-3EEDA856F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60" name="Picture 59" descr="BolC">
          <a:extLst>
            <a:ext uri="{FF2B5EF4-FFF2-40B4-BE49-F238E27FC236}">
              <a16:creationId xmlns:a16="http://schemas.microsoft.com/office/drawing/2014/main" id="{D1868158-6C3A-4240-B7BC-564EA4F54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61" name="Picture 60" descr="BolC">
          <a:extLst>
            <a:ext uri="{FF2B5EF4-FFF2-40B4-BE49-F238E27FC236}">
              <a16:creationId xmlns:a16="http://schemas.microsoft.com/office/drawing/2014/main" id="{B3973215-DE1C-4010-B58A-9441E679C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62" name="Picture 61" descr="BolC">
          <a:extLst>
            <a:ext uri="{FF2B5EF4-FFF2-40B4-BE49-F238E27FC236}">
              <a16:creationId xmlns:a16="http://schemas.microsoft.com/office/drawing/2014/main" id="{A05B03CB-3841-4DB7-A417-88C57B57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18247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63" name="Picture 62" descr="BolC">
          <a:extLst>
            <a:ext uri="{FF2B5EF4-FFF2-40B4-BE49-F238E27FC236}">
              <a16:creationId xmlns:a16="http://schemas.microsoft.com/office/drawing/2014/main" id="{F661FE29-C2AC-4A68-90DF-21158A0C1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64" name="Picture 63" descr="BolC">
          <a:extLst>
            <a:ext uri="{FF2B5EF4-FFF2-40B4-BE49-F238E27FC236}">
              <a16:creationId xmlns:a16="http://schemas.microsoft.com/office/drawing/2014/main" id="{14CD1A06-7912-4FD1-B1FC-D8D7087D1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65" name="Picture 64" descr="BolC">
          <a:extLst>
            <a:ext uri="{FF2B5EF4-FFF2-40B4-BE49-F238E27FC236}">
              <a16:creationId xmlns:a16="http://schemas.microsoft.com/office/drawing/2014/main" id="{9F69F925-6269-425B-B7E4-BC483B04D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66" name="Picture 65" descr="BolC">
          <a:extLst>
            <a:ext uri="{FF2B5EF4-FFF2-40B4-BE49-F238E27FC236}">
              <a16:creationId xmlns:a16="http://schemas.microsoft.com/office/drawing/2014/main" id="{BD02243D-085F-485B-9E99-8FA47D40C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3444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67" name="Picture 66" descr="BolC">
          <a:extLst>
            <a:ext uri="{FF2B5EF4-FFF2-40B4-BE49-F238E27FC236}">
              <a16:creationId xmlns:a16="http://schemas.microsoft.com/office/drawing/2014/main" id="{29611D1B-2CD7-4A09-A869-37CFE6FAB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3444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68" name="Picture 67" descr="BolC">
          <a:extLst>
            <a:ext uri="{FF2B5EF4-FFF2-40B4-BE49-F238E27FC236}">
              <a16:creationId xmlns:a16="http://schemas.microsoft.com/office/drawing/2014/main" id="{EB9FDFF1-0BA6-431E-8665-07E73CDD9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3444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69" name="Picture 68" descr="BolC">
          <a:extLst>
            <a:ext uri="{FF2B5EF4-FFF2-40B4-BE49-F238E27FC236}">
              <a16:creationId xmlns:a16="http://schemas.microsoft.com/office/drawing/2014/main" id="{FB16FD82-FFA6-4EC5-8EAE-7D32AABEF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3444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70" name="Picture 69" descr="BolC">
          <a:extLst>
            <a:ext uri="{FF2B5EF4-FFF2-40B4-BE49-F238E27FC236}">
              <a16:creationId xmlns:a16="http://schemas.microsoft.com/office/drawing/2014/main" id="{E2F31D7F-D891-4824-ADB0-003A5A9DC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3444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71" name="Picture 70" descr="BolC">
          <a:extLst>
            <a:ext uri="{FF2B5EF4-FFF2-40B4-BE49-F238E27FC236}">
              <a16:creationId xmlns:a16="http://schemas.microsoft.com/office/drawing/2014/main" id="{1E4E1A90-A017-4751-A059-CF1B4C2DE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3444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72" name="Picture 71" descr="BolC">
          <a:extLst>
            <a:ext uri="{FF2B5EF4-FFF2-40B4-BE49-F238E27FC236}">
              <a16:creationId xmlns:a16="http://schemas.microsoft.com/office/drawing/2014/main" id="{E2E2103E-9DCE-4C08-AF72-A1FEBE0F8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6682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73" name="Picture 72" descr="BolC">
          <a:extLst>
            <a:ext uri="{FF2B5EF4-FFF2-40B4-BE49-F238E27FC236}">
              <a16:creationId xmlns:a16="http://schemas.microsoft.com/office/drawing/2014/main" id="{62472745-F437-45D6-99D6-0C4144E80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83017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74" name="Picture 73" descr="BolC">
          <a:extLst>
            <a:ext uri="{FF2B5EF4-FFF2-40B4-BE49-F238E27FC236}">
              <a16:creationId xmlns:a16="http://schemas.microsoft.com/office/drawing/2014/main" id="{CCD4614A-E2EC-4ABC-B9E9-B84CAF169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50632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75" name="Picture 74" descr="BolC">
          <a:extLst>
            <a:ext uri="{FF2B5EF4-FFF2-40B4-BE49-F238E27FC236}">
              <a16:creationId xmlns:a16="http://schemas.microsoft.com/office/drawing/2014/main" id="{95D13898-2315-4889-849E-803AC5141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50632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76" name="Picture 75" descr="BolC">
          <a:extLst>
            <a:ext uri="{FF2B5EF4-FFF2-40B4-BE49-F238E27FC236}">
              <a16:creationId xmlns:a16="http://schemas.microsoft.com/office/drawing/2014/main" id="{C160A781-C556-4FA8-B3D8-B2BF28846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50632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77" name="Picture 76" descr="BolC">
          <a:extLst>
            <a:ext uri="{FF2B5EF4-FFF2-40B4-BE49-F238E27FC236}">
              <a16:creationId xmlns:a16="http://schemas.microsoft.com/office/drawing/2014/main" id="{1E741D17-982A-45EC-923A-C764F0C78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83017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78" name="Picture 77" descr="BolC">
          <a:extLst>
            <a:ext uri="{FF2B5EF4-FFF2-40B4-BE49-F238E27FC236}">
              <a16:creationId xmlns:a16="http://schemas.microsoft.com/office/drawing/2014/main" id="{A213AE4A-10E2-4409-924E-06B0D4A75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83017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79" name="Picture 78" descr="BolC">
          <a:extLst>
            <a:ext uri="{FF2B5EF4-FFF2-40B4-BE49-F238E27FC236}">
              <a16:creationId xmlns:a16="http://schemas.microsoft.com/office/drawing/2014/main" id="{312D4574-3E31-4187-86B0-A09CED050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83017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80" name="Picture 79" descr="BolC">
          <a:extLst>
            <a:ext uri="{FF2B5EF4-FFF2-40B4-BE49-F238E27FC236}">
              <a16:creationId xmlns:a16="http://schemas.microsoft.com/office/drawing/2014/main" id="{A43083D3-3451-4D78-A91C-BF539C290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83017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81" name="Picture 80" descr="BolC">
          <a:extLst>
            <a:ext uri="{FF2B5EF4-FFF2-40B4-BE49-F238E27FC236}">
              <a16:creationId xmlns:a16="http://schemas.microsoft.com/office/drawing/2014/main" id="{6652E96C-F7F6-499E-9EE5-E751890B3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83017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82" name="Picture 81" descr="BolC">
          <a:extLst>
            <a:ext uri="{FF2B5EF4-FFF2-40B4-BE49-F238E27FC236}">
              <a16:creationId xmlns:a16="http://schemas.microsoft.com/office/drawing/2014/main" id="{AE168FEF-FBB3-4B04-88DD-9EDB35901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830175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83" name="Picture 82" descr="BolC">
          <a:extLst>
            <a:ext uri="{FF2B5EF4-FFF2-40B4-BE49-F238E27FC236}">
              <a16:creationId xmlns:a16="http://schemas.microsoft.com/office/drawing/2014/main" id="{2D09E27D-42E4-42CF-A216-6E1A2E58D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16967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84" name="Picture 83" descr="BolC">
          <a:extLst>
            <a:ext uri="{FF2B5EF4-FFF2-40B4-BE49-F238E27FC236}">
              <a16:creationId xmlns:a16="http://schemas.microsoft.com/office/drawing/2014/main" id="{0C958A6A-3C7A-4AAD-B347-92BDEFDB9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16967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85" name="Picture 84" descr="BolC">
          <a:extLst>
            <a:ext uri="{FF2B5EF4-FFF2-40B4-BE49-F238E27FC236}">
              <a16:creationId xmlns:a16="http://schemas.microsoft.com/office/drawing/2014/main" id="{E8E15CBA-FB15-44B1-8B30-B36BB06BB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16967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86" name="Picture 85" descr="BolC">
          <a:extLst>
            <a:ext uri="{FF2B5EF4-FFF2-40B4-BE49-F238E27FC236}">
              <a16:creationId xmlns:a16="http://schemas.microsoft.com/office/drawing/2014/main" id="{7DE96271-0991-4983-B0D8-FA68109A8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3444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87" name="Picture 86" descr="BolC">
          <a:extLst>
            <a:ext uri="{FF2B5EF4-FFF2-40B4-BE49-F238E27FC236}">
              <a16:creationId xmlns:a16="http://schemas.microsoft.com/office/drawing/2014/main" id="{B0AFD63F-EB5B-49DB-9E24-158C3CC8A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3444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88" name="Picture 87" descr="BolC">
          <a:extLst>
            <a:ext uri="{FF2B5EF4-FFF2-40B4-BE49-F238E27FC236}">
              <a16:creationId xmlns:a16="http://schemas.microsoft.com/office/drawing/2014/main" id="{22483572-1840-4F11-9F9C-A1B41781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3444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89" name="Picture 88" descr="BolC">
          <a:extLst>
            <a:ext uri="{FF2B5EF4-FFF2-40B4-BE49-F238E27FC236}">
              <a16:creationId xmlns:a16="http://schemas.microsoft.com/office/drawing/2014/main" id="{4FCA89BC-DE85-4EB1-927A-2CE9BBA89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90" name="Picture 89" descr="BolC">
          <a:extLst>
            <a:ext uri="{FF2B5EF4-FFF2-40B4-BE49-F238E27FC236}">
              <a16:creationId xmlns:a16="http://schemas.microsoft.com/office/drawing/2014/main" id="{0895C4AF-03E1-4FCD-8289-104EA7169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15</xdr:row>
      <xdr:rowOff>0</xdr:rowOff>
    </xdr:from>
    <xdr:ext cx="76200" cy="7620"/>
    <xdr:pic>
      <xdr:nvPicPr>
        <xdr:cNvPr id="91" name="Picture 90" descr="BolC">
          <a:extLst>
            <a:ext uri="{FF2B5EF4-FFF2-40B4-BE49-F238E27FC236}">
              <a16:creationId xmlns:a16="http://schemas.microsoft.com/office/drawing/2014/main" id="{8A65A3D4-8567-42F9-9817-463D858D5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12020550"/>
          <a:ext cx="76200" cy="7620"/>
        </a:xfrm>
        <a:prstGeom prst="rect">
          <a:avLst/>
        </a:prstGeom>
        <a:noFill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52</xdr:row>
      <xdr:rowOff>0</xdr:rowOff>
    </xdr:from>
    <xdr:to>
      <xdr:col>5</xdr:col>
      <xdr:colOff>76200</xdr:colOff>
      <xdr:row>52</xdr:row>
      <xdr:rowOff>7620</xdr:rowOff>
    </xdr:to>
    <xdr:pic>
      <xdr:nvPicPr>
        <xdr:cNvPr id="2" name="Picture 1" descr="BolC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66760" y="7231380"/>
          <a:ext cx="76200" cy="7620"/>
        </a:xfrm>
        <a:prstGeom prst="rect">
          <a:avLst/>
        </a:prstGeom>
        <a:noFill/>
      </xdr:spPr>
    </xdr:pic>
    <xdr:clientData/>
  </xdr:twoCellAnchor>
  <xdr:oneCellAnchor>
    <xdr:from>
      <xdr:col>5</xdr:col>
      <xdr:colOff>0</xdr:colOff>
      <xdr:row>52</xdr:row>
      <xdr:rowOff>0</xdr:rowOff>
    </xdr:from>
    <xdr:ext cx="76200" cy="7620"/>
    <xdr:pic>
      <xdr:nvPicPr>
        <xdr:cNvPr id="3" name="Picture 2" descr="BolC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66760" y="7231380"/>
          <a:ext cx="76200" cy="7620"/>
        </a:xfrm>
        <a:prstGeom prst="rect">
          <a:avLst/>
        </a:prstGeom>
        <a:noFill/>
      </xdr:spPr>
    </xdr:pic>
    <xdr:clientData/>
  </xdr:oneCellAnchor>
  <xdr:twoCellAnchor editAs="oneCell">
    <xdr:from>
      <xdr:col>5</xdr:col>
      <xdr:colOff>0</xdr:colOff>
      <xdr:row>52</xdr:row>
      <xdr:rowOff>0</xdr:rowOff>
    </xdr:from>
    <xdr:to>
      <xdr:col>5</xdr:col>
      <xdr:colOff>76200</xdr:colOff>
      <xdr:row>52</xdr:row>
      <xdr:rowOff>7620</xdr:rowOff>
    </xdr:to>
    <xdr:pic>
      <xdr:nvPicPr>
        <xdr:cNvPr id="4" name="Picture 3" descr="BolC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66760" y="7231380"/>
          <a:ext cx="76200" cy="7620"/>
        </a:xfrm>
        <a:prstGeom prst="rect">
          <a:avLst/>
        </a:prstGeom>
        <a:noFill/>
      </xdr:spPr>
    </xdr:pic>
    <xdr:clientData/>
  </xdr:twoCellAnchor>
  <xdr:oneCellAnchor>
    <xdr:from>
      <xdr:col>5</xdr:col>
      <xdr:colOff>0</xdr:colOff>
      <xdr:row>52</xdr:row>
      <xdr:rowOff>0</xdr:rowOff>
    </xdr:from>
    <xdr:ext cx="76200" cy="7620"/>
    <xdr:pic>
      <xdr:nvPicPr>
        <xdr:cNvPr id="5" name="Picture 4" descr="BolC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66760" y="7231380"/>
          <a:ext cx="76200" cy="7620"/>
        </a:xfrm>
        <a:prstGeom prst="rect">
          <a:avLst/>
        </a:prstGeom>
        <a:noFill/>
      </xdr:spPr>
    </xdr:pic>
    <xdr:clientData/>
  </xdr:oneCellAnchor>
  <xdr:twoCellAnchor>
    <xdr:from>
      <xdr:col>5</xdr:col>
      <xdr:colOff>1295400</xdr:colOff>
      <xdr:row>35</xdr:row>
      <xdr:rowOff>99060</xdr:rowOff>
    </xdr:from>
    <xdr:to>
      <xdr:col>6</xdr:col>
      <xdr:colOff>480060</xdr:colOff>
      <xdr:row>35</xdr:row>
      <xdr:rowOff>99060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>
          <a:spLocks noChangeShapeType="1"/>
        </xdr:cNvSpPr>
      </xdr:nvSpPr>
      <xdr:spPr bwMode="auto">
        <a:xfrm flipH="1">
          <a:off x="6219825" y="4861560"/>
          <a:ext cx="48006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1295400</xdr:colOff>
      <xdr:row>29</xdr:row>
      <xdr:rowOff>99060</xdr:rowOff>
    </xdr:from>
    <xdr:to>
      <xdr:col>6</xdr:col>
      <xdr:colOff>480060</xdr:colOff>
      <xdr:row>29</xdr:row>
      <xdr:rowOff>99060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4300-000007000000}"/>
            </a:ext>
          </a:extLst>
        </xdr:cNvPr>
        <xdr:cNvSpPr>
          <a:spLocks noChangeShapeType="1"/>
        </xdr:cNvSpPr>
      </xdr:nvSpPr>
      <xdr:spPr bwMode="auto">
        <a:xfrm flipH="1">
          <a:off x="4743450" y="6452235"/>
          <a:ext cx="48006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0</xdr:rowOff>
    </xdr:from>
    <xdr:to>
      <xdr:col>0</xdr:col>
      <xdr:colOff>76200</xdr:colOff>
      <xdr:row>51</xdr:row>
      <xdr:rowOff>7620</xdr:rowOff>
    </xdr:to>
    <xdr:pic>
      <xdr:nvPicPr>
        <xdr:cNvPr id="2" name="Picture 1" descr="BolC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14260" y="7094220"/>
          <a:ext cx="76200" cy="7620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51</xdr:row>
      <xdr:rowOff>0</xdr:rowOff>
    </xdr:from>
    <xdr:ext cx="76200" cy="7620"/>
    <xdr:pic>
      <xdr:nvPicPr>
        <xdr:cNvPr id="3" name="Picture 2" descr="BolC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14260" y="7094220"/>
          <a:ext cx="76200" cy="7620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0</xdr:colOff>
      <xdr:row>51</xdr:row>
      <xdr:rowOff>0</xdr:rowOff>
    </xdr:from>
    <xdr:to>
      <xdr:col>0</xdr:col>
      <xdr:colOff>76200</xdr:colOff>
      <xdr:row>51</xdr:row>
      <xdr:rowOff>7620</xdr:rowOff>
    </xdr:to>
    <xdr:pic>
      <xdr:nvPicPr>
        <xdr:cNvPr id="4" name="Picture 3" descr="BolC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14260" y="7094220"/>
          <a:ext cx="76200" cy="7620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51</xdr:row>
      <xdr:rowOff>0</xdr:rowOff>
    </xdr:from>
    <xdr:ext cx="76200" cy="7620"/>
    <xdr:pic>
      <xdr:nvPicPr>
        <xdr:cNvPr id="5" name="Picture 4" descr="BolC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14260" y="7094220"/>
          <a:ext cx="76200" cy="7620"/>
        </a:xfrm>
        <a:prstGeom prst="rect">
          <a:avLst/>
        </a:prstGeom>
        <a:noFill/>
      </xdr:spPr>
    </xdr:pic>
    <xdr:clientData/>
  </xdr:oneCellAnchor>
  <xdr:twoCellAnchor editAs="oneCell">
    <xdr:from>
      <xdr:col>9</xdr:col>
      <xdr:colOff>0</xdr:colOff>
      <xdr:row>50</xdr:row>
      <xdr:rowOff>0</xdr:rowOff>
    </xdr:from>
    <xdr:to>
      <xdr:col>9</xdr:col>
      <xdr:colOff>76200</xdr:colOff>
      <xdr:row>50</xdr:row>
      <xdr:rowOff>7620</xdr:rowOff>
    </xdr:to>
    <xdr:pic>
      <xdr:nvPicPr>
        <xdr:cNvPr id="6" name="Picture 5" descr="BolC">
          <a:extLst>
            <a:ext uri="{FF2B5EF4-FFF2-40B4-BE49-F238E27FC236}">
              <a16:creationId xmlns:a16="http://schemas.microsoft.com/office/drawing/2014/main" id="{09841E26-9DC9-4E3C-AD71-B48BAA924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543800" y="7800975"/>
          <a:ext cx="76200" cy="7620"/>
        </a:xfrm>
        <a:prstGeom prst="rect">
          <a:avLst/>
        </a:prstGeom>
        <a:noFill/>
      </xdr:spPr>
    </xdr:pic>
    <xdr:clientData/>
  </xdr:twoCellAnchor>
  <xdr:twoCellAnchor>
    <xdr:from>
      <xdr:col>25</xdr:col>
      <xdr:colOff>205740</xdr:colOff>
      <xdr:row>69</xdr:row>
      <xdr:rowOff>85749</xdr:rowOff>
    </xdr:from>
    <xdr:to>
      <xdr:col>25</xdr:col>
      <xdr:colOff>457200</xdr:colOff>
      <xdr:row>69</xdr:row>
      <xdr:rowOff>85749</xdr:rowOff>
    </xdr:to>
    <xdr:sp macro="" textlink="">
      <xdr:nvSpPr>
        <xdr:cNvPr id="8" name="Line 4">
          <a:extLst>
            <a:ext uri="{FF2B5EF4-FFF2-40B4-BE49-F238E27FC236}">
              <a16:creationId xmlns:a16="http://schemas.microsoft.com/office/drawing/2014/main" id="{A5C13FE3-A2BC-4515-8408-B83E2F8546BB}"/>
            </a:ext>
          </a:extLst>
        </xdr:cNvPr>
        <xdr:cNvSpPr>
          <a:spLocks noChangeShapeType="1"/>
        </xdr:cNvSpPr>
      </xdr:nvSpPr>
      <xdr:spPr bwMode="auto">
        <a:xfrm>
          <a:off x="17817465" y="11306199"/>
          <a:ext cx="25146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25</xdr:col>
      <xdr:colOff>9525</xdr:colOff>
      <xdr:row>67</xdr:row>
      <xdr:rowOff>28575</xdr:rowOff>
    </xdr:from>
    <xdr:to>
      <xdr:col>25</xdr:col>
      <xdr:colOff>200025</xdr:colOff>
      <xdr:row>71</xdr:row>
      <xdr:rowOff>0</xdr:rowOff>
    </xdr:to>
    <xdr:sp macro="" textlink="">
      <xdr:nvSpPr>
        <xdr:cNvPr id="13" name="Right Bracket 12">
          <a:extLst>
            <a:ext uri="{FF2B5EF4-FFF2-40B4-BE49-F238E27FC236}">
              <a16:creationId xmlns:a16="http://schemas.microsoft.com/office/drawing/2014/main" id="{704E2E3C-BFC8-DC1F-022A-BEC614AB4C02}"/>
            </a:ext>
          </a:extLst>
        </xdr:cNvPr>
        <xdr:cNvSpPr/>
      </xdr:nvSpPr>
      <xdr:spPr bwMode="auto">
        <a:xfrm>
          <a:off x="17621250" y="10925175"/>
          <a:ext cx="190500" cy="752475"/>
        </a:xfrm>
        <a:prstGeom prst="rightBracket">
          <a:avLst/>
        </a:prstGeom>
        <a:noFill/>
        <a:ln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wrap="square" lIns="18288" tIns="0" rIns="0" bIns="0" rtlCol="0" anchor="ctr" upright="1"/>
        <a:lstStyle/>
        <a:p>
          <a:pPr algn="l"/>
          <a:endParaRPr lang="en-US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50</xdr:row>
      <xdr:rowOff>0</xdr:rowOff>
    </xdr:from>
    <xdr:to>
      <xdr:col>0</xdr:col>
      <xdr:colOff>76200</xdr:colOff>
      <xdr:row>50</xdr:row>
      <xdr:rowOff>7620</xdr:rowOff>
    </xdr:to>
    <xdr:pic>
      <xdr:nvPicPr>
        <xdr:cNvPr id="75777" name="Picture 1" descr="BolC">
          <a:extLst>
            <a:ext uri="{FF2B5EF4-FFF2-40B4-BE49-F238E27FC236}">
              <a16:creationId xmlns:a16="http://schemas.microsoft.com/office/drawing/2014/main" id="{00000000-0008-0000-4800-0000012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04120" y="8595360"/>
          <a:ext cx="76200" cy="7620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0</xdr:rowOff>
    </xdr:from>
    <xdr:to>
      <xdr:col>0</xdr:col>
      <xdr:colOff>76200</xdr:colOff>
      <xdr:row>43</xdr:row>
      <xdr:rowOff>7620</xdr:rowOff>
    </xdr:to>
    <xdr:pic>
      <xdr:nvPicPr>
        <xdr:cNvPr id="2" name="Picture 1" descr="BolC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85960" y="7566660"/>
          <a:ext cx="76200" cy="7620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43</xdr:row>
      <xdr:rowOff>0</xdr:rowOff>
    </xdr:from>
    <xdr:ext cx="76200" cy="7620"/>
    <xdr:pic>
      <xdr:nvPicPr>
        <xdr:cNvPr id="3" name="Picture 2" descr="BolC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85960" y="9593580"/>
          <a:ext cx="76200" cy="7620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0</xdr:colOff>
      <xdr:row>43</xdr:row>
      <xdr:rowOff>0</xdr:rowOff>
    </xdr:from>
    <xdr:to>
      <xdr:col>0</xdr:col>
      <xdr:colOff>76200</xdr:colOff>
      <xdr:row>43</xdr:row>
      <xdr:rowOff>7620</xdr:rowOff>
    </xdr:to>
    <xdr:pic>
      <xdr:nvPicPr>
        <xdr:cNvPr id="4" name="Picture 3" descr="BolC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85960" y="7239000"/>
          <a:ext cx="76200" cy="7620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43</xdr:row>
      <xdr:rowOff>0</xdr:rowOff>
    </xdr:from>
    <xdr:ext cx="76200" cy="7620"/>
    <xdr:pic>
      <xdr:nvPicPr>
        <xdr:cNvPr id="5" name="Picture 4" descr="BolC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85960" y="7239000"/>
          <a:ext cx="76200" cy="7620"/>
        </a:xfrm>
        <a:prstGeom prst="rect">
          <a:avLst/>
        </a:prstGeom>
        <a:noFill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45</xdr:row>
      <xdr:rowOff>0</xdr:rowOff>
    </xdr:from>
    <xdr:to>
      <xdr:col>10</xdr:col>
      <xdr:colOff>76200</xdr:colOff>
      <xdr:row>45</xdr:row>
      <xdr:rowOff>7620</xdr:rowOff>
    </xdr:to>
    <xdr:pic>
      <xdr:nvPicPr>
        <xdr:cNvPr id="2" name="Picture 1" descr="BolC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04120" y="7566660"/>
          <a:ext cx="76200" cy="7620"/>
        </a:xfrm>
        <a:prstGeom prst="rect">
          <a:avLst/>
        </a:prstGeom>
        <a:noFill/>
      </xdr:spPr>
    </xdr:pic>
    <xdr:clientData/>
  </xdr:twoCellAnchor>
  <xdr:oneCellAnchor>
    <xdr:from>
      <xdr:col>10</xdr:col>
      <xdr:colOff>0</xdr:colOff>
      <xdr:row>57</xdr:row>
      <xdr:rowOff>0</xdr:rowOff>
    </xdr:from>
    <xdr:ext cx="76200" cy="7620"/>
    <xdr:pic>
      <xdr:nvPicPr>
        <xdr:cNvPr id="3" name="Picture 2" descr="BolC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06940" y="7566660"/>
          <a:ext cx="76200" cy="7620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68580</xdr:colOff>
      <xdr:row>53</xdr:row>
      <xdr:rowOff>114300</xdr:rowOff>
    </xdr:from>
    <xdr:to>
      <xdr:col>14</xdr:col>
      <xdr:colOff>419100</xdr:colOff>
      <xdr:row>53</xdr:row>
      <xdr:rowOff>114300</xdr:rowOff>
    </xdr:to>
    <xdr:sp macro="" textlink="">
      <xdr:nvSpPr>
        <xdr:cNvPr id="7170" name="Line 2">
          <a:extLst>
            <a:ext uri="{FF2B5EF4-FFF2-40B4-BE49-F238E27FC236}">
              <a16:creationId xmlns:a16="http://schemas.microsoft.com/office/drawing/2014/main" id="{00000000-0008-0000-2000-0000021C0000}"/>
            </a:ext>
          </a:extLst>
        </xdr:cNvPr>
        <xdr:cNvSpPr>
          <a:spLocks noChangeShapeType="1"/>
        </xdr:cNvSpPr>
      </xdr:nvSpPr>
      <xdr:spPr bwMode="auto">
        <a:xfrm flipH="1" flipV="1">
          <a:off x="16184880" y="11163300"/>
          <a:ext cx="3505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14</xdr:col>
      <xdr:colOff>68580</xdr:colOff>
      <xdr:row>62</xdr:row>
      <xdr:rowOff>114300</xdr:rowOff>
    </xdr:from>
    <xdr:to>
      <xdr:col>14</xdr:col>
      <xdr:colOff>419100</xdr:colOff>
      <xdr:row>62</xdr:row>
      <xdr:rowOff>114300</xdr:rowOff>
    </xdr:to>
    <xdr:sp macro="" textlink="">
      <xdr:nvSpPr>
        <xdr:cNvPr id="7171" name="Line 3">
          <a:extLst>
            <a:ext uri="{FF2B5EF4-FFF2-40B4-BE49-F238E27FC236}">
              <a16:creationId xmlns:a16="http://schemas.microsoft.com/office/drawing/2014/main" id="{00000000-0008-0000-2000-0000031C0000}"/>
            </a:ext>
          </a:extLst>
        </xdr:cNvPr>
        <xdr:cNvSpPr>
          <a:spLocks noChangeShapeType="1"/>
        </xdr:cNvSpPr>
      </xdr:nvSpPr>
      <xdr:spPr bwMode="auto">
        <a:xfrm flipH="1" flipV="1">
          <a:off x="16184880" y="12877800"/>
          <a:ext cx="3505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14</xdr:col>
      <xdr:colOff>68580</xdr:colOff>
      <xdr:row>64</xdr:row>
      <xdr:rowOff>114300</xdr:rowOff>
    </xdr:from>
    <xdr:to>
      <xdr:col>14</xdr:col>
      <xdr:colOff>419100</xdr:colOff>
      <xdr:row>64</xdr:row>
      <xdr:rowOff>114300</xdr:rowOff>
    </xdr:to>
    <xdr:sp macro="" textlink="">
      <xdr:nvSpPr>
        <xdr:cNvPr id="7172" name="Line 4">
          <a:extLst>
            <a:ext uri="{FF2B5EF4-FFF2-40B4-BE49-F238E27FC236}">
              <a16:creationId xmlns:a16="http://schemas.microsoft.com/office/drawing/2014/main" id="{00000000-0008-0000-2000-0000041C0000}"/>
            </a:ext>
          </a:extLst>
        </xdr:cNvPr>
        <xdr:cNvSpPr>
          <a:spLocks noChangeShapeType="1"/>
        </xdr:cNvSpPr>
      </xdr:nvSpPr>
      <xdr:spPr bwMode="auto">
        <a:xfrm flipH="1" flipV="1">
          <a:off x="16184880" y="13258800"/>
          <a:ext cx="3505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754380</xdr:colOff>
      <xdr:row>57</xdr:row>
      <xdr:rowOff>144780</xdr:rowOff>
    </xdr:from>
    <xdr:to>
      <xdr:col>19</xdr:col>
      <xdr:colOff>754380</xdr:colOff>
      <xdr:row>60</xdr:row>
      <xdr:rowOff>7620</xdr:rowOff>
    </xdr:to>
    <xdr:sp macro="" textlink="">
      <xdr:nvSpPr>
        <xdr:cNvPr id="11265" name="Line 1">
          <a:extLst>
            <a:ext uri="{FF2B5EF4-FFF2-40B4-BE49-F238E27FC236}">
              <a16:creationId xmlns:a16="http://schemas.microsoft.com/office/drawing/2014/main" id="{00000000-0008-0000-2800-0000012C0000}"/>
            </a:ext>
          </a:extLst>
        </xdr:cNvPr>
        <xdr:cNvSpPr>
          <a:spLocks noChangeShapeType="1"/>
        </xdr:cNvSpPr>
      </xdr:nvSpPr>
      <xdr:spPr bwMode="auto">
        <a:xfrm flipV="1">
          <a:off x="16352520" y="9730740"/>
          <a:ext cx="0" cy="3733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777240</xdr:colOff>
      <xdr:row>52</xdr:row>
      <xdr:rowOff>144780</xdr:rowOff>
    </xdr:from>
    <xdr:to>
      <xdr:col>19</xdr:col>
      <xdr:colOff>777240</xdr:colOff>
      <xdr:row>55</xdr:row>
      <xdr:rowOff>7620</xdr:rowOff>
    </xdr:to>
    <xdr:sp macro="" textlink="">
      <xdr:nvSpPr>
        <xdr:cNvPr id="12289" name="Line 1">
          <a:extLst>
            <a:ext uri="{FF2B5EF4-FFF2-40B4-BE49-F238E27FC236}">
              <a16:creationId xmlns:a16="http://schemas.microsoft.com/office/drawing/2014/main" id="{00000000-0008-0000-2900-000001300000}"/>
            </a:ext>
          </a:extLst>
        </xdr:cNvPr>
        <xdr:cNvSpPr>
          <a:spLocks noChangeShapeType="1"/>
        </xdr:cNvSpPr>
      </xdr:nvSpPr>
      <xdr:spPr bwMode="auto">
        <a:xfrm flipV="1">
          <a:off x="14874240" y="8900160"/>
          <a:ext cx="0" cy="3657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746760</xdr:colOff>
      <xdr:row>53</xdr:row>
      <xdr:rowOff>144780</xdr:rowOff>
    </xdr:from>
    <xdr:to>
      <xdr:col>19</xdr:col>
      <xdr:colOff>746760</xdr:colOff>
      <xdr:row>56</xdr:row>
      <xdr:rowOff>7620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2A00-000001340000}"/>
            </a:ext>
          </a:extLst>
        </xdr:cNvPr>
        <xdr:cNvSpPr>
          <a:spLocks noChangeShapeType="1"/>
        </xdr:cNvSpPr>
      </xdr:nvSpPr>
      <xdr:spPr bwMode="auto">
        <a:xfrm flipV="1">
          <a:off x="14759940" y="9060180"/>
          <a:ext cx="0" cy="3733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792480</xdr:colOff>
      <xdr:row>53</xdr:row>
      <xdr:rowOff>144780</xdr:rowOff>
    </xdr:from>
    <xdr:to>
      <xdr:col>19</xdr:col>
      <xdr:colOff>792480</xdr:colOff>
      <xdr:row>56</xdr:row>
      <xdr:rowOff>7620</xdr:rowOff>
    </xdr:to>
    <xdr:sp macro="" textlink="">
      <xdr:nvSpPr>
        <xdr:cNvPr id="45057" name="Line 1">
          <a:extLst>
            <a:ext uri="{FF2B5EF4-FFF2-40B4-BE49-F238E27FC236}">
              <a16:creationId xmlns:a16="http://schemas.microsoft.com/office/drawing/2014/main" id="{00000000-0008-0000-2C00-000001B00000}"/>
            </a:ext>
          </a:extLst>
        </xdr:cNvPr>
        <xdr:cNvSpPr>
          <a:spLocks noChangeShapeType="1"/>
        </xdr:cNvSpPr>
      </xdr:nvSpPr>
      <xdr:spPr bwMode="auto">
        <a:xfrm flipV="1">
          <a:off x="14447520" y="9060180"/>
          <a:ext cx="0" cy="3733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739140</xdr:colOff>
      <xdr:row>53</xdr:row>
      <xdr:rowOff>144780</xdr:rowOff>
    </xdr:from>
    <xdr:to>
      <xdr:col>19</xdr:col>
      <xdr:colOff>739140</xdr:colOff>
      <xdr:row>56</xdr:row>
      <xdr:rowOff>7620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>
          <a:spLocks noChangeShapeType="1"/>
        </xdr:cNvSpPr>
      </xdr:nvSpPr>
      <xdr:spPr bwMode="auto">
        <a:xfrm flipV="1">
          <a:off x="14333220" y="9060180"/>
          <a:ext cx="0" cy="3733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739140</xdr:colOff>
      <xdr:row>53</xdr:row>
      <xdr:rowOff>144780</xdr:rowOff>
    </xdr:from>
    <xdr:to>
      <xdr:col>19</xdr:col>
      <xdr:colOff>739140</xdr:colOff>
      <xdr:row>56</xdr:row>
      <xdr:rowOff>7620</xdr:rowOff>
    </xdr:to>
    <xdr:sp macro="" textlink="">
      <xdr:nvSpPr>
        <xdr:cNvPr id="15361" name="Line 1">
          <a:extLst>
            <a:ext uri="{FF2B5EF4-FFF2-40B4-BE49-F238E27FC236}">
              <a16:creationId xmlns:a16="http://schemas.microsoft.com/office/drawing/2014/main" id="{00000000-0008-0000-2E00-0000013C0000}"/>
            </a:ext>
          </a:extLst>
        </xdr:cNvPr>
        <xdr:cNvSpPr>
          <a:spLocks noChangeShapeType="1"/>
        </xdr:cNvSpPr>
      </xdr:nvSpPr>
      <xdr:spPr bwMode="auto">
        <a:xfrm flipV="1">
          <a:off x="14173200" y="9060180"/>
          <a:ext cx="0" cy="3733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22.xml"/><Relationship Id="rId21" Type="http://schemas.openxmlformats.org/officeDocument/2006/relationships/ctrlProp" Target="../ctrlProps/ctrlProp117.xml"/><Relationship Id="rId42" Type="http://schemas.openxmlformats.org/officeDocument/2006/relationships/ctrlProp" Target="../ctrlProps/ctrlProp138.xml"/><Relationship Id="rId47" Type="http://schemas.openxmlformats.org/officeDocument/2006/relationships/ctrlProp" Target="../ctrlProps/ctrlProp143.xml"/><Relationship Id="rId63" Type="http://schemas.openxmlformats.org/officeDocument/2006/relationships/ctrlProp" Target="../ctrlProps/ctrlProp159.xml"/><Relationship Id="rId68" Type="http://schemas.openxmlformats.org/officeDocument/2006/relationships/ctrlProp" Target="../ctrlProps/ctrlProp164.xml"/><Relationship Id="rId84" Type="http://schemas.openxmlformats.org/officeDocument/2006/relationships/ctrlProp" Target="../ctrlProps/ctrlProp180.xml"/><Relationship Id="rId89" Type="http://schemas.openxmlformats.org/officeDocument/2006/relationships/ctrlProp" Target="../ctrlProps/ctrlProp185.xml"/><Relationship Id="rId16" Type="http://schemas.openxmlformats.org/officeDocument/2006/relationships/ctrlProp" Target="../ctrlProps/ctrlProp112.xml"/><Relationship Id="rId107" Type="http://schemas.openxmlformats.org/officeDocument/2006/relationships/ctrlProp" Target="../ctrlProps/ctrlProp203.xml"/><Relationship Id="rId11" Type="http://schemas.openxmlformats.org/officeDocument/2006/relationships/ctrlProp" Target="../ctrlProps/ctrlProp107.xml"/><Relationship Id="rId32" Type="http://schemas.openxmlformats.org/officeDocument/2006/relationships/ctrlProp" Target="../ctrlProps/ctrlProp128.xml"/><Relationship Id="rId37" Type="http://schemas.openxmlformats.org/officeDocument/2006/relationships/ctrlProp" Target="../ctrlProps/ctrlProp133.xml"/><Relationship Id="rId53" Type="http://schemas.openxmlformats.org/officeDocument/2006/relationships/ctrlProp" Target="../ctrlProps/ctrlProp149.xml"/><Relationship Id="rId58" Type="http://schemas.openxmlformats.org/officeDocument/2006/relationships/ctrlProp" Target="../ctrlProps/ctrlProp154.xml"/><Relationship Id="rId74" Type="http://schemas.openxmlformats.org/officeDocument/2006/relationships/ctrlProp" Target="../ctrlProps/ctrlProp170.xml"/><Relationship Id="rId79" Type="http://schemas.openxmlformats.org/officeDocument/2006/relationships/ctrlProp" Target="../ctrlProps/ctrlProp175.xml"/><Relationship Id="rId102" Type="http://schemas.openxmlformats.org/officeDocument/2006/relationships/ctrlProp" Target="../ctrlProps/ctrlProp198.xml"/><Relationship Id="rId5" Type="http://schemas.openxmlformats.org/officeDocument/2006/relationships/ctrlProp" Target="../ctrlProps/ctrlProp101.xml"/><Relationship Id="rId90" Type="http://schemas.openxmlformats.org/officeDocument/2006/relationships/ctrlProp" Target="../ctrlProps/ctrlProp186.xml"/><Relationship Id="rId95" Type="http://schemas.openxmlformats.org/officeDocument/2006/relationships/ctrlProp" Target="../ctrlProps/ctrlProp191.xml"/><Relationship Id="rId22" Type="http://schemas.openxmlformats.org/officeDocument/2006/relationships/ctrlProp" Target="../ctrlProps/ctrlProp118.xml"/><Relationship Id="rId27" Type="http://schemas.openxmlformats.org/officeDocument/2006/relationships/ctrlProp" Target="../ctrlProps/ctrlProp123.xml"/><Relationship Id="rId43" Type="http://schemas.openxmlformats.org/officeDocument/2006/relationships/ctrlProp" Target="../ctrlProps/ctrlProp139.xml"/><Relationship Id="rId48" Type="http://schemas.openxmlformats.org/officeDocument/2006/relationships/ctrlProp" Target="../ctrlProps/ctrlProp144.xml"/><Relationship Id="rId64" Type="http://schemas.openxmlformats.org/officeDocument/2006/relationships/ctrlProp" Target="../ctrlProps/ctrlProp160.xml"/><Relationship Id="rId69" Type="http://schemas.openxmlformats.org/officeDocument/2006/relationships/ctrlProp" Target="../ctrlProps/ctrlProp165.xml"/><Relationship Id="rId80" Type="http://schemas.openxmlformats.org/officeDocument/2006/relationships/ctrlProp" Target="../ctrlProps/ctrlProp176.xml"/><Relationship Id="rId85" Type="http://schemas.openxmlformats.org/officeDocument/2006/relationships/ctrlProp" Target="../ctrlProps/ctrlProp181.xml"/><Relationship Id="rId12" Type="http://schemas.openxmlformats.org/officeDocument/2006/relationships/ctrlProp" Target="../ctrlProps/ctrlProp108.xml"/><Relationship Id="rId17" Type="http://schemas.openxmlformats.org/officeDocument/2006/relationships/ctrlProp" Target="../ctrlProps/ctrlProp113.xml"/><Relationship Id="rId33" Type="http://schemas.openxmlformats.org/officeDocument/2006/relationships/ctrlProp" Target="../ctrlProps/ctrlProp129.xml"/><Relationship Id="rId38" Type="http://schemas.openxmlformats.org/officeDocument/2006/relationships/ctrlProp" Target="../ctrlProps/ctrlProp134.xml"/><Relationship Id="rId59" Type="http://schemas.openxmlformats.org/officeDocument/2006/relationships/ctrlProp" Target="../ctrlProps/ctrlProp155.xml"/><Relationship Id="rId103" Type="http://schemas.openxmlformats.org/officeDocument/2006/relationships/ctrlProp" Target="../ctrlProps/ctrlProp199.xml"/><Relationship Id="rId108" Type="http://schemas.openxmlformats.org/officeDocument/2006/relationships/ctrlProp" Target="../ctrlProps/ctrlProp204.xml"/><Relationship Id="rId54" Type="http://schemas.openxmlformats.org/officeDocument/2006/relationships/ctrlProp" Target="../ctrlProps/ctrlProp150.xml"/><Relationship Id="rId70" Type="http://schemas.openxmlformats.org/officeDocument/2006/relationships/ctrlProp" Target="../ctrlProps/ctrlProp166.xml"/><Relationship Id="rId75" Type="http://schemas.openxmlformats.org/officeDocument/2006/relationships/ctrlProp" Target="../ctrlProps/ctrlProp171.xml"/><Relationship Id="rId91" Type="http://schemas.openxmlformats.org/officeDocument/2006/relationships/ctrlProp" Target="../ctrlProps/ctrlProp187.xml"/><Relationship Id="rId96" Type="http://schemas.openxmlformats.org/officeDocument/2006/relationships/ctrlProp" Target="../ctrlProps/ctrlProp19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02.xml"/><Relationship Id="rId15" Type="http://schemas.openxmlformats.org/officeDocument/2006/relationships/ctrlProp" Target="../ctrlProps/ctrlProp111.xml"/><Relationship Id="rId23" Type="http://schemas.openxmlformats.org/officeDocument/2006/relationships/ctrlProp" Target="../ctrlProps/ctrlProp119.xml"/><Relationship Id="rId28" Type="http://schemas.openxmlformats.org/officeDocument/2006/relationships/ctrlProp" Target="../ctrlProps/ctrlProp124.xml"/><Relationship Id="rId36" Type="http://schemas.openxmlformats.org/officeDocument/2006/relationships/ctrlProp" Target="../ctrlProps/ctrlProp132.xml"/><Relationship Id="rId49" Type="http://schemas.openxmlformats.org/officeDocument/2006/relationships/ctrlProp" Target="../ctrlProps/ctrlProp145.xml"/><Relationship Id="rId57" Type="http://schemas.openxmlformats.org/officeDocument/2006/relationships/ctrlProp" Target="../ctrlProps/ctrlProp153.xml"/><Relationship Id="rId106" Type="http://schemas.openxmlformats.org/officeDocument/2006/relationships/ctrlProp" Target="../ctrlProps/ctrlProp202.xml"/><Relationship Id="rId10" Type="http://schemas.openxmlformats.org/officeDocument/2006/relationships/ctrlProp" Target="../ctrlProps/ctrlProp106.xml"/><Relationship Id="rId31" Type="http://schemas.openxmlformats.org/officeDocument/2006/relationships/ctrlProp" Target="../ctrlProps/ctrlProp127.xml"/><Relationship Id="rId44" Type="http://schemas.openxmlformats.org/officeDocument/2006/relationships/ctrlProp" Target="../ctrlProps/ctrlProp140.xml"/><Relationship Id="rId52" Type="http://schemas.openxmlformats.org/officeDocument/2006/relationships/ctrlProp" Target="../ctrlProps/ctrlProp148.xml"/><Relationship Id="rId60" Type="http://schemas.openxmlformats.org/officeDocument/2006/relationships/ctrlProp" Target="../ctrlProps/ctrlProp156.xml"/><Relationship Id="rId65" Type="http://schemas.openxmlformats.org/officeDocument/2006/relationships/ctrlProp" Target="../ctrlProps/ctrlProp161.xml"/><Relationship Id="rId73" Type="http://schemas.openxmlformats.org/officeDocument/2006/relationships/ctrlProp" Target="../ctrlProps/ctrlProp169.xml"/><Relationship Id="rId78" Type="http://schemas.openxmlformats.org/officeDocument/2006/relationships/ctrlProp" Target="../ctrlProps/ctrlProp174.xml"/><Relationship Id="rId81" Type="http://schemas.openxmlformats.org/officeDocument/2006/relationships/ctrlProp" Target="../ctrlProps/ctrlProp177.xml"/><Relationship Id="rId86" Type="http://schemas.openxmlformats.org/officeDocument/2006/relationships/ctrlProp" Target="../ctrlProps/ctrlProp182.xml"/><Relationship Id="rId94" Type="http://schemas.openxmlformats.org/officeDocument/2006/relationships/ctrlProp" Target="../ctrlProps/ctrlProp190.xml"/><Relationship Id="rId99" Type="http://schemas.openxmlformats.org/officeDocument/2006/relationships/ctrlProp" Target="../ctrlProps/ctrlProp195.xml"/><Relationship Id="rId101" Type="http://schemas.openxmlformats.org/officeDocument/2006/relationships/ctrlProp" Target="../ctrlProps/ctrlProp197.xml"/><Relationship Id="rId4" Type="http://schemas.openxmlformats.org/officeDocument/2006/relationships/ctrlProp" Target="../ctrlProps/ctrlProp100.xml"/><Relationship Id="rId9" Type="http://schemas.openxmlformats.org/officeDocument/2006/relationships/ctrlProp" Target="../ctrlProps/ctrlProp105.xml"/><Relationship Id="rId13" Type="http://schemas.openxmlformats.org/officeDocument/2006/relationships/ctrlProp" Target="../ctrlProps/ctrlProp109.xml"/><Relationship Id="rId18" Type="http://schemas.openxmlformats.org/officeDocument/2006/relationships/ctrlProp" Target="../ctrlProps/ctrlProp114.xml"/><Relationship Id="rId39" Type="http://schemas.openxmlformats.org/officeDocument/2006/relationships/ctrlProp" Target="../ctrlProps/ctrlProp135.xml"/><Relationship Id="rId109" Type="http://schemas.openxmlformats.org/officeDocument/2006/relationships/ctrlProp" Target="../ctrlProps/ctrlProp205.xml"/><Relationship Id="rId34" Type="http://schemas.openxmlformats.org/officeDocument/2006/relationships/ctrlProp" Target="../ctrlProps/ctrlProp130.xml"/><Relationship Id="rId50" Type="http://schemas.openxmlformats.org/officeDocument/2006/relationships/ctrlProp" Target="../ctrlProps/ctrlProp146.xml"/><Relationship Id="rId55" Type="http://schemas.openxmlformats.org/officeDocument/2006/relationships/ctrlProp" Target="../ctrlProps/ctrlProp151.xml"/><Relationship Id="rId76" Type="http://schemas.openxmlformats.org/officeDocument/2006/relationships/ctrlProp" Target="../ctrlProps/ctrlProp172.xml"/><Relationship Id="rId97" Type="http://schemas.openxmlformats.org/officeDocument/2006/relationships/ctrlProp" Target="../ctrlProps/ctrlProp193.xml"/><Relationship Id="rId104" Type="http://schemas.openxmlformats.org/officeDocument/2006/relationships/ctrlProp" Target="../ctrlProps/ctrlProp200.xml"/><Relationship Id="rId7" Type="http://schemas.openxmlformats.org/officeDocument/2006/relationships/ctrlProp" Target="../ctrlProps/ctrlProp103.xml"/><Relationship Id="rId71" Type="http://schemas.openxmlformats.org/officeDocument/2006/relationships/ctrlProp" Target="../ctrlProps/ctrlProp167.xml"/><Relationship Id="rId92" Type="http://schemas.openxmlformats.org/officeDocument/2006/relationships/ctrlProp" Target="../ctrlProps/ctrlProp188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125.xml"/><Relationship Id="rId24" Type="http://schemas.openxmlformats.org/officeDocument/2006/relationships/ctrlProp" Target="../ctrlProps/ctrlProp120.xml"/><Relationship Id="rId40" Type="http://schemas.openxmlformats.org/officeDocument/2006/relationships/ctrlProp" Target="../ctrlProps/ctrlProp136.xml"/><Relationship Id="rId45" Type="http://schemas.openxmlformats.org/officeDocument/2006/relationships/ctrlProp" Target="../ctrlProps/ctrlProp141.xml"/><Relationship Id="rId66" Type="http://schemas.openxmlformats.org/officeDocument/2006/relationships/ctrlProp" Target="../ctrlProps/ctrlProp162.xml"/><Relationship Id="rId87" Type="http://schemas.openxmlformats.org/officeDocument/2006/relationships/ctrlProp" Target="../ctrlProps/ctrlProp183.xml"/><Relationship Id="rId110" Type="http://schemas.openxmlformats.org/officeDocument/2006/relationships/ctrlProp" Target="../ctrlProps/ctrlProp206.xml"/><Relationship Id="rId61" Type="http://schemas.openxmlformats.org/officeDocument/2006/relationships/ctrlProp" Target="../ctrlProps/ctrlProp157.xml"/><Relationship Id="rId82" Type="http://schemas.openxmlformats.org/officeDocument/2006/relationships/ctrlProp" Target="../ctrlProps/ctrlProp178.xml"/><Relationship Id="rId19" Type="http://schemas.openxmlformats.org/officeDocument/2006/relationships/ctrlProp" Target="../ctrlProps/ctrlProp115.xml"/><Relationship Id="rId14" Type="http://schemas.openxmlformats.org/officeDocument/2006/relationships/ctrlProp" Target="../ctrlProps/ctrlProp110.xml"/><Relationship Id="rId30" Type="http://schemas.openxmlformats.org/officeDocument/2006/relationships/ctrlProp" Target="../ctrlProps/ctrlProp126.xml"/><Relationship Id="rId35" Type="http://schemas.openxmlformats.org/officeDocument/2006/relationships/ctrlProp" Target="../ctrlProps/ctrlProp131.xml"/><Relationship Id="rId56" Type="http://schemas.openxmlformats.org/officeDocument/2006/relationships/ctrlProp" Target="../ctrlProps/ctrlProp152.xml"/><Relationship Id="rId77" Type="http://schemas.openxmlformats.org/officeDocument/2006/relationships/ctrlProp" Target="../ctrlProps/ctrlProp173.xml"/><Relationship Id="rId100" Type="http://schemas.openxmlformats.org/officeDocument/2006/relationships/ctrlProp" Target="../ctrlProps/ctrlProp196.xml"/><Relationship Id="rId105" Type="http://schemas.openxmlformats.org/officeDocument/2006/relationships/ctrlProp" Target="../ctrlProps/ctrlProp201.xml"/><Relationship Id="rId8" Type="http://schemas.openxmlformats.org/officeDocument/2006/relationships/ctrlProp" Target="../ctrlProps/ctrlProp104.xml"/><Relationship Id="rId51" Type="http://schemas.openxmlformats.org/officeDocument/2006/relationships/ctrlProp" Target="../ctrlProps/ctrlProp147.xml"/><Relationship Id="rId72" Type="http://schemas.openxmlformats.org/officeDocument/2006/relationships/ctrlProp" Target="../ctrlProps/ctrlProp168.xml"/><Relationship Id="rId93" Type="http://schemas.openxmlformats.org/officeDocument/2006/relationships/ctrlProp" Target="../ctrlProps/ctrlProp189.xml"/><Relationship Id="rId98" Type="http://schemas.openxmlformats.org/officeDocument/2006/relationships/ctrlProp" Target="../ctrlProps/ctrlProp194.xml"/><Relationship Id="rId3" Type="http://schemas.openxmlformats.org/officeDocument/2006/relationships/vmlDrawing" Target="../drawings/vmlDrawing2.vml"/><Relationship Id="rId25" Type="http://schemas.openxmlformats.org/officeDocument/2006/relationships/ctrlProp" Target="../ctrlProps/ctrlProp121.xml"/><Relationship Id="rId46" Type="http://schemas.openxmlformats.org/officeDocument/2006/relationships/ctrlProp" Target="../ctrlProps/ctrlProp142.xml"/><Relationship Id="rId67" Type="http://schemas.openxmlformats.org/officeDocument/2006/relationships/ctrlProp" Target="../ctrlProps/ctrlProp163.xml"/><Relationship Id="rId20" Type="http://schemas.openxmlformats.org/officeDocument/2006/relationships/ctrlProp" Target="../ctrlProps/ctrlProp116.xml"/><Relationship Id="rId41" Type="http://schemas.openxmlformats.org/officeDocument/2006/relationships/ctrlProp" Target="../ctrlProps/ctrlProp137.xml"/><Relationship Id="rId62" Type="http://schemas.openxmlformats.org/officeDocument/2006/relationships/ctrlProp" Target="../ctrlProps/ctrlProp158.xml"/><Relationship Id="rId83" Type="http://schemas.openxmlformats.org/officeDocument/2006/relationships/ctrlProp" Target="../ctrlProps/ctrlProp179.xml"/><Relationship Id="rId88" Type="http://schemas.openxmlformats.org/officeDocument/2006/relationships/ctrlProp" Target="../ctrlProps/ctrlProp184.xml"/><Relationship Id="rId111" Type="http://schemas.openxmlformats.org/officeDocument/2006/relationships/ctrlProp" Target="../ctrlProps/ctrlProp207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A1:W45"/>
  <sheetViews>
    <sheetView workbookViewId="0">
      <selection activeCell="F8" sqref="F8"/>
    </sheetView>
  </sheetViews>
  <sheetFormatPr defaultColWidth="8" defaultRowHeight="13.2"/>
  <cols>
    <col min="1" max="1" width="16.44140625" customWidth="1"/>
    <col min="2" max="2" width="28.5546875" customWidth="1"/>
    <col min="3" max="3" width="20.44140625" customWidth="1"/>
    <col min="4" max="4" width="16" customWidth="1"/>
    <col min="5" max="5" width="6.5546875" customWidth="1"/>
    <col min="6" max="6" width="8.44140625" customWidth="1"/>
    <col min="7" max="7" width="38.33203125" customWidth="1"/>
    <col min="8" max="8" width="3.5546875" customWidth="1"/>
    <col min="9" max="9" width="14.44140625" bestFit="1" customWidth="1"/>
    <col min="10" max="10" width="14.5546875" customWidth="1"/>
    <col min="19" max="19" width="13.5546875" bestFit="1" customWidth="1"/>
  </cols>
  <sheetData>
    <row r="1" spans="1:23" ht="17.399999999999999">
      <c r="A1" s="608" t="s">
        <v>4</v>
      </c>
      <c r="B1" s="604"/>
      <c r="C1" s="604"/>
      <c r="D1" s="604"/>
      <c r="E1" s="604"/>
      <c r="F1" s="604"/>
      <c r="G1" s="604"/>
      <c r="H1" s="604"/>
      <c r="I1" s="604"/>
      <c r="J1" s="604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</row>
    <row r="2" spans="1:23" ht="13.8">
      <c r="A2" s="609" t="s">
        <v>5</v>
      </c>
      <c r="B2" s="604"/>
      <c r="C2" s="604"/>
      <c r="D2" s="604"/>
      <c r="E2" s="604"/>
      <c r="F2" s="604"/>
      <c r="G2" s="604"/>
      <c r="H2" s="604"/>
      <c r="I2" s="604"/>
      <c r="J2" s="604"/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5"/>
      <c r="V2" s="605"/>
      <c r="W2" s="605"/>
    </row>
    <row r="3" spans="1:23" ht="13.8">
      <c r="A3" s="606"/>
      <c r="B3" s="605"/>
      <c r="C3" s="607"/>
      <c r="D3" s="607"/>
      <c r="E3" s="607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</row>
    <row r="4" spans="1:23" ht="13.8">
      <c r="A4" s="615" t="s">
        <v>6</v>
      </c>
      <c r="B4" s="610"/>
      <c r="C4" s="610"/>
      <c r="D4" s="610"/>
      <c r="E4" s="610"/>
      <c r="F4" s="610"/>
      <c r="G4" s="610"/>
      <c r="H4" s="610"/>
      <c r="I4" s="610"/>
      <c r="J4" s="610"/>
      <c r="K4" s="605"/>
      <c r="L4" s="605"/>
      <c r="M4" s="605"/>
      <c r="N4" s="605"/>
      <c r="O4" s="605"/>
      <c r="P4" s="605"/>
      <c r="Q4" s="605"/>
      <c r="R4" s="605"/>
      <c r="S4" s="605"/>
      <c r="T4" s="605"/>
      <c r="U4" s="605"/>
      <c r="V4" s="605"/>
      <c r="W4" s="605"/>
    </row>
    <row r="5" spans="1:23" ht="13.8">
      <c r="A5" s="2191" t="s">
        <v>7</v>
      </c>
      <c r="B5" s="2192" t="s">
        <v>4</v>
      </c>
      <c r="C5" s="2244"/>
      <c r="D5" s="2245"/>
      <c r="E5" s="2246"/>
      <c r="F5" s="2247" t="s">
        <v>8</v>
      </c>
      <c r="G5" s="610"/>
      <c r="H5" s="610"/>
      <c r="I5" s="2193" t="s">
        <v>9</v>
      </c>
      <c r="J5" s="2194"/>
      <c r="K5" s="605"/>
      <c r="L5" s="605"/>
      <c r="M5" s="605"/>
      <c r="N5" s="605"/>
      <c r="O5" s="605"/>
      <c r="P5" s="605"/>
      <c r="Q5" s="605"/>
      <c r="R5" s="605"/>
      <c r="S5" s="605"/>
      <c r="T5" s="605"/>
      <c r="U5" s="605"/>
      <c r="V5" s="605"/>
      <c r="W5" s="605"/>
    </row>
    <row r="6" spans="1:23" ht="13.8">
      <c r="A6" s="2191" t="s">
        <v>10</v>
      </c>
      <c r="B6" s="2192" t="s">
        <v>3162</v>
      </c>
      <c r="C6" s="2248"/>
      <c r="D6" s="2245"/>
      <c r="E6" s="2246"/>
      <c r="F6" s="2193" t="s">
        <v>11</v>
      </c>
      <c r="G6" s="2249" t="s">
        <v>12</v>
      </c>
      <c r="H6" s="610"/>
      <c r="I6" s="2195" t="s">
        <v>13</v>
      </c>
      <c r="J6" s="2195" t="s">
        <v>14</v>
      </c>
      <c r="K6" s="605"/>
      <c r="L6" s="605"/>
      <c r="M6" s="605"/>
      <c r="N6" s="605"/>
      <c r="O6" s="605"/>
      <c r="P6" s="605"/>
      <c r="Q6" s="605"/>
      <c r="R6" s="605"/>
      <c r="S6" s="605"/>
      <c r="T6" s="605"/>
      <c r="U6" s="605"/>
      <c r="V6" s="605"/>
      <c r="W6" s="605"/>
    </row>
    <row r="7" spans="1:23" ht="13.8">
      <c r="A7" s="2191" t="s">
        <v>15</v>
      </c>
      <c r="B7" s="2196" t="str">
        <f>"FOR THE TWELVE MONTHS ENDED "&amp;UPPER(TEXT(EDATE(I18,0),"mmmm dd, yyyy"))</f>
        <v>FOR THE TWELVE MONTHS ENDED FEBRUARY 28, 2025</v>
      </c>
      <c r="C7" s="2244"/>
      <c r="D7" s="2245"/>
      <c r="E7" s="2246"/>
      <c r="F7" s="2250" t="s">
        <v>16</v>
      </c>
      <c r="G7" s="2249" t="s">
        <v>17</v>
      </c>
      <c r="H7" s="610"/>
      <c r="I7" s="2197">
        <v>45382</v>
      </c>
      <c r="J7" s="2197">
        <v>45869</v>
      </c>
      <c r="K7" s="605"/>
      <c r="L7" s="605"/>
      <c r="M7" s="605"/>
      <c r="N7" s="605"/>
      <c r="O7" s="605"/>
      <c r="P7" s="605"/>
      <c r="Q7" s="605"/>
      <c r="R7" s="605"/>
      <c r="S7" s="605"/>
      <c r="T7" s="605"/>
      <c r="U7" s="605"/>
      <c r="V7" s="605"/>
      <c r="W7" s="605"/>
    </row>
    <row r="8" spans="1:23" ht="13.8">
      <c r="A8" s="2191" t="s">
        <v>18</v>
      </c>
      <c r="B8" s="2196" t="str">
        <f>"FOR THE TWELVE MONTHS ENDED "&amp;UPPER(TEXT(EDATE(J18,0),"mmmm dd, yyyy"))</f>
        <v>FOR THE TWELVE MONTHS ENDED JUNE 30, 2026</v>
      </c>
      <c r="C8" s="2244"/>
      <c r="D8" s="2245"/>
      <c r="E8" s="2246"/>
      <c r="F8" s="2250" t="s">
        <v>19</v>
      </c>
      <c r="G8" s="2251" t="s">
        <v>20</v>
      </c>
      <c r="H8" s="610"/>
      <c r="I8" s="2197">
        <v>45412</v>
      </c>
      <c r="J8" s="2197">
        <v>45900</v>
      </c>
      <c r="K8" s="605"/>
      <c r="L8" s="605"/>
      <c r="M8" s="605"/>
      <c r="N8" s="605"/>
      <c r="O8" s="605"/>
      <c r="P8" s="605"/>
      <c r="Q8" s="605"/>
      <c r="R8" s="605"/>
      <c r="S8" s="605"/>
      <c r="T8" s="605"/>
      <c r="U8" s="605"/>
      <c r="V8" s="605"/>
      <c r="W8" s="605"/>
    </row>
    <row r="9" spans="1:23" ht="13.8">
      <c r="A9" s="2191" t="s">
        <v>21</v>
      </c>
      <c r="B9" s="2198" t="s">
        <v>22</v>
      </c>
      <c r="C9" s="2252"/>
      <c r="D9" s="2253"/>
      <c r="E9" s="2254"/>
      <c r="F9" s="2193" t="s">
        <v>23</v>
      </c>
      <c r="G9" s="2251" t="s">
        <v>24</v>
      </c>
      <c r="H9" s="610"/>
      <c r="I9" s="2197">
        <v>45443</v>
      </c>
      <c r="J9" s="2197">
        <v>45930</v>
      </c>
      <c r="K9" s="605"/>
      <c r="L9" s="605"/>
      <c r="M9" s="605"/>
      <c r="N9" s="605"/>
      <c r="O9" s="605"/>
      <c r="P9" s="605"/>
      <c r="Q9" s="605"/>
      <c r="R9" s="605"/>
      <c r="S9" s="605"/>
      <c r="T9" s="605"/>
      <c r="U9" s="605"/>
      <c r="V9" s="605"/>
      <c r="W9" s="605"/>
    </row>
    <row r="10" spans="1:23" ht="13.8">
      <c r="A10" s="2191" t="s">
        <v>25</v>
      </c>
      <c r="B10" s="2196" t="str">
        <f>"12 MONTHS ENDED "&amp;UPPER(TEXT(EDATE(I18,0),"mmmm dd, yyyy"))</f>
        <v>12 MONTHS ENDED FEBRUARY 28, 2025</v>
      </c>
      <c r="C10" s="2252"/>
      <c r="D10" s="2255"/>
      <c r="E10" s="610"/>
      <c r="F10" s="2193" t="s">
        <v>26</v>
      </c>
      <c r="G10" s="2249" t="s">
        <v>27</v>
      </c>
      <c r="H10" s="610"/>
      <c r="I10" s="2197">
        <v>45473</v>
      </c>
      <c r="J10" s="2197">
        <v>45961</v>
      </c>
      <c r="K10" s="605"/>
      <c r="L10" s="605"/>
      <c r="M10" s="605"/>
      <c r="N10" s="605"/>
      <c r="O10" s="605"/>
      <c r="P10" s="605"/>
      <c r="Q10" s="605"/>
      <c r="R10" s="605"/>
      <c r="S10" s="605"/>
      <c r="T10" s="605"/>
      <c r="U10" s="605"/>
      <c r="V10" s="605"/>
      <c r="W10" s="605"/>
    </row>
    <row r="11" spans="1:23" ht="13.8">
      <c r="A11" s="2191" t="s">
        <v>28</v>
      </c>
      <c r="B11" s="2196" t="str">
        <f>"12 MONTHS ENDED "&amp;UPPER(TEXT(EDATE(J18,0),"mmmm dd, yyyy"))</f>
        <v>12 MONTHS ENDED JUNE 30, 2026</v>
      </c>
      <c r="C11" s="2252"/>
      <c r="D11" s="2255"/>
      <c r="E11" s="610"/>
      <c r="F11" s="2193" t="s">
        <v>29</v>
      </c>
      <c r="G11" s="2249" t="s">
        <v>30</v>
      </c>
      <c r="H11" s="610"/>
      <c r="I11" s="2197">
        <v>45504</v>
      </c>
      <c r="J11" s="2197">
        <v>45991</v>
      </c>
      <c r="K11" s="605"/>
      <c r="L11" s="605"/>
      <c r="M11" s="605"/>
      <c r="N11" s="605"/>
      <c r="O11" s="605"/>
      <c r="P11" s="605"/>
      <c r="Q11" s="605"/>
      <c r="R11" s="605"/>
      <c r="S11" s="605"/>
      <c r="T11" s="605"/>
      <c r="U11" s="605"/>
      <c r="V11" s="605"/>
      <c r="W11" s="605"/>
    </row>
    <row r="12" spans="1:23" ht="13.8">
      <c r="A12" s="2191" t="s">
        <v>31</v>
      </c>
      <c r="B12" s="2199" t="s">
        <v>32</v>
      </c>
      <c r="C12" s="2252"/>
      <c r="D12" s="2255"/>
      <c r="E12" s="2254"/>
      <c r="F12" s="2193" t="s">
        <v>33</v>
      </c>
      <c r="G12" s="2249" t="s">
        <v>34</v>
      </c>
      <c r="H12" s="610"/>
      <c r="I12" s="2197">
        <v>45535</v>
      </c>
      <c r="J12" s="2197">
        <v>46022</v>
      </c>
      <c r="K12" s="605"/>
      <c r="L12" s="605"/>
      <c r="M12" s="605"/>
      <c r="N12" s="605"/>
      <c r="O12" s="605"/>
      <c r="P12" s="605"/>
      <c r="Q12" s="605"/>
      <c r="R12" s="605"/>
      <c r="S12" s="605"/>
      <c r="T12" s="605"/>
      <c r="U12" s="605"/>
      <c r="V12" s="605"/>
      <c r="W12" s="605"/>
    </row>
    <row r="13" spans="1:23" ht="13.8">
      <c r="A13" s="2191" t="s">
        <v>35</v>
      </c>
      <c r="B13" s="2199" t="s">
        <v>36</v>
      </c>
      <c r="C13" s="2252"/>
      <c r="D13" s="2255"/>
      <c r="E13" s="2254"/>
      <c r="F13" s="2193" t="s">
        <v>37</v>
      </c>
      <c r="G13" s="2249" t="s">
        <v>38</v>
      </c>
      <c r="H13" s="610"/>
      <c r="I13" s="2197">
        <v>45565</v>
      </c>
      <c r="J13" s="2197">
        <v>46053</v>
      </c>
      <c r="K13" s="605"/>
      <c r="L13" s="605"/>
      <c r="M13" s="605"/>
      <c r="N13" s="605"/>
      <c r="O13" s="605"/>
      <c r="P13" s="605"/>
      <c r="Q13" s="605"/>
      <c r="R13" s="605"/>
      <c r="S13" s="605"/>
      <c r="T13" s="605"/>
      <c r="U13" s="605"/>
      <c r="V13" s="605"/>
      <c r="W13" s="605"/>
    </row>
    <row r="14" spans="1:23" ht="13.8">
      <c r="A14" s="2191" t="s">
        <v>39</v>
      </c>
      <c r="B14" s="2200" t="s">
        <v>40</v>
      </c>
      <c r="C14" s="2252"/>
      <c r="D14" s="2255"/>
      <c r="E14" s="2254"/>
      <c r="F14" s="2193" t="s">
        <v>41</v>
      </c>
      <c r="G14" s="2249" t="s">
        <v>42</v>
      </c>
      <c r="H14" s="610"/>
      <c r="I14" s="2197">
        <v>45596</v>
      </c>
      <c r="J14" s="2197">
        <v>46081</v>
      </c>
      <c r="K14" s="605"/>
      <c r="L14" s="605"/>
      <c r="M14" s="605"/>
      <c r="N14" s="605"/>
      <c r="O14" s="605"/>
      <c r="P14" s="605"/>
      <c r="Q14" s="605"/>
      <c r="R14" s="605"/>
      <c r="S14" s="605"/>
      <c r="T14" s="605"/>
      <c r="U14" s="605"/>
      <c r="V14" s="605"/>
      <c r="W14" s="605"/>
    </row>
    <row r="15" spans="1:23" ht="13.8">
      <c r="A15" s="2191" t="s">
        <v>43</v>
      </c>
      <c r="B15" s="2200" t="s">
        <v>44</v>
      </c>
      <c r="C15" s="2252"/>
      <c r="D15" s="2255"/>
      <c r="E15" s="2254"/>
      <c r="F15" s="2193" t="s">
        <v>45</v>
      </c>
      <c r="G15" s="2249" t="s">
        <v>46</v>
      </c>
      <c r="H15" s="610"/>
      <c r="I15" s="2197">
        <v>45626</v>
      </c>
      <c r="J15" s="2197">
        <v>46112</v>
      </c>
      <c r="K15" s="605"/>
      <c r="L15" s="605"/>
      <c r="M15" s="605"/>
      <c r="N15" s="605"/>
      <c r="O15" s="605"/>
      <c r="P15" s="605"/>
      <c r="Q15" s="605"/>
      <c r="R15" s="605"/>
      <c r="S15" s="605"/>
      <c r="T15" s="605"/>
      <c r="U15" s="605"/>
      <c r="V15" s="605"/>
      <c r="W15" s="605"/>
    </row>
    <row r="16" spans="1:23" ht="13.8">
      <c r="A16" s="2191"/>
      <c r="B16" s="2199"/>
      <c r="C16" s="2252"/>
      <c r="D16" s="2255"/>
      <c r="E16" s="2254"/>
      <c r="F16" s="2193" t="s">
        <v>47</v>
      </c>
      <c r="G16" s="2249" t="s">
        <v>48</v>
      </c>
      <c r="H16" s="610"/>
      <c r="I16" s="2197">
        <v>45657</v>
      </c>
      <c r="J16" s="2197">
        <v>46142</v>
      </c>
      <c r="K16" s="605"/>
      <c r="L16" s="605"/>
      <c r="M16" s="605"/>
      <c r="N16" s="605"/>
      <c r="O16" s="605"/>
      <c r="P16" s="605"/>
      <c r="Q16" s="605"/>
      <c r="R16" s="605"/>
      <c r="S16" s="605"/>
      <c r="T16" s="605"/>
      <c r="U16" s="605"/>
      <c r="V16" s="605"/>
      <c r="W16" s="605"/>
    </row>
    <row r="17" spans="1:23" ht="13.8">
      <c r="A17" s="2191" t="s">
        <v>49</v>
      </c>
      <c r="B17" s="2201" t="s">
        <v>50</v>
      </c>
      <c r="C17" s="2252"/>
      <c r="D17" s="2255"/>
      <c r="E17" s="2254"/>
      <c r="F17" s="2193" t="s">
        <v>51</v>
      </c>
      <c r="G17" s="2249" t="s">
        <v>52</v>
      </c>
      <c r="H17" s="610"/>
      <c r="I17" s="2197">
        <v>45688</v>
      </c>
      <c r="J17" s="2197">
        <v>46173</v>
      </c>
      <c r="K17" s="605"/>
      <c r="L17" s="605"/>
      <c r="M17" s="605"/>
      <c r="N17" s="605"/>
      <c r="O17" s="605"/>
      <c r="P17" s="605"/>
      <c r="Q17" s="605"/>
      <c r="R17" s="605"/>
      <c r="S17" s="605"/>
      <c r="T17" s="605"/>
      <c r="U17" s="605"/>
      <c r="V17" s="605"/>
      <c r="W17" s="605"/>
    </row>
    <row r="18" spans="1:23" ht="13.8">
      <c r="A18" s="612"/>
      <c r="B18" s="611"/>
      <c r="C18" s="610"/>
      <c r="D18" s="2256"/>
      <c r="E18" s="2254"/>
      <c r="F18" s="2257"/>
      <c r="G18" s="610"/>
      <c r="H18" s="610"/>
      <c r="I18" s="2197">
        <v>45716</v>
      </c>
      <c r="J18" s="2197">
        <v>46203</v>
      </c>
      <c r="K18" s="605"/>
      <c r="L18" s="605"/>
      <c r="M18" s="605"/>
      <c r="N18" s="605"/>
      <c r="O18" s="605"/>
      <c r="P18" s="605"/>
      <c r="Q18" s="605"/>
      <c r="R18" s="605"/>
      <c r="S18" s="605"/>
      <c r="T18" s="605"/>
      <c r="U18" s="605"/>
      <c r="V18" s="605"/>
      <c r="W18" s="605"/>
    </row>
    <row r="19" spans="1:23" ht="13.8">
      <c r="A19" s="612"/>
      <c r="B19" s="613"/>
      <c r="C19" s="2256"/>
      <c r="D19" s="2256"/>
      <c r="E19" s="2254"/>
      <c r="F19" s="2257"/>
      <c r="G19" s="610"/>
      <c r="H19" s="610"/>
      <c r="I19" s="610"/>
      <c r="J19" s="610"/>
      <c r="K19" s="605"/>
      <c r="L19" s="605"/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</row>
    <row r="20" spans="1:23" ht="13.8">
      <c r="A20" s="612"/>
      <c r="B20" s="613"/>
      <c r="C20" s="2256"/>
      <c r="D20" s="2256"/>
      <c r="E20" s="2254"/>
      <c r="F20" s="2257"/>
      <c r="G20" s="610"/>
      <c r="H20" s="610"/>
      <c r="I20" s="610"/>
      <c r="J20" s="610"/>
      <c r="K20" s="605"/>
      <c r="L20" s="605"/>
      <c r="M20" s="605"/>
      <c r="N20" s="605"/>
      <c r="O20" s="605"/>
      <c r="P20" s="605"/>
      <c r="Q20" s="605"/>
      <c r="R20" s="605"/>
      <c r="S20" s="1413"/>
      <c r="T20" s="605"/>
      <c r="U20" s="605"/>
      <c r="V20" s="605"/>
      <c r="W20" s="605"/>
    </row>
    <row r="21" spans="1:23" ht="14.4" thickBot="1">
      <c r="A21" s="612"/>
      <c r="B21" s="613"/>
      <c r="C21" s="2256"/>
      <c r="D21" s="2256"/>
      <c r="E21" s="2254"/>
      <c r="F21" s="2257"/>
      <c r="G21" s="610"/>
      <c r="H21" s="610"/>
      <c r="I21" s="610"/>
      <c r="J21" s="610"/>
      <c r="K21" s="605"/>
      <c r="L21" s="605"/>
      <c r="M21" s="605"/>
      <c r="N21" s="605"/>
      <c r="O21" s="605"/>
      <c r="P21" s="605"/>
      <c r="Q21" s="605"/>
      <c r="R21" s="605"/>
      <c r="S21" s="605"/>
      <c r="T21" s="605"/>
      <c r="U21" s="605"/>
      <c r="V21" s="605"/>
      <c r="W21" s="605"/>
    </row>
    <row r="22" spans="1:23" ht="13.8">
      <c r="A22" s="612"/>
      <c r="B22" s="35" t="s">
        <v>53</v>
      </c>
      <c r="C22" s="2258">
        <f>SCH_H!Y99</f>
        <v>9.2099999999999994E-3</v>
      </c>
      <c r="D22" s="610"/>
      <c r="E22" s="610"/>
      <c r="F22" s="2259"/>
      <c r="G22" s="610"/>
      <c r="H22" s="610"/>
      <c r="I22" s="610"/>
      <c r="J22" s="610"/>
      <c r="K22" s="605"/>
      <c r="L22" s="605"/>
      <c r="M22" s="605"/>
      <c r="N22" s="605"/>
      <c r="O22" s="605"/>
      <c r="P22" s="605"/>
      <c r="Q22" s="605"/>
      <c r="R22" s="605"/>
      <c r="S22" s="605"/>
      <c r="T22" s="605"/>
      <c r="U22" s="605"/>
      <c r="V22" s="605"/>
      <c r="W22" s="605"/>
    </row>
    <row r="23" spans="1:23" ht="13.8">
      <c r="A23" s="612"/>
      <c r="B23" s="1430" t="s">
        <v>54</v>
      </c>
      <c r="C23" s="2260">
        <f>ROUND(829365.27/533697084,8)</f>
        <v>1.554E-3</v>
      </c>
      <c r="D23" s="2261" t="s">
        <v>55</v>
      </c>
      <c r="E23" s="610"/>
      <c r="F23" s="2257"/>
      <c r="G23" s="610"/>
      <c r="H23" s="610"/>
      <c r="I23" s="610"/>
      <c r="J23" s="610"/>
      <c r="K23" s="605"/>
      <c r="L23" s="605"/>
      <c r="M23" s="605"/>
      <c r="N23" s="605"/>
      <c r="O23" s="605"/>
      <c r="P23" s="605"/>
      <c r="Q23" s="605"/>
      <c r="R23" s="605"/>
      <c r="S23" s="605"/>
      <c r="T23" s="605"/>
      <c r="U23" s="605"/>
      <c r="V23" s="605"/>
      <c r="W23" s="605"/>
    </row>
    <row r="24" spans="1:23" ht="13.8">
      <c r="A24" s="612"/>
      <c r="B24" s="1431" t="s">
        <v>56</v>
      </c>
      <c r="C24" s="2262">
        <v>0.05</v>
      </c>
      <c r="D24" s="610"/>
      <c r="E24" s="2263"/>
      <c r="F24" s="2257"/>
      <c r="G24" s="610"/>
      <c r="H24" s="610"/>
      <c r="I24" s="610"/>
      <c r="J24" s="610"/>
      <c r="K24" s="605"/>
      <c r="L24" s="605"/>
      <c r="M24" s="605"/>
      <c r="N24" s="605"/>
      <c r="O24" s="605"/>
      <c r="P24" s="605"/>
      <c r="Q24" s="605"/>
      <c r="R24" s="605"/>
      <c r="S24" s="605"/>
      <c r="T24" s="605"/>
      <c r="U24" s="605"/>
      <c r="V24" s="605"/>
      <c r="W24" s="605"/>
    </row>
    <row r="25" spans="1:23" ht="13.8">
      <c r="A25" s="612"/>
      <c r="B25" s="1430" t="s">
        <v>57</v>
      </c>
      <c r="C25" s="2262">
        <v>0.21</v>
      </c>
      <c r="D25" s="610"/>
      <c r="E25" s="610"/>
      <c r="F25" s="2257"/>
      <c r="G25" s="610"/>
      <c r="H25" s="610"/>
      <c r="I25" s="610"/>
      <c r="J25" s="610"/>
      <c r="K25" s="605"/>
      <c r="L25" s="605"/>
      <c r="M25" s="605"/>
      <c r="N25" s="605"/>
      <c r="O25" s="605"/>
      <c r="P25" s="605"/>
      <c r="Q25" s="605"/>
      <c r="R25" s="605"/>
      <c r="S25" s="605"/>
      <c r="T25" s="605"/>
      <c r="U25" s="605"/>
      <c r="V25" s="605"/>
      <c r="W25" s="605"/>
    </row>
    <row r="26" spans="1:23" ht="14.4" thickBot="1">
      <c r="A26" s="610"/>
      <c r="B26" s="1718" t="s">
        <v>58</v>
      </c>
      <c r="C26" s="2264">
        <f>(1-KPSC*APPORT)*FIT+(KPSC*APPORT)</f>
        <v>0.24925115</v>
      </c>
      <c r="D26" s="2261"/>
      <c r="E26" s="610"/>
      <c r="F26" s="2257"/>
      <c r="G26" s="610"/>
      <c r="H26" s="610"/>
      <c r="I26" s="610"/>
      <c r="J26" s="610"/>
      <c r="K26" s="605"/>
      <c r="L26" s="605"/>
      <c r="M26" s="605"/>
      <c r="N26" s="605"/>
      <c r="O26" s="605"/>
      <c r="P26" s="605"/>
      <c r="Q26" s="605"/>
      <c r="R26" s="605"/>
      <c r="S26" s="1246"/>
      <c r="T26" s="605"/>
      <c r="U26" s="605"/>
      <c r="V26" s="605"/>
      <c r="W26" s="605"/>
    </row>
    <row r="27" spans="1:23" ht="13.8">
      <c r="A27" s="1716"/>
      <c r="B27" s="1717"/>
      <c r="C27" s="2265"/>
      <c r="D27" s="614"/>
      <c r="E27" s="614"/>
      <c r="F27" s="2257"/>
      <c r="G27" s="614"/>
      <c r="H27" s="614"/>
      <c r="I27" s="614"/>
      <c r="J27" s="614"/>
      <c r="K27" s="605"/>
      <c r="L27" s="605"/>
      <c r="M27" s="605"/>
      <c r="N27" s="605"/>
      <c r="O27" s="605"/>
      <c r="P27" s="605"/>
      <c r="Q27" s="605"/>
      <c r="R27" s="605"/>
      <c r="S27" s="605"/>
      <c r="T27" s="605"/>
      <c r="U27" s="605"/>
      <c r="V27" s="605"/>
      <c r="W27" s="605"/>
    </row>
    <row r="28" spans="1:23" ht="13.8">
      <c r="A28" s="605"/>
      <c r="B28" s="605"/>
      <c r="C28" s="605"/>
      <c r="D28" s="605"/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5"/>
      <c r="R28" s="605"/>
      <c r="S28" s="605"/>
      <c r="T28" s="605"/>
      <c r="U28" s="605"/>
      <c r="V28" s="605"/>
      <c r="W28" s="605"/>
    </row>
    <row r="29" spans="1:23" ht="13.8">
      <c r="A29" s="605"/>
      <c r="B29" s="605"/>
      <c r="C29" s="605"/>
      <c r="D29" s="605"/>
      <c r="E29" s="605"/>
      <c r="F29" s="605"/>
      <c r="G29" s="605"/>
      <c r="H29" s="605"/>
      <c r="I29" s="605"/>
      <c r="J29" s="605"/>
      <c r="K29" s="605"/>
      <c r="L29" s="605"/>
      <c r="M29" s="605"/>
      <c r="N29" s="605"/>
      <c r="O29" s="605"/>
      <c r="P29" s="605"/>
      <c r="Q29" s="605"/>
      <c r="R29" s="605"/>
      <c r="S29" s="605"/>
      <c r="T29" s="605"/>
      <c r="U29" s="605"/>
      <c r="V29" s="605"/>
      <c r="W29" s="605"/>
    </row>
    <row r="30" spans="1:23" ht="13.8">
      <c r="A30" s="605"/>
      <c r="B30" s="605"/>
      <c r="C30" s="605"/>
      <c r="D30" s="605"/>
      <c r="E30" s="605"/>
      <c r="F30" s="605"/>
      <c r="G30" s="605"/>
      <c r="H30" s="605"/>
      <c r="I30" s="605"/>
      <c r="J30" s="605"/>
      <c r="K30" s="605"/>
      <c r="L30" s="605"/>
      <c r="M30" s="605"/>
      <c r="N30" s="605"/>
      <c r="O30" s="605"/>
      <c r="P30" s="605"/>
      <c r="Q30" s="605"/>
      <c r="R30" s="605"/>
      <c r="S30" s="605"/>
      <c r="T30" s="605"/>
      <c r="U30" s="605"/>
      <c r="V30" s="605"/>
      <c r="W30" s="605"/>
    </row>
    <row r="31" spans="1:23" ht="13.8">
      <c r="A31" s="605"/>
      <c r="B31" s="605"/>
      <c r="C31" s="605"/>
      <c r="D31" s="605"/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605"/>
      <c r="R31" s="605"/>
      <c r="S31" s="605"/>
      <c r="T31" s="605"/>
      <c r="U31" s="605"/>
      <c r="V31" s="605"/>
      <c r="W31" s="605"/>
    </row>
    <row r="32" spans="1:23" ht="13.8">
      <c r="A32" s="605"/>
      <c r="B32" s="605"/>
      <c r="C32" s="605"/>
      <c r="D32" s="605"/>
      <c r="E32" s="605"/>
      <c r="F32" s="605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605"/>
      <c r="R32" s="605"/>
      <c r="S32" s="605"/>
      <c r="T32" s="605"/>
      <c r="U32" s="605"/>
      <c r="V32" s="605"/>
      <c r="W32" s="605"/>
    </row>
    <row r="33" spans="1:23" ht="13.8">
      <c r="A33" s="605"/>
      <c r="B33" s="605"/>
      <c r="C33" s="605"/>
      <c r="D33" s="605"/>
      <c r="E33" s="605"/>
      <c r="F33" s="605"/>
      <c r="G33" s="605"/>
      <c r="H33" s="605"/>
      <c r="I33" s="605"/>
      <c r="J33" s="605"/>
      <c r="K33" s="605"/>
      <c r="L33" s="605"/>
      <c r="M33" s="605"/>
      <c r="N33" s="605"/>
      <c r="O33" s="605"/>
      <c r="P33" s="605"/>
      <c r="Q33" s="605"/>
      <c r="R33" s="605"/>
      <c r="S33" s="605"/>
      <c r="T33" s="605"/>
      <c r="U33" s="605"/>
      <c r="V33" s="605"/>
      <c r="W33" s="605"/>
    </row>
    <row r="34" spans="1:23" ht="13.8">
      <c r="A34" s="605"/>
      <c r="B34" s="605"/>
      <c r="C34" s="605"/>
      <c r="D34" s="605"/>
      <c r="E34" s="605"/>
      <c r="F34" s="605"/>
      <c r="G34" s="605"/>
      <c r="H34" s="605"/>
      <c r="I34" s="605"/>
      <c r="J34" s="605"/>
      <c r="K34" s="605"/>
      <c r="L34" s="605"/>
      <c r="M34" s="605"/>
      <c r="N34" s="605"/>
      <c r="O34" s="605"/>
      <c r="P34" s="605"/>
      <c r="Q34" s="605"/>
      <c r="R34" s="605"/>
      <c r="S34" s="605"/>
      <c r="T34" s="605"/>
      <c r="U34" s="605"/>
      <c r="V34" s="605"/>
      <c r="W34" s="605"/>
    </row>
    <row r="35" spans="1:23" ht="13.8">
      <c r="A35" s="605"/>
      <c r="B35" s="605"/>
      <c r="C35" s="605"/>
      <c r="D35" s="605"/>
      <c r="E35" s="605"/>
      <c r="F35" s="605"/>
      <c r="G35" s="605"/>
      <c r="H35" s="605"/>
      <c r="I35" s="605"/>
      <c r="J35" s="605"/>
      <c r="K35" s="605"/>
      <c r="L35" s="605"/>
      <c r="M35" s="605"/>
      <c r="N35" s="605"/>
      <c r="O35" s="605"/>
      <c r="P35" s="605"/>
      <c r="Q35" s="605"/>
      <c r="R35" s="605"/>
      <c r="S35" s="605"/>
      <c r="T35" s="605"/>
      <c r="U35" s="605"/>
      <c r="V35" s="605"/>
      <c r="W35" s="605"/>
    </row>
    <row r="36" spans="1:23" ht="13.8">
      <c r="A36" s="605"/>
      <c r="B36" s="605"/>
      <c r="C36" s="605"/>
      <c r="D36" s="605"/>
      <c r="E36" s="605"/>
      <c r="F36" s="605"/>
      <c r="G36" s="605"/>
      <c r="H36" s="605"/>
      <c r="I36" s="605"/>
      <c r="J36" s="605"/>
      <c r="K36" s="605"/>
      <c r="L36" s="605"/>
      <c r="M36" s="605"/>
      <c r="N36" s="605"/>
      <c r="O36" s="605"/>
      <c r="P36" s="605"/>
      <c r="Q36" s="605"/>
      <c r="R36" s="605"/>
      <c r="S36" s="605"/>
      <c r="T36" s="605"/>
      <c r="U36" s="605"/>
      <c r="V36" s="605"/>
      <c r="W36" s="605"/>
    </row>
    <row r="37" spans="1:23" ht="13.8">
      <c r="A37" s="605"/>
      <c r="B37" s="605"/>
      <c r="C37" s="605"/>
      <c r="D37" s="605"/>
      <c r="E37" s="605"/>
      <c r="F37" s="605"/>
      <c r="G37" s="605"/>
      <c r="H37" s="605"/>
      <c r="I37" s="605"/>
      <c r="J37" s="605"/>
      <c r="K37" s="605"/>
      <c r="L37" s="605"/>
      <c r="M37" s="605"/>
      <c r="N37" s="605"/>
      <c r="O37" s="605"/>
      <c r="P37" s="605"/>
      <c r="Q37" s="605"/>
      <c r="R37" s="605"/>
      <c r="S37" s="605"/>
      <c r="T37" s="605"/>
      <c r="U37" s="605"/>
      <c r="V37" s="605"/>
      <c r="W37" s="605"/>
    </row>
    <row r="38" spans="1:23" ht="13.8">
      <c r="A38" s="605"/>
      <c r="B38" s="605"/>
      <c r="C38" s="605"/>
      <c r="D38" s="605"/>
      <c r="E38" s="605"/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5"/>
      <c r="R38" s="605"/>
      <c r="S38" s="605"/>
      <c r="T38" s="605"/>
      <c r="U38" s="605"/>
      <c r="V38" s="605"/>
      <c r="W38" s="605"/>
    </row>
    <row r="39" spans="1:23" ht="13.8">
      <c r="A39" s="605"/>
      <c r="B39" s="605"/>
      <c r="C39" s="605"/>
      <c r="D39" s="605"/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5"/>
      <c r="R39" s="605"/>
      <c r="S39" s="605"/>
      <c r="T39" s="605"/>
      <c r="U39" s="605"/>
      <c r="V39" s="605"/>
      <c r="W39" s="605"/>
    </row>
    <row r="40" spans="1:23" ht="13.8">
      <c r="A40" s="605"/>
      <c r="B40" s="605"/>
      <c r="C40" s="605"/>
      <c r="D40" s="605"/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5"/>
      <c r="R40" s="605"/>
      <c r="S40" s="605"/>
      <c r="T40" s="605"/>
      <c r="U40" s="605"/>
      <c r="V40" s="605"/>
      <c r="W40" s="605"/>
    </row>
    <row r="41" spans="1:23" ht="13.8">
      <c r="A41" s="605"/>
      <c r="B41" s="605"/>
      <c r="C41" s="605"/>
      <c r="D41" s="605"/>
      <c r="E41" s="605"/>
      <c r="F41" s="605"/>
      <c r="G41" s="605"/>
      <c r="H41" s="605"/>
      <c r="I41" s="605"/>
      <c r="J41" s="605"/>
      <c r="K41" s="605"/>
      <c r="L41" s="605"/>
      <c r="M41" s="605"/>
      <c r="N41" s="605"/>
      <c r="O41" s="605"/>
      <c r="P41" s="605"/>
      <c r="Q41" s="605"/>
      <c r="R41" s="605"/>
      <c r="S41" s="605"/>
      <c r="T41" s="605"/>
      <c r="U41" s="605"/>
      <c r="V41" s="605"/>
      <c r="W41" s="605"/>
    </row>
    <row r="42" spans="1:23" ht="13.8">
      <c r="A42" s="605"/>
      <c r="B42" s="605"/>
      <c r="C42" s="605"/>
      <c r="D42" s="605"/>
      <c r="E42" s="605"/>
      <c r="F42" s="605"/>
      <c r="G42" s="605"/>
      <c r="H42" s="605"/>
      <c r="I42" s="605"/>
      <c r="J42" s="605"/>
      <c r="K42" s="605"/>
      <c r="L42" s="605"/>
      <c r="M42" s="605"/>
      <c r="N42" s="605"/>
      <c r="O42" s="605"/>
      <c r="P42" s="605"/>
      <c r="Q42" s="605"/>
      <c r="R42" s="605"/>
      <c r="S42" s="605"/>
      <c r="T42" s="605"/>
      <c r="U42" s="605"/>
      <c r="V42" s="605"/>
      <c r="W42" s="605"/>
    </row>
    <row r="43" spans="1:23" ht="13.8">
      <c r="A43" s="605"/>
      <c r="B43" s="605"/>
      <c r="C43" s="605"/>
      <c r="D43" s="605"/>
      <c r="E43" s="605"/>
      <c r="F43" s="605"/>
      <c r="G43" s="605"/>
      <c r="H43" s="605"/>
      <c r="I43" s="605"/>
      <c r="J43" s="605"/>
      <c r="K43" s="605"/>
      <c r="L43" s="605"/>
      <c r="M43" s="605"/>
      <c r="N43" s="605"/>
      <c r="O43" s="605"/>
      <c r="P43" s="605"/>
      <c r="Q43" s="605"/>
      <c r="R43" s="605"/>
      <c r="S43" s="605"/>
      <c r="T43" s="605"/>
      <c r="U43" s="605"/>
      <c r="V43" s="605"/>
      <c r="W43" s="605"/>
    </row>
    <row r="44" spans="1:23" ht="13.8">
      <c r="A44" s="605"/>
      <c r="B44" s="605"/>
      <c r="C44" s="605"/>
      <c r="D44" s="605"/>
      <c r="E44" s="605"/>
      <c r="F44" s="605"/>
      <c r="G44" s="605"/>
      <c r="H44" s="605"/>
      <c r="I44" s="605"/>
      <c r="J44" s="605"/>
      <c r="K44" s="605"/>
      <c r="L44" s="605"/>
      <c r="M44" s="605"/>
      <c r="N44" s="605"/>
      <c r="O44" s="605"/>
      <c r="P44" s="605"/>
      <c r="Q44" s="605"/>
      <c r="R44" s="605"/>
      <c r="S44" s="605"/>
      <c r="T44" s="605"/>
      <c r="U44" s="605"/>
      <c r="V44" s="605"/>
      <c r="W44" s="605"/>
    </row>
    <row r="45" spans="1:23" ht="13.8">
      <c r="A45" s="605"/>
      <c r="B45" s="605"/>
      <c r="C45" s="605"/>
      <c r="D45" s="605"/>
      <c r="E45" s="605"/>
      <c r="F45" s="605"/>
      <c r="G45" s="605"/>
      <c r="H45" s="605"/>
      <c r="I45" s="605"/>
      <c r="J45" s="605"/>
      <c r="K45" s="605"/>
      <c r="L45" s="605"/>
      <c r="M45" s="605"/>
      <c r="N45" s="605"/>
      <c r="O45" s="605"/>
      <c r="P45" s="605"/>
      <c r="Q45" s="605"/>
      <c r="R45" s="605"/>
      <c r="S45" s="605"/>
      <c r="T45" s="605"/>
      <c r="U45" s="605"/>
      <c r="V45" s="605"/>
      <c r="W45" s="605"/>
    </row>
  </sheetData>
  <phoneticPr fontId="19" type="noConversion"/>
  <pageMargins left="0.75" right="0.75" top="1" bottom="1" header="0.5" footer="0.5"/>
  <pageSetup scale="54" orientation="portrait" r:id="rId1"/>
  <headerFooter alignWithMargins="0">
    <oddHeader>&amp;A</oddHeader>
    <oddFooter>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>
    <tabColor theme="4" tint="0.39997558519241921"/>
    <pageSetUpPr fitToPage="1"/>
  </sheetPr>
  <dimension ref="A1:Q51"/>
  <sheetViews>
    <sheetView workbookViewId="0"/>
  </sheetViews>
  <sheetFormatPr defaultColWidth="8" defaultRowHeight="13.2"/>
  <cols>
    <col min="1" max="1" width="6.44140625" style="29" customWidth="1"/>
    <col min="2" max="2" width="1.44140625" style="29" customWidth="1"/>
    <col min="3" max="3" width="45.44140625" style="29" customWidth="1"/>
    <col min="4" max="4" width="1.5546875" style="29" customWidth="1"/>
    <col min="5" max="5" width="16.44140625" style="29" customWidth="1"/>
    <col min="6" max="6" width="1.5546875" style="29" customWidth="1"/>
    <col min="7" max="7" width="20" style="29" customWidth="1"/>
    <col min="8" max="8" width="1.5546875" style="29" customWidth="1"/>
    <col min="9" max="9" width="21.44140625" style="29" customWidth="1"/>
    <col min="10" max="10" width="6.5546875" style="29" customWidth="1"/>
    <col min="12" max="12" width="17" customWidth="1"/>
    <col min="13" max="13" width="14.44140625" customWidth="1"/>
    <col min="17" max="17" width="15.5546875" bestFit="1" customWidth="1"/>
    <col min="18" max="18" width="13.44140625" customWidth="1"/>
    <col min="20" max="20" width="15" bestFit="1" customWidth="1"/>
    <col min="21" max="21" width="14" customWidth="1"/>
  </cols>
  <sheetData>
    <row r="1" spans="1:10">
      <c r="A1" s="632" t="str">
        <f>COMPANY</f>
        <v>DUKE ENERGY KENTUCKY, INC.</v>
      </c>
      <c r="B1" s="632"/>
      <c r="C1" s="632"/>
      <c r="D1" s="632"/>
      <c r="E1" s="632"/>
      <c r="F1" s="632"/>
      <c r="G1" s="632"/>
      <c r="H1" s="632"/>
      <c r="I1" s="632"/>
      <c r="J1" s="632"/>
    </row>
    <row r="2" spans="1:10">
      <c r="A2" s="632" t="str">
        <f>CASE</f>
        <v>CASE NO. 2024-00354</v>
      </c>
      <c r="B2" s="632"/>
      <c r="C2" s="632"/>
      <c r="D2" s="632"/>
      <c r="E2" s="632"/>
      <c r="F2" s="632"/>
      <c r="G2" s="632"/>
      <c r="H2" s="632"/>
      <c r="I2" s="632"/>
      <c r="J2" s="632"/>
    </row>
    <row r="3" spans="1:10">
      <c r="A3" s="632" t="s">
        <v>497</v>
      </c>
      <c r="B3" s="632"/>
      <c r="C3" s="632"/>
      <c r="D3" s="632"/>
      <c r="E3" s="632"/>
      <c r="F3" s="632"/>
      <c r="G3" s="632"/>
      <c r="H3" s="632"/>
      <c r="I3" s="632"/>
      <c r="J3" s="632"/>
    </row>
    <row r="4" spans="1:10">
      <c r="A4" s="47" t="str">
        <f>"AS OF " &amp;RIGHT(TESTYR,(LEN(TESTYR)-16))</f>
        <v>AS OF FEBRUARY 28, 2025</v>
      </c>
      <c r="B4" s="632"/>
      <c r="C4" s="632"/>
      <c r="D4" s="632"/>
      <c r="E4" s="632"/>
      <c r="F4" s="632"/>
      <c r="G4" s="632"/>
      <c r="H4" s="632"/>
      <c r="I4" s="632"/>
      <c r="J4" s="632"/>
    </row>
    <row r="5" spans="1:10">
      <c r="A5" s="47" t="str">
        <f>"AS OF " &amp;RIGHT(Forecast,(LEN(Forecast)-16))</f>
        <v>AS OF JUNE 30, 2026</v>
      </c>
      <c r="B5" s="632"/>
      <c r="C5" s="632"/>
      <c r="D5" s="632"/>
      <c r="E5" s="632"/>
      <c r="F5" s="632"/>
      <c r="G5" s="632"/>
      <c r="H5" s="632"/>
      <c r="I5" s="632"/>
      <c r="J5" s="632"/>
    </row>
    <row r="6" spans="1:10">
      <c r="A6" s="1393" t="s">
        <v>55</v>
      </c>
      <c r="B6" s="50"/>
      <c r="C6" s="50"/>
      <c r="D6" s="50"/>
      <c r="E6" s="50"/>
      <c r="F6" s="50"/>
      <c r="G6" s="50"/>
      <c r="H6" s="50"/>
      <c r="I6" s="50"/>
      <c r="J6" s="50"/>
    </row>
    <row r="7" spans="1:10">
      <c r="A7" s="50" t="str">
        <f>DataB</f>
        <v>DATA: "X" BASE PERIOD  "X" FORECASTED PERIOD</v>
      </c>
      <c r="B7" s="50"/>
      <c r="C7" s="50"/>
      <c r="D7" s="50"/>
      <c r="E7" s="50"/>
      <c r="F7" s="50"/>
      <c r="G7" s="50"/>
      <c r="H7" s="50"/>
      <c r="I7" s="1172" t="s">
        <v>498</v>
      </c>
      <c r="J7" s="50"/>
    </row>
    <row r="8" spans="1:10">
      <c r="A8" s="50" t="str">
        <f>Type</f>
        <v xml:space="preserve">TYPE OF FILING:  "X" ORIGINAL   UPDATED    REVISED  </v>
      </c>
      <c r="B8" s="50"/>
      <c r="C8" s="50"/>
      <c r="D8" s="50"/>
      <c r="E8" s="50"/>
      <c r="F8" s="50"/>
      <c r="G8" s="50"/>
      <c r="H8" s="50"/>
      <c r="I8" s="1172" t="s">
        <v>466</v>
      </c>
      <c r="J8" s="50"/>
    </row>
    <row r="9" spans="1:10">
      <c r="A9" s="1172" t="s">
        <v>467</v>
      </c>
      <c r="B9" s="50"/>
      <c r="C9" s="50"/>
      <c r="D9" s="50"/>
      <c r="E9" s="50"/>
      <c r="F9" s="50"/>
      <c r="G9" s="50"/>
      <c r="H9" s="50"/>
      <c r="I9" s="1172" t="s">
        <v>468</v>
      </c>
      <c r="J9" s="50"/>
    </row>
    <row r="10" spans="1:10">
      <c r="A10" s="50"/>
      <c r="B10" s="50"/>
      <c r="C10" s="50"/>
      <c r="D10" s="50"/>
      <c r="E10" s="50"/>
      <c r="F10" s="50"/>
      <c r="G10" s="50"/>
      <c r="H10" s="50"/>
      <c r="I10" s="1172" t="str">
        <f>_WIT1</f>
        <v>L. D. STEINKUHL</v>
      </c>
      <c r="J10" s="50"/>
    </row>
    <row r="11" spans="1:10">
      <c r="A11" s="1441"/>
      <c r="B11" s="1441"/>
      <c r="C11" s="1441"/>
      <c r="D11" s="1441"/>
      <c r="E11" s="1441"/>
      <c r="F11" s="1441"/>
      <c r="G11" s="1441"/>
      <c r="H11" s="1441"/>
      <c r="I11" s="1441"/>
      <c r="J11" s="1173"/>
    </row>
    <row r="12" spans="1:10">
      <c r="A12" s="50"/>
      <c r="B12" s="50"/>
      <c r="C12" s="50"/>
      <c r="D12" s="50"/>
      <c r="E12" s="50"/>
      <c r="F12" s="50"/>
      <c r="G12" s="50"/>
      <c r="H12" s="50"/>
      <c r="I12" s="1174"/>
      <c r="J12" s="50"/>
    </row>
    <row r="13" spans="1:10">
      <c r="A13" s="50"/>
      <c r="B13" s="50"/>
      <c r="C13" s="50"/>
      <c r="D13" s="50"/>
      <c r="E13" s="1174" t="s">
        <v>469</v>
      </c>
      <c r="F13" s="50"/>
      <c r="G13" s="50"/>
      <c r="H13" s="1175"/>
      <c r="I13" s="632" t="s">
        <v>499</v>
      </c>
      <c r="J13" s="50"/>
    </row>
    <row r="14" spans="1:10">
      <c r="A14" s="1174" t="s">
        <v>471</v>
      </c>
      <c r="B14" s="50"/>
      <c r="C14" s="50"/>
      <c r="D14" s="50"/>
      <c r="E14" s="1174" t="s">
        <v>472</v>
      </c>
      <c r="F14" s="50"/>
      <c r="G14" s="1174" t="s">
        <v>473</v>
      </c>
      <c r="H14" s="50"/>
      <c r="I14" s="1174" t="s">
        <v>500</v>
      </c>
      <c r="J14" s="50"/>
    </row>
    <row r="15" spans="1:10">
      <c r="A15" s="1174" t="s">
        <v>475</v>
      </c>
      <c r="B15" s="50"/>
      <c r="C15" s="1174" t="s">
        <v>501</v>
      </c>
      <c r="D15" s="50"/>
      <c r="E15" s="1174" t="s">
        <v>477</v>
      </c>
      <c r="F15" s="50"/>
      <c r="G15" s="1174" t="s">
        <v>478</v>
      </c>
      <c r="H15" s="50"/>
      <c r="I15" s="1174" t="s">
        <v>478</v>
      </c>
      <c r="J15" s="50"/>
    </row>
    <row r="16" spans="1:10">
      <c r="A16" s="1442"/>
      <c r="B16" s="1441"/>
      <c r="C16" s="1441"/>
      <c r="D16" s="1441"/>
      <c r="E16" s="1441"/>
      <c r="F16" s="1441"/>
      <c r="G16" s="1441"/>
      <c r="H16" s="1441"/>
      <c r="I16" s="1441"/>
      <c r="J16" s="1173"/>
    </row>
    <row r="17" spans="1:11">
      <c r="A17" s="1174"/>
      <c r="B17" s="50"/>
      <c r="C17" s="50"/>
      <c r="D17" s="50"/>
      <c r="E17" s="50"/>
      <c r="F17" s="50"/>
      <c r="G17" s="50"/>
      <c r="H17" s="50"/>
      <c r="I17" s="50"/>
      <c r="J17" s="50"/>
    </row>
    <row r="18" spans="1:11">
      <c r="A18" s="1174">
        <v>1</v>
      </c>
      <c r="B18" s="50"/>
      <c r="C18" s="50" t="s">
        <v>502</v>
      </c>
      <c r="D18" s="50"/>
      <c r="E18" s="1176" t="s">
        <v>503</v>
      </c>
      <c r="F18" s="51"/>
      <c r="G18" s="1728">
        <f>ROUND('SCH B-2'!G42,0)</f>
        <v>2326084552</v>
      </c>
      <c r="H18" s="1748"/>
      <c r="I18" s="1728">
        <f>ROUND('SCH B-2'!G90,0)</f>
        <v>2430172938</v>
      </c>
      <c r="J18" s="51"/>
    </row>
    <row r="19" spans="1:11">
      <c r="A19" s="1174"/>
      <c r="B19" s="50"/>
      <c r="C19" s="50"/>
      <c r="D19" s="50"/>
      <c r="E19" s="51"/>
      <c r="F19" s="51"/>
      <c r="G19" s="1746"/>
      <c r="H19" s="1748"/>
      <c r="I19" s="1746"/>
      <c r="J19" s="51"/>
    </row>
    <row r="20" spans="1:11">
      <c r="A20" s="1174">
        <v>2</v>
      </c>
      <c r="B20" s="50"/>
      <c r="C20" s="50" t="s">
        <v>504</v>
      </c>
      <c r="D20" s="50"/>
      <c r="E20" s="1176" t="s">
        <v>505</v>
      </c>
      <c r="F20" s="51"/>
      <c r="G20" s="1807">
        <f>-ROUND('SCH B-3'!K273,0)</f>
        <v>-915313162</v>
      </c>
      <c r="H20" s="1748"/>
      <c r="I20" s="1807">
        <f>-ROUND('SCH B-3.2 - Proposed'!H300+(SCH_D2.24!J27*0.5),0)</f>
        <v>-953936550</v>
      </c>
      <c r="J20" s="1405" t="s">
        <v>506</v>
      </c>
      <c r="K20" s="29"/>
    </row>
    <row r="21" spans="1:11">
      <c r="A21" s="1174"/>
      <c r="B21" s="50"/>
      <c r="C21" s="50"/>
      <c r="D21" s="50"/>
      <c r="E21" s="1176"/>
      <c r="F21" s="51"/>
      <c r="G21" s="1747"/>
      <c r="H21" s="1748"/>
      <c r="I21" s="1747"/>
      <c r="J21" s="51"/>
    </row>
    <row r="22" spans="1:11">
      <c r="A22" s="1174">
        <v>3</v>
      </c>
      <c r="B22" s="50"/>
      <c r="C22" s="50" t="s">
        <v>507</v>
      </c>
      <c r="D22" s="50"/>
      <c r="E22" s="51"/>
      <c r="F22" s="51"/>
      <c r="G22" s="1748">
        <f>G18+G20</f>
        <v>1410771390</v>
      </c>
      <c r="H22" s="1748"/>
      <c r="I22" s="1748">
        <f>PLANT_IN_SERVICE+I20</f>
        <v>1476236388</v>
      </c>
      <c r="J22" s="51"/>
    </row>
    <row r="23" spans="1:11">
      <c r="A23" s="1174"/>
      <c r="B23" s="50"/>
      <c r="C23" s="50"/>
      <c r="D23" s="50"/>
      <c r="E23" s="51"/>
      <c r="F23" s="51"/>
      <c r="G23" s="1748"/>
      <c r="H23" s="1748"/>
      <c r="I23" s="1748"/>
      <c r="J23" s="51"/>
    </row>
    <row r="24" spans="1:11">
      <c r="A24" s="1174">
        <v>4</v>
      </c>
      <c r="B24" s="50"/>
      <c r="C24" s="50" t="s">
        <v>508</v>
      </c>
      <c r="D24" s="50"/>
      <c r="E24" s="1176" t="s">
        <v>509</v>
      </c>
      <c r="F24" s="50"/>
      <c r="G24" s="1749">
        <v>0</v>
      </c>
      <c r="H24" s="1994"/>
      <c r="I24" s="1749">
        <v>0</v>
      </c>
      <c r="J24" s="1405" t="s">
        <v>510</v>
      </c>
    </row>
    <row r="25" spans="1:11">
      <c r="A25" s="1174"/>
      <c r="B25" s="50"/>
      <c r="C25" s="50"/>
      <c r="D25" s="50"/>
      <c r="E25" s="51"/>
      <c r="F25" s="51"/>
      <c r="G25" s="1748"/>
      <c r="H25" s="1748"/>
      <c r="I25" s="1748"/>
      <c r="J25" s="51"/>
    </row>
    <row r="26" spans="1:11">
      <c r="A26" s="1174">
        <v>5</v>
      </c>
      <c r="B26" s="50"/>
      <c r="C26" s="50" t="s">
        <v>511</v>
      </c>
      <c r="D26" s="50"/>
      <c r="E26" s="1394" t="s">
        <v>512</v>
      </c>
      <c r="F26" s="51"/>
      <c r="G26" s="1748">
        <f>SCH_B5s!M17</f>
        <v>7495342</v>
      </c>
      <c r="H26" s="1748"/>
      <c r="I26" s="1748">
        <f>SCH_B5s!O17</f>
        <v>4507797</v>
      </c>
      <c r="J26" s="51"/>
    </row>
    <row r="27" spans="1:11">
      <c r="A27" s="1174"/>
      <c r="B27" s="50"/>
      <c r="C27" s="50"/>
      <c r="D27" s="50"/>
      <c r="E27" s="1176"/>
      <c r="F27" s="51"/>
      <c r="G27" s="1748"/>
      <c r="H27" s="1748"/>
      <c r="I27" s="1748"/>
      <c r="J27" s="51"/>
    </row>
    <row r="28" spans="1:11">
      <c r="A28" s="1174">
        <v>6</v>
      </c>
      <c r="B28" s="50"/>
      <c r="C28" s="50" t="s">
        <v>513</v>
      </c>
      <c r="D28" s="50"/>
      <c r="E28" s="1176" t="s">
        <v>512</v>
      </c>
      <c r="F28" s="51"/>
      <c r="G28" s="1748">
        <f>SCH_B5s!M42-G26</f>
        <v>52195307</v>
      </c>
      <c r="H28" s="1748"/>
      <c r="I28" s="1748">
        <f>SCH_B5s!O42-I26</f>
        <v>37661155</v>
      </c>
      <c r="J28" s="51"/>
    </row>
    <row r="29" spans="1:11">
      <c r="A29" s="1174"/>
      <c r="B29" s="50"/>
      <c r="C29" s="50"/>
      <c r="D29" s="50"/>
      <c r="E29" s="51"/>
      <c r="F29" s="51"/>
      <c r="G29" s="1748"/>
      <c r="H29" s="1748"/>
      <c r="I29" s="1748"/>
      <c r="J29" s="51"/>
    </row>
    <row r="30" spans="1:11">
      <c r="A30" s="1174">
        <v>7</v>
      </c>
      <c r="B30" s="50"/>
      <c r="C30" s="50" t="s">
        <v>514</v>
      </c>
      <c r="D30" s="50"/>
      <c r="E30" s="51"/>
      <c r="F30" s="50"/>
      <c r="G30" s="1748"/>
      <c r="H30" s="1748"/>
      <c r="I30" s="1748"/>
      <c r="J30" s="51"/>
    </row>
    <row r="31" spans="1:11">
      <c r="A31" s="1174"/>
      <c r="B31" s="50"/>
      <c r="C31" s="50"/>
      <c r="D31" s="50"/>
      <c r="E31" s="51"/>
      <c r="F31" s="50"/>
      <c r="G31" s="1748"/>
      <c r="H31" s="1748"/>
      <c r="I31" s="1748"/>
      <c r="J31" s="51"/>
    </row>
    <row r="32" spans="1:11">
      <c r="A32" s="1174">
        <v>8</v>
      </c>
      <c r="B32" s="50"/>
      <c r="C32" s="50" t="s">
        <v>515</v>
      </c>
      <c r="D32" s="50"/>
      <c r="E32" s="1394" t="s">
        <v>516</v>
      </c>
      <c r="F32" s="50"/>
      <c r="G32" s="1750">
        <v>0</v>
      </c>
      <c r="H32" s="1748"/>
      <c r="I32" s="1750">
        <v>0</v>
      </c>
      <c r="J32" s="51"/>
    </row>
    <row r="33" spans="1:17">
      <c r="A33" s="1174"/>
      <c r="B33" s="50"/>
      <c r="C33" s="50"/>
      <c r="D33" s="50"/>
      <c r="E33" s="50"/>
      <c r="F33" s="50"/>
      <c r="G33" s="1748"/>
      <c r="H33" s="1748"/>
      <c r="I33" s="1748"/>
      <c r="J33" s="51"/>
    </row>
    <row r="34" spans="1:17">
      <c r="A34" s="1174">
        <v>9</v>
      </c>
      <c r="B34" s="50"/>
      <c r="C34" s="50" t="s">
        <v>517</v>
      </c>
      <c r="D34" s="50"/>
      <c r="E34" s="1394" t="s">
        <v>516</v>
      </c>
      <c r="F34" s="51"/>
      <c r="G34" s="1748">
        <f>SCH_B6!P24</f>
        <v>0</v>
      </c>
      <c r="H34" s="1748"/>
      <c r="I34" s="1748">
        <f>SCH_B6!P69</f>
        <v>0</v>
      </c>
      <c r="J34" s="51"/>
    </row>
    <row r="35" spans="1:17">
      <c r="A35" s="1174"/>
      <c r="B35" s="50"/>
      <c r="C35" s="50"/>
      <c r="D35" s="50"/>
      <c r="E35" s="50"/>
      <c r="F35" s="50"/>
      <c r="G35" s="1748"/>
      <c r="H35" s="1748"/>
      <c r="I35" s="1748"/>
      <c r="J35" s="51"/>
    </row>
    <row r="36" spans="1:17">
      <c r="A36" s="1174">
        <v>10</v>
      </c>
      <c r="B36" s="50"/>
      <c r="C36" s="50" t="s">
        <v>518</v>
      </c>
      <c r="D36" s="50"/>
      <c r="E36" s="1394" t="s">
        <v>516</v>
      </c>
      <c r="F36" s="51"/>
      <c r="G36" s="1748">
        <f>SCH_B6!P27</f>
        <v>-204717084</v>
      </c>
      <c r="H36" s="1748"/>
      <c r="I36" s="1748">
        <f>SCH_B6!P72</f>
        <v>-213198587</v>
      </c>
      <c r="J36" s="1405"/>
    </row>
    <row r="37" spans="1:17">
      <c r="A37" s="1174"/>
      <c r="B37" s="50"/>
      <c r="C37" s="50"/>
      <c r="D37" s="50"/>
      <c r="E37" s="1176"/>
      <c r="F37" s="51"/>
      <c r="G37" s="1748"/>
      <c r="H37" s="1748"/>
      <c r="I37" s="1748"/>
      <c r="J37" s="1176"/>
    </row>
    <row r="38" spans="1:17">
      <c r="A38" s="1174">
        <v>11</v>
      </c>
      <c r="B38" s="50"/>
      <c r="C38" s="50" t="s">
        <v>520</v>
      </c>
      <c r="D38" s="50"/>
      <c r="E38" s="1394" t="s">
        <v>516</v>
      </c>
      <c r="F38" s="51"/>
      <c r="G38" s="1748">
        <f>SCH_B6!P29+SCH_B6!P31</f>
        <v>-47025926</v>
      </c>
      <c r="H38" s="1748"/>
      <c r="I38" s="1748">
        <f>SCH_B6!P74+SCH_B6!P76</f>
        <v>-44515893</v>
      </c>
      <c r="J38" s="1176"/>
    </row>
    <row r="39" spans="1:17">
      <c r="A39" s="1174"/>
      <c r="B39" s="50"/>
      <c r="C39" s="50"/>
      <c r="D39" s="50"/>
      <c r="E39" s="50"/>
      <c r="F39" s="50"/>
      <c r="G39" s="1748"/>
      <c r="H39" s="1748"/>
      <c r="I39" s="1748"/>
      <c r="J39" s="51"/>
    </row>
    <row r="40" spans="1:17">
      <c r="A40" s="1174">
        <v>12</v>
      </c>
      <c r="B40" s="50"/>
      <c r="C40" s="50" t="s">
        <v>521</v>
      </c>
      <c r="D40" s="50"/>
      <c r="E40" s="1394" t="s">
        <v>522</v>
      </c>
      <c r="F40" s="51"/>
      <c r="G40" s="2272">
        <f>'WPB-1'!O27</f>
        <v>15891872</v>
      </c>
      <c r="H40" s="1748"/>
      <c r="I40" s="2272">
        <f>'WPB-1'!AA27</f>
        <v>13100679</v>
      </c>
      <c r="J40" s="51"/>
      <c r="K40" s="679"/>
    </row>
    <row r="41" spans="1:17">
      <c r="A41" s="1174"/>
      <c r="B41" s="50"/>
      <c r="C41" s="50"/>
      <c r="D41" s="50"/>
      <c r="E41" s="1176"/>
      <c r="F41" s="51"/>
      <c r="G41" s="1748"/>
      <c r="H41" s="1748"/>
      <c r="I41" s="2273"/>
      <c r="J41" s="51"/>
    </row>
    <row r="42" spans="1:17" ht="13.8" thickBot="1">
      <c r="A42" s="1174">
        <v>13</v>
      </c>
      <c r="B42" s="50"/>
      <c r="C42" s="50" t="s">
        <v>523</v>
      </c>
      <c r="D42" s="50"/>
      <c r="E42" s="51"/>
      <c r="F42" s="51"/>
      <c r="G42" s="2274">
        <f>SUM(G22:G40)</f>
        <v>1234610901</v>
      </c>
      <c r="H42" s="1748"/>
      <c r="I42" s="2274">
        <f>SUM(I22:I40)</f>
        <v>1273791539</v>
      </c>
      <c r="J42" s="51"/>
    </row>
    <row r="43" spans="1:17" ht="13.8" thickTop="1">
      <c r="A43" s="1174"/>
      <c r="B43" s="50"/>
      <c r="C43" s="50"/>
      <c r="D43" s="50"/>
      <c r="E43" s="50"/>
      <c r="F43" s="50"/>
      <c r="G43" s="2275"/>
      <c r="H43" s="2275"/>
      <c r="I43" s="2276"/>
      <c r="J43" s="51"/>
    </row>
    <row r="44" spans="1:17">
      <c r="A44" s="1174"/>
      <c r="B44" s="50"/>
      <c r="C44" s="50"/>
      <c r="D44" s="50"/>
      <c r="E44" s="50"/>
      <c r="F44" s="50"/>
      <c r="G44" s="2275"/>
      <c r="H44" s="2275"/>
      <c r="I44" s="2275"/>
      <c r="J44" s="50"/>
    </row>
    <row r="45" spans="1:17">
      <c r="A45" s="1174"/>
      <c r="B45" s="50"/>
      <c r="C45" s="50" t="s">
        <v>524</v>
      </c>
      <c r="D45" s="50"/>
      <c r="E45" s="50"/>
      <c r="F45" s="50"/>
      <c r="G45" s="50"/>
      <c r="H45" s="50"/>
      <c r="I45" s="50"/>
      <c r="J45" s="51"/>
    </row>
    <row r="46" spans="1:17">
      <c r="A46" s="1174"/>
      <c r="B46" s="50"/>
      <c r="C46" s="804" t="s">
        <v>525</v>
      </c>
      <c r="D46" s="50"/>
      <c r="E46" s="50"/>
      <c r="F46" s="50"/>
      <c r="G46" s="50"/>
      <c r="H46" s="50"/>
      <c r="I46" s="51"/>
      <c r="J46" s="51"/>
      <c r="Q46" s="28"/>
    </row>
    <row r="47" spans="1:17">
      <c r="A47" s="1174"/>
      <c r="B47" s="50"/>
      <c r="C47" s="50"/>
      <c r="D47" s="50"/>
      <c r="E47" s="50"/>
      <c r="F47" s="50"/>
      <c r="G47" s="50"/>
      <c r="H47" s="50"/>
      <c r="I47" s="50"/>
      <c r="J47" s="51"/>
    </row>
    <row r="48" spans="1:17">
      <c r="A48" s="1174"/>
      <c r="B48" s="50"/>
      <c r="C48" s="1172"/>
      <c r="D48" s="50"/>
      <c r="E48" s="50"/>
      <c r="F48" s="50"/>
      <c r="G48" s="50"/>
      <c r="H48" s="50"/>
      <c r="I48" s="50"/>
      <c r="J48" s="50"/>
    </row>
    <row r="49" spans="1:10">
      <c r="A49" s="1174"/>
      <c r="B49" s="50"/>
      <c r="C49" s="50"/>
      <c r="D49" s="50"/>
      <c r="E49" s="50"/>
      <c r="F49" s="50"/>
      <c r="G49" s="50"/>
      <c r="H49" s="50"/>
      <c r="I49" s="50"/>
      <c r="J49" s="50"/>
    </row>
    <row r="50" spans="1:10">
      <c r="A50" s="50"/>
      <c r="B50" s="50"/>
      <c r="C50" s="50"/>
      <c r="D50" s="50"/>
      <c r="E50" s="50"/>
      <c r="F50" s="50"/>
      <c r="G50" s="50"/>
      <c r="H50" s="50"/>
      <c r="I50" s="50"/>
      <c r="J50" s="50"/>
    </row>
    <row r="51" spans="1:10">
      <c r="A51" s="1172"/>
      <c r="B51" s="50"/>
      <c r="C51" s="50"/>
      <c r="D51" s="50"/>
      <c r="E51" s="50"/>
      <c r="F51" s="50"/>
      <c r="G51" s="50"/>
      <c r="H51" s="50"/>
      <c r="I51" s="50"/>
      <c r="J51" s="50"/>
    </row>
  </sheetData>
  <hyperlinks>
    <hyperlink ref="E32" location="SCH_B6P2" display="B-6" xr:uid="{00000000-0004-0000-0D00-000000000000}"/>
    <hyperlink ref="A6" location="Sch_A" display="." xr:uid="{00000000-0004-0000-0D00-000001000000}"/>
    <hyperlink ref="E34" location="SCH_B6P2" display="B-6" xr:uid="{00000000-0004-0000-0D00-000002000000}"/>
    <hyperlink ref="E36" location="SCH_B6P2" display="B-6" xr:uid="{00000000-0004-0000-0D00-000003000000}"/>
    <hyperlink ref="E38" location="SCH_B6P2" display="B-6" xr:uid="{00000000-0004-0000-0D00-000004000000}"/>
    <hyperlink ref="E26" location="SCH_B5" display="B-5" xr:uid="{00000000-0004-0000-0D00-000005000000}"/>
    <hyperlink ref="E40" location="SCH_B6P2" display="B-6" xr:uid="{BF164F29-C729-4839-9CA8-113C18F3AB53}"/>
  </hyperlinks>
  <pageMargins left="1" right="0" top="1" bottom="0" header="0" footer="0"/>
  <pageSetup scale="77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83">
    <tabColor rgb="FF00B050"/>
    <pageSetUpPr fitToPage="1"/>
  </sheetPr>
  <dimension ref="A1:S69"/>
  <sheetViews>
    <sheetView workbookViewId="0"/>
  </sheetViews>
  <sheetFormatPr defaultColWidth="6.5546875" defaultRowHeight="13.2"/>
  <cols>
    <col min="1" max="1" width="6.5546875" customWidth="1"/>
    <col min="2" max="2" width="34" customWidth="1"/>
    <col min="3" max="3" width="16" customWidth="1"/>
    <col min="4" max="4" width="18" customWidth="1"/>
    <col min="5" max="5" width="17.5546875" customWidth="1"/>
    <col min="6" max="6" width="19.44140625" customWidth="1"/>
    <col min="7" max="7" width="17" customWidth="1"/>
    <col min="8" max="8" width="1.44140625" customWidth="1"/>
    <col min="9" max="9" width="18" customWidth="1"/>
    <col min="10" max="10" width="1.44140625" customWidth="1"/>
    <col min="11" max="11" width="16.5546875" customWidth="1"/>
    <col min="12" max="12" width="1.5546875" customWidth="1"/>
    <col min="13" max="13" width="18.5546875" customWidth="1"/>
    <col min="14" max="14" width="18.44140625" customWidth="1"/>
    <col min="15" max="18" width="6.5546875" customWidth="1"/>
    <col min="19" max="19" width="11.5546875" customWidth="1"/>
    <col min="20" max="20" width="12" customWidth="1"/>
    <col min="21" max="21" width="13.5546875" customWidth="1"/>
    <col min="22" max="22" width="14.44140625" customWidth="1"/>
    <col min="23" max="23" width="14" customWidth="1"/>
    <col min="24" max="24" width="13.44140625" customWidth="1"/>
    <col min="25" max="25" width="14.44140625" customWidth="1"/>
  </cols>
  <sheetData>
    <row r="1" spans="1:19">
      <c r="A1" s="346" t="str">
        <f>COMPANY</f>
        <v>DUKE ENERGY KENTUCKY, INC.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7"/>
      <c r="P1" s="259"/>
      <c r="Q1" s="259"/>
      <c r="R1" s="348"/>
      <c r="S1" s="259"/>
    </row>
    <row r="2" spans="1:19">
      <c r="A2" s="350" t="str">
        <f>CASE</f>
        <v>CASE NO. 2024-00354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7"/>
      <c r="P2" s="259"/>
      <c r="Q2" s="259"/>
      <c r="R2" s="348"/>
      <c r="S2" s="259"/>
    </row>
    <row r="3" spans="1:19">
      <c r="A3" s="346" t="s">
        <v>2953</v>
      </c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7"/>
      <c r="P3" s="259"/>
      <c r="Q3" s="259"/>
      <c r="R3" s="348"/>
      <c r="S3" s="259"/>
    </row>
    <row r="4" spans="1:19">
      <c r="A4" s="351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259"/>
      <c r="P4" s="259"/>
      <c r="Q4" s="259"/>
      <c r="R4" s="259"/>
      <c r="S4" s="259"/>
    </row>
    <row r="5" spans="1:19">
      <c r="A5" s="351"/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259"/>
      <c r="P5" s="259"/>
      <c r="Q5" s="259"/>
      <c r="R5" s="259"/>
      <c r="S5" s="259"/>
    </row>
    <row r="6" spans="1:19">
      <c r="A6" s="259"/>
      <c r="B6" s="259"/>
      <c r="C6" s="259"/>
      <c r="D6" s="259"/>
      <c r="E6" s="259"/>
      <c r="F6" s="259"/>
      <c r="G6" s="346"/>
      <c r="H6" s="346"/>
      <c r="I6" s="346"/>
      <c r="J6" s="346"/>
      <c r="K6" s="346"/>
      <c r="L6" s="346"/>
      <c r="M6" s="346"/>
      <c r="N6" s="346"/>
      <c r="O6" s="347"/>
      <c r="P6" s="259"/>
      <c r="Q6" s="259"/>
      <c r="R6" s="348"/>
      <c r="S6" s="259"/>
    </row>
    <row r="7" spans="1:19">
      <c r="A7" s="352"/>
      <c r="B7" s="259"/>
      <c r="C7" s="259"/>
      <c r="D7" s="259"/>
      <c r="E7" s="259"/>
      <c r="F7" s="259"/>
      <c r="G7" s="259"/>
      <c r="H7" s="349"/>
      <c r="I7" s="349"/>
      <c r="J7" s="349"/>
      <c r="K7" s="349"/>
      <c r="L7" s="349" t="s">
        <v>2954</v>
      </c>
      <c r="N7" s="346"/>
      <c r="O7" s="347"/>
      <c r="P7" s="259"/>
      <c r="Q7" s="259"/>
      <c r="R7" s="348"/>
      <c r="S7" s="353"/>
    </row>
    <row r="8" spans="1:19">
      <c r="A8" s="352"/>
      <c r="B8" s="259"/>
      <c r="C8" s="259"/>
      <c r="D8" s="259"/>
      <c r="E8" s="259"/>
      <c r="F8" s="259"/>
      <c r="G8" s="259"/>
      <c r="H8" s="349"/>
      <c r="I8" s="349"/>
      <c r="J8" s="349"/>
      <c r="K8" s="349"/>
      <c r="L8" s="349" t="s">
        <v>466</v>
      </c>
      <c r="N8" s="346"/>
      <c r="O8" s="347"/>
      <c r="P8" s="259"/>
      <c r="Q8" s="259"/>
      <c r="R8" s="348"/>
      <c r="S8" s="353"/>
    </row>
    <row r="9" spans="1:19">
      <c r="A9" s="259" t="str">
        <f>DataB</f>
        <v>DATA: "X" BASE PERIOD  "X" FORECASTED PERIOD</v>
      </c>
      <c r="B9" s="259"/>
      <c r="C9" s="259"/>
      <c r="D9" s="259"/>
      <c r="E9" s="259"/>
      <c r="F9" s="354"/>
      <c r="G9" s="259"/>
      <c r="H9" s="355"/>
      <c r="I9" s="355"/>
      <c r="J9" s="355"/>
      <c r="K9" s="355"/>
      <c r="L9" s="355" t="s">
        <v>468</v>
      </c>
      <c r="N9" s="346"/>
      <c r="O9" s="347"/>
      <c r="P9" s="259"/>
      <c r="Q9" s="259"/>
      <c r="R9" s="348"/>
      <c r="S9" s="353"/>
    </row>
    <row r="10" spans="1:19">
      <c r="A10" s="355" t="str">
        <f>LOGO!B15</f>
        <v xml:space="preserve">TYPE OF FILING:  "X" ORIGINAL   UPDATED    REVISED  </v>
      </c>
      <c r="B10" s="259"/>
      <c r="C10" s="259"/>
      <c r="D10" s="259"/>
      <c r="E10" s="259"/>
      <c r="F10" s="354"/>
      <c r="G10" s="259"/>
      <c r="H10" s="356"/>
      <c r="I10" s="356"/>
      <c r="J10" s="356"/>
      <c r="K10" s="356"/>
      <c r="L10" s="356" t="str">
        <f>_WIT6</f>
        <v>G. S. CARPENTER / D. L. WEATHERSTON</v>
      </c>
      <c r="N10" s="346"/>
      <c r="O10" s="347"/>
      <c r="P10" s="259"/>
      <c r="Q10" s="259"/>
      <c r="R10" s="348"/>
      <c r="S10" s="353"/>
    </row>
    <row r="11" spans="1:19">
      <c r="A11" s="349" t="s">
        <v>2763</v>
      </c>
      <c r="B11" s="259"/>
      <c r="C11" s="259"/>
      <c r="D11" s="259"/>
      <c r="E11" s="259"/>
      <c r="F11" s="354"/>
      <c r="G11" s="346"/>
      <c r="H11" s="346"/>
      <c r="I11" s="346"/>
      <c r="J11" s="346"/>
      <c r="K11" s="346"/>
      <c r="L11" s="346"/>
      <c r="M11" s="346"/>
      <c r="N11" s="346"/>
      <c r="O11" s="347"/>
      <c r="P11" s="259"/>
      <c r="Q11" s="259"/>
      <c r="R11" s="348"/>
      <c r="S11" s="353"/>
    </row>
    <row r="12" spans="1:19">
      <c r="A12" s="1615"/>
      <c r="B12" s="1616"/>
      <c r="C12" s="1616"/>
      <c r="D12" s="1616"/>
      <c r="E12" s="1616"/>
      <c r="F12" s="1617"/>
      <c r="G12" s="1618"/>
      <c r="H12" s="346"/>
      <c r="I12" s="1618"/>
      <c r="J12" s="1618"/>
      <c r="K12" s="1618"/>
      <c r="L12" s="1618"/>
      <c r="M12" s="1618"/>
      <c r="N12" s="1618"/>
      <c r="O12" s="347"/>
      <c r="P12" s="259"/>
      <c r="Q12" s="259"/>
      <c r="R12" s="348"/>
      <c r="S12" s="353"/>
    </row>
    <row r="13" spans="1:19">
      <c r="A13" s="349"/>
      <c r="B13" s="259"/>
      <c r="C13" s="259"/>
      <c r="D13" s="259"/>
      <c r="E13" s="259"/>
      <c r="F13" s="354"/>
      <c r="G13" s="346"/>
      <c r="H13" s="2178"/>
      <c r="I13" s="357"/>
      <c r="J13" s="357"/>
      <c r="K13" s="357"/>
      <c r="L13" s="357"/>
      <c r="M13" s="357" t="s">
        <v>2808</v>
      </c>
      <c r="N13" s="358"/>
      <c r="O13" s="347"/>
      <c r="P13" s="259"/>
      <c r="Q13" s="259"/>
      <c r="R13" s="348"/>
      <c r="S13" s="353"/>
    </row>
    <row r="14" spans="1:19">
      <c r="A14" s="353" t="s">
        <v>471</v>
      </c>
      <c r="B14" s="259"/>
      <c r="C14" s="1618" t="s">
        <v>2941</v>
      </c>
      <c r="D14" s="1619"/>
      <c r="E14" s="1619"/>
      <c r="F14" s="1619"/>
      <c r="G14" s="1619"/>
      <c r="H14" s="359"/>
      <c r="I14" s="360" t="s">
        <v>473</v>
      </c>
      <c r="J14" s="357"/>
      <c r="K14" s="360" t="s">
        <v>474</v>
      </c>
      <c r="L14" s="361"/>
      <c r="M14" s="362" t="s">
        <v>2809</v>
      </c>
      <c r="N14" s="358"/>
      <c r="O14" s="347"/>
      <c r="P14" s="259"/>
      <c r="Q14" s="259"/>
      <c r="R14" s="348"/>
      <c r="S14" s="363"/>
    </row>
    <row r="15" spans="1:19">
      <c r="A15" s="1620" t="s">
        <v>533</v>
      </c>
      <c r="B15" s="1615" t="s">
        <v>476</v>
      </c>
      <c r="C15" s="1598">
        <f>$G$15-4</f>
        <v>2019</v>
      </c>
      <c r="D15" s="1598">
        <f>$G$15-3</f>
        <v>2020</v>
      </c>
      <c r="E15" s="1598">
        <f>$G$15-2</f>
        <v>2021</v>
      </c>
      <c r="F15" s="1598">
        <f>$G$15-1</f>
        <v>2022</v>
      </c>
      <c r="G15" s="1598">
        <f>'SCH_I1 - Elec Only'!M14</f>
        <v>2023</v>
      </c>
      <c r="H15" s="1598"/>
      <c r="I15" s="1607" t="s">
        <v>478</v>
      </c>
      <c r="J15" s="1607"/>
      <c r="K15" s="1607" t="s">
        <v>478</v>
      </c>
      <c r="L15" s="1607"/>
      <c r="M15" s="1608">
        <f>SCH_I2.1!M15</f>
        <v>2026</v>
      </c>
      <c r="N15" s="1608">
        <f>SCH_I2.1!N15</f>
        <v>2027</v>
      </c>
      <c r="O15" s="347"/>
      <c r="P15" s="259"/>
      <c r="Q15" s="259"/>
      <c r="R15" s="348"/>
      <c r="S15" s="349"/>
    </row>
    <row r="16" spans="1:19">
      <c r="A16" s="353">
        <v>1</v>
      </c>
      <c r="B16" s="349" t="s">
        <v>2947</v>
      </c>
      <c r="C16" s="363"/>
      <c r="D16" s="363"/>
      <c r="E16" s="363"/>
      <c r="F16" s="363"/>
      <c r="G16" s="363"/>
      <c r="H16" s="363"/>
      <c r="I16" s="363"/>
      <c r="J16" s="363"/>
      <c r="K16" s="363"/>
      <c r="L16" s="363"/>
      <c r="M16" s="363"/>
      <c r="N16" s="259"/>
      <c r="O16" s="347"/>
      <c r="P16" s="259"/>
      <c r="Q16" s="259"/>
      <c r="R16" s="259"/>
      <c r="S16" s="259"/>
    </row>
    <row r="17" spans="1:19">
      <c r="A17" s="353">
        <v>2</v>
      </c>
      <c r="B17" s="364" t="s">
        <v>2955</v>
      </c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347"/>
      <c r="P17" s="259"/>
      <c r="Q17" s="259"/>
      <c r="R17" s="259"/>
      <c r="S17" s="259"/>
    </row>
    <row r="18" spans="1:19">
      <c r="A18" s="353">
        <v>3</v>
      </c>
      <c r="B18" s="365" t="s">
        <v>2942</v>
      </c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347"/>
      <c r="P18" s="259"/>
      <c r="Q18" s="259"/>
      <c r="R18" s="259"/>
      <c r="S18" s="259"/>
    </row>
    <row r="19" spans="1:19">
      <c r="A19" s="353">
        <v>4</v>
      </c>
      <c r="B19" s="349" t="s">
        <v>2906</v>
      </c>
      <c r="C19" s="366"/>
      <c r="D19" s="366"/>
      <c r="E19" s="366"/>
      <c r="F19" s="366"/>
      <c r="G19" s="366"/>
      <c r="H19" s="366"/>
      <c r="I19" s="366"/>
      <c r="J19" s="366"/>
      <c r="K19" s="366"/>
      <c r="L19" s="366"/>
      <c r="M19" s="366"/>
      <c r="N19" s="366"/>
      <c r="O19" s="347"/>
      <c r="P19" s="259"/>
      <c r="Q19" s="259"/>
      <c r="R19" s="259"/>
      <c r="S19" s="259"/>
    </row>
    <row r="20" spans="1:19">
      <c r="A20" s="353">
        <v>5</v>
      </c>
      <c r="B20" s="349" t="s">
        <v>2907</v>
      </c>
      <c r="C20" s="366"/>
      <c r="D20" s="366"/>
      <c r="E20" s="366"/>
      <c r="F20" s="366"/>
      <c r="G20" s="366"/>
      <c r="H20" s="366"/>
      <c r="I20" s="366"/>
      <c r="J20" s="366"/>
      <c r="K20" s="366"/>
      <c r="L20" s="366"/>
      <c r="M20" s="366"/>
      <c r="N20" s="366"/>
      <c r="O20" s="347"/>
      <c r="P20" s="259"/>
      <c r="Q20" s="259"/>
      <c r="R20" s="259"/>
      <c r="S20" s="259"/>
    </row>
    <row r="21" spans="1:19">
      <c r="A21" s="353">
        <v>6</v>
      </c>
      <c r="B21" s="349" t="s">
        <v>2908</v>
      </c>
      <c r="C21" s="366"/>
      <c r="D21" s="366"/>
      <c r="E21" s="366"/>
      <c r="F21" s="366"/>
      <c r="G21" s="366"/>
      <c r="H21" s="366"/>
      <c r="I21" s="366"/>
      <c r="J21" s="366"/>
      <c r="K21" s="366"/>
      <c r="L21" s="366"/>
      <c r="M21" s="366"/>
      <c r="N21" s="366"/>
      <c r="O21" s="347"/>
      <c r="P21" s="259"/>
      <c r="Q21" s="259"/>
      <c r="R21" s="259"/>
      <c r="S21" s="259"/>
    </row>
    <row r="22" spans="1:19">
      <c r="A22" s="353">
        <v>7</v>
      </c>
      <c r="B22" s="365" t="s">
        <v>2909</v>
      </c>
      <c r="C22" s="366"/>
      <c r="D22" s="366"/>
      <c r="E22" s="366"/>
      <c r="F22" s="366"/>
      <c r="G22" s="366"/>
      <c r="H22" s="366"/>
      <c r="I22" s="366"/>
      <c r="J22" s="366"/>
      <c r="K22" s="366"/>
      <c r="L22" s="366"/>
      <c r="M22" s="366"/>
      <c r="N22" s="366"/>
      <c r="O22" s="347"/>
      <c r="P22" s="259"/>
      <c r="Q22" s="259"/>
      <c r="R22" s="259"/>
      <c r="S22" s="259"/>
    </row>
    <row r="23" spans="1:19">
      <c r="A23" s="353">
        <v>8</v>
      </c>
      <c r="B23" s="349" t="s">
        <v>2910</v>
      </c>
      <c r="C23" s="367"/>
      <c r="D23" s="367"/>
      <c r="E23" s="367"/>
      <c r="F23" s="367"/>
      <c r="G23" s="367"/>
      <c r="H23" s="367"/>
      <c r="I23" s="368"/>
      <c r="J23" s="367"/>
      <c r="K23" s="368"/>
      <c r="L23" s="368"/>
      <c r="M23" s="368"/>
      <c r="N23" s="368"/>
      <c r="O23" s="347"/>
      <c r="P23" s="259"/>
      <c r="Q23" s="259"/>
      <c r="R23" s="259"/>
      <c r="S23" s="259"/>
    </row>
    <row r="24" spans="1:19">
      <c r="A24" s="353">
        <v>9</v>
      </c>
      <c r="B24" s="365" t="s">
        <v>2914</v>
      </c>
      <c r="C24" s="368"/>
      <c r="D24" s="368"/>
      <c r="E24" s="368"/>
      <c r="F24" s="368"/>
      <c r="G24" s="368"/>
      <c r="H24" s="368"/>
      <c r="I24" s="368"/>
      <c r="J24" s="368"/>
      <c r="K24" s="368"/>
      <c r="L24" s="368"/>
      <c r="M24" s="368"/>
      <c r="N24" s="368"/>
      <c r="O24" s="347"/>
      <c r="P24" s="259"/>
      <c r="Q24" s="259"/>
      <c r="R24" s="259"/>
      <c r="S24" s="259"/>
    </row>
    <row r="25" spans="1:19">
      <c r="A25" s="353">
        <v>10</v>
      </c>
      <c r="B25" s="259"/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347"/>
      <c r="P25" s="259"/>
      <c r="Q25" s="259"/>
      <c r="R25" s="259"/>
      <c r="S25" s="259"/>
    </row>
    <row r="26" spans="1:19">
      <c r="A26" s="353">
        <v>11</v>
      </c>
      <c r="B26" s="349" t="s">
        <v>2912</v>
      </c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347"/>
      <c r="P26" s="259"/>
      <c r="Q26" s="259"/>
      <c r="R26" s="259"/>
      <c r="S26" s="259"/>
    </row>
    <row r="27" spans="1:19">
      <c r="A27" s="353">
        <v>12</v>
      </c>
      <c r="B27" s="364" t="s">
        <v>2913</v>
      </c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347"/>
      <c r="P27" s="259"/>
      <c r="Q27" s="259"/>
      <c r="R27" s="259"/>
      <c r="S27" s="259"/>
    </row>
    <row r="28" spans="1:19">
      <c r="A28" s="353">
        <v>13</v>
      </c>
      <c r="B28" s="365" t="s">
        <v>2942</v>
      </c>
      <c r="C28" s="259"/>
      <c r="D28" s="402" t="s">
        <v>2956</v>
      </c>
      <c r="E28" s="816"/>
      <c r="F28" s="816"/>
      <c r="G28" s="816"/>
      <c r="H28" s="816"/>
      <c r="I28" s="816"/>
      <c r="J28" s="816"/>
      <c r="K28" s="816"/>
      <c r="L28" s="816"/>
      <c r="M28" s="816"/>
      <c r="N28" s="816"/>
      <c r="O28" s="347"/>
      <c r="P28" s="259"/>
      <c r="Q28" s="259"/>
      <c r="R28" s="259"/>
      <c r="S28" s="259"/>
    </row>
    <row r="29" spans="1:19">
      <c r="A29" s="353">
        <v>14</v>
      </c>
      <c r="B29" s="349" t="s">
        <v>2906</v>
      </c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  <c r="O29" s="347"/>
      <c r="P29" s="259"/>
      <c r="Q29" s="259"/>
      <c r="R29" s="259"/>
      <c r="S29" s="259"/>
    </row>
    <row r="30" spans="1:19">
      <c r="A30" s="353">
        <v>15</v>
      </c>
      <c r="B30" s="349" t="s">
        <v>2907</v>
      </c>
      <c r="C30" s="366"/>
      <c r="D30" s="366"/>
      <c r="E30" s="366"/>
      <c r="F30" s="366"/>
      <c r="G30" s="366"/>
      <c r="H30" s="366"/>
      <c r="I30" s="366"/>
      <c r="J30" s="366"/>
      <c r="K30" s="366"/>
      <c r="L30" s="366"/>
      <c r="M30" s="366"/>
      <c r="N30" s="366"/>
      <c r="O30" s="347"/>
      <c r="P30" s="259"/>
      <c r="Q30" s="259"/>
      <c r="R30" s="259"/>
      <c r="S30" s="259"/>
    </row>
    <row r="31" spans="1:19">
      <c r="A31" s="353">
        <v>16</v>
      </c>
      <c r="B31" s="349" t="s">
        <v>2908</v>
      </c>
      <c r="C31" s="366"/>
      <c r="D31" s="366"/>
      <c r="E31" s="366"/>
      <c r="F31" s="366"/>
      <c r="G31" s="366"/>
      <c r="H31" s="366"/>
      <c r="I31" s="366"/>
      <c r="J31" s="366"/>
      <c r="K31" s="366"/>
      <c r="L31" s="366"/>
      <c r="M31" s="366"/>
      <c r="N31" s="366"/>
      <c r="O31" s="347"/>
      <c r="P31" s="259"/>
      <c r="Q31" s="259"/>
      <c r="R31" s="259"/>
      <c r="S31" s="259"/>
    </row>
    <row r="32" spans="1:19">
      <c r="A32" s="353">
        <v>17</v>
      </c>
      <c r="B32" s="365" t="s">
        <v>2909</v>
      </c>
      <c r="C32" s="366"/>
      <c r="D32" s="366"/>
      <c r="E32" s="366"/>
      <c r="F32" s="366"/>
      <c r="G32" s="366"/>
      <c r="H32" s="366"/>
      <c r="I32" s="366"/>
      <c r="J32" s="366"/>
      <c r="K32" s="366"/>
      <c r="L32" s="366"/>
      <c r="M32" s="366"/>
      <c r="N32" s="366"/>
      <c r="O32" s="347"/>
      <c r="P32" s="259"/>
      <c r="Q32" s="259"/>
      <c r="R32" s="259"/>
      <c r="S32" s="259"/>
    </row>
    <row r="33" spans="1:19">
      <c r="A33" s="353">
        <v>18</v>
      </c>
      <c r="B33" s="349" t="s">
        <v>2910</v>
      </c>
      <c r="C33" s="368"/>
      <c r="D33" s="368"/>
      <c r="E33" s="368"/>
      <c r="F33" s="368"/>
      <c r="G33" s="368"/>
      <c r="H33" s="368"/>
      <c r="I33" s="368"/>
      <c r="J33" s="368"/>
      <c r="K33" s="368"/>
      <c r="L33" s="368"/>
      <c r="M33" s="368"/>
      <c r="N33" s="368"/>
      <c r="O33" s="347"/>
      <c r="P33" s="259"/>
      <c r="Q33" s="259"/>
      <c r="R33" s="259"/>
      <c r="S33" s="259"/>
    </row>
    <row r="34" spans="1:19">
      <c r="A34" s="353">
        <v>19</v>
      </c>
      <c r="B34" s="365" t="s">
        <v>2914</v>
      </c>
      <c r="C34" s="368"/>
      <c r="D34" s="368"/>
      <c r="E34" s="368"/>
      <c r="F34" s="368"/>
      <c r="G34" s="368"/>
      <c r="H34" s="368"/>
      <c r="I34" s="368"/>
      <c r="J34" s="368"/>
      <c r="K34" s="368"/>
      <c r="L34" s="368"/>
      <c r="M34" s="368"/>
      <c r="N34" s="368"/>
      <c r="O34" s="347"/>
      <c r="P34" s="259"/>
      <c r="Q34" s="259"/>
      <c r="R34" s="259"/>
      <c r="S34" s="259"/>
    </row>
    <row r="35" spans="1:19">
      <c r="A35" s="353">
        <v>20</v>
      </c>
      <c r="B35" s="259"/>
      <c r="C35" s="369"/>
      <c r="D35" s="369"/>
      <c r="E35" s="369"/>
      <c r="F35" s="369"/>
      <c r="G35" s="369"/>
      <c r="H35" s="369"/>
      <c r="I35" s="369"/>
      <c r="J35" s="369"/>
      <c r="K35" s="369"/>
      <c r="L35" s="369"/>
      <c r="M35" s="369"/>
      <c r="N35" s="369"/>
      <c r="O35" s="347"/>
      <c r="P35" s="259"/>
      <c r="Q35" s="259"/>
      <c r="R35" s="259"/>
      <c r="S35" s="259"/>
    </row>
    <row r="36" spans="1:19">
      <c r="A36" s="353">
        <v>21</v>
      </c>
      <c r="B36" s="349" t="s">
        <v>2915</v>
      </c>
      <c r="C36" s="259"/>
      <c r="D36" s="259"/>
      <c r="E36" s="259"/>
      <c r="F36" s="259"/>
      <c r="G36" s="259"/>
      <c r="H36" s="259"/>
      <c r="I36" s="259"/>
      <c r="J36" s="259"/>
      <c r="K36" s="259"/>
      <c r="L36" s="259"/>
      <c r="M36" s="259"/>
      <c r="N36" s="259"/>
      <c r="O36" s="347"/>
      <c r="P36" s="259"/>
      <c r="Q36" s="259"/>
      <c r="R36" s="259"/>
      <c r="S36" s="259"/>
    </row>
    <row r="37" spans="1:19">
      <c r="A37" s="353">
        <v>22</v>
      </c>
      <c r="B37" s="364" t="s">
        <v>2949</v>
      </c>
      <c r="C37" s="259"/>
      <c r="D37" s="259"/>
      <c r="E37" s="259"/>
      <c r="F37" s="259"/>
      <c r="G37" s="259"/>
      <c r="H37" s="259"/>
      <c r="I37" s="259"/>
      <c r="J37" s="259"/>
      <c r="K37" s="259"/>
      <c r="L37" s="259"/>
      <c r="M37" s="259"/>
      <c r="N37" s="259"/>
      <c r="O37" s="347"/>
      <c r="P37" s="259"/>
      <c r="Q37" s="259"/>
      <c r="R37" s="259"/>
      <c r="S37" s="259"/>
    </row>
    <row r="38" spans="1:19">
      <c r="A38" s="353">
        <v>23</v>
      </c>
      <c r="B38" s="365" t="s">
        <v>2942</v>
      </c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M38" s="259"/>
      <c r="N38" s="259"/>
      <c r="O38" s="347"/>
      <c r="P38" s="259"/>
      <c r="Q38" s="259"/>
      <c r="R38" s="259"/>
      <c r="S38" s="259"/>
    </row>
    <row r="39" spans="1:19">
      <c r="A39" s="353">
        <v>24</v>
      </c>
      <c r="B39" s="349" t="s">
        <v>2906</v>
      </c>
      <c r="C39" s="366"/>
      <c r="D39" s="366"/>
      <c r="E39" s="366"/>
      <c r="F39" s="366"/>
      <c r="G39" s="366"/>
      <c r="H39" s="366"/>
      <c r="I39" s="366"/>
      <c r="J39" s="366"/>
      <c r="K39" s="366"/>
      <c r="L39" s="366"/>
      <c r="M39" s="366"/>
      <c r="N39" s="366"/>
      <c r="O39" s="347"/>
      <c r="P39" s="259"/>
      <c r="Q39" s="259"/>
      <c r="R39" s="259"/>
      <c r="S39" s="259"/>
    </row>
    <row r="40" spans="1:19">
      <c r="A40" s="353">
        <v>25</v>
      </c>
      <c r="B40" s="349" t="s">
        <v>2907</v>
      </c>
      <c r="C40" s="366"/>
      <c r="D40" s="366"/>
      <c r="E40" s="366"/>
      <c r="F40" s="366"/>
      <c r="G40" s="366"/>
      <c r="H40" s="366"/>
      <c r="I40" s="366"/>
      <c r="J40" s="366"/>
      <c r="K40" s="366"/>
      <c r="L40" s="366"/>
      <c r="M40" s="366"/>
      <c r="N40" s="366"/>
      <c r="O40" s="347"/>
      <c r="P40" s="259"/>
      <c r="Q40" s="259"/>
      <c r="R40" s="259"/>
      <c r="S40" s="259"/>
    </row>
    <row r="41" spans="1:19">
      <c r="A41" s="353">
        <v>26</v>
      </c>
      <c r="B41" s="349" t="s">
        <v>2908</v>
      </c>
      <c r="C41" s="366"/>
      <c r="D41" s="366"/>
      <c r="E41" s="366"/>
      <c r="F41" s="366"/>
      <c r="G41" s="366"/>
      <c r="H41" s="366"/>
      <c r="I41" s="366"/>
      <c r="J41" s="366"/>
      <c r="K41" s="366"/>
      <c r="L41" s="366"/>
      <c r="M41" s="366"/>
      <c r="N41" s="366"/>
      <c r="O41" s="347"/>
      <c r="P41" s="259"/>
      <c r="Q41" s="259"/>
      <c r="R41" s="259"/>
      <c r="S41" s="259"/>
    </row>
    <row r="42" spans="1:19">
      <c r="A42" s="353">
        <v>27</v>
      </c>
      <c r="B42" s="365" t="s">
        <v>2909</v>
      </c>
      <c r="C42" s="366"/>
      <c r="D42" s="366"/>
      <c r="E42" s="366"/>
      <c r="F42" s="366"/>
      <c r="G42" s="366"/>
      <c r="H42" s="366"/>
      <c r="I42" s="366"/>
      <c r="J42" s="366"/>
      <c r="K42" s="366"/>
      <c r="L42" s="366"/>
      <c r="M42" s="366"/>
      <c r="N42" s="366"/>
      <c r="O42" s="347"/>
      <c r="P42" s="259"/>
      <c r="Q42" s="259"/>
      <c r="R42" s="259"/>
      <c r="S42" s="259"/>
    </row>
    <row r="43" spans="1:19">
      <c r="A43" s="353">
        <v>28</v>
      </c>
      <c r="B43" s="349" t="s">
        <v>2910</v>
      </c>
      <c r="C43" s="368"/>
      <c r="D43" s="368"/>
      <c r="E43" s="368"/>
      <c r="F43" s="368"/>
      <c r="G43" s="368"/>
      <c r="H43" s="368"/>
      <c r="I43" s="368"/>
      <c r="J43" s="368"/>
      <c r="K43" s="368"/>
      <c r="L43" s="368"/>
      <c r="M43" s="368"/>
      <c r="N43" s="368"/>
      <c r="O43" s="347"/>
      <c r="P43" s="259"/>
      <c r="Q43" s="259"/>
      <c r="R43" s="259"/>
      <c r="S43" s="259"/>
    </row>
    <row r="44" spans="1:19">
      <c r="A44" s="353">
        <v>29</v>
      </c>
      <c r="B44" s="365" t="s">
        <v>2914</v>
      </c>
      <c r="C44" s="368"/>
      <c r="D44" s="368"/>
      <c r="E44" s="368"/>
      <c r="F44" s="368"/>
      <c r="G44" s="368"/>
      <c r="H44" s="368"/>
      <c r="I44" s="368"/>
      <c r="J44" s="368"/>
      <c r="K44" s="368"/>
      <c r="L44" s="368"/>
      <c r="M44" s="368"/>
      <c r="N44" s="368"/>
      <c r="O44" s="347"/>
      <c r="P44" s="259"/>
      <c r="Q44" s="259"/>
      <c r="R44" s="259"/>
      <c r="S44" s="259"/>
    </row>
    <row r="45" spans="1:19">
      <c r="A45" s="353">
        <v>30</v>
      </c>
      <c r="B45" s="259"/>
      <c r="C45" s="369"/>
      <c r="D45" s="369"/>
      <c r="E45" s="369"/>
      <c r="F45" s="369"/>
      <c r="G45" s="369"/>
      <c r="H45" s="369"/>
      <c r="I45" s="369"/>
      <c r="J45" s="369"/>
      <c r="K45" s="369"/>
      <c r="L45" s="369"/>
      <c r="M45" s="369"/>
      <c r="N45" s="369"/>
      <c r="O45" s="347"/>
      <c r="P45" s="259"/>
      <c r="Q45" s="259"/>
      <c r="R45" s="259"/>
      <c r="S45" s="259"/>
    </row>
    <row r="46" spans="1:19">
      <c r="A46" s="353">
        <v>31</v>
      </c>
      <c r="B46" s="349" t="s">
        <v>2950</v>
      </c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347"/>
      <c r="P46" s="259"/>
      <c r="Q46" s="259"/>
      <c r="R46" s="259"/>
      <c r="S46" s="259"/>
    </row>
    <row r="47" spans="1:19">
      <c r="A47" s="353">
        <v>32</v>
      </c>
      <c r="B47" s="364" t="s">
        <v>2951</v>
      </c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347"/>
      <c r="P47" s="259"/>
      <c r="Q47" s="259"/>
      <c r="R47" s="259"/>
      <c r="S47" s="259"/>
    </row>
    <row r="48" spans="1:19">
      <c r="A48" s="353">
        <v>33</v>
      </c>
      <c r="B48" s="365" t="s">
        <v>2905</v>
      </c>
      <c r="C48" s="259"/>
      <c r="D48" s="259"/>
      <c r="E48" s="259"/>
      <c r="F48" s="259"/>
      <c r="G48" s="259"/>
      <c r="H48" s="259"/>
      <c r="I48" s="259"/>
      <c r="J48" s="259"/>
      <c r="K48" s="259"/>
      <c r="L48" s="259"/>
      <c r="M48" s="259"/>
      <c r="N48" s="259"/>
      <c r="O48" s="347"/>
      <c r="P48" s="259"/>
      <c r="Q48" s="259"/>
      <c r="R48" s="259"/>
      <c r="S48" s="259"/>
    </row>
    <row r="49" spans="1:19">
      <c r="A49" s="353">
        <v>34</v>
      </c>
      <c r="B49" s="365" t="s">
        <v>2906</v>
      </c>
      <c r="C49" s="366"/>
      <c r="D49" s="366"/>
      <c r="E49" s="366"/>
      <c r="F49" s="366"/>
      <c r="G49" s="366"/>
      <c r="H49" s="366"/>
      <c r="I49" s="366"/>
      <c r="J49" s="366"/>
      <c r="K49" s="366"/>
      <c r="L49" s="366"/>
      <c r="M49" s="366"/>
      <c r="N49" s="366"/>
      <c r="O49" s="347"/>
      <c r="P49" s="259"/>
      <c r="Q49" s="259"/>
      <c r="R49" s="259"/>
      <c r="S49" s="259"/>
    </row>
    <row r="50" spans="1:19">
      <c r="A50" s="353">
        <v>35</v>
      </c>
      <c r="B50" s="365" t="s">
        <v>2907</v>
      </c>
      <c r="C50" s="366"/>
      <c r="D50" s="366"/>
      <c r="E50" s="366"/>
      <c r="F50" s="366"/>
      <c r="G50" s="366"/>
      <c r="H50" s="366"/>
      <c r="I50" s="366"/>
      <c r="J50" s="366"/>
      <c r="K50" s="366"/>
      <c r="L50" s="366"/>
      <c r="M50" s="366"/>
      <c r="N50" s="366"/>
      <c r="O50" s="347"/>
      <c r="P50" s="259"/>
      <c r="Q50" s="259"/>
      <c r="R50" s="259"/>
      <c r="S50" s="259"/>
    </row>
    <row r="51" spans="1:19">
      <c r="A51" s="353">
        <v>36</v>
      </c>
      <c r="B51" s="365" t="s">
        <v>2908</v>
      </c>
      <c r="C51" s="366"/>
      <c r="D51" s="366"/>
      <c r="E51" s="366"/>
      <c r="F51" s="366"/>
      <c r="G51" s="366"/>
      <c r="H51" s="366"/>
      <c r="I51" s="366"/>
      <c r="J51" s="366"/>
      <c r="K51" s="366"/>
      <c r="L51" s="366"/>
      <c r="M51" s="366"/>
      <c r="N51" s="366"/>
      <c r="O51" s="347"/>
      <c r="P51" s="259"/>
      <c r="Q51" s="259"/>
      <c r="R51" s="259"/>
      <c r="S51" s="259"/>
    </row>
    <row r="52" spans="1:19">
      <c r="A52" s="353">
        <v>37</v>
      </c>
      <c r="B52" s="365" t="s">
        <v>2909</v>
      </c>
      <c r="C52" s="366"/>
      <c r="D52" s="366"/>
      <c r="E52" s="366"/>
      <c r="F52" s="366"/>
      <c r="G52" s="366"/>
      <c r="H52" s="366"/>
      <c r="I52" s="366"/>
      <c r="J52" s="366"/>
      <c r="K52" s="366"/>
      <c r="L52" s="366"/>
      <c r="M52" s="366"/>
      <c r="N52" s="366"/>
      <c r="O52" s="347"/>
      <c r="P52" s="259"/>
      <c r="Q52" s="259"/>
      <c r="R52" s="259"/>
      <c r="S52" s="259"/>
    </row>
    <row r="53" spans="1:19">
      <c r="A53" s="259"/>
      <c r="B53" s="259"/>
      <c r="C53" s="259"/>
      <c r="D53" s="259"/>
      <c r="E53" s="259"/>
      <c r="F53" s="349"/>
      <c r="G53" s="259"/>
      <c r="H53" s="259"/>
      <c r="I53" s="259"/>
      <c r="J53" s="259"/>
      <c r="K53" s="259"/>
      <c r="L53" s="259"/>
      <c r="M53" s="259"/>
      <c r="N53" s="259"/>
      <c r="O53" s="347"/>
      <c r="P53" s="259"/>
      <c r="Q53" s="259"/>
      <c r="R53" s="259"/>
      <c r="S53" s="259"/>
    </row>
    <row r="54" spans="1:19">
      <c r="A54" s="370" t="s">
        <v>2919</v>
      </c>
      <c r="B54" s="259"/>
      <c r="C54" s="259"/>
      <c r="D54" s="259"/>
      <c r="E54" s="259"/>
      <c r="F54" s="259"/>
      <c r="G54" s="259"/>
      <c r="H54" s="259"/>
      <c r="I54" s="259"/>
      <c r="J54" s="259"/>
      <c r="K54" s="259"/>
      <c r="L54" s="259"/>
      <c r="M54" s="259"/>
      <c r="N54" s="259"/>
      <c r="O54" s="347"/>
      <c r="P54" s="259"/>
      <c r="Q54" s="259"/>
      <c r="R54" s="259"/>
      <c r="S54" s="259"/>
    </row>
    <row r="55" spans="1:19">
      <c r="A55" s="371"/>
      <c r="B55" s="364"/>
      <c r="C55" s="259"/>
      <c r="D55" s="259"/>
      <c r="E55" s="259"/>
      <c r="F55" s="259"/>
      <c r="G55" s="259"/>
      <c r="H55" s="259"/>
      <c r="I55" s="259"/>
      <c r="J55" s="259"/>
      <c r="K55" s="259"/>
      <c r="L55" s="259"/>
      <c r="M55" s="259"/>
      <c r="N55" s="259"/>
      <c r="O55" s="347"/>
      <c r="P55" s="259"/>
      <c r="Q55" s="259"/>
      <c r="R55" s="259"/>
      <c r="S55" s="259"/>
    </row>
    <row r="56" spans="1:19">
      <c r="A56" s="353"/>
      <c r="B56" s="349"/>
      <c r="C56" s="372"/>
      <c r="D56" s="372"/>
      <c r="E56" s="372"/>
      <c r="F56" s="372"/>
      <c r="G56" s="372"/>
      <c r="H56" s="372"/>
      <c r="I56" s="259"/>
      <c r="J56" s="372"/>
      <c r="K56" s="259"/>
      <c r="L56" s="372"/>
      <c r="M56" s="372"/>
      <c r="N56" s="259"/>
      <c r="O56" s="347"/>
      <c r="P56" s="259"/>
      <c r="Q56" s="259"/>
      <c r="R56" s="259"/>
      <c r="S56" s="259"/>
    </row>
    <row r="57" spans="1:19">
      <c r="A57" s="353"/>
      <c r="B57" s="349"/>
      <c r="C57" s="363"/>
      <c r="D57" s="363"/>
      <c r="E57" s="363"/>
      <c r="F57" s="363"/>
      <c r="G57" s="363"/>
      <c r="H57" s="363"/>
      <c r="I57" s="373"/>
      <c r="J57" s="363"/>
      <c r="K57" s="373"/>
      <c r="L57" s="363"/>
      <c r="M57" s="363"/>
      <c r="N57" s="259"/>
      <c r="O57" s="347"/>
      <c r="P57" s="259"/>
      <c r="Q57" s="259"/>
      <c r="R57" s="259"/>
      <c r="S57" s="259"/>
    </row>
    <row r="58" spans="1:19">
      <c r="A58" s="353"/>
      <c r="B58" s="364"/>
      <c r="C58" s="374"/>
      <c r="D58" s="374"/>
      <c r="E58" s="374"/>
      <c r="F58" s="374"/>
      <c r="G58" s="374"/>
      <c r="H58" s="374"/>
      <c r="I58" s="375"/>
      <c r="J58" s="374"/>
      <c r="K58" s="375"/>
      <c r="L58" s="374"/>
      <c r="M58" s="374"/>
      <c r="N58" s="259"/>
      <c r="O58" s="259"/>
      <c r="P58" s="259"/>
      <c r="Q58" s="259"/>
      <c r="R58" s="259"/>
      <c r="S58" s="259"/>
    </row>
    <row r="59" spans="1:19">
      <c r="A59" s="353"/>
      <c r="B59" s="349"/>
      <c r="C59" s="366"/>
      <c r="D59" s="366"/>
      <c r="E59" s="366"/>
      <c r="F59" s="366"/>
      <c r="G59" s="366"/>
      <c r="H59" s="366"/>
      <c r="I59" s="366"/>
      <c r="J59" s="366"/>
      <c r="K59" s="366"/>
      <c r="L59" s="366"/>
      <c r="M59" s="366"/>
      <c r="N59" s="259"/>
      <c r="O59" s="259"/>
      <c r="P59" s="259"/>
      <c r="Q59" s="259"/>
      <c r="R59" s="259"/>
      <c r="S59" s="259"/>
    </row>
    <row r="60" spans="1:19">
      <c r="A60" s="353"/>
      <c r="B60" s="349"/>
      <c r="C60" s="366"/>
      <c r="D60" s="366"/>
      <c r="E60" s="366"/>
      <c r="F60" s="366"/>
      <c r="G60" s="366"/>
      <c r="H60" s="366"/>
      <c r="I60" s="366"/>
      <c r="J60" s="366"/>
      <c r="K60" s="366"/>
      <c r="L60" s="366"/>
      <c r="M60" s="366"/>
      <c r="N60" s="259"/>
      <c r="O60" s="259"/>
      <c r="P60" s="259"/>
      <c r="Q60" s="259"/>
      <c r="R60" s="259"/>
      <c r="S60" s="259"/>
    </row>
    <row r="61" spans="1:19">
      <c r="A61" s="353"/>
      <c r="B61" s="349"/>
      <c r="C61" s="366"/>
      <c r="D61" s="366"/>
      <c r="E61" s="366"/>
      <c r="F61" s="366"/>
      <c r="G61" s="366"/>
      <c r="H61" s="366"/>
      <c r="I61" s="366"/>
      <c r="J61" s="366"/>
      <c r="K61" s="366"/>
      <c r="L61" s="366"/>
      <c r="M61" s="366"/>
      <c r="N61" s="259"/>
      <c r="O61" s="259"/>
      <c r="P61" s="259"/>
      <c r="Q61" s="259"/>
      <c r="R61" s="259"/>
      <c r="S61" s="259"/>
    </row>
    <row r="62" spans="1:19">
      <c r="A62" s="353"/>
      <c r="B62" s="349"/>
      <c r="C62" s="367"/>
      <c r="D62" s="367"/>
      <c r="E62" s="367"/>
      <c r="F62" s="367"/>
      <c r="G62" s="367"/>
      <c r="H62" s="367"/>
      <c r="I62" s="367"/>
      <c r="J62" s="367"/>
      <c r="K62" s="367"/>
      <c r="L62" s="367"/>
      <c r="M62" s="367"/>
      <c r="N62" s="259"/>
      <c r="O62" s="259"/>
      <c r="P62" s="259"/>
      <c r="Q62" s="259"/>
      <c r="R62" s="259"/>
      <c r="S62" s="259"/>
    </row>
    <row r="63" spans="1:19">
      <c r="A63" s="353"/>
      <c r="B63" s="349"/>
      <c r="C63" s="376"/>
      <c r="D63" s="376"/>
      <c r="E63" s="376"/>
      <c r="F63" s="376"/>
      <c r="G63" s="376"/>
      <c r="H63" s="376"/>
      <c r="I63" s="376"/>
      <c r="J63" s="376"/>
      <c r="K63" s="376"/>
      <c r="L63" s="376"/>
      <c r="M63" s="376"/>
      <c r="N63" s="259"/>
      <c r="O63" s="259"/>
      <c r="P63" s="259"/>
      <c r="Q63" s="259"/>
      <c r="R63" s="259"/>
      <c r="S63" s="259"/>
    </row>
    <row r="64" spans="1:19">
      <c r="A64" s="353"/>
      <c r="B64" s="259"/>
      <c r="C64" s="369"/>
      <c r="D64" s="369"/>
      <c r="E64" s="369"/>
      <c r="F64" s="369"/>
      <c r="G64" s="369"/>
      <c r="H64" s="369"/>
      <c r="I64" s="369"/>
      <c r="J64" s="369"/>
      <c r="K64" s="369"/>
      <c r="L64" s="369"/>
      <c r="M64" s="369"/>
      <c r="N64" s="259"/>
      <c r="O64" s="259"/>
      <c r="P64" s="259"/>
      <c r="Q64" s="259"/>
      <c r="R64" s="259"/>
      <c r="S64" s="259"/>
    </row>
    <row r="65" spans="1:19">
      <c r="A65" s="353"/>
      <c r="B65" s="349"/>
      <c r="C65" s="259"/>
      <c r="D65" s="259"/>
      <c r="E65" s="259"/>
      <c r="F65" s="259"/>
      <c r="G65" s="259"/>
      <c r="H65" s="259"/>
      <c r="I65" s="259"/>
      <c r="J65" s="259"/>
      <c r="K65" s="259"/>
      <c r="L65" s="259"/>
      <c r="M65" s="259"/>
      <c r="N65" s="259"/>
      <c r="O65" s="259"/>
      <c r="P65" s="259"/>
      <c r="Q65" s="259"/>
      <c r="R65" s="259"/>
      <c r="S65" s="259"/>
    </row>
    <row r="66" spans="1:19">
      <c r="A66" s="353"/>
      <c r="B66" s="364"/>
      <c r="C66" s="259"/>
      <c r="D66" s="259"/>
      <c r="E66" s="259"/>
      <c r="F66" s="259"/>
      <c r="G66" s="259"/>
      <c r="H66" s="259"/>
      <c r="I66" s="259"/>
      <c r="J66" s="259"/>
      <c r="K66" s="259"/>
      <c r="L66" s="259"/>
      <c r="M66" s="259"/>
      <c r="N66" s="259"/>
      <c r="O66" s="259"/>
      <c r="P66" s="259"/>
      <c r="Q66" s="259"/>
      <c r="R66" s="259"/>
      <c r="S66" s="259"/>
    </row>
    <row r="67" spans="1:19">
      <c r="A67" s="353"/>
      <c r="B67" s="349"/>
      <c r="C67" s="366"/>
      <c r="D67" s="366"/>
      <c r="E67" s="366"/>
      <c r="F67" s="366"/>
      <c r="G67" s="366"/>
      <c r="H67" s="366"/>
      <c r="I67" s="366"/>
      <c r="J67" s="366"/>
      <c r="K67" s="366"/>
      <c r="L67" s="366"/>
      <c r="M67" s="366"/>
      <c r="N67" s="259"/>
      <c r="O67" s="259"/>
      <c r="P67" s="259"/>
      <c r="Q67" s="259"/>
      <c r="R67" s="259"/>
      <c r="S67" s="259"/>
    </row>
    <row r="68" spans="1:19">
      <c r="A68" s="353"/>
      <c r="B68" s="349"/>
      <c r="C68" s="366"/>
      <c r="D68" s="366"/>
      <c r="E68" s="366"/>
      <c r="F68" s="366"/>
      <c r="G68" s="366"/>
      <c r="H68" s="366"/>
      <c r="I68" s="366"/>
      <c r="J68" s="366"/>
      <c r="K68" s="366"/>
      <c r="L68" s="366"/>
      <c r="M68" s="366"/>
      <c r="N68" s="259"/>
      <c r="O68" s="259"/>
      <c r="P68" s="259"/>
      <c r="Q68" s="259"/>
      <c r="R68" s="259"/>
      <c r="S68" s="259"/>
    </row>
    <row r="69" spans="1:19">
      <c r="A69" s="353"/>
      <c r="B69" s="349"/>
      <c r="C69" s="366"/>
      <c r="D69" s="366"/>
      <c r="E69" s="366"/>
      <c r="F69" s="366"/>
      <c r="G69" s="366"/>
      <c r="H69" s="366"/>
      <c r="I69" s="366"/>
      <c r="J69" s="366"/>
      <c r="K69" s="366"/>
      <c r="L69" s="366"/>
      <c r="M69" s="366"/>
      <c r="N69" s="259"/>
      <c r="O69" s="259"/>
      <c r="P69" s="259"/>
      <c r="Q69" s="259"/>
      <c r="R69" s="259"/>
      <c r="S69" s="259"/>
    </row>
  </sheetData>
  <phoneticPr fontId="19" type="noConversion"/>
  <pageMargins left="0.94999999999999984" right="0.75" top="1" bottom="1" header="0.5" footer="0.5"/>
  <pageSetup scale="43" orientation="portrait" horizontalDpi="300" verticalDpi="300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70">
    <tabColor theme="3" tint="-0.249977111117893"/>
    <pageSetUpPr fitToPage="1"/>
  </sheetPr>
  <dimension ref="A1:O39"/>
  <sheetViews>
    <sheetView workbookViewId="0"/>
  </sheetViews>
  <sheetFormatPr defaultColWidth="8" defaultRowHeight="13.2"/>
  <cols>
    <col min="1" max="1" width="6.5546875" customWidth="1"/>
    <col min="2" max="2" width="0.5546875" customWidth="1"/>
    <col min="3" max="3" width="39.5546875" customWidth="1"/>
    <col min="4" max="4" width="1.44140625" customWidth="1"/>
    <col min="5" max="5" width="13.44140625" customWidth="1"/>
    <col min="6" max="6" width="0.5546875" customWidth="1"/>
    <col min="7" max="7" width="15.44140625" customWidth="1"/>
    <col min="8" max="8" width="0.5546875" customWidth="1"/>
    <col min="9" max="9" width="12.5546875" customWidth="1"/>
    <col min="10" max="10" width="1" customWidth="1"/>
    <col min="11" max="11" width="10.44140625" customWidth="1"/>
    <col min="12" max="12" width="1" customWidth="1"/>
    <col min="13" max="13" width="16" customWidth="1"/>
    <col min="14" max="14" width="4.44140625" customWidth="1"/>
    <col min="15" max="15" width="8" customWidth="1"/>
    <col min="16" max="16" width="49.5546875" customWidth="1"/>
    <col min="17" max="17" width="8" customWidth="1"/>
    <col min="18" max="18" width="16.5546875" customWidth="1"/>
    <col min="19" max="19" width="2.5546875" customWidth="1"/>
    <col min="20" max="20" width="15.5546875" customWidth="1"/>
  </cols>
  <sheetData>
    <row r="1" spans="1:15">
      <c r="A1" s="47" t="str">
        <f>COMPANY</f>
        <v>DUKE ENERGY KENTUCKY, INC.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57"/>
      <c r="O1" s="260"/>
    </row>
    <row r="2" spans="1:15">
      <c r="A2" s="47" t="str">
        <f>CASE</f>
        <v>CASE NO. 2024-00354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57"/>
      <c r="O2" s="260"/>
    </row>
    <row r="3" spans="1:15">
      <c r="A3" s="47" t="s">
        <v>2957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57"/>
      <c r="O3" s="260"/>
    </row>
    <row r="4" spans="1:15">
      <c r="A4" s="47" t="str">
        <f>"AS OF " &amp;RIGHT(TESTYR,(LEN(TESTYR)-16))</f>
        <v>AS OF FEBRUARY 28, 2025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57"/>
      <c r="O4" s="260"/>
    </row>
    <row r="5" spans="1:15">
      <c r="A5" s="328"/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260"/>
    </row>
    <row r="6" spans="1:15">
      <c r="A6" s="259" t="str">
        <f>Data</f>
        <v>DATA: "X" BASE PERIOD   FORECASTED PERIOD</v>
      </c>
      <c r="B6" s="260"/>
      <c r="C6" s="260"/>
      <c r="D6" s="260"/>
      <c r="E6" s="260"/>
      <c r="F6" s="260"/>
      <c r="G6" s="260"/>
      <c r="H6" s="260"/>
      <c r="I6" s="260"/>
      <c r="J6" s="260"/>
      <c r="K6" s="57" t="s">
        <v>2958</v>
      </c>
      <c r="L6" s="260"/>
      <c r="M6" s="260"/>
      <c r="N6" s="260"/>
      <c r="O6" s="260"/>
    </row>
    <row r="7" spans="1:15">
      <c r="A7" s="57" t="s">
        <v>2959</v>
      </c>
      <c r="B7" s="260"/>
      <c r="C7" s="260"/>
      <c r="D7" s="260"/>
      <c r="E7" s="260"/>
      <c r="F7" s="260"/>
      <c r="G7" s="260"/>
      <c r="H7" s="260"/>
      <c r="I7" s="260"/>
      <c r="J7" s="260"/>
      <c r="K7" s="57" t="s">
        <v>571</v>
      </c>
      <c r="L7" s="57"/>
      <c r="M7" s="260"/>
      <c r="N7" s="260"/>
      <c r="O7" s="260"/>
    </row>
    <row r="8" spans="1:15">
      <c r="A8" s="260" t="str">
        <f>Type</f>
        <v xml:space="preserve">TYPE OF FILING:  "X" ORIGINAL   UPDATED    REVISED  </v>
      </c>
      <c r="B8" s="260"/>
      <c r="C8" s="260"/>
      <c r="D8" s="260"/>
      <c r="E8" s="260"/>
      <c r="F8" s="260"/>
      <c r="G8" s="260"/>
      <c r="H8" s="260"/>
      <c r="I8" s="260"/>
      <c r="J8" s="260"/>
      <c r="K8" s="57" t="s">
        <v>468</v>
      </c>
      <c r="L8" s="57"/>
      <c r="M8" s="260"/>
      <c r="N8" s="260"/>
      <c r="O8" s="260"/>
    </row>
    <row r="9" spans="1:15">
      <c r="A9" s="57" t="s">
        <v>2960</v>
      </c>
      <c r="B9" s="260"/>
      <c r="C9" s="260"/>
      <c r="D9" s="260"/>
      <c r="E9" s="260"/>
      <c r="F9" s="260"/>
      <c r="G9" s="260"/>
      <c r="H9" s="260"/>
      <c r="I9" s="260"/>
      <c r="J9" s="260"/>
      <c r="K9" s="57" t="str">
        <f>_WIT4</f>
        <v>T. J. HEATH JR.</v>
      </c>
      <c r="L9" s="57"/>
      <c r="M9" s="260"/>
      <c r="N9" s="260"/>
      <c r="O9" s="260"/>
    </row>
    <row r="10" spans="1:15">
      <c r="A10" s="260"/>
      <c r="B10" s="260"/>
      <c r="C10" s="260"/>
      <c r="D10" s="260"/>
      <c r="E10" s="260"/>
      <c r="F10" s="260"/>
      <c r="H10" s="260"/>
      <c r="I10" s="260"/>
      <c r="J10" s="260"/>
      <c r="K10" s="260"/>
      <c r="L10" s="57"/>
      <c r="M10" s="260"/>
      <c r="N10" s="260"/>
      <c r="O10" s="260"/>
    </row>
    <row r="11" spans="1:15">
      <c r="A11" s="1621"/>
      <c r="B11" s="1621"/>
      <c r="C11" s="1621"/>
      <c r="D11" s="1621"/>
      <c r="E11" s="1621"/>
      <c r="F11" s="1621"/>
      <c r="G11" s="1621"/>
      <c r="H11" s="1621"/>
      <c r="I11" s="1621"/>
      <c r="J11" s="1621"/>
      <c r="K11" s="1621"/>
      <c r="L11" s="1621"/>
      <c r="M11" s="1621"/>
      <c r="N11" s="260"/>
      <c r="O11" s="260"/>
    </row>
    <row r="12" spans="1:15">
      <c r="A12" s="328" t="s">
        <v>471</v>
      </c>
      <c r="B12" s="260"/>
      <c r="C12" s="260"/>
      <c r="D12" s="260"/>
      <c r="E12" s="260"/>
      <c r="F12" s="260"/>
      <c r="G12" s="328"/>
      <c r="H12" s="328"/>
      <c r="I12" s="328" t="s">
        <v>2961</v>
      </c>
      <c r="J12" s="260"/>
      <c r="K12" s="328"/>
      <c r="L12" s="260"/>
      <c r="M12" s="328" t="s">
        <v>2962</v>
      </c>
      <c r="N12" s="260"/>
      <c r="O12" s="260"/>
    </row>
    <row r="13" spans="1:15">
      <c r="A13" s="328" t="s">
        <v>475</v>
      </c>
      <c r="B13" s="260"/>
      <c r="C13" s="328" t="s">
        <v>2963</v>
      </c>
      <c r="D13" s="260"/>
      <c r="E13" s="328" t="s">
        <v>477</v>
      </c>
      <c r="F13" s="328"/>
      <c r="G13" s="328" t="s">
        <v>975</v>
      </c>
      <c r="H13" s="328"/>
      <c r="I13" s="328" t="s">
        <v>972</v>
      </c>
      <c r="J13" s="328"/>
      <c r="K13" s="328" t="s">
        <v>2964</v>
      </c>
      <c r="L13" s="328"/>
      <c r="M13" s="328" t="s">
        <v>2964</v>
      </c>
      <c r="N13" s="260"/>
      <c r="O13" s="260"/>
    </row>
    <row r="14" spans="1:15">
      <c r="A14" s="1621"/>
      <c r="B14" s="1621"/>
      <c r="C14" s="1621"/>
      <c r="D14" s="1621"/>
      <c r="E14" s="1621"/>
      <c r="F14" s="1621"/>
      <c r="G14" s="328"/>
      <c r="H14" s="1408"/>
      <c r="I14" s="1408"/>
      <c r="J14" s="1622"/>
      <c r="K14" s="328"/>
      <c r="L14" s="1621"/>
      <c r="M14" s="1621"/>
      <c r="N14" s="260"/>
      <c r="O14" s="260"/>
    </row>
    <row r="15" spans="1:15">
      <c r="A15" s="2179"/>
      <c r="B15" s="2179"/>
      <c r="C15" s="2179"/>
      <c r="D15" s="2179"/>
      <c r="E15" s="2179"/>
      <c r="F15" s="2179"/>
      <c r="G15" s="2179"/>
      <c r="H15" s="2179"/>
      <c r="I15" s="2179"/>
      <c r="J15" s="2179"/>
      <c r="K15" s="2179"/>
      <c r="L15" s="2179"/>
      <c r="M15" s="2179"/>
      <c r="N15" s="260"/>
      <c r="O15" s="260"/>
    </row>
    <row r="16" spans="1:15">
      <c r="A16" s="328">
        <v>1</v>
      </c>
      <c r="B16" s="260"/>
      <c r="C16" s="260" t="s">
        <v>2965</v>
      </c>
      <c r="D16" s="260"/>
      <c r="E16" s="328"/>
      <c r="F16" s="328"/>
      <c r="G16" s="1896">
        <v>1112240687</v>
      </c>
      <c r="H16" s="329"/>
      <c r="I16" s="330">
        <f>1-I17-I18</f>
        <v>0.54499999999999993</v>
      </c>
      <c r="J16" s="331"/>
      <c r="K16" s="333">
        <v>0.1085</v>
      </c>
      <c r="L16" s="333"/>
      <c r="M16" s="330">
        <f>ROUND((I16*K16),5)</f>
        <v>5.9130000000000002E-2</v>
      </c>
      <c r="N16" s="260"/>
      <c r="O16" s="260"/>
    </row>
    <row r="17" spans="1:15">
      <c r="A17" s="328">
        <f t="shared" ref="A17:A33" si="0">1+A16</f>
        <v>2</v>
      </c>
      <c r="B17" s="260"/>
      <c r="C17" s="260" t="s">
        <v>2966</v>
      </c>
      <c r="D17" s="260"/>
      <c r="E17" s="328" t="s">
        <v>2967</v>
      </c>
      <c r="F17" s="328"/>
      <c r="G17" s="1360">
        <f>'SCH_J3 - Base'!L50</f>
        <v>788615181</v>
      </c>
      <c r="H17" s="329"/>
      <c r="I17" s="330">
        <f>ROUND(G17/$G$20,5)</f>
        <v>0.38643</v>
      </c>
      <c r="J17" s="331"/>
      <c r="K17" s="332">
        <f>'SCH_J3 - Base'!M53</f>
        <v>4.8329999999999998E-2</v>
      </c>
      <c r="L17" s="333"/>
      <c r="M17" s="330">
        <f>ROUND((I17*K17),5)</f>
        <v>1.8679999999999999E-2</v>
      </c>
      <c r="N17" s="260"/>
      <c r="O17" s="260"/>
    </row>
    <row r="18" spans="1:15">
      <c r="A18" s="328">
        <f t="shared" si="0"/>
        <v>3</v>
      </c>
      <c r="B18" s="260"/>
      <c r="C18" s="260" t="s">
        <v>2968</v>
      </c>
      <c r="D18" s="260"/>
      <c r="E18" s="334" t="s">
        <v>2969</v>
      </c>
      <c r="F18" s="335"/>
      <c r="G18" s="1361">
        <f>'SCH_J2 - Base'!I26</f>
        <v>139938969</v>
      </c>
      <c r="H18" s="260"/>
      <c r="I18" s="336">
        <f>ROUND(G18/$G$20,5)</f>
        <v>6.8570000000000006E-2</v>
      </c>
      <c r="J18" s="337"/>
      <c r="K18" s="332">
        <f>'SCH_J2 - Base'!J28</f>
        <v>3.3590000000000002E-2</v>
      </c>
      <c r="L18" s="333"/>
      <c r="M18" s="336">
        <f>ROUND((I18*K18),5)</f>
        <v>2.3E-3</v>
      </c>
      <c r="N18" s="260"/>
      <c r="O18" s="260"/>
    </row>
    <row r="19" spans="1:15">
      <c r="A19" s="328">
        <f t="shared" si="0"/>
        <v>4</v>
      </c>
      <c r="B19" s="260"/>
      <c r="C19" s="260"/>
      <c r="D19" s="260"/>
      <c r="E19" s="260"/>
      <c r="F19" s="260"/>
      <c r="G19" s="1362"/>
      <c r="H19" s="260"/>
      <c r="I19" s="330"/>
      <c r="J19" s="260"/>
      <c r="K19" s="330"/>
      <c r="L19" s="330"/>
      <c r="M19" s="330"/>
      <c r="N19" s="260"/>
      <c r="O19" s="260"/>
    </row>
    <row r="20" spans="1:15">
      <c r="A20" s="328">
        <f t="shared" si="0"/>
        <v>5</v>
      </c>
      <c r="B20" s="260"/>
      <c r="C20" s="260" t="s">
        <v>2970</v>
      </c>
      <c r="D20" s="260"/>
      <c r="E20" s="260"/>
      <c r="F20" s="260"/>
      <c r="G20" s="1366">
        <f>SUM(G16:G18)</f>
        <v>2040794837</v>
      </c>
      <c r="H20" s="335"/>
      <c r="I20" s="338">
        <f>SUM(I16:I18)</f>
        <v>1</v>
      </c>
      <c r="J20" s="331"/>
      <c r="K20" s="330"/>
      <c r="L20" s="330"/>
      <c r="M20" s="338">
        <f>SUM(M16:M19)</f>
        <v>8.0110000000000001E-2</v>
      </c>
      <c r="N20" s="260"/>
      <c r="O20" s="260"/>
    </row>
    <row r="21" spans="1:15">
      <c r="A21" s="328">
        <f t="shared" si="0"/>
        <v>6</v>
      </c>
      <c r="B21" s="260"/>
      <c r="C21" s="260"/>
      <c r="D21" s="260"/>
      <c r="E21" s="335"/>
      <c r="F21" s="335"/>
      <c r="G21" s="1363"/>
      <c r="H21" s="339"/>
      <c r="I21" s="340"/>
      <c r="J21" s="341"/>
      <c r="K21" s="342"/>
      <c r="L21" s="342"/>
      <c r="M21" s="341"/>
      <c r="N21" s="260"/>
      <c r="O21" s="260"/>
    </row>
    <row r="22" spans="1:15">
      <c r="A22" s="328">
        <f t="shared" si="0"/>
        <v>7</v>
      </c>
      <c r="B22" s="260"/>
      <c r="C22" s="260"/>
      <c r="D22" s="260"/>
      <c r="E22" s="335"/>
      <c r="F22" s="335"/>
      <c r="G22" s="1363"/>
      <c r="H22" s="339"/>
      <c r="I22" s="341"/>
      <c r="J22" s="341"/>
      <c r="K22" s="342"/>
      <c r="L22" s="342"/>
      <c r="M22" s="341"/>
      <c r="N22" s="260"/>
      <c r="O22" s="260"/>
    </row>
    <row r="23" spans="1:15">
      <c r="A23" s="328">
        <f t="shared" si="0"/>
        <v>8</v>
      </c>
      <c r="B23" s="260"/>
      <c r="C23" s="260" t="s">
        <v>2971</v>
      </c>
      <c r="D23" s="260"/>
      <c r="E23" s="335"/>
      <c r="F23" s="335"/>
      <c r="G23" s="1363"/>
      <c r="H23" s="339"/>
      <c r="I23" s="343"/>
      <c r="J23" s="343"/>
      <c r="K23" s="342"/>
      <c r="L23" s="342"/>
      <c r="M23" s="342"/>
      <c r="N23" s="260"/>
      <c r="O23" s="260"/>
    </row>
    <row r="24" spans="1:15">
      <c r="A24" s="328">
        <f t="shared" si="0"/>
        <v>9</v>
      </c>
      <c r="B24" s="260"/>
      <c r="C24" s="260" t="s">
        <v>2972</v>
      </c>
      <c r="D24" s="260"/>
      <c r="E24" s="334" t="s">
        <v>2973</v>
      </c>
      <c r="F24" s="335"/>
      <c r="G24" s="1367">
        <f>-'WPB-6''s'!L24-'WPB-6''s'!L51-'WPB-6''s'!L75</f>
        <v>5135704</v>
      </c>
      <c r="H24" s="339"/>
      <c r="I24" s="343"/>
      <c r="J24" s="343"/>
      <c r="K24" s="342"/>
      <c r="L24" s="342"/>
      <c r="M24" s="342"/>
      <c r="N24" s="260"/>
      <c r="O24" s="260"/>
    </row>
    <row r="25" spans="1:15">
      <c r="A25" s="328">
        <f t="shared" si="0"/>
        <v>10</v>
      </c>
      <c r="B25" s="260"/>
      <c r="C25" s="260"/>
      <c r="D25" s="260"/>
      <c r="E25" s="260"/>
      <c r="F25" s="260"/>
      <c r="G25" s="1362"/>
      <c r="H25" s="335"/>
      <c r="I25" s="343"/>
      <c r="J25" s="343"/>
      <c r="K25" s="342"/>
      <c r="L25" s="342"/>
      <c r="M25" s="342"/>
      <c r="N25" s="260"/>
      <c r="O25" s="260"/>
    </row>
    <row r="26" spans="1:15">
      <c r="A26" s="328">
        <f t="shared" si="0"/>
        <v>11</v>
      </c>
      <c r="B26" s="260"/>
      <c r="C26" s="260"/>
      <c r="D26" s="260"/>
      <c r="E26" s="260"/>
      <c r="F26" s="260"/>
      <c r="G26" s="1363"/>
      <c r="H26" s="339"/>
      <c r="I26" s="343"/>
      <c r="J26" s="343"/>
      <c r="K26" s="342"/>
      <c r="L26" s="342"/>
      <c r="M26" s="342"/>
      <c r="N26" s="260"/>
      <c r="O26" s="260"/>
    </row>
    <row r="27" spans="1:15">
      <c r="A27" s="328">
        <f t="shared" si="0"/>
        <v>12</v>
      </c>
      <c r="B27" s="260"/>
      <c r="C27" s="344" t="s">
        <v>2974</v>
      </c>
      <c r="D27" s="260"/>
      <c r="E27" s="260"/>
      <c r="F27" s="260"/>
      <c r="G27" s="1362"/>
      <c r="H27" s="335"/>
      <c r="I27" s="343"/>
      <c r="J27" s="343"/>
      <c r="K27" s="342"/>
      <c r="L27" s="342"/>
      <c r="M27" s="342"/>
      <c r="N27" s="260"/>
      <c r="O27" s="260"/>
    </row>
    <row r="28" spans="1:15">
      <c r="A28" s="328">
        <f t="shared" si="0"/>
        <v>13</v>
      </c>
      <c r="B28" s="260"/>
      <c r="C28" s="260"/>
      <c r="D28" s="260"/>
      <c r="E28" s="328"/>
      <c r="F28" s="328"/>
      <c r="G28" s="1364"/>
      <c r="H28" s="329"/>
      <c r="I28" s="343"/>
      <c r="J28" s="343"/>
      <c r="K28" s="342"/>
      <c r="L28" s="342"/>
      <c r="M28" s="342"/>
      <c r="N28" s="260"/>
      <c r="O28" s="260"/>
    </row>
    <row r="29" spans="1:15">
      <c r="A29" s="328">
        <f t="shared" si="0"/>
        <v>14</v>
      </c>
      <c r="B29" s="260"/>
      <c r="C29" s="260" t="s">
        <v>2965</v>
      </c>
      <c r="D29" s="260"/>
      <c r="E29" s="260"/>
      <c r="F29" s="260"/>
      <c r="G29" s="1368">
        <f>ROUND(G16+(I16*G24),0)</f>
        <v>1115039646</v>
      </c>
      <c r="H29" s="339"/>
      <c r="I29" s="330">
        <f>I16</f>
        <v>0.54499999999999993</v>
      </c>
      <c r="J29" s="343"/>
      <c r="K29" s="332">
        <f>K16</f>
        <v>0.1085</v>
      </c>
      <c r="L29" s="330"/>
      <c r="M29" s="330">
        <f>ROUND((I29*K29),5)</f>
        <v>5.9130000000000002E-2</v>
      </c>
      <c r="N29" s="260"/>
      <c r="O29" s="260"/>
    </row>
    <row r="30" spans="1:15">
      <c r="A30" s="328">
        <f t="shared" si="0"/>
        <v>15</v>
      </c>
      <c r="B30" s="260"/>
      <c r="C30" s="260" t="s">
        <v>2966</v>
      </c>
      <c r="D30" s="260"/>
      <c r="E30" s="260"/>
      <c r="F30" s="260"/>
      <c r="G30" s="1363">
        <f>ROUND(G17+(I17*G24),0)</f>
        <v>790599771</v>
      </c>
      <c r="H30" s="335"/>
      <c r="I30" s="330">
        <f>I17</f>
        <v>0.38643</v>
      </c>
      <c r="J30" s="343"/>
      <c r="K30" s="332">
        <f>K17</f>
        <v>4.8329999999999998E-2</v>
      </c>
      <c r="L30" s="330"/>
      <c r="M30" s="330">
        <f>ROUND((I30*K30),5)</f>
        <v>1.8679999999999999E-2</v>
      </c>
      <c r="N30" s="260"/>
      <c r="O30" s="260"/>
    </row>
    <row r="31" spans="1:15">
      <c r="A31" s="328">
        <f t="shared" si="0"/>
        <v>16</v>
      </c>
      <c r="B31" s="260"/>
      <c r="C31" s="260" t="s">
        <v>2968</v>
      </c>
      <c r="D31" s="260"/>
      <c r="E31" s="328"/>
      <c r="F31" s="328"/>
      <c r="G31" s="1365">
        <f>ROUND(G18+(I18*G24),0)</f>
        <v>140291124</v>
      </c>
      <c r="H31" s="329"/>
      <c r="I31" s="336">
        <f>I18</f>
        <v>6.8570000000000006E-2</v>
      </c>
      <c r="J31" s="343"/>
      <c r="K31" s="332">
        <f>K18</f>
        <v>3.3590000000000002E-2</v>
      </c>
      <c r="L31" s="330"/>
      <c r="M31" s="336">
        <f>ROUND((I31*K31),5)</f>
        <v>2.3E-3</v>
      </c>
      <c r="N31" s="260"/>
      <c r="O31" s="260"/>
    </row>
    <row r="32" spans="1:15">
      <c r="A32" s="328">
        <f t="shared" si="0"/>
        <v>17</v>
      </c>
      <c r="B32" s="260"/>
      <c r="C32" s="260"/>
      <c r="D32" s="260"/>
      <c r="E32" s="328"/>
      <c r="F32" s="328"/>
      <c r="G32" s="1359"/>
      <c r="H32" s="329"/>
      <c r="I32" s="330"/>
      <c r="J32" s="343"/>
      <c r="K32" s="330"/>
      <c r="L32" s="330"/>
      <c r="M32" s="330"/>
      <c r="N32" s="260"/>
      <c r="O32" s="260"/>
    </row>
    <row r="33" spans="1:15">
      <c r="A33" s="328">
        <f t="shared" si="0"/>
        <v>18</v>
      </c>
      <c r="B33" s="260"/>
      <c r="C33" s="260" t="s">
        <v>2975</v>
      </c>
      <c r="D33" s="260"/>
      <c r="E33" s="260"/>
      <c r="F33" s="260"/>
      <c r="G33" s="1367">
        <f>SUM(G29:G32)</f>
        <v>2045930541</v>
      </c>
      <c r="H33" s="339"/>
      <c r="I33" s="338">
        <f>SUM(I29:I32)</f>
        <v>1</v>
      </c>
      <c r="J33" s="260"/>
      <c r="K33" s="330"/>
      <c r="L33" s="330"/>
      <c r="M33" s="338">
        <f>SUM(M29:M32)</f>
        <v>8.0110000000000001E-2</v>
      </c>
      <c r="N33" s="260"/>
      <c r="O33" s="260"/>
    </row>
    <row r="34" spans="1:15">
      <c r="A34" s="328"/>
      <c r="B34" s="260"/>
      <c r="C34" s="260"/>
      <c r="D34" s="260"/>
      <c r="E34" s="260"/>
      <c r="F34" s="260"/>
      <c r="G34" s="260"/>
      <c r="H34" s="260"/>
      <c r="I34" s="330"/>
      <c r="J34" s="260"/>
      <c r="K34" s="260"/>
      <c r="L34" s="260"/>
      <c r="M34" s="260"/>
      <c r="N34" s="260"/>
      <c r="O34" s="260"/>
    </row>
    <row r="35" spans="1:15">
      <c r="A35" s="328"/>
      <c r="B35" s="260"/>
      <c r="C35" s="260"/>
      <c r="D35" s="260"/>
      <c r="E35" s="260"/>
      <c r="F35" s="260"/>
      <c r="G35" s="260"/>
      <c r="H35" s="260"/>
      <c r="I35" s="260"/>
      <c r="J35" s="260"/>
      <c r="K35" s="260"/>
      <c r="L35" s="260"/>
      <c r="M35" s="260"/>
      <c r="N35" s="260"/>
      <c r="O35" s="260"/>
    </row>
    <row r="36" spans="1:15">
      <c r="A36" s="260"/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342"/>
      <c r="N36" s="260"/>
      <c r="O36" s="260"/>
    </row>
    <row r="37" spans="1:15">
      <c r="A37" s="260"/>
      <c r="B37" s="260"/>
      <c r="C37" s="260"/>
      <c r="D37" s="260"/>
      <c r="E37" s="260"/>
      <c r="F37" s="260"/>
      <c r="G37" s="260"/>
      <c r="H37" s="260"/>
      <c r="I37" s="260"/>
      <c r="J37" s="260"/>
      <c r="K37" s="260"/>
      <c r="L37" s="260"/>
      <c r="M37" s="260"/>
      <c r="N37" s="260"/>
      <c r="O37" s="260"/>
    </row>
    <row r="38" spans="1:15">
      <c r="A38" s="260"/>
      <c r="B38" s="260"/>
      <c r="C38" s="260"/>
      <c r="D38" s="260"/>
      <c r="E38" s="260"/>
      <c r="F38" s="260"/>
      <c r="G38" s="260"/>
      <c r="H38" s="260"/>
      <c r="I38" s="343"/>
      <c r="J38" s="343"/>
      <c r="K38" s="260"/>
      <c r="L38" s="260"/>
      <c r="M38" s="260"/>
      <c r="N38" s="260"/>
      <c r="O38" s="260"/>
    </row>
    <row r="39" spans="1:15">
      <c r="A39" s="57"/>
      <c r="B39" s="260"/>
      <c r="C39" s="260"/>
      <c r="D39" s="260"/>
      <c r="E39" s="260"/>
      <c r="F39" s="260"/>
      <c r="G39" s="260"/>
      <c r="H39" s="260"/>
      <c r="I39" s="260"/>
      <c r="J39" s="260"/>
      <c r="K39" s="342"/>
      <c r="L39" s="342"/>
      <c r="M39" s="342"/>
      <c r="N39" s="260"/>
      <c r="O39" s="260"/>
    </row>
  </sheetData>
  <phoneticPr fontId="19" type="noConversion"/>
  <pageMargins left="1" right="0.75" top="0.98425196850393704" bottom="0" header="0" footer="0"/>
  <pageSetup scale="73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69">
    <tabColor theme="3" tint="-0.249977111117893"/>
    <pageSetUpPr fitToPage="1"/>
  </sheetPr>
  <dimension ref="A1:R49"/>
  <sheetViews>
    <sheetView workbookViewId="0"/>
  </sheetViews>
  <sheetFormatPr defaultColWidth="8" defaultRowHeight="13.2"/>
  <cols>
    <col min="1" max="1" width="7" customWidth="1"/>
    <col min="2" max="2" width="1.5546875" customWidth="1"/>
    <col min="3" max="3" width="39.5546875" customWidth="1"/>
    <col min="4" max="4" width="1" customWidth="1"/>
    <col min="5" max="5" width="14.44140625" customWidth="1"/>
    <col min="6" max="6" width="0.5546875" customWidth="1"/>
    <col min="7" max="7" width="16.44140625" customWidth="1"/>
    <col min="8" max="8" width="1" customWidth="1"/>
    <col min="9" max="9" width="11.5546875" customWidth="1"/>
    <col min="10" max="10" width="1" customWidth="1"/>
    <col min="11" max="11" width="11.5546875" customWidth="1"/>
    <col min="12" max="12" width="0.5546875" customWidth="1"/>
    <col min="13" max="13" width="14.44140625" customWidth="1"/>
    <col min="14" max="14" width="8" customWidth="1"/>
    <col min="15" max="15" width="11.44140625" customWidth="1"/>
    <col min="17" max="17" width="8.5546875" bestFit="1" customWidth="1"/>
  </cols>
  <sheetData>
    <row r="1" spans="1:18">
      <c r="A1" s="47" t="str">
        <f>COMPANY</f>
        <v>DUKE ENERGY KENTUCKY, INC.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260"/>
      <c r="O1" s="260"/>
    </row>
    <row r="2" spans="1:18">
      <c r="A2" s="47" t="str">
        <f>CASE</f>
        <v>CASE NO. 2024-00354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260"/>
      <c r="O2" s="260"/>
    </row>
    <row r="3" spans="1:18">
      <c r="A3" s="47" t="s">
        <v>2957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260"/>
      <c r="O3" s="260"/>
    </row>
    <row r="4" spans="1:18">
      <c r="A4" s="47" t="str">
        <f>"THIRTEEN MONTH AVERAGE BALANCE ENDING "&amp;Testyear</f>
        <v>THIRTEEN MONTH AVERAGE BALANCE ENDING JUNE 30, 2026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260"/>
      <c r="O4" s="260"/>
    </row>
    <row r="5" spans="1:18">
      <c r="A5" s="328"/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260"/>
      <c r="O5" s="260"/>
    </row>
    <row r="6" spans="1:18">
      <c r="A6" s="259" t="str">
        <f>DataF</f>
        <v>DATA:  BASE PERIOD  "X" FORECASTED PERIOD</v>
      </c>
      <c r="B6" s="260"/>
      <c r="C6" s="260"/>
      <c r="D6" s="260"/>
      <c r="E6" s="260"/>
      <c r="F6" s="260"/>
      <c r="G6" s="260"/>
      <c r="H6" s="260"/>
      <c r="I6" s="260"/>
      <c r="J6" s="260"/>
      <c r="K6" s="57" t="s">
        <v>2958</v>
      </c>
      <c r="L6" s="260"/>
      <c r="M6" s="260"/>
      <c r="N6" s="260"/>
      <c r="O6" s="260"/>
    </row>
    <row r="7" spans="1:18">
      <c r="A7" s="57" t="s">
        <v>2976</v>
      </c>
      <c r="B7" s="260"/>
      <c r="C7" s="260"/>
      <c r="D7" s="260"/>
      <c r="E7" s="260"/>
      <c r="F7" s="260"/>
      <c r="G7" s="260"/>
      <c r="H7" s="260"/>
      <c r="I7" s="260"/>
      <c r="J7" s="260"/>
      <c r="K7" s="57" t="s">
        <v>590</v>
      </c>
      <c r="L7" s="57"/>
      <c r="M7" s="260"/>
      <c r="N7" s="260"/>
      <c r="O7" s="260"/>
    </row>
    <row r="8" spans="1:18">
      <c r="A8" s="260" t="str">
        <f>Type</f>
        <v xml:space="preserve">TYPE OF FILING:  "X" ORIGINAL   UPDATED    REVISED  </v>
      </c>
      <c r="B8" s="260"/>
      <c r="C8" s="260"/>
      <c r="D8" s="260"/>
      <c r="E8" s="260"/>
      <c r="F8" s="260"/>
      <c r="G8" s="260"/>
      <c r="H8" s="260"/>
      <c r="I8" s="260"/>
      <c r="J8" s="260"/>
      <c r="K8" s="57" t="s">
        <v>468</v>
      </c>
      <c r="L8" s="57"/>
      <c r="M8" s="260"/>
      <c r="N8" s="260"/>
      <c r="O8" s="260"/>
    </row>
    <row r="9" spans="1:18">
      <c r="A9" s="57" t="s">
        <v>2960</v>
      </c>
      <c r="B9" s="260"/>
      <c r="C9" s="260"/>
      <c r="D9" s="260"/>
      <c r="E9" s="260"/>
      <c r="F9" s="260"/>
      <c r="G9" s="260"/>
      <c r="H9" s="260"/>
      <c r="I9" s="260"/>
      <c r="J9" s="260"/>
      <c r="K9" s="57" t="str">
        <f>_WIT4</f>
        <v>T. J. HEATH JR.</v>
      </c>
      <c r="L9" s="57"/>
      <c r="M9" s="260"/>
      <c r="N9" s="260"/>
      <c r="O9" s="260"/>
    </row>
    <row r="10" spans="1:18">
      <c r="A10" s="260"/>
      <c r="B10" s="260"/>
      <c r="C10" s="260"/>
      <c r="D10" s="260"/>
      <c r="E10" s="260"/>
      <c r="F10" s="260"/>
      <c r="I10" s="260"/>
      <c r="J10" s="260"/>
      <c r="K10" s="260"/>
      <c r="L10" s="57"/>
      <c r="M10" s="260"/>
      <c r="N10" s="260"/>
      <c r="O10" s="260"/>
    </row>
    <row r="11" spans="1:18">
      <c r="A11" s="1621"/>
      <c r="B11" s="1621"/>
      <c r="C11" s="1621"/>
      <c r="D11" s="1621"/>
      <c r="E11" s="1621"/>
      <c r="F11" s="1621"/>
      <c r="G11" s="1621"/>
      <c r="H11" s="1621"/>
      <c r="I11" s="1621"/>
      <c r="J11" s="1621"/>
      <c r="K11" s="1621"/>
      <c r="L11" s="1621"/>
      <c r="M11" s="1621"/>
      <c r="N11" s="260"/>
      <c r="O11" s="260"/>
    </row>
    <row r="12" spans="1:18">
      <c r="A12" s="345"/>
      <c r="B12" s="345"/>
      <c r="C12" s="345"/>
      <c r="D12" s="345"/>
      <c r="E12" s="345"/>
      <c r="F12" s="345"/>
      <c r="G12" s="328"/>
      <c r="H12" s="328"/>
      <c r="I12" s="345"/>
      <c r="J12" s="345"/>
      <c r="K12" s="345"/>
      <c r="L12" s="345"/>
      <c r="M12" s="345"/>
      <c r="N12" s="260"/>
      <c r="O12" s="260"/>
    </row>
    <row r="13" spans="1:18">
      <c r="A13" s="328" t="s">
        <v>471</v>
      </c>
      <c r="B13" s="260"/>
      <c r="C13" s="260"/>
      <c r="D13" s="260"/>
      <c r="E13" s="260"/>
      <c r="F13" s="260"/>
      <c r="G13" s="328" t="s">
        <v>499</v>
      </c>
      <c r="H13" s="328"/>
      <c r="I13" s="328" t="s">
        <v>2961</v>
      </c>
      <c r="J13" s="260"/>
      <c r="K13" s="328"/>
      <c r="L13" s="260"/>
      <c r="M13" s="328" t="s">
        <v>2962</v>
      </c>
      <c r="N13" s="260"/>
      <c r="O13" s="2232"/>
      <c r="R13" s="33"/>
    </row>
    <row r="14" spans="1:18">
      <c r="A14" s="328" t="s">
        <v>475</v>
      </c>
      <c r="B14" s="260"/>
      <c r="C14" s="328" t="s">
        <v>2963</v>
      </c>
      <c r="D14" s="260"/>
      <c r="E14" s="328" t="s">
        <v>477</v>
      </c>
      <c r="F14" s="328"/>
      <c r="G14" s="328" t="s">
        <v>2977</v>
      </c>
      <c r="H14" s="328"/>
      <c r="I14" s="328" t="s">
        <v>972</v>
      </c>
      <c r="J14" s="328"/>
      <c r="K14" s="328" t="s">
        <v>2964</v>
      </c>
      <c r="L14" s="328"/>
      <c r="M14" s="328" t="s">
        <v>2964</v>
      </c>
      <c r="N14" s="260"/>
      <c r="O14" s="2232"/>
      <c r="Q14" s="33"/>
      <c r="R14" s="33"/>
    </row>
    <row r="15" spans="1:18">
      <c r="A15" s="345"/>
      <c r="B15" s="345"/>
      <c r="C15" s="345"/>
      <c r="D15" s="345"/>
      <c r="E15" s="345"/>
      <c r="F15" s="345"/>
      <c r="G15" s="328"/>
      <c r="H15" s="94"/>
      <c r="I15" s="94"/>
      <c r="J15" s="328"/>
      <c r="K15" s="345"/>
      <c r="L15" s="345"/>
      <c r="M15" s="345"/>
      <c r="N15" s="260"/>
      <c r="O15" s="260"/>
      <c r="Q15" s="201"/>
      <c r="R15" s="201"/>
    </row>
    <row r="16" spans="1:18">
      <c r="A16" s="2179"/>
      <c r="B16" s="2179"/>
      <c r="C16" s="2179"/>
      <c r="D16" s="2179"/>
      <c r="E16" s="2179"/>
      <c r="F16" s="2179"/>
      <c r="G16" s="2179"/>
      <c r="H16" s="2179"/>
      <c r="I16" s="2179"/>
      <c r="J16" s="2179"/>
      <c r="K16" s="2179"/>
      <c r="L16" s="2179"/>
      <c r="M16" s="2179"/>
      <c r="N16" s="260"/>
      <c r="O16" s="260"/>
    </row>
    <row r="17" spans="1:18" ht="15">
      <c r="A17" s="328">
        <v>1</v>
      </c>
      <c r="B17" s="260"/>
      <c r="C17" s="260" t="s">
        <v>2965</v>
      </c>
      <c r="D17" s="260"/>
      <c r="E17" s="328"/>
      <c r="F17" s="328"/>
      <c r="G17" s="2233">
        <v>1155393756</v>
      </c>
      <c r="H17" s="329"/>
      <c r="I17" s="330">
        <f>1-I18-I19</f>
        <v>0.52727999999999997</v>
      </c>
      <c r="J17" s="331"/>
      <c r="K17" s="332">
        <f>'SCH_J1 - Base'!K16</f>
        <v>0.1085</v>
      </c>
      <c r="L17" s="333"/>
      <c r="M17" s="330">
        <f>ROUND((I17*K17),5)</f>
        <v>5.7209999999999997E-2</v>
      </c>
      <c r="N17" s="260"/>
      <c r="O17" s="2234"/>
      <c r="Q17" s="2235"/>
      <c r="R17" s="330"/>
    </row>
    <row r="18" spans="1:18">
      <c r="A18" s="328">
        <f t="shared" ref="A18:A34" si="0">1+A17</f>
        <v>2</v>
      </c>
      <c r="B18" s="260"/>
      <c r="C18" s="260" t="s">
        <v>2966</v>
      </c>
      <c r="D18" s="260"/>
      <c r="E18" s="328" t="s">
        <v>2967</v>
      </c>
      <c r="F18" s="328"/>
      <c r="G18" s="1360">
        <f>'SCH_J3 - Forecast'!L52</f>
        <v>930883285.61461544</v>
      </c>
      <c r="H18" s="329"/>
      <c r="I18" s="330">
        <f>ROUND(G18/$G$21,5)</f>
        <v>0.42482999999999999</v>
      </c>
      <c r="J18" s="331"/>
      <c r="K18" s="332">
        <f>'SCH_J3 - Forecast'!M55</f>
        <v>4.929E-2</v>
      </c>
      <c r="L18" s="333"/>
      <c r="M18" s="330">
        <f>ROUND((I18*K18),5)</f>
        <v>2.094E-2</v>
      </c>
      <c r="N18" s="260"/>
      <c r="O18" s="260"/>
      <c r="Q18" s="2235"/>
      <c r="R18" s="330"/>
    </row>
    <row r="19" spans="1:18">
      <c r="A19" s="328">
        <f t="shared" si="0"/>
        <v>3</v>
      </c>
      <c r="B19" s="260"/>
      <c r="C19" s="260" t="s">
        <v>2968</v>
      </c>
      <c r="D19" s="260"/>
      <c r="E19" s="334" t="s">
        <v>2969</v>
      </c>
      <c r="F19" s="335"/>
      <c r="G19" s="1361">
        <f>'SCH_J2 - Forecast'!I26</f>
        <v>104930903</v>
      </c>
      <c r="H19" s="260"/>
      <c r="I19" s="336">
        <f>ROUND(G19/$G$21,5)</f>
        <v>4.7890000000000002E-2</v>
      </c>
      <c r="J19" s="337"/>
      <c r="K19" s="332">
        <f>'SCH_J2 - Forecast'!J28</f>
        <v>3.1969999999999998E-2</v>
      </c>
      <c r="L19" s="333"/>
      <c r="M19" s="336">
        <f>ROUND((I19*K19),5)</f>
        <v>1.5299999999999999E-3</v>
      </c>
      <c r="N19" s="260"/>
      <c r="O19" s="260"/>
      <c r="Q19" s="2235"/>
      <c r="R19" s="330"/>
    </row>
    <row r="20" spans="1:18">
      <c r="A20" s="328">
        <f t="shared" si="0"/>
        <v>4</v>
      </c>
      <c r="B20" s="260"/>
      <c r="C20" s="260"/>
      <c r="D20" s="260"/>
      <c r="E20" s="260"/>
      <c r="F20" s="260"/>
      <c r="G20" s="1362"/>
      <c r="H20" s="260"/>
      <c r="I20" s="330"/>
      <c r="J20" s="260"/>
      <c r="K20" s="330"/>
      <c r="L20" s="330"/>
      <c r="M20" s="330"/>
      <c r="N20" s="260"/>
      <c r="O20" s="260"/>
      <c r="R20" s="330"/>
    </row>
    <row r="21" spans="1:18">
      <c r="A21" s="328">
        <f t="shared" si="0"/>
        <v>5</v>
      </c>
      <c r="B21" s="260"/>
      <c r="C21" s="260" t="s">
        <v>2970</v>
      </c>
      <c r="D21" s="260"/>
      <c r="E21" s="260"/>
      <c r="F21" s="260"/>
      <c r="G21" s="1366">
        <f>SUM(G17:G19)</f>
        <v>2191207944.6146154</v>
      </c>
      <c r="H21" s="335"/>
      <c r="I21" s="338">
        <f>SUM(I17:I19)</f>
        <v>1</v>
      </c>
      <c r="J21" s="331"/>
      <c r="K21" s="330"/>
      <c r="L21" s="330"/>
      <c r="M21" s="338">
        <f>SUM(M17:M20)</f>
        <v>7.9680000000000001E-2</v>
      </c>
      <c r="N21" s="260"/>
      <c r="O21" s="260"/>
      <c r="R21" s="338"/>
    </row>
    <row r="22" spans="1:18">
      <c r="A22" s="328">
        <f t="shared" si="0"/>
        <v>6</v>
      </c>
      <c r="B22" s="260"/>
      <c r="C22" s="260"/>
      <c r="D22" s="260"/>
      <c r="E22" s="335"/>
      <c r="F22" s="335"/>
      <c r="G22" s="2236"/>
      <c r="H22" s="339"/>
      <c r="I22" s="2237"/>
      <c r="J22" s="341"/>
      <c r="K22" s="342"/>
      <c r="L22" s="342"/>
      <c r="M22" s="341"/>
      <c r="N22" s="260"/>
      <c r="O22" s="260"/>
    </row>
    <row r="23" spans="1:18">
      <c r="A23" s="328">
        <f t="shared" si="0"/>
        <v>7</v>
      </c>
      <c r="B23" s="260"/>
      <c r="C23" s="260"/>
      <c r="D23" s="260"/>
      <c r="E23" s="335"/>
      <c r="F23" s="335"/>
      <c r="G23" s="1363"/>
      <c r="H23" s="339"/>
      <c r="I23" s="2238"/>
      <c r="J23" s="341"/>
      <c r="K23" s="342"/>
      <c r="L23" s="342"/>
      <c r="M23" s="341"/>
      <c r="N23" s="260"/>
      <c r="O23" s="260"/>
    </row>
    <row r="24" spans="1:18">
      <c r="A24" s="328">
        <f t="shared" si="0"/>
        <v>8</v>
      </c>
      <c r="B24" s="260"/>
      <c r="C24" s="260" t="s">
        <v>2971</v>
      </c>
      <c r="D24" s="260"/>
      <c r="E24" s="335"/>
      <c r="F24" s="335"/>
      <c r="G24" s="1363"/>
      <c r="H24" s="339"/>
      <c r="I24" s="343"/>
      <c r="J24" s="343"/>
      <c r="K24" s="342"/>
      <c r="L24" s="342"/>
      <c r="M24" s="342"/>
      <c r="N24" s="260"/>
      <c r="O24" s="260"/>
    </row>
    <row r="25" spans="1:18">
      <c r="A25" s="328">
        <f t="shared" si="0"/>
        <v>9</v>
      </c>
      <c r="B25" s="260"/>
      <c r="C25" s="260" t="s">
        <v>2972</v>
      </c>
      <c r="D25" s="260"/>
      <c r="E25" s="334" t="s">
        <v>2973</v>
      </c>
      <c r="F25" s="335"/>
      <c r="G25" s="1367">
        <f>-'WPB-6''s'!T113-'WPB-6''s'!T140-'WPB-6''s'!T174</f>
        <v>5135704</v>
      </c>
      <c r="H25" s="339"/>
      <c r="I25" s="343"/>
      <c r="J25" s="343"/>
      <c r="K25" s="342"/>
      <c r="L25" s="342"/>
      <c r="M25" s="342"/>
      <c r="N25" s="260"/>
      <c r="O25" s="260"/>
    </row>
    <row r="26" spans="1:18">
      <c r="A26" s="328">
        <f t="shared" si="0"/>
        <v>10</v>
      </c>
      <c r="B26" s="260"/>
      <c r="C26" s="260"/>
      <c r="D26" s="260"/>
      <c r="E26" s="260"/>
      <c r="F26" s="260"/>
      <c r="G26" s="1362"/>
      <c r="H26" s="335"/>
      <c r="I26" s="343"/>
      <c r="J26" s="343"/>
      <c r="K26" s="342"/>
      <c r="L26" s="342"/>
      <c r="M26" s="342"/>
      <c r="N26" s="260"/>
      <c r="O26" s="260"/>
    </row>
    <row r="27" spans="1:18">
      <c r="A27" s="328">
        <f t="shared" si="0"/>
        <v>11</v>
      </c>
      <c r="B27" s="260"/>
      <c r="C27" s="260"/>
      <c r="D27" s="260"/>
      <c r="E27" s="260"/>
      <c r="F27" s="260"/>
      <c r="G27" s="1363"/>
      <c r="H27" s="339"/>
      <c r="I27" s="343"/>
      <c r="J27" s="343"/>
      <c r="K27" s="342"/>
      <c r="L27" s="342"/>
      <c r="M27" s="342"/>
      <c r="N27" s="260"/>
      <c r="O27" s="260"/>
    </row>
    <row r="28" spans="1:18">
      <c r="A28" s="328">
        <f t="shared" si="0"/>
        <v>12</v>
      </c>
      <c r="B28" s="260"/>
      <c r="C28" s="344" t="s">
        <v>2974</v>
      </c>
      <c r="D28" s="260"/>
      <c r="E28" s="260"/>
      <c r="F28" s="260"/>
      <c r="G28" s="1362"/>
      <c r="H28" s="335"/>
      <c r="I28" s="343"/>
      <c r="J28" s="343"/>
      <c r="K28" s="342"/>
      <c r="L28" s="342"/>
      <c r="M28" s="342"/>
      <c r="N28" s="260"/>
      <c r="O28" s="260"/>
    </row>
    <row r="29" spans="1:18">
      <c r="A29" s="328">
        <f t="shared" si="0"/>
        <v>13</v>
      </c>
      <c r="B29" s="260"/>
      <c r="C29" s="260"/>
      <c r="D29" s="260"/>
      <c r="E29" s="328"/>
      <c r="F29" s="328"/>
      <c r="G29" s="1364"/>
      <c r="H29" s="329"/>
      <c r="I29" s="343"/>
      <c r="J29" s="343"/>
      <c r="K29" s="342"/>
      <c r="L29" s="342"/>
      <c r="M29" s="342"/>
      <c r="N29" s="260"/>
      <c r="O29" s="260"/>
    </row>
    <row r="30" spans="1:18">
      <c r="A30" s="328">
        <f t="shared" si="0"/>
        <v>14</v>
      </c>
      <c r="B30" s="260"/>
      <c r="C30" s="260" t="s">
        <v>2965</v>
      </c>
      <c r="D30" s="260"/>
      <c r="E30" s="260"/>
      <c r="F30" s="260"/>
      <c r="G30" s="1368">
        <f>ROUND(G17+(I17*G25),0)</f>
        <v>1158101710</v>
      </c>
      <c r="H30" s="339"/>
      <c r="I30" s="330">
        <f>I17</f>
        <v>0.52727999999999997</v>
      </c>
      <c r="J30" s="343"/>
      <c r="K30" s="332">
        <f>K17</f>
        <v>0.1085</v>
      </c>
      <c r="L30" s="330"/>
      <c r="M30" s="330">
        <f>ROUND((I30*K30),5)</f>
        <v>5.7209999999999997E-2</v>
      </c>
      <c r="N30" s="260"/>
      <c r="O30" s="260"/>
    </row>
    <row r="31" spans="1:18">
      <c r="A31" s="328">
        <f t="shared" si="0"/>
        <v>15</v>
      </c>
      <c r="B31" s="260"/>
      <c r="C31" s="260" t="s">
        <v>2966</v>
      </c>
      <c r="D31" s="260"/>
      <c r="E31" s="260"/>
      <c r="F31" s="260"/>
      <c r="G31" s="1363">
        <f>ROUND(G18+(I18*G25),0)</f>
        <v>933065087</v>
      </c>
      <c r="H31" s="335"/>
      <c r="I31" s="330">
        <f>I18</f>
        <v>0.42482999999999999</v>
      </c>
      <c r="J31" s="343"/>
      <c r="K31" s="332">
        <f>K18</f>
        <v>4.929E-2</v>
      </c>
      <c r="L31" s="330"/>
      <c r="M31" s="330">
        <f>ROUND((I31*K31),5)</f>
        <v>2.094E-2</v>
      </c>
      <c r="N31" s="260"/>
      <c r="O31" s="260"/>
    </row>
    <row r="32" spans="1:18">
      <c r="A32" s="328">
        <f t="shared" si="0"/>
        <v>16</v>
      </c>
      <c r="B32" s="260"/>
      <c r="C32" s="260" t="s">
        <v>2968</v>
      </c>
      <c r="D32" s="260"/>
      <c r="E32" s="328"/>
      <c r="F32" s="328"/>
      <c r="G32" s="1365">
        <f>ROUND(G19+(I19*G25),0)</f>
        <v>105176852</v>
      </c>
      <c r="H32" s="329"/>
      <c r="I32" s="336">
        <f>I19</f>
        <v>4.7890000000000002E-2</v>
      </c>
      <c r="J32" s="343"/>
      <c r="K32" s="332">
        <f>K19</f>
        <v>3.1969999999999998E-2</v>
      </c>
      <c r="L32" s="330"/>
      <c r="M32" s="336">
        <f>ROUND((I32*K32),5)</f>
        <v>1.5299999999999999E-3</v>
      </c>
      <c r="N32" s="260"/>
      <c r="O32" s="260"/>
    </row>
    <row r="33" spans="1:15">
      <c r="A33" s="328">
        <f t="shared" si="0"/>
        <v>17</v>
      </c>
      <c r="B33" s="260"/>
      <c r="C33" s="260"/>
      <c r="D33" s="260"/>
      <c r="E33" s="328"/>
      <c r="F33" s="328"/>
      <c r="G33" s="1359"/>
      <c r="H33" s="329"/>
      <c r="I33" s="330"/>
      <c r="J33" s="343"/>
      <c r="K33" s="330"/>
      <c r="L33" s="330"/>
      <c r="M33" s="330"/>
      <c r="N33" s="260"/>
      <c r="O33" s="260"/>
    </row>
    <row r="34" spans="1:15">
      <c r="A34" s="328">
        <f t="shared" si="0"/>
        <v>18</v>
      </c>
      <c r="B34" s="260"/>
      <c r="C34" s="260" t="s">
        <v>2975</v>
      </c>
      <c r="D34" s="260"/>
      <c r="E34" s="260"/>
      <c r="F34" s="260"/>
      <c r="G34" s="1367">
        <f>SUM(G30:G33)</f>
        <v>2196343649</v>
      </c>
      <c r="H34" s="339"/>
      <c r="I34" s="338">
        <f>SUM(I30:I33)</f>
        <v>1</v>
      </c>
      <c r="J34" s="260"/>
      <c r="K34" s="330"/>
      <c r="L34" s="330"/>
      <c r="M34" s="338">
        <f>SUM(M30:M33)</f>
        <v>7.9680000000000001E-2</v>
      </c>
      <c r="N34" s="260"/>
      <c r="O34" s="260"/>
    </row>
    <row r="35" spans="1:15">
      <c r="A35" s="328"/>
      <c r="B35" s="260"/>
      <c r="C35" s="260"/>
      <c r="D35" s="260"/>
      <c r="E35" s="260"/>
      <c r="F35" s="260"/>
      <c r="G35" s="260"/>
      <c r="H35" s="260"/>
      <c r="I35" s="330"/>
      <c r="J35" s="260"/>
      <c r="K35" s="260"/>
      <c r="L35" s="260"/>
      <c r="M35" s="260"/>
      <c r="N35" s="260"/>
      <c r="O35" s="260"/>
    </row>
    <row r="36" spans="1:15">
      <c r="A36" s="260"/>
      <c r="B36" s="260"/>
      <c r="C36" s="260"/>
      <c r="D36" s="339"/>
      <c r="E36" s="260"/>
      <c r="F36" s="260"/>
      <c r="G36" s="260"/>
      <c r="H36" s="260"/>
      <c r="I36" s="260"/>
      <c r="J36" s="260"/>
      <c r="K36" s="260"/>
      <c r="L36" s="260"/>
      <c r="M36" s="260"/>
      <c r="N36" s="260"/>
      <c r="O36" s="260"/>
    </row>
    <row r="37" spans="1:15">
      <c r="A37" s="260"/>
      <c r="B37" s="260"/>
      <c r="C37" s="260"/>
      <c r="D37" s="260"/>
      <c r="E37" s="260"/>
      <c r="F37" s="260"/>
      <c r="G37" s="260"/>
      <c r="H37" s="260"/>
      <c r="I37" s="260"/>
      <c r="J37" s="260"/>
      <c r="K37" s="260"/>
      <c r="L37" s="260"/>
      <c r="M37" s="260"/>
      <c r="N37" s="260"/>
      <c r="O37" s="260"/>
    </row>
    <row r="38" spans="1:15">
      <c r="A38" s="260"/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260"/>
      <c r="N38" s="260"/>
      <c r="O38" s="260"/>
    </row>
    <row r="39" spans="1:15">
      <c r="A39" s="260"/>
      <c r="B39" s="260"/>
      <c r="C39" s="260"/>
      <c r="D39" s="260"/>
      <c r="E39" s="260"/>
      <c r="F39" s="260"/>
      <c r="G39" s="260"/>
      <c r="H39" s="260"/>
      <c r="I39" s="260"/>
      <c r="J39" s="260"/>
      <c r="K39" s="260"/>
      <c r="L39" s="260"/>
      <c r="M39" s="260"/>
      <c r="N39" s="260"/>
      <c r="O39" s="260"/>
    </row>
    <row r="40" spans="1:15">
      <c r="A40" s="260"/>
      <c r="B40" s="260"/>
      <c r="C40" s="260"/>
      <c r="D40" s="260"/>
      <c r="E40" s="260"/>
      <c r="F40" s="260"/>
      <c r="G40" s="260"/>
      <c r="H40" s="260"/>
      <c r="I40" s="260"/>
      <c r="J40" s="260"/>
      <c r="K40" s="260"/>
      <c r="L40" s="260"/>
      <c r="M40" s="260"/>
      <c r="N40" s="260"/>
      <c r="O40" s="260"/>
    </row>
    <row r="41" spans="1:15">
      <c r="A41" s="260"/>
      <c r="B41" s="260"/>
      <c r="C41" s="260"/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</row>
    <row r="42" spans="1:15">
      <c r="A42" s="260"/>
      <c r="B42" s="260"/>
      <c r="C42" s="260"/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</row>
    <row r="43" spans="1:15">
      <c r="A43" s="260"/>
      <c r="B43" s="260"/>
      <c r="C43" s="260"/>
      <c r="D43" s="260"/>
      <c r="E43" s="260"/>
      <c r="F43" s="260"/>
      <c r="G43" s="260"/>
      <c r="H43" s="260"/>
      <c r="I43" s="260"/>
      <c r="J43" s="260"/>
      <c r="K43" s="260"/>
      <c r="L43" s="260"/>
      <c r="M43" s="260"/>
      <c r="N43" s="260"/>
      <c r="O43" s="260"/>
    </row>
    <row r="44" spans="1:15">
      <c r="A44" s="260"/>
      <c r="B44" s="260"/>
      <c r="C44" s="260"/>
      <c r="D44" s="260"/>
      <c r="E44" s="260"/>
      <c r="F44" s="260"/>
      <c r="G44" s="260"/>
      <c r="H44" s="260"/>
      <c r="I44" s="260"/>
      <c r="J44" s="260"/>
      <c r="K44" s="260"/>
      <c r="L44" s="260"/>
      <c r="M44" s="260"/>
      <c r="N44" s="260"/>
      <c r="O44" s="260"/>
    </row>
    <row r="45" spans="1:15">
      <c r="A45" s="260"/>
      <c r="B45" s="260"/>
      <c r="C45" s="260"/>
      <c r="D45" s="260"/>
      <c r="E45" s="260"/>
      <c r="F45" s="260"/>
      <c r="G45" s="260"/>
      <c r="H45" s="260"/>
      <c r="I45" s="260"/>
      <c r="J45" s="260"/>
      <c r="K45" s="260"/>
      <c r="L45" s="260"/>
      <c r="M45" s="260"/>
      <c r="N45" s="260"/>
      <c r="O45" s="260"/>
    </row>
    <row r="46" spans="1:15">
      <c r="A46" s="260"/>
      <c r="B46" s="260"/>
      <c r="C46" s="260"/>
      <c r="D46" s="260"/>
      <c r="E46" s="260"/>
      <c r="F46" s="260"/>
      <c r="G46" s="260"/>
      <c r="H46" s="260"/>
      <c r="I46" s="260"/>
      <c r="J46" s="260"/>
      <c r="K46" s="260"/>
      <c r="L46" s="260"/>
      <c r="M46" s="260"/>
      <c r="N46" s="260"/>
      <c r="O46" s="260"/>
    </row>
    <row r="47" spans="1:15">
      <c r="A47" s="260"/>
      <c r="B47" s="260"/>
      <c r="C47" s="260"/>
      <c r="D47" s="260"/>
      <c r="E47" s="260"/>
      <c r="F47" s="260"/>
      <c r="G47" s="260"/>
      <c r="H47" s="260"/>
      <c r="I47" s="260"/>
      <c r="J47" s="260"/>
      <c r="K47" s="260"/>
      <c r="L47" s="260"/>
      <c r="M47" s="260"/>
      <c r="N47" s="260"/>
      <c r="O47" s="260"/>
    </row>
    <row r="48" spans="1:15">
      <c r="A48" s="260"/>
      <c r="B48" s="260"/>
      <c r="C48" s="260"/>
      <c r="D48" s="260"/>
      <c r="E48" s="260"/>
      <c r="F48" s="260"/>
      <c r="G48" s="260"/>
      <c r="H48" s="260"/>
      <c r="I48" s="260"/>
      <c r="J48" s="260"/>
      <c r="K48" s="260"/>
      <c r="L48" s="260"/>
      <c r="M48" s="260"/>
      <c r="N48" s="260"/>
      <c r="O48" s="260"/>
    </row>
    <row r="49" spans="1:15">
      <c r="A49" s="260"/>
      <c r="B49" s="260"/>
      <c r="C49" s="260"/>
      <c r="D49" s="260"/>
      <c r="E49" s="260"/>
      <c r="F49" s="260"/>
      <c r="G49" s="260"/>
      <c r="H49" s="260"/>
      <c r="I49" s="260"/>
      <c r="J49" s="260"/>
      <c r="K49" s="260"/>
      <c r="L49" s="260"/>
      <c r="M49" s="260"/>
      <c r="N49" s="260"/>
      <c r="O49" s="260"/>
    </row>
  </sheetData>
  <phoneticPr fontId="19" type="noConversion"/>
  <pageMargins left="1" right="0.75" top="0.98425196850393704" bottom="0" header="0" footer="0"/>
  <pageSetup scale="72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71">
    <tabColor theme="3" tint="-0.249977111117893"/>
    <pageSetUpPr fitToPage="1"/>
  </sheetPr>
  <dimension ref="A1:N45"/>
  <sheetViews>
    <sheetView workbookViewId="0"/>
  </sheetViews>
  <sheetFormatPr defaultColWidth="8" defaultRowHeight="13.2"/>
  <cols>
    <col min="1" max="1" width="6" customWidth="1"/>
    <col min="2" max="2" width="1.44140625" customWidth="1"/>
    <col min="3" max="3" width="43.44140625" customWidth="1"/>
    <col min="4" max="4" width="15.44140625" customWidth="1"/>
    <col min="5" max="5" width="11.44140625" customWidth="1"/>
    <col min="6" max="7" width="13.44140625" customWidth="1"/>
    <col min="8" max="8" width="16.44140625" customWidth="1"/>
    <col min="9" max="9" width="15.5546875" customWidth="1"/>
    <col min="10" max="10" width="14.44140625" customWidth="1"/>
  </cols>
  <sheetData>
    <row r="1" spans="1:14">
      <c r="A1" s="125" t="str">
        <f>COMPANY</f>
        <v>DUKE ENERGY KENTUCKY, INC.</v>
      </c>
      <c r="B1" s="125"/>
      <c r="C1" s="125"/>
      <c r="D1" s="125"/>
      <c r="E1" s="125"/>
      <c r="F1" s="125"/>
      <c r="G1" s="125"/>
      <c r="H1" s="125"/>
      <c r="I1" s="125"/>
      <c r="J1" s="125"/>
      <c r="K1" s="94"/>
      <c r="L1" s="94"/>
      <c r="M1" s="94"/>
      <c r="N1" s="94"/>
    </row>
    <row r="2" spans="1:14">
      <c r="A2" s="125" t="str">
        <f>CASE</f>
        <v>CASE NO. 2024-00354</v>
      </c>
      <c r="B2" s="125"/>
      <c r="C2" s="125"/>
      <c r="D2" s="125"/>
      <c r="E2" s="125"/>
      <c r="F2" s="125"/>
      <c r="G2" s="125"/>
      <c r="H2" s="125"/>
      <c r="I2" s="125"/>
      <c r="J2" s="125"/>
      <c r="K2" s="94"/>
      <c r="L2" s="94"/>
      <c r="M2" s="94"/>
      <c r="N2" s="94"/>
    </row>
    <row r="3" spans="1:14">
      <c r="A3" s="125" t="s">
        <v>2978</v>
      </c>
      <c r="B3" s="125"/>
      <c r="C3" s="125"/>
      <c r="D3" s="125"/>
      <c r="E3" s="125"/>
      <c r="F3" s="125"/>
      <c r="G3" s="125"/>
      <c r="H3" s="125"/>
      <c r="I3" s="125"/>
      <c r="J3" s="125"/>
      <c r="K3" s="94"/>
      <c r="L3" s="94"/>
      <c r="M3" s="94"/>
      <c r="N3" s="94"/>
    </row>
    <row r="4" spans="1:14">
      <c r="A4" s="47" t="str">
        <f>"AS OF " &amp;RIGHT(TESTYR,(LEN(TESTYR)-16))</f>
        <v>AS OF FEBRUARY 28, 2025</v>
      </c>
      <c r="B4" s="125"/>
      <c r="C4" s="125"/>
      <c r="D4" s="125"/>
      <c r="E4" s="125"/>
      <c r="F4" s="125"/>
      <c r="G4" s="125"/>
      <c r="H4" s="125"/>
      <c r="I4" s="125"/>
      <c r="J4" s="125"/>
      <c r="K4" s="94"/>
      <c r="L4" s="94"/>
      <c r="M4" s="94"/>
      <c r="N4" s="94"/>
    </row>
    <row r="5" spans="1:14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94"/>
      <c r="L5" s="94"/>
      <c r="M5" s="94"/>
      <c r="N5" s="94"/>
    </row>
    <row r="6" spans="1:14">
      <c r="A6" s="125"/>
      <c r="B6" s="125"/>
      <c r="C6" s="125"/>
      <c r="D6" s="125"/>
      <c r="E6" s="125"/>
      <c r="F6" s="125"/>
      <c r="G6" s="125"/>
      <c r="H6" s="125"/>
      <c r="I6" s="125"/>
      <c r="J6" s="125"/>
      <c r="K6" s="94"/>
      <c r="L6" s="94"/>
      <c r="M6" s="94"/>
      <c r="N6" s="94"/>
    </row>
    <row r="7" spans="1:14">
      <c r="A7" s="259" t="str">
        <f>Data</f>
        <v>DATA: "X" BASE PERIOD   FORECASTED PERIOD</v>
      </c>
      <c r="B7" s="94"/>
      <c r="C7" s="94"/>
      <c r="D7" s="94"/>
      <c r="E7" s="94"/>
      <c r="F7" s="94"/>
      <c r="G7" s="94"/>
      <c r="H7" s="94"/>
      <c r="I7" s="169" t="s">
        <v>2979</v>
      </c>
      <c r="J7" s="169"/>
      <c r="K7" s="94"/>
      <c r="L7" s="94"/>
      <c r="M7" s="94"/>
      <c r="N7" s="94"/>
    </row>
    <row r="8" spans="1:14">
      <c r="A8" s="57" t="s">
        <v>2959</v>
      </c>
      <c r="B8" s="94"/>
      <c r="C8" s="94"/>
      <c r="D8" s="94"/>
      <c r="E8" s="94"/>
      <c r="F8" s="94"/>
      <c r="G8" s="94"/>
      <c r="H8" s="94"/>
      <c r="I8" s="169" t="s">
        <v>571</v>
      </c>
      <c r="J8" s="169"/>
      <c r="K8" s="94"/>
      <c r="L8" s="94"/>
      <c r="M8" s="94"/>
      <c r="N8" s="94"/>
    </row>
    <row r="9" spans="1:14">
      <c r="A9" s="169" t="str">
        <f>Type</f>
        <v xml:space="preserve">TYPE OF FILING:  "X" ORIGINAL   UPDATED    REVISED  </v>
      </c>
      <c r="B9" s="94"/>
      <c r="C9" s="94"/>
      <c r="D9" s="94"/>
      <c r="E9" s="94"/>
      <c r="F9" s="94"/>
      <c r="G9" s="94"/>
      <c r="H9" s="94"/>
      <c r="I9" s="169" t="s">
        <v>468</v>
      </c>
      <c r="J9" s="169"/>
      <c r="K9" s="94"/>
      <c r="L9" s="94"/>
      <c r="M9" s="94"/>
      <c r="N9" s="94"/>
    </row>
    <row r="10" spans="1:14">
      <c r="A10" s="169" t="s">
        <v>723</v>
      </c>
      <c r="B10" s="94"/>
      <c r="C10" s="94"/>
      <c r="D10" s="94"/>
      <c r="E10" s="94"/>
      <c r="F10" s="94"/>
      <c r="G10" s="94"/>
      <c r="H10" s="94"/>
      <c r="I10" s="1895" t="str">
        <f>_WIT4</f>
        <v>T. J. HEATH JR.</v>
      </c>
      <c r="J10" s="169"/>
      <c r="K10" s="94"/>
      <c r="L10" s="94"/>
      <c r="M10" s="94"/>
      <c r="N10" s="94"/>
    </row>
    <row r="11" spans="1:14">
      <c r="A11" s="94"/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</row>
    <row r="12" spans="1:14">
      <c r="A12" s="98"/>
      <c r="B12" s="98"/>
      <c r="C12" s="98"/>
      <c r="D12" s="98"/>
      <c r="E12" s="98"/>
      <c r="F12" s="98"/>
      <c r="G12" s="98"/>
      <c r="H12" s="98"/>
      <c r="I12" s="98"/>
      <c r="J12" s="98"/>
      <c r="K12" s="94"/>
      <c r="L12" s="94"/>
      <c r="M12" s="94"/>
      <c r="N12" s="94"/>
    </row>
    <row r="13" spans="1:14">
      <c r="A13" s="2146"/>
      <c r="B13" s="2146"/>
      <c r="C13" s="2146"/>
      <c r="D13" s="2146"/>
      <c r="E13" s="2146"/>
      <c r="F13" s="2180" t="s">
        <v>1366</v>
      </c>
      <c r="G13" s="2180" t="s">
        <v>1366</v>
      </c>
      <c r="H13" s="2180"/>
      <c r="I13" s="2181"/>
      <c r="J13" s="2181"/>
      <c r="K13" s="94"/>
      <c r="L13" s="94"/>
      <c r="M13" s="94"/>
      <c r="N13" s="94"/>
    </row>
    <row r="14" spans="1:14">
      <c r="B14" s="94"/>
      <c r="F14" s="33" t="s">
        <v>2980</v>
      </c>
      <c r="G14" s="33" t="s">
        <v>2980</v>
      </c>
      <c r="H14" s="126" t="s">
        <v>2981</v>
      </c>
      <c r="I14" s="94"/>
      <c r="J14" s="94"/>
      <c r="K14" s="94"/>
      <c r="L14" s="94"/>
      <c r="M14" s="94"/>
      <c r="N14" s="94"/>
    </row>
    <row r="15" spans="1:14">
      <c r="A15" s="126" t="s">
        <v>471</v>
      </c>
      <c r="B15" s="94"/>
      <c r="C15" s="94"/>
      <c r="D15" s="126" t="s">
        <v>975</v>
      </c>
      <c r="E15" s="126" t="s">
        <v>1798</v>
      </c>
      <c r="F15" s="126" t="s">
        <v>2982</v>
      </c>
      <c r="G15" s="126" t="s">
        <v>2983</v>
      </c>
      <c r="H15" s="126" t="s">
        <v>2984</v>
      </c>
      <c r="I15" s="126" t="s">
        <v>2985</v>
      </c>
      <c r="J15" s="126" t="s">
        <v>1798</v>
      </c>
      <c r="K15" s="94"/>
      <c r="L15" s="94"/>
      <c r="M15" s="94"/>
      <c r="N15" s="94"/>
    </row>
    <row r="16" spans="1:14">
      <c r="A16" s="126" t="s">
        <v>475</v>
      </c>
      <c r="B16" s="94"/>
      <c r="C16" s="126" t="s">
        <v>2986</v>
      </c>
      <c r="D16" s="126" t="s">
        <v>2987</v>
      </c>
      <c r="E16" s="126" t="s">
        <v>1794</v>
      </c>
      <c r="F16" s="126" t="s">
        <v>2988</v>
      </c>
      <c r="G16" s="126" t="s">
        <v>1736</v>
      </c>
      <c r="H16" s="126" t="s">
        <v>2983</v>
      </c>
      <c r="I16" s="126" t="s">
        <v>2989</v>
      </c>
      <c r="J16" s="126" t="s">
        <v>2990</v>
      </c>
      <c r="K16" s="94"/>
      <c r="L16" s="94"/>
      <c r="M16" s="94"/>
      <c r="N16" s="94"/>
    </row>
    <row r="17" spans="1:14">
      <c r="A17" s="98"/>
      <c r="B17" s="98"/>
      <c r="C17" s="126" t="s">
        <v>853</v>
      </c>
      <c r="D17" s="106" t="s">
        <v>1104</v>
      </c>
      <c r="E17" s="815" t="s">
        <v>856</v>
      </c>
      <c r="F17" s="815" t="s">
        <v>857</v>
      </c>
      <c r="G17" s="815" t="s">
        <v>858</v>
      </c>
      <c r="H17" s="126" t="s">
        <v>2610</v>
      </c>
      <c r="I17" s="126" t="s">
        <v>2991</v>
      </c>
      <c r="J17" s="1253" t="s">
        <v>862</v>
      </c>
      <c r="K17" s="94"/>
      <c r="L17" s="94"/>
      <c r="M17" s="94"/>
      <c r="N17" s="94"/>
    </row>
    <row r="18" spans="1:14">
      <c r="A18" s="2146"/>
      <c r="B18" s="2146"/>
      <c r="C18" s="2146"/>
      <c r="D18" s="2180"/>
      <c r="E18" s="2180"/>
      <c r="F18" s="2180"/>
      <c r="G18" s="2180"/>
      <c r="H18" s="2180"/>
      <c r="I18" s="2180"/>
      <c r="J18" s="2180"/>
      <c r="K18" s="94"/>
      <c r="L18" s="94"/>
      <c r="M18" s="94"/>
      <c r="N18" s="94"/>
    </row>
    <row r="19" spans="1:14">
      <c r="A19" s="126">
        <v>1</v>
      </c>
      <c r="B19" s="94"/>
      <c r="C19" s="758" t="s">
        <v>2992</v>
      </c>
      <c r="D19" s="1341"/>
      <c r="E19" s="1255"/>
      <c r="F19" s="1337"/>
      <c r="G19" s="1337"/>
      <c r="H19" s="1342"/>
      <c r="I19" s="1893"/>
      <c r="J19" s="1894"/>
      <c r="K19" s="94"/>
      <c r="L19" s="94"/>
      <c r="M19" s="94"/>
      <c r="N19" s="94"/>
    </row>
    <row r="20" spans="1:14">
      <c r="A20" s="126">
        <f t="shared" ref="A20:A28" si="0">+A19+1</f>
        <v>2</v>
      </c>
      <c r="B20" s="94"/>
      <c r="C20" s="1257" t="s">
        <v>2993</v>
      </c>
      <c r="D20" s="1339">
        <v>0</v>
      </c>
      <c r="E20" s="1255">
        <v>3.7999999999999999E-2</v>
      </c>
      <c r="F20" s="1334">
        <v>0</v>
      </c>
      <c r="G20" s="1334">
        <v>0</v>
      </c>
      <c r="H20" s="1334">
        <v>0</v>
      </c>
      <c r="I20" s="1650">
        <f>D20+F20-G20-H20</f>
        <v>0</v>
      </c>
      <c r="J20" s="1651">
        <f>ROUND(D20*E20,0)</f>
        <v>0</v>
      </c>
      <c r="K20" s="94"/>
      <c r="L20" s="94"/>
      <c r="M20" s="94"/>
      <c r="N20" s="94"/>
    </row>
    <row r="21" spans="1:14">
      <c r="A21" s="126">
        <f t="shared" si="0"/>
        <v>3</v>
      </c>
      <c r="B21" s="94"/>
      <c r="C21" s="169"/>
      <c r="D21" s="1339"/>
      <c r="E21" s="1255"/>
      <c r="F21" s="1334"/>
      <c r="G21" s="1334"/>
      <c r="H21" s="1340"/>
      <c r="I21" s="1650"/>
      <c r="J21" s="1651"/>
      <c r="K21" s="94"/>
      <c r="L21" s="94"/>
      <c r="M21" s="94"/>
      <c r="N21" s="94"/>
    </row>
    <row r="22" spans="1:14">
      <c r="A22" s="126">
        <f t="shared" si="0"/>
        <v>4</v>
      </c>
      <c r="B22" s="94"/>
      <c r="C22" s="758" t="s">
        <v>2994</v>
      </c>
      <c r="D22" s="1339"/>
      <c r="E22" s="1255"/>
      <c r="F22" s="1340"/>
      <c r="G22" s="1340"/>
      <c r="H22" s="1339"/>
      <c r="I22" s="1650"/>
      <c r="J22" s="1651"/>
      <c r="K22" s="94"/>
      <c r="L22" s="94"/>
      <c r="M22" s="94"/>
      <c r="N22" s="94"/>
    </row>
    <row r="23" spans="1:14">
      <c r="A23" s="126">
        <f t="shared" si="0"/>
        <v>5</v>
      </c>
      <c r="B23" s="94"/>
      <c r="C23" s="1258" t="s">
        <v>2995</v>
      </c>
      <c r="D23" s="1339">
        <v>45000000</v>
      </c>
      <c r="E23" s="1255">
        <v>3.4200000000000001E-2</v>
      </c>
      <c r="F23" s="1340"/>
      <c r="G23" s="1340">
        <v>20769</v>
      </c>
      <c r="H23" s="1339"/>
      <c r="I23" s="1650">
        <f>D23+F23-G23-H23</f>
        <v>44979231</v>
      </c>
      <c r="J23" s="1651">
        <f>1539000+23811</f>
        <v>1562811</v>
      </c>
      <c r="K23" s="94"/>
      <c r="L23" s="94"/>
      <c r="M23" s="94"/>
      <c r="N23" s="94"/>
    </row>
    <row r="24" spans="1:14">
      <c r="A24" s="126">
        <f t="shared" si="0"/>
        <v>6</v>
      </c>
      <c r="B24" s="94"/>
      <c r="C24" s="1258" t="s">
        <v>2996</v>
      </c>
      <c r="D24" s="1623">
        <v>95000000</v>
      </c>
      <c r="E24" s="1255">
        <v>3.2300000000000002E-2</v>
      </c>
      <c r="F24" s="1654"/>
      <c r="G24" s="1654">
        <v>40262</v>
      </c>
      <c r="H24" s="1623"/>
      <c r="I24" s="1653">
        <f>D24+F24-G24-H24</f>
        <v>94959738</v>
      </c>
      <c r="J24" s="1655">
        <f>3068500+69021</f>
        <v>3137521</v>
      </c>
      <c r="K24" s="94"/>
      <c r="L24" s="94"/>
      <c r="M24" s="94"/>
      <c r="N24" s="94"/>
    </row>
    <row r="25" spans="1:14">
      <c r="A25" s="126">
        <f t="shared" si="0"/>
        <v>7</v>
      </c>
      <c r="B25" s="94"/>
      <c r="C25" s="1257"/>
      <c r="D25" s="1254"/>
      <c r="E25" s="1892"/>
      <c r="F25" s="1892"/>
      <c r="G25" s="1892"/>
      <c r="H25" s="1892"/>
      <c r="I25" s="1256"/>
      <c r="J25" s="1256"/>
      <c r="K25" s="94"/>
      <c r="L25" s="94"/>
      <c r="M25" s="94"/>
      <c r="N25" s="94"/>
    </row>
    <row r="26" spans="1:14" ht="13.8" thickBot="1">
      <c r="A26" s="126">
        <f t="shared" si="0"/>
        <v>8</v>
      </c>
      <c r="B26" s="94"/>
      <c r="C26" s="1257" t="s">
        <v>2997</v>
      </c>
      <c r="D26" s="1972">
        <f>SUM(D19:D25)</f>
        <v>140000000</v>
      </c>
      <c r="E26" s="1894"/>
      <c r="F26" s="1972">
        <f>SUM(F19:F25)</f>
        <v>0</v>
      </c>
      <c r="G26" s="1972">
        <f>SUM(G19:G25)</f>
        <v>61031</v>
      </c>
      <c r="H26" s="1972">
        <f>SUM(H19:H25)</f>
        <v>0</v>
      </c>
      <c r="I26" s="1972">
        <f>SUM(I19:I25)</f>
        <v>139938969</v>
      </c>
      <c r="J26" s="1972">
        <f>SUM(J19:J25)</f>
        <v>4700332</v>
      </c>
      <c r="K26" s="94"/>
      <c r="L26" s="94"/>
      <c r="M26" s="94"/>
      <c r="N26" s="94"/>
    </row>
    <row r="27" spans="1:14" ht="13.8" thickTop="1">
      <c r="A27" s="126">
        <f t="shared" si="0"/>
        <v>9</v>
      </c>
      <c r="B27" s="94"/>
      <c r="C27" s="1256"/>
      <c r="D27" s="1256"/>
      <c r="E27" s="1256"/>
      <c r="F27" s="1256"/>
      <c r="G27" s="1256"/>
      <c r="H27" s="1256"/>
      <c r="I27" s="1256"/>
      <c r="J27" s="1256"/>
      <c r="K27" s="94"/>
      <c r="L27" s="94"/>
      <c r="M27" s="94"/>
      <c r="N27" s="94"/>
    </row>
    <row r="28" spans="1:14" ht="13.8" thickBot="1">
      <c r="A28" s="1649">
        <f t="shared" si="0"/>
        <v>10</v>
      </c>
      <c r="B28" s="1256"/>
      <c r="C28" s="1257" t="s">
        <v>2998</v>
      </c>
      <c r="D28" s="1256"/>
      <c r="E28" s="1256"/>
      <c r="F28" s="1256"/>
      <c r="G28" s="1256"/>
      <c r="H28" s="1256"/>
      <c r="I28" s="1256"/>
      <c r="J28" s="1973">
        <f>ROUND(J26/I26,5)</f>
        <v>3.3590000000000002E-2</v>
      </c>
      <c r="K28" s="1256"/>
      <c r="L28" s="1256"/>
      <c r="M28" s="1256"/>
      <c r="N28" s="1256"/>
    </row>
    <row r="29" spans="1:14" ht="13.8" thickTop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</row>
    <row r="30" spans="1:14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</row>
    <row r="31" spans="1:14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</row>
    <row r="32" spans="1:14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</row>
    <row r="33" spans="1:14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</row>
    <row r="34" spans="1:14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</row>
    <row r="35" spans="1:14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</row>
    <row r="36" spans="1:14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</row>
    <row r="37" spans="1:14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</row>
    <row r="38" spans="1:14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</row>
    <row r="39" spans="1:14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</row>
    <row r="40" spans="1:14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</row>
    <row r="41" spans="1:14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</row>
    <row r="42" spans="1:14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</row>
    <row r="43" spans="1:14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</row>
    <row r="44" spans="1:14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</row>
    <row r="45" spans="1:14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</row>
  </sheetData>
  <phoneticPr fontId="19" type="noConversion"/>
  <pageMargins left="1" right="0.75" top="1" bottom="1" header="0.5" footer="0.5"/>
  <pageSetup scale="79" orientation="landscape" horizontalDpi="300" verticalDpi="300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72">
    <tabColor theme="3" tint="-0.249977111117893"/>
    <pageSetUpPr fitToPage="1"/>
  </sheetPr>
  <dimension ref="A1:N40"/>
  <sheetViews>
    <sheetView workbookViewId="0"/>
  </sheetViews>
  <sheetFormatPr defaultColWidth="8" defaultRowHeight="13.2"/>
  <cols>
    <col min="1" max="1" width="6" customWidth="1"/>
    <col min="2" max="2" width="1.44140625" customWidth="1"/>
    <col min="3" max="3" width="42" customWidth="1"/>
    <col min="4" max="4" width="16.44140625" customWidth="1"/>
    <col min="5" max="7" width="13.44140625" customWidth="1"/>
    <col min="8" max="8" width="16.5546875" customWidth="1"/>
    <col min="9" max="9" width="15.5546875" customWidth="1"/>
    <col min="10" max="10" width="16" customWidth="1"/>
  </cols>
  <sheetData>
    <row r="1" spans="1:14">
      <c r="A1" s="125" t="str">
        <f>COMPANY</f>
        <v>DUKE ENERGY KENTUCKY, INC.</v>
      </c>
      <c r="B1" s="125"/>
      <c r="C1" s="125"/>
      <c r="D1" s="125"/>
      <c r="E1" s="125"/>
      <c r="F1" s="125"/>
      <c r="G1" s="125"/>
      <c r="H1" s="125"/>
      <c r="I1" s="125"/>
      <c r="J1" s="125"/>
      <c r="K1" s="94"/>
      <c r="L1" s="94"/>
      <c r="M1" s="94"/>
      <c r="N1" s="94"/>
    </row>
    <row r="2" spans="1:14">
      <c r="A2" s="125" t="str">
        <f>CASE</f>
        <v>CASE NO. 2024-00354</v>
      </c>
      <c r="B2" s="125"/>
      <c r="C2" s="125"/>
      <c r="D2" s="125"/>
      <c r="E2" s="125"/>
      <c r="F2" s="125"/>
      <c r="G2" s="125"/>
      <c r="H2" s="125"/>
      <c r="I2" s="125"/>
      <c r="J2" s="125"/>
      <c r="K2" s="94"/>
      <c r="L2" s="94"/>
      <c r="M2" s="94"/>
      <c r="N2" s="94"/>
    </row>
    <row r="3" spans="1:14">
      <c r="A3" s="125" t="s">
        <v>2978</v>
      </c>
      <c r="B3" s="125"/>
      <c r="C3" s="125"/>
      <c r="D3" s="125"/>
      <c r="E3" s="125"/>
      <c r="F3" s="125"/>
      <c r="G3" s="125"/>
      <c r="H3" s="125"/>
      <c r="I3" s="125"/>
      <c r="J3" s="125"/>
      <c r="K3" s="94"/>
      <c r="L3" s="94"/>
      <c r="M3" s="94"/>
      <c r="N3" s="94"/>
    </row>
    <row r="4" spans="1:14">
      <c r="A4" s="47" t="str">
        <f>"THIRTEEN MONTH AVERAGE BALANCE ENDING "&amp;Testyear</f>
        <v>THIRTEEN MONTH AVERAGE BALANCE ENDING JUNE 30, 2026</v>
      </c>
      <c r="B4" s="125"/>
      <c r="C4" s="125"/>
      <c r="D4" s="125"/>
      <c r="E4" s="125"/>
      <c r="F4" s="125"/>
      <c r="G4" s="125"/>
      <c r="H4" s="125"/>
      <c r="I4" s="125"/>
      <c r="J4" s="125"/>
      <c r="K4" s="94"/>
      <c r="L4" s="94"/>
      <c r="M4" s="94"/>
      <c r="N4" s="94"/>
    </row>
    <row r="5" spans="1:14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94"/>
      <c r="L5" s="94"/>
      <c r="M5" s="94"/>
      <c r="N5" s="94"/>
    </row>
    <row r="6" spans="1:14">
      <c r="A6" s="125"/>
      <c r="B6" s="125"/>
      <c r="C6" s="125"/>
      <c r="D6" s="125"/>
      <c r="E6" s="125"/>
      <c r="F6" s="125"/>
      <c r="G6" s="125"/>
      <c r="H6" s="125"/>
      <c r="I6" s="125"/>
      <c r="J6" s="125"/>
      <c r="K6" s="94"/>
      <c r="L6" s="94"/>
      <c r="M6" s="94"/>
      <c r="N6" s="94"/>
    </row>
    <row r="7" spans="1:14">
      <c r="A7" s="259" t="str">
        <f>DataF</f>
        <v>DATA:  BASE PERIOD  "X" FORECASTED PERIOD</v>
      </c>
      <c r="B7" s="94"/>
      <c r="C7" s="94"/>
      <c r="D7" s="94"/>
      <c r="E7" s="94"/>
      <c r="F7" s="94"/>
      <c r="G7" s="94"/>
      <c r="H7" s="94"/>
      <c r="I7" s="169" t="s">
        <v>2979</v>
      </c>
      <c r="J7" s="169"/>
      <c r="K7" s="94"/>
      <c r="L7" s="94"/>
      <c r="M7" s="94"/>
      <c r="N7" s="94"/>
    </row>
    <row r="8" spans="1:14">
      <c r="A8" s="57" t="s">
        <v>2976</v>
      </c>
      <c r="B8" s="94"/>
      <c r="C8" s="94"/>
      <c r="D8" s="94"/>
      <c r="E8" s="94"/>
      <c r="F8" s="94"/>
      <c r="G8" s="94"/>
      <c r="H8" s="94"/>
      <c r="I8" s="169" t="s">
        <v>590</v>
      </c>
      <c r="J8" s="169"/>
      <c r="K8" s="94"/>
      <c r="L8" s="94"/>
      <c r="M8" s="94"/>
      <c r="N8" s="94"/>
    </row>
    <row r="9" spans="1:14">
      <c r="A9" s="169" t="str">
        <f>Type</f>
        <v xml:space="preserve">TYPE OF FILING:  "X" ORIGINAL   UPDATED    REVISED  </v>
      </c>
      <c r="B9" s="94"/>
      <c r="C9" s="94"/>
      <c r="D9" s="94"/>
      <c r="E9" s="94"/>
      <c r="F9" s="94"/>
      <c r="G9" s="94"/>
      <c r="H9" s="94"/>
      <c r="I9" s="169" t="s">
        <v>468</v>
      </c>
      <c r="J9" s="169"/>
      <c r="K9" s="94"/>
      <c r="L9" s="94"/>
      <c r="M9" s="94"/>
      <c r="N9" s="94"/>
    </row>
    <row r="10" spans="1:14">
      <c r="A10" s="169" t="s">
        <v>723</v>
      </c>
      <c r="B10" s="94"/>
      <c r="C10" s="94"/>
      <c r="D10" s="94"/>
      <c r="E10" s="94"/>
      <c r="F10" s="94"/>
      <c r="G10" s="94"/>
      <c r="H10" s="94"/>
      <c r="I10" s="1895" t="str">
        <f>_WIT4</f>
        <v>T. J. HEATH JR.</v>
      </c>
      <c r="J10" s="169"/>
      <c r="K10" s="94"/>
      <c r="L10" s="94"/>
      <c r="M10" s="94"/>
      <c r="N10" s="94"/>
    </row>
    <row r="11" spans="1:14">
      <c r="A11" s="94"/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</row>
    <row r="12" spans="1:14">
      <c r="A12" s="98"/>
      <c r="B12" s="98"/>
      <c r="C12" s="98"/>
      <c r="D12" s="98"/>
      <c r="E12" s="98"/>
      <c r="F12" s="98"/>
      <c r="G12" s="98"/>
      <c r="H12" s="98"/>
      <c r="I12" s="98"/>
      <c r="J12" s="98"/>
      <c r="K12" s="94"/>
      <c r="L12" s="94"/>
      <c r="M12" s="94"/>
      <c r="N12" s="94"/>
    </row>
    <row r="13" spans="1:14">
      <c r="A13" s="2146"/>
      <c r="B13" s="2146"/>
      <c r="C13" s="2146"/>
      <c r="D13" s="2146"/>
      <c r="E13" s="2146"/>
      <c r="F13" s="2180" t="s">
        <v>1366</v>
      </c>
      <c r="G13" s="2180" t="s">
        <v>1366</v>
      </c>
      <c r="H13" s="2180"/>
      <c r="I13" s="2180"/>
      <c r="J13" s="2146"/>
      <c r="K13" s="94"/>
      <c r="L13" s="94"/>
      <c r="M13" s="94"/>
      <c r="N13" s="94"/>
    </row>
    <row r="14" spans="1:14">
      <c r="F14" s="33" t="s">
        <v>2980</v>
      </c>
      <c r="G14" s="33" t="s">
        <v>2980</v>
      </c>
      <c r="H14" s="126" t="s">
        <v>2981</v>
      </c>
      <c r="I14" s="94"/>
      <c r="J14" s="94"/>
      <c r="K14" s="94"/>
      <c r="L14" s="94"/>
      <c r="M14" s="94"/>
      <c r="N14" s="94"/>
    </row>
    <row r="15" spans="1:14">
      <c r="A15" s="126" t="s">
        <v>471</v>
      </c>
      <c r="B15" s="94"/>
      <c r="C15" s="94"/>
      <c r="D15" s="126" t="s">
        <v>975</v>
      </c>
      <c r="E15" s="126" t="s">
        <v>1798</v>
      </c>
      <c r="F15" s="126" t="s">
        <v>2982</v>
      </c>
      <c r="G15" s="126" t="s">
        <v>2983</v>
      </c>
      <c r="H15" s="126" t="s">
        <v>2984</v>
      </c>
      <c r="I15" s="126" t="s">
        <v>2985</v>
      </c>
      <c r="J15" s="126" t="s">
        <v>1798</v>
      </c>
      <c r="K15" s="94"/>
      <c r="L15" s="94"/>
      <c r="M15" s="94"/>
      <c r="N15" s="94"/>
    </row>
    <row r="16" spans="1:14">
      <c r="A16" s="126" t="s">
        <v>475</v>
      </c>
      <c r="B16" s="94"/>
      <c r="C16" s="126" t="s">
        <v>2986</v>
      </c>
      <c r="D16" s="126" t="s">
        <v>2987</v>
      </c>
      <c r="E16" s="126" t="s">
        <v>1794</v>
      </c>
      <c r="F16" s="126" t="s">
        <v>2988</v>
      </c>
      <c r="G16" s="126" t="s">
        <v>1736</v>
      </c>
      <c r="H16" s="126" t="s">
        <v>2983</v>
      </c>
      <c r="I16" s="126" t="s">
        <v>2989</v>
      </c>
      <c r="J16" s="126" t="s">
        <v>2990</v>
      </c>
      <c r="K16" s="94"/>
      <c r="L16" s="94"/>
      <c r="M16" s="94"/>
      <c r="N16" s="94"/>
    </row>
    <row r="17" spans="1:14">
      <c r="A17" s="94"/>
      <c r="B17" s="94"/>
      <c r="C17" s="126" t="s">
        <v>853</v>
      </c>
      <c r="D17" s="106" t="s">
        <v>1104</v>
      </c>
      <c r="E17" s="815" t="s">
        <v>856</v>
      </c>
      <c r="F17" s="815" t="s">
        <v>857</v>
      </c>
      <c r="G17" s="815" t="s">
        <v>858</v>
      </c>
      <c r="H17" s="126" t="s">
        <v>2610</v>
      </c>
      <c r="I17" s="126" t="s">
        <v>2991</v>
      </c>
      <c r="J17" s="1253" t="s">
        <v>862</v>
      </c>
      <c r="K17" s="94"/>
      <c r="L17" s="94"/>
      <c r="M17" s="94"/>
      <c r="N17" s="94"/>
    </row>
    <row r="18" spans="1:14">
      <c r="A18" s="2146"/>
      <c r="B18" s="2146"/>
      <c r="C18" s="2146"/>
      <c r="D18" s="2180"/>
      <c r="E18" s="2180"/>
      <c r="F18" s="2180"/>
      <c r="G18" s="2180"/>
      <c r="H18" s="2180"/>
      <c r="I18" s="2180"/>
      <c r="J18" s="2180"/>
      <c r="K18" s="94"/>
      <c r="L18" s="94"/>
      <c r="M18" s="94"/>
      <c r="N18" s="94"/>
    </row>
    <row r="19" spans="1:14">
      <c r="A19" s="126">
        <v>1</v>
      </c>
      <c r="B19" s="94"/>
      <c r="C19" s="758" t="s">
        <v>2992</v>
      </c>
      <c r="D19" s="100"/>
      <c r="E19" s="1259"/>
      <c r="F19" s="1260"/>
      <c r="G19" s="1260"/>
      <c r="H19" s="1260"/>
      <c r="I19" s="1294"/>
      <c r="J19" s="1741"/>
      <c r="K19" s="94"/>
      <c r="L19" s="94"/>
      <c r="M19" s="94"/>
      <c r="N19" s="94"/>
    </row>
    <row r="20" spans="1:14">
      <c r="A20" s="126">
        <f t="shared" ref="A20:A28" si="0">+A19+1</f>
        <v>2</v>
      </c>
      <c r="B20" s="94"/>
      <c r="C20" s="1257" t="s">
        <v>2993</v>
      </c>
      <c r="D20" s="1261">
        <v>51475724</v>
      </c>
      <c r="E20" s="1259">
        <v>3.0179999999999998E-2</v>
      </c>
      <c r="F20" s="1334">
        <v>0</v>
      </c>
      <c r="G20" s="1334">
        <v>0</v>
      </c>
      <c r="H20" s="1334">
        <v>0</v>
      </c>
      <c r="I20" s="1650">
        <f>D20+F20-G20-H20</f>
        <v>51475724</v>
      </c>
      <c r="J20" s="1261">
        <v>1548229</v>
      </c>
      <c r="K20" s="94"/>
      <c r="L20" s="94"/>
      <c r="M20" s="94"/>
      <c r="N20" s="94"/>
    </row>
    <row r="21" spans="1:14">
      <c r="A21" s="126">
        <f t="shared" si="0"/>
        <v>3</v>
      </c>
      <c r="B21" s="94"/>
      <c r="C21" s="1257"/>
      <c r="D21" s="1338"/>
      <c r="E21" s="1892"/>
      <c r="F21" s="1338"/>
      <c r="G21" s="1338"/>
      <c r="H21" s="1338"/>
      <c r="I21" s="1650"/>
      <c r="J21" s="1651"/>
      <c r="K21" s="94"/>
      <c r="L21" s="94"/>
      <c r="M21" s="94"/>
      <c r="N21" s="94"/>
    </row>
    <row r="22" spans="1:14">
      <c r="A22" s="126">
        <f t="shared" si="0"/>
        <v>4</v>
      </c>
      <c r="B22" s="94"/>
      <c r="C22" s="758" t="s">
        <v>2994</v>
      </c>
      <c r="D22" s="1338"/>
      <c r="E22" s="1892"/>
      <c r="F22" s="1338"/>
      <c r="G22" s="1338"/>
      <c r="H22" s="1338"/>
      <c r="I22" s="1650"/>
      <c r="J22" s="1651"/>
      <c r="K22" s="94"/>
      <c r="L22" s="94"/>
      <c r="M22" s="94"/>
      <c r="N22" s="94"/>
    </row>
    <row r="23" spans="1:14">
      <c r="A23" s="126">
        <f t="shared" si="0"/>
        <v>5</v>
      </c>
      <c r="B23" s="94"/>
      <c r="C23" s="1258" t="s">
        <v>2995</v>
      </c>
      <c r="D23" s="1261">
        <v>24230769</v>
      </c>
      <c r="E23" s="1255">
        <v>3.4200000000000001E-2</v>
      </c>
      <c r="F23" s="1338"/>
      <c r="G23" s="1261">
        <v>3704</v>
      </c>
      <c r="H23" s="1261">
        <v>0</v>
      </c>
      <c r="I23" s="1335">
        <f>D23+F23-G23-H23</f>
        <v>24227065</v>
      </c>
      <c r="J23" s="1261">
        <f>828692+12821</f>
        <v>841513</v>
      </c>
      <c r="K23" s="94"/>
      <c r="L23" s="94"/>
      <c r="M23" s="94"/>
      <c r="N23" s="94"/>
    </row>
    <row r="24" spans="1:14">
      <c r="A24" s="126">
        <f t="shared" si="0"/>
        <v>6</v>
      </c>
      <c r="B24" s="94"/>
      <c r="C24" s="1258" t="s">
        <v>2996</v>
      </c>
      <c r="D24" s="1652">
        <v>29230769</v>
      </c>
      <c r="E24" s="1255">
        <v>3.2300000000000002E-2</v>
      </c>
      <c r="F24" s="1261">
        <v>0</v>
      </c>
      <c r="G24" s="1261">
        <v>2655</v>
      </c>
      <c r="H24" s="1261">
        <v>0</v>
      </c>
      <c r="I24" s="1650">
        <f>D24+F24-G24-H24</f>
        <v>29228114</v>
      </c>
      <c r="J24" s="1261">
        <f>944154+21237</f>
        <v>965391</v>
      </c>
      <c r="K24" s="94"/>
      <c r="L24" s="94"/>
      <c r="M24" s="94"/>
      <c r="N24" s="94"/>
    </row>
    <row r="25" spans="1:14">
      <c r="A25" s="126">
        <f t="shared" si="0"/>
        <v>7</v>
      </c>
      <c r="B25" s="94"/>
      <c r="C25" s="1257"/>
      <c r="D25" s="1254"/>
      <c r="E25" s="451"/>
      <c r="F25" s="2182"/>
      <c r="G25" s="2182"/>
      <c r="H25" s="2182"/>
      <c r="I25" s="2182"/>
      <c r="J25" s="2183"/>
      <c r="K25" s="94"/>
      <c r="L25" s="94"/>
      <c r="M25" s="94"/>
      <c r="N25" s="94"/>
    </row>
    <row r="26" spans="1:14" ht="13.8" thickBot="1">
      <c r="A26" s="126">
        <f t="shared" si="0"/>
        <v>8</v>
      </c>
      <c r="B26" s="94"/>
      <c r="C26" s="1257" t="s">
        <v>2997</v>
      </c>
      <c r="D26" s="1972">
        <f>SUM(D19:D24)</f>
        <v>104937262</v>
      </c>
      <c r="E26" s="451"/>
      <c r="F26" s="1972">
        <f>SUM(F19:F24)</f>
        <v>0</v>
      </c>
      <c r="G26" s="1972">
        <f>SUM(G19:G24)</f>
        <v>6359</v>
      </c>
      <c r="H26" s="1972">
        <f>SUM(H19:H24)</f>
        <v>0</v>
      </c>
      <c r="I26" s="1972">
        <f>SUM(I19:I24)</f>
        <v>104930903</v>
      </c>
      <c r="J26" s="1972">
        <f>SUM(J19:J24)</f>
        <v>3355133</v>
      </c>
      <c r="K26" s="94"/>
      <c r="L26" s="94"/>
      <c r="M26" s="94"/>
      <c r="N26" s="94"/>
    </row>
    <row r="27" spans="1:14" ht="13.8" thickTop="1">
      <c r="A27" s="126">
        <f t="shared" si="0"/>
        <v>9</v>
      </c>
      <c r="B27" s="94"/>
      <c r="C27" s="1256"/>
      <c r="D27" s="1256"/>
      <c r="E27" s="1256"/>
      <c r="F27" s="1256"/>
      <c r="G27" s="1256"/>
      <c r="H27" s="1256"/>
      <c r="I27" s="1256"/>
      <c r="J27" s="1256"/>
      <c r="K27" s="94"/>
      <c r="L27" s="94"/>
      <c r="M27" s="94"/>
      <c r="N27" s="94"/>
    </row>
    <row r="28" spans="1:14" ht="13.8" thickBot="1">
      <c r="A28" s="126">
        <f t="shared" si="0"/>
        <v>10</v>
      </c>
      <c r="B28" s="94"/>
      <c r="C28" s="1257" t="s">
        <v>2998</v>
      </c>
      <c r="D28" s="1256"/>
      <c r="E28" s="1256"/>
      <c r="F28" s="1256"/>
      <c r="G28" s="1256"/>
      <c r="H28" s="1256"/>
      <c r="I28" s="1256"/>
      <c r="J28" s="1973">
        <f>ROUND(J26/I26,5)</f>
        <v>3.1969999999999998E-2</v>
      </c>
      <c r="K28" s="94"/>
      <c r="L28" s="94"/>
      <c r="M28" s="94"/>
      <c r="N28" s="94"/>
    </row>
    <row r="29" spans="1:14" ht="13.8" thickTop="1">
      <c r="A29" s="126"/>
      <c r="B29" s="94"/>
      <c r="C29" s="94"/>
      <c r="D29" s="166"/>
      <c r="E29" s="451"/>
      <c r="F29" s="166"/>
      <c r="G29" s="166"/>
      <c r="H29" s="166"/>
      <c r="I29" s="166"/>
      <c r="J29" s="166"/>
      <c r="K29" s="94"/>
      <c r="L29" s="94"/>
      <c r="M29" s="94"/>
      <c r="N29" s="94"/>
    </row>
    <row r="30" spans="1:14">
      <c r="A30" s="126"/>
      <c r="B30" s="94"/>
      <c r="C30" s="1256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</row>
    <row r="31" spans="1:14">
      <c r="A31" s="126"/>
      <c r="B31" s="94"/>
      <c r="C31" s="1256"/>
      <c r="D31" s="94"/>
      <c r="E31" s="94"/>
      <c r="F31" s="94"/>
      <c r="G31" s="94"/>
      <c r="H31" s="94"/>
      <c r="I31" s="94"/>
      <c r="J31" s="658"/>
      <c r="K31" s="94"/>
      <c r="L31" s="94"/>
      <c r="M31" s="94"/>
      <c r="N31" s="94"/>
    </row>
    <row r="32" spans="1:14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</row>
    <row r="33" spans="1:14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</row>
    <row r="34" spans="1:14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</row>
    <row r="35" spans="1:14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</row>
    <row r="36" spans="1:14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</row>
    <row r="37" spans="1:14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</row>
    <row r="38" spans="1:14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</row>
    <row r="39" spans="1:14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</row>
    <row r="40" spans="1:14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</row>
  </sheetData>
  <phoneticPr fontId="19" type="noConversion"/>
  <pageMargins left="1" right="0.75" top="1" bottom="1" header="0.5" footer="0.5"/>
  <pageSetup scale="78" orientation="landscape" horizontalDpi="300" verticalDpi="300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73">
    <tabColor theme="3" tint="-0.249977111117893"/>
    <pageSetUpPr fitToPage="1"/>
  </sheetPr>
  <dimension ref="A1:O70"/>
  <sheetViews>
    <sheetView workbookViewId="0">
      <selection activeCell="B3" sqref="B3"/>
    </sheetView>
  </sheetViews>
  <sheetFormatPr defaultColWidth="8" defaultRowHeight="13.2"/>
  <cols>
    <col min="1" max="1" width="6" customWidth="1"/>
    <col min="2" max="2" width="38" customWidth="1"/>
    <col min="3" max="3" width="19.44140625" customWidth="1"/>
    <col min="4" max="4" width="10.44140625" customWidth="1"/>
    <col min="5" max="6" width="14.44140625" customWidth="1"/>
    <col min="7" max="7" width="15.44140625" customWidth="1"/>
    <col min="8" max="8" width="15.5546875" customWidth="1"/>
    <col min="9" max="9" width="14.44140625" customWidth="1"/>
    <col min="10" max="10" width="13.44140625" customWidth="1"/>
    <col min="11" max="11" width="17.44140625" customWidth="1"/>
    <col min="12" max="12" width="14.5546875" customWidth="1"/>
    <col min="13" max="13" width="15" customWidth="1"/>
    <col min="14" max="14" width="15.5546875" bestFit="1" customWidth="1"/>
  </cols>
  <sheetData>
    <row r="1" spans="1:14">
      <c r="A1" s="125" t="str">
        <f>COMPANY</f>
        <v>DUKE ENERGY KENTUCKY, INC.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69"/>
    </row>
    <row r="2" spans="1:14">
      <c r="A2" s="125" t="str">
        <f>CASE</f>
        <v>CASE NO. 2024-00354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69"/>
    </row>
    <row r="3" spans="1:14">
      <c r="A3" s="125" t="s">
        <v>2999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95"/>
    </row>
    <row r="4" spans="1:14">
      <c r="A4" s="47" t="str">
        <f>"AS OF " &amp;RIGHT(TESTYR,(LEN(TESTYR)-16))</f>
        <v>AS OF FEBRUARY 28, 2025</v>
      </c>
      <c r="B4" s="318"/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95"/>
    </row>
    <row r="5" spans="1:14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69"/>
    </row>
    <row r="6" spans="1:14">
      <c r="A6" s="125"/>
      <c r="B6" s="125"/>
      <c r="C6" s="125"/>
      <c r="D6" s="125"/>
      <c r="E6" s="319"/>
      <c r="F6" s="125"/>
      <c r="G6" s="320"/>
      <c r="H6" s="320"/>
      <c r="I6" s="125"/>
      <c r="J6" s="125"/>
      <c r="K6" s="320"/>
      <c r="L6" s="320"/>
      <c r="M6" s="321"/>
      <c r="N6" s="94"/>
    </row>
    <row r="7" spans="1:14">
      <c r="A7" s="259" t="str">
        <f>Data</f>
        <v>DATA: "X" BASE PERIOD   FORECASTED PERIOD</v>
      </c>
      <c r="B7" s="94"/>
      <c r="C7" s="94"/>
      <c r="D7" s="94"/>
      <c r="E7" s="191"/>
      <c r="F7" s="94"/>
      <c r="G7" s="166"/>
      <c r="H7" s="166"/>
      <c r="I7" s="166"/>
      <c r="J7" s="166"/>
      <c r="K7" s="94"/>
      <c r="L7" s="169" t="s">
        <v>3000</v>
      </c>
      <c r="M7" s="94"/>
      <c r="N7" s="94"/>
    </row>
    <row r="8" spans="1:14">
      <c r="A8" s="57" t="s">
        <v>2959</v>
      </c>
      <c r="B8" s="94"/>
      <c r="C8" s="94"/>
      <c r="D8" s="94"/>
      <c r="E8" s="94"/>
      <c r="F8" s="94"/>
      <c r="G8" s="166"/>
      <c r="H8" s="166"/>
      <c r="I8" s="166"/>
      <c r="J8" s="166"/>
      <c r="K8" s="94"/>
      <c r="L8" s="169" t="s">
        <v>571</v>
      </c>
      <c r="M8" s="94"/>
      <c r="N8" s="94"/>
    </row>
    <row r="9" spans="1:14">
      <c r="A9" s="169" t="str">
        <f>Type</f>
        <v xml:space="preserve">TYPE OF FILING:  "X" ORIGINAL   UPDATED    REVISED  </v>
      </c>
      <c r="B9" s="94"/>
      <c r="C9" s="94"/>
      <c r="D9" s="94"/>
      <c r="E9" s="94"/>
      <c r="F9" s="94"/>
      <c r="G9" s="166"/>
      <c r="H9" s="166"/>
      <c r="I9" s="166"/>
      <c r="J9" s="94"/>
      <c r="K9" s="94"/>
      <c r="L9" s="169" t="s">
        <v>468</v>
      </c>
      <c r="M9" s="94"/>
      <c r="N9" s="191"/>
    </row>
    <row r="10" spans="1:14">
      <c r="A10" s="169" t="s">
        <v>723</v>
      </c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57" t="str">
        <f>_WIT4</f>
        <v>T. J. HEATH JR.</v>
      </c>
      <c r="M10" s="94"/>
      <c r="N10" s="191"/>
    </row>
    <row r="11" spans="1:14">
      <c r="A11" s="98"/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</row>
    <row r="12" spans="1:14">
      <c r="A12" s="2146"/>
      <c r="B12" s="2146"/>
      <c r="C12" s="2146"/>
      <c r="D12" s="2146"/>
      <c r="E12" s="2146"/>
      <c r="F12" s="2146"/>
      <c r="G12" s="2146"/>
      <c r="H12" s="2146"/>
      <c r="I12" s="2146"/>
      <c r="J12" s="2146"/>
      <c r="K12" s="2146"/>
      <c r="L12" s="2146"/>
      <c r="M12" s="2184"/>
      <c r="N12" s="94"/>
    </row>
    <row r="13" spans="1:14">
      <c r="A13" s="94"/>
      <c r="B13" s="125" t="s">
        <v>3001</v>
      </c>
      <c r="C13" s="125"/>
      <c r="D13" s="125"/>
      <c r="E13" s="126" t="s">
        <v>2719</v>
      </c>
      <c r="F13" s="126" t="s">
        <v>3002</v>
      </c>
      <c r="G13" s="94"/>
      <c r="H13" s="126" t="s">
        <v>3003</v>
      </c>
      <c r="I13" s="126" t="s">
        <v>2980</v>
      </c>
      <c r="J13" s="126" t="s">
        <v>2980</v>
      </c>
      <c r="K13" s="126" t="s">
        <v>2981</v>
      </c>
      <c r="L13" s="94"/>
      <c r="M13" s="126" t="s">
        <v>3004</v>
      </c>
      <c r="N13" s="94"/>
    </row>
    <row r="14" spans="1:14">
      <c r="A14" s="126" t="s">
        <v>471</v>
      </c>
      <c r="B14" s="125" t="s">
        <v>3005</v>
      </c>
      <c r="C14" s="125"/>
      <c r="D14" s="125"/>
      <c r="E14" s="126" t="s">
        <v>3006</v>
      </c>
      <c r="F14" s="126" t="s">
        <v>2719</v>
      </c>
      <c r="G14" s="126" t="s">
        <v>3007</v>
      </c>
      <c r="H14" s="126" t="s">
        <v>975</v>
      </c>
      <c r="I14" s="126" t="s">
        <v>2982</v>
      </c>
      <c r="J14" s="126" t="s">
        <v>2983</v>
      </c>
      <c r="K14" s="126" t="s">
        <v>2984</v>
      </c>
      <c r="L14" s="126" t="s">
        <v>2985</v>
      </c>
      <c r="M14" s="126" t="s">
        <v>1798</v>
      </c>
      <c r="N14" s="94"/>
    </row>
    <row r="15" spans="1:14" ht="15.6">
      <c r="A15" s="126" t="s">
        <v>475</v>
      </c>
      <c r="B15" s="125" t="s">
        <v>1794</v>
      </c>
      <c r="C15" s="125"/>
      <c r="D15" s="125"/>
      <c r="E15" s="126" t="s">
        <v>3008</v>
      </c>
      <c r="F15" s="126" t="s">
        <v>3008</v>
      </c>
      <c r="G15" s="126" t="s">
        <v>975</v>
      </c>
      <c r="H15" s="126" t="s">
        <v>2987</v>
      </c>
      <c r="I15" s="126" t="s">
        <v>2988</v>
      </c>
      <c r="J15" s="126" t="s">
        <v>1736</v>
      </c>
      <c r="K15" s="126" t="s">
        <v>2983</v>
      </c>
      <c r="L15" s="126" t="s">
        <v>2989</v>
      </c>
      <c r="M15" s="126" t="s">
        <v>3009</v>
      </c>
      <c r="N15" s="94"/>
    </row>
    <row r="16" spans="1:14">
      <c r="A16" s="94"/>
      <c r="B16" s="94"/>
      <c r="C16" s="94"/>
      <c r="D16" s="94"/>
      <c r="E16" s="126" t="s">
        <v>853</v>
      </c>
      <c r="F16" s="126" t="s">
        <v>1104</v>
      </c>
      <c r="G16" s="126" t="s">
        <v>856</v>
      </c>
      <c r="H16" s="126" t="s">
        <v>857</v>
      </c>
      <c r="I16" s="126" t="s">
        <v>858</v>
      </c>
      <c r="J16" s="126" t="s">
        <v>859</v>
      </c>
      <c r="K16" s="126" t="s">
        <v>2610</v>
      </c>
      <c r="L16" s="126" t="s">
        <v>2991</v>
      </c>
      <c r="M16" s="126" t="s">
        <v>862</v>
      </c>
      <c r="N16" s="94"/>
    </row>
    <row r="17" spans="1:15">
      <c r="A17" s="2146"/>
      <c r="B17" s="2146"/>
      <c r="C17" s="2180"/>
      <c r="D17" s="2146"/>
      <c r="E17" s="2146"/>
      <c r="F17" s="2146"/>
      <c r="G17" s="2180"/>
      <c r="H17" s="2180"/>
      <c r="I17" s="2180"/>
      <c r="J17" s="2180"/>
      <c r="K17" s="2180"/>
      <c r="L17" s="2180"/>
      <c r="M17" s="2180"/>
      <c r="N17" s="94"/>
    </row>
    <row r="18" spans="1:15">
      <c r="A18" s="126">
        <v>1</v>
      </c>
      <c r="B18" s="766" t="s">
        <v>3010</v>
      </c>
      <c r="C18" s="799"/>
      <c r="D18" s="800"/>
      <c r="E18" s="197"/>
      <c r="F18" s="197"/>
      <c r="G18" s="1343"/>
      <c r="H18" s="1343"/>
      <c r="I18" s="1343"/>
      <c r="J18" s="1343"/>
      <c r="K18" s="1343"/>
      <c r="L18" s="1336"/>
      <c r="M18" s="1336"/>
      <c r="N18" s="94"/>
    </row>
    <row r="19" spans="1:15">
      <c r="A19" s="126">
        <v>2</v>
      </c>
      <c r="B19" s="94" t="s">
        <v>3011</v>
      </c>
      <c r="C19" s="197"/>
      <c r="D19" s="800"/>
      <c r="E19" s="197"/>
      <c r="F19" s="197"/>
      <c r="G19" s="1343"/>
      <c r="H19" s="1343"/>
      <c r="I19" s="1343"/>
      <c r="J19" s="1343"/>
      <c r="K19" s="1354">
        <v>23799</v>
      </c>
      <c r="L19" s="1355">
        <f t="shared" ref="L19:L20" si="0">H19+I19-J19-K19</f>
        <v>-23799</v>
      </c>
      <c r="M19" s="1356">
        <v>63938</v>
      </c>
      <c r="N19" s="94"/>
      <c r="O19" s="1247"/>
    </row>
    <row r="20" spans="1:15">
      <c r="A20" s="126">
        <v>4</v>
      </c>
      <c r="B20" s="94" t="s">
        <v>3012</v>
      </c>
      <c r="C20" s="197"/>
      <c r="D20" s="800"/>
      <c r="E20" s="197"/>
      <c r="F20" s="197"/>
      <c r="G20" s="1343"/>
      <c r="H20" s="1343"/>
      <c r="I20" s="1343"/>
      <c r="J20" s="1343"/>
      <c r="K20" s="1343">
        <v>37624</v>
      </c>
      <c r="L20" s="1344">
        <f t="shared" si="0"/>
        <v>-37624</v>
      </c>
      <c r="M20" s="1345">
        <v>15569</v>
      </c>
      <c r="N20" s="94"/>
      <c r="O20" s="1247"/>
    </row>
    <row r="21" spans="1:15">
      <c r="A21" s="126">
        <v>5</v>
      </c>
      <c r="B21" s="169"/>
      <c r="C21" s="799"/>
      <c r="D21" s="800"/>
      <c r="E21" s="197"/>
      <c r="F21" s="197"/>
      <c r="G21" s="1343"/>
      <c r="H21" s="1343"/>
      <c r="I21" s="1343"/>
      <c r="J21" s="1343"/>
      <c r="K21" s="1346"/>
      <c r="L21" s="1347"/>
      <c r="M21" s="1346"/>
      <c r="N21" s="94"/>
      <c r="O21" s="1247"/>
    </row>
    <row r="22" spans="1:15">
      <c r="A22" s="126">
        <v>6</v>
      </c>
      <c r="B22" s="766" t="s">
        <v>3013</v>
      </c>
      <c r="C22" s="799"/>
      <c r="D22" s="800"/>
      <c r="E22" s="197"/>
      <c r="F22" s="197"/>
      <c r="G22" s="1343"/>
      <c r="H22" s="1343"/>
      <c r="I22" s="1343"/>
      <c r="J22" s="1343"/>
      <c r="K22" s="1346"/>
      <c r="L22" s="1347"/>
      <c r="M22" s="1346"/>
      <c r="N22" s="94"/>
      <c r="O22" s="1247"/>
    </row>
    <row r="23" spans="1:15">
      <c r="A23" s="126">
        <v>7</v>
      </c>
      <c r="B23" s="763" t="s">
        <v>3014</v>
      </c>
      <c r="C23" s="796">
        <v>4.0501000000000002E-2</v>
      </c>
      <c r="D23" s="796" t="s">
        <v>3015</v>
      </c>
      <c r="E23" s="797"/>
      <c r="F23" s="797">
        <v>47193</v>
      </c>
      <c r="G23" s="1357">
        <v>25000000</v>
      </c>
      <c r="H23" s="1357">
        <v>25000000</v>
      </c>
      <c r="I23" s="1356">
        <v>0</v>
      </c>
      <c r="J23" s="1356">
        <v>0</v>
      </c>
      <c r="K23" s="1356">
        <v>0</v>
      </c>
      <c r="L23" s="1355">
        <f>H23+I23-J23-K23</f>
        <v>25000000</v>
      </c>
      <c r="M23" s="1356">
        <v>1012525</v>
      </c>
      <c r="N23" s="94"/>
      <c r="O23" s="1247"/>
    </row>
    <row r="24" spans="1:15">
      <c r="A24" s="126">
        <v>8</v>
      </c>
      <c r="B24" s="763" t="s">
        <v>3016</v>
      </c>
      <c r="C24" s="796">
        <v>3.8600000000000002E-2</v>
      </c>
      <c r="D24" s="796" t="s">
        <v>3015</v>
      </c>
      <c r="E24" s="797">
        <v>38924</v>
      </c>
      <c r="F24" s="797">
        <v>46600</v>
      </c>
      <c r="G24" s="1348">
        <v>26720000</v>
      </c>
      <c r="H24" s="1343">
        <v>26720000</v>
      </c>
      <c r="I24" s="1345">
        <v>0</v>
      </c>
      <c r="J24" s="1343">
        <v>48204</v>
      </c>
      <c r="K24" s="1346">
        <v>0</v>
      </c>
      <c r="L24" s="1344">
        <f t="shared" ref="L24:L30" si="1">H24+I24-J24-K24</f>
        <v>26671796</v>
      </c>
      <c r="M24" s="1343">
        <v>1051037</v>
      </c>
      <c r="N24" s="731"/>
      <c r="O24" s="1247"/>
    </row>
    <row r="25" spans="1:15">
      <c r="A25" s="126">
        <v>9</v>
      </c>
      <c r="B25" s="763" t="s">
        <v>3016</v>
      </c>
      <c r="C25" s="796">
        <v>3.6999999999999998E-2</v>
      </c>
      <c r="D25" s="796" t="s">
        <v>3015</v>
      </c>
      <c r="E25" s="797">
        <v>39785</v>
      </c>
      <c r="F25" s="797">
        <v>46600</v>
      </c>
      <c r="G25" s="1348">
        <v>50000000</v>
      </c>
      <c r="H25" s="1343">
        <v>50000000</v>
      </c>
      <c r="I25" s="1345">
        <v>0</v>
      </c>
      <c r="J25" s="1343">
        <v>198277</v>
      </c>
      <c r="K25" s="1346">
        <v>0</v>
      </c>
      <c r="L25" s="1344">
        <f t="shared" si="1"/>
        <v>49801723</v>
      </c>
      <c r="M25" s="1343">
        <v>1932045</v>
      </c>
      <c r="N25" s="731"/>
      <c r="O25" s="1247"/>
    </row>
    <row r="26" spans="1:15">
      <c r="A26" s="126">
        <v>10</v>
      </c>
      <c r="B26" s="763" t="s">
        <v>3016</v>
      </c>
      <c r="C26" s="796">
        <v>6.2E-2</v>
      </c>
      <c r="D26" s="796" t="s">
        <v>3015</v>
      </c>
      <c r="E26" s="797">
        <v>38786</v>
      </c>
      <c r="F26" s="797">
        <v>49744</v>
      </c>
      <c r="G26" s="1348">
        <v>65000000</v>
      </c>
      <c r="H26" s="1343">
        <v>65000000</v>
      </c>
      <c r="I26" s="1348">
        <v>-135204</v>
      </c>
      <c r="J26" s="1343">
        <v>240184</v>
      </c>
      <c r="K26" s="1346">
        <v>0</v>
      </c>
      <c r="L26" s="1344">
        <f>H26+I26-J26-K26</f>
        <v>64624612</v>
      </c>
      <c r="M26" s="1343">
        <v>4064048</v>
      </c>
      <c r="N26" s="731"/>
      <c r="O26" s="1247"/>
    </row>
    <row r="27" spans="1:15">
      <c r="A27" s="126">
        <v>11</v>
      </c>
      <c r="B27" s="763" t="s">
        <v>3016</v>
      </c>
      <c r="C27" s="796">
        <v>3.4200000000000001E-2</v>
      </c>
      <c r="D27" s="796" t="s">
        <v>3015</v>
      </c>
      <c r="E27" s="797">
        <v>42374</v>
      </c>
      <c r="F27" s="797">
        <v>46037</v>
      </c>
      <c r="G27" s="1348">
        <v>45000000</v>
      </c>
      <c r="H27" s="1348">
        <v>45000000</v>
      </c>
      <c r="I27" s="1345">
        <v>0</v>
      </c>
      <c r="J27" s="1343">
        <v>20769</v>
      </c>
      <c r="K27" s="1345">
        <v>0</v>
      </c>
      <c r="L27" s="1344">
        <f t="shared" si="1"/>
        <v>44979231</v>
      </c>
      <c r="M27" s="1343">
        <v>1562811</v>
      </c>
      <c r="N27" s="731"/>
      <c r="O27" s="1247"/>
    </row>
    <row r="28" spans="1:15">
      <c r="A28" s="126">
        <v>12</v>
      </c>
      <c r="B28" s="763" t="s">
        <v>3016</v>
      </c>
      <c r="C28" s="796">
        <v>4.4499999999999998E-2</v>
      </c>
      <c r="D28" s="796" t="s">
        <v>3015</v>
      </c>
      <c r="E28" s="797">
        <v>42374</v>
      </c>
      <c r="F28" s="797">
        <v>53342</v>
      </c>
      <c r="G28" s="1348">
        <v>50000000</v>
      </c>
      <c r="H28" s="1348">
        <v>50000000</v>
      </c>
      <c r="I28" s="1345">
        <v>0</v>
      </c>
      <c r="J28" s="1343">
        <v>185051</v>
      </c>
      <c r="K28" s="1345">
        <v>0</v>
      </c>
      <c r="L28" s="1344">
        <f t="shared" si="1"/>
        <v>49814949</v>
      </c>
      <c r="M28" s="1343">
        <v>2233866</v>
      </c>
      <c r="N28" s="731"/>
      <c r="O28" s="1247"/>
    </row>
    <row r="29" spans="1:15">
      <c r="A29" s="126">
        <v>13</v>
      </c>
      <c r="B29" s="763" t="s">
        <v>3016</v>
      </c>
      <c r="C29" s="796">
        <v>3.3500000000000002E-2</v>
      </c>
      <c r="D29" s="796" t="s">
        <v>3015</v>
      </c>
      <c r="E29" s="797">
        <v>42985</v>
      </c>
      <c r="F29" s="797">
        <v>47376</v>
      </c>
      <c r="G29" s="1348">
        <v>30000000</v>
      </c>
      <c r="H29" s="1348">
        <v>30000000</v>
      </c>
      <c r="I29" s="1345">
        <v>0</v>
      </c>
      <c r="J29" s="1343">
        <v>46995</v>
      </c>
      <c r="K29" s="1345">
        <v>0</v>
      </c>
      <c r="L29" s="1344">
        <f t="shared" si="1"/>
        <v>29953005</v>
      </c>
      <c r="M29" s="1343">
        <v>1015354</v>
      </c>
      <c r="N29" s="731"/>
      <c r="O29" s="1247"/>
    </row>
    <row r="30" spans="1:15">
      <c r="A30" s="126">
        <v>14</v>
      </c>
      <c r="B30" s="763" t="s">
        <v>3016</v>
      </c>
      <c r="C30" s="796">
        <v>4.1099999999999998E-2</v>
      </c>
      <c r="D30" s="796" t="s">
        <v>3015</v>
      </c>
      <c r="E30" s="797">
        <v>42985</v>
      </c>
      <c r="F30" s="797">
        <v>53950</v>
      </c>
      <c r="G30" s="1348">
        <v>30000000</v>
      </c>
      <c r="H30" s="1348">
        <v>30000000</v>
      </c>
      <c r="I30" s="1345">
        <v>0</v>
      </c>
      <c r="J30" s="1343">
        <v>93448</v>
      </c>
      <c r="K30" s="1345">
        <v>0</v>
      </c>
      <c r="L30" s="1344">
        <f t="shared" si="1"/>
        <v>29906552</v>
      </c>
      <c r="M30" s="1343">
        <v>1237146</v>
      </c>
      <c r="N30" s="731"/>
      <c r="O30" s="1247"/>
    </row>
    <row r="31" spans="1:15">
      <c r="A31" s="126">
        <v>15</v>
      </c>
      <c r="B31" s="763" t="s">
        <v>3016</v>
      </c>
      <c r="C31" s="796">
        <v>4.2599999999999999E-2</v>
      </c>
      <c r="D31" s="796" t="s">
        <v>3015</v>
      </c>
      <c r="E31" s="797">
        <v>42985</v>
      </c>
      <c r="F31" s="797">
        <v>57603</v>
      </c>
      <c r="G31" s="1348">
        <v>30000000</v>
      </c>
      <c r="H31" s="1348">
        <v>30000000</v>
      </c>
      <c r="I31" s="1345">
        <v>0</v>
      </c>
      <c r="J31" s="1343">
        <v>101201</v>
      </c>
      <c r="K31" s="1345">
        <v>0</v>
      </c>
      <c r="L31" s="1344">
        <f>H31+I31-J31-K31</f>
        <v>29898799</v>
      </c>
      <c r="M31" s="1343">
        <v>1281110</v>
      </c>
      <c r="N31" s="731"/>
      <c r="O31" s="1247"/>
    </row>
    <row r="32" spans="1:15">
      <c r="A32" s="126">
        <v>16</v>
      </c>
      <c r="B32" s="763" t="s">
        <v>3016</v>
      </c>
      <c r="C32" s="796">
        <v>4.1799999999999997E-2</v>
      </c>
      <c r="D32" s="796" t="s">
        <v>3015</v>
      </c>
      <c r="E32" s="797">
        <v>43376</v>
      </c>
      <c r="F32" s="797">
        <v>47041</v>
      </c>
      <c r="G32" s="1348">
        <v>40000000</v>
      </c>
      <c r="H32" s="1348">
        <v>40000000</v>
      </c>
      <c r="I32" s="1345">
        <v>0</v>
      </c>
      <c r="J32" s="1343">
        <v>56507</v>
      </c>
      <c r="K32" s="1345">
        <v>0</v>
      </c>
      <c r="L32" s="1344">
        <f>H32+I32-J32-K32</f>
        <v>39943493</v>
      </c>
      <c r="M32" s="1343">
        <v>1687600</v>
      </c>
      <c r="N32" s="731"/>
      <c r="O32" s="1247"/>
    </row>
    <row r="33" spans="1:15">
      <c r="A33" s="126">
        <v>17</v>
      </c>
      <c r="B33" s="763" t="s">
        <v>3016</v>
      </c>
      <c r="C33" s="796">
        <v>4.6199999999999998E-2</v>
      </c>
      <c r="D33" s="796" t="s">
        <v>3015</v>
      </c>
      <c r="E33" s="797">
        <v>43446</v>
      </c>
      <c r="F33" s="797">
        <v>54407</v>
      </c>
      <c r="G33" s="1348">
        <v>35000000</v>
      </c>
      <c r="H33" s="1348">
        <v>35000000</v>
      </c>
      <c r="I33" s="1345">
        <v>0</v>
      </c>
      <c r="J33" s="1343">
        <v>112191</v>
      </c>
      <c r="K33" s="1345">
        <v>0</v>
      </c>
      <c r="L33" s="1344">
        <f t="shared" ref="L33:L37" si="2">H33+I33-J33-K33</f>
        <v>34887809</v>
      </c>
      <c r="M33" s="1343">
        <v>1621716</v>
      </c>
      <c r="N33" s="731"/>
      <c r="O33" s="1247"/>
    </row>
    <row r="34" spans="1:15">
      <c r="A34" s="126">
        <v>18</v>
      </c>
      <c r="B34" s="763" t="s">
        <v>3016</v>
      </c>
      <c r="C34" s="796">
        <v>3.2300000000000002E-2</v>
      </c>
      <c r="D34" s="796" t="s">
        <v>3015</v>
      </c>
      <c r="E34" s="797">
        <v>43734</v>
      </c>
      <c r="F34" s="797">
        <v>45931</v>
      </c>
      <c r="G34" s="1348">
        <v>95000000</v>
      </c>
      <c r="H34" s="1348">
        <v>95000000</v>
      </c>
      <c r="I34" s="1345">
        <v>0</v>
      </c>
      <c r="J34" s="1343">
        <v>40262</v>
      </c>
      <c r="K34" s="1345">
        <v>0</v>
      </c>
      <c r="L34" s="1344">
        <f t="shared" si="2"/>
        <v>94959738</v>
      </c>
      <c r="M34" s="1343">
        <v>3137521</v>
      </c>
      <c r="N34" s="731"/>
      <c r="O34" s="1247"/>
    </row>
    <row r="35" spans="1:15">
      <c r="A35" s="126">
        <v>19</v>
      </c>
      <c r="B35" s="763" t="s">
        <v>3016</v>
      </c>
      <c r="C35" s="796">
        <v>3.56E-2</v>
      </c>
      <c r="D35" s="796" t="s">
        <v>3015</v>
      </c>
      <c r="E35" s="797">
        <v>43734</v>
      </c>
      <c r="F35" s="797">
        <v>47392</v>
      </c>
      <c r="G35" s="1348">
        <v>75000000</v>
      </c>
      <c r="H35" s="1348">
        <v>75000000</v>
      </c>
      <c r="I35" s="1345">
        <v>0</v>
      </c>
      <c r="J35" s="1343">
        <v>153366</v>
      </c>
      <c r="K35" s="1345">
        <v>0</v>
      </c>
      <c r="L35" s="1344">
        <f>H35+I35-J35-K35</f>
        <v>74846634</v>
      </c>
      <c r="M35" s="1343">
        <v>2703462</v>
      </c>
      <c r="N35" s="732"/>
      <c r="O35" s="1247"/>
    </row>
    <row r="36" spans="1:15">
      <c r="A36" s="126">
        <v>20</v>
      </c>
      <c r="B36" s="763" t="s">
        <v>3016</v>
      </c>
      <c r="C36" s="796">
        <v>2.6499999999999999E-2</v>
      </c>
      <c r="D36" s="796" t="s">
        <v>3015</v>
      </c>
      <c r="E36" s="797">
        <v>44089</v>
      </c>
      <c r="F36" s="797">
        <v>47741</v>
      </c>
      <c r="G36" s="1348">
        <v>35000000</v>
      </c>
      <c r="H36" s="1348">
        <v>35000000</v>
      </c>
      <c r="I36" s="1345">
        <v>0</v>
      </c>
      <c r="J36" s="1343">
        <v>70501</v>
      </c>
      <c r="K36" s="1345">
        <v>0</v>
      </c>
      <c r="L36" s="1344">
        <f t="shared" si="2"/>
        <v>34929499</v>
      </c>
      <c r="M36" s="1343">
        <v>934046</v>
      </c>
      <c r="N36" s="732"/>
      <c r="O36" s="1247"/>
    </row>
    <row r="37" spans="1:15">
      <c r="A37" s="126">
        <v>21</v>
      </c>
      <c r="B37" s="763" t="s">
        <v>3016</v>
      </c>
      <c r="C37" s="796">
        <v>3.6600000000000001E-2</v>
      </c>
      <c r="D37" s="796" t="s">
        <v>3015</v>
      </c>
      <c r="E37" s="797">
        <v>44089</v>
      </c>
      <c r="F37" s="797">
        <v>55046</v>
      </c>
      <c r="G37" s="1348">
        <v>35000000</v>
      </c>
      <c r="H37" s="1348">
        <v>35000000</v>
      </c>
      <c r="I37" s="1345">
        <v>0</v>
      </c>
      <c r="J37" s="1343">
        <v>108356</v>
      </c>
      <c r="K37" s="1345">
        <v>0</v>
      </c>
      <c r="L37" s="1344">
        <f t="shared" si="2"/>
        <v>34891644</v>
      </c>
      <c r="M37" s="1343">
        <v>1293728</v>
      </c>
      <c r="N37" s="732"/>
      <c r="O37" s="1247"/>
    </row>
    <row r="38" spans="1:15">
      <c r="A38" s="1649">
        <v>22</v>
      </c>
      <c r="B38" s="757" t="s">
        <v>3016</v>
      </c>
      <c r="C38" s="796">
        <v>4.3200000000000002E-2</v>
      </c>
      <c r="D38" s="796" t="s">
        <v>3015</v>
      </c>
      <c r="E38" s="797">
        <v>43663</v>
      </c>
      <c r="F38" s="797">
        <v>54619</v>
      </c>
      <c r="G38" s="1348">
        <v>40000000</v>
      </c>
      <c r="H38" s="1348">
        <v>40000000</v>
      </c>
      <c r="I38" s="1657">
        <v>0</v>
      </c>
      <c r="J38" s="1343">
        <v>159535</v>
      </c>
      <c r="K38" s="1657"/>
      <c r="L38" s="1650">
        <f>H38+I38-J38-K38</f>
        <v>39840465</v>
      </c>
      <c r="M38" s="1343">
        <v>1732243</v>
      </c>
      <c r="N38" s="1658"/>
      <c r="O38" s="1247"/>
    </row>
    <row r="39" spans="1:15">
      <c r="A39" s="1649">
        <v>23</v>
      </c>
      <c r="B39" s="757" t="s">
        <v>3016</v>
      </c>
      <c r="C39" s="796">
        <v>5.8999999999999997E-2</v>
      </c>
      <c r="D39" s="796" t="s">
        <v>3015</v>
      </c>
      <c r="E39" s="797">
        <v>45471</v>
      </c>
      <c r="F39" s="797">
        <v>11519</v>
      </c>
      <c r="G39" s="1348">
        <v>80000000</v>
      </c>
      <c r="H39" s="1348">
        <v>80000000</v>
      </c>
      <c r="I39" s="1657"/>
      <c r="J39" s="1343">
        <v>308978</v>
      </c>
      <c r="K39" s="1657"/>
      <c r="L39" s="1650">
        <f>H39+I39-J39-K39</f>
        <v>79691022</v>
      </c>
      <c r="M39" s="1343">
        <v>4768488</v>
      </c>
      <c r="N39" s="1658"/>
      <c r="O39" s="1247"/>
    </row>
    <row r="40" spans="1:15">
      <c r="A40" s="1649">
        <v>23</v>
      </c>
      <c r="B40" s="757" t="s">
        <v>3016</v>
      </c>
      <c r="C40" s="796">
        <v>0.06</v>
      </c>
      <c r="D40" s="796" t="s">
        <v>3015</v>
      </c>
      <c r="E40" s="797">
        <v>45471</v>
      </c>
      <c r="F40" s="797">
        <v>12615</v>
      </c>
      <c r="G40" s="1348">
        <v>95000000</v>
      </c>
      <c r="H40" s="1348">
        <v>95000000</v>
      </c>
      <c r="I40" s="1657"/>
      <c r="J40" s="1343">
        <v>371876</v>
      </c>
      <c r="K40" s="1657"/>
      <c r="L40" s="1650">
        <f t="shared" ref="L40:L41" si="3">H40+I40-J40-K40</f>
        <v>94628124</v>
      </c>
      <c r="M40" s="1343">
        <v>5739678</v>
      </c>
      <c r="N40" s="1658"/>
      <c r="O40" s="1247"/>
    </row>
    <row r="41" spans="1:15">
      <c r="A41" s="1649">
        <v>23</v>
      </c>
      <c r="B41" s="757" t="s">
        <v>3016</v>
      </c>
      <c r="C41" s="796">
        <v>6.1699999999999998E-2</v>
      </c>
      <c r="D41" s="796" t="s">
        <v>3015</v>
      </c>
      <c r="E41" s="797">
        <v>45471</v>
      </c>
      <c r="F41" s="797">
        <v>14441</v>
      </c>
      <c r="G41" s="1348">
        <v>50000000</v>
      </c>
      <c r="H41" s="1348">
        <v>50000000</v>
      </c>
      <c r="I41" s="1657"/>
      <c r="J41" s="1343">
        <v>199454</v>
      </c>
      <c r="K41" s="1657"/>
      <c r="L41" s="1650">
        <f t="shared" si="3"/>
        <v>49800546</v>
      </c>
      <c r="M41" s="1343">
        <v>3098878</v>
      </c>
      <c r="N41" s="1658"/>
      <c r="O41" s="1247"/>
    </row>
    <row r="42" spans="1:15">
      <c r="A42" s="1649">
        <v>25</v>
      </c>
      <c r="B42" s="757"/>
      <c r="C42" s="796"/>
      <c r="D42" s="796"/>
      <c r="E42" s="797"/>
      <c r="F42" s="797"/>
      <c r="G42" s="1348"/>
      <c r="H42" s="1348"/>
      <c r="I42" s="1657"/>
      <c r="J42" s="1657"/>
      <c r="K42" s="1657"/>
      <c r="L42" s="1650"/>
      <c r="M42" s="1657"/>
      <c r="N42" s="1658"/>
      <c r="O42" s="1247"/>
    </row>
    <row r="43" spans="1:15">
      <c r="A43" s="1649">
        <v>26</v>
      </c>
      <c r="B43" s="757" t="s">
        <v>3017</v>
      </c>
      <c r="C43" s="803"/>
      <c r="D43" s="1660"/>
      <c r="E43" s="1659">
        <v>0</v>
      </c>
      <c r="F43" s="797">
        <v>47193</v>
      </c>
      <c r="G43" s="1657">
        <v>0</v>
      </c>
      <c r="H43" s="1657">
        <v>0</v>
      </c>
      <c r="I43" s="1657">
        <v>0</v>
      </c>
      <c r="J43" s="1343">
        <v>454068</v>
      </c>
      <c r="K43" s="1657">
        <v>0</v>
      </c>
      <c r="L43" s="1650">
        <f>H43+I43-J43-K43</f>
        <v>-454068</v>
      </c>
      <c r="M43" s="1346">
        <v>112347</v>
      </c>
      <c r="N43" s="1658"/>
      <c r="O43" s="1247"/>
    </row>
    <row r="44" spans="1:15">
      <c r="A44" s="126">
        <v>27</v>
      </c>
      <c r="B44" s="757" t="s">
        <v>3018</v>
      </c>
      <c r="C44" s="323"/>
      <c r="D44" s="765"/>
      <c r="E44" s="760"/>
      <c r="F44" s="764"/>
      <c r="G44" s="1349"/>
      <c r="H44" s="1349"/>
      <c r="I44" s="1349"/>
      <c r="J44" s="1350"/>
      <c r="K44" s="1349"/>
      <c r="L44" s="1344"/>
      <c r="M44" s="1351">
        <v>511511</v>
      </c>
      <c r="N44" s="732"/>
      <c r="O44" s="1247"/>
    </row>
    <row r="45" spans="1:15">
      <c r="A45" s="126">
        <v>28</v>
      </c>
      <c r="B45" s="757"/>
      <c r="C45" s="323"/>
      <c r="D45" s="765"/>
      <c r="E45" s="760"/>
      <c r="F45" s="764"/>
      <c r="G45" s="1349"/>
      <c r="H45" s="1349"/>
      <c r="I45" s="1349"/>
      <c r="J45" s="1350"/>
      <c r="K45" s="1349"/>
      <c r="L45" s="1344"/>
      <c r="M45" s="1346"/>
      <c r="N45" s="732"/>
    </row>
    <row r="46" spans="1:15">
      <c r="A46" s="1649">
        <v>29</v>
      </c>
      <c r="B46" s="766" t="s">
        <v>3019</v>
      </c>
      <c r="C46" s="1661"/>
      <c r="D46" s="1662"/>
      <c r="E46" s="1663"/>
      <c r="F46" s="764"/>
      <c r="G46" s="1664"/>
      <c r="H46" s="1664"/>
      <c r="I46" s="1664"/>
      <c r="J46" s="1350"/>
      <c r="K46" s="1664"/>
      <c r="L46" s="1650"/>
      <c r="M46" s="1346"/>
      <c r="N46" s="1658"/>
      <c r="O46" s="1247"/>
    </row>
    <row r="47" spans="1:15">
      <c r="A47" s="1649">
        <v>31</v>
      </c>
      <c r="B47" s="1258" t="s">
        <v>3016</v>
      </c>
      <c r="C47" s="1666">
        <v>3.4200000000000001E-2</v>
      </c>
      <c r="D47" s="1666" t="s">
        <v>3015</v>
      </c>
      <c r="E47" s="1667">
        <v>42374</v>
      </c>
      <c r="F47" s="1667">
        <v>46037</v>
      </c>
      <c r="G47" s="1656">
        <v>-45000000</v>
      </c>
      <c r="H47" s="1656">
        <v>-45000000</v>
      </c>
      <c r="I47" s="1665"/>
      <c r="J47" s="1651">
        <v>-20769</v>
      </c>
      <c r="K47" s="1665"/>
      <c r="L47" s="1650">
        <v>-44979231</v>
      </c>
      <c r="M47" s="1665">
        <v>-1562811</v>
      </c>
      <c r="N47" s="1658"/>
      <c r="O47" s="1247"/>
    </row>
    <row r="48" spans="1:15">
      <c r="A48" s="1649">
        <v>32</v>
      </c>
      <c r="B48" s="757" t="s">
        <v>3016</v>
      </c>
      <c r="C48" s="1666">
        <v>3.2300000000000002E-2</v>
      </c>
      <c r="D48" s="1666" t="s">
        <v>3015</v>
      </c>
      <c r="E48" s="1667">
        <v>43734</v>
      </c>
      <c r="F48" s="1667">
        <v>45931</v>
      </c>
      <c r="G48" s="1656">
        <v>-95000000</v>
      </c>
      <c r="H48" s="1656">
        <v>-95000000</v>
      </c>
      <c r="I48" s="1665">
        <v>0</v>
      </c>
      <c r="J48" s="1651">
        <v>-40262</v>
      </c>
      <c r="K48" s="1665"/>
      <c r="L48" s="1650">
        <v>-94959738</v>
      </c>
      <c r="M48" s="1665">
        <v>-3137521</v>
      </c>
      <c r="N48" s="1668"/>
      <c r="O48" s="1247"/>
    </row>
    <row r="49" spans="1:14">
      <c r="A49" s="126">
        <v>33</v>
      </c>
      <c r="B49" s="763"/>
      <c r="C49" s="323"/>
      <c r="D49" s="324"/>
      <c r="E49" s="322"/>
      <c r="F49" s="322"/>
      <c r="G49" s="1352"/>
      <c r="H49" s="1352"/>
      <c r="I49" s="1349"/>
      <c r="J49" s="1349"/>
      <c r="K49" s="1349"/>
      <c r="L49" s="1344"/>
      <c r="M49" s="1353"/>
      <c r="N49" s="732"/>
    </row>
    <row r="50" spans="1:14" ht="13.8" thickBot="1">
      <c r="A50" s="126">
        <v>34</v>
      </c>
      <c r="B50" s="763"/>
      <c r="C50" s="94"/>
      <c r="D50" s="169" t="s">
        <v>3020</v>
      </c>
      <c r="E50" s="94"/>
      <c r="F50" s="94"/>
      <c r="G50" s="1707">
        <f t="shared" ref="G50:M50" si="4">SUM(G18:G49)</f>
        <v>791720000</v>
      </c>
      <c r="H50" s="1707">
        <f t="shared" si="4"/>
        <v>791720000</v>
      </c>
      <c r="I50" s="1707">
        <f t="shared" si="4"/>
        <v>-135204</v>
      </c>
      <c r="J50" s="1707">
        <f t="shared" si="4"/>
        <v>2908192</v>
      </c>
      <c r="K50" s="1707">
        <f t="shared" si="4"/>
        <v>61423</v>
      </c>
      <c r="L50" s="1707">
        <f t="shared" si="4"/>
        <v>788615181</v>
      </c>
      <c r="M50" s="1707">
        <f t="shared" si="4"/>
        <v>38110335</v>
      </c>
      <c r="N50" s="732"/>
    </row>
    <row r="51" spans="1:14" ht="13.8" thickTop="1">
      <c r="A51" s="126">
        <v>35</v>
      </c>
      <c r="B51" s="94"/>
      <c r="C51" s="94"/>
      <c r="D51" s="94"/>
      <c r="E51" s="94"/>
      <c r="F51" s="94"/>
      <c r="G51" s="325"/>
      <c r="H51" s="1262"/>
      <c r="I51" s="1262"/>
      <c r="J51" s="1262"/>
      <c r="K51" s="1262"/>
      <c r="L51" s="1262"/>
      <c r="M51" s="1262"/>
      <c r="N51" s="732"/>
    </row>
    <row r="52" spans="1:14">
      <c r="A52" s="126">
        <v>36</v>
      </c>
      <c r="B52" s="94"/>
      <c r="C52" s="94"/>
      <c r="D52" s="94"/>
      <c r="E52" s="94"/>
      <c r="F52" s="94"/>
      <c r="G52" s="327"/>
      <c r="H52" s="1262"/>
      <c r="I52" s="1262"/>
      <c r="J52" s="1262"/>
      <c r="K52" s="1262"/>
      <c r="L52" s="1262"/>
      <c r="M52" s="1262"/>
      <c r="N52" s="732"/>
    </row>
    <row r="53" spans="1:14" ht="13.8" thickBot="1">
      <c r="A53" s="126">
        <v>37</v>
      </c>
      <c r="B53" s="94"/>
      <c r="C53" s="94"/>
      <c r="D53" s="169" t="s">
        <v>3021</v>
      </c>
      <c r="E53" s="94"/>
      <c r="F53" s="94"/>
      <c r="G53" s="94"/>
      <c r="H53" s="94"/>
      <c r="I53" s="94"/>
      <c r="J53" s="94"/>
      <c r="K53" s="94"/>
      <c r="L53" s="94"/>
      <c r="M53" s="1974">
        <f>ROUND(M50/L50,5)</f>
        <v>4.8329999999999998E-2</v>
      </c>
      <c r="N53" s="732"/>
    </row>
    <row r="54" spans="1:14" ht="13.8" thickTop="1">
      <c r="A54" s="126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104"/>
      <c r="N54" s="94"/>
    </row>
    <row r="55" spans="1:14">
      <c r="A55" s="126"/>
      <c r="B55" s="1257" t="s">
        <v>3022</v>
      </c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</row>
    <row r="56" spans="1:14">
      <c r="A56" s="126"/>
      <c r="B56" s="94"/>
      <c r="C56" s="94"/>
      <c r="D56" s="94"/>
      <c r="E56" s="94"/>
      <c r="F56" s="94"/>
      <c r="G56" s="325"/>
      <c r="H56" s="326"/>
      <c r="I56" s="326"/>
      <c r="J56" s="326"/>
      <c r="K56" s="326"/>
      <c r="L56" s="326"/>
      <c r="M56" s="326"/>
      <c r="N56" s="94"/>
    </row>
    <row r="57" spans="1:14">
      <c r="A57" s="126"/>
      <c r="B57" s="94"/>
      <c r="C57" s="94"/>
      <c r="D57" s="94"/>
      <c r="E57" s="94"/>
      <c r="F57" s="94"/>
      <c r="G57" s="327"/>
      <c r="H57" s="326"/>
      <c r="I57" s="326"/>
      <c r="J57" s="326"/>
      <c r="K57" s="326"/>
      <c r="L57" s="326"/>
      <c r="M57" s="326"/>
      <c r="N57" s="94"/>
    </row>
    <row r="58" spans="1:14">
      <c r="A58" s="126"/>
      <c r="B58" s="94"/>
      <c r="C58" s="94"/>
      <c r="D58" s="169"/>
      <c r="E58" s="94"/>
      <c r="F58" s="94"/>
      <c r="G58" s="94"/>
      <c r="H58" s="94"/>
      <c r="I58" s="94"/>
      <c r="J58" s="94"/>
      <c r="K58" s="94"/>
      <c r="L58" s="94"/>
      <c r="M58" s="326"/>
      <c r="N58" s="759"/>
    </row>
    <row r="59" spans="1:14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326"/>
      <c r="N59" s="94"/>
    </row>
    <row r="60" spans="1:14">
      <c r="A60" s="169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</row>
    <row r="61" spans="1:14">
      <c r="A61" s="169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</row>
    <row r="62" spans="1:14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</row>
    <row r="63" spans="1:14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</row>
    <row r="64" spans="1:14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</row>
    <row r="65" spans="1:14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</row>
    <row r="66" spans="1:14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</row>
    <row r="67" spans="1:14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</row>
    <row r="68" spans="1:14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</row>
    <row r="69" spans="1:14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</row>
    <row r="70" spans="1:14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</row>
  </sheetData>
  <phoneticPr fontId="19" type="noConversion"/>
  <pageMargins left="1" right="0.75" top="1" bottom="1" header="0.5" footer="0.5"/>
  <pageSetup scale="57" orientation="landscape" horizontalDpi="300" verticalDpi="300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74">
    <tabColor theme="3" tint="-0.249977111117893"/>
    <pageSetUpPr fitToPage="1"/>
  </sheetPr>
  <dimension ref="A1:O69"/>
  <sheetViews>
    <sheetView workbookViewId="0"/>
  </sheetViews>
  <sheetFormatPr defaultColWidth="8" defaultRowHeight="13.2"/>
  <cols>
    <col min="1" max="1" width="6" customWidth="1"/>
    <col min="2" max="2" width="36.44140625" customWidth="1"/>
    <col min="3" max="3" width="17.44140625" customWidth="1"/>
    <col min="4" max="4" width="11.5546875" customWidth="1"/>
    <col min="5" max="6" width="14.44140625" customWidth="1"/>
    <col min="7" max="7" width="14.5546875" customWidth="1"/>
    <col min="8" max="8" width="15.5546875" customWidth="1"/>
    <col min="9" max="9" width="14.44140625" customWidth="1"/>
    <col min="10" max="10" width="12.5546875" customWidth="1"/>
    <col min="11" max="11" width="16.44140625" customWidth="1"/>
    <col min="12" max="12" width="17.5546875" customWidth="1"/>
    <col min="13" max="13" width="14.44140625" customWidth="1"/>
    <col min="14" max="14" width="15.5546875" bestFit="1" customWidth="1"/>
    <col min="15" max="16" width="8" customWidth="1"/>
  </cols>
  <sheetData>
    <row r="1" spans="1:14" s="94" customFormat="1">
      <c r="A1" s="125" t="str">
        <f>COMPANY</f>
        <v>DUKE ENERGY KENTUCKY, INC.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69"/>
    </row>
    <row r="2" spans="1:14" s="94" customFormat="1">
      <c r="A2" s="125" t="str">
        <f>CASE</f>
        <v>CASE NO. 2024-00354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69"/>
    </row>
    <row r="3" spans="1:14" s="94" customFormat="1">
      <c r="A3" s="125" t="s">
        <v>2999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95"/>
    </row>
    <row r="4" spans="1:14" s="94" customFormat="1">
      <c r="A4" s="47" t="str">
        <f>"THIRTEEN MONTH AVERAGE BALANCE ENDING "&amp;Testyear</f>
        <v>THIRTEEN MONTH AVERAGE BALANCE ENDING JUNE 30, 2026</v>
      </c>
      <c r="B4" s="318"/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95"/>
    </row>
    <row r="5" spans="1:14" s="94" customFormat="1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69"/>
    </row>
    <row r="6" spans="1:14" s="94" customFormat="1">
      <c r="A6" s="125"/>
      <c r="B6" s="125"/>
      <c r="C6" s="125"/>
      <c r="D6" s="125"/>
      <c r="E6" s="319"/>
      <c r="F6" s="125"/>
      <c r="G6" s="320"/>
      <c r="H6" s="320"/>
      <c r="I6" s="125"/>
      <c r="J6" s="125"/>
      <c r="K6" s="320"/>
      <c r="L6" s="320"/>
      <c r="M6" s="321"/>
    </row>
    <row r="7" spans="1:14" s="94" customFormat="1">
      <c r="A7" s="259" t="str">
        <f>DataF</f>
        <v>DATA:  BASE PERIOD  "X" FORECASTED PERIOD</v>
      </c>
      <c r="E7" s="191"/>
      <c r="G7" s="166"/>
      <c r="H7" s="166"/>
      <c r="I7" s="166"/>
      <c r="J7" s="166"/>
      <c r="L7" s="169" t="s">
        <v>3000</v>
      </c>
    </row>
    <row r="8" spans="1:14" s="94" customFormat="1">
      <c r="A8" s="57" t="s">
        <v>2976</v>
      </c>
      <c r="G8" s="166"/>
      <c r="H8" s="166"/>
      <c r="I8" s="166"/>
      <c r="J8" s="166"/>
      <c r="L8" s="169" t="s">
        <v>590</v>
      </c>
    </row>
    <row r="9" spans="1:14" s="94" customFormat="1">
      <c r="A9" s="169" t="str">
        <f>Type</f>
        <v xml:space="preserve">TYPE OF FILING:  "X" ORIGINAL   UPDATED    REVISED  </v>
      </c>
      <c r="G9" s="166"/>
      <c r="H9" s="166"/>
      <c r="I9" s="166"/>
      <c r="L9" s="169" t="s">
        <v>468</v>
      </c>
      <c r="N9" s="191"/>
    </row>
    <row r="10" spans="1:14" s="94" customFormat="1">
      <c r="A10" s="169" t="s">
        <v>723</v>
      </c>
      <c r="L10" s="57" t="str">
        <f>_WIT4</f>
        <v>T. J. HEATH JR.</v>
      </c>
      <c r="N10" s="191"/>
    </row>
    <row r="11" spans="1:14" s="94" customFormat="1">
      <c r="A11" s="98"/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</row>
    <row r="12" spans="1:14" s="94" customFormat="1">
      <c r="A12" s="2146"/>
      <c r="B12" s="2146"/>
      <c r="C12" s="2146"/>
      <c r="D12" s="2146"/>
      <c r="E12" s="2146"/>
      <c r="F12" s="2146"/>
      <c r="G12" s="2146"/>
      <c r="H12" s="2146"/>
      <c r="I12" s="2146"/>
      <c r="J12" s="2146"/>
      <c r="K12" s="2146"/>
      <c r="L12" s="2146"/>
      <c r="M12" s="2184"/>
    </row>
    <row r="13" spans="1:14" s="94" customFormat="1">
      <c r="B13" s="125" t="s">
        <v>3001</v>
      </c>
      <c r="C13" s="125"/>
      <c r="D13" s="125"/>
      <c r="E13" s="126" t="s">
        <v>2719</v>
      </c>
      <c r="F13" s="126" t="s">
        <v>3002</v>
      </c>
      <c r="H13" s="126" t="s">
        <v>3003</v>
      </c>
      <c r="I13" s="126" t="s">
        <v>2980</v>
      </c>
      <c r="J13" s="126" t="s">
        <v>2980</v>
      </c>
      <c r="K13" s="126" t="s">
        <v>2981</v>
      </c>
      <c r="M13" s="126" t="s">
        <v>3004</v>
      </c>
    </row>
    <row r="14" spans="1:14" s="94" customFormat="1">
      <c r="A14" s="126" t="s">
        <v>471</v>
      </c>
      <c r="B14" s="125" t="s">
        <v>3005</v>
      </c>
      <c r="C14" s="125"/>
      <c r="D14" s="125"/>
      <c r="E14" s="126" t="s">
        <v>3006</v>
      </c>
      <c r="F14" s="126" t="s">
        <v>2719</v>
      </c>
      <c r="G14" s="126" t="s">
        <v>3007</v>
      </c>
      <c r="H14" s="126" t="s">
        <v>975</v>
      </c>
      <c r="I14" s="126" t="s">
        <v>2982</v>
      </c>
      <c r="J14" s="126" t="s">
        <v>2983</v>
      </c>
      <c r="K14" s="126" t="s">
        <v>2984</v>
      </c>
      <c r="L14" s="126" t="s">
        <v>2985</v>
      </c>
      <c r="M14" s="126" t="s">
        <v>1798</v>
      </c>
    </row>
    <row r="15" spans="1:14" s="94" customFormat="1" ht="15.6">
      <c r="A15" s="126" t="s">
        <v>475</v>
      </c>
      <c r="B15" s="125" t="s">
        <v>1794</v>
      </c>
      <c r="C15" s="125"/>
      <c r="D15" s="125"/>
      <c r="E15" s="126" t="s">
        <v>3008</v>
      </c>
      <c r="F15" s="126" t="s">
        <v>3008</v>
      </c>
      <c r="G15" s="126" t="s">
        <v>975</v>
      </c>
      <c r="H15" s="126" t="s">
        <v>2987</v>
      </c>
      <c r="I15" s="126" t="s">
        <v>2988</v>
      </c>
      <c r="J15" s="126" t="s">
        <v>1736</v>
      </c>
      <c r="K15" s="126" t="s">
        <v>2983</v>
      </c>
      <c r="L15" s="126" t="s">
        <v>2989</v>
      </c>
      <c r="M15" s="126" t="s">
        <v>3009</v>
      </c>
    </row>
    <row r="16" spans="1:14" s="94" customFormat="1">
      <c r="E16" s="126" t="s">
        <v>853</v>
      </c>
      <c r="F16" s="126" t="s">
        <v>1104</v>
      </c>
      <c r="G16" s="126" t="s">
        <v>856</v>
      </c>
      <c r="H16" s="126" t="s">
        <v>857</v>
      </c>
      <c r="I16" s="126" t="s">
        <v>858</v>
      </c>
      <c r="J16" s="126" t="s">
        <v>859</v>
      </c>
      <c r="K16" s="126" t="s">
        <v>2610</v>
      </c>
      <c r="L16" s="126" t="s">
        <v>2991</v>
      </c>
      <c r="M16" s="126" t="s">
        <v>862</v>
      </c>
    </row>
    <row r="17" spans="1:15" s="94" customFormat="1">
      <c r="A17" s="2146"/>
      <c r="B17" s="2146"/>
      <c r="C17" s="2180"/>
      <c r="D17" s="2146"/>
      <c r="E17" s="2146"/>
      <c r="F17" s="2146"/>
      <c r="G17" s="2180"/>
      <c r="H17" s="2180"/>
      <c r="I17" s="2180"/>
      <c r="J17" s="2180"/>
      <c r="K17" s="2180"/>
      <c r="L17" s="2180"/>
      <c r="M17" s="2180"/>
    </row>
    <row r="18" spans="1:15" s="94" customFormat="1">
      <c r="A18" s="126">
        <v>1</v>
      </c>
      <c r="B18" s="766" t="s">
        <v>3010</v>
      </c>
      <c r="C18" s="799"/>
      <c r="D18" s="800"/>
      <c r="E18" s="197"/>
      <c r="F18" s="197"/>
      <c r="G18" s="197"/>
      <c r="H18" s="197"/>
      <c r="I18" s="197"/>
      <c r="J18" s="197"/>
      <c r="K18" s="197"/>
      <c r="M18" s="768"/>
    </row>
    <row r="19" spans="1:15" s="94" customFormat="1">
      <c r="A19" s="126">
        <f>1+A18</f>
        <v>2</v>
      </c>
      <c r="B19" s="94" t="s">
        <v>3011</v>
      </c>
      <c r="C19" s="197"/>
      <c r="D19" s="801"/>
      <c r="E19" s="197"/>
      <c r="F19" s="197"/>
      <c r="G19" s="1343"/>
      <c r="H19" s="1343"/>
      <c r="I19" s="1343"/>
      <c r="J19" s="1343"/>
      <c r="K19" s="1354">
        <v>191</v>
      </c>
      <c r="L19" s="1355">
        <f t="shared" ref="L19:L20" si="0">H19+I19-J19-K19</f>
        <v>-191</v>
      </c>
      <c r="M19" s="1356">
        <v>9837</v>
      </c>
    </row>
    <row r="20" spans="1:15" s="94" customFormat="1">
      <c r="A20" s="126">
        <f>1+A19</f>
        <v>3</v>
      </c>
      <c r="B20" s="94" t="s">
        <v>3012</v>
      </c>
      <c r="C20" s="197"/>
      <c r="D20" s="801"/>
      <c r="E20" s="197"/>
      <c r="F20" s="197"/>
      <c r="G20" s="1343"/>
      <c r="H20" s="1343"/>
      <c r="I20" s="1343"/>
      <c r="J20" s="1343"/>
      <c r="K20" s="1343">
        <v>24651</v>
      </c>
      <c r="L20" s="1344">
        <f t="shared" si="0"/>
        <v>-24651</v>
      </c>
      <c r="M20" s="1345">
        <v>15569</v>
      </c>
    </row>
    <row r="21" spans="1:15" s="94" customFormat="1">
      <c r="A21" s="126">
        <f t="shared" ref="A21:A55" si="1">1+A20</f>
        <v>4</v>
      </c>
      <c r="C21" s="802"/>
      <c r="D21" s="801"/>
      <c r="E21" s="197"/>
      <c r="F21" s="197"/>
      <c r="G21" s="1343"/>
      <c r="H21" s="1343"/>
      <c r="I21" s="1343"/>
      <c r="J21" s="1343"/>
      <c r="K21" s="1351"/>
      <c r="L21" s="1344"/>
      <c r="M21" s="1351"/>
    </row>
    <row r="22" spans="1:15" s="94" customFormat="1">
      <c r="A22" s="126">
        <f t="shared" si="1"/>
        <v>5</v>
      </c>
      <c r="B22" s="766" t="s">
        <v>3013</v>
      </c>
      <c r="C22" s="803"/>
      <c r="D22" s="798"/>
      <c r="E22" s="797"/>
      <c r="F22" s="797"/>
      <c r="G22" s="1348"/>
      <c r="H22" s="1348"/>
      <c r="I22" s="1345"/>
      <c r="J22" s="1345"/>
      <c r="K22" s="1345"/>
      <c r="L22" s="1344"/>
      <c r="M22" s="1345"/>
    </row>
    <row r="23" spans="1:15" s="94" customFormat="1">
      <c r="A23" s="126">
        <f t="shared" si="1"/>
        <v>6</v>
      </c>
      <c r="B23" s="763" t="s">
        <v>3014</v>
      </c>
      <c r="C23" s="796">
        <v>3.27E-2</v>
      </c>
      <c r="D23" s="796" t="s">
        <v>3015</v>
      </c>
      <c r="E23" s="797"/>
      <c r="F23" s="797">
        <v>46464</v>
      </c>
      <c r="G23" s="1357">
        <v>25000000</v>
      </c>
      <c r="H23" s="1357">
        <f t="shared" ref="H23" si="2">G23</f>
        <v>25000000</v>
      </c>
      <c r="I23" s="1356">
        <v>0</v>
      </c>
      <c r="J23" s="1356">
        <v>0</v>
      </c>
      <c r="K23" s="1356">
        <v>0</v>
      </c>
      <c r="L23" s="1355">
        <f>H23+I23-J23-K23</f>
        <v>25000000</v>
      </c>
      <c r="M23" s="1357">
        <v>817023</v>
      </c>
      <c r="O23" s="731"/>
    </row>
    <row r="24" spans="1:15" s="94" customFormat="1">
      <c r="A24" s="126">
        <f t="shared" si="1"/>
        <v>7</v>
      </c>
      <c r="B24" s="763" t="s">
        <v>3016</v>
      </c>
      <c r="C24" s="796">
        <v>3.8600000000000002E-2</v>
      </c>
      <c r="D24" s="796" t="s">
        <v>3015</v>
      </c>
      <c r="E24" s="797">
        <v>38924</v>
      </c>
      <c r="F24" s="797">
        <v>46600</v>
      </c>
      <c r="G24" s="1348">
        <v>26720000</v>
      </c>
      <c r="H24" s="1343">
        <v>26720000</v>
      </c>
      <c r="I24" s="1345">
        <v>0</v>
      </c>
      <c r="J24" s="1343">
        <v>31832</v>
      </c>
      <c r="K24" s="1345">
        <v>0</v>
      </c>
      <c r="L24" s="1344">
        <f t="shared" ref="L24:L37" si="3">H24+I24-J24-K24</f>
        <v>26688168</v>
      </c>
      <c r="M24" s="1348">
        <v>1051037</v>
      </c>
      <c r="N24" s="731"/>
      <c r="O24" s="731"/>
    </row>
    <row r="25" spans="1:15" s="94" customFormat="1">
      <c r="A25" s="126">
        <f t="shared" si="1"/>
        <v>8</v>
      </c>
      <c r="B25" s="763" t="s">
        <v>3016</v>
      </c>
      <c r="C25" s="796">
        <v>3.6999999999999998E-2</v>
      </c>
      <c r="D25" s="796" t="s">
        <v>3015</v>
      </c>
      <c r="E25" s="797">
        <v>39785</v>
      </c>
      <c r="F25" s="797">
        <v>46600</v>
      </c>
      <c r="G25" s="1348">
        <v>50000000</v>
      </c>
      <c r="H25" s="1343">
        <v>50000000</v>
      </c>
      <c r="I25" s="1345">
        <v>0</v>
      </c>
      <c r="J25" s="1343">
        <v>129905</v>
      </c>
      <c r="K25" s="1345">
        <v>0</v>
      </c>
      <c r="L25" s="1344">
        <f>H25+I25-J25-K25</f>
        <v>49870095</v>
      </c>
      <c r="M25" s="1348">
        <v>1932045</v>
      </c>
      <c r="N25" s="731"/>
      <c r="O25" s="731"/>
    </row>
    <row r="26" spans="1:15" s="94" customFormat="1">
      <c r="A26" s="126">
        <f t="shared" si="1"/>
        <v>9</v>
      </c>
      <c r="B26" s="763" t="s">
        <v>3016</v>
      </c>
      <c r="C26" s="796">
        <v>6.2E-2</v>
      </c>
      <c r="D26" s="796" t="s">
        <v>3015</v>
      </c>
      <c r="E26" s="797">
        <v>38786</v>
      </c>
      <c r="F26" s="797">
        <v>49744</v>
      </c>
      <c r="G26" s="1348">
        <v>65000000</v>
      </c>
      <c r="H26" s="1343">
        <v>65000000</v>
      </c>
      <c r="I26" s="1343">
        <v>-124984</v>
      </c>
      <c r="J26" s="1343">
        <v>222029</v>
      </c>
      <c r="K26" s="1345">
        <v>0</v>
      </c>
      <c r="L26" s="1344">
        <f t="shared" si="3"/>
        <v>64652987</v>
      </c>
      <c r="M26" s="1348">
        <v>4064048</v>
      </c>
      <c r="N26" s="731"/>
      <c r="O26" s="731"/>
    </row>
    <row r="27" spans="1:15" s="94" customFormat="1">
      <c r="A27" s="126">
        <f t="shared" si="1"/>
        <v>10</v>
      </c>
      <c r="B27" s="763" t="s">
        <v>3016</v>
      </c>
      <c r="C27" s="796">
        <v>3.4200000000000001E-2</v>
      </c>
      <c r="D27" s="796" t="s">
        <v>3015</v>
      </c>
      <c r="E27" s="797">
        <v>42374</v>
      </c>
      <c r="F27" s="797">
        <v>46037</v>
      </c>
      <c r="G27" s="1348">
        <v>45000000</v>
      </c>
      <c r="H27" s="1348">
        <v>24230769</v>
      </c>
      <c r="I27" s="1345">
        <v>0</v>
      </c>
      <c r="J27" s="1343">
        <v>3704</v>
      </c>
      <c r="K27" s="1345">
        <v>0</v>
      </c>
      <c r="L27" s="1344">
        <f t="shared" si="3"/>
        <v>24227065</v>
      </c>
      <c r="M27" s="1348">
        <v>841514</v>
      </c>
      <c r="N27" s="731"/>
      <c r="O27" s="731"/>
    </row>
    <row r="28" spans="1:15" s="94" customFormat="1">
      <c r="A28" s="126">
        <f t="shared" si="1"/>
        <v>11</v>
      </c>
      <c r="B28" s="763" t="s">
        <v>3016</v>
      </c>
      <c r="C28" s="796">
        <v>4.4499999999999998E-2</v>
      </c>
      <c r="D28" s="796" t="s">
        <v>3015</v>
      </c>
      <c r="E28" s="797">
        <v>42374</v>
      </c>
      <c r="F28" s="797">
        <v>53342</v>
      </c>
      <c r="G28" s="1348">
        <v>50000000</v>
      </c>
      <c r="H28" s="1348">
        <v>50000000</v>
      </c>
      <c r="I28" s="1345">
        <v>0</v>
      </c>
      <c r="J28" s="1343">
        <v>177663</v>
      </c>
      <c r="K28" s="1345">
        <v>0</v>
      </c>
      <c r="L28" s="1344">
        <f t="shared" si="3"/>
        <v>49822337</v>
      </c>
      <c r="M28" s="1348">
        <v>2233866</v>
      </c>
      <c r="N28" s="731"/>
      <c r="O28" s="731"/>
    </row>
    <row r="29" spans="1:15" s="94" customFormat="1">
      <c r="A29" s="126">
        <f t="shared" si="1"/>
        <v>12</v>
      </c>
      <c r="B29" s="763" t="s">
        <v>3016</v>
      </c>
      <c r="C29" s="796">
        <v>3.3500000000000002E-2</v>
      </c>
      <c r="D29" s="796" t="s">
        <v>3015</v>
      </c>
      <c r="E29" s="797">
        <v>42985</v>
      </c>
      <c r="F29" s="797">
        <v>47376</v>
      </c>
      <c r="G29" s="1348">
        <v>30000000</v>
      </c>
      <c r="H29" s="1348">
        <v>30000000</v>
      </c>
      <c r="I29" s="1345">
        <v>0</v>
      </c>
      <c r="J29" s="1343">
        <v>38366</v>
      </c>
      <c r="K29" s="1345">
        <v>0</v>
      </c>
      <c r="L29" s="1344">
        <f>H29+I29-J29-K29</f>
        <v>29961634</v>
      </c>
      <c r="M29" s="1348">
        <v>1015354</v>
      </c>
      <c r="N29" s="731"/>
      <c r="O29" s="731"/>
    </row>
    <row r="30" spans="1:15" s="94" customFormat="1">
      <c r="A30" s="126">
        <f t="shared" si="1"/>
        <v>13</v>
      </c>
      <c r="B30" s="763" t="s">
        <v>3016</v>
      </c>
      <c r="C30" s="796">
        <v>4.1099999999999998E-2</v>
      </c>
      <c r="D30" s="796" t="s">
        <v>3015</v>
      </c>
      <c r="E30" s="797">
        <v>42985</v>
      </c>
      <c r="F30" s="797">
        <v>53950</v>
      </c>
      <c r="G30" s="1348">
        <v>30000000</v>
      </c>
      <c r="H30" s="1348">
        <v>30000000</v>
      </c>
      <c r="I30" s="1345">
        <v>0</v>
      </c>
      <c r="J30" s="1343">
        <v>89993</v>
      </c>
      <c r="K30" s="1345">
        <v>0</v>
      </c>
      <c r="L30" s="1344">
        <f t="shared" si="3"/>
        <v>29910007</v>
      </c>
      <c r="M30" s="1348">
        <v>1237146</v>
      </c>
      <c r="N30" s="731"/>
      <c r="O30" s="731"/>
    </row>
    <row r="31" spans="1:15" s="94" customFormat="1">
      <c r="A31" s="126">
        <f t="shared" si="1"/>
        <v>14</v>
      </c>
      <c r="B31" s="763" t="s">
        <v>3016</v>
      </c>
      <c r="C31" s="796">
        <v>4.2599999999999999E-2</v>
      </c>
      <c r="D31" s="796" t="s">
        <v>3015</v>
      </c>
      <c r="E31" s="797">
        <v>42985</v>
      </c>
      <c r="F31" s="797">
        <v>57603</v>
      </c>
      <c r="G31" s="1348">
        <v>30000000</v>
      </c>
      <c r="H31" s="1348">
        <v>30000000</v>
      </c>
      <c r="I31" s="1345">
        <v>0</v>
      </c>
      <c r="J31" s="1343">
        <v>98609</v>
      </c>
      <c r="K31" s="1345">
        <v>0</v>
      </c>
      <c r="L31" s="1344">
        <f t="shared" si="3"/>
        <v>29901391</v>
      </c>
      <c r="M31" s="1348">
        <v>1281110</v>
      </c>
      <c r="N31" s="731"/>
      <c r="O31" s="731"/>
    </row>
    <row r="32" spans="1:15" s="94" customFormat="1">
      <c r="A32" s="126">
        <f t="shared" si="1"/>
        <v>15</v>
      </c>
      <c r="B32" s="757" t="s">
        <v>3016</v>
      </c>
      <c r="C32" s="796">
        <v>4.1799999999999997E-2</v>
      </c>
      <c r="D32" s="796" t="s">
        <v>3015</v>
      </c>
      <c r="E32" s="797">
        <v>43376</v>
      </c>
      <c r="F32" s="797">
        <v>47041</v>
      </c>
      <c r="G32" s="1348">
        <v>40000000</v>
      </c>
      <c r="H32" s="1348">
        <v>40000000</v>
      </c>
      <c r="I32" s="1345"/>
      <c r="J32" s="1343">
        <v>43507</v>
      </c>
      <c r="K32" s="1345"/>
      <c r="L32" s="1344">
        <f t="shared" si="3"/>
        <v>39956493</v>
      </c>
      <c r="M32" s="1348">
        <v>1687600</v>
      </c>
      <c r="N32" s="731"/>
      <c r="O32" s="731"/>
    </row>
    <row r="33" spans="1:15" s="94" customFormat="1">
      <c r="A33" s="126">
        <f t="shared" si="1"/>
        <v>16</v>
      </c>
      <c r="B33" s="757" t="s">
        <v>3016</v>
      </c>
      <c r="C33" s="796">
        <v>4.6199999999999998E-2</v>
      </c>
      <c r="D33" s="796" t="s">
        <v>3015</v>
      </c>
      <c r="E33" s="797">
        <v>43446</v>
      </c>
      <c r="F33" s="797">
        <v>54407</v>
      </c>
      <c r="G33" s="1348">
        <v>35000000</v>
      </c>
      <c r="H33" s="1348">
        <v>35000000</v>
      </c>
      <c r="I33" s="1345">
        <v>0</v>
      </c>
      <c r="J33" s="1343">
        <v>108261</v>
      </c>
      <c r="K33" s="1345">
        <v>0</v>
      </c>
      <c r="L33" s="1344">
        <f t="shared" si="3"/>
        <v>34891739</v>
      </c>
      <c r="M33" s="1348">
        <v>1621716</v>
      </c>
      <c r="N33" s="731"/>
      <c r="O33" s="731"/>
    </row>
    <row r="34" spans="1:15" s="94" customFormat="1">
      <c r="A34" s="126">
        <f t="shared" si="1"/>
        <v>17</v>
      </c>
      <c r="B34" s="757" t="s">
        <v>3016</v>
      </c>
      <c r="C34" s="796">
        <v>3.2300000000000002E-2</v>
      </c>
      <c r="D34" s="796" t="s">
        <v>3015</v>
      </c>
      <c r="E34" s="797">
        <v>43734</v>
      </c>
      <c r="F34" s="797">
        <v>45931</v>
      </c>
      <c r="G34" s="1348">
        <v>95000000</v>
      </c>
      <c r="H34" s="1348">
        <v>29230769</v>
      </c>
      <c r="I34" s="1345">
        <v>0</v>
      </c>
      <c r="J34" s="1343">
        <v>2655</v>
      </c>
      <c r="K34" s="1345">
        <v>0</v>
      </c>
      <c r="L34" s="1344">
        <f t="shared" si="3"/>
        <v>29228114</v>
      </c>
      <c r="M34" s="1348">
        <v>965391</v>
      </c>
      <c r="N34" s="731"/>
      <c r="O34" s="731"/>
    </row>
    <row r="35" spans="1:15" s="94" customFormat="1">
      <c r="A35" s="126">
        <f t="shared" si="1"/>
        <v>18</v>
      </c>
      <c r="B35" s="757" t="s">
        <v>3016</v>
      </c>
      <c r="C35" s="796">
        <v>3.56E-2</v>
      </c>
      <c r="D35" s="796" t="s">
        <v>3015</v>
      </c>
      <c r="E35" s="797">
        <v>43734</v>
      </c>
      <c r="F35" s="797">
        <v>47392</v>
      </c>
      <c r="G35" s="1348">
        <v>75000000</v>
      </c>
      <c r="H35" s="1348">
        <v>75000000</v>
      </c>
      <c r="I35" s="1345">
        <v>0</v>
      </c>
      <c r="J35" s="1343">
        <v>125482</v>
      </c>
      <c r="K35" s="1345">
        <v>0</v>
      </c>
      <c r="L35" s="1344">
        <f t="shared" si="3"/>
        <v>74874518</v>
      </c>
      <c r="M35" s="1348">
        <v>2703462</v>
      </c>
      <c r="N35" s="731"/>
      <c r="O35" s="731"/>
    </row>
    <row r="36" spans="1:15" s="94" customFormat="1">
      <c r="A36" s="126">
        <f t="shared" si="1"/>
        <v>19</v>
      </c>
      <c r="B36" s="757" t="s">
        <v>3016</v>
      </c>
      <c r="C36" s="796">
        <v>2.6499999999999999E-2</v>
      </c>
      <c r="D36" s="796" t="s">
        <v>3015</v>
      </c>
      <c r="E36" s="797">
        <v>44089</v>
      </c>
      <c r="F36" s="797">
        <v>47741</v>
      </c>
      <c r="G36" s="1348">
        <v>35000000</v>
      </c>
      <c r="H36" s="1348">
        <v>35000000</v>
      </c>
      <c r="I36" s="1345">
        <v>0</v>
      </c>
      <c r="J36" s="1343">
        <v>154080</v>
      </c>
      <c r="K36" s="1345">
        <v>0</v>
      </c>
      <c r="L36" s="1344">
        <f t="shared" si="3"/>
        <v>34845920</v>
      </c>
      <c r="M36" s="1348">
        <v>934046</v>
      </c>
      <c r="N36" s="731"/>
      <c r="O36" s="731"/>
    </row>
    <row r="37" spans="1:15" s="94" customFormat="1">
      <c r="A37" s="126">
        <f t="shared" si="1"/>
        <v>20</v>
      </c>
      <c r="B37" s="757" t="s">
        <v>3016</v>
      </c>
      <c r="C37" s="796">
        <v>3.6600000000000001E-2</v>
      </c>
      <c r="D37" s="796" t="s">
        <v>3015</v>
      </c>
      <c r="E37" s="797">
        <v>44089</v>
      </c>
      <c r="F37" s="797">
        <v>55046</v>
      </c>
      <c r="G37" s="1348">
        <v>35000000</v>
      </c>
      <c r="H37" s="1348">
        <v>35000000</v>
      </c>
      <c r="I37" s="1345">
        <v>0</v>
      </c>
      <c r="J37" s="1343">
        <v>59894</v>
      </c>
      <c r="K37" s="1345">
        <v>0</v>
      </c>
      <c r="L37" s="1344">
        <f t="shared" si="3"/>
        <v>34940106</v>
      </c>
      <c r="M37" s="1348">
        <v>1293728</v>
      </c>
      <c r="N37" s="731"/>
      <c r="O37" s="731"/>
    </row>
    <row r="38" spans="1:15" s="94" customFormat="1">
      <c r="A38" s="126">
        <f t="shared" si="1"/>
        <v>21</v>
      </c>
      <c r="B38" s="757" t="s">
        <v>3016</v>
      </c>
      <c r="C38" s="796">
        <v>4.3200000000000002E-2</v>
      </c>
      <c r="D38" s="796" t="s">
        <v>3015</v>
      </c>
      <c r="E38" s="797">
        <v>43663</v>
      </c>
      <c r="F38" s="797">
        <v>54619</v>
      </c>
      <c r="G38" s="1348">
        <v>40000000</v>
      </c>
      <c r="H38" s="1348">
        <v>40000000</v>
      </c>
      <c r="I38" s="1657"/>
      <c r="J38" s="1343">
        <v>104820</v>
      </c>
      <c r="K38" s="1657"/>
      <c r="L38" s="1650">
        <f>H38+I38-J38-K38</f>
        <v>39895180</v>
      </c>
      <c r="M38" s="1348">
        <v>1732243</v>
      </c>
      <c r="N38" s="1668"/>
      <c r="O38" s="1668"/>
    </row>
    <row r="39" spans="1:15" s="94" customFormat="1">
      <c r="A39" s="126">
        <f t="shared" si="1"/>
        <v>22</v>
      </c>
      <c r="B39" s="757" t="s">
        <v>3016</v>
      </c>
      <c r="C39" s="796">
        <v>5.8999999999999997E-2</v>
      </c>
      <c r="D39" s="796" t="s">
        <v>3015</v>
      </c>
      <c r="E39" s="797">
        <v>45471</v>
      </c>
      <c r="F39" s="797">
        <v>11519</v>
      </c>
      <c r="G39" s="1348">
        <v>80000000</v>
      </c>
      <c r="H39" s="1348">
        <v>80000000</v>
      </c>
      <c r="I39" s="1657"/>
      <c r="J39" s="1343">
        <v>268571</v>
      </c>
      <c r="K39" s="1657"/>
      <c r="L39" s="1650">
        <f>H39+I39-J39-K39</f>
        <v>79731429</v>
      </c>
      <c r="M39" s="1348">
        <v>4768488</v>
      </c>
      <c r="N39" s="1668"/>
      <c r="O39" s="1668"/>
    </row>
    <row r="40" spans="1:15" s="94" customFormat="1">
      <c r="A40" s="126">
        <f t="shared" si="1"/>
        <v>23</v>
      </c>
      <c r="B40" s="757" t="s">
        <v>3016</v>
      </c>
      <c r="C40" s="796">
        <v>0.06</v>
      </c>
      <c r="D40" s="796" t="s">
        <v>3015</v>
      </c>
      <c r="E40" s="797">
        <v>45471</v>
      </c>
      <c r="F40" s="797">
        <v>12615</v>
      </c>
      <c r="G40" s="1348">
        <v>95000000</v>
      </c>
      <c r="H40" s="1348">
        <v>95000000</v>
      </c>
      <c r="I40" s="1657"/>
      <c r="J40" s="1343">
        <v>338810</v>
      </c>
      <c r="K40" s="1657"/>
      <c r="L40" s="1650">
        <f t="shared" ref="L40:L43" si="4">H40+I40-J40-K40</f>
        <v>94661190</v>
      </c>
      <c r="M40" s="1348">
        <v>5739678</v>
      </c>
      <c r="N40" s="1668"/>
      <c r="O40" s="1668"/>
    </row>
    <row r="41" spans="1:15" s="94" customFormat="1">
      <c r="A41" s="126">
        <f t="shared" si="1"/>
        <v>24</v>
      </c>
      <c r="B41" s="757" t="s">
        <v>3016</v>
      </c>
      <c r="C41" s="796">
        <v>6.1699999999999998E-2</v>
      </c>
      <c r="D41" s="796" t="s">
        <v>3015</v>
      </c>
      <c r="E41" s="797">
        <v>45471</v>
      </c>
      <c r="F41" s="797">
        <v>14441</v>
      </c>
      <c r="G41" s="1348">
        <v>50000000</v>
      </c>
      <c r="H41" s="1348">
        <v>50000000</v>
      </c>
      <c r="I41" s="1657"/>
      <c r="J41" s="1343">
        <v>187889</v>
      </c>
      <c r="K41" s="1657"/>
      <c r="L41" s="1650">
        <f t="shared" si="4"/>
        <v>49812111</v>
      </c>
      <c r="M41" s="1348">
        <v>3098878</v>
      </c>
      <c r="N41" s="1668"/>
      <c r="O41" s="1668"/>
    </row>
    <row r="42" spans="1:15" s="94" customFormat="1">
      <c r="A42" s="126">
        <f t="shared" si="1"/>
        <v>25</v>
      </c>
      <c r="B42" s="757" t="s">
        <v>3016</v>
      </c>
      <c r="C42" s="796">
        <v>5.6000000000000001E-2</v>
      </c>
      <c r="D42" s="796" t="s">
        <v>3015</v>
      </c>
      <c r="E42" s="797">
        <v>45915</v>
      </c>
      <c r="F42" s="797">
        <v>53220</v>
      </c>
      <c r="G42" s="1348">
        <v>150000000</v>
      </c>
      <c r="H42" s="1348">
        <v>115384615</v>
      </c>
      <c r="I42" s="1657"/>
      <c r="J42" s="1343">
        <v>362308</v>
      </c>
      <c r="K42" s="1657"/>
      <c r="L42" s="1650">
        <f t="shared" si="4"/>
        <v>115022307</v>
      </c>
      <c r="M42" s="1348">
        <v>6480000</v>
      </c>
      <c r="N42" s="1668"/>
      <c r="O42" s="1668"/>
    </row>
    <row r="43" spans="1:15" s="94" customFormat="1">
      <c r="A43" s="126">
        <f t="shared" si="1"/>
        <v>26</v>
      </c>
      <c r="B43" s="757" t="s">
        <v>3016</v>
      </c>
      <c r="C43" s="796">
        <v>5.7000000000000002E-2</v>
      </c>
      <c r="D43" s="796" t="s">
        <v>3015</v>
      </c>
      <c r="E43" s="797">
        <v>46157</v>
      </c>
      <c r="F43" s="797">
        <v>16937</v>
      </c>
      <c r="G43" s="1348">
        <v>175000000</v>
      </c>
      <c r="H43" s="1348">
        <v>26923077</v>
      </c>
      <c r="I43" s="1657"/>
      <c r="J43" s="1343">
        <v>92115</v>
      </c>
      <c r="K43" s="1657"/>
      <c r="L43" s="1650">
        <f t="shared" si="4"/>
        <v>26830962</v>
      </c>
      <c r="M43" s="1348">
        <v>1539231</v>
      </c>
      <c r="N43" s="1668"/>
      <c r="O43" s="1668"/>
    </row>
    <row r="44" spans="1:15" s="94" customFormat="1">
      <c r="A44" s="126">
        <f t="shared" si="1"/>
        <v>27</v>
      </c>
      <c r="B44" s="1258"/>
      <c r="C44" s="796"/>
      <c r="D44" s="796"/>
      <c r="E44" s="797"/>
      <c r="F44" s="797"/>
      <c r="G44" s="1348"/>
      <c r="H44" s="1348"/>
      <c r="I44" s="1657"/>
      <c r="J44" s="1343"/>
      <c r="K44" s="1657"/>
      <c r="L44" s="1650"/>
      <c r="M44" s="1348"/>
      <c r="N44" s="1668"/>
      <c r="O44" s="1668"/>
    </row>
    <row r="45" spans="1:15" s="94" customFormat="1">
      <c r="A45" s="126">
        <f t="shared" si="1"/>
        <v>28</v>
      </c>
      <c r="B45" s="763" t="s">
        <v>3017</v>
      </c>
      <c r="C45" s="1263"/>
      <c r="D45" s="798"/>
      <c r="E45" s="762">
        <v>0</v>
      </c>
      <c r="F45" s="797">
        <v>46464</v>
      </c>
      <c r="G45" s="1345">
        <v>0</v>
      </c>
      <c r="H45" s="1345">
        <v>0</v>
      </c>
      <c r="I45" s="1358">
        <v>0</v>
      </c>
      <c r="J45" s="1343">
        <v>360446</v>
      </c>
      <c r="K45" s="1345">
        <v>0</v>
      </c>
      <c r="L45" s="1344">
        <f t="shared" ref="L45" si="5">H45+I45-J45-K45</f>
        <v>-360446</v>
      </c>
      <c r="M45" s="1343">
        <v>112347</v>
      </c>
      <c r="N45" s="731"/>
      <c r="O45" s="731"/>
    </row>
    <row r="46" spans="1:15" s="94" customFormat="1">
      <c r="A46" s="126">
        <f t="shared" si="1"/>
        <v>29</v>
      </c>
      <c r="B46" s="763" t="s">
        <v>3018</v>
      </c>
      <c r="C46" s="1263"/>
      <c r="D46" s="798"/>
      <c r="E46" s="762"/>
      <c r="F46" s="797"/>
      <c r="G46" s="1345"/>
      <c r="H46" s="1345"/>
      <c r="I46" s="1358"/>
      <c r="J46" s="1343"/>
      <c r="K46" s="1345"/>
      <c r="L46" s="1344"/>
      <c r="M46" s="1343">
        <v>511511</v>
      </c>
      <c r="N46" s="731"/>
      <c r="O46" s="731"/>
    </row>
    <row r="47" spans="1:15" s="94" customFormat="1">
      <c r="A47" s="126">
        <f t="shared" si="1"/>
        <v>30</v>
      </c>
      <c r="B47" s="763"/>
      <c r="C47" s="1263"/>
      <c r="D47" s="798"/>
      <c r="E47" s="762"/>
      <c r="F47" s="797"/>
      <c r="G47" s="1345"/>
      <c r="H47" s="1348"/>
      <c r="I47" s="1358"/>
      <c r="J47" s="1348"/>
      <c r="K47" s="1345"/>
      <c r="L47" s="1344"/>
      <c r="M47" s="1343"/>
      <c r="N47" s="731"/>
      <c r="O47" s="731"/>
    </row>
    <row r="48" spans="1:15" s="94" customFormat="1">
      <c r="A48" s="126">
        <f t="shared" si="1"/>
        <v>31</v>
      </c>
      <c r="B48" s="766" t="s">
        <v>3019</v>
      </c>
      <c r="C48" s="1263"/>
      <c r="D48" s="798"/>
      <c r="E48" s="762"/>
      <c r="F48" s="797"/>
      <c r="G48" s="1345"/>
      <c r="H48" s="1345"/>
      <c r="I48" s="1345"/>
      <c r="J48" s="1343"/>
      <c r="K48" s="1345"/>
      <c r="L48" s="1344"/>
      <c r="M48" s="1346"/>
      <c r="N48" s="731"/>
      <c r="O48" s="731"/>
    </row>
    <row r="49" spans="1:15" s="94" customFormat="1">
      <c r="A49" s="126">
        <f t="shared" si="1"/>
        <v>32</v>
      </c>
      <c r="B49" s="757" t="s">
        <v>3016</v>
      </c>
      <c r="C49" s="1666">
        <v>3.4200000000000001E-2</v>
      </c>
      <c r="D49" s="1666" t="s">
        <v>3015</v>
      </c>
      <c r="E49" s="1667">
        <v>42374</v>
      </c>
      <c r="F49" s="1667">
        <v>46037</v>
      </c>
      <c r="G49" s="1656">
        <v>-45000000</v>
      </c>
      <c r="H49" s="1656">
        <v>-24230769</v>
      </c>
      <c r="I49" s="1665"/>
      <c r="J49" s="1651">
        <v>-3703.9638461538466</v>
      </c>
      <c r="K49" s="1665"/>
      <c r="L49" s="1650">
        <v>-24227065.036153845</v>
      </c>
      <c r="M49" s="1665">
        <v>-841513.60749230778</v>
      </c>
      <c r="N49" s="1668"/>
      <c r="O49" s="1668"/>
    </row>
    <row r="50" spans="1:15" s="94" customFormat="1">
      <c r="A50" s="126">
        <f t="shared" si="1"/>
        <v>33</v>
      </c>
      <c r="B50" s="757" t="s">
        <v>3016</v>
      </c>
      <c r="C50" s="1666">
        <v>3.2300000000000002E-2</v>
      </c>
      <c r="D50" s="1666" t="s">
        <v>3015</v>
      </c>
      <c r="E50" s="1667">
        <v>43734</v>
      </c>
      <c r="F50" s="1667">
        <v>45931</v>
      </c>
      <c r="G50" s="1656">
        <v>-95000000</v>
      </c>
      <c r="H50" s="1656">
        <v>-29230769</v>
      </c>
      <c r="I50" s="1665">
        <v>0</v>
      </c>
      <c r="J50" s="1651">
        <v>-2654.6507692307696</v>
      </c>
      <c r="K50" s="1665">
        <v>0</v>
      </c>
      <c r="L50" s="1650">
        <v>-29228114.34923077</v>
      </c>
      <c r="M50" s="1656">
        <v>-965390.92177692312</v>
      </c>
      <c r="N50" s="1668"/>
      <c r="O50" s="1668"/>
    </row>
    <row r="51" spans="1:15" s="94" customFormat="1">
      <c r="A51" s="126">
        <f t="shared" si="1"/>
        <v>34</v>
      </c>
      <c r="B51" s="763"/>
      <c r="C51" s="323"/>
      <c r="D51" s="324"/>
      <c r="E51" s="322"/>
      <c r="F51" s="322"/>
      <c r="G51" s="1261"/>
      <c r="H51" s="1261"/>
      <c r="I51" s="1353"/>
      <c r="J51" s="1353"/>
      <c r="K51" s="1353"/>
      <c r="L51" s="1344"/>
      <c r="M51" s="1353"/>
      <c r="N51" s="731"/>
    </row>
    <row r="52" spans="1:15" s="94" customFormat="1" ht="13.8" thickBot="1">
      <c r="A52" s="126">
        <f t="shared" si="1"/>
        <v>35</v>
      </c>
      <c r="D52" s="169" t="s">
        <v>3020</v>
      </c>
      <c r="G52" s="1707">
        <f t="shared" ref="G52:M52" si="6">SUM(G18:G51)</f>
        <v>1116720000</v>
      </c>
      <c r="H52" s="1707">
        <f t="shared" si="6"/>
        <v>934027692</v>
      </c>
      <c r="I52" s="1707">
        <f t="shared" si="6"/>
        <v>-124984</v>
      </c>
      <c r="J52" s="1707">
        <f t="shared" si="6"/>
        <v>2994580.385384615</v>
      </c>
      <c r="K52" s="1707">
        <f t="shared" si="6"/>
        <v>24842</v>
      </c>
      <c r="L52" s="1707">
        <f t="shared" si="6"/>
        <v>930883285.61461544</v>
      </c>
      <c r="M52" s="1707">
        <f t="shared" si="6"/>
        <v>45879963.470730774</v>
      </c>
      <c r="N52" s="731"/>
    </row>
    <row r="53" spans="1:15" s="94" customFormat="1" ht="13.8" thickTop="1">
      <c r="A53" s="126">
        <f t="shared" si="1"/>
        <v>36</v>
      </c>
      <c r="G53" s="325"/>
      <c r="H53" s="326"/>
      <c r="I53" s="326"/>
      <c r="J53" s="326"/>
      <c r="K53" s="326"/>
      <c r="L53" s="326"/>
      <c r="M53" s="326"/>
      <c r="N53" s="731"/>
    </row>
    <row r="54" spans="1:15" s="94" customFormat="1">
      <c r="A54" s="126">
        <f t="shared" si="1"/>
        <v>37</v>
      </c>
      <c r="G54" s="327"/>
      <c r="H54" s="326"/>
      <c r="I54" s="326"/>
      <c r="J54" s="326"/>
      <c r="K54" s="326"/>
      <c r="L54" s="326"/>
      <c r="M54" s="326"/>
      <c r="N54" s="731"/>
    </row>
    <row r="55" spans="1:15" s="94" customFormat="1" ht="13.8" thickBot="1">
      <c r="A55" s="126">
        <f t="shared" si="1"/>
        <v>38</v>
      </c>
      <c r="D55" s="169" t="s">
        <v>3021</v>
      </c>
      <c r="M55" s="1974">
        <f>ROUND(M52/L52,5)</f>
        <v>4.929E-2</v>
      </c>
    </row>
    <row r="56" spans="1:15" s="94" customFormat="1" ht="13.8" thickTop="1">
      <c r="A56" s="126"/>
      <c r="M56" s="104"/>
    </row>
    <row r="57" spans="1:15" s="94" customFormat="1">
      <c r="A57" s="126"/>
      <c r="B57" s="1257" t="s">
        <v>3022</v>
      </c>
    </row>
    <row r="58" spans="1:15" s="94" customFormat="1">
      <c r="A58" s="126"/>
      <c r="B58" s="94" t="s">
        <v>3023</v>
      </c>
    </row>
    <row r="59" spans="1:15" s="94" customFormat="1">
      <c r="A59" s="126"/>
      <c r="B59" s="2430"/>
      <c r="C59" s="2430"/>
      <c r="D59" s="2430"/>
      <c r="E59" s="2430"/>
      <c r="F59" s="2430"/>
      <c r="G59" s="2430"/>
      <c r="H59" s="2430"/>
      <c r="I59" s="2430"/>
      <c r="J59" s="2430"/>
      <c r="N59" s="759"/>
    </row>
    <row r="60" spans="1:15" s="94" customFormat="1">
      <c r="M60" s="104"/>
    </row>
    <row r="61" spans="1:15" s="94" customFormat="1">
      <c r="A61" s="169"/>
    </row>
    <row r="62" spans="1:15" s="94" customFormat="1">
      <c r="A62" s="169"/>
    </row>
    <row r="63" spans="1:15" s="94" customFormat="1"/>
    <row r="64" spans="1:15" s="94" customFormat="1"/>
    <row r="65" s="94" customFormat="1"/>
    <row r="66" s="94" customFormat="1"/>
    <row r="67" s="94" customFormat="1"/>
    <row r="68" s="94" customFormat="1"/>
    <row r="69" s="94" customFormat="1"/>
  </sheetData>
  <mergeCells count="1">
    <mergeCell ref="B59:J59"/>
  </mergeCells>
  <phoneticPr fontId="19" type="noConversion"/>
  <pageMargins left="1" right="0.75" top="1" bottom="1" header="0.5" footer="0.5"/>
  <pageSetup scale="58" orientation="landscape" horizontalDpi="300" verticalDpi="300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75">
    <tabColor theme="3" tint="-0.249977111117893"/>
    <pageSetUpPr fitToPage="1"/>
  </sheetPr>
  <dimension ref="A1:R49"/>
  <sheetViews>
    <sheetView workbookViewId="0"/>
  </sheetViews>
  <sheetFormatPr defaultColWidth="8" defaultRowHeight="13.2"/>
  <cols>
    <col min="1" max="1" width="5.44140625" customWidth="1"/>
    <col min="2" max="2" width="1" customWidth="1"/>
    <col min="3" max="3" width="38.44140625" customWidth="1"/>
    <col min="4" max="4" width="1.5546875" customWidth="1"/>
    <col min="5" max="5" width="13.5546875" customWidth="1"/>
    <col min="6" max="6" width="3.44140625" customWidth="1"/>
    <col min="7" max="7" width="22.44140625" customWidth="1"/>
    <col min="8" max="8" width="15.44140625" customWidth="1"/>
    <col min="9" max="9" width="15.5546875" customWidth="1"/>
    <col min="10" max="11" width="19.5546875" customWidth="1"/>
    <col min="12" max="12" width="15.44140625" customWidth="1"/>
    <col min="13" max="13" width="16" customWidth="1"/>
  </cols>
  <sheetData>
    <row r="1" spans="1:18">
      <c r="A1" s="125" t="str">
        <f>COMPANY</f>
        <v>DUKE ENERGY KENTUCKY, INC.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94"/>
      <c r="O1" s="94"/>
      <c r="P1" s="94"/>
      <c r="Q1" s="94"/>
      <c r="R1" s="94"/>
    </row>
    <row r="2" spans="1:18">
      <c r="A2" s="125" t="str">
        <f>CASE</f>
        <v>CASE NO. 2024-00354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94"/>
      <c r="O2" s="94"/>
      <c r="P2" s="94"/>
      <c r="Q2" s="94"/>
      <c r="R2" s="94"/>
    </row>
    <row r="3" spans="1:18">
      <c r="A3" s="318" t="s">
        <v>3024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94"/>
      <c r="O3" s="94"/>
      <c r="P3" s="94"/>
      <c r="Q3" s="94"/>
      <c r="R3" s="94"/>
    </row>
    <row r="4" spans="1:18">
      <c r="A4" s="125"/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94"/>
      <c r="O4" s="94"/>
      <c r="P4" s="94"/>
      <c r="Q4" s="94"/>
      <c r="R4" s="94"/>
    </row>
    <row r="5" spans="1:18">
      <c r="A5" s="318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94"/>
      <c r="O5" s="94"/>
      <c r="P5" s="94"/>
      <c r="Q5" s="94"/>
      <c r="R5" s="94"/>
    </row>
    <row r="6" spans="1:18">
      <c r="A6" s="259" t="str">
        <f>LOGO!B12</f>
        <v>DATA: "X" BASE PERIOD   FORECASTED PERIOD</v>
      </c>
      <c r="B6" s="125"/>
      <c r="C6" s="125"/>
      <c r="D6" s="125"/>
      <c r="E6" s="125"/>
      <c r="F6" s="125"/>
      <c r="G6" s="2403"/>
      <c r="H6" s="125"/>
      <c r="I6" s="125"/>
      <c r="J6" s="125"/>
      <c r="K6" s="125"/>
      <c r="L6" s="169" t="s">
        <v>3025</v>
      </c>
      <c r="M6" s="125"/>
      <c r="N6" s="94"/>
      <c r="O6" s="94"/>
      <c r="P6" s="94"/>
      <c r="Q6" s="94"/>
      <c r="R6" s="94"/>
    </row>
    <row r="7" spans="1:18">
      <c r="A7" s="169" t="str">
        <f>"DATE OF LONG-TERM DEBT: "&amp;RIGHT(TESTYR,(LEN(TESTYR)-16))</f>
        <v>DATE OF LONG-TERM DEBT: FEBRUARY 28, 2025</v>
      </c>
      <c r="B7" s="94"/>
      <c r="C7" s="94"/>
      <c r="D7" s="94"/>
      <c r="E7" s="94"/>
      <c r="F7" s="94"/>
      <c r="G7" s="2403"/>
      <c r="H7" s="94"/>
      <c r="I7" s="94"/>
      <c r="J7" s="94"/>
      <c r="K7" s="94"/>
      <c r="L7" s="169" t="s">
        <v>466</v>
      </c>
      <c r="M7" s="94"/>
      <c r="N7" s="94"/>
      <c r="O7" s="94"/>
      <c r="P7" s="94"/>
      <c r="Q7" s="94"/>
      <c r="R7" s="94"/>
    </row>
    <row r="8" spans="1:18">
      <c r="A8" s="169" t="str">
        <f>LOGO!B15</f>
        <v xml:space="preserve">TYPE OF FILING:  "X" ORIGINAL   UPDATED    REVISED  </v>
      </c>
      <c r="B8" s="94"/>
      <c r="C8" s="94"/>
      <c r="D8" s="94"/>
      <c r="E8" s="94"/>
      <c r="F8" s="94"/>
      <c r="G8" s="2403"/>
      <c r="H8" s="94"/>
      <c r="I8" s="94"/>
      <c r="J8" s="94"/>
      <c r="K8" s="94"/>
      <c r="L8" s="169" t="s">
        <v>468</v>
      </c>
      <c r="M8" s="94"/>
      <c r="N8" s="94"/>
      <c r="O8" s="94"/>
      <c r="P8" s="94"/>
      <c r="Q8" s="94"/>
      <c r="R8" s="94"/>
    </row>
    <row r="9" spans="1:18">
      <c r="A9" s="169" t="s">
        <v>723</v>
      </c>
      <c r="B9" s="94"/>
      <c r="C9" s="94"/>
      <c r="D9" s="94"/>
      <c r="E9" s="94"/>
      <c r="F9" s="94"/>
      <c r="G9" s="2403"/>
      <c r="H9" s="94"/>
      <c r="I9" s="94"/>
      <c r="J9" s="94"/>
      <c r="K9" s="94"/>
      <c r="L9" s="169" t="str">
        <f>_WIT4</f>
        <v>T. J. HEATH JR.</v>
      </c>
      <c r="M9" s="94"/>
      <c r="N9" s="94"/>
      <c r="O9" s="94"/>
      <c r="P9" s="94"/>
      <c r="Q9" s="94"/>
      <c r="R9" s="94"/>
    </row>
    <row r="10" spans="1:18">
      <c r="A10" s="94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</row>
    <row r="11" spans="1:18">
      <c r="A11" s="1515"/>
      <c r="B11" s="1515"/>
      <c r="C11" s="1515"/>
      <c r="D11" s="1515"/>
      <c r="E11" s="1515"/>
      <c r="F11" s="1515"/>
      <c r="G11" s="1515"/>
      <c r="H11" s="1515"/>
      <c r="I11" s="1515"/>
      <c r="J11" s="1515"/>
      <c r="K11" s="1515"/>
      <c r="L11" s="1515"/>
      <c r="M11" s="1515"/>
      <c r="N11" s="94"/>
      <c r="O11" s="94"/>
      <c r="P11" s="94"/>
      <c r="Q11" s="94"/>
      <c r="R11" s="94"/>
    </row>
    <row r="12" spans="1:18">
      <c r="A12" s="94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</row>
    <row r="13" spans="1:18">
      <c r="A13" s="94"/>
      <c r="B13" s="94"/>
      <c r="C13" s="94"/>
      <c r="D13" s="94"/>
      <c r="E13" s="94"/>
      <c r="F13" s="94"/>
      <c r="G13" s="126"/>
      <c r="H13" s="94"/>
      <c r="I13" s="94"/>
      <c r="J13" s="126" t="s">
        <v>3026</v>
      </c>
      <c r="K13" s="126"/>
      <c r="L13" s="94"/>
      <c r="M13" s="94"/>
      <c r="N13" s="94"/>
      <c r="O13" s="94"/>
      <c r="P13" s="94"/>
      <c r="Q13" s="94"/>
      <c r="R13" s="94"/>
    </row>
    <row r="14" spans="1:18">
      <c r="A14" s="126" t="s">
        <v>471</v>
      </c>
      <c r="B14" s="94"/>
      <c r="C14" s="126" t="s">
        <v>3027</v>
      </c>
      <c r="D14" s="94"/>
      <c r="E14" s="126" t="s">
        <v>2719</v>
      </c>
      <c r="F14" s="94"/>
      <c r="G14" s="126" t="s">
        <v>975</v>
      </c>
      <c r="H14" s="126" t="s">
        <v>3028</v>
      </c>
      <c r="I14" s="126" t="s">
        <v>2986</v>
      </c>
      <c r="J14" s="126" t="s">
        <v>2984</v>
      </c>
      <c r="K14" s="126" t="s">
        <v>3029</v>
      </c>
      <c r="L14" s="126" t="s">
        <v>3030</v>
      </c>
      <c r="M14" s="126" t="s">
        <v>3031</v>
      </c>
      <c r="N14" s="94"/>
      <c r="O14" s="94"/>
      <c r="P14" s="94"/>
      <c r="Q14" s="94"/>
      <c r="R14" s="94"/>
    </row>
    <row r="15" spans="1:18">
      <c r="A15" s="126" t="s">
        <v>475</v>
      </c>
      <c r="B15" s="94"/>
      <c r="C15" s="126" t="s">
        <v>3032</v>
      </c>
      <c r="D15" s="94"/>
      <c r="E15" s="126" t="s">
        <v>3006</v>
      </c>
      <c r="F15" s="94"/>
      <c r="G15" s="126" t="s">
        <v>2987</v>
      </c>
      <c r="H15" s="126" t="s">
        <v>3033</v>
      </c>
      <c r="I15" s="126" t="s">
        <v>1736</v>
      </c>
      <c r="J15" s="126" t="s">
        <v>3034</v>
      </c>
      <c r="K15" s="126" t="s">
        <v>3035</v>
      </c>
      <c r="L15" s="126" t="s">
        <v>3036</v>
      </c>
      <c r="M15" s="126" t="s">
        <v>3037</v>
      </c>
      <c r="N15" s="94"/>
      <c r="O15" s="94"/>
      <c r="P15" s="94"/>
      <c r="Q15" s="94"/>
      <c r="R15" s="94"/>
    </row>
    <row r="16" spans="1:18">
      <c r="A16" s="94"/>
      <c r="B16" s="94"/>
      <c r="C16" s="94"/>
      <c r="D16" s="94"/>
      <c r="E16" s="126" t="s">
        <v>853</v>
      </c>
      <c r="F16" s="94"/>
      <c r="G16" s="126" t="s">
        <v>1104</v>
      </c>
      <c r="H16" s="126" t="s">
        <v>856</v>
      </c>
      <c r="I16" s="126" t="s">
        <v>857</v>
      </c>
      <c r="J16" s="126" t="s">
        <v>858</v>
      </c>
      <c r="K16" s="126" t="s">
        <v>3038</v>
      </c>
      <c r="L16" s="126" t="s">
        <v>2610</v>
      </c>
      <c r="M16" s="126" t="s">
        <v>3039</v>
      </c>
      <c r="N16" s="94"/>
      <c r="O16" s="94"/>
      <c r="P16" s="94"/>
      <c r="Q16" s="94"/>
      <c r="R16" s="94"/>
    </row>
    <row r="17" spans="1:18">
      <c r="A17" s="1515"/>
      <c r="B17" s="1515"/>
      <c r="C17" s="1515"/>
      <c r="D17" s="1515"/>
      <c r="E17" s="1515"/>
      <c r="F17" s="1515"/>
      <c r="G17" s="1515"/>
      <c r="H17" s="1515"/>
      <c r="I17" s="1515"/>
      <c r="J17" s="1515"/>
      <c r="K17" s="1515"/>
      <c r="L17" s="1408"/>
      <c r="M17" s="1515"/>
      <c r="N17" s="94"/>
      <c r="O17" s="94"/>
      <c r="P17" s="94"/>
      <c r="Q17" s="94"/>
      <c r="R17" s="94"/>
    </row>
    <row r="18" spans="1:18">
      <c r="A18" s="94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</row>
    <row r="19" spans="1:18">
      <c r="A19" s="94">
        <v>1</v>
      </c>
      <c r="B19" s="94"/>
      <c r="C19" s="2404"/>
      <c r="D19" s="191"/>
      <c r="E19" s="322"/>
      <c r="F19" s="170"/>
      <c r="G19" s="170"/>
      <c r="H19" s="170"/>
      <c r="I19" s="170"/>
      <c r="J19" s="170"/>
      <c r="K19" s="166"/>
      <c r="L19" s="94"/>
      <c r="M19" s="170"/>
      <c r="N19" s="94"/>
      <c r="O19" s="94"/>
      <c r="P19" s="94"/>
      <c r="Q19" s="94"/>
      <c r="R19" s="94"/>
    </row>
    <row r="20" spans="1:18">
      <c r="A20" s="94"/>
      <c r="B20" s="94"/>
      <c r="C20" s="191"/>
      <c r="D20" s="191"/>
      <c r="E20" s="170"/>
      <c r="F20" s="170"/>
      <c r="G20" s="170"/>
      <c r="H20" s="170"/>
      <c r="I20" s="170"/>
      <c r="J20" s="166"/>
      <c r="K20" s="191"/>
      <c r="L20" s="94"/>
      <c r="M20" s="166"/>
      <c r="N20" s="94"/>
      <c r="O20" s="94"/>
      <c r="P20" s="94"/>
      <c r="Q20" s="94"/>
      <c r="R20" s="94"/>
    </row>
    <row r="21" spans="1:18">
      <c r="A21" s="94">
        <v>2</v>
      </c>
      <c r="B21" s="94"/>
      <c r="C21" s="2404"/>
      <c r="D21" s="191"/>
      <c r="E21" s="322"/>
      <c r="F21" s="170"/>
      <c r="G21" s="170"/>
      <c r="H21" s="170"/>
      <c r="I21" s="170"/>
      <c r="J21" s="170"/>
      <c r="K21" s="166"/>
      <c r="L21" s="94"/>
      <c r="M21" s="170"/>
      <c r="N21" s="94"/>
      <c r="O21" s="94"/>
      <c r="P21" s="94"/>
      <c r="Q21" s="94"/>
      <c r="R21" s="94"/>
    </row>
    <row r="22" spans="1:18">
      <c r="A22" s="94"/>
      <c r="B22" s="94"/>
      <c r="C22" s="191"/>
      <c r="D22" s="191"/>
      <c r="E22" s="170"/>
      <c r="F22" s="170"/>
      <c r="G22" s="170"/>
      <c r="H22" s="170"/>
      <c r="I22" s="170"/>
      <c r="J22" s="166"/>
      <c r="K22" s="191"/>
      <c r="L22" s="94"/>
      <c r="M22" s="166"/>
      <c r="N22" s="94"/>
      <c r="O22" s="94"/>
      <c r="P22" s="94"/>
      <c r="Q22" s="94"/>
      <c r="R22" s="94"/>
    </row>
    <row r="23" spans="1:18">
      <c r="A23" s="94">
        <v>3</v>
      </c>
      <c r="B23" s="94"/>
      <c r="C23" s="2404"/>
      <c r="D23" s="191"/>
      <c r="E23" s="322"/>
      <c r="F23" s="170"/>
      <c r="G23" s="170"/>
      <c r="H23" s="170"/>
      <c r="I23" s="170"/>
      <c r="J23" s="170"/>
      <c r="K23" s="166"/>
      <c r="L23" s="94"/>
      <c r="M23" s="170"/>
      <c r="N23" s="94"/>
      <c r="O23" s="94"/>
      <c r="P23" s="94"/>
      <c r="Q23" s="94"/>
      <c r="R23" s="94"/>
    </row>
    <row r="24" spans="1:18">
      <c r="A24" s="94"/>
      <c r="B24" s="94"/>
      <c r="C24" s="191"/>
      <c r="D24" s="191"/>
      <c r="E24" s="170"/>
      <c r="F24" s="170"/>
      <c r="G24" s="170"/>
      <c r="H24" s="170"/>
      <c r="I24" s="170"/>
      <c r="J24" s="166"/>
      <c r="K24" s="191"/>
      <c r="L24" s="94"/>
      <c r="M24" s="166"/>
      <c r="N24" s="94"/>
      <c r="O24" s="94"/>
      <c r="P24" s="94"/>
      <c r="Q24" s="94"/>
      <c r="R24" s="94"/>
    </row>
    <row r="25" spans="1:18">
      <c r="A25" s="94">
        <v>4</v>
      </c>
      <c r="B25" s="94"/>
      <c r="C25" s="2404"/>
      <c r="D25" s="191"/>
      <c r="E25" s="322"/>
      <c r="F25" s="170"/>
      <c r="G25" s="170"/>
      <c r="H25" s="170"/>
      <c r="I25" s="170"/>
      <c r="J25" s="170"/>
      <c r="K25" s="166"/>
      <c r="L25" s="94"/>
      <c r="M25" s="170"/>
      <c r="N25" s="94"/>
      <c r="O25" s="94"/>
      <c r="P25" s="94"/>
      <c r="Q25" s="94"/>
      <c r="R25" s="94"/>
    </row>
    <row r="26" spans="1:18">
      <c r="A26" s="94"/>
      <c r="B26" s="94"/>
      <c r="C26" s="191"/>
      <c r="D26" s="191"/>
      <c r="E26" s="170"/>
      <c r="F26" s="170"/>
      <c r="G26" s="170"/>
      <c r="H26" s="170"/>
      <c r="I26" s="170"/>
      <c r="J26" s="166"/>
      <c r="K26" s="170"/>
      <c r="L26" s="94"/>
      <c r="M26" s="166"/>
      <c r="N26" s="94"/>
      <c r="O26" s="94"/>
      <c r="P26" s="94"/>
      <c r="Q26" s="94"/>
      <c r="R26" s="94"/>
    </row>
    <row r="27" spans="1:18">
      <c r="A27" s="94">
        <v>5</v>
      </c>
      <c r="B27" s="94"/>
      <c r="C27" s="2404"/>
      <c r="D27" s="191"/>
      <c r="E27" s="322"/>
      <c r="F27" s="170"/>
      <c r="G27" s="170"/>
      <c r="H27" s="170"/>
      <c r="I27" s="170"/>
      <c r="J27" s="170"/>
      <c r="K27" s="166"/>
      <c r="L27" s="94"/>
      <c r="M27" s="170"/>
      <c r="N27" s="94"/>
      <c r="O27" s="94"/>
      <c r="P27" s="94"/>
      <c r="Q27" s="94"/>
      <c r="R27" s="94"/>
    </row>
    <row r="28" spans="1:18">
      <c r="A28" s="94"/>
      <c r="B28" s="94"/>
      <c r="C28" s="191"/>
      <c r="D28" s="191"/>
      <c r="E28" s="170"/>
      <c r="F28" s="170"/>
      <c r="G28" s="170"/>
      <c r="H28" s="170"/>
      <c r="I28" s="170"/>
      <c r="J28" s="166"/>
      <c r="K28" s="170"/>
      <c r="L28" s="94"/>
      <c r="M28" s="166"/>
      <c r="N28" s="94"/>
      <c r="O28" s="94"/>
      <c r="P28" s="94"/>
      <c r="Q28" s="94"/>
      <c r="R28" s="94"/>
    </row>
    <row r="29" spans="1:18">
      <c r="A29" s="94">
        <v>6</v>
      </c>
      <c r="B29" s="94"/>
      <c r="C29" s="2404"/>
      <c r="D29" s="191"/>
      <c r="E29" s="322"/>
      <c r="F29" s="170"/>
      <c r="G29" s="170"/>
      <c r="H29" s="170"/>
      <c r="I29" s="170"/>
      <c r="J29" s="170"/>
      <c r="K29" s="166"/>
      <c r="L29" s="94"/>
      <c r="M29" s="170"/>
      <c r="N29" s="94"/>
      <c r="O29" s="94"/>
      <c r="P29" s="94"/>
      <c r="Q29" s="94"/>
      <c r="R29" s="94"/>
    </row>
    <row r="30" spans="1:18">
      <c r="A30" s="94"/>
      <c r="B30" s="94"/>
      <c r="C30" s="191"/>
      <c r="D30" s="191"/>
      <c r="E30" s="170"/>
      <c r="F30" s="170"/>
      <c r="G30" s="170"/>
      <c r="H30" s="170"/>
      <c r="I30" s="94"/>
      <c r="J30" s="166"/>
      <c r="K30" s="170"/>
      <c r="L30" s="94"/>
      <c r="M30" s="94"/>
      <c r="N30" s="94"/>
      <c r="O30" s="94"/>
      <c r="P30" s="94"/>
      <c r="Q30" s="94"/>
      <c r="R30" s="94"/>
    </row>
    <row r="31" spans="1:18">
      <c r="A31" s="94">
        <v>7</v>
      </c>
      <c r="B31" s="94"/>
      <c r="C31" s="2404"/>
      <c r="D31" s="191"/>
      <c r="E31" s="322"/>
      <c r="F31" s="170"/>
      <c r="G31" s="170"/>
      <c r="H31" s="170"/>
      <c r="I31" s="170"/>
      <c r="J31" s="170"/>
      <c r="K31" s="166"/>
      <c r="L31" s="94"/>
      <c r="M31" s="170"/>
      <c r="N31" s="94"/>
      <c r="O31" s="94"/>
      <c r="P31" s="94"/>
      <c r="Q31" s="94"/>
      <c r="R31" s="94"/>
    </row>
    <row r="32" spans="1:18">
      <c r="A32" s="94"/>
      <c r="B32" s="94"/>
      <c r="C32" s="94"/>
      <c r="D32" s="191"/>
      <c r="E32" s="94"/>
      <c r="F32" s="94"/>
      <c r="G32" s="94"/>
      <c r="H32" s="94"/>
      <c r="I32" s="170"/>
      <c r="J32" s="94"/>
      <c r="K32" s="94"/>
      <c r="L32" s="94"/>
      <c r="M32" s="166"/>
      <c r="N32" s="94"/>
      <c r="O32" s="94"/>
      <c r="P32" s="94"/>
      <c r="Q32" s="94"/>
      <c r="R32" s="94"/>
    </row>
    <row r="33" spans="1:18">
      <c r="A33" s="94">
        <v>8</v>
      </c>
      <c r="B33" s="94"/>
      <c r="C33" s="2404"/>
      <c r="D33" s="191"/>
      <c r="E33" s="322"/>
      <c r="F33" s="170"/>
      <c r="G33" s="170"/>
      <c r="H33" s="170"/>
      <c r="I33" s="170"/>
      <c r="J33" s="170"/>
      <c r="K33" s="166"/>
      <c r="L33" s="94"/>
      <c r="M33" s="170"/>
      <c r="N33" s="94"/>
      <c r="O33" s="94"/>
      <c r="P33" s="94"/>
      <c r="Q33" s="94"/>
      <c r="R33" s="94"/>
    </row>
    <row r="34" spans="1:18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</row>
    <row r="35" spans="1:18">
      <c r="A35" s="94">
        <v>9</v>
      </c>
      <c r="B35" s="94"/>
      <c r="C35" s="2404"/>
      <c r="D35" s="191"/>
      <c r="E35" s="322"/>
      <c r="F35" s="170"/>
      <c r="G35" s="170"/>
      <c r="H35" s="170"/>
      <c r="I35" s="170"/>
      <c r="J35" s="170"/>
      <c r="K35" s="166"/>
      <c r="L35" s="94"/>
      <c r="M35" s="170"/>
      <c r="N35" s="94"/>
      <c r="O35" s="94"/>
      <c r="P35" s="94"/>
      <c r="Q35" s="94"/>
      <c r="R35" s="94"/>
    </row>
    <row r="36" spans="1:18" ht="13.8" thickBot="1">
      <c r="A36" s="94">
        <v>10</v>
      </c>
      <c r="B36" s="94"/>
      <c r="C36" s="169" t="s">
        <v>3040</v>
      </c>
      <c r="D36" s="94"/>
      <c r="E36" s="2405"/>
      <c r="F36" s="166"/>
      <c r="G36" s="1693">
        <f>SUM(G19:G35)</f>
        <v>0</v>
      </c>
      <c r="H36" s="1693">
        <f>SUM(H19:H35)</f>
        <v>0</v>
      </c>
      <c r="I36" s="1693">
        <f>SUM(I19:I35)</f>
        <v>0</v>
      </c>
      <c r="J36" s="1693">
        <f>SUM(J19:J35)</f>
        <v>0</v>
      </c>
      <c r="K36" s="1693">
        <f>SUM(K19:K35)</f>
        <v>0</v>
      </c>
      <c r="L36" s="1693"/>
      <c r="M36" s="1693">
        <f>SUM(M19:M35)</f>
        <v>0</v>
      </c>
      <c r="N36" s="94"/>
      <c r="O36" s="94"/>
      <c r="P36" s="94"/>
      <c r="Q36" s="94"/>
      <c r="R36" s="94"/>
    </row>
    <row r="37" spans="1:18" ht="13.8" thickTop="1">
      <c r="A37" s="94"/>
      <c r="B37" s="94"/>
      <c r="C37" s="94"/>
      <c r="D37" s="94"/>
      <c r="E37" s="2405"/>
      <c r="F37" s="166"/>
      <c r="G37" s="166"/>
      <c r="H37" s="166"/>
      <c r="I37" s="166"/>
      <c r="J37" s="166"/>
      <c r="K37" s="166"/>
      <c r="L37" s="166"/>
      <c r="M37" s="166"/>
      <c r="N37" s="94"/>
      <c r="O37" s="94"/>
      <c r="P37" s="94"/>
      <c r="Q37" s="94"/>
      <c r="R37" s="94"/>
    </row>
    <row r="38" spans="1:18">
      <c r="A38" s="94">
        <v>11</v>
      </c>
      <c r="B38" s="94"/>
      <c r="C38" s="169" t="s">
        <v>3041</v>
      </c>
      <c r="D38" s="94"/>
      <c r="E38" s="94"/>
      <c r="F38" s="166"/>
      <c r="G38" s="166"/>
      <c r="H38" s="166"/>
      <c r="I38" s="166"/>
      <c r="J38" s="166"/>
      <c r="K38" s="323"/>
      <c r="L38" s="323"/>
      <c r="M38" s="2406" t="e">
        <f>ROUND(M36/K36,4)</f>
        <v>#DIV/0!</v>
      </c>
      <c r="N38" s="94"/>
      <c r="O38" s="94"/>
      <c r="P38" s="94"/>
      <c r="Q38" s="94"/>
      <c r="R38" s="94"/>
    </row>
    <row r="39" spans="1:18">
      <c r="A39" s="94"/>
      <c r="B39" s="94"/>
      <c r="C39" s="94"/>
      <c r="D39" s="94"/>
      <c r="E39" s="94"/>
      <c r="F39" s="94"/>
      <c r="G39" s="166"/>
      <c r="H39" s="166"/>
      <c r="I39" s="166"/>
      <c r="J39" s="166"/>
      <c r="K39" s="166"/>
      <c r="L39" s="166"/>
      <c r="M39" s="104"/>
      <c r="N39" s="94"/>
      <c r="O39" s="94"/>
      <c r="P39" s="94"/>
      <c r="Q39" s="94"/>
      <c r="R39" s="94"/>
    </row>
    <row r="40" spans="1:18">
      <c r="A40" s="169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166"/>
      <c r="N40" s="94"/>
      <c r="O40" s="94"/>
      <c r="P40" s="94"/>
      <c r="Q40" s="94"/>
      <c r="R40" s="94"/>
    </row>
    <row r="41" spans="1:18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</row>
    <row r="42" spans="1:18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</row>
    <row r="43" spans="1:18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</row>
    <row r="44" spans="1:18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</row>
    <row r="45" spans="1:18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</row>
    <row r="46" spans="1:18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</row>
    <row r="47" spans="1:18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</row>
    <row r="48" spans="1:18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</row>
    <row r="49" spans="1:18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</row>
  </sheetData>
  <phoneticPr fontId="19" type="noConversion"/>
  <pageMargins left="1" right="0.75" top="1" bottom="1" header="0.5" footer="0.5"/>
  <pageSetup scale="64" orientation="landscape" horizontalDpi="300" verticalDpi="300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80">
    <pageSetUpPr fitToPage="1"/>
  </sheetPr>
  <dimension ref="A1:O211"/>
  <sheetViews>
    <sheetView zoomScale="90" zoomScaleNormal="90" workbookViewId="0"/>
  </sheetViews>
  <sheetFormatPr defaultColWidth="9.44140625" defaultRowHeight="13.2"/>
  <cols>
    <col min="1" max="1" width="5.5546875" customWidth="1"/>
    <col min="2" max="2" width="68" customWidth="1"/>
    <col min="3" max="3" width="16.44140625" customWidth="1"/>
    <col min="4" max="7" width="14.5546875" customWidth="1"/>
    <col min="8" max="14" width="13.44140625" customWidth="1"/>
  </cols>
  <sheetData>
    <row r="1" spans="1:15">
      <c r="A1" s="268" t="str">
        <f>COMPANY</f>
        <v>DUKE ENERGY KENTUCKY, INC.</v>
      </c>
      <c r="B1" s="268"/>
      <c r="C1" s="268"/>
      <c r="D1" s="269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70"/>
    </row>
    <row r="2" spans="1:15">
      <c r="A2" s="271" t="str">
        <f>CASE</f>
        <v>CASE NO. 2024-00354</v>
      </c>
      <c r="B2" s="271"/>
      <c r="C2" s="271"/>
      <c r="D2" s="272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0"/>
    </row>
    <row r="3" spans="1:15">
      <c r="A3" s="271" t="s">
        <v>3042</v>
      </c>
      <c r="B3" s="271"/>
      <c r="C3" s="271"/>
      <c r="D3" s="272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0"/>
    </row>
    <row r="4" spans="1:15">
      <c r="A4" s="273"/>
      <c r="B4" s="273"/>
      <c r="C4" s="273"/>
      <c r="D4" s="761"/>
      <c r="E4" s="273"/>
      <c r="F4" s="273"/>
      <c r="G4" s="672"/>
      <c r="H4" s="1410"/>
      <c r="I4" s="672"/>
      <c r="J4" s="273"/>
      <c r="K4" s="273"/>
      <c r="L4" s="273"/>
      <c r="M4" s="273"/>
      <c r="N4" s="273"/>
      <c r="O4" s="270"/>
    </row>
    <row r="5" spans="1:15">
      <c r="A5" s="274" t="str">
        <f>DataB</f>
        <v>DATA: "X" BASE PERIOD  "X" FORECASTED PERIOD</v>
      </c>
      <c r="B5" s="274"/>
      <c r="C5" s="274"/>
      <c r="D5" s="269"/>
      <c r="E5" s="271"/>
      <c r="F5" s="268"/>
      <c r="G5" s="268"/>
      <c r="H5" s="268"/>
      <c r="I5" s="673"/>
      <c r="J5" s="268"/>
      <c r="K5" s="268"/>
      <c r="L5" s="274" t="s">
        <v>3043</v>
      </c>
      <c r="M5" s="268"/>
      <c r="N5" s="268"/>
      <c r="O5" s="270"/>
    </row>
    <row r="6" spans="1:15">
      <c r="A6" s="274" t="str">
        <f>Type</f>
        <v xml:space="preserve">TYPE OF FILING:  "X" ORIGINAL   UPDATED    REVISED  </v>
      </c>
      <c r="B6" s="274"/>
      <c r="C6" s="274"/>
      <c r="D6" s="269"/>
      <c r="E6" s="271"/>
      <c r="F6" s="268"/>
      <c r="G6" s="268"/>
      <c r="H6" s="268"/>
      <c r="I6" s="268"/>
      <c r="J6" s="268"/>
      <c r="K6" s="268"/>
      <c r="L6" s="274" t="s">
        <v>3044</v>
      </c>
      <c r="M6" s="268"/>
      <c r="N6" s="268"/>
      <c r="O6" s="270"/>
    </row>
    <row r="7" spans="1:15">
      <c r="A7" s="273" t="s">
        <v>694</v>
      </c>
      <c r="B7" s="268"/>
      <c r="C7" s="268"/>
      <c r="D7" s="269"/>
      <c r="E7" s="268"/>
      <c r="F7" s="271"/>
      <c r="G7" s="268"/>
      <c r="H7" s="268"/>
      <c r="I7" s="268"/>
      <c r="J7" s="268"/>
      <c r="K7" s="270"/>
      <c r="L7" s="274" t="s">
        <v>1866</v>
      </c>
      <c r="M7" s="274"/>
      <c r="N7" s="274"/>
      <c r="O7" s="270"/>
    </row>
    <row r="8" spans="1:15">
      <c r="A8" s="270"/>
      <c r="B8" s="273"/>
      <c r="C8" s="273"/>
      <c r="D8" s="761"/>
      <c r="E8" s="273"/>
      <c r="F8" s="273"/>
      <c r="G8" s="273"/>
      <c r="H8" s="273"/>
      <c r="I8" s="273"/>
      <c r="J8" s="273"/>
      <c r="K8" s="270"/>
      <c r="L8" s="273" t="str">
        <f>_WIT7</f>
        <v>G. S. CARPENTER / S. S. MITCHELL</v>
      </c>
      <c r="M8" s="274"/>
      <c r="N8" s="274"/>
      <c r="O8" s="270"/>
    </row>
    <row r="9" spans="1:15">
      <c r="A9" s="1624"/>
      <c r="B9" s="1624"/>
      <c r="C9" s="1624"/>
      <c r="D9" s="1592"/>
      <c r="E9" s="1624"/>
      <c r="F9" s="1624"/>
      <c r="G9" s="1624"/>
      <c r="H9" s="1624"/>
      <c r="I9" s="1624"/>
      <c r="J9" s="1624"/>
      <c r="K9" s="1624"/>
      <c r="L9" s="1625"/>
      <c r="M9" s="1624"/>
      <c r="N9" s="1624"/>
      <c r="O9" s="270"/>
    </row>
    <row r="10" spans="1:15">
      <c r="A10" s="275" t="s">
        <v>573</v>
      </c>
      <c r="B10" s="273"/>
      <c r="C10" s="275" t="s">
        <v>474</v>
      </c>
      <c r="D10" s="276" t="s">
        <v>473</v>
      </c>
      <c r="E10" s="2185" t="s">
        <v>3045</v>
      </c>
      <c r="F10" s="2186"/>
      <c r="G10" s="2186"/>
      <c r="H10" s="2186"/>
      <c r="I10" s="2186"/>
      <c r="J10" s="2186"/>
      <c r="K10" s="2186"/>
      <c r="L10" s="2186"/>
      <c r="M10" s="2186"/>
      <c r="N10" s="2186"/>
      <c r="O10" s="270"/>
    </row>
    <row r="11" spans="1:15">
      <c r="A11" s="1626" t="s">
        <v>576</v>
      </c>
      <c r="B11" s="1627" t="s">
        <v>2</v>
      </c>
      <c r="C11" s="1628" t="s">
        <v>478</v>
      </c>
      <c r="D11" s="1628" t="s">
        <v>478</v>
      </c>
      <c r="E11" s="1626">
        <f>'SCH_I1 - Elec Only'!M14</f>
        <v>2023</v>
      </c>
      <c r="F11" s="1626">
        <f t="shared" ref="F11:N11" si="0">E11-1</f>
        <v>2022</v>
      </c>
      <c r="G11" s="1626">
        <f t="shared" si="0"/>
        <v>2021</v>
      </c>
      <c r="H11" s="1626">
        <f t="shared" si="0"/>
        <v>2020</v>
      </c>
      <c r="I11" s="1626">
        <f t="shared" si="0"/>
        <v>2019</v>
      </c>
      <c r="J11" s="1626">
        <f t="shared" si="0"/>
        <v>2018</v>
      </c>
      <c r="K11" s="1626">
        <f t="shared" si="0"/>
        <v>2017</v>
      </c>
      <c r="L11" s="1626">
        <f t="shared" si="0"/>
        <v>2016</v>
      </c>
      <c r="M11" s="1626">
        <f t="shared" si="0"/>
        <v>2015</v>
      </c>
      <c r="N11" s="1626">
        <f t="shared" si="0"/>
        <v>2014</v>
      </c>
      <c r="O11" s="270"/>
    </row>
    <row r="12" spans="1:15">
      <c r="A12" s="277"/>
      <c r="B12" s="277"/>
      <c r="C12" s="277"/>
      <c r="D12" s="278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0"/>
    </row>
    <row r="13" spans="1:15">
      <c r="A13" s="275">
        <v>1</v>
      </c>
      <c r="B13" s="279" t="s">
        <v>3046</v>
      </c>
      <c r="C13" s="279"/>
      <c r="D13" s="761"/>
      <c r="E13" s="280"/>
      <c r="F13" s="273"/>
      <c r="G13" s="273"/>
      <c r="H13" s="273"/>
      <c r="I13" s="273"/>
      <c r="J13" s="273"/>
      <c r="K13" s="273"/>
      <c r="L13" s="273"/>
      <c r="M13" s="273"/>
      <c r="N13" s="273"/>
      <c r="O13" s="270"/>
    </row>
    <row r="14" spans="1:15">
      <c r="A14" s="275">
        <f t="shared" ref="A14:A52" si="1">1+A13</f>
        <v>2</v>
      </c>
      <c r="B14" s="281" t="s">
        <v>3047</v>
      </c>
      <c r="C14" s="281"/>
      <c r="D14" s="767"/>
      <c r="E14" s="282"/>
      <c r="F14" s="270"/>
      <c r="G14" s="270"/>
      <c r="H14" s="270"/>
      <c r="I14" s="270"/>
      <c r="J14" s="270"/>
      <c r="K14" s="270"/>
      <c r="L14" s="270"/>
      <c r="M14" s="270"/>
      <c r="N14" s="270"/>
      <c r="O14" s="270"/>
    </row>
    <row r="15" spans="1:15">
      <c r="A15" s="275">
        <f t="shared" si="1"/>
        <v>3</v>
      </c>
      <c r="B15" s="274" t="s">
        <v>3048</v>
      </c>
      <c r="C15" s="283">
        <v>33381.415189385712</v>
      </c>
      <c r="D15" s="283">
        <v>33215.025911460936</v>
      </c>
      <c r="E15" s="283">
        <v>24406</v>
      </c>
      <c r="F15" s="283">
        <v>22656</v>
      </c>
      <c r="G15" s="283">
        <v>15946</v>
      </c>
      <c r="H15" s="283">
        <v>17338</v>
      </c>
      <c r="I15" s="283">
        <v>15468</v>
      </c>
      <c r="J15" s="283">
        <v>14504</v>
      </c>
      <c r="K15" s="283">
        <v>11279</v>
      </c>
      <c r="L15" s="283">
        <v>6221</v>
      </c>
      <c r="M15" s="283">
        <v>3970</v>
      </c>
      <c r="N15" s="283">
        <v>3915</v>
      </c>
      <c r="O15" s="270"/>
    </row>
    <row r="16" spans="1:15">
      <c r="A16" s="275">
        <f t="shared" si="1"/>
        <v>4</v>
      </c>
      <c r="B16" s="274" t="s">
        <v>3049</v>
      </c>
      <c r="C16" s="283">
        <v>-2824.8499999999995</v>
      </c>
      <c r="D16" s="283">
        <v>-1257.1500000000001</v>
      </c>
      <c r="E16" s="283">
        <v>0</v>
      </c>
      <c r="F16" s="283">
        <v>0</v>
      </c>
      <c r="G16" s="283">
        <v>13912</v>
      </c>
      <c r="H16" s="283">
        <v>12940</v>
      </c>
      <c r="I16" s="283">
        <v>12670</v>
      </c>
      <c r="J16" s="283">
        <v>7747</v>
      </c>
      <c r="K16" s="283">
        <v>7820</v>
      </c>
      <c r="L16" s="283">
        <v>7820</v>
      </c>
      <c r="M16" s="283">
        <v>7569</v>
      </c>
      <c r="N16" s="283">
        <v>7793</v>
      </c>
      <c r="O16" s="270"/>
    </row>
    <row r="17" spans="1:15">
      <c r="A17" s="275">
        <f t="shared" si="1"/>
        <v>5</v>
      </c>
      <c r="B17" s="274" t="s">
        <v>3050</v>
      </c>
      <c r="C17" s="283">
        <v>0</v>
      </c>
      <c r="D17" s="283">
        <v>0</v>
      </c>
      <c r="E17" s="283">
        <v>0</v>
      </c>
      <c r="F17" s="283">
        <v>0</v>
      </c>
      <c r="G17" s="283">
        <v>0</v>
      </c>
      <c r="H17" s="283">
        <v>0</v>
      </c>
      <c r="I17" s="283">
        <v>0</v>
      </c>
      <c r="J17" s="283">
        <v>0</v>
      </c>
      <c r="K17" s="283">
        <v>0</v>
      </c>
      <c r="L17" s="283">
        <v>0</v>
      </c>
      <c r="M17" s="283">
        <v>0</v>
      </c>
      <c r="N17" s="283">
        <v>0</v>
      </c>
      <c r="O17" s="270"/>
    </row>
    <row r="18" spans="1:15">
      <c r="A18" s="275">
        <f t="shared" si="1"/>
        <v>6</v>
      </c>
      <c r="B18" s="274" t="s">
        <v>3051</v>
      </c>
      <c r="C18" s="283">
        <v>0</v>
      </c>
      <c r="D18" s="283">
        <v>0</v>
      </c>
      <c r="E18" s="283">
        <v>0</v>
      </c>
      <c r="F18" s="283">
        <v>0</v>
      </c>
      <c r="G18" s="283">
        <v>0</v>
      </c>
      <c r="H18" s="283">
        <v>0</v>
      </c>
      <c r="I18" s="283">
        <v>0</v>
      </c>
      <c r="J18" s="283">
        <v>0</v>
      </c>
      <c r="K18" s="283">
        <v>0</v>
      </c>
      <c r="L18" s="283">
        <v>0</v>
      </c>
      <c r="M18" s="283">
        <v>0</v>
      </c>
      <c r="N18" s="283">
        <v>0</v>
      </c>
      <c r="O18" s="270"/>
    </row>
    <row r="19" spans="1:15">
      <c r="A19" s="275">
        <f t="shared" si="1"/>
        <v>7</v>
      </c>
      <c r="B19" s="274" t="s">
        <v>3052</v>
      </c>
      <c r="C19" s="283">
        <v>0</v>
      </c>
      <c r="D19" s="283">
        <v>0</v>
      </c>
      <c r="E19" s="283">
        <v>0</v>
      </c>
      <c r="F19" s="283">
        <v>0</v>
      </c>
      <c r="G19" s="283">
        <v>0</v>
      </c>
      <c r="H19" s="283">
        <v>0</v>
      </c>
      <c r="I19" s="283">
        <v>0</v>
      </c>
      <c r="J19" s="283">
        <v>0</v>
      </c>
      <c r="K19" s="283">
        <v>0</v>
      </c>
      <c r="L19" s="283">
        <v>0</v>
      </c>
      <c r="M19" s="283">
        <v>0</v>
      </c>
      <c r="N19" s="283">
        <v>0</v>
      </c>
      <c r="O19" s="270"/>
    </row>
    <row r="20" spans="1:15">
      <c r="A20" s="275">
        <f t="shared" si="1"/>
        <v>8</v>
      </c>
      <c r="B20" s="274" t="s">
        <v>3053</v>
      </c>
      <c r="C20" s="283">
        <v>1049587.9001476946</v>
      </c>
      <c r="D20" s="283">
        <v>996119.54308796278</v>
      </c>
      <c r="E20" s="283">
        <v>890351</v>
      </c>
      <c r="F20" s="283">
        <v>808252</v>
      </c>
      <c r="G20" s="283">
        <v>757762</v>
      </c>
      <c r="H20" s="283">
        <v>695389</v>
      </c>
      <c r="I20" s="283">
        <v>606476</v>
      </c>
      <c r="J20" s="283">
        <v>546414</v>
      </c>
      <c r="K20" s="283">
        <v>482331</v>
      </c>
      <c r="L20" s="283">
        <v>452451</v>
      </c>
      <c r="M20" s="283">
        <v>431131</v>
      </c>
      <c r="N20" s="283">
        <v>421026</v>
      </c>
      <c r="O20" s="270"/>
    </row>
    <row r="21" spans="1:15">
      <c r="A21" s="275">
        <f t="shared" si="1"/>
        <v>9</v>
      </c>
      <c r="B21" s="274" t="s">
        <v>3054</v>
      </c>
      <c r="C21" s="283">
        <v>29885.550694394424</v>
      </c>
      <c r="D21" s="283">
        <v>27617.019147293329</v>
      </c>
      <c r="E21" s="1629">
        <v>15344</v>
      </c>
      <c r="F21" s="1629">
        <v>14821</v>
      </c>
      <c r="G21" s="1629">
        <v>14176</v>
      </c>
      <c r="H21" s="1629">
        <v>14015</v>
      </c>
      <c r="I21" s="1629">
        <v>13290</v>
      </c>
      <c r="J21" s="1629">
        <v>11789</v>
      </c>
      <c r="K21" s="1629">
        <v>1798</v>
      </c>
      <c r="L21" s="1629">
        <v>1683</v>
      </c>
      <c r="M21" s="1629">
        <v>3207</v>
      </c>
      <c r="N21" s="1629">
        <v>3159</v>
      </c>
      <c r="O21" s="270"/>
    </row>
    <row r="22" spans="1:15">
      <c r="A22" s="275">
        <f t="shared" si="1"/>
        <v>10</v>
      </c>
      <c r="B22" s="274" t="s">
        <v>3055</v>
      </c>
      <c r="C22" s="2187">
        <f t="shared" ref="C22:N22" si="2">SUM(C15:C21)</f>
        <v>1110030.0160314748</v>
      </c>
      <c r="D22" s="2187">
        <f t="shared" si="2"/>
        <v>1055694.4381467171</v>
      </c>
      <c r="E22" s="813">
        <f t="shared" si="2"/>
        <v>930101</v>
      </c>
      <c r="F22" s="813">
        <f t="shared" si="2"/>
        <v>845729</v>
      </c>
      <c r="G22" s="813">
        <f t="shared" si="2"/>
        <v>801796</v>
      </c>
      <c r="H22" s="813">
        <f t="shared" si="2"/>
        <v>739682</v>
      </c>
      <c r="I22" s="813">
        <f t="shared" si="2"/>
        <v>647904</v>
      </c>
      <c r="J22" s="813">
        <f t="shared" si="2"/>
        <v>580454</v>
      </c>
      <c r="K22" s="813">
        <f t="shared" si="2"/>
        <v>503228</v>
      </c>
      <c r="L22" s="813">
        <f t="shared" si="2"/>
        <v>468175</v>
      </c>
      <c r="M22" s="813">
        <f t="shared" si="2"/>
        <v>445877</v>
      </c>
      <c r="N22" s="813">
        <f t="shared" si="2"/>
        <v>435893</v>
      </c>
      <c r="O22" s="270"/>
    </row>
    <row r="23" spans="1:15">
      <c r="A23" s="275">
        <f t="shared" si="1"/>
        <v>11</v>
      </c>
      <c r="B23" s="274" t="s">
        <v>3056</v>
      </c>
      <c r="C23" s="1629">
        <v>251141.78450374008</v>
      </c>
      <c r="D23" s="1629">
        <v>236342.12298656921</v>
      </c>
      <c r="E23" s="1629">
        <v>217490</v>
      </c>
      <c r="F23" s="1629">
        <v>199648</v>
      </c>
      <c r="G23" s="1629">
        <v>203850</v>
      </c>
      <c r="H23" s="1629">
        <v>193652</v>
      </c>
      <c r="I23" s="1629">
        <v>176470</v>
      </c>
      <c r="J23" s="1629">
        <v>171513</v>
      </c>
      <c r="K23" s="1629">
        <v>165758</v>
      </c>
      <c r="L23" s="1629">
        <v>156558</v>
      </c>
      <c r="M23" s="1629">
        <v>152368</v>
      </c>
      <c r="N23" s="1629">
        <v>142929</v>
      </c>
      <c r="O23" s="270"/>
    </row>
    <row r="24" spans="1:15">
      <c r="A24" s="275">
        <f t="shared" si="1"/>
        <v>12</v>
      </c>
      <c r="B24" s="274" t="s">
        <v>3057</v>
      </c>
      <c r="C24" s="1293">
        <f>C22-C23</f>
        <v>858888.23152773478</v>
      </c>
      <c r="D24" s="1293">
        <f>D22-D23</f>
        <v>819352.31516014796</v>
      </c>
      <c r="E24" s="1293">
        <f t="shared" ref="E24:F24" si="3">E22-E23</f>
        <v>712611</v>
      </c>
      <c r="F24" s="1293">
        <f t="shared" si="3"/>
        <v>646081</v>
      </c>
      <c r="G24" s="1293">
        <f t="shared" ref="G24:N24" si="4">G22-G23</f>
        <v>597946</v>
      </c>
      <c r="H24" s="1293">
        <f t="shared" si="4"/>
        <v>546030</v>
      </c>
      <c r="I24" s="1293">
        <f t="shared" si="4"/>
        <v>471434</v>
      </c>
      <c r="J24" s="1293">
        <f t="shared" si="4"/>
        <v>408941</v>
      </c>
      <c r="K24" s="1293">
        <f t="shared" si="4"/>
        <v>337470</v>
      </c>
      <c r="L24" s="1293">
        <f t="shared" si="4"/>
        <v>311617</v>
      </c>
      <c r="M24" s="1293">
        <f t="shared" si="4"/>
        <v>293509</v>
      </c>
      <c r="N24" s="1293">
        <f t="shared" si="4"/>
        <v>292964</v>
      </c>
      <c r="O24" s="270"/>
    </row>
    <row r="25" spans="1:15">
      <c r="A25" s="275">
        <f t="shared" si="1"/>
        <v>13</v>
      </c>
      <c r="B25" s="273"/>
      <c r="C25" s="767"/>
      <c r="D25" s="767"/>
      <c r="E25" s="270"/>
      <c r="F25" s="270"/>
      <c r="G25" s="270"/>
      <c r="H25" s="270"/>
      <c r="I25" s="270"/>
      <c r="J25" s="270"/>
      <c r="K25" s="270"/>
      <c r="L25" s="270"/>
      <c r="M25" s="270"/>
      <c r="N25" s="270"/>
      <c r="O25" s="270"/>
    </row>
    <row r="26" spans="1:15">
      <c r="A26" s="275">
        <f t="shared" si="1"/>
        <v>14</v>
      </c>
      <c r="B26" s="284" t="s">
        <v>3058</v>
      </c>
      <c r="C26" s="767"/>
      <c r="D26" s="767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</row>
    <row r="27" spans="1:15">
      <c r="A27" s="275">
        <f t="shared" si="1"/>
        <v>15</v>
      </c>
      <c r="B27" s="285" t="s">
        <v>3048</v>
      </c>
      <c r="C27" s="767">
        <f>ROUND('SCH B-3'!E476/1000,0)</f>
        <v>57143</v>
      </c>
      <c r="D27" s="767">
        <f>ROUND('SCH B-3'!E199/1000,0)</f>
        <v>49082</v>
      </c>
      <c r="E27" s="1799">
        <v>34481</v>
      </c>
      <c r="F27" s="1799">
        <v>31446</v>
      </c>
      <c r="G27" s="1799">
        <v>20742</v>
      </c>
      <c r="H27" s="1799">
        <v>26954</v>
      </c>
      <c r="I27" s="1799">
        <v>23314</v>
      </c>
      <c r="J27" s="1799">
        <v>21019</v>
      </c>
      <c r="K27" s="1799">
        <v>17750</v>
      </c>
      <c r="L27" s="1799">
        <v>12343</v>
      </c>
      <c r="M27" s="1799">
        <v>9915</v>
      </c>
      <c r="N27" s="1799">
        <v>9098</v>
      </c>
      <c r="O27" s="270"/>
    </row>
    <row r="28" spans="1:15">
      <c r="A28" s="275">
        <f t="shared" si="1"/>
        <v>16</v>
      </c>
      <c r="B28" s="285" t="s">
        <v>3059</v>
      </c>
      <c r="C28" s="767">
        <f>ROUND('SCH B-3'!E314/1000,0)</f>
        <v>931818</v>
      </c>
      <c r="D28" s="767">
        <f>ROUND('SCH B-3'!E36/1000,0)</f>
        <v>924218</v>
      </c>
      <c r="E28" s="1799">
        <v>1050236</v>
      </c>
      <c r="F28" s="1799">
        <v>1067255</v>
      </c>
      <c r="G28" s="1799">
        <v>1026275</v>
      </c>
      <c r="H28" s="1799">
        <v>998936</v>
      </c>
      <c r="I28" s="1799">
        <v>942588</v>
      </c>
      <c r="J28" s="1799">
        <v>885448</v>
      </c>
      <c r="K28" s="1799">
        <v>797504</v>
      </c>
      <c r="L28" s="1799">
        <v>748258</v>
      </c>
      <c r="M28" s="1799">
        <v>771471</v>
      </c>
      <c r="N28" s="1799">
        <v>550669</v>
      </c>
      <c r="O28" s="270"/>
    </row>
    <row r="29" spans="1:15">
      <c r="A29" s="275">
        <f t="shared" si="1"/>
        <v>17</v>
      </c>
      <c r="B29" s="285" t="s">
        <v>3060</v>
      </c>
      <c r="C29" s="283">
        <v>0</v>
      </c>
      <c r="D29" s="283">
        <v>0</v>
      </c>
      <c r="E29" s="1799">
        <v>0</v>
      </c>
      <c r="F29" s="1799">
        <v>0</v>
      </c>
      <c r="G29" s="1799">
        <v>0</v>
      </c>
      <c r="H29" s="1799">
        <v>0</v>
      </c>
      <c r="I29" s="1799">
        <v>0</v>
      </c>
      <c r="J29" s="1799">
        <v>0</v>
      </c>
      <c r="K29" s="1799">
        <v>0</v>
      </c>
      <c r="L29" s="1799">
        <v>0</v>
      </c>
      <c r="M29" s="1799">
        <v>0</v>
      </c>
      <c r="N29" s="1799">
        <v>0</v>
      </c>
      <c r="O29" s="270"/>
    </row>
    <row r="30" spans="1:15">
      <c r="A30" s="275">
        <f t="shared" si="1"/>
        <v>18</v>
      </c>
      <c r="B30" s="285" t="s">
        <v>3061</v>
      </c>
      <c r="C30" s="767">
        <f>ROUND('SCH B-3'!E356/1000,0)</f>
        <v>394695</v>
      </c>
      <c r="D30" s="767">
        <f>ROUND('SCH B-3'!E78/1000,0)</f>
        <v>381102</v>
      </c>
      <c r="E30" s="1799">
        <v>368786</v>
      </c>
      <c r="F30" s="1799">
        <v>358983</v>
      </c>
      <c r="G30" s="1799">
        <v>358757</v>
      </c>
      <c r="H30" s="1799">
        <v>358974</v>
      </c>
      <c r="I30" s="1799">
        <v>357358</v>
      </c>
      <c r="J30" s="1799">
        <v>310263</v>
      </c>
      <c r="K30" s="1799">
        <v>308242</v>
      </c>
      <c r="L30" s="1799">
        <v>290913</v>
      </c>
      <c r="M30" s="1799">
        <v>290067</v>
      </c>
      <c r="N30" s="1799">
        <v>287989</v>
      </c>
      <c r="O30" s="270"/>
    </row>
    <row r="31" spans="1:15">
      <c r="A31" s="275">
        <f t="shared" si="1"/>
        <v>19</v>
      </c>
      <c r="B31" s="285" t="s">
        <v>3052</v>
      </c>
      <c r="C31" s="767">
        <f>ROUND('SCH B-3'!E396/1000,0)</f>
        <v>160704</v>
      </c>
      <c r="D31" s="767">
        <f>ROUND('SCH B-3'!E119/1000,0)</f>
        <v>142373</v>
      </c>
      <c r="E31" s="1799">
        <v>134577</v>
      </c>
      <c r="F31" s="1799">
        <v>106786</v>
      </c>
      <c r="G31" s="1799">
        <v>95966</v>
      </c>
      <c r="H31" s="1799">
        <v>94400</v>
      </c>
      <c r="I31" s="1799">
        <v>65186</v>
      </c>
      <c r="J31" s="1799">
        <v>58283</v>
      </c>
      <c r="K31" s="1799">
        <v>57966</v>
      </c>
      <c r="L31" s="1799">
        <v>55492</v>
      </c>
      <c r="M31" s="1799">
        <v>55729</v>
      </c>
      <c r="N31" s="1799">
        <v>51015</v>
      </c>
      <c r="O31" s="270"/>
    </row>
    <row r="32" spans="1:15">
      <c r="A32" s="275">
        <f t="shared" si="1"/>
        <v>20</v>
      </c>
      <c r="B32" s="285" t="s">
        <v>3053</v>
      </c>
      <c r="C32" s="767">
        <f>ROUND('SCH B-3'!E450/1000,0)</f>
        <v>799140</v>
      </c>
      <c r="D32" s="767">
        <f>ROUND('SCH B-3'!E173/1000,0)</f>
        <v>748592</v>
      </c>
      <c r="E32" s="1799">
        <v>690969</v>
      </c>
      <c r="F32" s="1799">
        <v>655638</v>
      </c>
      <c r="G32" s="1799">
        <v>622687</v>
      </c>
      <c r="H32" s="1799">
        <v>591716</v>
      </c>
      <c r="I32" s="1799">
        <v>530273</v>
      </c>
      <c r="J32" s="1799">
        <v>484361</v>
      </c>
      <c r="K32" s="1799">
        <v>453684</v>
      </c>
      <c r="L32" s="1799">
        <v>426636</v>
      </c>
      <c r="M32" s="1799">
        <v>414569</v>
      </c>
      <c r="N32" s="1799">
        <v>392222</v>
      </c>
      <c r="O32" s="270"/>
    </row>
    <row r="33" spans="1:15">
      <c r="A33" s="275">
        <f t="shared" si="1"/>
        <v>21</v>
      </c>
      <c r="B33" s="285" t="s">
        <v>3054</v>
      </c>
      <c r="C33" s="767">
        <f>ROUND('SCH B-3'!E494/1000,0)-C27</f>
        <v>50544</v>
      </c>
      <c r="D33" s="767">
        <f>ROUND('SCH B-3'!E217/1000,0)-D27</f>
        <v>43906</v>
      </c>
      <c r="E33" s="1629">
        <v>31977</v>
      </c>
      <c r="F33" s="1629">
        <v>24219</v>
      </c>
      <c r="G33" s="1629">
        <v>16835</v>
      </c>
      <c r="H33" s="1629">
        <v>25456</v>
      </c>
      <c r="I33" s="1629">
        <v>20423</v>
      </c>
      <c r="J33" s="1629">
        <v>9770</v>
      </c>
      <c r="K33" s="1629">
        <v>8445</v>
      </c>
      <c r="L33" s="1629">
        <v>7872</v>
      </c>
      <c r="M33" s="1629">
        <v>5953</v>
      </c>
      <c r="N33" s="1629">
        <v>5610</v>
      </c>
      <c r="O33" s="270"/>
    </row>
    <row r="34" spans="1:15">
      <c r="A34" s="275">
        <f t="shared" si="1"/>
        <v>22</v>
      </c>
      <c r="B34" s="285" t="s">
        <v>3062</v>
      </c>
      <c r="C34" s="2187">
        <f>SUM(C27:C33)</f>
        <v>2394044</v>
      </c>
      <c r="D34" s="2187">
        <f>SUM(D27:D33)</f>
        <v>2289273</v>
      </c>
      <c r="E34" s="813">
        <f t="shared" ref="E34:F34" si="5">SUM(E27:E33)</f>
        <v>2311026</v>
      </c>
      <c r="F34" s="813">
        <f t="shared" si="5"/>
        <v>2244327</v>
      </c>
      <c r="G34" s="813">
        <f t="shared" ref="G34:N34" si="6">SUM(G27:G33)</f>
        <v>2141262</v>
      </c>
      <c r="H34" s="813">
        <f t="shared" si="6"/>
        <v>2096436</v>
      </c>
      <c r="I34" s="813">
        <f t="shared" si="6"/>
        <v>1939142</v>
      </c>
      <c r="J34" s="813">
        <f t="shared" si="6"/>
        <v>1769144</v>
      </c>
      <c r="K34" s="813">
        <f t="shared" si="6"/>
        <v>1643591</v>
      </c>
      <c r="L34" s="813">
        <f t="shared" si="6"/>
        <v>1541514</v>
      </c>
      <c r="M34" s="813">
        <f t="shared" si="6"/>
        <v>1547704</v>
      </c>
      <c r="N34" s="813">
        <f t="shared" si="6"/>
        <v>1296603</v>
      </c>
      <c r="O34" s="270"/>
    </row>
    <row r="35" spans="1:15">
      <c r="A35" s="275">
        <f t="shared" si="1"/>
        <v>23</v>
      </c>
      <c r="B35" s="274" t="s">
        <v>3056</v>
      </c>
      <c r="C35" s="1293">
        <f>ROUND('SCH B-3'!G497/1000,0)</f>
        <v>971004</v>
      </c>
      <c r="D35" s="1293">
        <f>ROUND('SCH B-3'!G220/1000,0)</f>
        <v>933332</v>
      </c>
      <c r="E35" s="1629">
        <v>880995</v>
      </c>
      <c r="F35" s="1629">
        <v>840577</v>
      </c>
      <c r="G35" s="1629">
        <v>840267</v>
      </c>
      <c r="H35" s="1629">
        <v>820694</v>
      </c>
      <c r="I35" s="1629">
        <v>797521</v>
      </c>
      <c r="J35" s="1629">
        <v>783463</v>
      </c>
      <c r="K35" s="1629">
        <v>828066</v>
      </c>
      <c r="L35" s="1629">
        <v>807691</v>
      </c>
      <c r="M35" s="1629">
        <v>790467</v>
      </c>
      <c r="N35" s="1629">
        <v>638666</v>
      </c>
      <c r="O35" s="270"/>
    </row>
    <row r="36" spans="1:15">
      <c r="A36" s="275">
        <f t="shared" si="1"/>
        <v>24</v>
      </c>
      <c r="B36" s="285" t="s">
        <v>3063</v>
      </c>
      <c r="C36" s="1293">
        <f>C34-C35</f>
        <v>1423040</v>
      </c>
      <c r="D36" s="1293">
        <f>D34-D35</f>
        <v>1355941</v>
      </c>
      <c r="E36" s="1293">
        <f t="shared" ref="E36:F36" si="7">E34-E35</f>
        <v>1430031</v>
      </c>
      <c r="F36" s="1293">
        <f t="shared" si="7"/>
        <v>1403750</v>
      </c>
      <c r="G36" s="1293">
        <f t="shared" ref="G36:N36" si="8">G34-G35</f>
        <v>1300995</v>
      </c>
      <c r="H36" s="1293">
        <f t="shared" si="8"/>
        <v>1275742</v>
      </c>
      <c r="I36" s="1293">
        <f t="shared" si="8"/>
        <v>1141621</v>
      </c>
      <c r="J36" s="1293">
        <f t="shared" si="8"/>
        <v>985681</v>
      </c>
      <c r="K36" s="1293">
        <f t="shared" si="8"/>
        <v>815525</v>
      </c>
      <c r="L36" s="1293">
        <f t="shared" si="8"/>
        <v>733823</v>
      </c>
      <c r="M36" s="1293">
        <f t="shared" si="8"/>
        <v>757237</v>
      </c>
      <c r="N36" s="1293">
        <f t="shared" si="8"/>
        <v>657937</v>
      </c>
      <c r="O36" s="270"/>
    </row>
    <row r="37" spans="1:15">
      <c r="A37" s="275">
        <f t="shared" si="1"/>
        <v>25</v>
      </c>
      <c r="B37" s="270"/>
      <c r="C37" s="767"/>
      <c r="D37" s="767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</row>
    <row r="38" spans="1:15">
      <c r="A38" s="275">
        <f t="shared" si="1"/>
        <v>26</v>
      </c>
      <c r="B38" s="284" t="s">
        <v>3064</v>
      </c>
      <c r="C38" s="767"/>
      <c r="D38" s="767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</row>
    <row r="39" spans="1:15">
      <c r="A39" s="275">
        <f t="shared" si="1"/>
        <v>27</v>
      </c>
      <c r="B39" s="285" t="s">
        <v>3065</v>
      </c>
      <c r="C39" s="767">
        <f>ROUND('SCH B-3'!E542/1000,0)</f>
        <v>51067</v>
      </c>
      <c r="D39" s="767">
        <f>ROUND('SCH B-3'!E265/1000,0)</f>
        <v>52030</v>
      </c>
      <c r="E39" s="283">
        <v>54293</v>
      </c>
      <c r="F39" s="283">
        <v>43379</v>
      </c>
      <c r="G39" s="283">
        <v>44857</v>
      </c>
      <c r="H39" s="283">
        <v>45373</v>
      </c>
      <c r="I39" s="283">
        <v>46026</v>
      </c>
      <c r="J39" s="283">
        <v>49780</v>
      </c>
      <c r="K39" s="283">
        <v>43854</v>
      </c>
      <c r="L39" s="283">
        <v>42694</v>
      </c>
      <c r="M39" s="283">
        <v>42816</v>
      </c>
      <c r="N39" s="283">
        <v>42789</v>
      </c>
      <c r="O39" s="270"/>
    </row>
    <row r="40" spans="1:15">
      <c r="A40" s="275">
        <f t="shared" si="1"/>
        <v>28</v>
      </c>
      <c r="B40" s="274" t="s">
        <v>3056</v>
      </c>
      <c r="C40" s="1293">
        <f>ROUND('SCH B-3'!G542/1000,0)</f>
        <v>27892</v>
      </c>
      <c r="D40" s="1293">
        <f>ROUND('SCH B-3'!G265/1000,0)</f>
        <v>27871</v>
      </c>
      <c r="E40" s="1629">
        <v>26707</v>
      </c>
      <c r="F40" s="1629">
        <v>27268</v>
      </c>
      <c r="G40" s="1629">
        <v>29646</v>
      </c>
      <c r="H40" s="1629">
        <v>30397</v>
      </c>
      <c r="I40" s="1629">
        <v>31252</v>
      </c>
      <c r="J40" s="1629">
        <v>37585</v>
      </c>
      <c r="K40" s="1629">
        <v>38204</v>
      </c>
      <c r="L40" s="1629">
        <v>36759</v>
      </c>
      <c r="M40" s="1629">
        <v>35358</v>
      </c>
      <c r="N40" s="1629">
        <v>33825</v>
      </c>
      <c r="O40" s="270"/>
    </row>
    <row r="41" spans="1:15">
      <c r="A41" s="275">
        <f t="shared" si="1"/>
        <v>29</v>
      </c>
      <c r="B41" s="285" t="s">
        <v>3066</v>
      </c>
      <c r="C41" s="1293">
        <f t="shared" ref="C41" si="9">C39-C40</f>
        <v>23175</v>
      </c>
      <c r="D41" s="1293">
        <f t="shared" ref="D41:M41" si="10">D39-D40</f>
        <v>24159</v>
      </c>
      <c r="E41" s="1293">
        <f t="shared" si="10"/>
        <v>27586</v>
      </c>
      <c r="F41" s="1293">
        <f t="shared" si="10"/>
        <v>16111</v>
      </c>
      <c r="G41" s="1293">
        <f t="shared" si="10"/>
        <v>15211</v>
      </c>
      <c r="H41" s="1293">
        <f t="shared" si="10"/>
        <v>14976</v>
      </c>
      <c r="I41" s="1293">
        <f t="shared" si="10"/>
        <v>14774</v>
      </c>
      <c r="J41" s="1293">
        <f t="shared" si="10"/>
        <v>12195</v>
      </c>
      <c r="K41" s="1293">
        <f t="shared" si="10"/>
        <v>5650</v>
      </c>
      <c r="L41" s="1293">
        <f t="shared" si="10"/>
        <v>5935</v>
      </c>
      <c r="M41" s="1293">
        <f t="shared" si="10"/>
        <v>7458</v>
      </c>
      <c r="N41" s="1293">
        <f>N39-N40</f>
        <v>8964</v>
      </c>
      <c r="O41" s="270"/>
    </row>
    <row r="42" spans="1:15">
      <c r="A42" s="275">
        <f t="shared" si="1"/>
        <v>30</v>
      </c>
      <c r="B42" s="270"/>
      <c r="C42" s="767"/>
      <c r="D42" s="767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</row>
    <row r="43" spans="1:15">
      <c r="A43" s="275">
        <f t="shared" si="1"/>
        <v>31</v>
      </c>
      <c r="B43" s="285" t="s">
        <v>3067</v>
      </c>
      <c r="C43" s="1629">
        <v>0</v>
      </c>
      <c r="D43" s="1629">
        <v>0</v>
      </c>
      <c r="E43" s="1629">
        <v>58</v>
      </c>
      <c r="F43" s="1629">
        <v>33</v>
      </c>
      <c r="G43" s="1629">
        <v>30</v>
      </c>
      <c r="H43" s="1629">
        <v>0</v>
      </c>
      <c r="I43" s="1629">
        <v>0</v>
      </c>
      <c r="J43" s="1629">
        <v>80</v>
      </c>
      <c r="K43" s="1629">
        <v>70</v>
      </c>
      <c r="L43" s="1629">
        <v>0</v>
      </c>
      <c r="M43" s="1629">
        <v>0</v>
      </c>
      <c r="N43" s="1629">
        <v>0</v>
      </c>
      <c r="O43" s="286"/>
    </row>
    <row r="44" spans="1:15">
      <c r="A44" s="275">
        <f t="shared" si="1"/>
        <v>32</v>
      </c>
      <c r="B44" s="270"/>
      <c r="C44" s="767"/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67"/>
      <c r="O44" s="270"/>
    </row>
    <row r="45" spans="1:15">
      <c r="A45" s="275">
        <f t="shared" si="1"/>
        <v>33</v>
      </c>
      <c r="B45" s="285" t="s">
        <v>3068</v>
      </c>
      <c r="C45" s="1293">
        <f>ROUND('SCH B-4'!F70/1000,0)</f>
        <v>135182</v>
      </c>
      <c r="D45" s="1293">
        <f>ROUND('SCH B-4'!F32/1000,0)</f>
        <v>84896</v>
      </c>
      <c r="E45" s="1629">
        <v>96666</v>
      </c>
      <c r="F45" s="1629">
        <v>96808</v>
      </c>
      <c r="G45" s="1629">
        <v>96259</v>
      </c>
      <c r="H45" s="1629">
        <v>70446</v>
      </c>
      <c r="I45" s="1629">
        <v>114642</v>
      </c>
      <c r="J45" s="1629">
        <v>118766</v>
      </c>
      <c r="K45" s="1629">
        <v>109390</v>
      </c>
      <c r="L45" s="1629">
        <v>63833</v>
      </c>
      <c r="M45" s="1629">
        <v>43361</v>
      </c>
      <c r="N45" s="1629">
        <v>15303</v>
      </c>
      <c r="O45" s="270"/>
    </row>
    <row r="46" spans="1:15">
      <c r="A46" s="275">
        <f t="shared" si="1"/>
        <v>34</v>
      </c>
      <c r="B46" s="270"/>
      <c r="C46" s="767"/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67"/>
      <c r="O46" s="270"/>
    </row>
    <row r="47" spans="1:15" ht="13.8" thickBot="1">
      <c r="A47" s="275">
        <f t="shared" si="1"/>
        <v>35</v>
      </c>
      <c r="B47" s="285" t="s">
        <v>3069</v>
      </c>
      <c r="C47" s="1975">
        <f>C24+C36+C41+C43+C45</f>
        <v>2440285.2315277345</v>
      </c>
      <c r="D47" s="1975">
        <f>D24+D36+D41+D43+D45</f>
        <v>2284348.3151601478</v>
      </c>
      <c r="E47" s="1975">
        <f>E24+E36+E41+E43+E45</f>
        <v>2266952</v>
      </c>
      <c r="F47" s="1975">
        <f t="shared" ref="F47" si="11">F24+F36+F41+F43+F45</f>
        <v>2162783</v>
      </c>
      <c r="G47" s="1975">
        <f t="shared" ref="G47:N47" si="12">G24+G36+G41+G43+G45</f>
        <v>2010441</v>
      </c>
      <c r="H47" s="1975">
        <f t="shared" si="12"/>
        <v>1907194</v>
      </c>
      <c r="I47" s="1975">
        <f t="shared" si="12"/>
        <v>1742471</v>
      </c>
      <c r="J47" s="1975">
        <f t="shared" si="12"/>
        <v>1525663</v>
      </c>
      <c r="K47" s="1975">
        <f t="shared" si="12"/>
        <v>1268105</v>
      </c>
      <c r="L47" s="1975">
        <f t="shared" si="12"/>
        <v>1115208</v>
      </c>
      <c r="M47" s="1975">
        <f t="shared" si="12"/>
        <v>1101565</v>
      </c>
      <c r="N47" s="1975">
        <f t="shared" si="12"/>
        <v>975168</v>
      </c>
      <c r="O47" s="270"/>
    </row>
    <row r="48" spans="1:15" ht="13.8" thickTop="1">
      <c r="A48" s="275">
        <f t="shared" si="1"/>
        <v>36</v>
      </c>
      <c r="B48" s="270"/>
      <c r="C48" s="270"/>
      <c r="D48" s="767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</row>
    <row r="49" spans="1:15">
      <c r="A49" s="275">
        <f t="shared" si="1"/>
        <v>37</v>
      </c>
      <c r="B49" s="270" t="s">
        <v>3070</v>
      </c>
      <c r="C49" s="767"/>
      <c r="D49" s="767"/>
      <c r="E49" s="270"/>
      <c r="F49" s="270"/>
      <c r="G49" s="270"/>
      <c r="H49" s="270"/>
      <c r="I49" s="270"/>
      <c r="J49" s="270"/>
      <c r="K49" s="270"/>
      <c r="L49" s="270"/>
      <c r="M49" s="270"/>
      <c r="N49" s="270"/>
      <c r="O49" s="270"/>
    </row>
    <row r="50" spans="1:15">
      <c r="A50" s="275">
        <f t="shared" si="1"/>
        <v>38</v>
      </c>
      <c r="B50" s="270" t="s">
        <v>3071</v>
      </c>
      <c r="C50" s="287" t="s">
        <v>490</v>
      </c>
      <c r="D50" s="287" t="s">
        <v>490</v>
      </c>
      <c r="E50" s="1800">
        <v>2.3699999999999999E-2</v>
      </c>
      <c r="F50" s="1800">
        <v>2.3699999999999999E-2</v>
      </c>
      <c r="G50" s="2214">
        <v>2.3699999999999999E-2</v>
      </c>
      <c r="H50" s="2214">
        <v>2.18E-2</v>
      </c>
      <c r="I50" s="2214">
        <v>2.2700000000000001E-2</v>
      </c>
      <c r="J50" s="1800">
        <v>2.2800000000000001E-2</v>
      </c>
      <c r="K50" s="2214">
        <v>2.3599999999999999E-2</v>
      </c>
      <c r="L50" s="2214">
        <v>2.41E-2</v>
      </c>
      <c r="M50" s="2214">
        <v>2.4299999999999999E-2</v>
      </c>
      <c r="N50" s="2214">
        <v>2.4199999999999999E-2</v>
      </c>
      <c r="O50" s="270"/>
    </row>
    <row r="51" spans="1:15">
      <c r="A51" s="275">
        <f t="shared" si="1"/>
        <v>39</v>
      </c>
      <c r="B51" s="270" t="s">
        <v>3072</v>
      </c>
      <c r="C51" s="287" t="s">
        <v>490</v>
      </c>
      <c r="D51" s="287" t="s">
        <v>490</v>
      </c>
      <c r="E51" s="1800">
        <v>3.7999999999999999E-2</v>
      </c>
      <c r="F51" s="1800">
        <v>3.7999999999999999E-2</v>
      </c>
      <c r="G51" s="2214">
        <v>2.4199999999999999E-2</v>
      </c>
      <c r="H51" s="2214">
        <v>2.4199999999999999E-2</v>
      </c>
      <c r="I51" s="2214">
        <v>2.4799999999999999E-2</v>
      </c>
      <c r="J51" s="1800">
        <v>2.2200000000000001E-2</v>
      </c>
      <c r="K51" s="2214">
        <v>2.12E-2</v>
      </c>
      <c r="L51" s="2214">
        <v>2.2200000000000001E-2</v>
      </c>
      <c r="M51" s="2214">
        <v>2.3800000000000002E-2</v>
      </c>
      <c r="N51" s="2214">
        <v>2.3900000000000001E-2</v>
      </c>
      <c r="O51" s="270"/>
    </row>
    <row r="52" spans="1:15">
      <c r="A52" s="275">
        <f t="shared" si="1"/>
        <v>40</v>
      </c>
      <c r="B52" s="270" t="s">
        <v>3073</v>
      </c>
      <c r="C52" s="287" t="s">
        <v>490</v>
      </c>
      <c r="D52" s="287" t="s">
        <v>490</v>
      </c>
      <c r="E52" s="1800">
        <v>5.1999999999999998E-2</v>
      </c>
      <c r="F52" s="1800">
        <v>5.1999999999999998E-2</v>
      </c>
      <c r="G52" s="2214">
        <v>4.1300000000000003E-2</v>
      </c>
      <c r="H52" s="2214">
        <v>3.7400000000000003E-2</v>
      </c>
      <c r="I52" s="2214">
        <v>3.6400000000000002E-2</v>
      </c>
      <c r="J52" s="1800">
        <v>5.3199999999999997E-2</v>
      </c>
      <c r="K52" s="2214">
        <v>0.1004</v>
      </c>
      <c r="L52" s="2214">
        <v>0.1055</v>
      </c>
      <c r="M52" s="2214">
        <v>5.4300000000000001E-2</v>
      </c>
      <c r="N52" s="2214">
        <v>9.4799999999999995E-2</v>
      </c>
      <c r="O52" s="270"/>
    </row>
    <row r="53" spans="1:15">
      <c r="A53" s="288"/>
      <c r="B53" s="270"/>
      <c r="C53" s="270"/>
      <c r="D53" s="289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70"/>
    </row>
    <row r="54" spans="1:15">
      <c r="A54" s="288"/>
      <c r="B54" s="291" t="s">
        <v>3074</v>
      </c>
      <c r="C54" s="291"/>
      <c r="D54" s="767"/>
      <c r="E54" s="1767"/>
      <c r="F54" s="270"/>
      <c r="G54" s="270"/>
      <c r="H54" s="270"/>
      <c r="I54" s="270"/>
      <c r="J54" s="270"/>
      <c r="K54" s="270"/>
      <c r="L54" s="270"/>
      <c r="M54" s="270"/>
      <c r="N54" s="270"/>
      <c r="O54" s="270"/>
    </row>
    <row r="55" spans="1:15">
      <c r="A55" s="288"/>
      <c r="B55" s="270"/>
      <c r="C55" s="270"/>
      <c r="D55" s="767"/>
      <c r="E55" s="270"/>
      <c r="F55" s="270"/>
      <c r="G55" s="270"/>
      <c r="H55" s="270"/>
      <c r="I55" s="270"/>
      <c r="J55" s="270"/>
      <c r="K55" s="270"/>
      <c r="L55" s="270"/>
      <c r="M55" s="270"/>
      <c r="N55" s="270"/>
      <c r="O55" s="270"/>
    </row>
    <row r="56" spans="1:15">
      <c r="A56" s="288"/>
      <c r="B56" s="270"/>
      <c r="C56" s="270"/>
      <c r="D56" s="767"/>
      <c r="E56" s="270"/>
      <c r="F56" s="270"/>
      <c r="G56" s="270"/>
      <c r="H56" s="270"/>
      <c r="I56" s="270"/>
      <c r="J56" s="270"/>
      <c r="K56" s="270"/>
      <c r="L56" s="270"/>
      <c r="M56" s="270"/>
      <c r="N56" s="270"/>
      <c r="O56" s="270"/>
    </row>
    <row r="57" spans="1:15">
      <c r="A57" s="268" t="str">
        <f>A1</f>
        <v>DUKE ENERGY KENTUCKY, INC.</v>
      </c>
      <c r="B57" s="268"/>
      <c r="C57" s="268"/>
      <c r="D57" s="269"/>
      <c r="E57" s="268"/>
      <c r="F57" s="268"/>
      <c r="G57" s="268"/>
      <c r="H57" s="268"/>
      <c r="I57" s="268"/>
      <c r="J57" s="268"/>
      <c r="K57" s="268"/>
      <c r="L57" s="268"/>
      <c r="M57" s="268"/>
      <c r="N57" s="268"/>
      <c r="O57" s="270"/>
    </row>
    <row r="58" spans="1:15">
      <c r="A58" s="268" t="str">
        <f>A2</f>
        <v>CASE NO. 2024-00354</v>
      </c>
      <c r="B58" s="271"/>
      <c r="C58" s="271"/>
      <c r="D58" s="272"/>
      <c r="E58" s="271"/>
      <c r="F58" s="271"/>
      <c r="G58" s="271"/>
      <c r="H58" s="271"/>
      <c r="I58" s="271"/>
      <c r="J58" s="271"/>
      <c r="K58" s="271"/>
      <c r="L58" s="271"/>
      <c r="M58" s="271"/>
      <c r="N58" s="271"/>
      <c r="O58" s="270"/>
    </row>
    <row r="59" spans="1:15">
      <c r="A59" s="268" t="str">
        <f>A3</f>
        <v>COMPARATIVE FINANCIAL DATA</v>
      </c>
      <c r="B59" s="271"/>
      <c r="C59" s="271"/>
      <c r="D59" s="272"/>
      <c r="E59" s="271"/>
      <c r="F59" s="271"/>
      <c r="G59" s="271"/>
      <c r="H59" s="271"/>
      <c r="I59" s="271"/>
      <c r="J59" s="271"/>
      <c r="K59" s="271"/>
      <c r="L59" s="271"/>
      <c r="M59" s="271"/>
      <c r="N59" s="271"/>
      <c r="O59" s="270"/>
    </row>
    <row r="60" spans="1:15">
      <c r="A60" s="273"/>
      <c r="B60" s="273"/>
      <c r="C60" s="273"/>
      <c r="D60" s="761"/>
      <c r="E60" s="273"/>
      <c r="F60" s="273"/>
      <c r="G60" s="273"/>
      <c r="H60" s="273"/>
      <c r="I60" s="273"/>
      <c r="J60" s="273"/>
      <c r="K60" s="273"/>
      <c r="L60" s="273"/>
      <c r="M60" s="273"/>
      <c r="N60" s="273"/>
      <c r="O60" s="270"/>
    </row>
    <row r="61" spans="1:15">
      <c r="A61" s="273" t="str">
        <f>A5</f>
        <v>DATA: "X" BASE PERIOD  "X" FORECASTED PERIOD</v>
      </c>
      <c r="B61" s="268"/>
      <c r="C61" s="268"/>
      <c r="D61" s="269"/>
      <c r="E61" s="271"/>
      <c r="F61" s="268"/>
      <c r="G61" s="268"/>
      <c r="H61" s="268"/>
      <c r="I61" s="268"/>
      <c r="J61" s="268"/>
      <c r="K61" s="268"/>
      <c r="L61" s="274" t="str">
        <f>L5</f>
        <v>SCHEDULE K</v>
      </c>
      <c r="M61" s="268"/>
      <c r="N61" s="268"/>
      <c r="O61" s="270"/>
    </row>
    <row r="62" spans="1:15">
      <c r="A62" s="273" t="str">
        <f>A6</f>
        <v xml:space="preserve">TYPE OF FILING:  "X" ORIGINAL   UPDATED    REVISED  </v>
      </c>
      <c r="B62" s="268"/>
      <c r="C62" s="268"/>
      <c r="D62" s="269"/>
      <c r="E62" s="271"/>
      <c r="F62" s="268"/>
      <c r="G62" s="268"/>
      <c r="H62" s="268"/>
      <c r="I62" s="268"/>
      <c r="J62" s="268"/>
      <c r="K62" s="268"/>
      <c r="L62" s="274" t="s">
        <v>3075</v>
      </c>
      <c r="M62" s="268"/>
      <c r="N62" s="268"/>
      <c r="O62" s="270"/>
    </row>
    <row r="63" spans="1:15">
      <c r="A63" s="273" t="str">
        <f>A7</f>
        <v>WORK PAPER REFERENCE NO(S).:</v>
      </c>
      <c r="B63" s="273"/>
      <c r="C63" s="273"/>
      <c r="D63" s="269"/>
      <c r="E63" s="268"/>
      <c r="F63" s="271"/>
      <c r="G63" s="268"/>
      <c r="H63" s="268"/>
      <c r="I63" s="268"/>
      <c r="J63" s="268"/>
      <c r="K63" s="295"/>
      <c r="L63" s="296" t="s">
        <v>1866</v>
      </c>
      <c r="M63" s="274"/>
      <c r="N63" s="274"/>
      <c r="O63" s="295"/>
    </row>
    <row r="64" spans="1:15">
      <c r="A64" s="270"/>
      <c r="B64" s="273"/>
      <c r="C64" s="273"/>
      <c r="D64" s="761"/>
      <c r="E64" s="273"/>
      <c r="F64" s="273"/>
      <c r="G64" s="273"/>
      <c r="H64" s="273"/>
      <c r="I64" s="273"/>
      <c r="J64" s="273"/>
      <c r="K64" s="270"/>
      <c r="L64" s="273" t="str">
        <f>_WIT6</f>
        <v>G. S. CARPENTER / D. L. WEATHERSTON</v>
      </c>
      <c r="M64" s="274"/>
      <c r="N64" s="274"/>
      <c r="O64" s="270"/>
    </row>
    <row r="65" spans="1:15">
      <c r="A65" s="1624"/>
      <c r="B65" s="1624"/>
      <c r="C65" s="1624"/>
      <c r="D65" s="1592"/>
      <c r="E65" s="1624"/>
      <c r="F65" s="1624"/>
      <c r="G65" s="1624"/>
      <c r="H65" s="1624"/>
      <c r="I65" s="1624"/>
      <c r="J65" s="1624"/>
      <c r="K65" s="1624"/>
      <c r="L65" s="1625"/>
      <c r="M65" s="1624"/>
      <c r="N65" s="1624"/>
      <c r="O65" s="270"/>
    </row>
    <row r="66" spans="1:15">
      <c r="A66" s="275" t="s">
        <v>573</v>
      </c>
      <c r="B66" s="273"/>
      <c r="C66" s="275" t="s">
        <v>474</v>
      </c>
      <c r="D66" s="276" t="str">
        <f>D10</f>
        <v>BASE</v>
      </c>
      <c r="E66" s="2186" t="str">
        <f>E10</f>
        <v>MOST RECENT CALENDAR YEARS</v>
      </c>
      <c r="F66" s="2186"/>
      <c r="G66" s="2186"/>
      <c r="H66" s="2186"/>
      <c r="I66" s="2186"/>
      <c r="J66" s="2186"/>
      <c r="K66" s="2186"/>
      <c r="L66" s="2186"/>
      <c r="M66" s="2186"/>
      <c r="N66" s="2186"/>
      <c r="O66" s="270"/>
    </row>
    <row r="67" spans="1:15">
      <c r="A67" s="1626" t="s">
        <v>576</v>
      </c>
      <c r="B67" s="1626" t="s">
        <v>2</v>
      </c>
      <c r="C67" s="1628" t="s">
        <v>478</v>
      </c>
      <c r="D67" s="1628" t="str">
        <f>D11</f>
        <v>PERIOD</v>
      </c>
      <c r="E67" s="1626">
        <f t="shared" ref="E67:N67" si="13">E11</f>
        <v>2023</v>
      </c>
      <c r="F67" s="1626">
        <f t="shared" si="13"/>
        <v>2022</v>
      </c>
      <c r="G67" s="1626">
        <f t="shared" si="13"/>
        <v>2021</v>
      </c>
      <c r="H67" s="1626">
        <f t="shared" si="13"/>
        <v>2020</v>
      </c>
      <c r="I67" s="1626">
        <f t="shared" si="13"/>
        <v>2019</v>
      </c>
      <c r="J67" s="1626">
        <f t="shared" si="13"/>
        <v>2018</v>
      </c>
      <c r="K67" s="1626">
        <f t="shared" si="13"/>
        <v>2017</v>
      </c>
      <c r="L67" s="1626">
        <f t="shared" si="13"/>
        <v>2016</v>
      </c>
      <c r="M67" s="1626">
        <f t="shared" si="13"/>
        <v>2015</v>
      </c>
      <c r="N67" s="1626">
        <f t="shared" si="13"/>
        <v>2014</v>
      </c>
      <c r="O67" s="270"/>
    </row>
    <row r="68" spans="1:15">
      <c r="A68" s="273"/>
      <c r="B68" s="273"/>
      <c r="C68" s="273"/>
      <c r="D68" s="761"/>
      <c r="E68" s="273"/>
      <c r="F68" s="273"/>
      <c r="G68" s="273"/>
      <c r="H68" s="273"/>
      <c r="I68" s="273"/>
      <c r="J68" s="273"/>
      <c r="K68" s="273"/>
      <c r="L68" s="273"/>
      <c r="M68" s="273"/>
      <c r="N68" s="273"/>
      <c r="O68" s="270"/>
    </row>
    <row r="69" spans="1:15">
      <c r="A69" s="288">
        <v>1</v>
      </c>
      <c r="B69" s="282" t="s">
        <v>3076</v>
      </c>
      <c r="C69" s="282"/>
      <c r="D69" s="767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</row>
    <row r="70" spans="1:15">
      <c r="A70" s="288">
        <f t="shared" ref="A70:A99" si="14">1+A69</f>
        <v>2</v>
      </c>
      <c r="B70" s="270" t="s">
        <v>3077</v>
      </c>
      <c r="C70" s="767">
        <f>ROUND('SCH_J1 - Forecast'!G18/1000,0)</f>
        <v>930883</v>
      </c>
      <c r="D70" s="767">
        <f>ROUND('SCH_J1 - Base'!G17/1000,0)</f>
        <v>788615</v>
      </c>
      <c r="E70" s="767">
        <f>ROUND(SCH_B8!H95/1000,0)</f>
        <v>706570</v>
      </c>
      <c r="F70" s="767">
        <f>ROUND(SCH_B8!J95/1000,0)</f>
        <v>781558</v>
      </c>
      <c r="G70" s="767">
        <f>ROUND(SCH_B8!L95/1000,0)</f>
        <v>731546</v>
      </c>
      <c r="H70" s="767">
        <f>ROUND(SCH_B8!N95/1000,0)</f>
        <v>731534</v>
      </c>
      <c r="I70" s="767">
        <f>ROUND(SCH_B8!P95/1000,0)</f>
        <v>661521</v>
      </c>
      <c r="J70" s="283">
        <v>551481</v>
      </c>
      <c r="K70" s="283">
        <v>451432</v>
      </c>
      <c r="L70" s="283">
        <v>361382</v>
      </c>
      <c r="M70" s="283">
        <v>316332</v>
      </c>
      <c r="N70" s="283">
        <v>317131</v>
      </c>
      <c r="O70" s="270"/>
    </row>
    <row r="71" spans="1:15">
      <c r="A71" s="288">
        <f t="shared" si="14"/>
        <v>3</v>
      </c>
      <c r="B71" s="270" t="s">
        <v>3078</v>
      </c>
      <c r="C71" s="283">
        <v>0</v>
      </c>
      <c r="D71" s="283">
        <v>0</v>
      </c>
      <c r="E71" s="283">
        <v>0</v>
      </c>
      <c r="F71" s="283">
        <v>0</v>
      </c>
      <c r="G71" s="283">
        <v>0</v>
      </c>
      <c r="H71" s="283">
        <v>0</v>
      </c>
      <c r="I71" s="283">
        <v>0</v>
      </c>
      <c r="J71" s="283">
        <v>0</v>
      </c>
      <c r="K71" s="283">
        <v>0</v>
      </c>
      <c r="L71" s="283">
        <v>0</v>
      </c>
      <c r="M71" s="283">
        <v>0</v>
      </c>
      <c r="N71" s="283">
        <v>0</v>
      </c>
      <c r="O71" s="270"/>
    </row>
    <row r="72" spans="1:15">
      <c r="A72" s="288">
        <f t="shared" si="14"/>
        <v>4</v>
      </c>
      <c r="B72" s="270" t="s">
        <v>3079</v>
      </c>
      <c r="C72" s="767">
        <f>ROUND('SCH_J1 - Forecast'!G17/1000,0)</f>
        <v>1155394</v>
      </c>
      <c r="D72" s="767">
        <f>ROUND('SCH_J1 - Base'!G16/1000,0)</f>
        <v>1112241</v>
      </c>
      <c r="E72" s="767">
        <f>ROUND(SCH_B8!H88/1000,0)</f>
        <v>1130357</v>
      </c>
      <c r="F72" s="767">
        <f>ROUND(SCH_B8!J88/1000,0)</f>
        <v>880194</v>
      </c>
      <c r="G72" s="767">
        <f>ROUND(SCH_B8!L88/1000,0)</f>
        <v>821642</v>
      </c>
      <c r="H72" s="767">
        <f>ROUND(SCH_B8!N88/1000,0)</f>
        <v>718237</v>
      </c>
      <c r="I72" s="767">
        <f>ROUND(SCH_B8!P88/1000,0)</f>
        <v>645094</v>
      </c>
      <c r="J72" s="283">
        <v>596224</v>
      </c>
      <c r="K72" s="283">
        <v>511414</v>
      </c>
      <c r="L72" s="283">
        <v>437015</v>
      </c>
      <c r="M72" s="283">
        <v>404432</v>
      </c>
      <c r="N72" s="283">
        <v>413256</v>
      </c>
      <c r="O72" s="270"/>
    </row>
    <row r="73" spans="1:15">
      <c r="A73" s="288">
        <f t="shared" si="14"/>
        <v>5</v>
      </c>
      <c r="B73" s="282" t="s">
        <v>3080</v>
      </c>
      <c r="C73" s="283"/>
      <c r="D73" s="283"/>
      <c r="E73" s="289"/>
      <c r="F73" s="289"/>
      <c r="G73" s="289"/>
      <c r="H73" s="289"/>
      <c r="I73" s="283"/>
      <c r="J73" s="289"/>
      <c r="K73" s="289"/>
      <c r="L73" s="289"/>
      <c r="M73" s="289"/>
      <c r="N73" s="283"/>
      <c r="O73" s="270"/>
    </row>
    <row r="74" spans="1:15">
      <c r="A74" s="288">
        <f t="shared" si="14"/>
        <v>6</v>
      </c>
      <c r="B74" s="270" t="s">
        <v>3081</v>
      </c>
      <c r="C74" s="298">
        <f>ROUND('SCH_I1 - Total Co'!G16/1000000,1)</f>
        <v>708.6</v>
      </c>
      <c r="D74" s="298">
        <f>ROUND('SCH_I1 - Total Co'!J16/1000000,1)</f>
        <v>653</v>
      </c>
      <c r="E74" s="298">
        <f>ROUND('SCH_I1 - Total Co'!M16/1000000,1)</f>
        <v>585</v>
      </c>
      <c r="F74" s="298">
        <f>ROUND('SCH_I1 - Total Co'!O16/1000000,1)</f>
        <v>671.9</v>
      </c>
      <c r="G74" s="298">
        <f>ROUND('SCH_I1 - Total Co'!Q16/1000000,1)</f>
        <v>514.6</v>
      </c>
      <c r="H74" s="298">
        <f>ROUND('SCH_I1 - Total Co'!S16/1000000,1)</f>
        <v>445.7</v>
      </c>
      <c r="I74" s="298">
        <f>ROUND('SCH_I1 - Total Co'!U16/1000000,1)</f>
        <v>478.7</v>
      </c>
      <c r="J74" s="299">
        <v>488</v>
      </c>
      <c r="K74" s="299">
        <v>429.1</v>
      </c>
      <c r="L74" s="299">
        <v>440.8</v>
      </c>
      <c r="M74" s="299">
        <v>466.8</v>
      </c>
      <c r="N74" s="299">
        <v>488.7</v>
      </c>
      <c r="O74" s="270"/>
    </row>
    <row r="75" spans="1:15">
      <c r="A75" s="288">
        <f t="shared" si="14"/>
        <v>7</v>
      </c>
      <c r="B75" s="300" t="s">
        <v>3082</v>
      </c>
      <c r="C75" s="299"/>
      <c r="D75" s="299"/>
      <c r="E75" s="299"/>
      <c r="F75" s="299"/>
      <c r="G75" s="299"/>
      <c r="H75" s="299"/>
      <c r="I75" s="299"/>
      <c r="J75" s="299"/>
      <c r="K75" s="299"/>
      <c r="L75" s="299"/>
      <c r="M75" s="299"/>
      <c r="N75" s="299"/>
      <c r="O75" s="270"/>
    </row>
    <row r="76" spans="1:15">
      <c r="A76" s="288">
        <f t="shared" si="14"/>
        <v>8</v>
      </c>
      <c r="B76" s="300" t="s">
        <v>3083</v>
      </c>
      <c r="C76" s="1630">
        <f>ROUND(SUM('SCH_I1 - Total Co'!G18:G24)/1000000,1)</f>
        <v>540.5</v>
      </c>
      <c r="D76" s="1630">
        <f>ROUND(SUM('SCH_I1 - Total Co'!J18:J24)/1000000,1)</f>
        <v>520.1</v>
      </c>
      <c r="E76" s="1630">
        <f>ROUND(SUM('SCH_I1 - Total Co'!M18:M24)/1000000,1)</f>
        <v>471.4</v>
      </c>
      <c r="F76" s="1630">
        <f>ROUND(SUM('SCH_I1 - Total Co'!O18:O24)/1000000,1)</f>
        <v>570.4</v>
      </c>
      <c r="G76" s="1630">
        <f>ROUND(SUM('SCH_I1 - Total Co'!Q18:Q24)/1000000,1)</f>
        <v>423.4</v>
      </c>
      <c r="H76" s="1630">
        <f>ROUND(SUM('SCH_I1 - Total Co'!S18:S24)/1000000,1)</f>
        <v>361.5</v>
      </c>
      <c r="I76" s="1630">
        <f>ROUND(SUM('SCH_I1 - Total Co'!U18:U24)/1000000,1)</f>
        <v>400.2</v>
      </c>
      <c r="J76" s="2216">
        <v>407.5</v>
      </c>
      <c r="K76" s="2216">
        <v>356.2</v>
      </c>
      <c r="L76" s="2216">
        <v>365.8</v>
      </c>
      <c r="M76" s="2216">
        <v>378.1</v>
      </c>
      <c r="N76" s="2216">
        <v>416.6</v>
      </c>
      <c r="O76" s="270"/>
    </row>
    <row r="77" spans="1:15">
      <c r="A77" s="288">
        <f t="shared" si="14"/>
        <v>9</v>
      </c>
      <c r="B77" s="270" t="s">
        <v>3084</v>
      </c>
      <c r="C77" s="2188">
        <f>C74-C76</f>
        <v>168.10000000000002</v>
      </c>
      <c r="D77" s="2188">
        <f>D74-D76</f>
        <v>132.89999999999998</v>
      </c>
      <c r="E77" s="2188">
        <f>E74-E76</f>
        <v>113.60000000000002</v>
      </c>
      <c r="F77" s="2188">
        <f>F74-F76</f>
        <v>101.5</v>
      </c>
      <c r="G77" s="2188">
        <f t="shared" ref="G77:I77" si="15">G74-G76</f>
        <v>91.200000000000045</v>
      </c>
      <c r="H77" s="2188">
        <f t="shared" si="15"/>
        <v>84.199999999999989</v>
      </c>
      <c r="I77" s="2188">
        <f t="shared" si="15"/>
        <v>78.5</v>
      </c>
      <c r="J77" s="2188">
        <f>J74-J76</f>
        <v>80.5</v>
      </c>
      <c r="K77" s="2188">
        <f>K74-K76</f>
        <v>72.900000000000034</v>
      </c>
      <c r="L77" s="2188">
        <f>L74-L76</f>
        <v>75</v>
      </c>
      <c r="M77" s="2188">
        <f>M74-M76</f>
        <v>88.699999999999989</v>
      </c>
      <c r="N77" s="2188">
        <f>N74-N76</f>
        <v>72.099999999999966</v>
      </c>
      <c r="O77" s="270"/>
    </row>
    <row r="78" spans="1:15">
      <c r="A78" s="288">
        <f t="shared" si="14"/>
        <v>10</v>
      </c>
      <c r="B78" s="300" t="s">
        <v>3085</v>
      </c>
      <c r="C78" s="298">
        <f>ROUND('SCH_I1 - Total Co'!G25/1000000,1)</f>
        <v>13.9</v>
      </c>
      <c r="D78" s="298">
        <f>ROUND('SCH_I1 - Total Co'!J25/1000000,1)</f>
        <v>17.600000000000001</v>
      </c>
      <c r="E78" s="298">
        <f>ROUND('SCH_I1 - Total Co'!M25/1000000,1)</f>
        <v>1.8</v>
      </c>
      <c r="F78" s="298">
        <f>ROUND('SCH_I1 - Total Co'!O25/1000000,1)</f>
        <v>9.3000000000000007</v>
      </c>
      <c r="G78" s="298">
        <f>ROUND('SCH_I1 - Total Co'!Q25/1000000,1)</f>
        <v>-8.1</v>
      </c>
      <c r="H78" s="298">
        <f>ROUND('SCH_I1 - Total Co'!S25/1000000,1)</f>
        <v>2</v>
      </c>
      <c r="I78" s="298">
        <f>ROUND('SCH_I1 - Total Co'!U25/1000000,1)</f>
        <v>-4.5999999999999996</v>
      </c>
      <c r="J78" s="299">
        <v>-16.8</v>
      </c>
      <c r="K78" s="299">
        <v>-15.3</v>
      </c>
      <c r="L78" s="299">
        <v>-3.7</v>
      </c>
      <c r="M78" s="299">
        <v>1.6</v>
      </c>
      <c r="N78" s="299">
        <v>-0.5</v>
      </c>
      <c r="O78" s="270"/>
    </row>
    <row r="79" spans="1:15">
      <c r="A79" s="288">
        <f t="shared" si="14"/>
        <v>11</v>
      </c>
      <c r="B79" s="300" t="s">
        <v>3086</v>
      </c>
      <c r="C79" s="1630">
        <f>ROUND('SCH_I1 - Total Co'!G26/1000000,1)</f>
        <v>2.7</v>
      </c>
      <c r="D79" s="1630">
        <f>ROUND('SCH_I1 - Total Co'!J26/1000000,1)</f>
        <v>2.4</v>
      </c>
      <c r="E79" s="1630">
        <f>ROUND('SCH_I1 - Total Co'!M26/1000000,1)</f>
        <v>-1.7</v>
      </c>
      <c r="F79" s="1630">
        <f>ROUND('SCH_I1 - Total Co'!O26/1000000,1)</f>
        <v>1.3</v>
      </c>
      <c r="G79" s="1630">
        <f>ROUND('SCH_I1 - Total Co'!Q26/1000000,1)</f>
        <v>-2.5</v>
      </c>
      <c r="H79" s="1630">
        <f>ROUND('SCH_I1 - Total Co'!S26/1000000,1)</f>
        <v>0.3</v>
      </c>
      <c r="I79" s="1630">
        <f>ROUND('SCH_I1 - Total Co'!U26/1000000,1)</f>
        <v>-0.8</v>
      </c>
      <c r="J79" s="2216">
        <v>-2.1</v>
      </c>
      <c r="K79" s="2216">
        <v>-0.4</v>
      </c>
      <c r="L79" s="2216">
        <v>-0.9</v>
      </c>
      <c r="M79" s="2216">
        <v>-0.8</v>
      </c>
      <c r="N79" s="2216">
        <v>1.8</v>
      </c>
      <c r="O79" s="270"/>
    </row>
    <row r="80" spans="1:15">
      <c r="A80" s="288">
        <f t="shared" si="14"/>
        <v>12</v>
      </c>
      <c r="B80" s="300" t="s">
        <v>3087</v>
      </c>
      <c r="C80" s="2188">
        <f t="shared" ref="C80:I80" si="16">SUM(C78:C79)</f>
        <v>16.600000000000001</v>
      </c>
      <c r="D80" s="2188">
        <f>SUM(D78:D79)</f>
        <v>20</v>
      </c>
      <c r="E80" s="2188">
        <f>SUM(E78:E79)</f>
        <v>0.10000000000000009</v>
      </c>
      <c r="F80" s="2188">
        <f>SUM(F78:F79)</f>
        <v>10.600000000000001</v>
      </c>
      <c r="G80" s="2188">
        <f t="shared" si="16"/>
        <v>-10.6</v>
      </c>
      <c r="H80" s="2188">
        <f t="shared" si="16"/>
        <v>2.2999999999999998</v>
      </c>
      <c r="I80" s="2188">
        <f t="shared" si="16"/>
        <v>-5.3999999999999995</v>
      </c>
      <c r="J80" s="2188">
        <f>J78+J79</f>
        <v>-18.900000000000002</v>
      </c>
      <c r="K80" s="2188">
        <f>K78+K79</f>
        <v>-15.700000000000001</v>
      </c>
      <c r="L80" s="2188">
        <f>L78+L79</f>
        <v>-4.6000000000000005</v>
      </c>
      <c r="M80" s="2188">
        <f>M78+M79</f>
        <v>0.8</v>
      </c>
      <c r="N80" s="2188">
        <f>N78+N79</f>
        <v>1.3</v>
      </c>
      <c r="O80" s="270"/>
    </row>
    <row r="81" spans="1:15">
      <c r="A81" s="288">
        <f t="shared" si="14"/>
        <v>13</v>
      </c>
      <c r="B81" s="270" t="s">
        <v>3088</v>
      </c>
      <c r="C81" s="298">
        <f>ROUND('SCH_I1 - Total Co'!G29/1000000,1)</f>
        <v>0</v>
      </c>
      <c r="D81" s="298">
        <f>ROUND('SCH_I1 - Total Co'!J29/1000000,1)</f>
        <v>0</v>
      </c>
      <c r="E81" s="298">
        <f>ROUND('SCH_I1 - Total Co'!M29/1000000,1)</f>
        <v>-0.1</v>
      </c>
      <c r="F81" s="298">
        <f>ROUND('SCH_I1 - Total Co'!O29/1000000,1)</f>
        <v>-0.2</v>
      </c>
      <c r="G81" s="298">
        <f>ROUND('SCH_I1 - Total Co'!Q29/1000000,1)</f>
        <v>-0.1</v>
      </c>
      <c r="H81" s="298">
        <f>ROUND('SCH_I1 - Total Co'!S29/1000000,1)</f>
        <v>-0.1</v>
      </c>
      <c r="I81" s="298">
        <f>ROUND('SCH_I1 - Total Co'!U29/1000000,1)</f>
        <v>-0.1</v>
      </c>
      <c r="J81" s="299">
        <v>-0.1</v>
      </c>
      <c r="K81" s="299">
        <v>-0.1</v>
      </c>
      <c r="L81" s="299">
        <v>-0.1</v>
      </c>
      <c r="M81" s="299">
        <v>-0.1</v>
      </c>
      <c r="N81" s="299">
        <v>-0.1</v>
      </c>
      <c r="O81" s="270"/>
    </row>
    <row r="82" spans="1:15">
      <c r="A82" s="288">
        <f t="shared" si="14"/>
        <v>14</v>
      </c>
      <c r="B82" s="270" t="s">
        <v>3089</v>
      </c>
      <c r="C82" s="298">
        <f>ROUND(('SCH_I1 - Total Co'!G38-'SCH_I1 - Total Co'!G62)/1000000,1)</f>
        <v>6.2</v>
      </c>
      <c r="D82" s="298">
        <f>ROUND(('SCH_I1 - Total Co'!J38-'SCH_I1 - Total Co'!J62)/1000000,1)</f>
        <v>6.1</v>
      </c>
      <c r="E82" s="298">
        <f>ROUND(('SCH_I1 - Total Co'!M38-'SCH_I1 - Total Co'!M62)/1000000,1)</f>
        <v>5.2</v>
      </c>
      <c r="F82" s="298">
        <f>ROUND(('SCH_I1 - Total Co'!O38-'SCH_I1 - Total Co'!O62)/1000000,1)</f>
        <v>2.4</v>
      </c>
      <c r="G82" s="298">
        <f>ROUND(('SCH_I1 - Total Co'!Q38-'SCH_I1 - Total Co'!Q62)/1000000,1)</f>
        <v>1.7</v>
      </c>
      <c r="H82" s="298">
        <f>ROUND(('SCH_I1 - Total Co'!S38-'SCH_I1 - Total Co'!S62)/1000000,1)</f>
        <v>-0.1</v>
      </c>
      <c r="I82" s="298">
        <f>ROUND(('SCH_I1 - Total Co'!U38-'SCH_I1 - Total Co'!U62)/1000000,1)</f>
        <v>4.5</v>
      </c>
      <c r="J82" s="299">
        <v>5.0999999999999996</v>
      </c>
      <c r="K82" s="299">
        <v>4.7</v>
      </c>
      <c r="L82" s="299">
        <v>1.9</v>
      </c>
      <c r="M82" s="299">
        <v>0.8</v>
      </c>
      <c r="N82" s="299">
        <v>0.7</v>
      </c>
      <c r="O82" s="270"/>
    </row>
    <row r="83" spans="1:15">
      <c r="A83" s="288">
        <f t="shared" si="14"/>
        <v>15</v>
      </c>
      <c r="B83" s="270" t="s">
        <v>3090</v>
      </c>
      <c r="C83" s="298">
        <f>ROUND(('SCH_I1 - Total Co'!G41-'SCH_I1 - Total Co'!G38-'SCH_I1 - Total Co'!G45-'SCH_I1 - Total Co'!G53-'SCH_I1 - Total Co'!G63-'SCH_I1 - Total Co'!G62)/1000000,1)</f>
        <v>-46.7</v>
      </c>
      <c r="D83" s="298">
        <f>ROUND(('SCH_I1 - Total Co'!J41-'SCH_I1 - Total Co'!J38-'SCH_I1 - Total Co'!J45-'SCH_I1 - Total Co'!J53-'SCH_I1 - Total Co'!J63-'SCH_I1 - Total Co'!J62)/1000000,1)</f>
        <v>-32.700000000000003</v>
      </c>
      <c r="E83" s="298">
        <f>ROUND(('SCH_I1 - Total Co'!M41-'SCH_I1 - Total Co'!M38-'SCH_I1 - Total Co'!M45-'SCH_I1 - Total Co'!M53-'SCH_I1 - Total Co'!M63-'SCH_I1 - Total Co'!M62)/1000000,1)</f>
        <v>-31.6</v>
      </c>
      <c r="F83" s="298">
        <f>ROUND(('SCH_I1 - Total Co'!O41-'SCH_I1 - Total Co'!O38-'SCH_I1 - Total Co'!O45-'SCH_I1 - Total Co'!O53-'SCH_I1 - Total Co'!O63-'SCH_I1 - Total Co'!O62)/1000000,1)</f>
        <v>-34.6</v>
      </c>
      <c r="G83" s="298">
        <f>ROUND(('SCH_I1 - Total Co'!Q41-'SCH_I1 - Total Co'!Q38-'SCH_I1 - Total Co'!Q45-'SCH_I1 - Total Co'!Q53-'SCH_I1 - Total Co'!Q63-'SCH_I1 - Total Co'!Q62)/1000000,1)</f>
        <v>-28.8</v>
      </c>
      <c r="H83" s="298">
        <f>ROUND(('SCH_I1 - Total Co'!S41-'SCH_I1 - Total Co'!S38-'SCH_I1 - Total Co'!S45-'SCH_I1 - Total Co'!S53-'SCH_I1 - Total Co'!S63-'SCH_I1 - Total Co'!S62)/1000000,1)</f>
        <v>-26.9</v>
      </c>
      <c r="I83" s="298">
        <f>ROUND(('SCH_I1 - Total Co'!U41-'SCH_I1 - Total Co'!U38-'SCH_I1 - Total Co'!U45-'SCH_I1 - Total Co'!U53-'SCH_I1 - Total Co'!U63-'SCH_I1 - Total Co'!U62)/1000000,1)</f>
        <v>-22.4</v>
      </c>
      <c r="J83" s="299">
        <v>-20.8</v>
      </c>
      <c r="K83" s="299">
        <v>4.7</v>
      </c>
      <c r="L83" s="299">
        <v>-16.3</v>
      </c>
      <c r="M83" s="299">
        <v>-15.1</v>
      </c>
      <c r="N83" s="299">
        <v>-15.9</v>
      </c>
      <c r="O83" s="270"/>
    </row>
    <row r="84" spans="1:15">
      <c r="A84" s="288">
        <f t="shared" si="14"/>
        <v>16</v>
      </c>
      <c r="B84" s="270" t="s">
        <v>3091</v>
      </c>
      <c r="C84" s="299">
        <v>0</v>
      </c>
      <c r="D84" s="299">
        <v>0</v>
      </c>
      <c r="E84" s="299">
        <v>0</v>
      </c>
      <c r="F84" s="299">
        <v>0</v>
      </c>
      <c r="G84" s="299">
        <v>0</v>
      </c>
      <c r="H84" s="299">
        <v>0</v>
      </c>
      <c r="I84" s="299">
        <v>0</v>
      </c>
      <c r="J84" s="299">
        <v>0</v>
      </c>
      <c r="K84" s="299">
        <v>0</v>
      </c>
      <c r="L84" s="299">
        <v>0</v>
      </c>
      <c r="M84" s="299">
        <v>0</v>
      </c>
      <c r="N84" s="299">
        <v>0</v>
      </c>
      <c r="O84" s="270"/>
    </row>
    <row r="85" spans="1:15">
      <c r="A85" s="288">
        <f t="shared" si="14"/>
        <v>17</v>
      </c>
      <c r="B85" s="270" t="s">
        <v>3092</v>
      </c>
      <c r="C85" s="298">
        <f>ROUND('SCH_I1 - Total Co'!G64/1000000,1)</f>
        <v>97.2</v>
      </c>
      <c r="D85" s="298">
        <f>ROUND('SCH_I1 - Total Co'!J64/1000000,1)</f>
        <v>84.3</v>
      </c>
      <c r="E85" s="298">
        <f>ROUND('SCH_I1 - Total Co'!M64/1000000,1)</f>
        <v>65.2</v>
      </c>
      <c r="F85" s="298">
        <f>ROUND('SCH_I1 - Total Co'!O64/1000000,1)</f>
        <v>58.6</v>
      </c>
      <c r="G85" s="298">
        <f>ROUND('SCH_I1 - Total Co'!Q64/1000000,1)</f>
        <v>53.4</v>
      </c>
      <c r="H85" s="298">
        <f>ROUND('SCH_I1 - Total Co'!S64/1000000,1)</f>
        <v>48.1</v>
      </c>
      <c r="I85" s="298">
        <f>ROUND('SCH_I1 - Total Co'!U64/1000000,1)</f>
        <v>48.9</v>
      </c>
      <c r="J85" s="299">
        <v>49.8</v>
      </c>
      <c r="K85" s="299">
        <v>59.4</v>
      </c>
      <c r="L85" s="299">
        <v>42.6</v>
      </c>
      <c r="M85" s="299">
        <v>46.2</v>
      </c>
      <c r="N85" s="299">
        <v>35.299999999999997</v>
      </c>
      <c r="O85" s="270"/>
    </row>
    <row r="86" spans="1:15">
      <c r="A86" s="288">
        <f t="shared" si="14"/>
        <v>18</v>
      </c>
      <c r="B86" s="270" t="s">
        <v>3093</v>
      </c>
      <c r="C86" s="298">
        <f>C85</f>
        <v>97.2</v>
      </c>
      <c r="D86" s="298">
        <f>D85</f>
        <v>84.3</v>
      </c>
      <c r="E86" s="298">
        <f t="shared" ref="E86:N86" si="17">E85</f>
        <v>65.2</v>
      </c>
      <c r="F86" s="298">
        <f t="shared" si="17"/>
        <v>58.6</v>
      </c>
      <c r="G86" s="298">
        <f t="shared" si="17"/>
        <v>53.4</v>
      </c>
      <c r="H86" s="298">
        <f t="shared" si="17"/>
        <v>48.1</v>
      </c>
      <c r="I86" s="298">
        <f t="shared" si="17"/>
        <v>48.9</v>
      </c>
      <c r="J86" s="298">
        <f t="shared" si="17"/>
        <v>49.8</v>
      </c>
      <c r="K86" s="298">
        <f t="shared" si="17"/>
        <v>59.4</v>
      </c>
      <c r="L86" s="298">
        <f t="shared" si="17"/>
        <v>42.6</v>
      </c>
      <c r="M86" s="298">
        <f t="shared" si="17"/>
        <v>46.2</v>
      </c>
      <c r="N86" s="298">
        <f t="shared" si="17"/>
        <v>35.299999999999997</v>
      </c>
      <c r="O86" s="270"/>
    </row>
    <row r="87" spans="1:15">
      <c r="A87" s="288">
        <f t="shared" si="14"/>
        <v>19</v>
      </c>
      <c r="B87" s="282" t="s">
        <v>3094</v>
      </c>
      <c r="C87" s="283"/>
      <c r="D87" s="283"/>
      <c r="E87" s="299"/>
      <c r="F87" s="283"/>
      <c r="G87" s="2215"/>
      <c r="H87" s="283"/>
      <c r="I87" s="283"/>
      <c r="J87" s="289"/>
      <c r="K87" s="289"/>
      <c r="L87" s="289"/>
      <c r="M87" s="289"/>
      <c r="N87" s="283"/>
      <c r="O87" s="270"/>
    </row>
    <row r="88" spans="1:15">
      <c r="A88" s="288">
        <f t="shared" si="14"/>
        <v>20</v>
      </c>
      <c r="B88" s="270" t="s">
        <v>3095</v>
      </c>
      <c r="C88" s="301">
        <f>ROUND('SCH_I1 - Total Co'!G63/1000,0)</f>
        <v>50532</v>
      </c>
      <c r="D88" s="301">
        <f>ROUND('SCH_I1 - Total Co'!J63/1000,0)</f>
        <v>37779</v>
      </c>
      <c r="E88" s="301">
        <f>ROUND('SCH_I1 - Total Co'!M63/1000,0)</f>
        <v>35783</v>
      </c>
      <c r="F88" s="301">
        <f>ROUND('SCH_I1 - Total Co'!O63/1000,0)</f>
        <v>29974</v>
      </c>
      <c r="G88" s="301">
        <f>ROUND('SCH_I1 - Total Co'!Q63/1000,0)</f>
        <v>27597</v>
      </c>
      <c r="H88" s="301">
        <f>ROUND('SCH_I1 - Total Co'!S63/1000,0)</f>
        <v>27347</v>
      </c>
      <c r="I88" s="301">
        <f>ROUND('SCH_I1 - Total Co'!U63/1000,0)</f>
        <v>24982</v>
      </c>
      <c r="J88" s="1794">
        <v>20025</v>
      </c>
      <c r="K88" s="1794">
        <v>15725</v>
      </c>
      <c r="L88" s="1794">
        <v>15952</v>
      </c>
      <c r="M88" s="1794">
        <v>14573</v>
      </c>
      <c r="N88" s="1794">
        <v>16345</v>
      </c>
      <c r="O88" s="270"/>
    </row>
    <row r="89" spans="1:15">
      <c r="A89" s="288">
        <f t="shared" si="14"/>
        <v>21</v>
      </c>
      <c r="B89" s="270" t="s">
        <v>3096</v>
      </c>
      <c r="C89" s="283"/>
      <c r="D89" s="283"/>
      <c r="E89" s="301"/>
      <c r="F89" s="301"/>
      <c r="G89" s="301"/>
      <c r="H89" s="301"/>
      <c r="I89" s="301"/>
      <c r="J89" s="1794"/>
      <c r="K89" s="1794"/>
      <c r="L89" s="1794"/>
      <c r="M89" s="1794"/>
      <c r="N89" s="1794"/>
      <c r="O89" s="270"/>
    </row>
    <row r="90" spans="1:15">
      <c r="A90" s="288">
        <f t="shared" si="14"/>
        <v>22</v>
      </c>
      <c r="B90" s="302" t="s">
        <v>3097</v>
      </c>
      <c r="C90" s="767">
        <f>ROUND('SCH_I1 - Total Co'!G64/1000,0)</f>
        <v>97227</v>
      </c>
      <c r="D90" s="301">
        <f>ROUND('SCH_I1 - Total Co'!J64/1000,0)</f>
        <v>84332</v>
      </c>
      <c r="E90" s="301">
        <f>ROUND('SCH_I1 - Total Co'!M64/1000,0)</f>
        <v>65162</v>
      </c>
      <c r="F90" s="301">
        <f>ROUND('SCH_I1 - Total Co'!O64/1000,0)</f>
        <v>58552</v>
      </c>
      <c r="G90" s="301">
        <f>ROUND('SCH_I1 - Total Co'!Q64/1000,0)</f>
        <v>53406</v>
      </c>
      <c r="H90" s="301">
        <f>ROUND('SCH_I1 - Total Co'!S64/1000,0)</f>
        <v>48143</v>
      </c>
      <c r="I90" s="301">
        <f>ROUND('SCH_I1 - Total Co'!U64/1000,0)</f>
        <v>48870</v>
      </c>
      <c r="J90" s="1794">
        <v>49809</v>
      </c>
      <c r="K90" s="1794">
        <v>59399</v>
      </c>
      <c r="L90" s="1794">
        <v>42584</v>
      </c>
      <c r="M90" s="1794">
        <v>46176</v>
      </c>
      <c r="N90" s="1794">
        <v>35302</v>
      </c>
      <c r="O90" s="270"/>
    </row>
    <row r="91" spans="1:15">
      <c r="A91" s="288">
        <f t="shared" si="14"/>
        <v>23</v>
      </c>
      <c r="B91" s="270" t="s">
        <v>3098</v>
      </c>
      <c r="C91" s="283">
        <v>0</v>
      </c>
      <c r="D91" s="283">
        <v>0</v>
      </c>
      <c r="E91" s="301">
        <v>0</v>
      </c>
      <c r="F91" s="301">
        <v>0</v>
      </c>
      <c r="G91" s="301">
        <v>0</v>
      </c>
      <c r="H91" s="301">
        <v>0</v>
      </c>
      <c r="I91" s="301">
        <v>0</v>
      </c>
      <c r="J91" s="1794">
        <v>0</v>
      </c>
      <c r="K91" s="1794">
        <v>0</v>
      </c>
      <c r="L91" s="1794">
        <v>0</v>
      </c>
      <c r="M91" s="1794">
        <v>0</v>
      </c>
      <c r="N91" s="1794">
        <v>0</v>
      </c>
      <c r="O91" s="270"/>
    </row>
    <row r="92" spans="1:15">
      <c r="A92" s="288">
        <f t="shared" si="14"/>
        <v>24</v>
      </c>
      <c r="B92" s="302" t="s">
        <v>3099</v>
      </c>
      <c r="C92" s="283">
        <v>0</v>
      </c>
      <c r="D92" s="283">
        <v>0</v>
      </c>
      <c r="E92" s="301">
        <v>0</v>
      </c>
      <c r="F92" s="301">
        <v>0</v>
      </c>
      <c r="G92" s="301">
        <v>0</v>
      </c>
      <c r="H92" s="301">
        <v>0</v>
      </c>
      <c r="I92" s="301">
        <v>0</v>
      </c>
      <c r="J92" s="1794">
        <v>0</v>
      </c>
      <c r="K92" s="1794">
        <v>0</v>
      </c>
      <c r="L92" s="1794">
        <v>0</v>
      </c>
      <c r="M92" s="1794">
        <v>0</v>
      </c>
      <c r="N92" s="1794">
        <v>0</v>
      </c>
      <c r="O92" s="270"/>
    </row>
    <row r="93" spans="1:15">
      <c r="A93" s="288">
        <f t="shared" si="14"/>
        <v>25</v>
      </c>
      <c r="B93" s="270" t="s">
        <v>3100</v>
      </c>
      <c r="C93" s="767">
        <f>C90-C91</f>
        <v>97227</v>
      </c>
      <c r="D93" s="767">
        <f t="shared" ref="D93:K93" si="18">D90-D91</f>
        <v>84332</v>
      </c>
      <c r="E93" s="301">
        <f>E90-E91</f>
        <v>65162</v>
      </c>
      <c r="F93" s="301">
        <f>F90-F91</f>
        <v>58552</v>
      </c>
      <c r="G93" s="301">
        <f>G90-G91</f>
        <v>53406</v>
      </c>
      <c r="H93" s="301">
        <f t="shared" si="18"/>
        <v>48143</v>
      </c>
      <c r="I93" s="301">
        <f t="shared" si="18"/>
        <v>48870</v>
      </c>
      <c r="J93" s="301">
        <f t="shared" si="18"/>
        <v>49809</v>
      </c>
      <c r="K93" s="301">
        <f t="shared" si="18"/>
        <v>59399</v>
      </c>
      <c r="L93" s="301">
        <f>L90-L91-L92</f>
        <v>42584</v>
      </c>
      <c r="M93" s="301">
        <f>M90-M91</f>
        <v>46176</v>
      </c>
      <c r="N93" s="301">
        <f>N90-N91</f>
        <v>35302</v>
      </c>
      <c r="O93" s="270"/>
    </row>
    <row r="94" spans="1:15">
      <c r="A94" s="288">
        <f t="shared" si="14"/>
        <v>26</v>
      </c>
      <c r="B94" s="270" t="s">
        <v>3101</v>
      </c>
      <c r="C94" s="283"/>
      <c r="D94" s="28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70"/>
    </row>
    <row r="95" spans="1:15">
      <c r="A95" s="288">
        <f t="shared" si="14"/>
        <v>27</v>
      </c>
      <c r="B95" s="302" t="s">
        <v>3102</v>
      </c>
      <c r="C95" s="303">
        <f>ROUND(C82/C86,4)</f>
        <v>6.3799999999999996E-2</v>
      </c>
      <c r="D95" s="303">
        <f>ROUND(D82/D86,4)</f>
        <v>7.2400000000000006E-2</v>
      </c>
      <c r="E95" s="303">
        <f>ROUND(E82/E86,4)</f>
        <v>7.9799999999999996E-2</v>
      </c>
      <c r="F95" s="303">
        <f>ROUND(F82/F86,4)</f>
        <v>4.1000000000000002E-2</v>
      </c>
      <c r="G95" s="303">
        <f t="shared" ref="G95:N95" si="19">ROUND(G82/G86,4)</f>
        <v>3.1800000000000002E-2</v>
      </c>
      <c r="H95" s="303">
        <f t="shared" si="19"/>
        <v>-2.0999999999999999E-3</v>
      </c>
      <c r="I95" s="303">
        <f t="shared" si="19"/>
        <v>9.1999999999999998E-2</v>
      </c>
      <c r="J95" s="303">
        <f t="shared" si="19"/>
        <v>0.1024</v>
      </c>
      <c r="K95" s="303">
        <f t="shared" si="19"/>
        <v>7.9100000000000004E-2</v>
      </c>
      <c r="L95" s="303">
        <f t="shared" si="19"/>
        <v>4.4600000000000001E-2</v>
      </c>
      <c r="M95" s="303">
        <f t="shared" si="19"/>
        <v>1.7299999999999999E-2</v>
      </c>
      <c r="N95" s="303">
        <f t="shared" si="19"/>
        <v>1.9800000000000002E-2</v>
      </c>
      <c r="O95" s="270"/>
    </row>
    <row r="96" spans="1:15">
      <c r="A96" s="288">
        <f t="shared" si="14"/>
        <v>28</v>
      </c>
      <c r="B96" s="302" t="s">
        <v>3103</v>
      </c>
      <c r="C96" s="303">
        <f>ROUND(C82/C86,4)</f>
        <v>6.3799999999999996E-2</v>
      </c>
      <c r="D96" s="303">
        <f>ROUND(D82/D86,4)</f>
        <v>7.2400000000000006E-2</v>
      </c>
      <c r="E96" s="303">
        <f t="shared" ref="E96:N96" si="20">ROUND(E82/E86,4)</f>
        <v>7.9799999999999996E-2</v>
      </c>
      <c r="F96" s="303">
        <f t="shared" si="20"/>
        <v>4.1000000000000002E-2</v>
      </c>
      <c r="G96" s="303">
        <f t="shared" si="20"/>
        <v>3.1800000000000002E-2</v>
      </c>
      <c r="H96" s="303">
        <f t="shared" si="20"/>
        <v>-2.0999999999999999E-3</v>
      </c>
      <c r="I96" s="303">
        <f t="shared" si="20"/>
        <v>9.1999999999999998E-2</v>
      </c>
      <c r="J96" s="303">
        <f t="shared" si="20"/>
        <v>0.1024</v>
      </c>
      <c r="K96" s="303">
        <f t="shared" si="20"/>
        <v>7.9100000000000004E-2</v>
      </c>
      <c r="L96" s="303">
        <f t="shared" si="20"/>
        <v>4.4600000000000001E-2</v>
      </c>
      <c r="M96" s="303">
        <f t="shared" si="20"/>
        <v>1.7299999999999999E-2</v>
      </c>
      <c r="N96" s="303">
        <f t="shared" si="20"/>
        <v>1.9800000000000002E-2</v>
      </c>
      <c r="O96" s="270"/>
    </row>
    <row r="97" spans="1:15">
      <c r="A97" s="288">
        <f t="shared" si="14"/>
        <v>29</v>
      </c>
      <c r="B97" s="304" t="s">
        <v>3104</v>
      </c>
      <c r="C97" s="283"/>
      <c r="D97" s="283"/>
      <c r="E97" s="289"/>
      <c r="F97" s="283"/>
      <c r="G97" s="289"/>
      <c r="H97" s="289"/>
      <c r="I97" s="283"/>
      <c r="J97" s="289"/>
      <c r="K97" s="289"/>
      <c r="L97" s="289"/>
      <c r="M97" s="289"/>
      <c r="N97" s="283"/>
      <c r="O97" s="270"/>
    </row>
    <row r="98" spans="1:15">
      <c r="A98" s="288">
        <f t="shared" si="14"/>
        <v>30</v>
      </c>
      <c r="B98" s="270" t="s">
        <v>3105</v>
      </c>
      <c r="C98" s="305">
        <f>ROUND('SCH_J1 - Forecast'!K18*100,2)</f>
        <v>4.93</v>
      </c>
      <c r="D98" s="305">
        <f>ROUND('SCH_J1 - Base'!K17*100,2)</f>
        <v>4.83</v>
      </c>
      <c r="E98" s="306">
        <v>5.33</v>
      </c>
      <c r="F98" s="306">
        <v>3.8</v>
      </c>
      <c r="G98" s="306">
        <v>3.65</v>
      </c>
      <c r="H98" s="306">
        <v>3.55</v>
      </c>
      <c r="I98" s="306">
        <v>3.88</v>
      </c>
      <c r="J98" s="306">
        <v>3.74</v>
      </c>
      <c r="K98" s="306">
        <v>3.46</v>
      </c>
      <c r="L98" s="306">
        <v>4.1500000000000004</v>
      </c>
      <c r="M98" s="306">
        <v>4.12</v>
      </c>
      <c r="N98" s="306">
        <v>4.66</v>
      </c>
      <c r="O98" s="270"/>
    </row>
    <row r="99" spans="1:15">
      <c r="A99" s="288">
        <f t="shared" si="14"/>
        <v>31</v>
      </c>
      <c r="B99" s="300" t="s">
        <v>3106</v>
      </c>
      <c r="C99" s="306">
        <v>0</v>
      </c>
      <c r="D99" s="306">
        <v>0</v>
      </c>
      <c r="E99" s="306">
        <v>0</v>
      </c>
      <c r="F99" s="306">
        <v>0</v>
      </c>
      <c r="G99" s="306">
        <v>0</v>
      </c>
      <c r="H99" s="306">
        <v>0</v>
      </c>
      <c r="I99" s="306">
        <v>0</v>
      </c>
      <c r="J99" s="306">
        <v>0</v>
      </c>
      <c r="K99" s="306">
        <v>0</v>
      </c>
      <c r="L99" s="306">
        <v>0</v>
      </c>
      <c r="M99" s="306">
        <v>0</v>
      </c>
      <c r="N99" s="306">
        <v>0</v>
      </c>
      <c r="O99" s="270"/>
    </row>
    <row r="100" spans="1:15">
      <c r="A100" s="270"/>
      <c r="B100" s="270"/>
      <c r="C100" s="270"/>
      <c r="D100" s="767"/>
      <c r="E100" s="270"/>
      <c r="F100" s="270"/>
      <c r="G100" s="270"/>
      <c r="H100" s="270"/>
      <c r="I100" s="270"/>
      <c r="J100" s="270"/>
      <c r="K100" s="270"/>
      <c r="L100" s="270"/>
      <c r="M100" s="270"/>
      <c r="N100" s="270"/>
      <c r="O100" s="270"/>
    </row>
    <row r="101" spans="1:15">
      <c r="A101" s="270"/>
      <c r="B101" s="270" t="s">
        <v>3107</v>
      </c>
      <c r="C101" s="270"/>
      <c r="D101" s="270"/>
      <c r="E101" s="270"/>
      <c r="F101" s="270"/>
      <c r="G101" s="270"/>
      <c r="H101" s="270"/>
      <c r="I101" s="270"/>
      <c r="J101" s="270"/>
      <c r="K101" s="270"/>
      <c r="L101" s="270"/>
      <c r="M101" s="270"/>
      <c r="N101" s="270"/>
      <c r="O101" s="270"/>
    </row>
    <row r="102" spans="1:15">
      <c r="A102" s="270"/>
      <c r="B102" s="270"/>
      <c r="C102" s="270"/>
      <c r="D102" s="270"/>
      <c r="E102" s="270"/>
      <c r="F102" s="270"/>
      <c r="G102" s="270"/>
      <c r="H102" s="270"/>
      <c r="I102" s="270"/>
      <c r="J102" s="270"/>
      <c r="K102" s="270"/>
      <c r="L102" s="270"/>
      <c r="M102" s="270"/>
      <c r="N102" s="270"/>
      <c r="O102" s="270"/>
    </row>
    <row r="103" spans="1:15">
      <c r="A103" s="270"/>
      <c r="B103" s="270"/>
      <c r="C103" s="270"/>
      <c r="D103" s="270"/>
      <c r="E103" s="270"/>
      <c r="F103" s="270"/>
      <c r="G103" s="270"/>
      <c r="H103" s="270"/>
      <c r="I103" s="270"/>
      <c r="J103" s="270"/>
      <c r="K103" s="270"/>
      <c r="L103" s="270"/>
      <c r="M103" s="270"/>
      <c r="N103" s="270"/>
      <c r="O103" s="270"/>
    </row>
    <row r="104" spans="1:15">
      <c r="A104" s="268" t="str">
        <f>A1</f>
        <v>DUKE ENERGY KENTUCKY, INC.</v>
      </c>
      <c r="B104" s="268"/>
      <c r="C104" s="268"/>
      <c r="D104" s="269"/>
      <c r="E104" s="268"/>
      <c r="F104" s="268"/>
      <c r="G104" s="268"/>
      <c r="H104" s="268"/>
      <c r="I104" s="268"/>
      <c r="J104" s="268"/>
      <c r="K104" s="268"/>
      <c r="L104" s="268"/>
      <c r="M104" s="268"/>
      <c r="N104" s="271"/>
      <c r="O104" s="270"/>
    </row>
    <row r="105" spans="1:15">
      <c r="A105" s="268" t="str">
        <f>A2</f>
        <v>CASE NO. 2024-00354</v>
      </c>
      <c r="B105" s="271"/>
      <c r="C105" s="271"/>
      <c r="D105" s="272"/>
      <c r="E105" s="271"/>
      <c r="F105" s="271"/>
      <c r="G105" s="271"/>
      <c r="H105" s="271"/>
      <c r="I105" s="271"/>
      <c r="J105" s="271"/>
      <c r="K105" s="271"/>
      <c r="L105" s="271"/>
      <c r="M105" s="271"/>
      <c r="N105" s="271"/>
      <c r="O105" s="270"/>
    </row>
    <row r="106" spans="1:15">
      <c r="A106" s="268" t="str">
        <f>A3</f>
        <v>COMPARATIVE FINANCIAL DATA</v>
      </c>
      <c r="B106" s="271"/>
      <c r="C106" s="271"/>
      <c r="D106" s="272"/>
      <c r="E106" s="271"/>
      <c r="F106" s="271"/>
      <c r="G106" s="271"/>
      <c r="H106" s="271"/>
      <c r="I106" s="271"/>
      <c r="J106" s="271"/>
      <c r="K106" s="271"/>
      <c r="L106" s="271"/>
      <c r="M106" s="271"/>
      <c r="N106" s="271"/>
      <c r="O106" s="270"/>
    </row>
    <row r="107" spans="1:15">
      <c r="A107" s="273"/>
      <c r="B107" s="273"/>
      <c r="C107" s="273"/>
      <c r="D107" s="761"/>
      <c r="E107" s="273"/>
      <c r="F107" s="273"/>
      <c r="G107" s="273"/>
      <c r="H107" s="273"/>
      <c r="I107" s="273"/>
      <c r="J107" s="273"/>
      <c r="K107" s="273"/>
      <c r="L107" s="273"/>
      <c r="M107" s="273"/>
      <c r="N107" s="273"/>
      <c r="O107" s="270"/>
    </row>
    <row r="108" spans="1:15">
      <c r="A108" s="274" t="str">
        <f>A5</f>
        <v>DATA: "X" BASE PERIOD  "X" FORECASTED PERIOD</v>
      </c>
      <c r="B108" s="268"/>
      <c r="C108" s="268"/>
      <c r="D108" s="269"/>
      <c r="E108" s="271"/>
      <c r="F108" s="268"/>
      <c r="G108" s="268"/>
      <c r="H108" s="268"/>
      <c r="I108" s="268"/>
      <c r="J108" s="268"/>
      <c r="K108" s="268"/>
      <c r="L108" s="274" t="str">
        <f>L5</f>
        <v>SCHEDULE K</v>
      </c>
      <c r="M108" s="268"/>
      <c r="N108" s="268"/>
      <c r="O108" s="270"/>
    </row>
    <row r="109" spans="1:15">
      <c r="A109" s="274" t="str">
        <f>A6</f>
        <v xml:space="preserve">TYPE OF FILING:  "X" ORIGINAL   UPDATED    REVISED  </v>
      </c>
      <c r="B109" s="268"/>
      <c r="C109" s="268"/>
      <c r="D109" s="269"/>
      <c r="E109" s="271"/>
      <c r="F109" s="268"/>
      <c r="G109" s="268"/>
      <c r="H109" s="268"/>
      <c r="I109" s="268"/>
      <c r="J109" s="268"/>
      <c r="K109" s="268"/>
      <c r="L109" s="274" t="s">
        <v>3108</v>
      </c>
      <c r="M109" s="268"/>
      <c r="N109" s="268"/>
      <c r="O109" s="270"/>
    </row>
    <row r="110" spans="1:15">
      <c r="A110" s="274" t="str">
        <f>A7</f>
        <v>WORK PAPER REFERENCE NO(S).:</v>
      </c>
      <c r="B110" s="273"/>
      <c r="C110" s="273"/>
      <c r="D110" s="269"/>
      <c r="E110" s="268"/>
      <c r="F110" s="271"/>
      <c r="G110" s="268"/>
      <c r="H110" s="268"/>
      <c r="I110" s="268"/>
      <c r="J110" s="268"/>
      <c r="K110" s="295"/>
      <c r="L110" s="296" t="s">
        <v>1866</v>
      </c>
      <c r="M110" s="274"/>
      <c r="N110" s="274"/>
      <c r="O110" s="270"/>
    </row>
    <row r="111" spans="1:15">
      <c r="A111" s="270"/>
      <c r="B111" s="273"/>
      <c r="C111" s="273"/>
      <c r="D111" s="761"/>
      <c r="E111" s="273"/>
      <c r="F111" s="273"/>
      <c r="G111" s="273"/>
      <c r="H111" s="273"/>
      <c r="I111" s="273"/>
      <c r="J111" s="273"/>
      <c r="K111" s="270"/>
      <c r="L111" s="273" t="str">
        <f>_WIT10&amp;" / "&amp;_WIT4</f>
        <v>G. S. CARPENTER / T. J. HEATH JR.</v>
      </c>
      <c r="M111" s="274"/>
      <c r="N111" s="274"/>
      <c r="O111" s="270"/>
    </row>
    <row r="112" spans="1:15">
      <c r="A112" s="1624"/>
      <c r="B112" s="1624"/>
      <c r="C112" s="1624"/>
      <c r="D112" s="1592"/>
      <c r="E112" s="273"/>
      <c r="F112" s="273"/>
      <c r="G112" s="273"/>
      <c r="H112" s="273"/>
      <c r="I112" s="273"/>
      <c r="J112" s="273"/>
      <c r="K112" s="270"/>
      <c r="L112" s="273"/>
      <c r="M112" s="274"/>
      <c r="N112" s="274"/>
      <c r="O112" s="270"/>
    </row>
    <row r="113" spans="1:15">
      <c r="A113" s="275" t="s">
        <v>573</v>
      </c>
      <c r="B113" s="273"/>
      <c r="C113" s="275" t="s">
        <v>474</v>
      </c>
      <c r="D113" s="276" t="str">
        <f>D10</f>
        <v>BASE</v>
      </c>
      <c r="E113" s="2186" t="str">
        <f>E10</f>
        <v>MOST RECENT CALENDAR YEARS</v>
      </c>
      <c r="F113" s="2186"/>
      <c r="G113" s="2186"/>
      <c r="H113" s="2186"/>
      <c r="I113" s="2186"/>
      <c r="J113" s="2186"/>
      <c r="K113" s="2186"/>
      <c r="L113" s="2186"/>
      <c r="M113" s="2186"/>
      <c r="N113" s="2186"/>
      <c r="O113" s="270"/>
    </row>
    <row r="114" spans="1:15">
      <c r="A114" s="1626" t="s">
        <v>576</v>
      </c>
      <c r="B114" s="1626" t="s">
        <v>2</v>
      </c>
      <c r="C114" s="1628" t="s">
        <v>478</v>
      </c>
      <c r="D114" s="1628" t="str">
        <f>D11</f>
        <v>PERIOD</v>
      </c>
      <c r="E114" s="1626">
        <f>E11</f>
        <v>2023</v>
      </c>
      <c r="F114" s="1626">
        <f t="shared" ref="F114:N114" si="21">F11</f>
        <v>2022</v>
      </c>
      <c r="G114" s="1626">
        <f t="shared" si="21"/>
        <v>2021</v>
      </c>
      <c r="H114" s="1626">
        <f t="shared" si="21"/>
        <v>2020</v>
      </c>
      <c r="I114" s="1626">
        <f t="shared" si="21"/>
        <v>2019</v>
      </c>
      <c r="J114" s="1626">
        <f t="shared" si="21"/>
        <v>2018</v>
      </c>
      <c r="K114" s="1626">
        <f t="shared" si="21"/>
        <v>2017</v>
      </c>
      <c r="L114" s="1626">
        <f t="shared" si="21"/>
        <v>2016</v>
      </c>
      <c r="M114" s="1626">
        <f t="shared" si="21"/>
        <v>2015</v>
      </c>
      <c r="N114" s="1626">
        <f t="shared" si="21"/>
        <v>2014</v>
      </c>
      <c r="O114" s="270"/>
    </row>
    <row r="115" spans="1:15">
      <c r="A115" s="273"/>
      <c r="B115" s="273"/>
      <c r="C115" s="273"/>
      <c r="D115" s="307"/>
      <c r="E115" s="273"/>
      <c r="F115" s="273"/>
      <c r="G115" s="273"/>
      <c r="H115" s="273"/>
      <c r="I115" s="273"/>
      <c r="J115" s="273"/>
      <c r="K115" s="273"/>
      <c r="L115" s="270"/>
      <c r="M115" s="273"/>
      <c r="N115" s="273"/>
      <c r="O115" s="270"/>
    </row>
    <row r="116" spans="1:15">
      <c r="A116" s="288">
        <v>1</v>
      </c>
      <c r="B116" s="282" t="s">
        <v>3109</v>
      </c>
      <c r="C116" s="282"/>
      <c r="D116" s="308"/>
      <c r="E116" s="308"/>
      <c r="F116" s="308"/>
      <c r="G116" s="308"/>
      <c r="H116" s="308"/>
      <c r="I116" s="308"/>
      <c r="J116" s="308"/>
      <c r="K116" s="308"/>
      <c r="L116" s="308"/>
      <c r="M116" s="308"/>
      <c r="N116" s="308"/>
      <c r="O116" s="270"/>
    </row>
    <row r="117" spans="1:15">
      <c r="A117" s="288">
        <v>2</v>
      </c>
      <c r="B117" s="309" t="s">
        <v>3110</v>
      </c>
      <c r="C117" s="310"/>
      <c r="D117" s="310"/>
      <c r="E117" s="270"/>
      <c r="F117" s="270"/>
      <c r="G117" s="270"/>
      <c r="H117" s="270"/>
      <c r="I117" s="310"/>
      <c r="J117" s="310"/>
      <c r="K117" s="310"/>
      <c r="L117" s="310"/>
      <c r="M117" s="310"/>
      <c r="N117" s="310"/>
      <c r="O117" s="270"/>
    </row>
    <row r="118" spans="1:15">
      <c r="A118" s="288">
        <v>3</v>
      </c>
      <c r="B118" s="270" t="s">
        <v>3111</v>
      </c>
      <c r="C118" s="2228" t="s">
        <v>3112</v>
      </c>
      <c r="D118" s="2228" t="s">
        <v>3112</v>
      </c>
      <c r="E118" s="2228" t="s">
        <v>3112</v>
      </c>
      <c r="F118" s="1795" t="s">
        <v>3112</v>
      </c>
      <c r="G118" s="1795" t="s">
        <v>3112</v>
      </c>
      <c r="H118" s="1795" t="s">
        <v>3112</v>
      </c>
      <c r="I118" s="1795" t="s">
        <v>3112</v>
      </c>
      <c r="J118" s="1795" t="s">
        <v>3112</v>
      </c>
      <c r="K118" s="1795" t="s">
        <v>3112</v>
      </c>
      <c r="L118" s="1795" t="s">
        <v>3112</v>
      </c>
      <c r="M118" s="1795" t="s">
        <v>3112</v>
      </c>
      <c r="N118" s="1795" t="s">
        <v>3112</v>
      </c>
      <c r="O118" s="270"/>
    </row>
    <row r="119" spans="1:15">
      <c r="A119" s="288">
        <v>4</v>
      </c>
      <c r="B119" s="270" t="s">
        <v>3113</v>
      </c>
      <c r="C119" s="2228" t="s">
        <v>3114</v>
      </c>
      <c r="D119" s="2228" t="s">
        <v>3114</v>
      </c>
      <c r="E119" s="2228" t="s">
        <v>3114</v>
      </c>
      <c r="F119" s="1795" t="s">
        <v>3114</v>
      </c>
      <c r="G119" s="1795" t="s">
        <v>3114</v>
      </c>
      <c r="H119" s="1795" t="s">
        <v>3114</v>
      </c>
      <c r="I119" s="1795" t="s">
        <v>3115</v>
      </c>
      <c r="J119" s="1795" t="s">
        <v>3115</v>
      </c>
      <c r="K119" s="1795" t="s">
        <v>3115</v>
      </c>
      <c r="L119" s="1795" t="s">
        <v>3115</v>
      </c>
      <c r="M119" s="1795" t="s">
        <v>3115</v>
      </c>
      <c r="N119" s="1795" t="s">
        <v>3116</v>
      </c>
      <c r="O119" s="270"/>
    </row>
    <row r="120" spans="1:15">
      <c r="A120" s="288">
        <v>5</v>
      </c>
      <c r="B120" s="270"/>
      <c r="C120" s="2228"/>
      <c r="D120" s="2228"/>
      <c r="E120" s="2228"/>
      <c r="F120" s="1796"/>
      <c r="G120" s="1796"/>
      <c r="H120" s="1796"/>
      <c r="I120" s="1796"/>
      <c r="J120" s="1796"/>
      <c r="K120" s="1796"/>
      <c r="L120" s="1796"/>
      <c r="M120" s="1796"/>
      <c r="N120" s="1796"/>
      <c r="O120" s="270"/>
    </row>
    <row r="121" spans="1:15">
      <c r="A121" s="288">
        <v>6</v>
      </c>
      <c r="B121" s="282" t="s">
        <v>3117</v>
      </c>
      <c r="C121" s="2240"/>
      <c r="D121" s="2240"/>
      <c r="E121" s="2241"/>
      <c r="F121" s="1797"/>
      <c r="G121" s="1797"/>
      <c r="H121" s="1797"/>
      <c r="I121" s="1797"/>
      <c r="J121" s="1797"/>
      <c r="K121" s="1797"/>
      <c r="L121" s="1797"/>
      <c r="M121" s="1797"/>
      <c r="N121" s="1797"/>
      <c r="O121" s="270"/>
    </row>
    <row r="122" spans="1:15">
      <c r="A122" s="288">
        <v>7</v>
      </c>
      <c r="B122" s="300" t="s">
        <v>3118</v>
      </c>
      <c r="C122" s="2240">
        <v>3.35</v>
      </c>
      <c r="D122" s="2240">
        <v>4.25</v>
      </c>
      <c r="E122" s="2240">
        <v>4.66</v>
      </c>
      <c r="F122" s="1797">
        <v>5.07</v>
      </c>
      <c r="G122" s="1797">
        <v>4.5954299254919206</v>
      </c>
      <c r="H122" s="1797">
        <v>3.1154996114482403</v>
      </c>
      <c r="I122" s="1797">
        <v>3.1527892927254775</v>
      </c>
      <c r="J122" s="1797">
        <v>3.7938596764253654</v>
      </c>
      <c r="K122" s="1797">
        <v>4.28</v>
      </c>
      <c r="L122" s="1797">
        <v>4.45</v>
      </c>
      <c r="M122" s="1797">
        <v>5.81</v>
      </c>
      <c r="N122" s="1797">
        <v>4.26</v>
      </c>
      <c r="O122" s="270"/>
    </row>
    <row r="123" spans="1:15">
      <c r="A123" s="288">
        <v>8</v>
      </c>
      <c r="B123" s="300" t="s">
        <v>3119</v>
      </c>
      <c r="C123" s="2240">
        <v>3.23</v>
      </c>
      <c r="D123" s="2240">
        <v>4.0999999999999996</v>
      </c>
      <c r="E123" s="2240">
        <v>4.53</v>
      </c>
      <c r="F123" s="1797">
        <v>5</v>
      </c>
      <c r="G123" s="1797">
        <v>4.5351476499475574</v>
      </c>
      <c r="H123" s="1797">
        <v>3.1109522887839693</v>
      </c>
      <c r="I123" s="1797">
        <v>2.9854175043957043</v>
      </c>
      <c r="J123" s="1797">
        <v>3.5672467953807798</v>
      </c>
      <c r="K123" s="1797">
        <v>4.0199999999999996</v>
      </c>
      <c r="L123" s="1797">
        <v>4.34</v>
      </c>
      <c r="M123" s="1797">
        <v>5.75</v>
      </c>
      <c r="N123" s="1797">
        <v>4.22</v>
      </c>
      <c r="O123" s="270"/>
    </row>
    <row r="124" spans="1:15">
      <c r="A124" s="288">
        <v>9</v>
      </c>
      <c r="B124" s="270" t="s">
        <v>3120</v>
      </c>
      <c r="C124" s="2240">
        <v>2.84</v>
      </c>
      <c r="D124" s="2240">
        <v>3.11</v>
      </c>
      <c r="E124" s="2240">
        <v>2.61</v>
      </c>
      <c r="F124" s="1797">
        <v>2.85</v>
      </c>
      <c r="G124" s="1797">
        <v>2.8832057388442127</v>
      </c>
      <c r="H124" s="1797">
        <v>2.7604971414723702</v>
      </c>
      <c r="I124" s="1797">
        <v>2.8103261313486279</v>
      </c>
      <c r="J124" s="1797">
        <v>3.1990182362432393</v>
      </c>
      <c r="K124" s="1797">
        <v>4.3499999999999996</v>
      </c>
      <c r="L124" s="1797">
        <v>3.47</v>
      </c>
      <c r="M124" s="1797">
        <v>3.99</v>
      </c>
      <c r="N124" s="1797">
        <v>3.04</v>
      </c>
      <c r="O124" s="270"/>
    </row>
    <row r="125" spans="1:15">
      <c r="A125" s="288">
        <v>10</v>
      </c>
      <c r="B125" s="270" t="s">
        <v>3121</v>
      </c>
      <c r="C125" s="2240">
        <v>0</v>
      </c>
      <c r="D125" s="2240">
        <v>0</v>
      </c>
      <c r="E125" s="2240">
        <v>0</v>
      </c>
      <c r="F125" s="1798">
        <v>0</v>
      </c>
      <c r="G125" s="1798">
        <v>0</v>
      </c>
      <c r="H125" s="1797">
        <v>0</v>
      </c>
      <c r="I125" s="1797">
        <v>0</v>
      </c>
      <c r="J125" s="1798">
        <v>0</v>
      </c>
      <c r="K125" s="1798">
        <v>0</v>
      </c>
      <c r="L125" s="1797">
        <v>0</v>
      </c>
      <c r="M125" s="1797">
        <v>0</v>
      </c>
      <c r="N125" s="1797">
        <v>0</v>
      </c>
      <c r="O125" s="270"/>
    </row>
    <row r="126" spans="1:15">
      <c r="A126" s="288">
        <v>11</v>
      </c>
      <c r="B126" s="270" t="s">
        <v>3122</v>
      </c>
      <c r="C126" s="2240">
        <v>3.35</v>
      </c>
      <c r="D126" s="2240">
        <v>4.25</v>
      </c>
      <c r="E126" s="2240">
        <v>4.66</v>
      </c>
      <c r="F126" s="1797">
        <v>5.07</v>
      </c>
      <c r="G126" s="1797">
        <v>4.5954299254919206</v>
      </c>
      <c r="H126" s="1797">
        <v>3.1154996114482403</v>
      </c>
      <c r="I126" s="1797">
        <v>3.1527892927254775</v>
      </c>
      <c r="J126" s="1797">
        <v>3.7938596764253654</v>
      </c>
      <c r="K126" s="1797">
        <v>4.28</v>
      </c>
      <c r="L126" s="1797">
        <v>4.45</v>
      </c>
      <c r="M126" s="1797">
        <v>5.81</v>
      </c>
      <c r="N126" s="1797">
        <v>4.26</v>
      </c>
      <c r="O126" s="270"/>
    </row>
    <row r="127" spans="1:15">
      <c r="A127" s="288">
        <v>12</v>
      </c>
      <c r="B127" s="270"/>
      <c r="C127" s="2228"/>
      <c r="D127" s="2228"/>
      <c r="E127" s="2228"/>
      <c r="F127" s="306"/>
      <c r="G127" s="306"/>
      <c r="H127" s="306"/>
      <c r="I127" s="306"/>
      <c r="J127" s="306"/>
      <c r="K127" s="306"/>
      <c r="L127" s="306"/>
      <c r="M127" s="306"/>
      <c r="N127" s="306"/>
      <c r="O127" s="270"/>
    </row>
    <row r="128" spans="1:15">
      <c r="A128" s="288">
        <v>13</v>
      </c>
      <c r="B128" s="300" t="s">
        <v>3123</v>
      </c>
      <c r="C128" s="2230"/>
      <c r="D128" s="2230"/>
      <c r="E128" s="2229"/>
      <c r="F128" s="270"/>
      <c r="G128" s="270"/>
      <c r="H128" s="270"/>
      <c r="I128" s="270"/>
      <c r="J128" s="270"/>
      <c r="K128" s="270"/>
      <c r="L128" s="270"/>
      <c r="M128" s="270"/>
      <c r="N128" s="270"/>
      <c r="O128" s="270"/>
    </row>
    <row r="129" spans="1:15">
      <c r="A129" s="288">
        <v>14</v>
      </c>
      <c r="B129" s="270" t="s">
        <v>3124</v>
      </c>
      <c r="C129" s="2228">
        <v>75</v>
      </c>
      <c r="D129" s="2228">
        <v>98</v>
      </c>
      <c r="E129" s="2217">
        <v>46</v>
      </c>
      <c r="F129" s="2217">
        <v>83</v>
      </c>
      <c r="G129" s="2217">
        <v>58</v>
      </c>
      <c r="H129" s="2217">
        <v>61</v>
      </c>
      <c r="I129" s="2217">
        <v>42</v>
      </c>
      <c r="J129" s="2217">
        <v>40</v>
      </c>
      <c r="K129" s="2217">
        <v>60</v>
      </c>
      <c r="L129" s="2218">
        <v>90</v>
      </c>
      <c r="M129" s="2217">
        <v>73</v>
      </c>
      <c r="N129" s="2217">
        <v>76</v>
      </c>
      <c r="O129" s="270"/>
    </row>
    <row r="130" spans="1:15">
      <c r="A130" s="288"/>
      <c r="B130" s="270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270"/>
    </row>
    <row r="131" spans="1:15">
      <c r="A131" s="288"/>
      <c r="B131" s="270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  <c r="N131" s="311"/>
      <c r="O131" s="270"/>
    </row>
    <row r="132" spans="1:15">
      <c r="A132" s="288"/>
      <c r="B132" s="270"/>
      <c r="C132" s="270"/>
      <c r="D132" s="310"/>
      <c r="E132" s="310"/>
      <c r="F132" s="310"/>
      <c r="G132" s="310"/>
      <c r="H132" s="310"/>
      <c r="I132" s="310"/>
      <c r="J132" s="310"/>
      <c r="K132" s="310"/>
      <c r="L132" s="310"/>
      <c r="M132" s="310"/>
      <c r="N132" s="310"/>
      <c r="O132" s="270"/>
    </row>
    <row r="133" spans="1:15">
      <c r="A133" s="268" t="str">
        <f>A1</f>
        <v>DUKE ENERGY KENTUCKY, INC.</v>
      </c>
      <c r="B133" s="268"/>
      <c r="C133" s="268"/>
      <c r="D133" s="269"/>
      <c r="E133" s="268"/>
      <c r="F133" s="268"/>
      <c r="G133" s="268"/>
      <c r="H133" s="268"/>
      <c r="I133" s="268"/>
      <c r="J133" s="268"/>
      <c r="K133" s="268"/>
      <c r="L133" s="268"/>
      <c r="M133" s="268"/>
      <c r="N133" s="268"/>
      <c r="O133" s="270"/>
    </row>
    <row r="134" spans="1:15">
      <c r="A134" s="268" t="str">
        <f>A2</f>
        <v>CASE NO. 2024-00354</v>
      </c>
      <c r="B134" s="271"/>
      <c r="C134" s="271"/>
      <c r="D134" s="272"/>
      <c r="E134" s="271"/>
      <c r="F134" s="271"/>
      <c r="G134" s="271"/>
      <c r="H134" s="271"/>
      <c r="I134" s="271"/>
      <c r="J134" s="271"/>
      <c r="K134" s="271"/>
      <c r="L134" s="271"/>
      <c r="M134" s="271"/>
      <c r="N134" s="271"/>
      <c r="O134" s="270"/>
    </row>
    <row r="135" spans="1:15">
      <c r="A135" s="268" t="str">
        <f>A3</f>
        <v>COMPARATIVE FINANCIAL DATA</v>
      </c>
      <c r="B135" s="271"/>
      <c r="C135" s="271"/>
      <c r="D135" s="272"/>
      <c r="E135" s="271"/>
      <c r="F135" s="271"/>
      <c r="G135" s="271"/>
      <c r="H135" s="271"/>
      <c r="I135" s="271"/>
      <c r="J135" s="271"/>
      <c r="K135" s="271"/>
      <c r="L135" s="271"/>
      <c r="M135" s="271"/>
      <c r="N135" s="271"/>
      <c r="O135" s="270"/>
    </row>
    <row r="136" spans="1:15">
      <c r="A136" s="273"/>
      <c r="B136" s="273"/>
      <c r="C136" s="273"/>
      <c r="D136" s="761"/>
      <c r="E136" s="273"/>
      <c r="F136" s="273"/>
      <c r="G136" s="273"/>
      <c r="H136" s="273"/>
      <c r="I136" s="273"/>
      <c r="J136" s="273"/>
      <c r="K136" s="273"/>
      <c r="L136" s="273"/>
      <c r="M136" s="273"/>
      <c r="N136" s="273"/>
      <c r="O136" s="270"/>
    </row>
    <row r="137" spans="1:15">
      <c r="A137" s="273" t="str">
        <f>A5</f>
        <v>DATA: "X" BASE PERIOD  "X" FORECASTED PERIOD</v>
      </c>
      <c r="B137" s="268"/>
      <c r="C137" s="268"/>
      <c r="D137" s="269"/>
      <c r="E137" s="271"/>
      <c r="F137" s="268"/>
      <c r="G137" s="268"/>
      <c r="H137" s="268"/>
      <c r="I137" s="268"/>
      <c r="J137" s="268"/>
      <c r="K137" s="268"/>
      <c r="L137" s="274" t="str">
        <f>L5</f>
        <v>SCHEDULE K</v>
      </c>
      <c r="M137" s="268"/>
      <c r="N137" s="268"/>
      <c r="O137" s="270"/>
    </row>
    <row r="138" spans="1:15">
      <c r="A138" s="273" t="str">
        <f>A6</f>
        <v xml:space="preserve">TYPE OF FILING:  "X" ORIGINAL   UPDATED    REVISED  </v>
      </c>
      <c r="B138" s="268"/>
      <c r="C138" s="268"/>
      <c r="D138" s="269"/>
      <c r="E138" s="271"/>
      <c r="F138" s="268"/>
      <c r="G138" s="268"/>
      <c r="H138" s="268"/>
      <c r="I138" s="268"/>
      <c r="J138" s="268"/>
      <c r="K138" s="268"/>
      <c r="L138" s="274" t="s">
        <v>3125</v>
      </c>
      <c r="M138" s="268"/>
      <c r="N138" s="268"/>
      <c r="O138" s="270"/>
    </row>
    <row r="139" spans="1:15">
      <c r="A139" s="273" t="str">
        <f>A7</f>
        <v>WORK PAPER REFERENCE NO(S).:</v>
      </c>
      <c r="B139" s="273"/>
      <c r="C139" s="273"/>
      <c r="D139" s="269"/>
      <c r="E139" s="268"/>
      <c r="F139" s="271"/>
      <c r="G139" s="268"/>
      <c r="H139" s="268"/>
      <c r="I139" s="268"/>
      <c r="J139" s="268"/>
      <c r="K139" s="270"/>
      <c r="L139" s="296" t="s">
        <v>1866</v>
      </c>
      <c r="M139" s="274"/>
      <c r="N139" s="274"/>
      <c r="O139" s="270"/>
    </row>
    <row r="140" spans="1:15">
      <c r="A140" s="270"/>
      <c r="B140" s="273"/>
      <c r="C140" s="273"/>
      <c r="D140" s="761"/>
      <c r="E140" s="273"/>
      <c r="F140" s="273"/>
      <c r="G140" s="273"/>
      <c r="H140" s="273"/>
      <c r="I140" s="273"/>
      <c r="J140" s="273"/>
      <c r="K140" s="270"/>
      <c r="L140" s="273" t="str">
        <f>_WIT6</f>
        <v>G. S. CARPENTER / D. L. WEATHERSTON</v>
      </c>
      <c r="M140" s="274"/>
      <c r="N140" s="274"/>
      <c r="O140" s="270"/>
    </row>
    <row r="141" spans="1:15">
      <c r="A141" s="1624"/>
      <c r="B141" s="1624"/>
      <c r="C141" s="1624"/>
      <c r="D141" s="1592"/>
      <c r="E141" s="1624"/>
      <c r="F141" s="1624"/>
      <c r="G141" s="1624"/>
      <c r="H141" s="1624"/>
      <c r="I141" s="1624"/>
      <c r="J141" s="1624"/>
      <c r="K141" s="1624"/>
      <c r="L141" s="1625"/>
      <c r="M141" s="1624"/>
      <c r="N141" s="1624"/>
      <c r="O141" s="270"/>
    </row>
    <row r="142" spans="1:15">
      <c r="A142" s="275" t="s">
        <v>573</v>
      </c>
      <c r="B142" s="273"/>
      <c r="C142" s="275" t="s">
        <v>474</v>
      </c>
      <c r="D142" s="276" t="str">
        <f>D10</f>
        <v>BASE</v>
      </c>
      <c r="E142" s="2186" t="str">
        <f>E10</f>
        <v>MOST RECENT CALENDAR YEARS</v>
      </c>
      <c r="F142" s="2186"/>
      <c r="G142" s="2186"/>
      <c r="H142" s="2186"/>
      <c r="I142" s="2186"/>
      <c r="J142" s="2186"/>
      <c r="K142" s="2186"/>
      <c r="L142" s="2186"/>
      <c r="M142" s="2186"/>
      <c r="N142" s="2186"/>
      <c r="O142" s="270"/>
    </row>
    <row r="143" spans="1:15">
      <c r="A143" s="1626" t="s">
        <v>576</v>
      </c>
      <c r="B143" s="1626" t="s">
        <v>2</v>
      </c>
      <c r="C143" s="1628" t="s">
        <v>478</v>
      </c>
      <c r="D143" s="1628" t="str">
        <f>D11</f>
        <v>PERIOD</v>
      </c>
      <c r="E143" s="1631">
        <f>E11</f>
        <v>2023</v>
      </c>
      <c r="F143" s="1631">
        <f t="shared" ref="F143:N143" si="22">F11</f>
        <v>2022</v>
      </c>
      <c r="G143" s="1631">
        <f t="shared" si="22"/>
        <v>2021</v>
      </c>
      <c r="H143" s="1631">
        <f t="shared" si="22"/>
        <v>2020</v>
      </c>
      <c r="I143" s="1631">
        <f t="shared" si="22"/>
        <v>2019</v>
      </c>
      <c r="J143" s="1631">
        <f t="shared" si="22"/>
        <v>2018</v>
      </c>
      <c r="K143" s="1631">
        <f t="shared" si="22"/>
        <v>2017</v>
      </c>
      <c r="L143" s="1631">
        <f t="shared" si="22"/>
        <v>2016</v>
      </c>
      <c r="M143" s="1631">
        <f t="shared" si="22"/>
        <v>2015</v>
      </c>
      <c r="N143" s="1631">
        <f t="shared" si="22"/>
        <v>2014</v>
      </c>
      <c r="O143" s="270"/>
    </row>
    <row r="144" spans="1:15">
      <c r="A144" s="273"/>
      <c r="B144" s="273"/>
      <c r="C144" s="273"/>
      <c r="D144" s="761"/>
      <c r="E144" s="273"/>
      <c r="F144" s="273"/>
      <c r="G144" s="273"/>
      <c r="H144" s="273"/>
      <c r="I144" s="273"/>
      <c r="J144" s="273"/>
      <c r="K144" s="273"/>
      <c r="L144" s="273"/>
      <c r="M144" s="273"/>
      <c r="N144" s="273"/>
      <c r="O144" s="270"/>
    </row>
    <row r="145" spans="1:15">
      <c r="A145" s="288">
        <v>1</v>
      </c>
      <c r="B145" s="282" t="s">
        <v>3126</v>
      </c>
      <c r="C145" s="282"/>
      <c r="D145" s="270"/>
      <c r="E145" s="270"/>
      <c r="F145" s="270"/>
      <c r="G145" s="270"/>
      <c r="H145" s="270"/>
      <c r="I145" s="270"/>
      <c r="J145" s="270"/>
      <c r="K145" s="270"/>
      <c r="L145" s="270"/>
      <c r="M145" s="270"/>
      <c r="N145" s="270"/>
      <c r="O145" s="270"/>
    </row>
    <row r="146" spans="1:15">
      <c r="A146" s="288">
        <v>2</v>
      </c>
      <c r="B146" s="270" t="s">
        <v>3127</v>
      </c>
      <c r="C146" s="283">
        <v>585</v>
      </c>
      <c r="D146" s="283">
        <v>585</v>
      </c>
      <c r="E146" s="1406">
        <v>585</v>
      </c>
      <c r="F146" s="1406">
        <v>585</v>
      </c>
      <c r="G146" s="1406">
        <v>585</v>
      </c>
      <c r="H146" s="1406">
        <v>585</v>
      </c>
      <c r="I146" s="1406">
        <v>585</v>
      </c>
      <c r="J146" s="1406">
        <v>585</v>
      </c>
      <c r="K146" s="1406">
        <v>585</v>
      </c>
      <c r="L146" s="1406">
        <v>585</v>
      </c>
      <c r="M146" s="1406">
        <v>585</v>
      </c>
      <c r="N146" s="1406">
        <v>585</v>
      </c>
      <c r="O146" s="270"/>
    </row>
    <row r="147" spans="1:15">
      <c r="A147" s="288">
        <v>3</v>
      </c>
      <c r="B147" s="300" t="s">
        <v>3128</v>
      </c>
      <c r="C147" s="2239"/>
      <c r="D147" s="2239"/>
      <c r="E147" s="2219"/>
      <c r="F147" s="2219"/>
      <c r="G147" s="2219"/>
      <c r="H147" s="2219"/>
      <c r="I147" s="2219"/>
      <c r="J147" s="2219"/>
      <c r="K147" s="2219"/>
      <c r="L147" s="2219"/>
      <c r="M147" s="2219"/>
      <c r="N147" s="2219"/>
      <c r="O147" s="270"/>
    </row>
    <row r="148" spans="1:15">
      <c r="A148" s="288">
        <v>4</v>
      </c>
      <c r="B148" s="270" t="s">
        <v>3129</v>
      </c>
      <c r="C148" s="283">
        <v>585</v>
      </c>
      <c r="D148" s="283">
        <v>585</v>
      </c>
      <c r="E148" s="2220">
        <v>585</v>
      </c>
      <c r="F148" s="2220">
        <v>585</v>
      </c>
      <c r="G148" s="2220">
        <v>585</v>
      </c>
      <c r="H148" s="2220">
        <v>585</v>
      </c>
      <c r="I148" s="2220">
        <v>585</v>
      </c>
      <c r="J148" s="2220">
        <v>585</v>
      </c>
      <c r="K148" s="2220">
        <v>585</v>
      </c>
      <c r="L148" s="2220">
        <v>585</v>
      </c>
      <c r="M148" s="2220">
        <v>585</v>
      </c>
      <c r="N148" s="2220">
        <v>585</v>
      </c>
      <c r="O148" s="270"/>
    </row>
    <row r="149" spans="1:15">
      <c r="A149" s="288">
        <v>5</v>
      </c>
      <c r="B149" s="270" t="s">
        <v>3130</v>
      </c>
      <c r="C149" s="283">
        <v>0</v>
      </c>
      <c r="D149" s="283">
        <v>0</v>
      </c>
      <c r="E149" s="283">
        <v>0</v>
      </c>
      <c r="F149" s="283">
        <v>0</v>
      </c>
      <c r="G149" s="283">
        <v>0</v>
      </c>
      <c r="H149" s="283">
        <v>0</v>
      </c>
      <c r="I149" s="283">
        <v>0</v>
      </c>
      <c r="J149" s="283">
        <v>0</v>
      </c>
      <c r="K149" s="283">
        <v>0</v>
      </c>
      <c r="L149" s="283">
        <v>10</v>
      </c>
      <c r="M149" s="2220">
        <v>55</v>
      </c>
      <c r="N149" s="283">
        <v>0</v>
      </c>
      <c r="O149" s="270"/>
    </row>
    <row r="150" spans="1:15">
      <c r="A150" s="288">
        <v>6</v>
      </c>
      <c r="B150" s="300" t="s">
        <v>3131</v>
      </c>
      <c r="C150" s="270">
        <f>ROUND('SCH_I1 - Elec Only'!G73/1000/C146,2)</f>
        <v>49.25</v>
      </c>
      <c r="D150" s="270">
        <f>ROUND('SCH_I1 - Elec Only'!J73/1000/D146,2)</f>
        <v>103.43</v>
      </c>
      <c r="E150" s="270">
        <f>ROUND((E93)/E146,2)</f>
        <v>111.39</v>
      </c>
      <c r="F150" s="270">
        <f t="shared" ref="F150:N150" si="23">ROUND((F93)/F146,2)</f>
        <v>100.09</v>
      </c>
      <c r="G150" s="270">
        <f t="shared" si="23"/>
        <v>91.29</v>
      </c>
      <c r="H150" s="2221">
        <f t="shared" si="23"/>
        <v>82.3</v>
      </c>
      <c r="I150" s="270">
        <f t="shared" si="23"/>
        <v>83.54</v>
      </c>
      <c r="J150" s="270">
        <f t="shared" si="23"/>
        <v>85.14</v>
      </c>
      <c r="K150" s="270">
        <f t="shared" si="23"/>
        <v>101.54</v>
      </c>
      <c r="L150" s="270">
        <f t="shared" si="23"/>
        <v>72.790000000000006</v>
      </c>
      <c r="M150" s="270">
        <f t="shared" si="23"/>
        <v>78.930000000000007</v>
      </c>
      <c r="N150" s="270">
        <f t="shared" si="23"/>
        <v>60.35</v>
      </c>
      <c r="O150" s="270"/>
    </row>
    <row r="151" spans="1:15">
      <c r="A151" s="288">
        <v>7</v>
      </c>
      <c r="B151" s="300" t="s">
        <v>3132</v>
      </c>
      <c r="C151" s="2239"/>
      <c r="D151" s="2239"/>
      <c r="E151" s="286"/>
      <c r="F151" s="286"/>
      <c r="G151" s="286"/>
      <c r="H151" s="286"/>
      <c r="I151" s="286"/>
      <c r="J151" s="286"/>
      <c r="K151" s="286"/>
      <c r="L151" s="286"/>
      <c r="M151" s="286"/>
      <c r="N151" s="286"/>
      <c r="O151" s="270"/>
    </row>
    <row r="152" spans="1:15">
      <c r="A152" s="288">
        <v>8</v>
      </c>
      <c r="B152" s="300" t="s">
        <v>3133</v>
      </c>
      <c r="C152" s="270">
        <f>C150</f>
        <v>49.25</v>
      </c>
      <c r="D152" s="270">
        <f>D150</f>
        <v>103.43</v>
      </c>
      <c r="E152" s="270">
        <f>E150</f>
        <v>111.39</v>
      </c>
      <c r="F152" s="270">
        <f>F150</f>
        <v>100.09</v>
      </c>
      <c r="G152" s="270">
        <f t="shared" ref="G152:N152" si="24">G150</f>
        <v>91.29</v>
      </c>
      <c r="H152" s="312">
        <f t="shared" si="24"/>
        <v>82.3</v>
      </c>
      <c r="I152" s="312">
        <f t="shared" si="24"/>
        <v>83.54</v>
      </c>
      <c r="J152" s="312">
        <f t="shared" si="24"/>
        <v>85.14</v>
      </c>
      <c r="K152" s="312">
        <f t="shared" si="24"/>
        <v>101.54</v>
      </c>
      <c r="L152" s="312">
        <f t="shared" si="24"/>
        <v>72.790000000000006</v>
      </c>
      <c r="M152" s="312">
        <f t="shared" si="24"/>
        <v>78.930000000000007</v>
      </c>
      <c r="N152" s="312">
        <f t="shared" si="24"/>
        <v>60.35</v>
      </c>
      <c r="O152" s="270"/>
    </row>
    <row r="153" spans="1:15">
      <c r="A153" s="288">
        <v>9</v>
      </c>
      <c r="B153" s="270" t="s">
        <v>3134</v>
      </c>
      <c r="C153" s="2222" t="s">
        <v>490</v>
      </c>
      <c r="D153" s="2222" t="s">
        <v>490</v>
      </c>
      <c r="E153" s="313">
        <f>ROUND((E149*1000)/E148,2)</f>
        <v>0</v>
      </c>
      <c r="F153" s="313">
        <f>ROUND((F149*1000)/F148,2)</f>
        <v>0</v>
      </c>
      <c r="G153" s="313">
        <f t="shared" ref="G153:L153" si="25">ROUND((G149*1000)/G148,2)</f>
        <v>0</v>
      </c>
      <c r="H153" s="313">
        <f t="shared" si="25"/>
        <v>0</v>
      </c>
      <c r="I153" s="313">
        <f t="shared" si="25"/>
        <v>0</v>
      </c>
      <c r="J153" s="313">
        <f t="shared" si="25"/>
        <v>0</v>
      </c>
      <c r="K153" s="313">
        <f t="shared" si="25"/>
        <v>0</v>
      </c>
      <c r="L153" s="313">
        <f t="shared" si="25"/>
        <v>17.09</v>
      </c>
      <c r="M153" s="313">
        <f>ROUND((M149*1000)/M148,2)</f>
        <v>94.02</v>
      </c>
      <c r="N153" s="313">
        <f>ROUND((N149*1000)/N148,2)</f>
        <v>0</v>
      </c>
      <c r="O153" s="270"/>
    </row>
    <row r="154" spans="1:15">
      <c r="A154" s="288">
        <v>10</v>
      </c>
      <c r="B154" s="300" t="s">
        <v>3135</v>
      </c>
      <c r="C154" s="2222" t="s">
        <v>490</v>
      </c>
      <c r="D154" s="2222" t="s">
        <v>490</v>
      </c>
      <c r="E154" s="313">
        <f t="shared" ref="E154:N154" si="26">E153</f>
        <v>0</v>
      </c>
      <c r="F154" s="313">
        <f t="shared" si="26"/>
        <v>0</v>
      </c>
      <c r="G154" s="313">
        <f t="shared" si="26"/>
        <v>0</v>
      </c>
      <c r="H154" s="313">
        <f t="shared" si="26"/>
        <v>0</v>
      </c>
      <c r="I154" s="313">
        <f t="shared" si="26"/>
        <v>0</v>
      </c>
      <c r="J154" s="313">
        <f t="shared" si="26"/>
        <v>0</v>
      </c>
      <c r="K154" s="313">
        <f t="shared" si="26"/>
        <v>0</v>
      </c>
      <c r="L154" s="313">
        <f t="shared" si="26"/>
        <v>17.09</v>
      </c>
      <c r="M154" s="313">
        <f t="shared" si="26"/>
        <v>94.02</v>
      </c>
      <c r="N154" s="313">
        <f t="shared" si="26"/>
        <v>0</v>
      </c>
      <c r="O154" s="270"/>
    </row>
    <row r="155" spans="1:15">
      <c r="A155" s="288">
        <v>11</v>
      </c>
      <c r="B155" s="300" t="s">
        <v>3136</v>
      </c>
      <c r="C155" s="2222" t="s">
        <v>490</v>
      </c>
      <c r="D155" s="2222" t="s">
        <v>490</v>
      </c>
      <c r="E155" s="674">
        <f>ROUND((E154/E150),4)</f>
        <v>0</v>
      </c>
      <c r="F155" s="674">
        <f t="shared" ref="F155:L155" si="27">ROUND((F154/F150),4)</f>
        <v>0</v>
      </c>
      <c r="G155" s="674">
        <f t="shared" si="27"/>
        <v>0</v>
      </c>
      <c r="H155" s="674">
        <f t="shared" si="27"/>
        <v>0</v>
      </c>
      <c r="I155" s="674">
        <f t="shared" si="27"/>
        <v>0</v>
      </c>
      <c r="J155" s="674">
        <f t="shared" si="27"/>
        <v>0</v>
      </c>
      <c r="K155" s="674">
        <f t="shared" si="27"/>
        <v>0</v>
      </c>
      <c r="L155" s="674">
        <f t="shared" si="27"/>
        <v>0.23480000000000001</v>
      </c>
      <c r="M155" s="674">
        <f>ROUND((M154/M150),4)</f>
        <v>1.1912</v>
      </c>
      <c r="N155" s="674">
        <f>ROUND((N154/N150),4)</f>
        <v>0</v>
      </c>
      <c r="O155" s="270"/>
    </row>
    <row r="156" spans="1:15">
      <c r="A156" s="288">
        <v>12</v>
      </c>
      <c r="B156" s="300" t="s">
        <v>3137</v>
      </c>
      <c r="C156" s="286"/>
      <c r="D156" s="286"/>
      <c r="E156" s="314"/>
      <c r="F156" s="314"/>
      <c r="G156" s="314"/>
      <c r="H156" s="1801"/>
      <c r="I156" s="286"/>
      <c r="J156" s="286"/>
      <c r="K156" s="286"/>
      <c r="L156" s="286"/>
      <c r="M156" s="286"/>
      <c r="N156" s="286"/>
      <c r="O156" s="270"/>
    </row>
    <row r="157" spans="1:15">
      <c r="A157" s="288">
        <v>13</v>
      </c>
      <c r="B157" s="270" t="s">
        <v>3138</v>
      </c>
      <c r="C157" s="2222" t="s">
        <v>490</v>
      </c>
      <c r="D157" s="2222" t="s">
        <v>490</v>
      </c>
      <c r="E157" s="2222" t="s">
        <v>490</v>
      </c>
      <c r="F157" s="2222" t="s">
        <v>490</v>
      </c>
      <c r="G157" s="2222" t="s">
        <v>490</v>
      </c>
      <c r="H157" s="2222" t="s">
        <v>490</v>
      </c>
      <c r="I157" s="2222" t="s">
        <v>490</v>
      </c>
      <c r="J157" s="2222" t="s">
        <v>490</v>
      </c>
      <c r="K157" s="2222" t="s">
        <v>490</v>
      </c>
      <c r="L157" s="2222" t="s">
        <v>490</v>
      </c>
      <c r="M157" s="2222" t="s">
        <v>490</v>
      </c>
      <c r="N157" s="2222" t="s">
        <v>490</v>
      </c>
      <c r="O157" s="270"/>
    </row>
    <row r="158" spans="1:15">
      <c r="A158" s="288">
        <v>14</v>
      </c>
      <c r="B158" s="300" t="s">
        <v>3139</v>
      </c>
      <c r="C158" s="2222" t="s">
        <v>490</v>
      </c>
      <c r="D158" s="2222" t="s">
        <v>490</v>
      </c>
      <c r="E158" s="2222" t="s">
        <v>490</v>
      </c>
      <c r="F158" s="2222" t="s">
        <v>490</v>
      </c>
      <c r="G158" s="2222" t="s">
        <v>490</v>
      </c>
      <c r="H158" s="2222" t="s">
        <v>490</v>
      </c>
      <c r="I158" s="2222" t="s">
        <v>490</v>
      </c>
      <c r="J158" s="2222" t="s">
        <v>490</v>
      </c>
      <c r="K158" s="2222" t="s">
        <v>490</v>
      </c>
      <c r="L158" s="2222" t="s">
        <v>490</v>
      </c>
      <c r="M158" s="2222" t="s">
        <v>490</v>
      </c>
      <c r="N158" s="2222" t="s">
        <v>490</v>
      </c>
      <c r="O158" s="270"/>
    </row>
    <row r="159" spans="1:15">
      <c r="A159" s="288">
        <v>15</v>
      </c>
      <c r="B159" s="300" t="s">
        <v>3140</v>
      </c>
      <c r="C159" s="2222" t="s">
        <v>490</v>
      </c>
      <c r="D159" s="2222" t="s">
        <v>490</v>
      </c>
      <c r="E159" s="2222" t="s">
        <v>490</v>
      </c>
      <c r="F159" s="2222" t="s">
        <v>490</v>
      </c>
      <c r="G159" s="2222" t="s">
        <v>490</v>
      </c>
      <c r="H159" s="2222" t="s">
        <v>490</v>
      </c>
      <c r="I159" s="2222" t="s">
        <v>490</v>
      </c>
      <c r="J159" s="2222" t="s">
        <v>490</v>
      </c>
      <c r="K159" s="2222" t="s">
        <v>490</v>
      </c>
      <c r="L159" s="2222" t="s">
        <v>490</v>
      </c>
      <c r="M159" s="2222" t="s">
        <v>490</v>
      </c>
      <c r="N159" s="2222" t="s">
        <v>490</v>
      </c>
      <c r="O159" s="270"/>
    </row>
    <row r="160" spans="1:15">
      <c r="A160" s="288">
        <v>16</v>
      </c>
      <c r="B160" s="300" t="s">
        <v>3139</v>
      </c>
      <c r="C160" s="2222" t="s">
        <v>490</v>
      </c>
      <c r="D160" s="2222" t="s">
        <v>490</v>
      </c>
      <c r="E160" s="2222" t="s">
        <v>490</v>
      </c>
      <c r="F160" s="2222" t="s">
        <v>490</v>
      </c>
      <c r="G160" s="2222" t="s">
        <v>490</v>
      </c>
      <c r="H160" s="2222" t="s">
        <v>490</v>
      </c>
      <c r="I160" s="2222" t="s">
        <v>490</v>
      </c>
      <c r="J160" s="2222" t="s">
        <v>490</v>
      </c>
      <c r="K160" s="2222" t="s">
        <v>490</v>
      </c>
      <c r="L160" s="2222" t="s">
        <v>490</v>
      </c>
      <c r="M160" s="2222" t="s">
        <v>490</v>
      </c>
      <c r="N160" s="2222" t="s">
        <v>490</v>
      </c>
      <c r="O160" s="270"/>
    </row>
    <row r="161" spans="1:15">
      <c r="A161" s="288">
        <v>17</v>
      </c>
      <c r="B161" s="300" t="s">
        <v>3141</v>
      </c>
      <c r="C161" s="2222" t="s">
        <v>490</v>
      </c>
      <c r="D161" s="2222" t="s">
        <v>490</v>
      </c>
      <c r="E161" s="2222" t="s">
        <v>490</v>
      </c>
      <c r="F161" s="2222" t="s">
        <v>490</v>
      </c>
      <c r="G161" s="2222" t="s">
        <v>490</v>
      </c>
      <c r="H161" s="2222" t="s">
        <v>490</v>
      </c>
      <c r="I161" s="2222" t="s">
        <v>490</v>
      </c>
      <c r="J161" s="2222" t="s">
        <v>490</v>
      </c>
      <c r="K161" s="2222" t="s">
        <v>490</v>
      </c>
      <c r="L161" s="2222" t="s">
        <v>490</v>
      </c>
      <c r="M161" s="2222" t="s">
        <v>490</v>
      </c>
      <c r="N161" s="2222" t="s">
        <v>490</v>
      </c>
      <c r="O161" s="270"/>
    </row>
    <row r="162" spans="1:15">
      <c r="A162" s="288">
        <v>18</v>
      </c>
      <c r="B162" s="300" t="s">
        <v>3139</v>
      </c>
      <c r="C162" s="2222" t="s">
        <v>490</v>
      </c>
      <c r="D162" s="2222" t="s">
        <v>490</v>
      </c>
      <c r="E162" s="2222" t="s">
        <v>490</v>
      </c>
      <c r="F162" s="2222" t="s">
        <v>490</v>
      </c>
      <c r="G162" s="2222" t="s">
        <v>490</v>
      </c>
      <c r="H162" s="2222" t="s">
        <v>490</v>
      </c>
      <c r="I162" s="2222" t="s">
        <v>490</v>
      </c>
      <c r="J162" s="2222" t="s">
        <v>490</v>
      </c>
      <c r="K162" s="2222" t="s">
        <v>490</v>
      </c>
      <c r="L162" s="2222" t="s">
        <v>490</v>
      </c>
      <c r="M162" s="2222" t="s">
        <v>490</v>
      </c>
      <c r="N162" s="2222" t="s">
        <v>490</v>
      </c>
      <c r="O162" s="270"/>
    </row>
    <row r="163" spans="1:15">
      <c r="A163" s="288">
        <v>19</v>
      </c>
      <c r="B163" s="300" t="s">
        <v>3142</v>
      </c>
      <c r="C163" s="2222" t="s">
        <v>490</v>
      </c>
      <c r="D163" s="2222" t="s">
        <v>490</v>
      </c>
      <c r="E163" s="2222" t="s">
        <v>490</v>
      </c>
      <c r="F163" s="2222" t="s">
        <v>490</v>
      </c>
      <c r="G163" s="2222" t="s">
        <v>490</v>
      </c>
      <c r="H163" s="2222" t="s">
        <v>490</v>
      </c>
      <c r="I163" s="2222" t="s">
        <v>490</v>
      </c>
      <c r="J163" s="2222" t="s">
        <v>490</v>
      </c>
      <c r="K163" s="2222" t="s">
        <v>490</v>
      </c>
      <c r="L163" s="2222" t="s">
        <v>490</v>
      </c>
      <c r="M163" s="2222" t="s">
        <v>490</v>
      </c>
      <c r="N163" s="2222" t="s">
        <v>490</v>
      </c>
      <c r="O163" s="270"/>
    </row>
    <row r="164" spans="1:15">
      <c r="A164" s="288">
        <v>20</v>
      </c>
      <c r="B164" s="300" t="s">
        <v>3139</v>
      </c>
      <c r="C164" s="2222" t="s">
        <v>490</v>
      </c>
      <c r="D164" s="2222" t="s">
        <v>490</v>
      </c>
      <c r="E164" s="2222" t="s">
        <v>490</v>
      </c>
      <c r="F164" s="2222" t="s">
        <v>490</v>
      </c>
      <c r="G164" s="2222" t="s">
        <v>490</v>
      </c>
      <c r="H164" s="2222" t="s">
        <v>490</v>
      </c>
      <c r="I164" s="2222" t="s">
        <v>490</v>
      </c>
      <c r="J164" s="2222" t="s">
        <v>490</v>
      </c>
      <c r="K164" s="2222" t="s">
        <v>490</v>
      </c>
      <c r="L164" s="2222" t="s">
        <v>490</v>
      </c>
      <c r="M164" s="2222" t="s">
        <v>490</v>
      </c>
      <c r="N164" s="2222" t="s">
        <v>490</v>
      </c>
      <c r="O164" s="270"/>
    </row>
    <row r="165" spans="1:15">
      <c r="A165" s="288">
        <v>21</v>
      </c>
      <c r="B165" s="270" t="s">
        <v>3143</v>
      </c>
      <c r="C165" s="2222" t="s">
        <v>490</v>
      </c>
      <c r="D165" s="2222" t="s">
        <v>490</v>
      </c>
      <c r="E165" s="313">
        <f>ROUND((SCH_B8!H88/1000)/E146,4)</f>
        <v>1932.2337</v>
      </c>
      <c r="F165" s="313">
        <f>ROUND((SCH_B8!J88/1000)/F146,4)</f>
        <v>1504.606</v>
      </c>
      <c r="G165" s="313">
        <f>ROUND((SCH_B8!L88/1000)/G146,4)</f>
        <v>1404.5170000000001</v>
      </c>
      <c r="H165" s="313">
        <f>ROUND((SCH_B8!N88/1000)/H146,4)</f>
        <v>1227.7554</v>
      </c>
      <c r="I165" s="313">
        <f>ROUND((SCH_B8!P88/1000)/I146,4)</f>
        <v>1102.7240999999999</v>
      </c>
      <c r="J165" s="313">
        <f>ROUND((SCH_B8!S88/1000)/J146,4)</f>
        <v>1019.1857</v>
      </c>
      <c r="K165" s="2223">
        <v>874.21270000000004</v>
      </c>
      <c r="L165" s="2223">
        <v>747.03499999999997</v>
      </c>
      <c r="M165" s="2223">
        <v>691.33600000000001</v>
      </c>
      <c r="N165" s="2223">
        <v>706.42039999999997</v>
      </c>
      <c r="O165" s="270"/>
    </row>
    <row r="166" spans="1:15">
      <c r="A166" s="288">
        <v>22</v>
      </c>
      <c r="B166" s="270"/>
      <c r="C166" s="286"/>
      <c r="D166" s="286"/>
      <c r="E166" s="270"/>
      <c r="F166" s="270"/>
      <c r="G166" s="270"/>
      <c r="H166" s="1802"/>
      <c r="I166" s="286"/>
      <c r="J166" s="270"/>
      <c r="K166" s="270"/>
      <c r="L166" s="270"/>
      <c r="M166" s="270"/>
      <c r="N166" s="286"/>
      <c r="O166" s="270"/>
    </row>
    <row r="167" spans="1:15">
      <c r="A167" s="288">
        <v>23</v>
      </c>
      <c r="B167" s="282" t="s">
        <v>3144</v>
      </c>
      <c r="C167" s="286"/>
      <c r="D167" s="286"/>
      <c r="E167" s="270"/>
      <c r="F167" s="270"/>
      <c r="G167" s="270"/>
      <c r="H167" s="315"/>
      <c r="I167" s="315"/>
      <c r="J167" s="270"/>
      <c r="K167" s="270"/>
      <c r="L167" s="270"/>
      <c r="M167" s="270"/>
      <c r="N167" s="286"/>
      <c r="O167" s="270"/>
    </row>
    <row r="168" spans="1:15">
      <c r="A168" s="288">
        <v>24</v>
      </c>
      <c r="B168" s="300" t="s">
        <v>3145</v>
      </c>
      <c r="C168" s="316">
        <f>ROUND(C85/(((C72+D72)*0.001)/2),4)*100</f>
        <v>8.57</v>
      </c>
      <c r="D168" s="316">
        <f t="shared" ref="D168:M168" si="28">ROUND(D85/(((D72+E72)*0.001)/2),4)*100</f>
        <v>7.5200000000000005</v>
      </c>
      <c r="E168" s="316">
        <f>ROUND(E85/(((E72+F72)*0.001)/2),4)*100</f>
        <v>6.49</v>
      </c>
      <c r="F168" s="316">
        <f>ROUND(F85/(((F72+G72)*0.001)/2),4)*100</f>
        <v>6.8900000000000006</v>
      </c>
      <c r="G168" s="316">
        <f>ROUND(G85/(((G72+H72)*0.001)/2),4)*100</f>
        <v>6.94</v>
      </c>
      <c r="H168" s="316">
        <f>ROUND(H85/(((H72+I72)*0.001)/2),4)*100</f>
        <v>7.06</v>
      </c>
      <c r="I168" s="316">
        <f t="shared" si="28"/>
        <v>7.88</v>
      </c>
      <c r="J168" s="316">
        <f t="shared" si="28"/>
        <v>8.99</v>
      </c>
      <c r="K168" s="316">
        <f t="shared" si="28"/>
        <v>12.53</v>
      </c>
      <c r="L168" s="316">
        <f t="shared" si="28"/>
        <v>10.130000000000001</v>
      </c>
      <c r="M168" s="316">
        <f t="shared" si="28"/>
        <v>11.3</v>
      </c>
      <c r="N168" s="2225">
        <v>8.92</v>
      </c>
      <c r="O168" s="270"/>
    </row>
    <row r="169" spans="1:15">
      <c r="A169" s="288">
        <v>25</v>
      </c>
      <c r="B169" s="270" t="s">
        <v>3146</v>
      </c>
      <c r="C169" s="316">
        <f>ROUND(C85/(((C70+C71+C72+D70+D71+D72)*0.001)/2),4)*100</f>
        <v>4.88</v>
      </c>
      <c r="D169" s="316">
        <f t="shared" ref="D169:M169" si="29">ROUND(D85/(((D70+D71+D72+E70+E71+E72)*0.001)/2),4)*100</f>
        <v>4.51</v>
      </c>
      <c r="E169" s="316">
        <f>ROUND(E85/(((E70+E71+E72+F70+F71+F72)*0.001)/2),4)*100</f>
        <v>3.73</v>
      </c>
      <c r="F169" s="316">
        <f>ROUND(F85/(((F70+F71+F72+G70+G71+G72)*0.001)/2),4)*100</f>
        <v>3.65</v>
      </c>
      <c r="G169" s="316">
        <f>ROUND(G85/(((G70+G71+G72+H70+H71+H72)*0.001)/2),4)*100</f>
        <v>3.56</v>
      </c>
      <c r="H169" s="316">
        <f>ROUND(H85/(((H70+H71+H72+I70+I71+I72)*0.001)/2),4)*100</f>
        <v>3.49</v>
      </c>
      <c r="I169" s="316">
        <f t="shared" si="29"/>
        <v>3.9800000000000004</v>
      </c>
      <c r="J169" s="316">
        <f t="shared" si="29"/>
        <v>4.72</v>
      </c>
      <c r="K169" s="316">
        <f t="shared" si="29"/>
        <v>6.75</v>
      </c>
      <c r="L169" s="316">
        <f t="shared" si="29"/>
        <v>5.6099999999999994</v>
      </c>
      <c r="M169" s="316">
        <f t="shared" si="29"/>
        <v>6.370000000000001</v>
      </c>
      <c r="N169" s="2225">
        <v>4.9000000000000004</v>
      </c>
      <c r="O169" s="270"/>
    </row>
    <row r="170" spans="1:15">
      <c r="A170" s="288">
        <v>26</v>
      </c>
      <c r="B170" s="270" t="s">
        <v>3147</v>
      </c>
      <c r="C170" s="2242">
        <v>6.28</v>
      </c>
      <c r="D170" s="2242">
        <v>5.67</v>
      </c>
      <c r="E170" s="315">
        <v>5.26</v>
      </c>
      <c r="F170" s="315">
        <v>5.35</v>
      </c>
      <c r="G170" s="315">
        <v>4.34</v>
      </c>
      <c r="H170" s="315">
        <v>4.34</v>
      </c>
      <c r="I170" s="315">
        <v>4.66</v>
      </c>
      <c r="J170" s="315">
        <v>5.42</v>
      </c>
      <c r="K170" s="315">
        <v>4.76</v>
      </c>
      <c r="L170" s="2224">
        <v>5.5</v>
      </c>
      <c r="M170" s="2224">
        <v>6.03</v>
      </c>
      <c r="N170" s="2224">
        <v>5.43</v>
      </c>
      <c r="O170" s="270"/>
    </row>
    <row r="171" spans="1:15">
      <c r="A171" s="288">
        <v>27</v>
      </c>
      <c r="B171" s="291" t="s">
        <v>3148</v>
      </c>
      <c r="C171" s="2242">
        <v>9.4700000000000006</v>
      </c>
      <c r="D171" s="2242">
        <v>4.4400000000000004</v>
      </c>
      <c r="E171" s="315">
        <v>5.25</v>
      </c>
      <c r="F171" s="315">
        <v>5.97</v>
      </c>
      <c r="G171" s="315">
        <v>3.74</v>
      </c>
      <c r="H171" s="315">
        <v>4.53</v>
      </c>
      <c r="I171" s="315">
        <v>4.3600000000000003</v>
      </c>
      <c r="J171" s="315">
        <v>4.04</v>
      </c>
      <c r="K171" s="315">
        <v>3.69</v>
      </c>
      <c r="L171" s="315">
        <v>4.41</v>
      </c>
      <c r="M171" s="315">
        <v>4.9000000000000004</v>
      </c>
      <c r="N171" s="315">
        <v>5.74</v>
      </c>
      <c r="O171" s="270"/>
    </row>
    <row r="172" spans="1:15">
      <c r="A172" s="288">
        <v>28</v>
      </c>
      <c r="B172" s="291" t="s">
        <v>3149</v>
      </c>
      <c r="C172" s="2242">
        <v>4.3600000000000003</v>
      </c>
      <c r="D172" s="2242">
        <v>6.31</v>
      </c>
      <c r="E172" s="315">
        <v>5.26</v>
      </c>
      <c r="F172" s="315">
        <v>5.08</v>
      </c>
      <c r="G172" s="315">
        <v>4.6100000000000003</v>
      </c>
      <c r="H172" s="315">
        <v>4.26</v>
      </c>
      <c r="I172" s="315">
        <v>4.79</v>
      </c>
      <c r="J172" s="315">
        <v>5.99</v>
      </c>
      <c r="K172" s="315">
        <v>5.22</v>
      </c>
      <c r="L172" s="315">
        <v>5.95</v>
      </c>
      <c r="M172" s="315">
        <v>6.5</v>
      </c>
      <c r="N172" s="315">
        <v>5.28</v>
      </c>
      <c r="O172" s="270"/>
    </row>
    <row r="173" spans="1:15">
      <c r="A173" s="288"/>
      <c r="B173" s="270"/>
      <c r="C173" s="270"/>
      <c r="D173" s="767"/>
      <c r="E173" s="270"/>
      <c r="F173" s="270"/>
      <c r="G173" s="270"/>
      <c r="H173" s="270"/>
      <c r="I173" s="270"/>
      <c r="J173" s="270"/>
      <c r="K173" s="270"/>
      <c r="L173" s="270"/>
      <c r="M173" s="270"/>
      <c r="N173" s="270"/>
      <c r="O173" s="270"/>
    </row>
    <row r="174" spans="1:15">
      <c r="A174" s="288"/>
      <c r="B174" s="270" t="s">
        <v>3150</v>
      </c>
      <c r="C174" s="270"/>
      <c r="D174" s="767"/>
      <c r="E174" s="270"/>
      <c r="F174" s="270"/>
      <c r="G174" s="270"/>
      <c r="H174" s="270"/>
      <c r="I174" s="270"/>
      <c r="J174" s="270"/>
      <c r="K174" s="270"/>
      <c r="L174" s="270"/>
      <c r="M174" s="270"/>
      <c r="N174" s="270"/>
      <c r="O174" s="270"/>
    </row>
    <row r="175" spans="1:15">
      <c r="A175" s="288"/>
      <c r="B175" s="270"/>
      <c r="C175" s="270"/>
      <c r="D175" s="767"/>
      <c r="E175" s="270"/>
      <c r="F175" s="270"/>
      <c r="G175" s="270"/>
      <c r="H175" s="270"/>
      <c r="I175" s="270"/>
      <c r="J175" s="270"/>
      <c r="K175" s="270"/>
      <c r="L175" s="270"/>
      <c r="M175" s="270"/>
      <c r="N175" s="270"/>
      <c r="O175" s="270"/>
    </row>
    <row r="176" spans="1:15">
      <c r="A176" s="268" t="str">
        <f>A1</f>
        <v>DUKE ENERGY KENTUCKY, INC.</v>
      </c>
      <c r="B176" s="268"/>
      <c r="C176" s="268"/>
      <c r="D176" s="269"/>
      <c r="E176" s="268"/>
      <c r="F176" s="268"/>
      <c r="G176" s="268"/>
      <c r="H176" s="268"/>
      <c r="I176" s="268"/>
      <c r="J176" s="268"/>
      <c r="K176" s="268"/>
      <c r="L176" s="268"/>
      <c r="M176" s="268"/>
      <c r="N176" s="268"/>
      <c r="O176" s="270"/>
    </row>
    <row r="177" spans="1:15">
      <c r="A177" s="268" t="str">
        <f>A2</f>
        <v>CASE NO. 2024-00354</v>
      </c>
      <c r="B177" s="271"/>
      <c r="C177" s="271"/>
      <c r="D177" s="272"/>
      <c r="E177" s="271"/>
      <c r="F177" s="271"/>
      <c r="G177" s="271"/>
      <c r="H177" s="271"/>
      <c r="I177" s="271"/>
      <c r="J177" s="271"/>
      <c r="K177" s="271"/>
      <c r="L177" s="271"/>
      <c r="M177" s="271"/>
      <c r="N177" s="271"/>
      <c r="O177" s="270"/>
    </row>
    <row r="178" spans="1:15">
      <c r="A178" s="268" t="str">
        <f>A3</f>
        <v>COMPARATIVE FINANCIAL DATA</v>
      </c>
      <c r="B178" s="271"/>
      <c r="C178" s="271"/>
      <c r="D178" s="272"/>
      <c r="E178" s="271"/>
      <c r="F178" s="271"/>
      <c r="G178" s="271"/>
      <c r="H178" s="271"/>
      <c r="I178" s="271"/>
      <c r="J178" s="271"/>
      <c r="K178" s="271"/>
      <c r="L178" s="271"/>
      <c r="M178" s="271"/>
      <c r="N178" s="271"/>
      <c r="O178" s="270"/>
    </row>
    <row r="179" spans="1:15">
      <c r="A179" s="273"/>
      <c r="B179" s="273"/>
      <c r="C179" s="273"/>
      <c r="D179" s="761"/>
      <c r="E179" s="273"/>
      <c r="F179" s="273"/>
      <c r="G179" s="273"/>
      <c r="H179" s="273"/>
      <c r="I179" s="273"/>
      <c r="J179" s="273"/>
      <c r="K179" s="273"/>
      <c r="L179" s="273"/>
      <c r="M179" s="273"/>
      <c r="N179" s="273"/>
      <c r="O179" s="270"/>
    </row>
    <row r="180" spans="1:15">
      <c r="A180" s="273" t="str">
        <f>A5</f>
        <v>DATA: "X" BASE PERIOD  "X" FORECASTED PERIOD</v>
      </c>
      <c r="B180" s="268"/>
      <c r="C180" s="268"/>
      <c r="D180" s="269"/>
      <c r="E180" s="271"/>
      <c r="F180" s="268"/>
      <c r="G180" s="268"/>
      <c r="H180" s="268"/>
      <c r="I180" s="268"/>
      <c r="J180" s="268"/>
      <c r="K180" s="268"/>
      <c r="L180" s="274" t="str">
        <f>L5</f>
        <v>SCHEDULE K</v>
      </c>
      <c r="M180" s="268"/>
      <c r="N180" s="268"/>
      <c r="O180" s="270"/>
    </row>
    <row r="181" spans="1:15">
      <c r="A181" s="273" t="str">
        <f>A6</f>
        <v xml:space="preserve">TYPE OF FILING:  "X" ORIGINAL   UPDATED    REVISED  </v>
      </c>
      <c r="B181" s="268"/>
      <c r="C181" s="268"/>
      <c r="D181" s="269"/>
      <c r="E181" s="271"/>
      <c r="F181" s="268"/>
      <c r="G181" s="268"/>
      <c r="H181" s="268"/>
      <c r="I181" s="268"/>
      <c r="J181" s="268"/>
      <c r="K181" s="268"/>
      <c r="L181" s="274" t="s">
        <v>3151</v>
      </c>
      <c r="M181" s="268"/>
      <c r="N181" s="268"/>
      <c r="O181" s="270"/>
    </row>
    <row r="182" spans="1:15">
      <c r="A182" s="273" t="str">
        <f>A7</f>
        <v>WORK PAPER REFERENCE NO(S).:</v>
      </c>
      <c r="B182" s="273"/>
      <c r="C182" s="273"/>
      <c r="D182" s="269"/>
      <c r="E182" s="268"/>
      <c r="F182" s="271"/>
      <c r="G182" s="268"/>
      <c r="H182" s="268"/>
      <c r="I182" s="268"/>
      <c r="J182" s="268"/>
      <c r="K182" s="270"/>
      <c r="L182" s="296" t="s">
        <v>1866</v>
      </c>
      <c r="M182" s="274"/>
      <c r="N182" s="274"/>
      <c r="O182" s="270"/>
    </row>
    <row r="183" spans="1:15">
      <c r="A183" s="270"/>
      <c r="B183" s="273"/>
      <c r="C183" s="273"/>
      <c r="D183" s="761"/>
      <c r="E183" s="273"/>
      <c r="F183" s="273"/>
      <c r="G183" s="273"/>
      <c r="H183" s="273"/>
      <c r="I183" s="273"/>
      <c r="J183" s="273"/>
      <c r="K183" s="270"/>
      <c r="L183" s="273" t="str">
        <f>_WIT6</f>
        <v>G. S. CARPENTER / D. L. WEATHERSTON</v>
      </c>
      <c r="M183" s="274"/>
      <c r="N183" s="274"/>
      <c r="O183" s="270"/>
    </row>
    <row r="184" spans="1:15">
      <c r="A184" s="1624"/>
      <c r="B184" s="1624"/>
      <c r="C184" s="1624"/>
      <c r="D184" s="1592"/>
      <c r="E184" s="1624"/>
      <c r="F184" s="1624"/>
      <c r="G184" s="1624"/>
      <c r="H184" s="1624"/>
      <c r="I184" s="1624"/>
      <c r="J184" s="1624"/>
      <c r="K184" s="1624"/>
      <c r="L184" s="1625"/>
      <c r="M184" s="1624"/>
      <c r="N184" s="1624"/>
      <c r="O184" s="270"/>
    </row>
    <row r="185" spans="1:15">
      <c r="A185" s="275" t="s">
        <v>573</v>
      </c>
      <c r="B185" s="273"/>
      <c r="C185" s="275" t="s">
        <v>474</v>
      </c>
      <c r="D185" s="276" t="str">
        <f>D10</f>
        <v>BASE</v>
      </c>
      <c r="E185" s="2186" t="str">
        <f>E10</f>
        <v>MOST RECENT CALENDAR YEARS</v>
      </c>
      <c r="F185" s="2186"/>
      <c r="G185" s="2186"/>
      <c r="H185" s="2186"/>
      <c r="I185" s="2186"/>
      <c r="J185" s="2186"/>
      <c r="K185" s="2186"/>
      <c r="L185" s="2186"/>
      <c r="M185" s="2186"/>
      <c r="N185" s="2186"/>
      <c r="O185" s="270"/>
    </row>
    <row r="186" spans="1:15">
      <c r="A186" s="1626" t="s">
        <v>576</v>
      </c>
      <c r="B186" s="1626" t="s">
        <v>2</v>
      </c>
      <c r="C186" s="1628" t="s">
        <v>478</v>
      </c>
      <c r="D186" s="1628" t="str">
        <f>D11</f>
        <v>PERIOD</v>
      </c>
      <c r="E186" s="1631">
        <f>E11</f>
        <v>2023</v>
      </c>
      <c r="F186" s="1631">
        <f t="shared" ref="F186:N186" si="30">F11</f>
        <v>2022</v>
      </c>
      <c r="G186" s="1631">
        <f t="shared" si="30"/>
        <v>2021</v>
      </c>
      <c r="H186" s="1631">
        <f t="shared" si="30"/>
        <v>2020</v>
      </c>
      <c r="I186" s="1631">
        <f t="shared" si="30"/>
        <v>2019</v>
      </c>
      <c r="J186" s="1631">
        <f t="shared" si="30"/>
        <v>2018</v>
      </c>
      <c r="K186" s="1631">
        <f t="shared" si="30"/>
        <v>2017</v>
      </c>
      <c r="L186" s="1631">
        <f t="shared" si="30"/>
        <v>2016</v>
      </c>
      <c r="M186" s="1631">
        <f t="shared" si="30"/>
        <v>2015</v>
      </c>
      <c r="N186" s="1631">
        <f t="shared" si="30"/>
        <v>2014</v>
      </c>
      <c r="O186" s="270"/>
    </row>
    <row r="187" spans="1:15">
      <c r="A187" s="288"/>
      <c r="B187" s="270"/>
      <c r="C187" s="270"/>
      <c r="D187" s="767"/>
      <c r="E187" s="270"/>
      <c r="F187" s="270"/>
      <c r="G187" s="270"/>
      <c r="H187" s="270"/>
      <c r="I187" s="270"/>
      <c r="J187" s="270"/>
      <c r="K187" s="270"/>
      <c r="L187" s="270"/>
      <c r="M187" s="270"/>
      <c r="N187" s="270"/>
      <c r="O187" s="270"/>
    </row>
    <row r="188" spans="1:15">
      <c r="A188" s="288">
        <v>1</v>
      </c>
      <c r="B188" s="282" t="s">
        <v>3152</v>
      </c>
      <c r="C188" s="282"/>
      <c r="D188" s="767"/>
      <c r="E188" s="270"/>
      <c r="F188" s="270"/>
      <c r="G188" s="270"/>
      <c r="H188" s="270"/>
      <c r="I188" s="270"/>
      <c r="J188" s="270"/>
      <c r="K188" s="270"/>
      <c r="L188" s="270"/>
      <c r="M188" s="270"/>
      <c r="N188" s="270"/>
      <c r="O188" s="270"/>
    </row>
    <row r="189" spans="1:15">
      <c r="A189" s="288">
        <v>2</v>
      </c>
      <c r="B189" s="270" t="s">
        <v>3153</v>
      </c>
      <c r="C189" s="270"/>
      <c r="D189" s="767"/>
      <c r="E189" s="270"/>
      <c r="F189" s="270"/>
      <c r="G189" s="270"/>
      <c r="H189" s="270"/>
      <c r="I189" s="270"/>
      <c r="J189" s="270"/>
      <c r="K189" s="270"/>
      <c r="L189" s="270"/>
      <c r="M189" s="270"/>
      <c r="N189" s="270"/>
      <c r="O189" s="270"/>
    </row>
    <row r="190" spans="1:15">
      <c r="A190" s="288">
        <v>3</v>
      </c>
      <c r="B190" s="270" t="s">
        <v>3154</v>
      </c>
      <c r="C190" s="283">
        <v>179824</v>
      </c>
      <c r="D190" s="283">
        <v>152004</v>
      </c>
      <c r="E190" s="283">
        <v>131721</v>
      </c>
      <c r="F190" s="283">
        <v>156557</v>
      </c>
      <c r="G190" s="283">
        <v>115620</v>
      </c>
      <c r="H190" s="1799">
        <v>98773</v>
      </c>
      <c r="I190" s="1799">
        <v>102071</v>
      </c>
      <c r="J190" s="1799">
        <v>101996</v>
      </c>
      <c r="K190" s="283">
        <v>94164</v>
      </c>
      <c r="L190" s="1799">
        <v>93010</v>
      </c>
      <c r="M190" s="1799">
        <v>104453</v>
      </c>
      <c r="N190" s="1799">
        <v>122401</v>
      </c>
      <c r="O190" s="270"/>
    </row>
    <row r="191" spans="1:15">
      <c r="A191" s="288">
        <v>4</v>
      </c>
      <c r="B191" s="300" t="s">
        <v>3155</v>
      </c>
      <c r="C191" s="767">
        <f>ROUND(SCH_C2!H20/1000,2)</f>
        <v>482552.98</v>
      </c>
      <c r="D191" s="767">
        <f>ROUND(SCH_C2!E20/1000,2)</f>
        <v>503765.15</v>
      </c>
      <c r="E191" s="283">
        <v>453318</v>
      </c>
      <c r="F191" s="283">
        <v>515343</v>
      </c>
      <c r="G191" s="283">
        <v>399020</v>
      </c>
      <c r="H191" s="1799">
        <v>346892</v>
      </c>
      <c r="I191" s="1799">
        <v>376627</v>
      </c>
      <c r="J191" s="1799">
        <v>386024</v>
      </c>
      <c r="K191" s="283">
        <v>334908</v>
      </c>
      <c r="L191" s="1799">
        <v>347770</v>
      </c>
      <c r="M191" s="1799">
        <v>362302</v>
      </c>
      <c r="N191" s="1799">
        <v>366324</v>
      </c>
      <c r="O191" s="270"/>
    </row>
    <row r="192" spans="1:15">
      <c r="A192" s="288">
        <v>5</v>
      </c>
      <c r="B192" s="300" t="s">
        <v>3156</v>
      </c>
      <c r="C192" s="2189">
        <f>SUM(C190:C191)</f>
        <v>662376.98</v>
      </c>
      <c r="D192" s="2189">
        <f t="shared" ref="D192:E192" si="31">SUM(D190:D191)</f>
        <v>655769.15</v>
      </c>
      <c r="E192" s="2189">
        <f t="shared" si="31"/>
        <v>585039</v>
      </c>
      <c r="F192" s="2189">
        <f>SUM(F190:F191)</f>
        <v>671900</v>
      </c>
      <c r="G192" s="2189">
        <f t="shared" ref="G192:N192" si="32">SUM(G190:G191)</f>
        <v>514640</v>
      </c>
      <c r="H192" s="2189">
        <f t="shared" si="32"/>
        <v>445665</v>
      </c>
      <c r="I192" s="2189">
        <f t="shared" si="32"/>
        <v>478698</v>
      </c>
      <c r="J192" s="2189">
        <f t="shared" si="32"/>
        <v>488020</v>
      </c>
      <c r="K192" s="2189">
        <f t="shared" si="32"/>
        <v>429072</v>
      </c>
      <c r="L192" s="2189">
        <f t="shared" si="32"/>
        <v>440780</v>
      </c>
      <c r="M192" s="2189">
        <f t="shared" si="32"/>
        <v>466755</v>
      </c>
      <c r="N192" s="2189">
        <f t="shared" si="32"/>
        <v>488725</v>
      </c>
      <c r="O192" s="270"/>
    </row>
    <row r="193" spans="1:15">
      <c r="A193" s="288">
        <v>6</v>
      </c>
      <c r="B193" s="300" t="s">
        <v>3157</v>
      </c>
      <c r="C193" s="767"/>
      <c r="D193" s="767"/>
      <c r="E193" s="270"/>
      <c r="F193" s="270"/>
      <c r="G193" s="270"/>
      <c r="H193" s="270"/>
      <c r="I193" s="270"/>
      <c r="J193" s="270"/>
      <c r="K193" s="270"/>
      <c r="L193" s="270"/>
      <c r="M193" s="270"/>
      <c r="N193" s="270"/>
      <c r="O193" s="270"/>
    </row>
    <row r="194" spans="1:15">
      <c r="A194" s="288">
        <v>7</v>
      </c>
      <c r="B194" s="300" t="s">
        <v>3158</v>
      </c>
      <c r="C194" s="317">
        <f>ROUND(C190/C192,3)*100</f>
        <v>27.1</v>
      </c>
      <c r="D194" s="317">
        <f>ROUND(D190/D192,3)*100</f>
        <v>23.200000000000003</v>
      </c>
      <c r="E194" s="317">
        <f>ROUND(E190/E192,3)*100</f>
        <v>22.5</v>
      </c>
      <c r="F194" s="317">
        <f>ROUND(F190/F192,3)*100</f>
        <v>23.3</v>
      </c>
      <c r="G194" s="317">
        <f t="shared" ref="G194:N194" si="33">ROUND(G190/G192,3)*100</f>
        <v>22.5</v>
      </c>
      <c r="H194" s="317">
        <f t="shared" si="33"/>
        <v>22.2</v>
      </c>
      <c r="I194" s="317">
        <f t="shared" si="33"/>
        <v>21.3</v>
      </c>
      <c r="J194" s="317">
        <f t="shared" si="33"/>
        <v>20.9</v>
      </c>
      <c r="K194" s="317">
        <f t="shared" si="33"/>
        <v>21.9</v>
      </c>
      <c r="L194" s="317">
        <f t="shared" si="33"/>
        <v>21.099999999999998</v>
      </c>
      <c r="M194" s="317">
        <f t="shared" si="33"/>
        <v>22.400000000000002</v>
      </c>
      <c r="N194" s="317">
        <f t="shared" si="33"/>
        <v>25</v>
      </c>
      <c r="O194" s="270"/>
    </row>
    <row r="195" spans="1:15">
      <c r="A195" s="288">
        <v>8</v>
      </c>
      <c r="B195" s="300" t="s">
        <v>3159</v>
      </c>
      <c r="C195" s="317">
        <f>C196-C194</f>
        <v>72.900000000000006</v>
      </c>
      <c r="D195" s="317">
        <f>D196-D194</f>
        <v>76.8</v>
      </c>
      <c r="E195" s="317">
        <f>E196-E194</f>
        <v>77.5</v>
      </c>
      <c r="F195" s="317">
        <f>F196-F194</f>
        <v>76.7</v>
      </c>
      <c r="G195" s="317">
        <f t="shared" ref="G195:N195" si="34">G196-G194</f>
        <v>77.5</v>
      </c>
      <c r="H195" s="317">
        <f t="shared" si="34"/>
        <v>77.8</v>
      </c>
      <c r="I195" s="317">
        <f t="shared" si="34"/>
        <v>78.7</v>
      </c>
      <c r="J195" s="317">
        <f t="shared" si="34"/>
        <v>79.099999999999994</v>
      </c>
      <c r="K195" s="317">
        <f t="shared" si="34"/>
        <v>78.099999999999994</v>
      </c>
      <c r="L195" s="317">
        <f t="shared" si="34"/>
        <v>78.900000000000006</v>
      </c>
      <c r="M195" s="317">
        <f t="shared" si="34"/>
        <v>77.599999999999994</v>
      </c>
      <c r="N195" s="317">
        <f t="shared" si="34"/>
        <v>75</v>
      </c>
      <c r="O195" s="270"/>
    </row>
    <row r="196" spans="1:15">
      <c r="A196" s="288">
        <v>9</v>
      </c>
      <c r="B196" s="300" t="s">
        <v>3156</v>
      </c>
      <c r="C196" s="2190">
        <v>100</v>
      </c>
      <c r="D196" s="2190">
        <v>100</v>
      </c>
      <c r="E196" s="2190">
        <v>100</v>
      </c>
      <c r="F196" s="2190">
        <v>100</v>
      </c>
      <c r="G196" s="2190">
        <v>100</v>
      </c>
      <c r="H196" s="2190">
        <v>100</v>
      </c>
      <c r="I196" s="2190">
        <v>100</v>
      </c>
      <c r="J196" s="2190">
        <v>100</v>
      </c>
      <c r="K196" s="2190">
        <v>100</v>
      </c>
      <c r="L196" s="2190">
        <v>100</v>
      </c>
      <c r="M196" s="2190">
        <v>100</v>
      </c>
      <c r="N196" s="2190">
        <v>100</v>
      </c>
      <c r="O196" s="270"/>
    </row>
    <row r="197" spans="1:15">
      <c r="A197" s="288">
        <v>10</v>
      </c>
      <c r="B197" s="300" t="s">
        <v>3160</v>
      </c>
      <c r="C197" s="767"/>
      <c r="D197" s="767"/>
      <c r="E197" s="270"/>
      <c r="F197" s="270"/>
      <c r="G197" s="270"/>
      <c r="H197" s="270"/>
      <c r="I197" s="270"/>
      <c r="J197" s="270"/>
      <c r="K197" s="270"/>
      <c r="L197" s="270"/>
      <c r="M197" s="270"/>
      <c r="N197" s="270"/>
      <c r="O197" s="270"/>
    </row>
    <row r="198" spans="1:15">
      <c r="A198" s="288">
        <v>11</v>
      </c>
      <c r="B198" s="300" t="s">
        <v>3158</v>
      </c>
      <c r="C198" s="283">
        <v>72611</v>
      </c>
      <c r="D198" s="283">
        <v>62375</v>
      </c>
      <c r="E198" s="283">
        <v>47837</v>
      </c>
      <c r="F198" s="283">
        <v>70707</v>
      </c>
      <c r="G198" s="283">
        <v>42452</v>
      </c>
      <c r="H198" s="283">
        <v>26630</v>
      </c>
      <c r="I198" s="283">
        <v>37963</v>
      </c>
      <c r="J198" s="283">
        <v>43006</v>
      </c>
      <c r="K198" s="283">
        <v>37249</v>
      </c>
      <c r="L198" s="1799">
        <v>32611</v>
      </c>
      <c r="M198" s="1799">
        <v>41610</v>
      </c>
      <c r="N198" s="1799">
        <v>59826</v>
      </c>
      <c r="O198" s="270"/>
    </row>
    <row r="199" spans="1:15">
      <c r="A199" s="288">
        <v>12</v>
      </c>
      <c r="B199" s="300" t="s">
        <v>3159</v>
      </c>
      <c r="C199" s="767">
        <f>ROUND(SCH_C2!H25/1000,2)</f>
        <v>164826.62</v>
      </c>
      <c r="D199" s="767">
        <f>ROUND(SCH_C2!E25/1000,2)</f>
        <v>172781.85</v>
      </c>
      <c r="E199" s="283">
        <f>86740+7850+61373</f>
        <v>155963</v>
      </c>
      <c r="F199" s="283">
        <f>81365+14710+142595</f>
        <v>238670</v>
      </c>
      <c r="G199" s="283">
        <v>156621</v>
      </c>
      <c r="H199" s="283">
        <v>100910</v>
      </c>
      <c r="I199" s="283">
        <v>125256</v>
      </c>
      <c r="J199" s="283">
        <v>143411</v>
      </c>
      <c r="K199" s="283">
        <v>126955</v>
      </c>
      <c r="L199" s="283">
        <v>131354</v>
      </c>
      <c r="M199" s="283">
        <v>148411</v>
      </c>
      <c r="N199" s="283">
        <v>175557</v>
      </c>
      <c r="O199" s="270"/>
    </row>
    <row r="200" spans="1:15">
      <c r="A200" s="288">
        <v>13</v>
      </c>
      <c r="B200" s="300" t="s">
        <v>3156</v>
      </c>
      <c r="C200" s="2189">
        <f>SUM(C198:C199)</f>
        <v>237437.62</v>
      </c>
      <c r="D200" s="2189">
        <f>SUM(D198:D199)</f>
        <v>235156.85</v>
      </c>
      <c r="E200" s="2189">
        <f>SUM(E198:E199)</f>
        <v>203800</v>
      </c>
      <c r="F200" s="2189">
        <f>SUM(F198:F199)</f>
        <v>309377</v>
      </c>
      <c r="G200" s="2189">
        <f t="shared" ref="G200:N200" si="35">SUM(G198:G199)</f>
        <v>199073</v>
      </c>
      <c r="H200" s="2189">
        <f t="shared" si="35"/>
        <v>127540</v>
      </c>
      <c r="I200" s="2189">
        <f t="shared" si="35"/>
        <v>163219</v>
      </c>
      <c r="J200" s="2189">
        <f t="shared" si="35"/>
        <v>186417</v>
      </c>
      <c r="K200" s="2189">
        <f t="shared" si="35"/>
        <v>164204</v>
      </c>
      <c r="L200" s="2189">
        <f t="shared" si="35"/>
        <v>163965</v>
      </c>
      <c r="M200" s="2189">
        <f t="shared" si="35"/>
        <v>190021</v>
      </c>
      <c r="N200" s="2189">
        <f t="shared" si="35"/>
        <v>235383</v>
      </c>
      <c r="O200" s="270"/>
    </row>
    <row r="201" spans="1:15">
      <c r="A201" s="288">
        <v>14</v>
      </c>
      <c r="B201" s="300" t="s">
        <v>3161</v>
      </c>
      <c r="C201" s="767"/>
      <c r="D201" s="767"/>
      <c r="E201" s="270"/>
      <c r="F201" s="270"/>
      <c r="G201" s="270"/>
      <c r="H201" s="270"/>
      <c r="I201" s="270"/>
      <c r="J201" s="270"/>
      <c r="K201" s="270"/>
      <c r="L201" s="270"/>
      <c r="M201" s="270"/>
      <c r="N201" s="270"/>
      <c r="O201" s="270"/>
    </row>
    <row r="202" spans="1:15">
      <c r="A202" s="288">
        <v>15</v>
      </c>
      <c r="B202" s="300" t="s">
        <v>3158</v>
      </c>
      <c r="C202" s="317">
        <f>ROUND(C198/C200,3)*100</f>
        <v>30.599999999999998</v>
      </c>
      <c r="D202" s="317">
        <f>ROUND(D198/D200,3)*100</f>
        <v>26.5</v>
      </c>
      <c r="E202" s="317">
        <f>ROUND(E198/E200,3)*100</f>
        <v>23.5</v>
      </c>
      <c r="F202" s="317">
        <f>ROUND(F198/F200,3)*100</f>
        <v>22.900000000000002</v>
      </c>
      <c r="G202" s="317">
        <f t="shared" ref="G202:N202" si="36">ROUND(G198/G200,3)*100</f>
        <v>21.3</v>
      </c>
      <c r="H202" s="317">
        <f t="shared" si="36"/>
        <v>20.9</v>
      </c>
      <c r="I202" s="317">
        <f t="shared" si="36"/>
        <v>23.3</v>
      </c>
      <c r="J202" s="317">
        <f t="shared" si="36"/>
        <v>23.1</v>
      </c>
      <c r="K202" s="317">
        <f t="shared" si="36"/>
        <v>22.7</v>
      </c>
      <c r="L202" s="317">
        <f t="shared" si="36"/>
        <v>19.900000000000002</v>
      </c>
      <c r="M202" s="317">
        <f t="shared" si="36"/>
        <v>21.9</v>
      </c>
      <c r="N202" s="317">
        <f t="shared" si="36"/>
        <v>25.4</v>
      </c>
      <c r="O202" s="270"/>
    </row>
    <row r="203" spans="1:15">
      <c r="A203" s="288">
        <v>16</v>
      </c>
      <c r="B203" s="300" t="s">
        <v>3159</v>
      </c>
      <c r="C203" s="317">
        <f>C204-C202</f>
        <v>69.400000000000006</v>
      </c>
      <c r="D203" s="317">
        <f t="shared" ref="D203:N203" si="37">D204-D202</f>
        <v>73.5</v>
      </c>
      <c r="E203" s="317">
        <f>E204-E202</f>
        <v>76.5</v>
      </c>
      <c r="F203" s="317">
        <f>F204-F202</f>
        <v>77.099999999999994</v>
      </c>
      <c r="G203" s="317">
        <f t="shared" si="37"/>
        <v>78.7</v>
      </c>
      <c r="H203" s="317">
        <f t="shared" si="37"/>
        <v>79.099999999999994</v>
      </c>
      <c r="I203" s="317">
        <f t="shared" si="37"/>
        <v>76.7</v>
      </c>
      <c r="J203" s="317">
        <f t="shared" si="37"/>
        <v>76.900000000000006</v>
      </c>
      <c r="K203" s="317">
        <f t="shared" si="37"/>
        <v>77.3</v>
      </c>
      <c r="L203" s="317">
        <f t="shared" si="37"/>
        <v>80.099999999999994</v>
      </c>
      <c r="M203" s="317">
        <f t="shared" si="37"/>
        <v>78.099999999999994</v>
      </c>
      <c r="N203" s="317">
        <f t="shared" si="37"/>
        <v>74.599999999999994</v>
      </c>
      <c r="O203" s="270"/>
    </row>
    <row r="204" spans="1:15">
      <c r="A204" s="288">
        <v>17</v>
      </c>
      <c r="B204" s="300" t="s">
        <v>3156</v>
      </c>
      <c r="C204" s="2190">
        <v>100</v>
      </c>
      <c r="D204" s="2190">
        <v>100</v>
      </c>
      <c r="E204" s="2190">
        <v>100</v>
      </c>
      <c r="F204" s="2190">
        <v>100</v>
      </c>
      <c r="G204" s="2190">
        <v>100</v>
      </c>
      <c r="H204" s="2190">
        <v>100</v>
      </c>
      <c r="I204" s="2190">
        <v>100</v>
      </c>
      <c r="J204" s="2190">
        <v>100</v>
      </c>
      <c r="K204" s="2190">
        <v>100</v>
      </c>
      <c r="L204" s="2190">
        <v>100</v>
      </c>
      <c r="M204" s="2190">
        <v>100</v>
      </c>
      <c r="N204" s="2190">
        <v>100</v>
      </c>
      <c r="O204" s="270"/>
    </row>
    <row r="205" spans="1:15">
      <c r="A205" s="270"/>
      <c r="B205" s="270"/>
      <c r="C205" s="270"/>
      <c r="D205" s="767"/>
      <c r="E205" s="270"/>
      <c r="F205" s="270"/>
      <c r="G205" s="270"/>
      <c r="H205" s="270"/>
      <c r="I205" s="270"/>
      <c r="J205" s="270"/>
      <c r="K205" s="270"/>
      <c r="L205" s="270"/>
      <c r="M205" s="270"/>
      <c r="N205" s="270"/>
      <c r="O205" s="270"/>
    </row>
    <row r="206" spans="1:15">
      <c r="A206" s="270"/>
      <c r="B206" s="270"/>
      <c r="C206" s="270"/>
      <c r="D206" s="767"/>
      <c r="E206" s="270"/>
      <c r="F206" s="270"/>
      <c r="G206" s="270"/>
      <c r="H206" s="270"/>
      <c r="I206" s="270"/>
      <c r="J206" s="270"/>
      <c r="K206" s="270"/>
      <c r="L206" s="270"/>
      <c r="M206" s="270"/>
      <c r="N206" s="270"/>
      <c r="O206" s="270"/>
    </row>
    <row r="207" spans="1:15">
      <c r="A207" s="270"/>
      <c r="B207" s="270"/>
      <c r="C207" s="270"/>
      <c r="D207" s="767"/>
      <c r="E207" s="270"/>
      <c r="F207" s="270"/>
      <c r="G207" s="270"/>
      <c r="H207" s="270"/>
      <c r="I207" s="270"/>
      <c r="J207" s="270"/>
      <c r="K207" s="270"/>
      <c r="L207" s="270"/>
      <c r="M207" s="270"/>
      <c r="N207" s="270"/>
      <c r="O207" s="270"/>
    </row>
    <row r="208" spans="1:15">
      <c r="A208" s="270"/>
      <c r="B208" s="270"/>
      <c r="C208" s="270"/>
      <c r="D208" s="767"/>
      <c r="E208" s="270"/>
      <c r="F208" s="270"/>
      <c r="G208" s="270"/>
      <c r="H208" s="270"/>
      <c r="I208" s="270"/>
      <c r="J208" s="270"/>
      <c r="K208" s="270"/>
      <c r="L208" s="270"/>
      <c r="M208" s="270"/>
      <c r="N208" s="270"/>
      <c r="O208" s="270"/>
    </row>
    <row r="209" spans="1:15">
      <c r="A209" s="288"/>
      <c r="B209" s="270"/>
      <c r="C209" s="270"/>
      <c r="D209" s="767"/>
      <c r="E209" s="270"/>
      <c r="F209" s="270"/>
      <c r="G209" s="270"/>
      <c r="H209" s="270"/>
      <c r="I209" s="270"/>
      <c r="J209" s="270"/>
      <c r="K209" s="270"/>
      <c r="L209" s="270"/>
      <c r="M209" s="270"/>
      <c r="N209" s="270"/>
      <c r="O209" s="270"/>
    </row>
    <row r="210" spans="1:15">
      <c r="A210" s="270"/>
      <c r="B210" s="270"/>
      <c r="C210" s="270"/>
      <c r="D210" s="767"/>
      <c r="E210" s="270"/>
      <c r="F210" s="270"/>
      <c r="G210" s="270"/>
      <c r="H210" s="270"/>
      <c r="I210" s="270"/>
      <c r="J210" s="270"/>
      <c r="K210" s="270"/>
      <c r="L210" s="270"/>
      <c r="M210" s="270"/>
      <c r="N210" s="270"/>
      <c r="O210" s="270"/>
    </row>
    <row r="211" spans="1:15">
      <c r="A211" s="270"/>
      <c r="B211" s="270"/>
      <c r="C211" s="270"/>
      <c r="D211" s="767"/>
      <c r="E211" s="270"/>
      <c r="F211" s="270"/>
      <c r="G211" s="270"/>
      <c r="H211" s="270"/>
      <c r="I211" s="270"/>
      <c r="J211" s="270"/>
      <c r="K211" s="270"/>
      <c r="L211" s="270"/>
      <c r="M211" s="270"/>
      <c r="N211" s="270"/>
      <c r="O211" s="270"/>
    </row>
  </sheetData>
  <phoneticPr fontId="19" type="noConversion"/>
  <printOptions horizontalCentered="1"/>
  <pageMargins left="1" right="0.5" top="1" bottom="0" header="0" footer="0"/>
  <pageSetup scale="51" orientation="landscape" blackAndWhite="1" r:id="rId1"/>
  <headerFooter alignWithMargins="0"/>
  <rowBreaks count="2" manualBreakCount="2">
    <brk id="65" max="13" man="1"/>
    <brk id="151" max="12" man="1"/>
  </rowBreaks>
  <colBreaks count="1" manualBreakCount="1">
    <brk id="1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A654D-5E32-4B03-8940-2C8B64EF97F9}">
  <sheetPr codeName="Sheet125">
    <tabColor theme="4" tint="0.39997558519241921"/>
    <pageSetUpPr fitToPage="1"/>
  </sheetPr>
  <dimension ref="A1:AC56"/>
  <sheetViews>
    <sheetView zoomScale="90" zoomScaleNormal="90" workbookViewId="0"/>
  </sheetViews>
  <sheetFormatPr defaultRowHeight="13.2"/>
  <cols>
    <col min="1" max="1" width="9.33203125" customWidth="1"/>
    <col min="2" max="2" width="3" customWidth="1"/>
    <col min="3" max="3" width="9.88671875" customWidth="1"/>
    <col min="4" max="4" width="36.88671875" customWidth="1"/>
    <col min="5" max="5" width="15.33203125" customWidth="1"/>
    <col min="6" max="6" width="2.6640625" customWidth="1"/>
    <col min="7" max="7" width="11.5546875" bestFit="1" customWidth="1"/>
    <col min="8" max="8" width="2.6640625" customWidth="1"/>
    <col min="9" max="9" width="12.88671875" bestFit="1" customWidth="1"/>
    <col min="10" max="10" width="2.6640625" customWidth="1"/>
    <col min="11" max="11" width="11.5546875" bestFit="1" customWidth="1"/>
    <col min="12" max="12" width="2.6640625" customWidth="1"/>
    <col min="13" max="13" width="12.88671875" bestFit="1" customWidth="1"/>
    <col min="14" max="14" width="2.6640625" customWidth="1"/>
    <col min="15" max="15" width="14" bestFit="1" customWidth="1"/>
    <col min="16" max="16" width="2.6640625" customWidth="1"/>
    <col min="17" max="17" width="11.88671875" bestFit="1" customWidth="1"/>
    <col min="18" max="18" width="2.6640625" customWidth="1"/>
    <col min="19" max="19" width="12.88671875" bestFit="1" customWidth="1"/>
    <col min="20" max="20" width="2.6640625" customWidth="1"/>
    <col min="21" max="21" width="12.88671875" bestFit="1" customWidth="1"/>
    <col min="22" max="22" width="2.6640625" customWidth="1"/>
    <col min="23" max="23" width="12.88671875" bestFit="1" customWidth="1"/>
    <col min="24" max="24" width="2.6640625" customWidth="1"/>
    <col min="25" max="25" width="13" bestFit="1" customWidth="1"/>
    <col min="26" max="26" width="2.6640625" customWidth="1"/>
    <col min="27" max="27" width="15" bestFit="1" customWidth="1"/>
    <col min="28" max="28" width="2.6640625" customWidth="1"/>
    <col min="29" max="29" width="14" bestFit="1" customWidth="1"/>
  </cols>
  <sheetData>
    <row r="1" spans="1:29">
      <c r="A1" s="82" t="str">
        <f>COMPANY</f>
        <v>DUKE ENERGY KENTUCKY, INC.</v>
      </c>
      <c r="B1" s="82"/>
      <c r="C1" s="82"/>
      <c r="D1" s="82"/>
      <c r="F1" s="83"/>
      <c r="G1" s="82"/>
      <c r="Z1" s="83" t="s">
        <v>522</v>
      </c>
    </row>
    <row r="2" spans="1:29">
      <c r="A2" s="82" t="str">
        <f>DEPT</f>
        <v>ELECTRIC DEPARTMENT</v>
      </c>
      <c r="B2" s="82"/>
      <c r="C2" s="82"/>
      <c r="D2" s="82"/>
      <c r="F2" s="83"/>
      <c r="G2" s="82"/>
      <c r="Z2" s="83" t="s">
        <v>468</v>
      </c>
    </row>
    <row r="3" spans="1:29">
      <c r="A3" s="82" t="str">
        <f>CASE</f>
        <v>CASE NO. 2024-00354</v>
      </c>
      <c r="B3" s="82"/>
      <c r="C3" s="82"/>
      <c r="D3" s="82"/>
      <c r="F3" s="82"/>
      <c r="G3" s="82"/>
      <c r="M3" s="169"/>
      <c r="Z3" s="71" t="str">
        <f>_WIT1</f>
        <v>L. D. STEINKUHL</v>
      </c>
    </row>
    <row r="4" spans="1:29">
      <c r="A4" s="83" t="s">
        <v>526</v>
      </c>
      <c r="B4" s="82"/>
      <c r="C4" s="82"/>
      <c r="D4" s="82"/>
      <c r="E4" s="82"/>
      <c r="F4" s="82"/>
      <c r="G4" s="82"/>
    </row>
    <row r="5" spans="1:29" ht="15.6">
      <c r="A5" s="169" t="s">
        <v>527</v>
      </c>
      <c r="B5" s="82"/>
      <c r="C5" s="82"/>
      <c r="D5" s="2027"/>
      <c r="E5" s="2028"/>
      <c r="F5" s="82"/>
      <c r="G5" s="86"/>
    </row>
    <row r="6" spans="1:29">
      <c r="A6" s="1393" t="s">
        <v>55</v>
      </c>
      <c r="B6" s="82"/>
      <c r="C6" s="82"/>
      <c r="D6" s="82"/>
      <c r="E6" s="82"/>
      <c r="F6" s="82"/>
      <c r="G6" s="82"/>
    </row>
    <row r="7" spans="1:29">
      <c r="A7" s="1393"/>
      <c r="B7" s="82"/>
      <c r="C7" s="82"/>
      <c r="D7" s="82"/>
      <c r="E7" s="82"/>
      <c r="F7" s="82"/>
      <c r="G7" s="82"/>
    </row>
    <row r="8" spans="1:29">
      <c r="A8" s="87" t="s">
        <v>471</v>
      </c>
      <c r="B8" s="82"/>
      <c r="C8" s="10"/>
      <c r="D8" s="862"/>
      <c r="E8" s="862" t="s">
        <v>258</v>
      </c>
      <c r="F8" s="864"/>
      <c r="G8" s="862" t="s">
        <v>528</v>
      </c>
      <c r="H8" s="864"/>
      <c r="I8" s="862" t="s">
        <v>529</v>
      </c>
      <c r="J8" s="862"/>
      <c r="K8" s="862" t="s">
        <v>530</v>
      </c>
      <c r="L8" s="486"/>
      <c r="M8" s="862" t="s">
        <v>528</v>
      </c>
      <c r="N8" s="862"/>
      <c r="O8" s="862" t="s">
        <v>531</v>
      </c>
      <c r="P8" s="862"/>
      <c r="Q8" s="862" t="s">
        <v>528</v>
      </c>
      <c r="R8" s="862"/>
      <c r="S8" s="862" t="s">
        <v>531</v>
      </c>
      <c r="T8" s="864"/>
      <c r="U8" s="862" t="s">
        <v>528</v>
      </c>
      <c r="V8" s="864"/>
      <c r="W8" s="862" t="s">
        <v>531</v>
      </c>
      <c r="X8" s="486"/>
      <c r="Y8" s="862" t="s">
        <v>532</v>
      </c>
    </row>
    <row r="9" spans="1:29">
      <c r="A9" s="88" t="s">
        <v>533</v>
      </c>
      <c r="B9" s="82"/>
      <c r="C9" s="10"/>
      <c r="D9" s="862"/>
      <c r="E9" s="862" t="s">
        <v>534</v>
      </c>
      <c r="F9" s="862"/>
      <c r="G9" s="862" t="s">
        <v>535</v>
      </c>
      <c r="H9" s="862"/>
      <c r="I9" s="862" t="s">
        <v>528</v>
      </c>
      <c r="J9" s="862"/>
      <c r="K9" s="862" t="s">
        <v>528</v>
      </c>
      <c r="L9" s="486"/>
      <c r="M9" s="862" t="s">
        <v>536</v>
      </c>
      <c r="N9" s="862"/>
      <c r="O9" s="862" t="s">
        <v>536</v>
      </c>
      <c r="P9" s="862"/>
      <c r="Q9" s="862" t="s">
        <v>537</v>
      </c>
      <c r="R9" s="862"/>
      <c r="S9" s="862" t="s">
        <v>538</v>
      </c>
      <c r="T9" s="864"/>
      <c r="U9" s="862" t="s">
        <v>539</v>
      </c>
      <c r="V9" s="864"/>
      <c r="W9" s="862" t="s">
        <v>538</v>
      </c>
      <c r="X9" s="486"/>
      <c r="Y9" s="862" t="s">
        <v>417</v>
      </c>
    </row>
    <row r="10" spans="1:29">
      <c r="B10" s="82"/>
      <c r="C10" s="10"/>
      <c r="D10" s="1291" t="s">
        <v>540</v>
      </c>
      <c r="E10" s="1292" t="s">
        <v>541</v>
      </c>
      <c r="F10" s="1292"/>
      <c r="G10" s="1292" t="s">
        <v>542</v>
      </c>
      <c r="H10" s="1292"/>
      <c r="I10" s="1292" t="s">
        <v>418</v>
      </c>
      <c r="J10" s="1292"/>
      <c r="K10" s="1292" t="s">
        <v>419</v>
      </c>
      <c r="L10" s="1291"/>
      <c r="M10" s="1292">
        <v>2025</v>
      </c>
      <c r="N10" s="1292"/>
      <c r="O10" s="1292">
        <v>2025</v>
      </c>
      <c r="P10" s="1292"/>
      <c r="Q10" s="1292">
        <v>2025</v>
      </c>
      <c r="R10" s="1292"/>
      <c r="S10" s="1292">
        <v>2025</v>
      </c>
      <c r="T10" s="862"/>
      <c r="U10" s="1292">
        <v>2025</v>
      </c>
      <c r="V10" s="862"/>
      <c r="W10" s="1292">
        <v>2026</v>
      </c>
      <c r="X10" s="486"/>
      <c r="Y10" s="1292" t="s">
        <v>418</v>
      </c>
      <c r="AA10" s="1815" t="s">
        <v>258</v>
      </c>
    </row>
    <row r="11" spans="1:29">
      <c r="A11" s="87">
        <v>1</v>
      </c>
      <c r="B11" s="82"/>
      <c r="C11" s="10">
        <v>182526</v>
      </c>
      <c r="D11" s="486" t="s">
        <v>543</v>
      </c>
      <c r="E11" s="2029">
        <v>2683502</v>
      </c>
      <c r="F11" s="2031"/>
      <c r="G11" s="1869">
        <v>45839</v>
      </c>
      <c r="H11" s="2031"/>
      <c r="I11" s="2055" t="s">
        <v>544</v>
      </c>
      <c r="J11" s="2031"/>
      <c r="K11" s="2030">
        <f>ROUND(E11/60,0)</f>
        <v>44725</v>
      </c>
      <c r="L11" s="2031"/>
      <c r="M11" s="2072">
        <v>0</v>
      </c>
      <c r="N11" s="2031"/>
      <c r="O11" s="2031">
        <f>E11-M11</f>
        <v>2683502</v>
      </c>
      <c r="P11" s="2031"/>
      <c r="Q11" s="2031">
        <v>0</v>
      </c>
      <c r="R11" s="2031"/>
      <c r="S11" s="2031">
        <f>O11-Q11</f>
        <v>2683502</v>
      </c>
      <c r="T11" s="2031"/>
      <c r="U11" s="2031">
        <f>ROUND(K11*12,0)</f>
        <v>536700</v>
      </c>
      <c r="V11" s="2031"/>
      <c r="W11" s="2031">
        <f>S11-U11</f>
        <v>2146802</v>
      </c>
      <c r="X11" s="2031"/>
      <c r="Y11" s="2048">
        <f>ROUND(AVERAGE(W11,S11),0)</f>
        <v>2415152</v>
      </c>
      <c r="Z11" s="2032"/>
      <c r="AA11" s="2032"/>
      <c r="AB11" s="2032"/>
      <c r="AC11" s="2032"/>
    </row>
    <row r="12" spans="1:29">
      <c r="A12" s="87">
        <v>2</v>
      </c>
      <c r="B12" s="82"/>
      <c r="C12" s="10"/>
      <c r="D12" s="486"/>
      <c r="E12" s="2031"/>
      <c r="F12" s="2031"/>
      <c r="G12" s="2071"/>
      <c r="H12" s="2031"/>
      <c r="I12" s="2031"/>
      <c r="J12" s="2031"/>
      <c r="K12" s="2031"/>
      <c r="L12" s="2031"/>
      <c r="M12" s="2073"/>
      <c r="N12" s="2031"/>
      <c r="O12" s="2031"/>
      <c r="P12" s="2031"/>
      <c r="Q12" s="2031"/>
      <c r="R12" s="2031"/>
      <c r="S12" s="2031"/>
      <c r="T12" s="2031"/>
      <c r="U12" s="2031"/>
      <c r="V12" s="2031"/>
      <c r="W12" s="2031"/>
      <c r="X12" s="2031"/>
      <c r="Y12" s="2032"/>
      <c r="Z12" s="2032"/>
      <c r="AA12" s="2032"/>
      <c r="AB12" s="2032"/>
      <c r="AC12" s="2032"/>
    </row>
    <row r="13" spans="1:29">
      <c r="A13" s="87">
        <v>3</v>
      </c>
      <c r="B13" s="82"/>
      <c r="C13" s="10">
        <v>182526</v>
      </c>
      <c r="D13" s="486" t="s">
        <v>543</v>
      </c>
      <c r="E13" s="2029">
        <v>1819460</v>
      </c>
      <c r="F13" s="2031"/>
      <c r="G13" s="1869">
        <v>45211</v>
      </c>
      <c r="H13" s="2031"/>
      <c r="I13" s="2055" t="s">
        <v>544</v>
      </c>
      <c r="J13" s="2031"/>
      <c r="K13" s="2030">
        <f>ROUND(E13/60,0)+0.33</f>
        <v>30324.33</v>
      </c>
      <c r="L13" s="2031"/>
      <c r="M13" s="2074">
        <v>503775</v>
      </c>
      <c r="N13" s="2031"/>
      <c r="O13" s="2031">
        <f>E13-M13</f>
        <v>1315685</v>
      </c>
      <c r="P13" s="2031"/>
      <c r="Q13" s="2031">
        <f>ROUND(4*K13,0)</f>
        <v>121297</v>
      </c>
      <c r="R13" s="2031"/>
      <c r="S13" s="2031">
        <f>O13-Q13</f>
        <v>1194388</v>
      </c>
      <c r="T13" s="2031"/>
      <c r="U13" s="2031">
        <f>ROUND(K13*12,0)</f>
        <v>363892</v>
      </c>
      <c r="V13" s="2031"/>
      <c r="W13" s="2031">
        <f>S13-U13</f>
        <v>830496</v>
      </c>
      <c r="X13" s="2031"/>
      <c r="Y13" s="2048">
        <f>ROUND(AVERAGE(W13,S13),0)</f>
        <v>1012442</v>
      </c>
      <c r="Z13" s="2032"/>
      <c r="AA13" s="2032">
        <f>Y11+Y13</f>
        <v>3427594</v>
      </c>
      <c r="AB13" s="2032"/>
      <c r="AC13" s="2032"/>
    </row>
    <row r="14" spans="1:29">
      <c r="A14" s="87">
        <v>4</v>
      </c>
      <c r="B14" s="82"/>
      <c r="C14" s="10"/>
      <c r="D14" s="486"/>
      <c r="E14" s="2031"/>
      <c r="F14" s="2031"/>
      <c r="G14" s="2071"/>
      <c r="H14" s="2031"/>
      <c r="I14" s="2031"/>
      <c r="J14" s="2031"/>
      <c r="K14" s="2031"/>
      <c r="L14" s="2031"/>
      <c r="M14" s="2073"/>
      <c r="N14" s="2031"/>
      <c r="O14" s="2031"/>
      <c r="P14" s="2031"/>
      <c r="Q14" s="2031"/>
      <c r="R14" s="2031"/>
      <c r="S14" s="2031"/>
      <c r="T14" s="2031"/>
      <c r="U14" s="2031"/>
      <c r="V14" s="2031"/>
      <c r="W14" s="2031"/>
      <c r="X14" s="2031"/>
      <c r="Y14" s="2032"/>
      <c r="Z14" s="2032"/>
      <c r="AA14" s="2032"/>
      <c r="AB14" s="2032"/>
      <c r="AC14" s="2032"/>
    </row>
    <row r="15" spans="1:29">
      <c r="A15" s="87">
        <v>5</v>
      </c>
      <c r="B15" s="82"/>
      <c r="C15" s="10">
        <v>182527</v>
      </c>
      <c r="D15" s="486" t="s">
        <v>545</v>
      </c>
      <c r="E15" s="2029">
        <v>3724501</v>
      </c>
      <c r="F15" s="2031"/>
      <c r="G15" s="1869">
        <v>45839</v>
      </c>
      <c r="H15" s="2031"/>
      <c r="I15" s="2055" t="s">
        <v>544</v>
      </c>
      <c r="J15" s="2031"/>
      <c r="K15" s="2030">
        <f>ROUND(E15/60,0)</f>
        <v>62075</v>
      </c>
      <c r="L15" s="2031"/>
      <c r="M15" s="2072">
        <v>0</v>
      </c>
      <c r="N15" s="2031"/>
      <c r="O15" s="2031">
        <f>E15-M15</f>
        <v>3724501</v>
      </c>
      <c r="P15" s="2031"/>
      <c r="Q15" s="2031">
        <v>0</v>
      </c>
      <c r="R15" s="2031"/>
      <c r="S15" s="2031">
        <f>O15-Q15</f>
        <v>3724501</v>
      </c>
      <c r="T15" s="2031"/>
      <c r="U15" s="2031">
        <f>K15*12</f>
        <v>744900</v>
      </c>
      <c r="V15" s="2031"/>
      <c r="W15" s="2031">
        <f>S15-U15</f>
        <v>2979601</v>
      </c>
      <c r="X15" s="2031"/>
      <c r="Y15" s="2048">
        <f>ROUND(AVERAGE(W15,S15),0)</f>
        <v>3352051</v>
      </c>
      <c r="Z15" s="2032"/>
      <c r="AA15" s="2032"/>
      <c r="AB15" s="2032"/>
      <c r="AC15" s="2032"/>
    </row>
    <row r="16" spans="1:29">
      <c r="A16" s="87">
        <v>6</v>
      </c>
      <c r="B16" s="82"/>
      <c r="C16" s="10"/>
      <c r="D16" s="486"/>
      <c r="E16" s="2031"/>
      <c r="F16" s="2031"/>
      <c r="G16" s="2071"/>
      <c r="H16" s="2031"/>
      <c r="I16" s="2031"/>
      <c r="J16" s="2031"/>
      <c r="K16" s="2031"/>
      <c r="L16" s="2031"/>
      <c r="M16" s="2073"/>
      <c r="N16" s="2031"/>
      <c r="O16" s="2031"/>
      <c r="P16" s="2031"/>
      <c r="Q16" s="2031"/>
      <c r="R16" s="2031"/>
      <c r="S16" s="2031"/>
      <c r="T16" s="2031"/>
      <c r="U16" s="2031"/>
      <c r="V16" s="2031"/>
      <c r="W16" s="2031"/>
      <c r="X16" s="2031"/>
      <c r="Y16" s="2032"/>
      <c r="Z16" s="2032"/>
      <c r="AA16" s="2032"/>
      <c r="AB16" s="2032"/>
      <c r="AC16" s="2032"/>
    </row>
    <row r="17" spans="1:29">
      <c r="A17" s="87">
        <v>7</v>
      </c>
      <c r="B17" s="82"/>
      <c r="C17" s="10">
        <v>182527</v>
      </c>
      <c r="D17" s="486" t="s">
        <v>545</v>
      </c>
      <c r="E17" s="2029">
        <v>8309265</v>
      </c>
      <c r="F17" s="2031"/>
      <c r="G17" s="1869">
        <v>45211</v>
      </c>
      <c r="H17" s="2031"/>
      <c r="I17" s="2055" t="s">
        <v>544</v>
      </c>
      <c r="J17" s="2031"/>
      <c r="K17" s="2030">
        <f>ROUND(E17/60,0)</f>
        <v>138488</v>
      </c>
      <c r="L17" s="2031"/>
      <c r="M17" s="2074">
        <v>2300683</v>
      </c>
      <c r="N17" s="2031"/>
      <c r="O17" s="2031">
        <f>E17-M17</f>
        <v>6008582</v>
      </c>
      <c r="P17" s="2031"/>
      <c r="Q17" s="2031">
        <f>4*K17</f>
        <v>553952</v>
      </c>
      <c r="R17" s="2031"/>
      <c r="S17" s="2031">
        <f>O17-Q17</f>
        <v>5454630</v>
      </c>
      <c r="T17" s="2031"/>
      <c r="U17" s="2031">
        <f>K17*12</f>
        <v>1661856</v>
      </c>
      <c r="V17" s="2031"/>
      <c r="W17" s="2031">
        <f>S17-U17</f>
        <v>3792774</v>
      </c>
      <c r="X17" s="2031"/>
      <c r="Y17" s="2048">
        <f>ROUND(AVERAGE(W17,S17),0)</f>
        <v>4623702</v>
      </c>
      <c r="Z17" s="2032"/>
      <c r="AA17" s="2032">
        <f>Y15+Y17</f>
        <v>7975753</v>
      </c>
      <c r="AB17" s="2032"/>
      <c r="AC17" s="2032"/>
    </row>
    <row r="18" spans="1:29">
      <c r="A18" s="87">
        <v>8</v>
      </c>
      <c r="B18" s="82"/>
      <c r="C18" s="10"/>
      <c r="D18" s="486"/>
      <c r="E18" s="2031"/>
      <c r="F18" s="2031"/>
      <c r="G18" s="2071"/>
      <c r="H18" s="2031"/>
      <c r="I18" s="2031"/>
      <c r="J18" s="2031"/>
      <c r="K18" s="2031"/>
      <c r="L18" s="2031"/>
      <c r="M18" s="2073"/>
      <c r="N18" s="2031"/>
      <c r="O18" s="2031"/>
      <c r="P18" s="2031"/>
      <c r="Q18" s="2031"/>
      <c r="R18" s="2031"/>
      <c r="S18" s="2031"/>
      <c r="T18" s="2031"/>
      <c r="U18" s="2031"/>
      <c r="V18" s="2031"/>
      <c r="W18" s="2031"/>
      <c r="X18" s="2031"/>
      <c r="Y18" s="2032"/>
      <c r="Z18" s="2032"/>
      <c r="AA18" s="2032"/>
      <c r="AB18" s="2032"/>
      <c r="AC18" s="2032"/>
    </row>
    <row r="19" spans="1:29">
      <c r="A19" s="87">
        <v>9</v>
      </c>
      <c r="B19" s="82"/>
      <c r="C19" s="10">
        <v>182366</v>
      </c>
      <c r="D19" s="967" t="s">
        <v>546</v>
      </c>
      <c r="E19" s="2029">
        <v>2000000</v>
      </c>
      <c r="F19" s="2057"/>
      <c r="G19" s="2033" t="s">
        <v>547</v>
      </c>
      <c r="H19" s="2057"/>
      <c r="I19" s="2055" t="s">
        <v>548</v>
      </c>
      <c r="J19" s="2055"/>
      <c r="K19" s="2034">
        <f>ROUND(E19/120,0)</f>
        <v>16667</v>
      </c>
      <c r="L19" s="2031"/>
      <c r="M19" s="2072">
        <v>1366679</v>
      </c>
      <c r="N19" s="2031"/>
      <c r="O19" s="2031">
        <f>E19-M19</f>
        <v>633321</v>
      </c>
      <c r="P19" s="2031"/>
      <c r="Q19" s="2031">
        <f>4*K19</f>
        <v>66668</v>
      </c>
      <c r="R19" s="2031"/>
      <c r="S19" s="2031">
        <f>O19-Q19</f>
        <v>566653</v>
      </c>
      <c r="T19" s="2031"/>
      <c r="U19" s="2031">
        <f>K19*12</f>
        <v>200004</v>
      </c>
      <c r="V19" s="2031"/>
      <c r="W19" s="2031">
        <f>S19-U19</f>
        <v>366649</v>
      </c>
      <c r="X19" s="2059"/>
      <c r="Y19" s="2048">
        <f>ROUND(AVERAGE(W19,S19),0)</f>
        <v>466651</v>
      </c>
      <c r="Z19" s="2032"/>
      <c r="AA19" s="2032">
        <f>Y19</f>
        <v>466651</v>
      </c>
      <c r="AB19" s="2032"/>
      <c r="AC19" s="2032"/>
    </row>
    <row r="20" spans="1:29">
      <c r="A20" s="87">
        <v>10</v>
      </c>
      <c r="B20" s="82"/>
      <c r="C20" s="10"/>
      <c r="D20" s="486"/>
      <c r="E20" s="2029"/>
      <c r="F20" s="2031"/>
      <c r="G20" s="2033"/>
      <c r="H20" s="2031"/>
      <c r="I20" s="2055"/>
      <c r="J20" s="2055"/>
      <c r="K20" s="2034"/>
      <c r="L20" s="2031"/>
      <c r="M20" s="2072"/>
      <c r="N20" s="2031"/>
      <c r="O20" s="2060"/>
      <c r="P20" s="2060"/>
      <c r="Q20" s="2060"/>
      <c r="R20" s="2060"/>
      <c r="S20" s="2060"/>
      <c r="T20" s="2060"/>
      <c r="U20" s="2055"/>
      <c r="V20" s="2060"/>
      <c r="W20" s="2031"/>
      <c r="X20" s="2031"/>
      <c r="Y20" s="2032"/>
      <c r="Z20" s="2032"/>
      <c r="AA20" s="2032"/>
      <c r="AB20" s="2032"/>
      <c r="AC20" s="2032"/>
    </row>
    <row r="21" spans="1:29">
      <c r="A21" s="87">
        <v>11</v>
      </c>
      <c r="B21" s="82"/>
      <c r="C21" s="10" t="s">
        <v>382</v>
      </c>
      <c r="D21" s="486" t="s">
        <v>549</v>
      </c>
      <c r="E21" s="2029">
        <v>880333</v>
      </c>
      <c r="F21" s="2031"/>
      <c r="G21" s="1869">
        <v>45839</v>
      </c>
      <c r="H21" s="2031"/>
      <c r="I21" s="2055" t="s">
        <v>544</v>
      </c>
      <c r="J21" s="2055"/>
      <c r="K21" s="2030">
        <f>ROUND(E21/60,0)</f>
        <v>14672</v>
      </c>
      <c r="L21" s="2031"/>
      <c r="M21" s="2072">
        <v>0</v>
      </c>
      <c r="N21" s="2031"/>
      <c r="O21" s="2031">
        <f>E21-M21</f>
        <v>880333</v>
      </c>
      <c r="P21" s="2060"/>
      <c r="Q21" s="2031">
        <f>4*K21</f>
        <v>58688</v>
      </c>
      <c r="R21" s="2060"/>
      <c r="S21" s="2031">
        <f>O21-Q21</f>
        <v>821645</v>
      </c>
      <c r="T21" s="2060"/>
      <c r="U21" s="2031">
        <f>K21*12</f>
        <v>176064</v>
      </c>
      <c r="V21" s="2060"/>
      <c r="W21" s="2031">
        <f>S21-U21</f>
        <v>645581</v>
      </c>
      <c r="X21" s="2031"/>
      <c r="Y21" s="2048">
        <f>ROUND(AVERAGE(W21,S21),0)</f>
        <v>733613</v>
      </c>
      <c r="Z21" s="2032"/>
      <c r="AA21" s="2032">
        <f>Y21</f>
        <v>733613</v>
      </c>
      <c r="AB21" s="2032"/>
      <c r="AC21" s="2032"/>
    </row>
    <row r="22" spans="1:29">
      <c r="A22" s="87">
        <v>12</v>
      </c>
      <c r="B22" s="82"/>
      <c r="C22" s="10"/>
      <c r="D22" s="486"/>
      <c r="E22" s="2029"/>
      <c r="F22" s="2031"/>
      <c r="G22" s="2033"/>
      <c r="H22" s="2031"/>
      <c r="I22" s="2055"/>
      <c r="J22" s="2055"/>
      <c r="K22" s="2034"/>
      <c r="L22" s="2031"/>
      <c r="M22" s="2072"/>
      <c r="N22" s="2031"/>
      <c r="O22" s="2060"/>
      <c r="P22" s="2060"/>
      <c r="Q22" s="2060"/>
      <c r="R22" s="2060"/>
      <c r="S22" s="2060"/>
      <c r="T22" s="2060"/>
      <c r="U22" s="2055"/>
      <c r="V22" s="2060"/>
      <c r="W22" s="2031"/>
      <c r="X22" s="2031"/>
      <c r="Y22" s="2032"/>
      <c r="Z22" s="2032"/>
      <c r="AA22" s="2032"/>
      <c r="AB22" s="2032"/>
      <c r="AC22" s="2032"/>
    </row>
    <row r="23" spans="1:29">
      <c r="A23" s="87">
        <v>13</v>
      </c>
      <c r="B23" s="82"/>
      <c r="C23" s="10">
        <v>186113</v>
      </c>
      <c r="D23" s="861" t="s">
        <v>550</v>
      </c>
      <c r="E23" s="2029">
        <v>105215</v>
      </c>
      <c r="F23" s="2060"/>
      <c r="G23" s="2033">
        <v>45211</v>
      </c>
      <c r="H23" s="2069"/>
      <c r="I23" s="2055" t="s">
        <v>544</v>
      </c>
      <c r="J23" s="2055"/>
      <c r="K23" s="2034">
        <f>ROUND(E23/60,0)-0.42</f>
        <v>1753.58</v>
      </c>
      <c r="L23" s="2061"/>
      <c r="M23" s="2072">
        <v>29132</v>
      </c>
      <c r="N23" s="2061"/>
      <c r="O23" s="2031">
        <f>E23-M23</f>
        <v>76083</v>
      </c>
      <c r="P23" s="2031"/>
      <c r="Q23" s="2031">
        <f>4*K23</f>
        <v>7014.32</v>
      </c>
      <c r="R23" s="2031"/>
      <c r="S23" s="2031">
        <f>O23-Q23</f>
        <v>69068.679999999993</v>
      </c>
      <c r="T23" s="2031"/>
      <c r="U23" s="2031">
        <f>K23*12</f>
        <v>21042.959999999999</v>
      </c>
      <c r="V23" s="2031"/>
      <c r="W23" s="2031">
        <f>S23-U23</f>
        <v>48025.719999999994</v>
      </c>
      <c r="X23" s="2031"/>
      <c r="Y23" s="2048">
        <f>ROUND(AVERAGE(W23,S23),0)</f>
        <v>58547</v>
      </c>
      <c r="Z23" s="2032"/>
      <c r="AA23" s="2032">
        <f>Y23</f>
        <v>58547</v>
      </c>
      <c r="AB23" s="2032"/>
      <c r="AC23" s="2032"/>
    </row>
    <row r="24" spans="1:29">
      <c r="A24" s="87">
        <v>14</v>
      </c>
      <c r="B24" s="82"/>
      <c r="C24" s="10"/>
      <c r="D24" s="486"/>
      <c r="E24" s="2029"/>
      <c r="F24" s="2031"/>
      <c r="G24" s="2033"/>
      <c r="H24" s="2031"/>
      <c r="I24" s="2060"/>
      <c r="J24" s="2060"/>
      <c r="K24" s="2035"/>
      <c r="L24" s="2031"/>
      <c r="M24" s="2072"/>
      <c r="N24" s="2031"/>
      <c r="O24" s="2060"/>
      <c r="P24" s="2060"/>
      <c r="Q24" s="2060"/>
      <c r="R24" s="2060"/>
      <c r="S24" s="2060"/>
      <c r="T24" s="2060"/>
      <c r="U24" s="2055"/>
      <c r="V24" s="2060"/>
      <c r="W24" s="2031"/>
      <c r="X24" s="2031"/>
      <c r="Y24" s="2032"/>
      <c r="Z24" s="2032"/>
      <c r="AA24" s="2032"/>
      <c r="AB24" s="2032"/>
      <c r="AC24" s="2032"/>
    </row>
    <row r="25" spans="1:29">
      <c r="A25" s="87">
        <v>15</v>
      </c>
      <c r="B25" s="82"/>
      <c r="C25" s="10">
        <v>186107</v>
      </c>
      <c r="D25" s="2036" t="s">
        <v>551</v>
      </c>
      <c r="E25" s="2037">
        <v>788066</v>
      </c>
      <c r="F25" s="2068"/>
      <c r="G25" s="2038">
        <v>45211</v>
      </c>
      <c r="H25" s="2068"/>
      <c r="I25" s="2062" t="s">
        <v>544</v>
      </c>
      <c r="J25" s="2062"/>
      <c r="K25" s="2039">
        <f>ROUND(E25/60,0)+0.43</f>
        <v>13134.43</v>
      </c>
      <c r="L25" s="2068"/>
      <c r="M25" s="2075">
        <v>218201</v>
      </c>
      <c r="N25" s="2068"/>
      <c r="O25" s="2040">
        <f>E25-M25</f>
        <v>569865</v>
      </c>
      <c r="P25" s="2040"/>
      <c r="Q25" s="2040">
        <f>4*K25</f>
        <v>52537.72</v>
      </c>
      <c r="R25" s="2040"/>
      <c r="S25" s="2040">
        <f>O25-Q25</f>
        <v>517327.28</v>
      </c>
      <c r="T25" s="2068"/>
      <c r="U25" s="2040">
        <f>K25*12</f>
        <v>157613.16</v>
      </c>
      <c r="V25" s="2068"/>
      <c r="W25" s="2040">
        <f>S25-U25</f>
        <v>359714.12</v>
      </c>
      <c r="X25" s="2068"/>
      <c r="Y25" s="2041">
        <f>ROUND(AVERAGE(W25,S25),0)</f>
        <v>438521</v>
      </c>
      <c r="Z25" s="2042"/>
      <c r="AA25" s="2042">
        <f>Y25</f>
        <v>438521</v>
      </c>
      <c r="AB25" s="2032"/>
      <c r="AC25" s="2032"/>
    </row>
    <row r="26" spans="1:29">
      <c r="A26" s="87">
        <v>16</v>
      </c>
      <c r="B26" s="82"/>
      <c r="C26" s="10"/>
      <c r="D26" s="861"/>
      <c r="E26" s="2029"/>
      <c r="F26" s="2069"/>
      <c r="G26" s="2058"/>
      <c r="H26" s="2069"/>
      <c r="I26" s="2055"/>
      <c r="J26" s="2055"/>
      <c r="K26" s="2034"/>
      <c r="L26" s="2069"/>
      <c r="M26" s="2056"/>
      <c r="N26" s="2069"/>
      <c r="O26" s="2031"/>
      <c r="P26" s="2031"/>
      <c r="Q26" s="2031"/>
      <c r="R26" s="2031"/>
      <c r="S26" s="2031"/>
      <c r="T26" s="2069"/>
      <c r="U26" s="2031"/>
      <c r="V26" s="2069"/>
      <c r="W26" s="2031"/>
      <c r="X26" s="2069"/>
      <c r="Y26" s="2048"/>
      <c r="Z26" s="2032"/>
      <c r="AA26" s="2032"/>
      <c r="AB26" s="2032"/>
      <c r="AC26" s="2032"/>
    </row>
    <row r="27" spans="1:29" ht="13.8" thickBot="1">
      <c r="A27" s="87">
        <v>17</v>
      </c>
      <c r="B27" s="82"/>
      <c r="C27" s="10"/>
      <c r="D27" s="861"/>
      <c r="E27" s="2031"/>
      <c r="F27" s="2031"/>
      <c r="G27" s="2031"/>
      <c r="H27" s="2031"/>
      <c r="I27" s="2031"/>
      <c r="J27" s="2031"/>
      <c r="K27" s="2031"/>
      <c r="L27" s="2031"/>
      <c r="M27" s="2031"/>
      <c r="N27" s="2031"/>
      <c r="O27" s="2043">
        <f>SUM(O11:O25)</f>
        <v>15891872</v>
      </c>
      <c r="P27" s="2031"/>
      <c r="Q27" s="2031"/>
      <c r="R27" s="2031"/>
      <c r="S27" s="2031"/>
      <c r="T27" s="2031"/>
      <c r="U27" s="2031"/>
      <c r="V27" s="2031"/>
      <c r="W27" s="2060"/>
      <c r="X27" s="2031"/>
      <c r="Y27" s="2032"/>
      <c r="Z27" s="2032"/>
      <c r="AA27" s="2044">
        <f>SUM(Y11:Y25)</f>
        <v>13100679</v>
      </c>
      <c r="AB27" s="2032"/>
      <c r="AC27" s="2032"/>
    </row>
    <row r="28" spans="1:29" ht="13.8" thickTop="1">
      <c r="A28" s="87">
        <v>18</v>
      </c>
      <c r="B28" s="82"/>
      <c r="C28" s="1411"/>
      <c r="D28" s="82"/>
      <c r="E28" s="2067"/>
      <c r="F28" s="2066"/>
      <c r="G28" s="2067"/>
      <c r="H28" s="2032"/>
      <c r="I28" s="2032"/>
      <c r="J28" s="2032"/>
      <c r="K28" s="2032"/>
      <c r="L28" s="2032"/>
      <c r="M28" s="2032"/>
      <c r="N28" s="2032"/>
      <c r="O28" s="126" t="s">
        <v>552</v>
      </c>
      <c r="P28" s="2032"/>
      <c r="Q28" s="2032"/>
      <c r="R28" s="2032"/>
      <c r="S28" s="2032"/>
      <c r="T28" s="2032"/>
      <c r="U28" s="2032"/>
      <c r="V28" s="2032"/>
      <c r="W28" s="2032"/>
      <c r="X28" s="2032"/>
      <c r="Y28" s="2032"/>
      <c r="Z28" s="2032"/>
      <c r="AA28" s="126" t="s">
        <v>552</v>
      </c>
      <c r="AB28" s="2032"/>
      <c r="AC28" s="2032"/>
    </row>
    <row r="29" spans="1:29">
      <c r="A29" s="87">
        <v>19</v>
      </c>
      <c r="B29" s="82"/>
      <c r="C29" s="82"/>
      <c r="D29" s="82"/>
      <c r="E29" s="2067"/>
      <c r="F29" s="2066"/>
      <c r="G29" s="2067"/>
      <c r="H29" s="2032"/>
      <c r="I29" s="2032"/>
      <c r="J29" s="2032"/>
      <c r="K29" s="2032"/>
      <c r="L29" s="2032"/>
      <c r="M29" s="2032"/>
      <c r="N29" s="2032"/>
      <c r="O29" s="106" t="s">
        <v>553</v>
      </c>
      <c r="P29" s="2032"/>
      <c r="Q29" s="2032"/>
      <c r="R29" s="2032"/>
      <c r="S29" s="2032"/>
      <c r="T29" s="2032"/>
      <c r="U29" s="2032"/>
      <c r="V29" s="2032"/>
      <c r="W29" s="2032"/>
      <c r="X29" s="2032"/>
      <c r="Y29" s="2032"/>
      <c r="Z29" s="2032"/>
      <c r="AA29" s="106" t="s">
        <v>553</v>
      </c>
      <c r="AB29" s="2032"/>
      <c r="AC29" s="2032"/>
    </row>
    <row r="30" spans="1:29">
      <c r="A30" s="87">
        <v>20</v>
      </c>
      <c r="B30" s="82"/>
      <c r="C30" s="82"/>
      <c r="D30" s="82"/>
      <c r="E30" s="2067"/>
      <c r="F30" s="2066"/>
      <c r="G30" s="2067"/>
      <c r="H30" s="2032"/>
      <c r="I30" s="2032"/>
      <c r="J30" s="2032"/>
      <c r="K30" s="2032"/>
      <c r="L30" s="2032"/>
      <c r="M30" s="2032"/>
      <c r="N30" s="2032"/>
      <c r="O30" s="106" t="s">
        <v>554</v>
      </c>
      <c r="P30" s="2032"/>
      <c r="Q30" s="2032"/>
      <c r="R30" s="2032"/>
      <c r="S30" s="2032"/>
      <c r="T30" s="2032"/>
      <c r="U30" s="2032"/>
      <c r="V30" s="2032"/>
      <c r="W30" s="2032"/>
      <c r="X30" s="2032"/>
      <c r="Y30" s="2032"/>
      <c r="Z30" s="2032"/>
      <c r="AA30" s="106" t="s">
        <v>554</v>
      </c>
      <c r="AB30" s="2032"/>
      <c r="AC30" s="2032"/>
    </row>
    <row r="31" spans="1:29">
      <c r="A31" s="87">
        <v>21</v>
      </c>
      <c r="B31" s="82"/>
      <c r="C31" s="82"/>
      <c r="D31" s="82"/>
      <c r="E31" s="2067"/>
      <c r="F31" s="2066"/>
      <c r="G31" s="2067"/>
      <c r="H31" s="2032"/>
      <c r="I31" s="2032"/>
      <c r="J31" s="2032"/>
      <c r="K31" s="2032"/>
      <c r="L31" s="2032"/>
      <c r="M31" s="2032"/>
      <c r="N31" s="2032"/>
      <c r="O31" s="106"/>
      <c r="P31" s="2032"/>
      <c r="Q31" s="2032"/>
      <c r="R31" s="2032"/>
      <c r="S31" s="2032"/>
      <c r="T31" s="2032"/>
      <c r="U31" s="2032"/>
      <c r="V31" s="2032"/>
      <c r="W31" s="2032"/>
      <c r="X31" s="2032"/>
      <c r="Y31" s="2032"/>
      <c r="Z31" s="2032"/>
      <c r="AA31" s="106"/>
      <c r="AB31" s="2032"/>
      <c r="AC31" s="2032"/>
    </row>
    <row r="32" spans="1:29">
      <c r="A32" s="87">
        <v>22</v>
      </c>
      <c r="B32" s="82"/>
      <c r="C32" s="83"/>
      <c r="D32" s="82"/>
      <c r="E32" s="2066"/>
      <c r="F32" s="2066"/>
      <c r="G32" s="2066"/>
      <c r="H32" s="2032"/>
      <c r="I32" s="2032"/>
      <c r="J32" s="2032"/>
      <c r="K32" s="2032"/>
      <c r="L32" s="2032"/>
      <c r="M32" s="2032"/>
      <c r="N32" s="2032"/>
      <c r="O32" s="2032"/>
      <c r="P32" s="2032"/>
      <c r="Q32" s="2032"/>
      <c r="R32" s="2032"/>
      <c r="S32" s="2032"/>
      <c r="T32" s="2032"/>
      <c r="U32" s="2032"/>
      <c r="V32" s="2032"/>
      <c r="W32" s="2032"/>
      <c r="X32" s="2032"/>
      <c r="Y32" s="2032"/>
      <c r="Z32" s="2032"/>
      <c r="AA32" s="2032"/>
      <c r="AB32" s="2032"/>
      <c r="AC32" s="2032"/>
    </row>
    <row r="33" spans="1:29">
      <c r="A33" s="87">
        <v>23</v>
      </c>
      <c r="B33" s="82"/>
      <c r="C33" s="82"/>
      <c r="D33" s="10" t="s">
        <v>542</v>
      </c>
      <c r="E33" s="862">
        <v>182526</v>
      </c>
      <c r="F33" s="862"/>
      <c r="G33" s="862">
        <v>182526</v>
      </c>
      <c r="H33" s="862"/>
      <c r="I33" s="862">
        <v>182527</v>
      </c>
      <c r="J33" s="862"/>
      <c r="K33" s="862">
        <v>182527</v>
      </c>
      <c r="L33" s="10"/>
      <c r="M33" s="862">
        <v>182366</v>
      </c>
      <c r="N33" s="2070"/>
      <c r="O33" s="862">
        <v>182366</v>
      </c>
      <c r="P33" s="10"/>
      <c r="Q33" s="10" t="s">
        <v>555</v>
      </c>
      <c r="R33" s="10"/>
      <c r="S33" s="10" t="s">
        <v>555</v>
      </c>
      <c r="T33" s="10"/>
      <c r="U33" s="862">
        <v>186113</v>
      </c>
      <c r="V33" s="862"/>
      <c r="W33" s="862">
        <v>186113</v>
      </c>
      <c r="X33" s="10"/>
      <c r="Y33" s="862">
        <v>186107</v>
      </c>
      <c r="Z33" s="862"/>
      <c r="AA33" s="862">
        <v>186107</v>
      </c>
      <c r="AB33" s="2032"/>
      <c r="AC33" s="2032"/>
    </row>
    <row r="34" spans="1:29">
      <c r="A34" s="87">
        <v>24</v>
      </c>
      <c r="B34" s="82"/>
      <c r="C34" s="83"/>
      <c r="D34" s="2046"/>
      <c r="E34" s="2063" t="s">
        <v>556</v>
      </c>
      <c r="F34" s="2063"/>
      <c r="G34" s="2063" t="s">
        <v>528</v>
      </c>
      <c r="H34" s="2063"/>
      <c r="I34" s="2063" t="s">
        <v>556</v>
      </c>
      <c r="J34" s="2063"/>
      <c r="K34" s="2063" t="s">
        <v>528</v>
      </c>
      <c r="L34" s="2032"/>
      <c r="M34" s="2063" t="s">
        <v>556</v>
      </c>
      <c r="N34" s="2064"/>
      <c r="O34" s="2063" t="s">
        <v>528</v>
      </c>
      <c r="P34" s="2032"/>
      <c r="Q34" s="2063" t="s">
        <v>556</v>
      </c>
      <c r="R34" s="2063"/>
      <c r="S34" s="2063" t="s">
        <v>528</v>
      </c>
      <c r="T34" s="2032"/>
      <c r="U34" s="2063" t="s">
        <v>556</v>
      </c>
      <c r="V34" s="2063"/>
      <c r="W34" s="2063" t="s">
        <v>528</v>
      </c>
      <c r="X34" s="2032"/>
      <c r="Y34" s="2063" t="s">
        <v>556</v>
      </c>
      <c r="Z34" s="2063"/>
      <c r="AA34" s="2063" t="s">
        <v>528</v>
      </c>
      <c r="AB34" s="2032"/>
      <c r="AC34" s="2065" t="s">
        <v>258</v>
      </c>
    </row>
    <row r="35" spans="1:29">
      <c r="A35" s="87">
        <v>25</v>
      </c>
      <c r="B35" s="82"/>
      <c r="C35" s="82"/>
      <c r="D35" s="2047" t="s">
        <v>557</v>
      </c>
      <c r="E35" s="2048">
        <f>O11+O13</f>
        <v>3999187</v>
      </c>
      <c r="F35" s="2049"/>
      <c r="G35" s="2049"/>
      <c r="H35" s="2049"/>
      <c r="I35" s="2048">
        <f>O15+O17</f>
        <v>9733083</v>
      </c>
      <c r="J35" s="2049"/>
      <c r="K35" s="2049"/>
      <c r="M35" s="2050">
        <f>O19</f>
        <v>633321</v>
      </c>
      <c r="N35" s="2049"/>
      <c r="O35" s="2049"/>
      <c r="Q35" s="2048">
        <f>O21</f>
        <v>880333</v>
      </c>
      <c r="R35" s="2049"/>
      <c r="S35" s="2049"/>
      <c r="U35" s="2048">
        <f>O23</f>
        <v>76083</v>
      </c>
      <c r="V35" s="2049"/>
      <c r="W35" s="2049"/>
      <c r="Y35" s="2048">
        <f>O25</f>
        <v>569865</v>
      </c>
      <c r="Z35" s="2049"/>
      <c r="AA35" s="2049"/>
    </row>
    <row r="36" spans="1:29">
      <c r="A36" s="87">
        <v>26</v>
      </c>
      <c r="B36" s="82"/>
      <c r="C36" s="93"/>
      <c r="D36" s="2047" t="s">
        <v>558</v>
      </c>
      <c r="E36" s="2049">
        <f>E35-G36</f>
        <v>3968862.67</v>
      </c>
      <c r="F36" s="2049"/>
      <c r="G36" s="2048">
        <f>$K$13</f>
        <v>30324.33</v>
      </c>
      <c r="H36" s="2049"/>
      <c r="I36" s="2049">
        <f>I35-K36</f>
        <v>9594595</v>
      </c>
      <c r="J36" s="2049"/>
      <c r="K36" s="2048">
        <f>$K$17</f>
        <v>138488</v>
      </c>
      <c r="M36" s="2049">
        <f>M35-O36</f>
        <v>616654</v>
      </c>
      <c r="N36" s="2049"/>
      <c r="O36" s="2050">
        <f>$K$19</f>
        <v>16667</v>
      </c>
      <c r="Q36" s="2049">
        <f>Q35-S36</f>
        <v>865661</v>
      </c>
      <c r="R36" s="2049"/>
      <c r="S36" s="2048">
        <f>$K$21</f>
        <v>14672</v>
      </c>
      <c r="U36" s="2049">
        <f>U35-W36</f>
        <v>74329.42</v>
      </c>
      <c r="V36" s="2049"/>
      <c r="W36" s="2048">
        <f>$K$23</f>
        <v>1753.58</v>
      </c>
      <c r="Y36" s="2049">
        <f>Y35-AA36</f>
        <v>556730.56999999995</v>
      </c>
      <c r="Z36" s="2049"/>
      <c r="AA36" s="2049">
        <f>$K$25</f>
        <v>13134.43</v>
      </c>
    </row>
    <row r="37" spans="1:29">
      <c r="A37" s="87">
        <v>27</v>
      </c>
      <c r="B37" s="82"/>
      <c r="C37" s="93"/>
      <c r="D37" s="2047" t="s">
        <v>559</v>
      </c>
      <c r="E37" s="2049">
        <f t="shared" ref="E37:E51" si="0">E36-G37</f>
        <v>3938538.34</v>
      </c>
      <c r="F37" s="2049"/>
      <c r="G37" s="2049">
        <f t="shared" ref="G37:G39" si="1">$K$13</f>
        <v>30324.33</v>
      </c>
      <c r="H37" s="2049"/>
      <c r="I37" s="2049">
        <f t="shared" ref="I37:I51" si="2">I36-K37</f>
        <v>9456107</v>
      </c>
      <c r="J37" s="2049"/>
      <c r="K37" s="2049">
        <f t="shared" ref="K37:K39" si="3">$K$17</f>
        <v>138488</v>
      </c>
      <c r="M37" s="2049">
        <f t="shared" ref="M37:M51" si="4">M36-O37</f>
        <v>599987</v>
      </c>
      <c r="N37" s="2049"/>
      <c r="O37" s="1294">
        <f t="shared" ref="O37:O51" si="5">$K$19</f>
        <v>16667</v>
      </c>
      <c r="Q37" s="2049">
        <f t="shared" ref="Q37:Q51" si="6">Q36-S37</f>
        <v>850989</v>
      </c>
      <c r="R37" s="2049"/>
      <c r="S37" s="2049">
        <f t="shared" ref="S37:S51" si="7">$K$21</f>
        <v>14672</v>
      </c>
      <c r="U37" s="2049">
        <f t="shared" ref="U37:U51" si="8">U36-W37</f>
        <v>72575.839999999997</v>
      </c>
      <c r="V37" s="2049"/>
      <c r="W37" s="1294">
        <f t="shared" ref="W37:W51" si="9">$K$23</f>
        <v>1753.58</v>
      </c>
      <c r="Y37" s="2049">
        <f t="shared" ref="Y37:Y51" si="10">Y36-AA37</f>
        <v>543596.1399999999</v>
      </c>
      <c r="Z37" s="2049"/>
      <c r="AA37" s="2049">
        <f t="shared" ref="AA37:AA51" si="11">$K$25</f>
        <v>13134.43</v>
      </c>
    </row>
    <row r="38" spans="1:29">
      <c r="A38" s="87">
        <v>28</v>
      </c>
      <c r="D38" s="2047" t="s">
        <v>560</v>
      </c>
      <c r="E38" s="2049">
        <f t="shared" si="0"/>
        <v>3908214.01</v>
      </c>
      <c r="F38" s="2049"/>
      <c r="G38" s="2049">
        <f t="shared" si="1"/>
        <v>30324.33</v>
      </c>
      <c r="H38" s="2049"/>
      <c r="I38" s="2049">
        <f t="shared" si="2"/>
        <v>9317619</v>
      </c>
      <c r="J38" s="2049"/>
      <c r="K38" s="2049">
        <f t="shared" si="3"/>
        <v>138488</v>
      </c>
      <c r="M38" s="2049">
        <f t="shared" si="4"/>
        <v>583320</v>
      </c>
      <c r="N38" s="2049"/>
      <c r="O38" s="1294">
        <f t="shared" si="5"/>
        <v>16667</v>
      </c>
      <c r="Q38" s="2049">
        <f t="shared" si="6"/>
        <v>836317</v>
      </c>
      <c r="R38" s="2049"/>
      <c r="S38" s="2049">
        <f t="shared" si="7"/>
        <v>14672</v>
      </c>
      <c r="U38" s="2049">
        <f t="shared" si="8"/>
        <v>70822.259999999995</v>
      </c>
      <c r="V38" s="2049"/>
      <c r="W38" s="1294">
        <f t="shared" si="9"/>
        <v>1753.58</v>
      </c>
      <c r="Y38" s="2049">
        <f t="shared" si="10"/>
        <v>530461.70999999985</v>
      </c>
      <c r="Z38" s="2049"/>
      <c r="AA38" s="2049">
        <f t="shared" si="11"/>
        <v>13134.43</v>
      </c>
    </row>
    <row r="39" spans="1:29">
      <c r="A39" s="87">
        <v>29</v>
      </c>
      <c r="D39" s="2047" t="s">
        <v>561</v>
      </c>
      <c r="E39" s="2049">
        <f t="shared" si="0"/>
        <v>3877889.6799999997</v>
      </c>
      <c r="G39" s="2049">
        <f t="shared" si="1"/>
        <v>30324.33</v>
      </c>
      <c r="I39" s="2049">
        <f t="shared" si="2"/>
        <v>9179131</v>
      </c>
      <c r="K39" s="2049">
        <f t="shared" si="3"/>
        <v>138488</v>
      </c>
      <c r="M39" s="2049">
        <f t="shared" si="4"/>
        <v>566653</v>
      </c>
      <c r="O39" s="1294">
        <f t="shared" si="5"/>
        <v>16667</v>
      </c>
      <c r="Q39" s="2049">
        <f t="shared" si="6"/>
        <v>821645</v>
      </c>
      <c r="S39" s="2049">
        <f t="shared" si="7"/>
        <v>14672</v>
      </c>
      <c r="U39" s="2049">
        <f t="shared" si="8"/>
        <v>69068.679999999993</v>
      </c>
      <c r="W39" s="1294">
        <f t="shared" si="9"/>
        <v>1753.58</v>
      </c>
      <c r="Y39" s="2049">
        <f t="shared" si="10"/>
        <v>517327.27999999985</v>
      </c>
      <c r="AA39" s="2049">
        <f t="shared" si="11"/>
        <v>13134.43</v>
      </c>
    </row>
    <row r="40" spans="1:29">
      <c r="A40" s="87">
        <v>30</v>
      </c>
      <c r="D40" s="2047" t="s">
        <v>562</v>
      </c>
      <c r="E40" s="2049">
        <f t="shared" si="0"/>
        <v>3802840.3499999996</v>
      </c>
      <c r="G40" s="2049">
        <f>$K$13+$K$11</f>
        <v>75049.33</v>
      </c>
      <c r="I40" s="2049">
        <f t="shared" si="2"/>
        <v>8978568</v>
      </c>
      <c r="K40" s="2049">
        <f>$K$17+$K$15</f>
        <v>200563</v>
      </c>
      <c r="M40" s="2049">
        <f t="shared" si="4"/>
        <v>549986</v>
      </c>
      <c r="O40" s="1294">
        <f t="shared" si="5"/>
        <v>16667</v>
      </c>
      <c r="Q40" s="2049">
        <f t="shared" si="6"/>
        <v>806973</v>
      </c>
      <c r="S40" s="2049">
        <f t="shared" si="7"/>
        <v>14672</v>
      </c>
      <c r="U40" s="2049">
        <f t="shared" si="8"/>
        <v>67315.099999999991</v>
      </c>
      <c r="W40" s="1294">
        <f t="shared" si="9"/>
        <v>1753.58</v>
      </c>
      <c r="Y40" s="2049">
        <f t="shared" si="10"/>
        <v>504192.84999999986</v>
      </c>
      <c r="AA40" s="2049">
        <f t="shared" si="11"/>
        <v>13134.43</v>
      </c>
    </row>
    <row r="41" spans="1:29">
      <c r="A41" s="87">
        <v>31</v>
      </c>
      <c r="D41" s="2047" t="s">
        <v>563</v>
      </c>
      <c r="E41" s="2049">
        <f t="shared" si="0"/>
        <v>3727791.0199999996</v>
      </c>
      <c r="G41" s="2049">
        <f t="shared" ref="G41:G51" si="12">$K$13+$K$11</f>
        <v>75049.33</v>
      </c>
      <c r="I41" s="2049">
        <f t="shared" si="2"/>
        <v>8778005</v>
      </c>
      <c r="K41" s="2049">
        <f t="shared" ref="K41:K51" si="13">$K$17+$K$15</f>
        <v>200563</v>
      </c>
      <c r="M41" s="2049">
        <f t="shared" si="4"/>
        <v>533319</v>
      </c>
      <c r="O41" s="1294">
        <f t="shared" si="5"/>
        <v>16667</v>
      </c>
      <c r="Q41" s="2049">
        <f t="shared" si="6"/>
        <v>792301</v>
      </c>
      <c r="S41" s="2049">
        <f t="shared" si="7"/>
        <v>14672</v>
      </c>
      <c r="U41" s="2049">
        <f t="shared" si="8"/>
        <v>65561.51999999999</v>
      </c>
      <c r="W41" s="1294">
        <f t="shared" si="9"/>
        <v>1753.58</v>
      </c>
      <c r="Y41" s="2049">
        <f t="shared" si="10"/>
        <v>491058.41999999987</v>
      </c>
      <c r="AA41" s="2049">
        <f t="shared" si="11"/>
        <v>13134.43</v>
      </c>
    </row>
    <row r="42" spans="1:29">
      <c r="A42" s="87">
        <v>32</v>
      </c>
      <c r="D42" s="2047" t="s">
        <v>564</v>
      </c>
      <c r="E42" s="2049">
        <f t="shared" si="0"/>
        <v>3652741.6899999995</v>
      </c>
      <c r="G42" s="2049">
        <f t="shared" si="12"/>
        <v>75049.33</v>
      </c>
      <c r="I42" s="2049">
        <f t="shared" si="2"/>
        <v>8577442</v>
      </c>
      <c r="K42" s="2049">
        <f t="shared" si="13"/>
        <v>200563</v>
      </c>
      <c r="M42" s="2049">
        <f t="shared" si="4"/>
        <v>516652</v>
      </c>
      <c r="O42" s="1294">
        <f t="shared" si="5"/>
        <v>16667</v>
      </c>
      <c r="Q42" s="2049">
        <f t="shared" si="6"/>
        <v>777629</v>
      </c>
      <c r="S42" s="2049">
        <f t="shared" si="7"/>
        <v>14672</v>
      </c>
      <c r="U42" s="2049">
        <f t="shared" si="8"/>
        <v>63807.939999999988</v>
      </c>
      <c r="W42" s="1294">
        <f t="shared" si="9"/>
        <v>1753.58</v>
      </c>
      <c r="Y42" s="2049">
        <f t="shared" si="10"/>
        <v>477923.98999999987</v>
      </c>
      <c r="AA42" s="2049">
        <f t="shared" si="11"/>
        <v>13134.43</v>
      </c>
    </row>
    <row r="43" spans="1:29">
      <c r="A43" s="87">
        <v>33</v>
      </c>
      <c r="D43" s="2047" t="s">
        <v>565</v>
      </c>
      <c r="E43" s="2049">
        <f t="shared" si="0"/>
        <v>3577692.3599999994</v>
      </c>
      <c r="G43" s="2049">
        <f t="shared" si="12"/>
        <v>75049.33</v>
      </c>
      <c r="I43" s="2049">
        <f t="shared" si="2"/>
        <v>8376879</v>
      </c>
      <c r="K43" s="2049">
        <f t="shared" si="13"/>
        <v>200563</v>
      </c>
      <c r="M43" s="2049">
        <f t="shared" si="4"/>
        <v>499985</v>
      </c>
      <c r="O43" s="1294">
        <f t="shared" si="5"/>
        <v>16667</v>
      </c>
      <c r="Q43" s="2049">
        <f t="shared" si="6"/>
        <v>762957</v>
      </c>
      <c r="S43" s="2049">
        <f t="shared" si="7"/>
        <v>14672</v>
      </c>
      <c r="U43" s="2049">
        <f t="shared" si="8"/>
        <v>62054.359999999986</v>
      </c>
      <c r="W43" s="1294">
        <f t="shared" si="9"/>
        <v>1753.58</v>
      </c>
      <c r="Y43" s="2049">
        <f t="shared" si="10"/>
        <v>464789.55999999988</v>
      </c>
      <c r="AA43" s="2049">
        <f t="shared" si="11"/>
        <v>13134.43</v>
      </c>
    </row>
    <row r="44" spans="1:29">
      <c r="A44" s="87">
        <v>34</v>
      </c>
      <c r="D44" s="2047" t="s">
        <v>566</v>
      </c>
      <c r="E44" s="2049">
        <f t="shared" si="0"/>
        <v>3502643.0299999993</v>
      </c>
      <c r="G44" s="2049">
        <f t="shared" si="12"/>
        <v>75049.33</v>
      </c>
      <c r="I44" s="2049">
        <f t="shared" si="2"/>
        <v>8176316</v>
      </c>
      <c r="K44" s="2049">
        <f t="shared" si="13"/>
        <v>200563</v>
      </c>
      <c r="M44" s="2049">
        <f t="shared" si="4"/>
        <v>483318</v>
      </c>
      <c r="O44" s="1294">
        <f t="shared" si="5"/>
        <v>16667</v>
      </c>
      <c r="Q44" s="2049">
        <f t="shared" si="6"/>
        <v>748285</v>
      </c>
      <c r="S44" s="2049">
        <f t="shared" si="7"/>
        <v>14672</v>
      </c>
      <c r="U44" s="2049">
        <f t="shared" si="8"/>
        <v>60300.779999999984</v>
      </c>
      <c r="W44" s="1294">
        <f t="shared" si="9"/>
        <v>1753.58</v>
      </c>
      <c r="Y44" s="2049">
        <f t="shared" si="10"/>
        <v>451655.12999999989</v>
      </c>
      <c r="AA44" s="2049">
        <f t="shared" si="11"/>
        <v>13134.43</v>
      </c>
    </row>
    <row r="45" spans="1:29">
      <c r="A45" s="87">
        <v>35</v>
      </c>
      <c r="D45" s="2047" t="s">
        <v>567</v>
      </c>
      <c r="E45" s="2049">
        <f t="shared" si="0"/>
        <v>3427593.6999999993</v>
      </c>
      <c r="G45" s="2049">
        <f t="shared" si="12"/>
        <v>75049.33</v>
      </c>
      <c r="I45" s="2049">
        <f t="shared" si="2"/>
        <v>7975753</v>
      </c>
      <c r="K45" s="2049">
        <f t="shared" si="13"/>
        <v>200563</v>
      </c>
      <c r="M45" s="2049">
        <f t="shared" si="4"/>
        <v>466651</v>
      </c>
      <c r="O45" s="1294">
        <f t="shared" si="5"/>
        <v>16667</v>
      </c>
      <c r="Q45" s="2049">
        <f t="shared" si="6"/>
        <v>733613</v>
      </c>
      <c r="S45" s="2049">
        <f t="shared" si="7"/>
        <v>14672</v>
      </c>
      <c r="U45" s="2049">
        <f t="shared" si="8"/>
        <v>58547.199999999983</v>
      </c>
      <c r="W45" s="1294">
        <f t="shared" si="9"/>
        <v>1753.58</v>
      </c>
      <c r="Y45" s="2049">
        <f t="shared" si="10"/>
        <v>438520.6999999999</v>
      </c>
      <c r="AA45" s="2049">
        <f t="shared" si="11"/>
        <v>13134.43</v>
      </c>
    </row>
    <row r="46" spans="1:29">
      <c r="A46" s="87">
        <v>36</v>
      </c>
      <c r="D46" s="2045">
        <v>46023</v>
      </c>
      <c r="E46" s="2049">
        <f t="shared" si="0"/>
        <v>3352544.3699999992</v>
      </c>
      <c r="G46" s="2049">
        <f t="shared" si="12"/>
        <v>75049.33</v>
      </c>
      <c r="I46" s="2049">
        <f t="shared" si="2"/>
        <v>7775190</v>
      </c>
      <c r="K46" s="2049">
        <f t="shared" si="13"/>
        <v>200563</v>
      </c>
      <c r="M46" s="2049">
        <f t="shared" si="4"/>
        <v>449984</v>
      </c>
      <c r="O46" s="1294">
        <f t="shared" si="5"/>
        <v>16667</v>
      </c>
      <c r="Q46" s="2049">
        <f t="shared" si="6"/>
        <v>718941</v>
      </c>
      <c r="S46" s="2049">
        <f t="shared" si="7"/>
        <v>14672</v>
      </c>
      <c r="U46" s="2049">
        <f t="shared" si="8"/>
        <v>56793.619999999981</v>
      </c>
      <c r="W46" s="1294">
        <f t="shared" si="9"/>
        <v>1753.58</v>
      </c>
      <c r="Y46" s="2049">
        <f t="shared" si="10"/>
        <v>425386.2699999999</v>
      </c>
      <c r="AA46" s="2049">
        <f t="shared" si="11"/>
        <v>13134.43</v>
      </c>
    </row>
    <row r="47" spans="1:29">
      <c r="A47" s="87">
        <v>37</v>
      </c>
      <c r="D47" s="2045">
        <v>46054</v>
      </c>
      <c r="E47" s="2049">
        <f t="shared" si="0"/>
        <v>3277495.0399999991</v>
      </c>
      <c r="G47" s="2049">
        <f t="shared" si="12"/>
        <v>75049.33</v>
      </c>
      <c r="I47" s="2049">
        <f t="shared" si="2"/>
        <v>7574627</v>
      </c>
      <c r="K47" s="2049">
        <f t="shared" si="13"/>
        <v>200563</v>
      </c>
      <c r="M47" s="2049">
        <f t="shared" si="4"/>
        <v>433317</v>
      </c>
      <c r="O47" s="1294">
        <f t="shared" si="5"/>
        <v>16667</v>
      </c>
      <c r="Q47" s="2049">
        <f t="shared" si="6"/>
        <v>704269</v>
      </c>
      <c r="S47" s="2049">
        <f t="shared" si="7"/>
        <v>14672</v>
      </c>
      <c r="U47" s="2049">
        <f t="shared" si="8"/>
        <v>55040.039999999979</v>
      </c>
      <c r="W47" s="1294">
        <f t="shared" si="9"/>
        <v>1753.58</v>
      </c>
      <c r="Y47" s="2049">
        <f t="shared" si="10"/>
        <v>412251.83999999991</v>
      </c>
      <c r="AA47" s="2049">
        <f t="shared" si="11"/>
        <v>13134.43</v>
      </c>
    </row>
    <row r="48" spans="1:29">
      <c r="A48" s="87">
        <v>38</v>
      </c>
      <c r="D48" s="2045">
        <v>46082</v>
      </c>
      <c r="E48" s="2049">
        <f t="shared" si="0"/>
        <v>3202445.709999999</v>
      </c>
      <c r="G48" s="2049">
        <f t="shared" si="12"/>
        <v>75049.33</v>
      </c>
      <c r="I48" s="2049">
        <f t="shared" si="2"/>
        <v>7374064</v>
      </c>
      <c r="K48" s="2049">
        <f t="shared" si="13"/>
        <v>200563</v>
      </c>
      <c r="M48" s="2049">
        <f t="shared" si="4"/>
        <v>416650</v>
      </c>
      <c r="O48" s="1294">
        <f t="shared" si="5"/>
        <v>16667</v>
      </c>
      <c r="Q48" s="2049">
        <f t="shared" si="6"/>
        <v>689597</v>
      </c>
      <c r="S48" s="2049">
        <f t="shared" si="7"/>
        <v>14672</v>
      </c>
      <c r="U48" s="2049">
        <f t="shared" si="8"/>
        <v>53286.459999999977</v>
      </c>
      <c r="W48" s="1294">
        <f t="shared" si="9"/>
        <v>1753.58</v>
      </c>
      <c r="Y48" s="2049">
        <f t="shared" si="10"/>
        <v>399117.40999999992</v>
      </c>
      <c r="AA48" s="2049">
        <f t="shared" si="11"/>
        <v>13134.43</v>
      </c>
    </row>
    <row r="49" spans="1:29">
      <c r="A49" s="87">
        <v>39</v>
      </c>
      <c r="D49" s="2045">
        <v>46113</v>
      </c>
      <c r="E49" s="2049">
        <f t="shared" si="0"/>
        <v>3127396.379999999</v>
      </c>
      <c r="G49" s="2049">
        <f t="shared" si="12"/>
        <v>75049.33</v>
      </c>
      <c r="I49" s="2049">
        <f t="shared" si="2"/>
        <v>7173501</v>
      </c>
      <c r="K49" s="2049">
        <f t="shared" si="13"/>
        <v>200563</v>
      </c>
      <c r="M49" s="2049">
        <f t="shared" si="4"/>
        <v>399983</v>
      </c>
      <c r="O49" s="1294">
        <f t="shared" si="5"/>
        <v>16667</v>
      </c>
      <c r="Q49" s="2049">
        <f t="shared" si="6"/>
        <v>674925</v>
      </c>
      <c r="S49" s="2049">
        <f t="shared" si="7"/>
        <v>14672</v>
      </c>
      <c r="U49" s="2049">
        <f t="shared" si="8"/>
        <v>51532.879999999976</v>
      </c>
      <c r="W49" s="1294">
        <f t="shared" si="9"/>
        <v>1753.58</v>
      </c>
      <c r="Y49" s="2049">
        <f t="shared" si="10"/>
        <v>385982.97999999992</v>
      </c>
      <c r="AA49" s="2049">
        <f t="shared" si="11"/>
        <v>13134.43</v>
      </c>
    </row>
    <row r="50" spans="1:29">
      <c r="A50" s="87">
        <v>40</v>
      </c>
      <c r="D50" s="2045">
        <v>46143</v>
      </c>
      <c r="E50" s="2049">
        <f t="shared" si="0"/>
        <v>3052347.0499999989</v>
      </c>
      <c r="G50" s="2049">
        <f t="shared" si="12"/>
        <v>75049.33</v>
      </c>
      <c r="I50" s="2049">
        <f t="shared" si="2"/>
        <v>6972938</v>
      </c>
      <c r="K50" s="2049">
        <f t="shared" si="13"/>
        <v>200563</v>
      </c>
      <c r="M50" s="2049">
        <f t="shared" si="4"/>
        <v>383316</v>
      </c>
      <c r="O50" s="1294">
        <f t="shared" si="5"/>
        <v>16667</v>
      </c>
      <c r="Q50" s="2049">
        <f t="shared" si="6"/>
        <v>660253</v>
      </c>
      <c r="S50" s="2049">
        <f t="shared" si="7"/>
        <v>14672</v>
      </c>
      <c r="U50" s="2049">
        <f t="shared" si="8"/>
        <v>49779.299999999974</v>
      </c>
      <c r="W50" s="1294">
        <f t="shared" si="9"/>
        <v>1753.58</v>
      </c>
      <c r="Y50" s="2049">
        <f t="shared" si="10"/>
        <v>372848.54999999993</v>
      </c>
      <c r="AA50" s="2049">
        <f t="shared" si="11"/>
        <v>13134.43</v>
      </c>
    </row>
    <row r="51" spans="1:29">
      <c r="A51" s="87">
        <v>41</v>
      </c>
      <c r="D51" s="2045">
        <v>46174</v>
      </c>
      <c r="E51" s="2049">
        <f t="shared" si="0"/>
        <v>2977297.7199999988</v>
      </c>
      <c r="G51" s="2049">
        <f t="shared" si="12"/>
        <v>75049.33</v>
      </c>
      <c r="I51" s="2049">
        <f t="shared" si="2"/>
        <v>6772375</v>
      </c>
      <c r="K51" s="2049">
        <f t="shared" si="13"/>
        <v>200563</v>
      </c>
      <c r="M51" s="2049">
        <f t="shared" si="4"/>
        <v>366649</v>
      </c>
      <c r="O51" s="1294">
        <f t="shared" si="5"/>
        <v>16667</v>
      </c>
      <c r="Q51" s="2049">
        <f t="shared" si="6"/>
        <v>645581</v>
      </c>
      <c r="S51" s="2049">
        <f t="shared" si="7"/>
        <v>14672</v>
      </c>
      <c r="U51" s="2049">
        <f t="shared" si="8"/>
        <v>48025.719999999972</v>
      </c>
      <c r="W51" s="1294">
        <f t="shared" si="9"/>
        <v>1753.58</v>
      </c>
      <c r="Y51" s="2049">
        <f t="shared" si="10"/>
        <v>359714.11999999994</v>
      </c>
      <c r="AA51" s="2049">
        <f t="shared" si="11"/>
        <v>13134.43</v>
      </c>
    </row>
    <row r="52" spans="1:29">
      <c r="A52" s="87">
        <v>42</v>
      </c>
      <c r="D52" s="2045"/>
      <c r="E52" s="2049"/>
      <c r="G52" s="2049"/>
      <c r="I52" s="2049"/>
      <c r="K52" s="2049"/>
      <c r="M52" s="2049"/>
      <c r="O52" s="2049"/>
      <c r="Q52" s="2049"/>
      <c r="S52" s="1247"/>
      <c r="U52" s="2049"/>
      <c r="W52" s="1247"/>
      <c r="Y52" s="2049"/>
      <c r="AA52" s="1247"/>
    </row>
    <row r="53" spans="1:29" ht="13.8" thickBot="1">
      <c r="A53" s="87">
        <v>43</v>
      </c>
      <c r="D53" s="2051" t="s">
        <v>568</v>
      </c>
      <c r="E53" s="2052">
        <f>ROUND(AVERAGE(E39:E52),0)</f>
        <v>3427594</v>
      </c>
      <c r="F53" s="2053"/>
      <c r="G53" s="2052"/>
      <c r="H53" s="2053"/>
      <c r="I53" s="2052">
        <f>ROUND(AVERAGE(I39:I52),0)</f>
        <v>7975753</v>
      </c>
      <c r="J53" s="2053"/>
      <c r="K53" s="2052"/>
      <c r="M53" s="2052">
        <f>ROUND(AVERAGE(M39:M52),0)</f>
        <v>466651</v>
      </c>
      <c r="N53" s="2053"/>
      <c r="O53" s="2052"/>
      <c r="P53" s="2054"/>
      <c r="Q53" s="2052">
        <f>ROUND(AVERAGE(Q39:Q52),0)</f>
        <v>733613</v>
      </c>
      <c r="R53" s="2053"/>
      <c r="S53" s="2052"/>
      <c r="U53" s="2052">
        <f>ROUND(AVERAGE(U39:U52),0)</f>
        <v>58547</v>
      </c>
      <c r="V53" s="2053"/>
      <c r="W53" s="2052"/>
      <c r="Y53" s="2052">
        <f>ROUND(AVERAGE(Y39:Y52),0)</f>
        <v>438521</v>
      </c>
      <c r="Z53" s="2053"/>
      <c r="AA53" s="2052"/>
      <c r="AC53" s="2053">
        <f>E53+I53+M53+Q53+U53+Y53</f>
        <v>13100679</v>
      </c>
    </row>
    <row r="54" spans="1:29" ht="13.8" thickTop="1">
      <c r="D54" s="10"/>
    </row>
    <row r="56" spans="1:29">
      <c r="D56" s="169"/>
    </row>
  </sheetData>
  <hyperlinks>
    <hyperlink ref="A6" location="Sch_A" display="." xr:uid="{3F9833BC-5FDD-4F35-9CCE-90009E79D585}"/>
  </hyperlinks>
  <pageMargins left="0.5" right="0.7" top="1" bottom="0.75" header="0.3" footer="0.3"/>
  <pageSetup scale="48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syncVertical="1" syncRef="A1" transitionEvaluation="1" transitionEntry="1" codeName="Sheet2">
    <tabColor theme="4" tint="0.39997558519241921"/>
    <pageSetUpPr fitToPage="1"/>
  </sheetPr>
  <dimension ref="A1:BU452"/>
  <sheetViews>
    <sheetView workbookViewId="0"/>
  </sheetViews>
  <sheetFormatPr defaultColWidth="12.5546875" defaultRowHeight="13.2"/>
  <cols>
    <col min="1" max="1" width="7.5546875" style="750" customWidth="1"/>
    <col min="2" max="2" width="35.44140625" style="750" customWidth="1"/>
    <col min="3" max="3" width="17.44140625" style="750" customWidth="1"/>
    <col min="4" max="4" width="13.5546875" style="750" customWidth="1"/>
    <col min="5" max="5" width="16.5546875" style="750" customWidth="1"/>
    <col min="6" max="6" width="15.5546875" style="750" customWidth="1"/>
    <col min="7" max="7" width="20" style="750" customWidth="1"/>
    <col min="8" max="8" width="20.44140625" style="750" customWidth="1"/>
    <col min="9" max="9" width="2.44140625" style="750" customWidth="1"/>
    <col min="10" max="10" width="10" style="750" customWidth="1"/>
    <col min="11" max="12" width="15.44140625" style="750" customWidth="1"/>
    <col min="13" max="13" width="65.44140625" style="750" customWidth="1"/>
    <col min="14" max="18" width="20.44140625" style="750" customWidth="1"/>
    <col min="19" max="19" width="2.44140625" style="750" customWidth="1"/>
    <col min="20" max="20" width="12.5546875" style="750"/>
    <col min="21" max="21" width="15.44140625" style="750" customWidth="1"/>
    <col min="22" max="22" width="12.5546875" style="750"/>
    <col min="23" max="23" width="52.44140625" style="750" customWidth="1"/>
    <col min="24" max="26" width="20.44140625" style="750" customWidth="1"/>
    <col min="27" max="27" width="2.44140625" style="750" customWidth="1"/>
    <col min="28" max="28" width="12.5546875" style="750"/>
    <col min="29" max="29" width="15.44140625" style="750" customWidth="1"/>
    <col min="30" max="30" width="12.5546875" style="750"/>
    <col min="31" max="31" width="65.44140625" style="750" customWidth="1"/>
    <col min="32" max="36" width="20.44140625" style="750" customWidth="1"/>
    <col min="37" max="37" width="33.44140625" style="750" customWidth="1"/>
    <col min="38" max="38" width="20.44140625" style="750" customWidth="1"/>
    <col min="39" max="39" width="2.44140625" style="750" customWidth="1"/>
    <col min="40" max="40" width="15.44140625" style="750" customWidth="1"/>
    <col min="41" max="46" width="22.5546875" style="750" customWidth="1"/>
    <col min="47" max="47" width="26.5546875" style="750" customWidth="1"/>
    <col min="48" max="48" width="22.5546875" style="750" customWidth="1"/>
    <col min="49" max="49" width="20.44140625" style="750" customWidth="1"/>
    <col min="50" max="50" width="2.44140625" style="750" customWidth="1"/>
    <col min="51" max="51" width="26.5546875" style="750" customWidth="1"/>
    <col min="52" max="52" width="37" style="750" customWidth="1"/>
    <col min="53" max="53" width="46" style="750" customWidth="1"/>
    <col min="54" max="56" width="15.44140625" style="750" customWidth="1"/>
    <col min="57" max="57" width="26.5546875" style="750" customWidth="1"/>
    <col min="58" max="58" width="15.44140625" style="750" customWidth="1"/>
    <col min="59" max="59" width="2.44140625" style="750" customWidth="1"/>
    <col min="60" max="60" width="10" style="750" customWidth="1"/>
    <col min="61" max="61" width="12.5546875" style="750"/>
    <col min="62" max="62" width="39.5546875" style="750" customWidth="1"/>
    <col min="63" max="63" width="16.44140625" style="750" customWidth="1"/>
    <col min="64" max="66" width="20.44140625" style="750" customWidth="1"/>
    <col min="67" max="68" width="16.44140625" style="750" customWidth="1"/>
    <col min="69" max="69" width="26.5546875" style="750" customWidth="1"/>
    <col min="70" max="70" width="39.5546875" style="750" customWidth="1"/>
    <col min="71" max="71" width="12.5546875" style="750"/>
    <col min="72" max="72" width="16.44140625" style="750" customWidth="1"/>
    <col min="73" max="73" width="17.5546875" style="750" customWidth="1"/>
    <col min="74" max="16384" width="12.5546875" style="750"/>
  </cols>
  <sheetData>
    <row r="1" spans="1:73">
      <c r="A1" s="59" t="str">
        <f>COMPANY</f>
        <v>DUKE ENERGY KENTUCKY, INC.</v>
      </c>
      <c r="B1" s="59"/>
      <c r="C1" s="59"/>
      <c r="D1" s="59"/>
      <c r="E1" s="59"/>
      <c r="F1" s="59"/>
      <c r="G1" s="59"/>
      <c r="BT1" s="737"/>
      <c r="BU1" s="737"/>
    </row>
    <row r="2" spans="1:73">
      <c r="A2" s="59" t="str">
        <f>CASE</f>
        <v>CASE NO. 2024-00354</v>
      </c>
      <c r="B2" s="59"/>
      <c r="C2" s="59"/>
      <c r="D2" s="59"/>
      <c r="E2" s="59"/>
      <c r="F2" s="59"/>
      <c r="G2" s="59"/>
      <c r="BT2" s="737"/>
      <c r="BU2" s="737"/>
    </row>
    <row r="3" spans="1:73">
      <c r="A3" s="59" t="s">
        <v>569</v>
      </c>
      <c r="B3" s="59"/>
      <c r="C3" s="59"/>
      <c r="D3" s="59"/>
      <c r="E3" s="59"/>
      <c r="F3" s="59"/>
      <c r="G3" s="59"/>
      <c r="BT3" s="737"/>
      <c r="BU3" s="737"/>
    </row>
    <row r="4" spans="1:73">
      <c r="A4" s="47" t="str">
        <f>"AS OF " &amp;RIGHT(TESTYR,(LEN(TESTYR)-16))</f>
        <v>AS OF FEBRUARY 28, 2025</v>
      </c>
      <c r="B4" s="59"/>
      <c r="C4" s="59"/>
      <c r="D4" s="59"/>
      <c r="E4" s="59"/>
      <c r="F4" s="59"/>
      <c r="G4" s="59"/>
      <c r="BT4" s="737"/>
      <c r="BU4" s="737"/>
    </row>
    <row r="5" spans="1:73">
      <c r="A5" s="1393" t="s">
        <v>55</v>
      </c>
      <c r="B5" s="59"/>
      <c r="C5" s="59"/>
      <c r="D5" s="59"/>
      <c r="E5" s="59"/>
      <c r="F5" s="59"/>
      <c r="G5" s="59"/>
      <c r="BT5" s="737"/>
      <c r="BU5" s="737"/>
    </row>
    <row r="6" spans="1:73">
      <c r="A6" s="1148"/>
      <c r="B6" s="59"/>
      <c r="C6" s="59"/>
      <c r="D6" s="59"/>
      <c r="E6" s="59"/>
      <c r="F6" s="59"/>
      <c r="G6" s="59"/>
      <c r="BT6" s="737"/>
      <c r="BU6" s="737"/>
    </row>
    <row r="7" spans="1:73">
      <c r="BT7" s="737"/>
      <c r="BU7" s="737"/>
    </row>
    <row r="8" spans="1:73">
      <c r="BT8" s="737"/>
      <c r="BU8" s="737"/>
    </row>
    <row r="9" spans="1:73">
      <c r="A9" s="737" t="str">
        <f>Data</f>
        <v>DATA: "X" BASE PERIOD   FORECASTED PERIOD</v>
      </c>
      <c r="F9" s="737" t="s">
        <v>570</v>
      </c>
      <c r="BT9" s="737"/>
      <c r="BU9" s="737"/>
    </row>
    <row r="10" spans="1:73">
      <c r="A10" s="737" t="str">
        <f>Type</f>
        <v xml:space="preserve">TYPE OF FILING:  "X" ORIGINAL   UPDATED    REVISED  </v>
      </c>
      <c r="F10" s="737" t="s">
        <v>571</v>
      </c>
      <c r="BT10" s="737"/>
      <c r="BU10" s="737"/>
    </row>
    <row r="11" spans="1:73">
      <c r="A11" s="737" t="s">
        <v>572</v>
      </c>
      <c r="F11" s="737" t="s">
        <v>468</v>
      </c>
      <c r="BT11" s="737"/>
      <c r="BU11" s="737"/>
    </row>
    <row r="12" spans="1:73">
      <c r="F12" s="737" t="str">
        <f>_WIT7</f>
        <v>G. S. CARPENTER / S. S. MITCHELL</v>
      </c>
      <c r="BT12" s="737"/>
      <c r="BU12" s="737"/>
    </row>
    <row r="13" spans="1:73">
      <c r="BT13" s="737"/>
      <c r="BU13" s="737"/>
    </row>
    <row r="14" spans="1:73">
      <c r="BT14" s="737"/>
      <c r="BU14" s="737"/>
    </row>
    <row r="15" spans="1:73">
      <c r="BT15" s="737"/>
      <c r="BU15" s="737"/>
    </row>
    <row r="16" spans="1:73">
      <c r="A16" s="2082"/>
      <c r="B16" s="2082"/>
      <c r="C16" s="2083"/>
      <c r="D16" s="2082"/>
      <c r="E16" s="2082"/>
      <c r="F16" s="2082"/>
      <c r="G16" s="2082"/>
      <c r="BT16" s="737"/>
      <c r="BU16" s="737"/>
    </row>
    <row r="17" spans="1:73">
      <c r="A17" s="53" t="s">
        <v>573</v>
      </c>
      <c r="C17" s="53" t="s">
        <v>13</v>
      </c>
      <c r="D17" s="53" t="s">
        <v>574</v>
      </c>
      <c r="E17" s="53" t="s">
        <v>574</v>
      </c>
      <c r="G17" s="53" t="s">
        <v>575</v>
      </c>
      <c r="BT17" s="737"/>
      <c r="BU17" s="737"/>
    </row>
    <row r="18" spans="1:73">
      <c r="A18" s="53" t="s">
        <v>576</v>
      </c>
      <c r="B18" s="737" t="s">
        <v>577</v>
      </c>
      <c r="C18" s="53" t="s">
        <v>418</v>
      </c>
      <c r="D18" s="53" t="s">
        <v>420</v>
      </c>
      <c r="E18" s="53" t="s">
        <v>258</v>
      </c>
      <c r="F18" s="53" t="s">
        <v>578</v>
      </c>
      <c r="G18" s="53" t="s">
        <v>579</v>
      </c>
      <c r="BT18" s="737"/>
      <c r="BU18" s="737"/>
    </row>
    <row r="19" spans="1:73">
      <c r="A19" s="2082"/>
      <c r="B19" s="2082"/>
      <c r="C19" s="2082"/>
      <c r="D19" s="2082"/>
      <c r="E19" s="2082"/>
      <c r="F19" s="2082"/>
      <c r="G19" s="2082"/>
      <c r="BT19" s="737"/>
      <c r="BU19" s="737"/>
    </row>
    <row r="20" spans="1:73">
      <c r="C20" s="53" t="s">
        <v>580</v>
      </c>
      <c r="E20" s="53" t="s">
        <v>580</v>
      </c>
      <c r="F20" s="53" t="s">
        <v>580</v>
      </c>
      <c r="G20" s="53" t="s">
        <v>580</v>
      </c>
      <c r="BT20" s="737"/>
      <c r="BU20" s="737"/>
    </row>
    <row r="21" spans="1:73">
      <c r="BT21" s="737"/>
      <c r="BU21" s="737"/>
    </row>
    <row r="22" spans="1:73">
      <c r="BT22" s="737"/>
      <c r="BU22" s="737"/>
    </row>
    <row r="23" spans="1:73">
      <c r="A23" s="53">
        <v>1</v>
      </c>
      <c r="B23" s="737" t="s">
        <v>581</v>
      </c>
      <c r="C23" s="748">
        <f>'SCH B-2.1'!E36</f>
        <v>1072523399</v>
      </c>
      <c r="D23" s="1152">
        <v>100</v>
      </c>
      <c r="E23" s="748">
        <f>ROUND((C23*D23)/100,0)</f>
        <v>1072523399</v>
      </c>
      <c r="F23" s="748">
        <f>'SCH B-2.1'!H36</f>
        <v>-148305392</v>
      </c>
      <c r="G23" s="748">
        <f>E23+F23</f>
        <v>924218007</v>
      </c>
      <c r="BT23" s="737"/>
      <c r="BU23" s="737"/>
    </row>
    <row r="24" spans="1:73">
      <c r="C24" s="748"/>
      <c r="D24" s="1163"/>
      <c r="E24" s="748"/>
      <c r="F24" s="748"/>
      <c r="G24" s="748"/>
      <c r="BT24" s="737"/>
      <c r="BU24" s="737"/>
    </row>
    <row r="25" spans="1:73">
      <c r="A25" s="53">
        <f>1+A23</f>
        <v>2</v>
      </c>
      <c r="B25" s="750" t="s">
        <v>582</v>
      </c>
      <c r="C25" s="748">
        <f>'SCH B-2.1'!E76</f>
        <v>381544549</v>
      </c>
      <c r="D25" s="1152">
        <v>100</v>
      </c>
      <c r="E25" s="748">
        <f>ROUND((C25*D25)/100,0)</f>
        <v>381544549</v>
      </c>
      <c r="F25" s="748">
        <f>'SCH B-2.1'!H76</f>
        <v>-442832</v>
      </c>
      <c r="G25" s="748">
        <f>E25+F25</f>
        <v>381101717</v>
      </c>
      <c r="BT25" s="737"/>
      <c r="BU25" s="737"/>
    </row>
    <row r="26" spans="1:73">
      <c r="C26" s="748"/>
      <c r="D26" s="1163"/>
      <c r="E26" s="748"/>
      <c r="F26" s="748"/>
      <c r="G26" s="748"/>
      <c r="BT26" s="737"/>
      <c r="BU26" s="737"/>
    </row>
    <row r="27" spans="1:73">
      <c r="A27" s="53">
        <f>1+A25</f>
        <v>3</v>
      </c>
      <c r="B27" s="750" t="s">
        <v>343</v>
      </c>
      <c r="C27" s="748">
        <f>'SCH B-2.1'!E115</f>
        <v>142373421</v>
      </c>
      <c r="D27" s="1152">
        <v>100</v>
      </c>
      <c r="E27" s="748">
        <f>ROUND((C27*D27)/100,0)</f>
        <v>142373421</v>
      </c>
      <c r="F27" s="748">
        <f>'SCH B-2.1'!H115</f>
        <v>0</v>
      </c>
      <c r="G27" s="748">
        <f>E27+F27</f>
        <v>142373421</v>
      </c>
      <c r="BT27" s="737"/>
      <c r="BU27" s="737"/>
    </row>
    <row r="28" spans="1:73">
      <c r="C28" s="748"/>
      <c r="D28" s="1163"/>
      <c r="E28" s="748"/>
      <c r="F28" s="748"/>
      <c r="G28" s="748"/>
      <c r="BT28" s="737"/>
      <c r="BU28" s="737"/>
    </row>
    <row r="29" spans="1:73">
      <c r="A29" s="53">
        <f>1+A27</f>
        <v>4</v>
      </c>
      <c r="B29" s="737" t="s">
        <v>345</v>
      </c>
      <c r="C29" s="748">
        <f>'SCH B-2.1'!E167</f>
        <v>756511751</v>
      </c>
      <c r="D29" s="1152">
        <v>100</v>
      </c>
      <c r="E29" s="748">
        <f>ROUND((C29*D29)/100,0)</f>
        <v>756511751</v>
      </c>
      <c r="F29" s="748">
        <f>'SCH B-2.1'!H167</f>
        <v>-7919329</v>
      </c>
      <c r="G29" s="748">
        <f>E29+F29</f>
        <v>748592422</v>
      </c>
      <c r="BT29" s="737"/>
      <c r="BU29" s="737"/>
    </row>
    <row r="30" spans="1:73">
      <c r="C30" s="748"/>
      <c r="E30" s="748"/>
      <c r="F30" s="748"/>
      <c r="G30" s="748"/>
      <c r="BT30" s="737"/>
      <c r="BU30" s="737"/>
    </row>
    <row r="31" spans="1:73">
      <c r="A31" s="53">
        <f>1+A29</f>
        <v>5</v>
      </c>
      <c r="B31" s="737" t="s">
        <v>583</v>
      </c>
      <c r="C31" s="748">
        <f>'SCH B-2.1'!E206</f>
        <v>92988089</v>
      </c>
      <c r="D31" s="1152">
        <v>100</v>
      </c>
      <c r="E31" s="748">
        <f>ROUND((C31*D31)/100,0)</f>
        <v>92988089</v>
      </c>
      <c r="F31" s="748">
        <f>'SCH B-2.1'!H206</f>
        <v>0</v>
      </c>
      <c r="G31" s="748">
        <f>E31+F31</f>
        <v>92988089</v>
      </c>
      <c r="BT31" s="737"/>
      <c r="BU31" s="737"/>
    </row>
    <row r="32" spans="1:73">
      <c r="C32" s="748"/>
      <c r="E32" s="748"/>
      <c r="F32" s="748"/>
      <c r="G32" s="748"/>
      <c r="BT32" s="737"/>
      <c r="BU32" s="737"/>
    </row>
    <row r="33" spans="1:73">
      <c r="A33" s="53">
        <f>1+A31</f>
        <v>6</v>
      </c>
      <c r="B33" s="737" t="s">
        <v>584</v>
      </c>
      <c r="C33" s="748">
        <f>'SCH B-2.1'!E251</f>
        <v>37862936</v>
      </c>
      <c r="D33" s="1152">
        <v>100</v>
      </c>
      <c r="E33" s="748">
        <f>ROUND((C33*D33)/100,0)</f>
        <v>37862936</v>
      </c>
      <c r="F33" s="748">
        <f>'SCH B-2.1'!H251</f>
        <v>-1052040</v>
      </c>
      <c r="G33" s="748">
        <f>E33+F33</f>
        <v>36810896</v>
      </c>
      <c r="BT33" s="737"/>
      <c r="BU33" s="737"/>
    </row>
    <row r="34" spans="1:73">
      <c r="C34" s="748"/>
      <c r="E34" s="748"/>
      <c r="F34" s="748"/>
      <c r="G34" s="748"/>
      <c r="BT34" s="737"/>
      <c r="BU34" s="737"/>
    </row>
    <row r="35" spans="1:73">
      <c r="A35" s="53">
        <f>1+A33</f>
        <v>7</v>
      </c>
      <c r="B35" s="737" t="s">
        <v>585</v>
      </c>
      <c r="C35" s="748"/>
      <c r="E35" s="748"/>
      <c r="F35" s="748"/>
      <c r="G35" s="748"/>
      <c r="BT35" s="737"/>
      <c r="BU35" s="737"/>
    </row>
    <row r="36" spans="1:73">
      <c r="B36" s="737" t="s">
        <v>586</v>
      </c>
      <c r="C36" s="748"/>
      <c r="E36" s="748"/>
      <c r="F36" s="748"/>
      <c r="G36" s="748"/>
      <c r="BT36" s="737"/>
      <c r="BU36" s="737"/>
    </row>
    <row r="37" spans="1:73">
      <c r="A37" s="53"/>
      <c r="B37" s="737"/>
      <c r="C37" s="748"/>
      <c r="E37" s="748"/>
      <c r="F37" s="748"/>
      <c r="G37" s="748"/>
      <c r="BT37" s="737"/>
      <c r="BU37" s="737"/>
    </row>
    <row r="38" spans="1:73">
      <c r="A38" s="53">
        <f>1+A35</f>
        <v>8</v>
      </c>
      <c r="B38" s="737" t="s">
        <v>587</v>
      </c>
      <c r="C38" s="748"/>
      <c r="E38" s="748"/>
      <c r="F38" s="748"/>
      <c r="G38" s="748"/>
      <c r="BT38" s="737"/>
      <c r="BU38" s="737"/>
    </row>
    <row r="39" spans="1:73">
      <c r="C39" s="748"/>
      <c r="E39" s="748"/>
      <c r="F39" s="748"/>
      <c r="G39" s="748"/>
      <c r="BT39" s="737"/>
      <c r="BU39" s="737"/>
    </row>
    <row r="40" spans="1:73">
      <c r="C40" s="748"/>
      <c r="E40" s="748"/>
      <c r="F40" s="748"/>
      <c r="G40" s="748"/>
      <c r="BT40" s="737"/>
      <c r="BU40" s="737"/>
    </row>
    <row r="41" spans="1:73">
      <c r="B41" s="2082"/>
      <c r="C41" s="2084"/>
      <c r="D41" s="2082"/>
      <c r="E41" s="2084"/>
      <c r="F41" s="2084"/>
      <c r="G41" s="2084"/>
      <c r="BT41" s="737"/>
      <c r="BU41" s="737"/>
    </row>
    <row r="42" spans="1:73">
      <c r="A42" s="53">
        <f>1+A38</f>
        <v>9</v>
      </c>
      <c r="B42" s="737" t="s">
        <v>588</v>
      </c>
      <c r="C42" s="748">
        <f>SUM(C23:C38)</f>
        <v>2483804145</v>
      </c>
      <c r="E42" s="748">
        <f>SUM(E23:E38)</f>
        <v>2483804145</v>
      </c>
      <c r="F42" s="748">
        <f>SUM(F23:F38)</f>
        <v>-157719593</v>
      </c>
      <c r="G42" s="748">
        <f>SUM(G23:G38)</f>
        <v>2326084552</v>
      </c>
      <c r="BT42" s="737"/>
      <c r="BU42" s="737"/>
    </row>
    <row r="43" spans="1:73">
      <c r="C43" s="748"/>
      <c r="E43" s="748"/>
      <c r="F43" s="748"/>
      <c r="G43" s="748"/>
    </row>
    <row r="44" spans="1:73">
      <c r="B44" s="2082"/>
      <c r="C44" s="2082"/>
      <c r="D44" s="2082"/>
      <c r="E44" s="2084"/>
      <c r="F44" s="2084"/>
      <c r="G44" s="2084"/>
    </row>
    <row r="46" spans="1:73">
      <c r="A46" s="1170" t="s">
        <v>589</v>
      </c>
    </row>
    <row r="49" spans="1:8">
      <c r="A49" s="59" t="str">
        <f>COMPANY</f>
        <v>DUKE ENERGY KENTUCKY, INC.</v>
      </c>
      <c r="B49" s="59"/>
      <c r="C49" s="59"/>
      <c r="D49" s="59"/>
      <c r="E49" s="59"/>
      <c r="F49" s="59"/>
      <c r="G49" s="59"/>
    </row>
    <row r="50" spans="1:8">
      <c r="A50" s="59" t="str">
        <f>CASE</f>
        <v>CASE NO. 2024-00354</v>
      </c>
      <c r="B50" s="59"/>
      <c r="C50" s="59"/>
      <c r="D50" s="59"/>
      <c r="E50" s="59"/>
      <c r="F50" s="59"/>
      <c r="G50" s="59"/>
    </row>
    <row r="51" spans="1:8">
      <c r="A51" s="59" t="s">
        <v>569</v>
      </c>
      <c r="B51" s="59"/>
      <c r="C51" s="59"/>
      <c r="D51" s="59"/>
      <c r="E51" s="59"/>
      <c r="F51" s="59"/>
      <c r="G51" s="59"/>
    </row>
    <row r="52" spans="1:8">
      <c r="A52" s="47" t="str">
        <f>"AS OF " &amp;RIGHT(Forecast,(LEN(Forecast)-16))</f>
        <v>AS OF JUNE 30, 2026</v>
      </c>
      <c r="B52" s="59"/>
      <c r="C52" s="59"/>
      <c r="D52" s="59"/>
      <c r="E52" s="59"/>
      <c r="F52" s="59"/>
      <c r="G52" s="59"/>
    </row>
    <row r="53" spans="1:8">
      <c r="A53" s="59"/>
      <c r="B53" s="59"/>
      <c r="C53" s="59"/>
      <c r="D53" s="59"/>
      <c r="E53" s="59"/>
      <c r="F53" s="59"/>
      <c r="G53" s="59"/>
    </row>
    <row r="54" spans="1:8">
      <c r="A54" s="1148"/>
      <c r="B54" s="59"/>
      <c r="C54" s="59"/>
      <c r="D54" s="59"/>
      <c r="E54" s="59"/>
      <c r="F54" s="59"/>
      <c r="G54" s="59"/>
    </row>
    <row r="57" spans="1:8">
      <c r="A57" s="737" t="str">
        <f>DataF</f>
        <v>DATA:  BASE PERIOD  "X" FORECASTED PERIOD</v>
      </c>
      <c r="F57" s="737" t="s">
        <v>570</v>
      </c>
    </row>
    <row r="58" spans="1:8">
      <c r="A58" s="737" t="str">
        <f>Type</f>
        <v xml:space="preserve">TYPE OF FILING:  "X" ORIGINAL   UPDATED    REVISED  </v>
      </c>
      <c r="F58" s="737" t="s">
        <v>590</v>
      </c>
    </row>
    <row r="59" spans="1:8">
      <c r="A59" s="737" t="s">
        <v>572</v>
      </c>
      <c r="F59" s="737" t="s">
        <v>468</v>
      </c>
    </row>
    <row r="60" spans="1:8">
      <c r="F60" s="737" t="str">
        <f>_WIT7</f>
        <v>G. S. CARPENTER / S. S. MITCHELL</v>
      </c>
    </row>
    <row r="63" spans="1:8">
      <c r="F63" s="1443"/>
    </row>
    <row r="64" spans="1:8">
      <c r="A64" s="2082"/>
      <c r="B64" s="2082"/>
      <c r="C64" s="2083" t="s">
        <v>591</v>
      </c>
      <c r="D64" s="2082"/>
      <c r="E64" s="2082"/>
      <c r="F64" s="48" t="s">
        <v>591</v>
      </c>
      <c r="G64" s="2085" t="s">
        <v>568</v>
      </c>
      <c r="H64" s="49"/>
    </row>
    <row r="65" spans="1:8">
      <c r="A65" s="53" t="s">
        <v>573</v>
      </c>
      <c r="C65" s="53" t="s">
        <v>592</v>
      </c>
      <c r="D65" s="53" t="s">
        <v>574</v>
      </c>
      <c r="E65" s="53" t="s">
        <v>574</v>
      </c>
      <c r="F65" s="1154" t="s">
        <v>592</v>
      </c>
      <c r="G65" s="53" t="s">
        <v>575</v>
      </c>
      <c r="H65" s="53"/>
    </row>
    <row r="66" spans="1:8">
      <c r="A66" s="53" t="s">
        <v>576</v>
      </c>
      <c r="B66" s="737" t="s">
        <v>577</v>
      </c>
      <c r="C66" s="53" t="s">
        <v>593</v>
      </c>
      <c r="D66" s="53" t="s">
        <v>420</v>
      </c>
      <c r="E66" s="53" t="s">
        <v>258</v>
      </c>
      <c r="F66" s="1444" t="s">
        <v>578</v>
      </c>
      <c r="G66" s="53" t="s">
        <v>579</v>
      </c>
      <c r="H66" s="53"/>
    </row>
    <row r="67" spans="1:8">
      <c r="A67" s="2082"/>
      <c r="B67" s="2082"/>
      <c r="C67" s="2082"/>
      <c r="D67" s="2082"/>
      <c r="E67" s="2082"/>
      <c r="F67" s="2082"/>
      <c r="G67" s="2082"/>
    </row>
    <row r="68" spans="1:8">
      <c r="C68" s="53" t="s">
        <v>580</v>
      </c>
      <c r="E68" s="53" t="s">
        <v>580</v>
      </c>
      <c r="F68" s="53" t="s">
        <v>580</v>
      </c>
      <c r="G68" s="53" t="s">
        <v>580</v>
      </c>
    </row>
    <row r="71" spans="1:8">
      <c r="A71" s="53">
        <v>1</v>
      </c>
      <c r="B71" s="737" t="s">
        <v>581</v>
      </c>
      <c r="C71" s="748">
        <f>'SCH B-2.1'!E293</f>
        <v>1080583124</v>
      </c>
      <c r="D71" s="1152">
        <v>100</v>
      </c>
      <c r="E71" s="748">
        <f>ROUND((C71*D71)/100,0)</f>
        <v>1080583124</v>
      </c>
      <c r="F71" s="748">
        <f>'SCH B-2.1'!H293</f>
        <v>-148764899</v>
      </c>
      <c r="G71" s="748">
        <f>E71+F71</f>
        <v>931818225</v>
      </c>
    </row>
    <row r="72" spans="1:8">
      <c r="A72" s="53"/>
      <c r="B72" s="737"/>
      <c r="C72" s="748"/>
      <c r="D72" s="1152"/>
      <c r="E72" s="748"/>
      <c r="F72" s="748"/>
      <c r="G72" s="748"/>
    </row>
    <row r="73" spans="1:8">
      <c r="A73" s="53">
        <f>1+A71</f>
        <v>2</v>
      </c>
      <c r="B73" s="737" t="s">
        <v>582</v>
      </c>
      <c r="C73" s="748">
        <f>'SCH B-2.1'!E333</f>
        <v>395137603</v>
      </c>
      <c r="D73" s="1152">
        <v>100</v>
      </c>
      <c r="E73" s="748">
        <f>ROUND((C73*D73)/100,0)</f>
        <v>395137603</v>
      </c>
      <c r="F73" s="748">
        <f>'SCH B-2.1'!H333</f>
        <v>-442832</v>
      </c>
      <c r="G73" s="748">
        <f>E73+F73</f>
        <v>394694771</v>
      </c>
    </row>
    <row r="74" spans="1:8">
      <c r="C74" s="748"/>
      <c r="D74" s="1163"/>
      <c r="E74" s="748"/>
      <c r="F74" s="748"/>
      <c r="G74" s="748"/>
    </row>
    <row r="75" spans="1:8">
      <c r="A75" s="53">
        <f>1+A73</f>
        <v>3</v>
      </c>
      <c r="B75" s="750" t="s">
        <v>343</v>
      </c>
      <c r="C75" s="748">
        <f>'SCH B-2.1'!E372</f>
        <v>160703839</v>
      </c>
      <c r="D75" s="1152">
        <v>100</v>
      </c>
      <c r="E75" s="748">
        <f>ROUND((C75*D75)/100,0)</f>
        <v>160703839</v>
      </c>
      <c r="F75" s="748">
        <f>'SCH B-2.1'!H372</f>
        <v>0</v>
      </c>
      <c r="G75" s="748">
        <f>E75+F75</f>
        <v>160703839</v>
      </c>
    </row>
    <row r="76" spans="1:8">
      <c r="C76" s="748"/>
      <c r="D76" s="1163"/>
      <c r="E76" s="748"/>
      <c r="F76" s="748"/>
      <c r="G76" s="748"/>
    </row>
    <row r="77" spans="1:8">
      <c r="A77" s="53">
        <f>1+A75</f>
        <v>4</v>
      </c>
      <c r="B77" s="737" t="s">
        <v>345</v>
      </c>
      <c r="C77" s="748">
        <f>'SCH B-2.1'!E425</f>
        <v>807417627</v>
      </c>
      <c r="D77" s="1152">
        <v>100</v>
      </c>
      <c r="E77" s="748">
        <f>ROUND((C77*D77)/100,0)</f>
        <v>807417627</v>
      </c>
      <c r="F77" s="748">
        <f>'SCH B-2.1'!H425</f>
        <v>-8277900</v>
      </c>
      <c r="G77" s="748">
        <f>E77+F77</f>
        <v>799139727</v>
      </c>
    </row>
    <row r="78" spans="1:8">
      <c r="C78" s="748"/>
      <c r="E78" s="748"/>
      <c r="F78" s="748"/>
      <c r="G78" s="748"/>
    </row>
    <row r="79" spans="1:8">
      <c r="A79" s="53">
        <f>1+A77</f>
        <v>5</v>
      </c>
      <c r="B79" s="737" t="s">
        <v>583</v>
      </c>
      <c r="C79" s="748">
        <f>'SCH B-2.1'!E464</f>
        <v>107686520</v>
      </c>
      <c r="D79" s="1152">
        <v>100</v>
      </c>
      <c r="E79" s="748">
        <f>ROUND((C79*D79)/100,0)</f>
        <v>107686520</v>
      </c>
      <c r="F79" s="748">
        <f>'SCH B-2.1'!H464</f>
        <v>0</v>
      </c>
      <c r="G79" s="748">
        <f>E79+F79</f>
        <v>107686520</v>
      </c>
    </row>
    <row r="80" spans="1:8">
      <c r="C80" s="748"/>
      <c r="E80" s="748"/>
      <c r="F80" s="748"/>
      <c r="G80" s="748"/>
    </row>
    <row r="81" spans="1:7">
      <c r="A81" s="53">
        <f>1+A79</f>
        <v>6</v>
      </c>
      <c r="B81" s="737" t="s">
        <v>584</v>
      </c>
      <c r="C81" s="748">
        <f>'SCH B-2.1'!E509</f>
        <v>37181896</v>
      </c>
      <c r="D81" s="1152">
        <v>100</v>
      </c>
      <c r="E81" s="748">
        <f>ROUND((C81*D81)/100,0)</f>
        <v>37181896</v>
      </c>
      <c r="F81" s="748">
        <f>'SCH B-2.1'!H509</f>
        <v>-1052040</v>
      </c>
      <c r="G81" s="748">
        <f>E81+F81</f>
        <v>36129856</v>
      </c>
    </row>
    <row r="82" spans="1:7">
      <c r="C82" s="748"/>
      <c r="E82" s="748"/>
      <c r="F82" s="748"/>
      <c r="G82" s="748"/>
    </row>
    <row r="83" spans="1:7">
      <c r="A83" s="53">
        <f>1+A81</f>
        <v>7</v>
      </c>
      <c r="B83" s="737" t="s">
        <v>585</v>
      </c>
      <c r="C83" s="748"/>
      <c r="E83" s="748"/>
      <c r="F83" s="748"/>
      <c r="G83" s="748"/>
    </row>
    <row r="84" spans="1:7">
      <c r="B84" s="737" t="s">
        <v>586</v>
      </c>
      <c r="C84" s="748"/>
      <c r="E84" s="748"/>
      <c r="F84" s="748"/>
      <c r="G84" s="748"/>
    </row>
    <row r="85" spans="1:7">
      <c r="B85" s="737"/>
      <c r="C85" s="748"/>
      <c r="E85" s="748"/>
      <c r="F85" s="748"/>
      <c r="G85" s="748"/>
    </row>
    <row r="86" spans="1:7">
      <c r="A86" s="53">
        <f>1+A83</f>
        <v>8</v>
      </c>
      <c r="B86" s="737" t="s">
        <v>587</v>
      </c>
      <c r="C86" s="748"/>
      <c r="E86" s="748"/>
      <c r="F86" s="748"/>
      <c r="G86" s="748"/>
    </row>
    <row r="87" spans="1:7">
      <c r="C87" s="748"/>
      <c r="E87" s="748"/>
      <c r="F87" s="748"/>
      <c r="G87" s="748"/>
    </row>
    <row r="88" spans="1:7">
      <c r="C88" s="748"/>
      <c r="E88" s="748"/>
      <c r="F88" s="748"/>
      <c r="G88" s="748"/>
    </row>
    <row r="89" spans="1:7">
      <c r="B89" s="2082"/>
      <c r="C89" s="2084"/>
      <c r="D89" s="2082"/>
      <c r="E89" s="2084"/>
      <c r="F89" s="2084"/>
      <c r="G89" s="2084"/>
    </row>
    <row r="90" spans="1:7">
      <c r="A90" s="53">
        <f>1+A86</f>
        <v>9</v>
      </c>
      <c r="B90" s="737" t="s">
        <v>588</v>
      </c>
      <c r="C90" s="748">
        <f>SUM(C71:C86)</f>
        <v>2588710609</v>
      </c>
      <c r="E90" s="748">
        <f>SUM(E71:E86)</f>
        <v>2588710609</v>
      </c>
      <c r="F90" s="748">
        <f>SUM(F71:F86)</f>
        <v>-158537671</v>
      </c>
      <c r="G90" s="748">
        <f>SUM(G71:G86)</f>
        <v>2430172938</v>
      </c>
    </row>
    <row r="91" spans="1:7">
      <c r="C91" s="748"/>
      <c r="E91" s="748"/>
      <c r="F91" s="748"/>
      <c r="G91" s="748"/>
    </row>
    <row r="92" spans="1:7">
      <c r="B92" s="2082"/>
      <c r="C92" s="2082"/>
      <c r="D92" s="2082"/>
      <c r="E92" s="2084"/>
      <c r="F92" s="2084"/>
      <c r="G92" s="2084"/>
    </row>
    <row r="94" spans="1:7">
      <c r="A94" s="1170" t="s">
        <v>589</v>
      </c>
    </row>
    <row r="95" spans="1:7">
      <c r="C95" s="1171"/>
      <c r="F95" s="1171"/>
    </row>
    <row r="96" spans="1:7">
      <c r="C96" s="1171"/>
      <c r="F96" s="1171"/>
    </row>
    <row r="97" spans="3:6">
      <c r="C97" s="1171"/>
      <c r="F97" s="1171"/>
    </row>
    <row r="98" spans="3:6">
      <c r="C98" s="1171"/>
      <c r="F98" s="1171"/>
    </row>
    <row r="99" spans="3:6">
      <c r="C99" s="1171"/>
      <c r="F99" s="1171"/>
    </row>
    <row r="100" spans="3:6">
      <c r="C100" s="1171"/>
      <c r="F100" s="1171"/>
    </row>
    <row r="101" spans="3:6">
      <c r="C101" s="1171"/>
      <c r="F101" s="1171"/>
    </row>
    <row r="102" spans="3:6">
      <c r="C102" s="1171"/>
      <c r="F102" s="1171"/>
    </row>
    <row r="103" spans="3:6">
      <c r="C103" s="1171"/>
      <c r="F103" s="1171"/>
    </row>
    <row r="104" spans="3:6">
      <c r="C104" s="1171"/>
      <c r="F104" s="1171"/>
    </row>
    <row r="105" spans="3:6">
      <c r="C105" s="1171"/>
      <c r="F105" s="1171"/>
    </row>
    <row r="106" spans="3:6">
      <c r="C106" s="1171"/>
      <c r="F106" s="1171"/>
    </row>
    <row r="107" spans="3:6">
      <c r="C107" s="1171"/>
      <c r="F107" s="1171"/>
    </row>
    <row r="108" spans="3:6">
      <c r="C108" s="1171"/>
      <c r="F108" s="1171"/>
    </row>
    <row r="109" spans="3:6">
      <c r="C109" s="1171"/>
      <c r="F109" s="1171"/>
    </row>
    <row r="110" spans="3:6">
      <c r="C110" s="1171"/>
      <c r="F110" s="1171"/>
    </row>
    <row r="111" spans="3:6">
      <c r="C111" s="1171"/>
      <c r="F111" s="1171"/>
    </row>
    <row r="112" spans="3:6">
      <c r="C112" s="1171"/>
      <c r="F112" s="1171"/>
    </row>
    <row r="113" spans="3:6">
      <c r="C113" s="1171"/>
      <c r="F113" s="1171"/>
    </row>
    <row r="114" spans="3:6">
      <c r="C114" s="1171"/>
      <c r="F114" s="1171"/>
    </row>
    <row r="115" spans="3:6">
      <c r="C115" s="1171"/>
      <c r="F115" s="1171"/>
    </row>
    <row r="116" spans="3:6">
      <c r="C116" s="1171"/>
      <c r="F116" s="1171"/>
    </row>
    <row r="117" spans="3:6">
      <c r="C117" s="1171"/>
      <c r="F117" s="1171"/>
    </row>
    <row r="118" spans="3:6">
      <c r="C118" s="1171"/>
      <c r="F118" s="1171"/>
    </row>
    <row r="119" spans="3:6">
      <c r="C119" s="1171"/>
      <c r="F119" s="1171"/>
    </row>
    <row r="120" spans="3:6">
      <c r="C120" s="1171"/>
      <c r="F120" s="1171"/>
    </row>
    <row r="121" spans="3:6">
      <c r="C121" s="1171"/>
      <c r="F121" s="1171"/>
    </row>
    <row r="122" spans="3:6">
      <c r="C122" s="1171"/>
      <c r="F122" s="1171"/>
    </row>
    <row r="123" spans="3:6">
      <c r="C123" s="1171"/>
      <c r="F123" s="1171"/>
    </row>
    <row r="124" spans="3:6">
      <c r="C124" s="1171"/>
      <c r="F124" s="1171"/>
    </row>
    <row r="125" spans="3:6">
      <c r="C125" s="1171"/>
      <c r="F125" s="1171"/>
    </row>
    <row r="126" spans="3:6">
      <c r="C126" s="1171"/>
      <c r="F126" s="1171"/>
    </row>
    <row r="127" spans="3:6">
      <c r="C127" s="1171"/>
      <c r="F127" s="1171"/>
    </row>
    <row r="128" spans="3:6">
      <c r="C128" s="1171"/>
      <c r="F128" s="1171"/>
    </row>
    <row r="129" spans="3:6">
      <c r="C129" s="1171"/>
      <c r="F129" s="1171"/>
    </row>
    <row r="130" spans="3:6">
      <c r="C130" s="1171"/>
    </row>
    <row r="131" spans="3:6">
      <c r="C131" s="1171"/>
    </row>
    <row r="132" spans="3:6">
      <c r="C132" s="1171"/>
    </row>
    <row r="133" spans="3:6">
      <c r="C133" s="1171"/>
    </row>
    <row r="134" spans="3:6">
      <c r="C134" s="1171"/>
    </row>
    <row r="135" spans="3:6">
      <c r="C135" s="1171"/>
    </row>
    <row r="136" spans="3:6">
      <c r="C136" s="1171"/>
    </row>
    <row r="137" spans="3:6">
      <c r="C137" s="1171"/>
    </row>
    <row r="379" spans="2:2">
      <c r="B379" s="737"/>
    </row>
    <row r="380" spans="2:2">
      <c r="B380" s="737"/>
    </row>
    <row r="381" spans="2:2">
      <c r="B381" s="737"/>
    </row>
    <row r="382" spans="2:2">
      <c r="B382" s="737"/>
    </row>
    <row r="383" spans="2:2">
      <c r="B383" s="737"/>
    </row>
    <row r="384" spans="2:2">
      <c r="B384" s="737"/>
    </row>
    <row r="385" spans="2:2">
      <c r="B385" s="737"/>
    </row>
    <row r="386" spans="2:2">
      <c r="B386" s="737"/>
    </row>
    <row r="387" spans="2:2">
      <c r="B387" s="737"/>
    </row>
    <row r="388" spans="2:2">
      <c r="B388" s="737"/>
    </row>
    <row r="389" spans="2:2">
      <c r="B389" s="737"/>
    </row>
    <row r="390" spans="2:2">
      <c r="B390" s="737"/>
    </row>
    <row r="391" spans="2:2">
      <c r="B391" s="737"/>
    </row>
    <row r="392" spans="2:2">
      <c r="B392" s="737"/>
    </row>
    <row r="393" spans="2:2">
      <c r="B393" s="737"/>
    </row>
    <row r="394" spans="2:2">
      <c r="B394" s="737"/>
    </row>
    <row r="395" spans="2:2">
      <c r="B395" s="737"/>
    </row>
    <row r="396" spans="2:2">
      <c r="B396" s="737"/>
    </row>
    <row r="397" spans="2:2">
      <c r="B397" s="737"/>
    </row>
    <row r="398" spans="2:2">
      <c r="B398" s="737"/>
    </row>
    <row r="399" spans="2:2">
      <c r="B399" s="737"/>
    </row>
    <row r="400" spans="2:2">
      <c r="B400" s="737"/>
    </row>
    <row r="401" spans="2:2">
      <c r="B401" s="737"/>
    </row>
    <row r="402" spans="2:2">
      <c r="B402" s="737"/>
    </row>
    <row r="403" spans="2:2">
      <c r="B403" s="737"/>
    </row>
    <row r="404" spans="2:2">
      <c r="B404" s="737"/>
    </row>
    <row r="405" spans="2:2">
      <c r="B405" s="737"/>
    </row>
    <row r="406" spans="2:2">
      <c r="B406" s="737"/>
    </row>
    <row r="407" spans="2:2">
      <c r="B407" s="737"/>
    </row>
    <row r="408" spans="2:2">
      <c r="B408" s="737"/>
    </row>
    <row r="409" spans="2:2">
      <c r="B409" s="737"/>
    </row>
    <row r="410" spans="2:2">
      <c r="B410" s="737"/>
    </row>
    <row r="411" spans="2:2">
      <c r="B411" s="737"/>
    </row>
    <row r="412" spans="2:2">
      <c r="B412" s="737"/>
    </row>
    <row r="413" spans="2:2">
      <c r="B413" s="737"/>
    </row>
    <row r="414" spans="2:2">
      <c r="B414" s="737"/>
    </row>
    <row r="415" spans="2:2">
      <c r="B415" s="737"/>
    </row>
    <row r="417" spans="2:2">
      <c r="B417" s="737"/>
    </row>
    <row r="418" spans="2:2">
      <c r="B418" s="737"/>
    </row>
    <row r="419" spans="2:2">
      <c r="B419" s="737"/>
    </row>
    <row r="420" spans="2:2">
      <c r="B420" s="737"/>
    </row>
    <row r="421" spans="2:2">
      <c r="B421" s="737"/>
    </row>
    <row r="422" spans="2:2">
      <c r="B422" s="737"/>
    </row>
    <row r="423" spans="2:2">
      <c r="B423" s="737"/>
    </row>
    <row r="424" spans="2:2">
      <c r="B424" s="737"/>
    </row>
    <row r="425" spans="2:2">
      <c r="B425" s="737"/>
    </row>
    <row r="426" spans="2:2">
      <c r="B426" s="737"/>
    </row>
    <row r="427" spans="2:2">
      <c r="B427" s="737"/>
    </row>
    <row r="428" spans="2:2">
      <c r="B428" s="737"/>
    </row>
    <row r="437" spans="1:2">
      <c r="A437" s="737" t="s">
        <v>594</v>
      </c>
      <c r="B437" s="737"/>
    </row>
    <row r="439" spans="1:2">
      <c r="A439" s="737" t="s">
        <v>595</v>
      </c>
      <c r="B439" s="737"/>
    </row>
    <row r="441" spans="1:2">
      <c r="A441" s="737" t="s">
        <v>596</v>
      </c>
      <c r="B441" s="737"/>
    </row>
    <row r="443" spans="1:2">
      <c r="A443" s="737" t="s">
        <v>597</v>
      </c>
      <c r="B443" s="737"/>
    </row>
    <row r="444" spans="1:2">
      <c r="B444" s="737"/>
    </row>
    <row r="445" spans="1:2">
      <c r="B445" s="737"/>
    </row>
    <row r="446" spans="1:2">
      <c r="B446" s="737"/>
    </row>
    <row r="447" spans="1:2">
      <c r="B447" s="737"/>
    </row>
    <row r="450" spans="1:2">
      <c r="A450" s="737" t="s">
        <v>598</v>
      </c>
      <c r="B450" s="737"/>
    </row>
    <row r="452" spans="1:2">
      <c r="A452" s="737" t="s">
        <v>599</v>
      </c>
      <c r="B452" s="737"/>
    </row>
  </sheetData>
  <hyperlinks>
    <hyperlink ref="A5" location="Sch_A" display="." xr:uid="{00000000-0004-0000-0E00-000000000000}"/>
  </hyperlinks>
  <printOptions horizontalCentered="1"/>
  <pageMargins left="1" right="0.75" top="1" bottom="1" header="0.5" footer="0.5"/>
  <pageSetup scale="79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">
    <tabColor theme="4" tint="0.39997558519241921"/>
    <pageSetUpPr fitToPage="1"/>
  </sheetPr>
  <dimension ref="A1:L515"/>
  <sheetViews>
    <sheetView zoomScale="90" zoomScaleNormal="90" workbookViewId="0"/>
  </sheetViews>
  <sheetFormatPr defaultColWidth="11.44140625" defaultRowHeight="13.2"/>
  <cols>
    <col min="1" max="1" width="7.5546875" customWidth="1"/>
    <col min="2" max="2" width="11.44140625" customWidth="1"/>
    <col min="3" max="3" width="13.5546875" customWidth="1"/>
    <col min="4" max="4" width="48.5546875" bestFit="1" customWidth="1"/>
    <col min="5" max="5" width="17.5546875" customWidth="1"/>
    <col min="6" max="6" width="13.44140625" customWidth="1"/>
    <col min="7" max="7" width="16.5546875" customWidth="1"/>
    <col min="8" max="8" width="14.5546875" customWidth="1"/>
    <col min="9" max="9" width="17.5546875" customWidth="1"/>
    <col min="11" max="11" width="13.5546875" customWidth="1"/>
  </cols>
  <sheetData>
    <row r="1" spans="1:11">
      <c r="A1" s="59" t="str">
        <f>COMPANY</f>
        <v>DUKE ENERGY KENTUCKY, INC.</v>
      </c>
      <c r="B1" s="59"/>
      <c r="C1" s="59"/>
      <c r="D1" s="1155"/>
      <c r="E1" s="59"/>
      <c r="F1" s="1167"/>
      <c r="G1" s="1146"/>
      <c r="H1" s="1146"/>
      <c r="I1" s="1146"/>
      <c r="J1" s="780"/>
      <c r="K1" s="780"/>
    </row>
    <row r="2" spans="1:11">
      <c r="A2" s="59" t="str">
        <f>CASE</f>
        <v>CASE NO. 2024-00354</v>
      </c>
      <c r="B2" s="59"/>
      <c r="C2" s="59"/>
      <c r="D2" s="1155"/>
      <c r="E2" s="59"/>
      <c r="F2" s="1167"/>
      <c r="G2" s="1146"/>
      <c r="H2" s="1146"/>
      <c r="I2" s="1146"/>
      <c r="J2" s="780"/>
      <c r="K2" s="780"/>
    </row>
    <row r="3" spans="1:11">
      <c r="A3" s="59" t="s">
        <v>600</v>
      </c>
      <c r="B3" s="59"/>
      <c r="C3" s="59"/>
      <c r="D3" s="1155"/>
      <c r="E3" s="59"/>
      <c r="F3" s="1167"/>
      <c r="G3" s="1146"/>
      <c r="H3" s="1146"/>
      <c r="I3" s="1146"/>
      <c r="J3" s="780"/>
      <c r="K3" s="780"/>
    </row>
    <row r="4" spans="1:11">
      <c r="A4" s="47" t="str">
        <f>"AS OF " &amp;RIGHT(TESTYR,(LEN(TESTYR)-16))</f>
        <v>AS OF FEBRUARY 28, 2025</v>
      </c>
      <c r="B4" s="59"/>
      <c r="C4" s="59"/>
      <c r="D4" s="1155"/>
      <c r="E4" s="59"/>
      <c r="F4" s="1167"/>
      <c r="G4" s="1146"/>
      <c r="H4" s="1146"/>
      <c r="I4" s="1146"/>
      <c r="J4" s="780"/>
      <c r="K4" s="780"/>
    </row>
    <row r="5" spans="1:11">
      <c r="A5" s="1393" t="s">
        <v>55</v>
      </c>
      <c r="B5" s="59"/>
      <c r="C5" s="59"/>
      <c r="D5" s="1155"/>
      <c r="E5" s="59"/>
      <c r="F5" s="1167"/>
      <c r="G5" s="1146"/>
      <c r="H5" s="1146"/>
      <c r="I5" s="1146"/>
      <c r="J5" s="780"/>
      <c r="K5" s="780"/>
    </row>
    <row r="6" spans="1:11">
      <c r="A6" s="59" t="s">
        <v>601</v>
      </c>
      <c r="B6" s="59"/>
      <c r="C6" s="59"/>
      <c r="D6" s="1155"/>
      <c r="E6" s="59"/>
      <c r="F6" s="1167"/>
      <c r="G6" s="1146"/>
      <c r="H6" s="1146"/>
      <c r="I6" s="1146"/>
      <c r="J6" s="780"/>
      <c r="K6" s="780"/>
    </row>
    <row r="7" spans="1:11">
      <c r="A7" s="1148" t="s">
        <v>529</v>
      </c>
      <c r="B7" s="59"/>
      <c r="C7" s="59"/>
      <c r="D7" s="1155"/>
      <c r="E7" s="59"/>
      <c r="F7" s="1167"/>
      <c r="G7" s="1146"/>
      <c r="H7" s="1146"/>
      <c r="I7" s="1146"/>
      <c r="J7" s="780"/>
      <c r="K7" s="780"/>
    </row>
    <row r="8" spans="1:11">
      <c r="A8" s="750"/>
      <c r="B8" s="750"/>
      <c r="C8" s="750"/>
      <c r="D8" s="750"/>
      <c r="E8" s="750"/>
      <c r="F8" s="747"/>
      <c r="G8" s="748"/>
      <c r="H8" s="748"/>
      <c r="I8" s="748"/>
      <c r="J8" s="780"/>
      <c r="K8" s="780"/>
    </row>
    <row r="9" spans="1:11">
      <c r="A9" s="750"/>
      <c r="B9" s="750"/>
      <c r="C9" s="750"/>
      <c r="D9" s="750"/>
      <c r="E9" s="750"/>
      <c r="F9" s="747"/>
      <c r="G9" s="750"/>
      <c r="H9" s="750"/>
      <c r="I9" s="750"/>
      <c r="J9" s="780"/>
      <c r="K9" s="780"/>
    </row>
    <row r="10" spans="1:11">
      <c r="A10" s="737" t="str">
        <f>Data</f>
        <v>DATA: "X" BASE PERIOD   FORECASTED PERIOD</v>
      </c>
      <c r="B10" s="750"/>
      <c r="C10" s="750"/>
      <c r="D10" s="750"/>
      <c r="E10" s="748"/>
      <c r="F10" s="747"/>
      <c r="G10" s="748"/>
      <c r="H10" s="1165" t="s">
        <v>602</v>
      </c>
      <c r="I10" s="748"/>
      <c r="J10" s="780"/>
      <c r="K10" s="780"/>
    </row>
    <row r="11" spans="1:11">
      <c r="A11" s="737" t="str">
        <f>Type</f>
        <v xml:space="preserve">TYPE OF FILING:  "X" ORIGINAL   UPDATED    REVISED  </v>
      </c>
      <c r="B11" s="750"/>
      <c r="C11" s="750"/>
      <c r="D11" s="750"/>
      <c r="E11" s="748"/>
      <c r="F11" s="747"/>
      <c r="G11" s="748"/>
      <c r="H11" s="1165" t="s">
        <v>603</v>
      </c>
      <c r="I11" s="748"/>
      <c r="J11" s="780"/>
      <c r="K11" s="780"/>
    </row>
    <row r="12" spans="1:11">
      <c r="A12" s="737" t="s">
        <v>604</v>
      </c>
      <c r="B12" s="750"/>
      <c r="C12" s="750"/>
      <c r="D12" s="750"/>
      <c r="E12" s="748"/>
      <c r="F12" s="747"/>
      <c r="G12" s="748"/>
      <c r="H12" s="1165" t="s">
        <v>468</v>
      </c>
      <c r="I12" s="748"/>
      <c r="J12" s="780"/>
      <c r="K12" s="780"/>
    </row>
    <row r="13" spans="1:11">
      <c r="A13" s="750"/>
      <c r="B13" s="750"/>
      <c r="C13" s="750"/>
      <c r="D13" s="750"/>
      <c r="E13" s="748"/>
      <c r="F13" s="747"/>
      <c r="G13" s="748"/>
      <c r="H13" s="750" t="str">
        <f>_WIT7</f>
        <v>G. S. CARPENTER / S. S. MITCHELL</v>
      </c>
      <c r="I13" s="748"/>
      <c r="J13" s="780"/>
      <c r="K13" s="780"/>
    </row>
    <row r="14" spans="1:11">
      <c r="A14" s="750"/>
      <c r="B14" s="750"/>
      <c r="C14" s="750"/>
      <c r="D14" s="750"/>
      <c r="E14" s="748"/>
      <c r="F14" s="747"/>
      <c r="G14" s="748"/>
      <c r="H14" s="748"/>
      <c r="I14" s="748"/>
      <c r="J14" s="780"/>
      <c r="K14" s="780"/>
    </row>
    <row r="15" spans="1:11">
      <c r="A15" s="750"/>
      <c r="B15" s="750"/>
      <c r="C15" s="750"/>
      <c r="D15" s="750"/>
      <c r="E15" s="748"/>
      <c r="F15" s="747"/>
      <c r="G15" s="748"/>
      <c r="H15" s="748"/>
      <c r="I15" s="748"/>
      <c r="J15" s="780"/>
      <c r="K15" s="780"/>
    </row>
    <row r="16" spans="1:11">
      <c r="A16" s="2082"/>
      <c r="B16" s="2086"/>
      <c r="C16" s="2083"/>
      <c r="D16" s="2082"/>
      <c r="E16" s="2084"/>
      <c r="F16" s="2087"/>
      <c r="G16" s="2084"/>
      <c r="H16" s="2084"/>
      <c r="I16" s="2084"/>
      <c r="J16" s="780"/>
      <c r="K16" s="780"/>
    </row>
    <row r="17" spans="1:11">
      <c r="A17" s="52"/>
      <c r="B17" s="53" t="s">
        <v>257</v>
      </c>
      <c r="C17" s="53" t="s">
        <v>605</v>
      </c>
      <c r="D17" s="52"/>
      <c r="E17" s="49"/>
      <c r="F17" s="54"/>
      <c r="G17" s="55"/>
      <c r="H17" s="55"/>
      <c r="I17" s="55"/>
      <c r="J17" s="780"/>
      <c r="K17" s="780"/>
    </row>
    <row r="18" spans="1:11">
      <c r="A18" s="53" t="s">
        <v>573</v>
      </c>
      <c r="B18" s="53" t="s">
        <v>606</v>
      </c>
      <c r="C18" s="53" t="s">
        <v>606</v>
      </c>
      <c r="D18" s="750"/>
      <c r="E18" s="53" t="s">
        <v>13</v>
      </c>
      <c r="F18" s="1168" t="s">
        <v>574</v>
      </c>
      <c r="G18" s="1154" t="s">
        <v>574</v>
      </c>
      <c r="H18" s="748"/>
      <c r="I18" s="1154" t="s">
        <v>575</v>
      </c>
      <c r="J18" s="780"/>
      <c r="K18" s="780"/>
    </row>
    <row r="19" spans="1:11">
      <c r="A19" s="53" t="s">
        <v>576</v>
      </c>
      <c r="B19" s="53" t="s">
        <v>576</v>
      </c>
      <c r="C19" s="53" t="s">
        <v>576</v>
      </c>
      <c r="D19" s="53" t="s">
        <v>607</v>
      </c>
      <c r="E19" s="53" t="s">
        <v>418</v>
      </c>
      <c r="F19" s="1168" t="s">
        <v>420</v>
      </c>
      <c r="G19" s="1154" t="s">
        <v>258</v>
      </c>
      <c r="H19" s="1154" t="s">
        <v>578</v>
      </c>
      <c r="I19" s="1154" t="s">
        <v>579</v>
      </c>
      <c r="J19" s="780"/>
      <c r="K19" s="780"/>
    </row>
    <row r="20" spans="1:11">
      <c r="A20" s="53"/>
      <c r="B20" s="53"/>
      <c r="C20" s="53"/>
      <c r="D20" s="53"/>
      <c r="E20" s="1445"/>
      <c r="F20" s="1446"/>
      <c r="G20" s="1444"/>
      <c r="H20" s="1444"/>
      <c r="I20" s="1444"/>
      <c r="J20" s="780"/>
      <c r="K20" s="780"/>
    </row>
    <row r="21" spans="1:11">
      <c r="A21" s="2082"/>
      <c r="B21" s="2082"/>
      <c r="C21" s="2082"/>
      <c r="D21" s="2082"/>
      <c r="E21" s="1154" t="s">
        <v>580</v>
      </c>
      <c r="F21" s="747"/>
      <c r="G21" s="1154" t="s">
        <v>580</v>
      </c>
      <c r="H21" s="1154" t="s">
        <v>580</v>
      </c>
      <c r="I21" s="1154" t="s">
        <v>580</v>
      </c>
      <c r="J21" s="780"/>
      <c r="K21" s="780"/>
    </row>
    <row r="22" spans="1:11">
      <c r="A22" s="53" t="s">
        <v>382</v>
      </c>
      <c r="B22" s="750"/>
      <c r="C22" s="750"/>
      <c r="D22" s="750"/>
      <c r="E22" s="780"/>
      <c r="F22" s="2277"/>
      <c r="G22" s="780"/>
      <c r="H22" s="780"/>
      <c r="I22" s="780"/>
      <c r="J22" s="780"/>
      <c r="K22" s="780"/>
    </row>
    <row r="23" spans="1:11">
      <c r="A23" s="53">
        <v>1</v>
      </c>
      <c r="B23" s="53">
        <v>310</v>
      </c>
      <c r="C23" s="53">
        <v>3100</v>
      </c>
      <c r="D23" s="737" t="s">
        <v>608</v>
      </c>
      <c r="E23" s="30">
        <f>'SCH B-2.3'!K23</f>
        <v>7156805</v>
      </c>
      <c r="F23" s="2278">
        <v>1</v>
      </c>
      <c r="G23" s="748">
        <f t="shared" ref="G23:G32" si="0">ROUND((E23*F23),0)</f>
        <v>7156805</v>
      </c>
      <c r="H23" s="60"/>
      <c r="I23" s="748">
        <f t="shared" ref="I23:I32" si="1">G23+H23</f>
        <v>7156805</v>
      </c>
      <c r="J23" s="780"/>
      <c r="K23" s="780"/>
    </row>
    <row r="24" spans="1:11">
      <c r="A24" s="53">
        <f>A23+1</f>
        <v>2</v>
      </c>
      <c r="B24" s="53">
        <v>311</v>
      </c>
      <c r="C24" s="53">
        <v>3110</v>
      </c>
      <c r="D24" s="737" t="s">
        <v>609</v>
      </c>
      <c r="E24" s="30">
        <f>'SCH B-2.3'!K24</f>
        <v>194018982</v>
      </c>
      <c r="F24" s="2278">
        <v>1</v>
      </c>
      <c r="G24" s="748">
        <f t="shared" si="0"/>
        <v>194018982</v>
      </c>
      <c r="H24" s="748">
        <f>'SCH B-2.2'!G28</f>
        <v>-67432275</v>
      </c>
      <c r="I24" s="748">
        <f t="shared" si="1"/>
        <v>126586707</v>
      </c>
      <c r="J24" s="780"/>
      <c r="K24" s="780"/>
    </row>
    <row r="25" spans="1:11">
      <c r="A25" s="53">
        <f t="shared" ref="A25:A32" si="2">A24+1</f>
        <v>3</v>
      </c>
      <c r="B25" s="53">
        <v>312</v>
      </c>
      <c r="C25" s="53">
        <v>3120</v>
      </c>
      <c r="D25" s="737" t="s">
        <v>610</v>
      </c>
      <c r="E25" s="30">
        <f>'SCH B-2.3'!K25</f>
        <v>574616186</v>
      </c>
      <c r="F25" s="2278">
        <v>1</v>
      </c>
      <c r="G25" s="748">
        <f t="shared" si="0"/>
        <v>574616186</v>
      </c>
      <c r="H25" s="60"/>
      <c r="I25" s="748">
        <f t="shared" si="1"/>
        <v>574616186</v>
      </c>
      <c r="J25" s="780"/>
      <c r="K25" s="780"/>
    </row>
    <row r="26" spans="1:11">
      <c r="A26" s="53">
        <f t="shared" si="2"/>
        <v>4</v>
      </c>
      <c r="B26" s="53">
        <v>312</v>
      </c>
      <c r="C26" s="53">
        <v>3123</v>
      </c>
      <c r="D26" s="737" t="s">
        <v>611</v>
      </c>
      <c r="E26" s="30">
        <f>'SCH B-2.3'!K26</f>
        <v>8411575</v>
      </c>
      <c r="F26" s="2278">
        <v>1</v>
      </c>
      <c r="G26" s="748">
        <f t="shared" si="0"/>
        <v>8411575</v>
      </c>
      <c r="H26" s="60"/>
      <c r="I26" s="748">
        <f t="shared" si="1"/>
        <v>8411575</v>
      </c>
      <c r="J26" s="780"/>
      <c r="K26" s="780"/>
    </row>
    <row r="27" spans="1:11">
      <c r="A27" s="53">
        <f t="shared" si="2"/>
        <v>5</v>
      </c>
      <c r="B27" s="53">
        <v>314</v>
      </c>
      <c r="C27" s="53">
        <v>3140</v>
      </c>
      <c r="D27" s="737" t="s">
        <v>612</v>
      </c>
      <c r="E27" s="30">
        <f>'SCH B-2.3'!K27</f>
        <v>123666102</v>
      </c>
      <c r="F27" s="2278">
        <v>1</v>
      </c>
      <c r="G27" s="748">
        <f t="shared" si="0"/>
        <v>123666102</v>
      </c>
      <c r="H27" s="60"/>
      <c r="I27" s="748">
        <f t="shared" si="1"/>
        <v>123666102</v>
      </c>
      <c r="J27" s="780"/>
      <c r="K27" s="780"/>
    </row>
    <row r="28" spans="1:11">
      <c r="A28" s="53">
        <f t="shared" si="2"/>
        <v>6</v>
      </c>
      <c r="B28" s="53">
        <v>315</v>
      </c>
      <c r="C28" s="53">
        <v>3150</v>
      </c>
      <c r="D28" s="737" t="s">
        <v>613</v>
      </c>
      <c r="E28" s="30">
        <f>'SCH B-2.3'!K28</f>
        <v>50023755</v>
      </c>
      <c r="F28" s="2278">
        <v>1</v>
      </c>
      <c r="G28" s="748">
        <f t="shared" si="0"/>
        <v>50023755</v>
      </c>
      <c r="H28" s="60"/>
      <c r="I28" s="748">
        <f t="shared" si="1"/>
        <v>50023755</v>
      </c>
      <c r="J28" s="780"/>
      <c r="K28" s="780"/>
    </row>
    <row r="29" spans="1:11">
      <c r="A29" s="53">
        <f t="shared" si="2"/>
        <v>7</v>
      </c>
      <c r="B29" s="53">
        <v>316</v>
      </c>
      <c r="C29" s="53">
        <v>3160</v>
      </c>
      <c r="D29" s="737" t="s">
        <v>614</v>
      </c>
      <c r="E29" s="30">
        <f>'SCH B-2.3'!K29</f>
        <v>25602233</v>
      </c>
      <c r="F29" s="2278">
        <v>1</v>
      </c>
      <c r="G29" s="748">
        <f t="shared" si="0"/>
        <v>25602233</v>
      </c>
      <c r="H29" s="60"/>
      <c r="I29" s="748">
        <f t="shared" si="1"/>
        <v>25602233</v>
      </c>
      <c r="J29" s="780"/>
      <c r="K29" s="780"/>
    </row>
    <row r="30" spans="1:11">
      <c r="A30" s="53">
        <f t="shared" si="2"/>
        <v>8</v>
      </c>
      <c r="B30" s="53">
        <v>317</v>
      </c>
      <c r="C30" s="1249">
        <v>3170</v>
      </c>
      <c r="D30" s="737" t="s">
        <v>615</v>
      </c>
      <c r="E30" s="30">
        <f>'SCH B-2.3'!K30</f>
        <v>89027761</v>
      </c>
      <c r="F30" s="2278">
        <v>1</v>
      </c>
      <c r="G30" s="748">
        <f t="shared" si="0"/>
        <v>89027761</v>
      </c>
      <c r="H30" s="748">
        <f>'SCH B-2.2'!G23</f>
        <v>-89027761</v>
      </c>
      <c r="I30" s="748">
        <f t="shared" si="1"/>
        <v>0</v>
      </c>
      <c r="J30" s="780"/>
      <c r="K30" s="780"/>
    </row>
    <row r="31" spans="1:11">
      <c r="A31" s="53">
        <f t="shared" si="2"/>
        <v>9</v>
      </c>
      <c r="B31" s="53"/>
      <c r="C31" s="1249"/>
      <c r="D31" s="1131" t="s">
        <v>616</v>
      </c>
      <c r="E31" s="30">
        <f>'SCH B-2.3'!K31</f>
        <v>0</v>
      </c>
      <c r="F31" s="2278">
        <v>1</v>
      </c>
      <c r="G31" s="748">
        <f t="shared" si="0"/>
        <v>0</v>
      </c>
      <c r="H31" s="748">
        <f>'SCH B-2.2'!G29</f>
        <v>8154644</v>
      </c>
      <c r="I31" s="748">
        <f t="shared" si="1"/>
        <v>8154644</v>
      </c>
      <c r="J31" s="780"/>
      <c r="K31" s="780"/>
    </row>
    <row r="32" spans="1:11">
      <c r="A32" s="53">
        <f t="shared" si="2"/>
        <v>10</v>
      </c>
      <c r="B32" s="737"/>
      <c r="C32" s="737"/>
      <c r="D32" s="737" t="s">
        <v>617</v>
      </c>
      <c r="E32" s="30">
        <f>'SCH B-2.3'!K32</f>
        <v>0</v>
      </c>
      <c r="F32" s="2278">
        <v>1</v>
      </c>
      <c r="G32" s="748">
        <f t="shared" si="0"/>
        <v>0</v>
      </c>
      <c r="I32" s="748">
        <f t="shared" si="1"/>
        <v>0</v>
      </c>
      <c r="J32" s="780"/>
      <c r="K32" s="780"/>
    </row>
    <row r="33" spans="1:11">
      <c r="A33" s="53"/>
      <c r="B33" s="53"/>
      <c r="C33" s="53"/>
      <c r="D33" s="737"/>
      <c r="E33" s="30"/>
      <c r="F33" s="2278"/>
      <c r="G33" s="748"/>
      <c r="H33" s="60"/>
      <c r="I33" s="748"/>
      <c r="J33" s="780"/>
      <c r="K33" s="780"/>
    </row>
    <row r="34" spans="1:11">
      <c r="A34" s="750"/>
      <c r="B34" s="750"/>
      <c r="C34" s="750"/>
      <c r="D34" s="750"/>
      <c r="E34" s="750"/>
      <c r="F34" s="747"/>
      <c r="G34" s="750"/>
      <c r="H34" s="750"/>
      <c r="I34" s="750"/>
      <c r="J34" s="780"/>
      <c r="K34" s="780"/>
    </row>
    <row r="35" spans="1:11">
      <c r="A35" s="2082"/>
      <c r="B35" s="2082"/>
      <c r="C35" s="2082"/>
      <c r="D35" s="2082"/>
      <c r="E35" s="2082"/>
      <c r="F35" s="2087"/>
      <c r="G35" s="2082"/>
      <c r="H35" s="2082"/>
      <c r="I35" s="2082"/>
      <c r="J35" s="780"/>
      <c r="K35" s="780"/>
    </row>
    <row r="36" spans="1:11">
      <c r="A36" s="53">
        <f>A32+1</f>
        <v>11</v>
      </c>
      <c r="B36" s="750"/>
      <c r="C36" s="750"/>
      <c r="D36" s="737" t="s">
        <v>618</v>
      </c>
      <c r="E36" s="748">
        <f>SUM(E23:E33)</f>
        <v>1072523399</v>
      </c>
      <c r="F36" s="747"/>
      <c r="G36" s="748">
        <f>SUM(G23:G33)</f>
        <v>1072523399</v>
      </c>
      <c r="H36" s="748">
        <f>SUM(H23:H33)</f>
        <v>-148305392</v>
      </c>
      <c r="I36" s="748">
        <f>SUM(I23:I33)</f>
        <v>924218007</v>
      </c>
      <c r="J36" s="780"/>
      <c r="K36" s="2088" t="str">
        <f>IF(E36='SCH B-2.3'!K36,"BALANCED","ERROR")</f>
        <v>BALANCED</v>
      </c>
    </row>
    <row r="37" spans="1:11">
      <c r="A37" s="1443"/>
      <c r="B37" s="1443"/>
      <c r="C37" s="1443"/>
      <c r="D37" s="1443"/>
      <c r="E37" s="1447"/>
      <c r="F37" s="1448"/>
      <c r="G37" s="1447"/>
      <c r="H37" s="1447"/>
      <c r="I37" s="1447"/>
      <c r="J37" s="780"/>
      <c r="K37" s="780"/>
    </row>
    <row r="38" spans="1:11">
      <c r="A38" s="2082"/>
      <c r="B38" s="2082"/>
      <c r="C38" s="2082"/>
      <c r="D38" s="2082"/>
      <c r="E38" s="2082"/>
      <c r="F38" s="2087"/>
      <c r="G38" s="2082"/>
      <c r="H38" s="2082"/>
      <c r="I38" s="2082"/>
      <c r="J38" s="780"/>
      <c r="K38" s="780"/>
    </row>
    <row r="39" spans="1:11">
      <c r="A39" s="59" t="str">
        <f>COMPANY</f>
        <v>DUKE ENERGY KENTUCKY, INC.</v>
      </c>
      <c r="B39" s="59"/>
      <c r="C39" s="59"/>
      <c r="D39" s="59"/>
      <c r="E39" s="1155"/>
      <c r="F39" s="59"/>
      <c r="G39" s="59"/>
      <c r="H39" s="59"/>
      <c r="I39" s="59"/>
      <c r="J39" s="780"/>
      <c r="K39" s="59"/>
    </row>
    <row r="40" spans="1:11">
      <c r="A40" s="59" t="str">
        <f>CASE</f>
        <v>CASE NO. 2024-00354</v>
      </c>
      <c r="B40" s="59"/>
      <c r="C40" s="59"/>
      <c r="D40" s="59"/>
      <c r="E40" s="1155"/>
      <c r="F40" s="59"/>
      <c r="G40" s="59"/>
      <c r="H40" s="59"/>
      <c r="I40" s="59"/>
      <c r="J40" s="780"/>
      <c r="K40" s="59"/>
    </row>
    <row r="41" spans="1:11">
      <c r="A41" s="59" t="s">
        <v>600</v>
      </c>
      <c r="B41" s="59"/>
      <c r="C41" s="59"/>
      <c r="D41" s="59"/>
      <c r="E41" s="1155"/>
      <c r="F41" s="59"/>
      <c r="G41" s="59"/>
      <c r="H41" s="59"/>
      <c r="I41" s="59"/>
      <c r="J41" s="780"/>
      <c r="K41" s="59"/>
    </row>
    <row r="42" spans="1:11">
      <c r="A42" s="47" t="str">
        <f>"AS OF " &amp;RIGHT(TESTYR,(LEN(TESTYR)-16))</f>
        <v>AS OF FEBRUARY 28, 2025</v>
      </c>
      <c r="B42" s="59"/>
      <c r="C42" s="59"/>
      <c r="D42" s="59"/>
      <c r="E42" s="1155"/>
      <c r="F42" s="59"/>
      <c r="G42" s="59"/>
      <c r="H42" s="59"/>
      <c r="I42" s="59"/>
      <c r="J42" s="780"/>
      <c r="K42" s="59"/>
    </row>
    <row r="43" spans="1:11">
      <c r="A43" s="59"/>
      <c r="B43" s="59"/>
      <c r="C43" s="59"/>
      <c r="D43" s="59"/>
      <c r="E43" s="1155"/>
      <c r="F43" s="59"/>
      <c r="G43" s="59"/>
      <c r="H43" s="59"/>
      <c r="I43" s="59"/>
      <c r="J43" s="780"/>
      <c r="K43" s="59"/>
    </row>
    <row r="44" spans="1:11">
      <c r="A44" s="59" t="s">
        <v>619</v>
      </c>
      <c r="B44" s="59"/>
      <c r="C44" s="59"/>
      <c r="D44" s="59"/>
      <c r="E44" s="1155"/>
      <c r="F44" s="59"/>
      <c r="G44" s="59"/>
      <c r="H44" s="59"/>
      <c r="I44" s="59"/>
      <c r="J44" s="780"/>
      <c r="K44" s="59"/>
    </row>
    <row r="45" spans="1:11">
      <c r="A45" s="59"/>
      <c r="B45" s="59"/>
      <c r="C45" s="59"/>
      <c r="D45" s="59"/>
      <c r="E45" s="1155"/>
      <c r="F45" s="59"/>
      <c r="G45" s="59"/>
      <c r="H45" s="59"/>
      <c r="I45" s="59"/>
      <c r="J45" s="780"/>
      <c r="K45" s="59"/>
    </row>
    <row r="46" spans="1:11">
      <c r="A46" s="1148" t="s">
        <v>529</v>
      </c>
      <c r="B46" s="59"/>
      <c r="C46" s="59"/>
      <c r="D46" s="59"/>
      <c r="E46" s="1155"/>
      <c r="F46" s="59"/>
      <c r="G46" s="59"/>
      <c r="H46" s="59"/>
      <c r="I46" s="59"/>
      <c r="J46" s="780"/>
      <c r="K46" s="59"/>
    </row>
    <row r="47" spans="1:11">
      <c r="A47" s="750"/>
      <c r="B47" s="750"/>
      <c r="C47" s="750"/>
      <c r="D47" s="750"/>
      <c r="E47" s="750"/>
      <c r="F47" s="750"/>
      <c r="G47" s="750"/>
      <c r="H47" s="750"/>
      <c r="I47" s="750"/>
      <c r="J47" s="780"/>
      <c r="K47" s="750"/>
    </row>
    <row r="48" spans="1:11">
      <c r="A48" s="737" t="str">
        <f>Data</f>
        <v>DATA: "X" BASE PERIOD   FORECASTED PERIOD</v>
      </c>
      <c r="B48" s="750"/>
      <c r="C48" s="750"/>
      <c r="D48" s="750"/>
      <c r="E48" s="750"/>
      <c r="F48" s="750"/>
      <c r="G48" s="750"/>
      <c r="H48" s="737" t="s">
        <v>602</v>
      </c>
      <c r="I48" s="750"/>
      <c r="J48" s="780"/>
      <c r="K48" s="750"/>
    </row>
    <row r="49" spans="1:11">
      <c r="A49" s="737" t="str">
        <f>Type</f>
        <v xml:space="preserve">TYPE OF FILING:  "X" ORIGINAL   UPDATED    REVISED  </v>
      </c>
      <c r="B49" s="750"/>
      <c r="C49" s="750"/>
      <c r="D49" s="750"/>
      <c r="E49" s="750"/>
      <c r="F49" s="750"/>
      <c r="G49" s="750"/>
      <c r="H49" s="737" t="s">
        <v>620</v>
      </c>
      <c r="I49" s="750"/>
      <c r="J49" s="780"/>
      <c r="K49" s="750"/>
    </row>
    <row r="50" spans="1:11">
      <c r="A50" s="737" t="s">
        <v>604</v>
      </c>
      <c r="B50" s="750"/>
      <c r="C50" s="750"/>
      <c r="D50" s="750"/>
      <c r="E50" s="750"/>
      <c r="F50" s="750"/>
      <c r="G50" s="750"/>
      <c r="H50" s="750" t="s">
        <v>468</v>
      </c>
      <c r="I50" s="750"/>
      <c r="J50" s="780"/>
      <c r="K50" s="750"/>
    </row>
    <row r="51" spans="1:11">
      <c r="A51" s="750"/>
      <c r="B51" s="750"/>
      <c r="C51" s="750"/>
      <c r="D51" s="750"/>
      <c r="E51" s="750"/>
      <c r="F51" s="750"/>
      <c r="G51" s="750"/>
      <c r="H51" s="750" t="str">
        <f>_WIT7</f>
        <v>G. S. CARPENTER / S. S. MITCHELL</v>
      </c>
      <c r="I51" s="750"/>
      <c r="J51" s="780"/>
      <c r="K51" s="750"/>
    </row>
    <row r="52" spans="1:11">
      <c r="A52" s="750"/>
      <c r="B52" s="750"/>
      <c r="C52" s="750"/>
      <c r="D52" s="750"/>
      <c r="E52" s="750"/>
      <c r="F52" s="750"/>
      <c r="G52" s="750"/>
      <c r="H52" s="750"/>
      <c r="I52" s="750"/>
      <c r="J52" s="750"/>
      <c r="K52" s="750"/>
    </row>
    <row r="53" spans="1:11">
      <c r="A53" s="750"/>
      <c r="B53" s="750"/>
      <c r="C53" s="750"/>
      <c r="D53" s="750"/>
      <c r="E53" s="748"/>
      <c r="F53" s="747"/>
      <c r="G53" s="748"/>
      <c r="H53" s="748"/>
      <c r="I53" s="748"/>
      <c r="J53" s="750"/>
      <c r="K53" s="750"/>
    </row>
    <row r="54" spans="1:11">
      <c r="A54" s="2082"/>
      <c r="B54" s="2086"/>
      <c r="C54" s="2083"/>
      <c r="D54" s="2082"/>
      <c r="E54" s="2084"/>
      <c r="F54" s="2087"/>
      <c r="G54" s="2084"/>
      <c r="H54" s="2084"/>
      <c r="I54" s="2084"/>
      <c r="J54" s="780"/>
      <c r="K54" s="780"/>
    </row>
    <row r="55" spans="1:11">
      <c r="A55" s="52"/>
      <c r="B55" s="53" t="s">
        <v>257</v>
      </c>
      <c r="C55" s="53" t="s">
        <v>605</v>
      </c>
      <c r="D55" s="52"/>
      <c r="E55" s="49"/>
      <c r="F55" s="54"/>
      <c r="G55" s="55"/>
      <c r="H55" s="55"/>
      <c r="I55" s="55"/>
      <c r="J55" s="780"/>
      <c r="K55" s="780"/>
    </row>
    <row r="56" spans="1:11">
      <c r="A56" s="53" t="s">
        <v>573</v>
      </c>
      <c r="B56" s="53" t="s">
        <v>606</v>
      </c>
      <c r="C56" s="53" t="s">
        <v>606</v>
      </c>
      <c r="D56" s="750"/>
      <c r="E56" s="53" t="s">
        <v>13</v>
      </c>
      <c r="F56" s="1168" t="s">
        <v>574</v>
      </c>
      <c r="G56" s="1154" t="s">
        <v>574</v>
      </c>
      <c r="H56" s="748"/>
      <c r="I56" s="1154" t="s">
        <v>575</v>
      </c>
      <c r="J56" s="780"/>
      <c r="K56" s="780"/>
    </row>
    <row r="57" spans="1:11">
      <c r="A57" s="53" t="s">
        <v>576</v>
      </c>
      <c r="B57" s="53" t="s">
        <v>576</v>
      </c>
      <c r="C57" s="53" t="s">
        <v>576</v>
      </c>
      <c r="D57" s="53" t="s">
        <v>607</v>
      </c>
      <c r="E57" s="53" t="s">
        <v>418</v>
      </c>
      <c r="F57" s="1168" t="s">
        <v>420</v>
      </c>
      <c r="G57" s="1154" t="s">
        <v>258</v>
      </c>
      <c r="H57" s="1154" t="s">
        <v>578</v>
      </c>
      <c r="I57" s="1154" t="s">
        <v>579</v>
      </c>
      <c r="J57" s="780"/>
      <c r="K57" s="780"/>
    </row>
    <row r="58" spans="1:11">
      <c r="A58" s="53"/>
      <c r="B58" s="53"/>
      <c r="C58" s="53"/>
      <c r="D58" s="53"/>
      <c r="E58" s="1445"/>
      <c r="F58" s="1446"/>
      <c r="G58" s="1444"/>
      <c r="H58" s="1444"/>
      <c r="I58" s="1444"/>
      <c r="J58" s="780"/>
      <c r="K58" s="780"/>
    </row>
    <row r="59" spans="1:11">
      <c r="A59" s="2082"/>
      <c r="B59" s="2082"/>
      <c r="C59" s="2082"/>
      <c r="D59" s="2082"/>
      <c r="E59" s="1154" t="s">
        <v>580</v>
      </c>
      <c r="F59" s="747"/>
      <c r="G59" s="1154" t="s">
        <v>580</v>
      </c>
      <c r="H59" s="1154" t="s">
        <v>580</v>
      </c>
      <c r="I59" s="1154" t="s">
        <v>580</v>
      </c>
      <c r="J59" s="780"/>
      <c r="K59" s="780"/>
    </row>
    <row r="60" spans="1:11">
      <c r="A60" s="52"/>
      <c r="B60" s="52"/>
      <c r="C60" s="52"/>
      <c r="D60" s="52"/>
      <c r="E60" s="52"/>
      <c r="F60" s="54"/>
      <c r="G60" s="52"/>
      <c r="H60" s="52"/>
      <c r="I60" s="52"/>
      <c r="J60" s="780"/>
      <c r="K60" s="780"/>
    </row>
    <row r="61" spans="1:11">
      <c r="A61" s="53" t="s">
        <v>621</v>
      </c>
      <c r="B61" s="53">
        <v>340</v>
      </c>
      <c r="C61" s="53">
        <v>3400</v>
      </c>
      <c r="D61" s="737" t="s">
        <v>608</v>
      </c>
      <c r="E61" s="55">
        <f>'SCH B-2.3'!K61</f>
        <v>2318703</v>
      </c>
      <c r="F61" s="2278">
        <v>1</v>
      </c>
      <c r="G61" s="748">
        <f t="shared" ref="G61:G72" si="3">ROUND((E61*F61),0)</f>
        <v>2318703</v>
      </c>
      <c r="H61" s="52"/>
      <c r="I61" s="748">
        <f t="shared" ref="I61:I72" si="4">G61+H61</f>
        <v>2318703</v>
      </c>
      <c r="J61" s="780"/>
      <c r="K61" s="780"/>
    </row>
    <row r="62" spans="1:11">
      <c r="A62" s="53">
        <f t="shared" ref="A62:A70" si="5">A61+1</f>
        <v>2</v>
      </c>
      <c r="B62" s="53">
        <v>340</v>
      </c>
      <c r="C62" s="53">
        <v>3401</v>
      </c>
      <c r="D62" s="737" t="s">
        <v>622</v>
      </c>
      <c r="E62" s="55">
        <f>'SCH B-2.3'!K62</f>
        <v>0</v>
      </c>
      <c r="F62" s="2278">
        <v>1</v>
      </c>
      <c r="G62" s="748">
        <f t="shared" si="3"/>
        <v>0</v>
      </c>
      <c r="H62" s="52"/>
      <c r="I62" s="748">
        <f t="shared" si="4"/>
        <v>0</v>
      </c>
      <c r="J62" s="780"/>
      <c r="K62" s="780"/>
    </row>
    <row r="63" spans="1:11">
      <c r="A63" s="53">
        <f t="shared" si="5"/>
        <v>3</v>
      </c>
      <c r="B63" s="53">
        <v>341</v>
      </c>
      <c r="C63" s="53">
        <v>3410</v>
      </c>
      <c r="D63" s="737" t="s">
        <v>609</v>
      </c>
      <c r="E63" s="55">
        <f>'SCH B-2.3'!K63</f>
        <v>37650167</v>
      </c>
      <c r="F63" s="2278">
        <v>1</v>
      </c>
      <c r="G63" s="748">
        <f t="shared" si="3"/>
        <v>37650167</v>
      </c>
      <c r="H63" s="52"/>
      <c r="I63" s="748">
        <f t="shared" si="4"/>
        <v>37650167</v>
      </c>
      <c r="J63" s="780"/>
      <c r="K63" s="780"/>
    </row>
    <row r="64" spans="1:11">
      <c r="A64" s="53">
        <f t="shared" si="5"/>
        <v>4</v>
      </c>
      <c r="B64" s="53">
        <v>342</v>
      </c>
      <c r="C64" s="53">
        <v>3420</v>
      </c>
      <c r="D64" s="737" t="s">
        <v>623</v>
      </c>
      <c r="E64" s="55">
        <f>'SCH B-2.3'!K64</f>
        <v>63351603</v>
      </c>
      <c r="F64" s="2278">
        <v>1</v>
      </c>
      <c r="G64" s="748">
        <f t="shared" si="3"/>
        <v>63351603</v>
      </c>
      <c r="H64" s="52"/>
      <c r="I64" s="748">
        <f t="shared" si="4"/>
        <v>63351603</v>
      </c>
      <c r="J64" s="780"/>
      <c r="K64" s="780"/>
    </row>
    <row r="65" spans="1:11">
      <c r="A65" s="53">
        <f t="shared" si="5"/>
        <v>5</v>
      </c>
      <c r="B65" s="53">
        <v>343</v>
      </c>
      <c r="C65" s="53" t="s">
        <v>624</v>
      </c>
      <c r="D65" s="737" t="s">
        <v>625</v>
      </c>
      <c r="E65" s="55">
        <f>'SCH B-2.3'!K65</f>
        <v>10198421</v>
      </c>
      <c r="F65" s="2278">
        <v>1</v>
      </c>
      <c r="G65" s="748">
        <f t="shared" si="3"/>
        <v>10198421</v>
      </c>
      <c r="H65" s="52"/>
      <c r="I65" s="748">
        <f t="shared" si="4"/>
        <v>10198421</v>
      </c>
      <c r="J65" s="780"/>
      <c r="K65" s="780"/>
    </row>
    <row r="66" spans="1:11">
      <c r="A66" s="53">
        <f t="shared" si="5"/>
        <v>6</v>
      </c>
      <c r="B66" s="53">
        <v>344</v>
      </c>
      <c r="C66" s="53">
        <v>3440</v>
      </c>
      <c r="D66" s="737" t="s">
        <v>626</v>
      </c>
      <c r="E66" s="55">
        <f>'SCH B-2.3'!K66</f>
        <v>222318873</v>
      </c>
      <c r="F66" s="2278">
        <v>1</v>
      </c>
      <c r="G66" s="748">
        <f t="shared" si="3"/>
        <v>222318873</v>
      </c>
      <c r="H66" s="52"/>
      <c r="I66" s="748">
        <f t="shared" si="4"/>
        <v>222318873</v>
      </c>
      <c r="J66" s="780"/>
      <c r="K66" s="780"/>
    </row>
    <row r="67" spans="1:11">
      <c r="A67" s="53">
        <f t="shared" si="5"/>
        <v>7</v>
      </c>
      <c r="B67" s="53">
        <v>344</v>
      </c>
      <c r="C67" s="53">
        <v>3446</v>
      </c>
      <c r="D67" s="737" t="s">
        <v>627</v>
      </c>
      <c r="E67" s="55">
        <f>'SCH B-2.3'!K67</f>
        <v>15506692</v>
      </c>
      <c r="F67" s="2278">
        <v>1</v>
      </c>
      <c r="G67" s="748">
        <f t="shared" si="3"/>
        <v>15506692</v>
      </c>
      <c r="H67" s="52"/>
      <c r="I67" s="748">
        <f t="shared" si="4"/>
        <v>15506692</v>
      </c>
      <c r="J67" s="780"/>
      <c r="K67" s="780"/>
    </row>
    <row r="68" spans="1:11">
      <c r="A68" s="53">
        <f t="shared" si="5"/>
        <v>8</v>
      </c>
      <c r="B68" s="53">
        <v>345</v>
      </c>
      <c r="C68" s="53">
        <v>3450</v>
      </c>
      <c r="D68" s="737" t="s">
        <v>613</v>
      </c>
      <c r="E68" s="55">
        <f>'SCH B-2.3'!K68</f>
        <v>20519859</v>
      </c>
      <c r="F68" s="2278">
        <v>1</v>
      </c>
      <c r="G68" s="748">
        <f t="shared" si="3"/>
        <v>20519859</v>
      </c>
      <c r="H68" s="52"/>
      <c r="I68" s="748">
        <f t="shared" si="4"/>
        <v>20519859</v>
      </c>
      <c r="J68" s="780"/>
      <c r="K68" s="780"/>
    </row>
    <row r="69" spans="1:11">
      <c r="A69" s="53">
        <f t="shared" si="5"/>
        <v>9</v>
      </c>
      <c r="B69" s="53">
        <v>345</v>
      </c>
      <c r="C69" s="53">
        <v>3456</v>
      </c>
      <c r="D69" s="737" t="s">
        <v>628</v>
      </c>
      <c r="E69" s="55">
        <f>'SCH B-2.3'!K69</f>
        <v>3537314</v>
      </c>
      <c r="F69" s="2278">
        <v>1</v>
      </c>
      <c r="G69" s="748">
        <f t="shared" si="3"/>
        <v>3537314</v>
      </c>
      <c r="H69" s="52"/>
      <c r="I69" s="748">
        <f t="shared" si="4"/>
        <v>3537314</v>
      </c>
      <c r="J69" s="780"/>
      <c r="K69" s="780"/>
    </row>
    <row r="70" spans="1:11">
      <c r="A70" s="53">
        <f t="shared" si="5"/>
        <v>10</v>
      </c>
      <c r="B70" s="53">
        <v>346</v>
      </c>
      <c r="C70" s="53">
        <v>3460</v>
      </c>
      <c r="D70" s="737" t="s">
        <v>629</v>
      </c>
      <c r="E70" s="55">
        <f>'SCH B-2.3'!K70</f>
        <v>5700085</v>
      </c>
      <c r="F70" s="2278">
        <v>1</v>
      </c>
      <c r="G70" s="748">
        <f t="shared" si="3"/>
        <v>5700085</v>
      </c>
      <c r="H70" s="52"/>
      <c r="I70" s="748">
        <f t="shared" si="4"/>
        <v>5700085</v>
      </c>
      <c r="J70" s="780"/>
      <c r="K70" s="780"/>
    </row>
    <row r="71" spans="1:11">
      <c r="A71" s="53">
        <v>11</v>
      </c>
      <c r="B71" s="53">
        <v>347</v>
      </c>
      <c r="C71" s="53">
        <v>3476</v>
      </c>
      <c r="D71" s="737" t="s">
        <v>630</v>
      </c>
      <c r="E71" s="55">
        <f>'SCH B-2.3'!K71</f>
        <v>442832</v>
      </c>
      <c r="F71" s="2278">
        <v>1</v>
      </c>
      <c r="G71" s="748">
        <f t="shared" si="3"/>
        <v>442832</v>
      </c>
      <c r="H71" s="2279">
        <f>'SCH B-2.2'!G24</f>
        <v>-442832</v>
      </c>
      <c r="I71" s="748">
        <f t="shared" si="4"/>
        <v>0</v>
      </c>
      <c r="J71" s="780"/>
      <c r="K71" s="780"/>
    </row>
    <row r="72" spans="1:11">
      <c r="A72" s="53">
        <v>12</v>
      </c>
      <c r="B72" s="737"/>
      <c r="C72" s="737"/>
      <c r="D72" s="737" t="s">
        <v>617</v>
      </c>
      <c r="E72" s="55">
        <f>'SCH B-2.3'!K72</f>
        <v>0</v>
      </c>
      <c r="F72" s="2278">
        <v>1</v>
      </c>
      <c r="G72" s="748">
        <f t="shared" si="3"/>
        <v>0</v>
      </c>
      <c r="H72" s="52"/>
      <c r="I72" s="748">
        <f t="shared" si="4"/>
        <v>0</v>
      </c>
      <c r="J72" s="780"/>
      <c r="K72" s="780"/>
    </row>
    <row r="73" spans="1:11">
      <c r="A73" s="52"/>
      <c r="B73" s="52"/>
      <c r="C73" s="52"/>
      <c r="D73" s="52"/>
      <c r="E73" s="52"/>
      <c r="F73" s="54"/>
      <c r="G73" s="748"/>
      <c r="H73" s="52"/>
      <c r="I73" s="748"/>
      <c r="J73" s="780"/>
      <c r="K73" s="780"/>
    </row>
    <row r="74" spans="1:11">
      <c r="A74" s="750"/>
      <c r="B74" s="750"/>
      <c r="C74" s="750"/>
      <c r="D74" s="750"/>
      <c r="E74" s="750"/>
      <c r="F74" s="747"/>
      <c r="G74" s="750"/>
      <c r="H74" s="750"/>
      <c r="I74" s="750"/>
      <c r="J74" s="780"/>
      <c r="K74" s="780"/>
    </row>
    <row r="75" spans="1:11">
      <c r="A75" s="2082"/>
      <c r="B75" s="2082"/>
      <c r="C75" s="2082"/>
      <c r="D75" s="2082"/>
      <c r="E75" s="2082"/>
      <c r="F75" s="2087"/>
      <c r="G75" s="2082"/>
      <c r="H75" s="2082"/>
      <c r="I75" s="2082"/>
      <c r="J75" s="780"/>
      <c r="K75" s="780"/>
    </row>
    <row r="76" spans="1:11">
      <c r="A76" s="53">
        <f>A72+1</f>
        <v>13</v>
      </c>
      <c r="B76" s="750"/>
      <c r="C76" s="750"/>
      <c r="D76" s="737" t="s">
        <v>631</v>
      </c>
      <c r="E76" s="748">
        <f>SUM(E60:E73)</f>
        <v>381544549</v>
      </c>
      <c r="F76" s="747"/>
      <c r="G76" s="748">
        <f>SUM(G60:G73)</f>
        <v>381544549</v>
      </c>
      <c r="H76" s="748">
        <f>SUM(H60:H73)</f>
        <v>-442832</v>
      </c>
      <c r="I76" s="748">
        <f>SUM(I60:I73)</f>
        <v>381101717</v>
      </c>
      <c r="J76" s="780"/>
      <c r="K76" s="2088" t="str">
        <f>IF(E76='SCH B-2.3'!K76,"BALANCED","ERROR")</f>
        <v>BALANCED</v>
      </c>
    </row>
    <row r="77" spans="1:11">
      <c r="A77" s="1443"/>
      <c r="B77" s="1443"/>
      <c r="C77" s="1443"/>
      <c r="D77" s="1443"/>
      <c r="E77" s="1447"/>
      <c r="F77" s="1448"/>
      <c r="G77" s="1447"/>
      <c r="H77" s="1447"/>
      <c r="I77" s="1447"/>
      <c r="J77" s="780"/>
      <c r="K77" s="780"/>
    </row>
    <row r="78" spans="1:11">
      <c r="A78" s="2082"/>
      <c r="B78" s="2082"/>
      <c r="C78" s="2082"/>
      <c r="D78" s="2082"/>
      <c r="E78" s="2082"/>
      <c r="F78" s="2087"/>
      <c r="G78" s="2082"/>
      <c r="H78" s="2082"/>
      <c r="I78" s="2082"/>
      <c r="J78" s="780"/>
      <c r="K78" s="780"/>
    </row>
    <row r="79" spans="1:11">
      <c r="A79" s="59" t="str">
        <f>COMPANY</f>
        <v>DUKE ENERGY KENTUCKY, INC.</v>
      </c>
      <c r="B79" s="59"/>
      <c r="C79" s="59"/>
      <c r="D79" s="59"/>
      <c r="E79" s="59"/>
      <c r="F79" s="1167"/>
      <c r="G79" s="59"/>
      <c r="H79" s="59"/>
      <c r="I79" s="59"/>
      <c r="J79" s="780"/>
      <c r="K79" s="780"/>
    </row>
    <row r="80" spans="1:11">
      <c r="A80" s="59" t="str">
        <f>CASE</f>
        <v>CASE NO. 2024-00354</v>
      </c>
      <c r="B80" s="59"/>
      <c r="C80" s="59"/>
      <c r="D80" s="59"/>
      <c r="E80" s="59"/>
      <c r="F80" s="1167"/>
      <c r="G80" s="59"/>
      <c r="H80" s="59"/>
      <c r="I80" s="59"/>
      <c r="J80" s="780"/>
      <c r="K80" s="780"/>
    </row>
    <row r="81" spans="1:11">
      <c r="A81" s="59" t="s">
        <v>600</v>
      </c>
      <c r="B81" s="59"/>
      <c r="C81" s="59"/>
      <c r="D81" s="59"/>
      <c r="E81" s="59"/>
      <c r="F81" s="1167"/>
      <c r="G81" s="59"/>
      <c r="H81" s="59"/>
      <c r="I81" s="59"/>
      <c r="J81" s="780"/>
      <c r="K81" s="780"/>
    </row>
    <row r="82" spans="1:11">
      <c r="A82" s="47" t="str">
        <f>"AS OF " &amp;RIGHT(TESTYR,(LEN(TESTYR)-16))</f>
        <v>AS OF FEBRUARY 28, 2025</v>
      </c>
      <c r="B82" s="59"/>
      <c r="C82" s="59"/>
      <c r="D82" s="59"/>
      <c r="E82" s="59"/>
      <c r="F82" s="1167"/>
      <c r="G82" s="59"/>
      <c r="H82" s="59"/>
      <c r="I82" s="59"/>
      <c r="J82" s="780"/>
      <c r="K82" s="780"/>
    </row>
    <row r="83" spans="1:11">
      <c r="A83" s="59"/>
      <c r="B83" s="59"/>
      <c r="C83" s="59"/>
      <c r="D83" s="59"/>
      <c r="E83" s="59"/>
      <c r="F83" s="1167"/>
      <c r="G83" s="59"/>
      <c r="H83" s="59"/>
      <c r="I83" s="59"/>
      <c r="J83" s="780"/>
      <c r="K83" s="780"/>
    </row>
    <row r="84" spans="1:11">
      <c r="A84" s="59" t="s">
        <v>632</v>
      </c>
      <c r="B84" s="59"/>
      <c r="C84" s="59"/>
      <c r="D84" s="59"/>
      <c r="E84" s="59"/>
      <c r="F84" s="1167"/>
      <c r="G84" s="59"/>
      <c r="H84" s="59"/>
      <c r="I84" s="59"/>
      <c r="J84" s="780"/>
      <c r="K84" s="780"/>
    </row>
    <row r="85" spans="1:11">
      <c r="A85" s="1148" t="s">
        <v>529</v>
      </c>
      <c r="B85" s="59"/>
      <c r="C85" s="59"/>
      <c r="D85" s="59"/>
      <c r="E85" s="59"/>
      <c r="F85" s="1167"/>
      <c r="G85" s="59"/>
      <c r="H85" s="59"/>
      <c r="I85" s="59"/>
      <c r="J85" s="780"/>
      <c r="K85" s="780"/>
    </row>
    <row r="86" spans="1:11">
      <c r="A86" s="750"/>
      <c r="B86" s="750"/>
      <c r="C86" s="750"/>
      <c r="D86" s="750"/>
      <c r="E86" s="750"/>
      <c r="F86" s="747"/>
      <c r="G86" s="750"/>
      <c r="H86" s="750"/>
      <c r="I86" s="750"/>
      <c r="J86" s="780"/>
      <c r="K86" s="780"/>
    </row>
    <row r="87" spans="1:11">
      <c r="A87" s="750"/>
      <c r="B87" s="750"/>
      <c r="C87" s="750"/>
      <c r="D87" s="750"/>
      <c r="E87" s="750"/>
      <c r="F87" s="747"/>
      <c r="G87" s="750"/>
      <c r="H87" s="1165" t="str">
        <f>H10</f>
        <v>SCHEDULE B-2.1</v>
      </c>
      <c r="I87" s="750"/>
      <c r="J87" s="780"/>
      <c r="K87" s="780"/>
    </row>
    <row r="88" spans="1:11">
      <c r="A88" s="737" t="str">
        <f>Data</f>
        <v>DATA: "X" BASE PERIOD   FORECASTED PERIOD</v>
      </c>
      <c r="B88" s="750"/>
      <c r="C88" s="750"/>
      <c r="D88" s="750"/>
      <c r="E88" s="750"/>
      <c r="F88" s="747"/>
      <c r="G88" s="750"/>
      <c r="H88" s="1165" t="s">
        <v>633</v>
      </c>
      <c r="I88" s="750"/>
      <c r="J88" s="780"/>
      <c r="K88" s="780"/>
    </row>
    <row r="89" spans="1:11">
      <c r="A89" s="737" t="str">
        <f>Type</f>
        <v xml:space="preserve">TYPE OF FILING:  "X" ORIGINAL   UPDATED    REVISED  </v>
      </c>
      <c r="B89" s="750"/>
      <c r="C89" s="750"/>
      <c r="D89" s="750"/>
      <c r="E89" s="750"/>
      <c r="F89" s="747"/>
      <c r="G89" s="750"/>
      <c r="H89" s="1165" t="s">
        <v>468</v>
      </c>
      <c r="I89" s="750"/>
      <c r="J89" s="780"/>
      <c r="K89" s="780"/>
    </row>
    <row r="90" spans="1:11">
      <c r="A90" s="737" t="s">
        <v>604</v>
      </c>
      <c r="B90" s="750"/>
      <c r="C90" s="750"/>
      <c r="D90" s="750"/>
      <c r="E90" s="750"/>
      <c r="F90" s="747"/>
      <c r="G90" s="750"/>
      <c r="H90" s="750" t="str">
        <f>_WIT7</f>
        <v>G. S. CARPENTER / S. S. MITCHELL</v>
      </c>
      <c r="I90" s="750"/>
      <c r="J90" s="780"/>
      <c r="K90" s="780"/>
    </row>
    <row r="91" spans="1:11">
      <c r="A91" s="750"/>
      <c r="B91" s="750"/>
      <c r="C91" s="750"/>
      <c r="D91" s="750"/>
      <c r="E91" s="750"/>
      <c r="F91" s="747"/>
      <c r="G91" s="750"/>
      <c r="H91" s="750"/>
      <c r="I91" s="750"/>
      <c r="J91" s="780"/>
      <c r="K91" s="780"/>
    </row>
    <row r="92" spans="1:11">
      <c r="A92" s="750"/>
      <c r="B92" s="750"/>
      <c r="C92" s="750"/>
      <c r="D92" s="750"/>
      <c r="E92" s="750"/>
      <c r="F92" s="747"/>
      <c r="G92" s="750"/>
      <c r="H92" s="750"/>
      <c r="I92" s="750"/>
      <c r="J92" s="780"/>
      <c r="K92" s="780"/>
    </row>
    <row r="93" spans="1:11">
      <c r="A93" s="750"/>
      <c r="B93" s="750"/>
      <c r="C93" s="750"/>
      <c r="D93" s="750"/>
      <c r="E93" s="750"/>
      <c r="F93" s="747"/>
      <c r="G93" s="750"/>
      <c r="H93" s="750"/>
      <c r="I93" s="750"/>
      <c r="J93" s="780"/>
      <c r="K93" s="780"/>
    </row>
    <row r="94" spans="1:11">
      <c r="A94" s="2082"/>
      <c r="B94" s="2089"/>
      <c r="C94" s="2085"/>
      <c r="D94" s="2082"/>
      <c r="E94" s="2082"/>
      <c r="F94" s="2087"/>
      <c r="G94" s="2082"/>
      <c r="H94" s="2082"/>
      <c r="I94" s="2082"/>
      <c r="J94" s="780"/>
      <c r="K94" s="780"/>
    </row>
    <row r="95" spans="1:11">
      <c r="A95" s="52"/>
      <c r="B95" s="56" t="s">
        <v>257</v>
      </c>
      <c r="C95" s="56" t="s">
        <v>605</v>
      </c>
      <c r="D95" s="52"/>
      <c r="E95" s="49"/>
      <c r="F95" s="54"/>
      <c r="G95" s="52"/>
      <c r="H95" s="52"/>
      <c r="I95" s="52"/>
      <c r="J95" s="780"/>
      <c r="K95" s="780"/>
    </row>
    <row r="96" spans="1:11">
      <c r="A96" s="53" t="s">
        <v>573</v>
      </c>
      <c r="B96" s="53" t="s">
        <v>606</v>
      </c>
      <c r="C96" s="53" t="s">
        <v>606</v>
      </c>
      <c r="D96" s="750"/>
      <c r="E96" s="53" t="s">
        <v>13</v>
      </c>
      <c r="F96" s="1168" t="s">
        <v>574</v>
      </c>
      <c r="G96" s="53" t="s">
        <v>574</v>
      </c>
      <c r="H96" s="750"/>
      <c r="I96" s="53" t="s">
        <v>575</v>
      </c>
      <c r="J96" s="780"/>
      <c r="K96" s="780"/>
    </row>
    <row r="97" spans="1:11">
      <c r="A97" s="53" t="s">
        <v>576</v>
      </c>
      <c r="B97" s="53" t="s">
        <v>576</v>
      </c>
      <c r="C97" s="53" t="s">
        <v>576</v>
      </c>
      <c r="D97" s="53" t="s">
        <v>607</v>
      </c>
      <c r="E97" s="53" t="s">
        <v>418</v>
      </c>
      <c r="F97" s="1168" t="s">
        <v>420</v>
      </c>
      <c r="G97" s="53" t="s">
        <v>258</v>
      </c>
      <c r="H97" s="53" t="s">
        <v>578</v>
      </c>
      <c r="I97" s="53" t="s">
        <v>579</v>
      </c>
      <c r="J97" s="780"/>
      <c r="K97" s="780"/>
    </row>
    <row r="98" spans="1:11">
      <c r="A98" s="53"/>
      <c r="B98" s="53"/>
      <c r="C98" s="53"/>
      <c r="D98" s="53"/>
      <c r="E98" s="1445"/>
      <c r="F98" s="1446"/>
      <c r="G98" s="1445"/>
      <c r="H98" s="1445"/>
      <c r="I98" s="1445"/>
      <c r="J98" s="780"/>
      <c r="K98" s="780"/>
    </row>
    <row r="99" spans="1:11">
      <c r="A99" s="2082"/>
      <c r="B99" s="2082"/>
      <c r="C99" s="2082"/>
      <c r="D99" s="2082"/>
      <c r="E99" s="1154" t="s">
        <v>580</v>
      </c>
      <c r="F99" s="747"/>
      <c r="G99" s="53" t="s">
        <v>580</v>
      </c>
      <c r="H99" s="53" t="s">
        <v>580</v>
      </c>
      <c r="I99" s="53" t="s">
        <v>580</v>
      </c>
      <c r="J99" s="780"/>
      <c r="K99" s="780"/>
    </row>
    <row r="100" spans="1:11">
      <c r="A100" s="53" t="s">
        <v>382</v>
      </c>
      <c r="B100" s="750"/>
      <c r="C100" s="750"/>
      <c r="D100" s="750"/>
      <c r="E100" s="780"/>
      <c r="F100" s="2277"/>
      <c r="G100" s="780"/>
      <c r="H100" s="780"/>
      <c r="I100" s="780"/>
      <c r="J100" s="780"/>
      <c r="K100" s="780"/>
    </row>
    <row r="101" spans="1:11">
      <c r="A101" s="53">
        <v>1</v>
      </c>
      <c r="B101" s="33">
        <v>350</v>
      </c>
      <c r="C101" s="33">
        <v>3500</v>
      </c>
      <c r="D101" s="32" t="s">
        <v>634</v>
      </c>
      <c r="E101" s="30">
        <f>'SCH B-2.3'!K101</f>
        <v>314145</v>
      </c>
      <c r="F101" s="2278">
        <v>1</v>
      </c>
      <c r="G101" s="748">
        <f t="shared" ref="G101:G111" si="6">ROUND((E101*F101),0)</f>
        <v>314145</v>
      </c>
      <c r="H101" s="1169"/>
      <c r="I101" s="748">
        <f t="shared" ref="I101:I111" si="7">G101+H101</f>
        <v>314145</v>
      </c>
      <c r="J101" s="780"/>
      <c r="K101" s="780"/>
    </row>
    <row r="102" spans="1:11">
      <c r="A102" s="53">
        <f t="shared" ref="A102:A111" si="8">A101+1</f>
        <v>2</v>
      </c>
      <c r="B102" s="33">
        <v>350</v>
      </c>
      <c r="C102" s="33">
        <v>3501</v>
      </c>
      <c r="D102" s="32" t="s">
        <v>622</v>
      </c>
      <c r="E102" s="30">
        <f>'SCH B-2.3'!K102</f>
        <v>9374493</v>
      </c>
      <c r="F102" s="2278">
        <v>1</v>
      </c>
      <c r="G102" s="748">
        <f t="shared" si="6"/>
        <v>9374493</v>
      </c>
      <c r="H102" s="1169"/>
      <c r="I102" s="748">
        <f t="shared" si="7"/>
        <v>9374493</v>
      </c>
      <c r="J102" s="780"/>
      <c r="K102" s="780"/>
    </row>
    <row r="103" spans="1:11">
      <c r="A103" s="53">
        <f t="shared" si="8"/>
        <v>3</v>
      </c>
      <c r="B103" s="33">
        <v>352</v>
      </c>
      <c r="C103" s="33">
        <v>3520</v>
      </c>
      <c r="D103" s="32" t="s">
        <v>609</v>
      </c>
      <c r="E103" s="30">
        <f>'SCH B-2.3'!K103</f>
        <v>6147168</v>
      </c>
      <c r="F103" s="2278">
        <v>1</v>
      </c>
      <c r="G103" s="748">
        <f t="shared" si="6"/>
        <v>6147168</v>
      </c>
      <c r="H103" s="1169"/>
      <c r="I103" s="748">
        <f t="shared" si="7"/>
        <v>6147168</v>
      </c>
      <c r="J103" s="780"/>
      <c r="K103" s="780"/>
    </row>
    <row r="104" spans="1:11">
      <c r="A104" s="53">
        <f t="shared" si="8"/>
        <v>4</v>
      </c>
      <c r="B104" s="33">
        <v>353</v>
      </c>
      <c r="C104" s="33">
        <v>3530</v>
      </c>
      <c r="D104" s="32" t="s">
        <v>635</v>
      </c>
      <c r="E104" s="30">
        <f>'SCH B-2.3'!K104</f>
        <v>33219269</v>
      </c>
      <c r="F104" s="2278">
        <v>1</v>
      </c>
      <c r="G104" s="748">
        <f t="shared" si="6"/>
        <v>33219269</v>
      </c>
      <c r="H104" s="1169"/>
      <c r="I104" s="748">
        <f t="shared" si="7"/>
        <v>33219269</v>
      </c>
      <c r="J104" s="780"/>
      <c r="K104" s="780"/>
    </row>
    <row r="105" spans="1:11">
      <c r="A105" s="53">
        <f t="shared" si="8"/>
        <v>5</v>
      </c>
      <c r="B105" s="33">
        <v>353</v>
      </c>
      <c r="C105" s="33">
        <v>3531</v>
      </c>
      <c r="D105" s="32" t="s">
        <v>636</v>
      </c>
      <c r="E105" s="30">
        <f>'SCH B-2.3'!K105</f>
        <v>9541207</v>
      </c>
      <c r="F105" s="2278">
        <v>1</v>
      </c>
      <c r="G105" s="748">
        <f t="shared" si="6"/>
        <v>9541207</v>
      </c>
      <c r="H105" s="1169"/>
      <c r="I105" s="748">
        <f t="shared" si="7"/>
        <v>9541207</v>
      </c>
      <c r="J105" s="780"/>
      <c r="K105" s="780"/>
    </row>
    <row r="106" spans="1:11">
      <c r="A106" s="53">
        <f t="shared" si="8"/>
        <v>6</v>
      </c>
      <c r="B106" s="33">
        <v>353</v>
      </c>
      <c r="C106" s="33">
        <v>3532</v>
      </c>
      <c r="D106" s="32" t="s">
        <v>637</v>
      </c>
      <c r="E106" s="30">
        <f>'SCH B-2.3'!K106</f>
        <v>11653302</v>
      </c>
      <c r="F106" s="2278">
        <v>1</v>
      </c>
      <c r="G106" s="748">
        <f t="shared" si="6"/>
        <v>11653302</v>
      </c>
      <c r="H106" s="1169"/>
      <c r="I106" s="748">
        <f t="shared" si="7"/>
        <v>11653302</v>
      </c>
      <c r="J106" s="780"/>
      <c r="K106" s="780"/>
    </row>
    <row r="107" spans="1:11">
      <c r="A107" s="53">
        <f t="shared" si="8"/>
        <v>7</v>
      </c>
      <c r="B107" s="33">
        <v>353</v>
      </c>
      <c r="C107" s="33">
        <v>3534</v>
      </c>
      <c r="D107" s="32" t="s">
        <v>638</v>
      </c>
      <c r="E107" s="30">
        <f>'SCH B-2.3'!K107</f>
        <v>7806178</v>
      </c>
      <c r="F107" s="2278">
        <v>1</v>
      </c>
      <c r="G107" s="748">
        <f t="shared" si="6"/>
        <v>7806178</v>
      </c>
      <c r="H107" s="1169"/>
      <c r="I107" s="748">
        <f t="shared" si="7"/>
        <v>7806178</v>
      </c>
      <c r="J107" s="780"/>
      <c r="K107" s="780"/>
    </row>
    <row r="108" spans="1:11">
      <c r="A108" s="53">
        <f t="shared" si="8"/>
        <v>8</v>
      </c>
      <c r="B108" s="33">
        <v>355</v>
      </c>
      <c r="C108" s="33">
        <v>3550</v>
      </c>
      <c r="D108" s="32" t="s">
        <v>639</v>
      </c>
      <c r="E108" s="30">
        <f>'SCH B-2.3'!K108</f>
        <v>41484390</v>
      </c>
      <c r="F108" s="2278">
        <v>1</v>
      </c>
      <c r="G108" s="748">
        <f t="shared" si="6"/>
        <v>41484390</v>
      </c>
      <c r="H108" s="1169"/>
      <c r="I108" s="748">
        <f t="shared" si="7"/>
        <v>41484390</v>
      </c>
      <c r="J108" s="780"/>
      <c r="K108" s="780"/>
    </row>
    <row r="109" spans="1:11">
      <c r="A109" s="53">
        <f t="shared" si="8"/>
        <v>9</v>
      </c>
      <c r="B109" s="33">
        <v>356</v>
      </c>
      <c r="C109" s="33">
        <v>3560</v>
      </c>
      <c r="D109" s="32" t="s">
        <v>640</v>
      </c>
      <c r="E109" s="30">
        <f>'SCH B-2.3'!K109</f>
        <v>19926570</v>
      </c>
      <c r="F109" s="2278">
        <v>1</v>
      </c>
      <c r="G109" s="748">
        <f t="shared" si="6"/>
        <v>19926570</v>
      </c>
      <c r="H109" s="1169"/>
      <c r="I109" s="748">
        <f t="shared" si="7"/>
        <v>19926570</v>
      </c>
      <c r="J109" s="780"/>
      <c r="K109" s="780"/>
    </row>
    <row r="110" spans="1:11">
      <c r="A110" s="53">
        <f t="shared" si="8"/>
        <v>10</v>
      </c>
      <c r="B110" s="33">
        <v>356</v>
      </c>
      <c r="C110" s="33">
        <v>3561</v>
      </c>
      <c r="D110" s="32" t="s">
        <v>641</v>
      </c>
      <c r="E110" s="30">
        <f>'SCH B-2.3'!K110</f>
        <v>2906699</v>
      </c>
      <c r="F110" s="2278">
        <v>1</v>
      </c>
      <c r="G110" s="748">
        <f t="shared" si="6"/>
        <v>2906699</v>
      </c>
      <c r="H110" s="1169"/>
      <c r="I110" s="748">
        <f t="shared" si="7"/>
        <v>2906699</v>
      </c>
      <c r="J110" s="780"/>
      <c r="K110" s="780"/>
    </row>
    <row r="111" spans="1:11">
      <c r="A111" s="53">
        <f t="shared" si="8"/>
        <v>11</v>
      </c>
      <c r="B111" s="32"/>
      <c r="C111" s="32"/>
      <c r="D111" s="32" t="s">
        <v>617</v>
      </c>
      <c r="E111" s="30">
        <f>'SCH B-2.3'!K111</f>
        <v>0</v>
      </c>
      <c r="F111" s="2278">
        <v>1</v>
      </c>
      <c r="G111" s="748">
        <f t="shared" si="6"/>
        <v>0</v>
      </c>
      <c r="H111" s="1169"/>
      <c r="I111" s="748">
        <f t="shared" si="7"/>
        <v>0</v>
      </c>
      <c r="J111" s="780"/>
      <c r="K111" s="780"/>
    </row>
    <row r="112" spans="1:11">
      <c r="A112" s="53"/>
      <c r="B112" s="32"/>
      <c r="C112" s="32"/>
      <c r="D112" s="32"/>
      <c r="E112" s="30"/>
      <c r="F112" s="747"/>
      <c r="G112" s="748"/>
      <c r="H112" s="1169"/>
      <c r="I112" s="748"/>
      <c r="J112" s="780"/>
      <c r="K112" s="780"/>
    </row>
    <row r="113" spans="1:11">
      <c r="A113" s="750"/>
      <c r="B113" s="750"/>
      <c r="C113" s="750"/>
      <c r="D113" s="750"/>
      <c r="E113" s="748"/>
      <c r="F113" s="747"/>
      <c r="G113" s="748"/>
      <c r="H113" s="748"/>
      <c r="I113" s="748"/>
      <c r="J113" s="780"/>
      <c r="K113" s="780"/>
    </row>
    <row r="114" spans="1:11">
      <c r="A114" s="2082"/>
      <c r="B114" s="2082"/>
      <c r="C114" s="2082"/>
      <c r="D114" s="2082"/>
      <c r="E114" s="2084"/>
      <c r="F114" s="2087"/>
      <c r="G114" s="2084"/>
      <c r="H114" s="2084"/>
      <c r="I114" s="2084"/>
      <c r="J114" s="780"/>
      <c r="K114" s="780"/>
    </row>
    <row r="115" spans="1:11">
      <c r="A115" s="53">
        <v>12</v>
      </c>
      <c r="B115" s="750"/>
      <c r="C115" s="750"/>
      <c r="D115" s="737" t="s">
        <v>642</v>
      </c>
      <c r="E115" s="748">
        <f>SUM(E101:E111)</f>
        <v>142373421</v>
      </c>
      <c r="F115" s="747"/>
      <c r="G115" s="748">
        <f>SUM(G101:G111)</f>
        <v>142373421</v>
      </c>
      <c r="H115" s="748">
        <f>SUM(H101:H111)</f>
        <v>0</v>
      </c>
      <c r="I115" s="748">
        <f>SUM(I101:I111)</f>
        <v>142373421</v>
      </c>
      <c r="J115" s="780"/>
      <c r="K115" s="2088" t="str">
        <f>IF(E115='SCH B-2.3'!K115,"BALANCED","ERROR")</f>
        <v>BALANCED</v>
      </c>
    </row>
    <row r="116" spans="1:11">
      <c r="A116" s="1443"/>
      <c r="B116" s="1443"/>
      <c r="C116" s="1443"/>
      <c r="D116" s="1443"/>
      <c r="E116" s="1447"/>
      <c r="F116" s="1448"/>
      <c r="G116" s="1447"/>
      <c r="H116" s="1447"/>
      <c r="I116" s="1447"/>
      <c r="J116" s="780"/>
      <c r="K116" s="780"/>
    </row>
    <row r="117" spans="1:11">
      <c r="A117" s="750"/>
      <c r="B117" s="750"/>
      <c r="C117" s="750"/>
      <c r="D117" s="750"/>
      <c r="E117" s="748"/>
      <c r="F117" s="747"/>
      <c r="G117" s="748"/>
      <c r="H117" s="748"/>
      <c r="I117" s="748"/>
      <c r="J117" s="780"/>
      <c r="K117" s="780"/>
    </row>
    <row r="118" spans="1:11">
      <c r="A118" s="59" t="str">
        <f>A1</f>
        <v>DUKE ENERGY KENTUCKY, INC.</v>
      </c>
      <c r="B118" s="59"/>
      <c r="C118" s="59"/>
      <c r="D118" s="59"/>
      <c r="E118" s="59"/>
      <c r="F118" s="1167"/>
      <c r="G118" s="59"/>
      <c r="H118" s="59"/>
      <c r="I118" s="59"/>
      <c r="J118" s="780"/>
      <c r="K118" s="780"/>
    </row>
    <row r="119" spans="1:11">
      <c r="A119" s="59" t="str">
        <f>A2</f>
        <v>CASE NO. 2024-00354</v>
      </c>
      <c r="B119" s="59"/>
      <c r="C119" s="59"/>
      <c r="D119" s="59"/>
      <c r="E119" s="59"/>
      <c r="F119" s="1167"/>
      <c r="G119" s="59"/>
      <c r="H119" s="59"/>
      <c r="I119" s="59"/>
      <c r="J119" s="780"/>
      <c r="K119" s="780"/>
    </row>
    <row r="120" spans="1:11">
      <c r="A120" s="59" t="str">
        <f>A3</f>
        <v>PLANT IN SERVICE BY ACCOUNTS AND SUBACCOUNTS</v>
      </c>
      <c r="B120" s="59"/>
      <c r="C120" s="59"/>
      <c r="D120" s="59"/>
      <c r="E120" s="59"/>
      <c r="F120" s="1167"/>
      <c r="G120" s="59"/>
      <c r="H120" s="59"/>
      <c r="I120" s="59"/>
      <c r="J120" s="780"/>
      <c r="K120" s="780"/>
    </row>
    <row r="121" spans="1:11">
      <c r="A121" s="59" t="str">
        <f>A4</f>
        <v>AS OF FEBRUARY 28, 2025</v>
      </c>
      <c r="B121" s="59"/>
      <c r="C121" s="59"/>
      <c r="D121" s="59"/>
      <c r="E121" s="59"/>
      <c r="F121" s="1167"/>
      <c r="G121" s="59"/>
      <c r="H121" s="59"/>
      <c r="I121" s="59"/>
      <c r="J121" s="780"/>
      <c r="K121" s="780"/>
    </row>
    <row r="122" spans="1:11">
      <c r="A122" s="59"/>
      <c r="B122" s="59"/>
      <c r="C122" s="59"/>
      <c r="D122" s="59"/>
      <c r="E122" s="59"/>
      <c r="F122" s="1167"/>
      <c r="G122" s="59"/>
      <c r="H122" s="59"/>
      <c r="I122" s="59"/>
      <c r="J122" s="780"/>
      <c r="K122" s="780"/>
    </row>
    <row r="123" spans="1:11">
      <c r="A123" s="59" t="s">
        <v>643</v>
      </c>
      <c r="B123" s="59"/>
      <c r="C123" s="59"/>
      <c r="D123" s="59"/>
      <c r="E123" s="59"/>
      <c r="F123" s="1167"/>
      <c r="G123" s="59"/>
      <c r="H123" s="59"/>
      <c r="I123" s="59"/>
      <c r="J123" s="780"/>
      <c r="K123" s="780"/>
    </row>
    <row r="124" spans="1:11">
      <c r="A124" s="1148" t="s">
        <v>529</v>
      </c>
      <c r="B124" s="59"/>
      <c r="C124" s="59"/>
      <c r="D124" s="59"/>
      <c r="E124" s="59"/>
      <c r="F124" s="1167"/>
      <c r="G124" s="59"/>
      <c r="H124" s="59"/>
      <c r="I124" s="59"/>
      <c r="J124" s="780"/>
      <c r="K124" s="780"/>
    </row>
    <row r="125" spans="1:11">
      <c r="A125" s="750"/>
      <c r="B125" s="750"/>
      <c r="C125" s="750"/>
      <c r="D125" s="750"/>
      <c r="E125" s="750"/>
      <c r="F125" s="747"/>
      <c r="G125" s="750"/>
      <c r="H125" s="750"/>
      <c r="I125" s="750"/>
      <c r="J125" s="780"/>
      <c r="K125" s="780"/>
    </row>
    <row r="126" spans="1:11">
      <c r="A126" s="750"/>
      <c r="B126" s="750"/>
      <c r="C126" s="750"/>
      <c r="D126" s="750"/>
      <c r="E126" s="750"/>
      <c r="F126" s="747"/>
      <c r="G126" s="750"/>
      <c r="H126" s="1165" t="str">
        <f>H10</f>
        <v>SCHEDULE B-2.1</v>
      </c>
      <c r="I126" s="750"/>
      <c r="J126" s="780"/>
      <c r="K126" s="780"/>
    </row>
    <row r="127" spans="1:11">
      <c r="A127" s="737" t="str">
        <f>A10</f>
        <v>DATA: "X" BASE PERIOD   FORECASTED PERIOD</v>
      </c>
      <c r="B127" s="750"/>
      <c r="C127" s="750"/>
      <c r="D127" s="750"/>
      <c r="E127" s="750"/>
      <c r="F127" s="747"/>
      <c r="G127" s="750"/>
      <c r="H127" s="1165" t="s">
        <v>644</v>
      </c>
      <c r="I127" s="750"/>
      <c r="J127" s="780"/>
      <c r="K127" s="780"/>
    </row>
    <row r="128" spans="1:11">
      <c r="A128" s="737" t="str">
        <f>A11</f>
        <v xml:space="preserve">TYPE OF FILING:  "X" ORIGINAL   UPDATED    REVISED  </v>
      </c>
      <c r="B128" s="750"/>
      <c r="C128" s="750"/>
      <c r="D128" s="750"/>
      <c r="E128" s="750"/>
      <c r="F128" s="747"/>
      <c r="G128" s="750"/>
      <c r="H128" s="1165" t="s">
        <v>468</v>
      </c>
      <c r="I128" s="750"/>
      <c r="J128" s="780"/>
      <c r="K128" s="780"/>
    </row>
    <row r="129" spans="1:12">
      <c r="A129" s="737" t="str">
        <f>A12</f>
        <v>WORK PAPER REFERENCE NO(S).: SCHEDULE B-2.2, SCHEDULE B-2.3</v>
      </c>
      <c r="B129" s="750"/>
      <c r="C129" s="750"/>
      <c r="D129" s="750"/>
      <c r="E129" s="750"/>
      <c r="F129" s="747"/>
      <c r="G129" s="750"/>
      <c r="H129" s="750" t="str">
        <f>H13</f>
        <v>G. S. CARPENTER / S. S. MITCHELL</v>
      </c>
      <c r="I129" s="750"/>
      <c r="J129" s="780"/>
      <c r="K129" s="780"/>
    </row>
    <row r="130" spans="1:12">
      <c r="A130" s="750"/>
      <c r="B130" s="750"/>
      <c r="C130" s="750"/>
      <c r="D130" s="750"/>
      <c r="E130" s="750"/>
      <c r="F130" s="747"/>
      <c r="G130" s="750"/>
      <c r="H130" s="750"/>
      <c r="I130" s="750"/>
      <c r="J130" s="780"/>
      <c r="K130" s="780"/>
    </row>
    <row r="131" spans="1:12">
      <c r="A131" s="750"/>
      <c r="B131" s="750"/>
      <c r="C131" s="750"/>
      <c r="D131" s="750"/>
      <c r="E131" s="750"/>
      <c r="F131" s="747"/>
      <c r="G131" s="750"/>
      <c r="H131" s="750"/>
      <c r="I131" s="750"/>
      <c r="J131" s="780"/>
      <c r="K131" s="780"/>
    </row>
    <row r="132" spans="1:12">
      <c r="A132" s="750"/>
      <c r="B132" s="750"/>
      <c r="C132" s="750"/>
      <c r="D132" s="750"/>
      <c r="E132" s="750"/>
      <c r="F132" s="747"/>
      <c r="G132" s="750"/>
      <c r="H132" s="750"/>
      <c r="I132" s="750"/>
      <c r="J132" s="780"/>
      <c r="K132" s="780"/>
    </row>
    <row r="133" spans="1:12">
      <c r="A133" s="2082"/>
      <c r="B133" s="2089"/>
      <c r="C133" s="2085"/>
      <c r="D133" s="2082"/>
      <c r="E133" s="2082"/>
      <c r="F133" s="2087"/>
      <c r="G133" s="2082"/>
      <c r="H133" s="2082"/>
      <c r="I133" s="2082"/>
      <c r="J133" s="780"/>
      <c r="K133" s="780"/>
    </row>
    <row r="134" spans="1:12">
      <c r="A134" s="52"/>
      <c r="B134" s="56" t="s">
        <v>257</v>
      </c>
      <c r="C134" s="56" t="s">
        <v>605</v>
      </c>
      <c r="D134" s="52"/>
      <c r="E134" s="49"/>
      <c r="F134" s="54"/>
      <c r="G134" s="52"/>
      <c r="H134" s="52"/>
      <c r="I134" s="52"/>
      <c r="J134" s="780"/>
      <c r="K134" s="780"/>
    </row>
    <row r="135" spans="1:12">
      <c r="A135" s="53" t="s">
        <v>573</v>
      </c>
      <c r="B135" s="53" t="s">
        <v>606</v>
      </c>
      <c r="C135" s="53" t="s">
        <v>606</v>
      </c>
      <c r="D135" s="750"/>
      <c r="E135" s="53" t="s">
        <v>13</v>
      </c>
      <c r="F135" s="1168" t="s">
        <v>574</v>
      </c>
      <c r="G135" s="53" t="s">
        <v>574</v>
      </c>
      <c r="H135" s="750"/>
      <c r="I135" s="53" t="s">
        <v>575</v>
      </c>
      <c r="J135" s="780"/>
      <c r="K135" s="780"/>
    </row>
    <row r="136" spans="1:12">
      <c r="A136" s="53" t="s">
        <v>576</v>
      </c>
      <c r="B136" s="53" t="s">
        <v>576</v>
      </c>
      <c r="C136" s="53" t="s">
        <v>576</v>
      </c>
      <c r="D136" s="53" t="s">
        <v>607</v>
      </c>
      <c r="E136" s="53" t="s">
        <v>418</v>
      </c>
      <c r="F136" s="1168" t="s">
        <v>420</v>
      </c>
      <c r="G136" s="53" t="s">
        <v>258</v>
      </c>
      <c r="H136" s="53" t="s">
        <v>578</v>
      </c>
      <c r="I136" s="53" t="s">
        <v>579</v>
      </c>
      <c r="J136" s="780"/>
      <c r="K136" s="780"/>
    </row>
    <row r="137" spans="1:12">
      <c r="A137" s="53"/>
      <c r="B137" s="53"/>
      <c r="C137" s="53"/>
      <c r="D137" s="53"/>
      <c r="E137" s="1445"/>
      <c r="F137" s="1446"/>
      <c r="G137" s="1445"/>
      <c r="H137" s="1445"/>
      <c r="I137" s="1445"/>
      <c r="J137" s="780"/>
      <c r="K137" s="780"/>
    </row>
    <row r="138" spans="1:12">
      <c r="A138" s="2082"/>
      <c r="B138" s="2082"/>
      <c r="C138" s="2082"/>
      <c r="D138" s="2082"/>
      <c r="E138" s="1154" t="s">
        <v>580</v>
      </c>
      <c r="F138" s="747"/>
      <c r="G138" s="53" t="s">
        <v>580</v>
      </c>
      <c r="H138" s="53" t="s">
        <v>580</v>
      </c>
      <c r="I138" s="53" t="s">
        <v>580</v>
      </c>
      <c r="J138" s="780"/>
      <c r="K138" s="780"/>
    </row>
    <row r="139" spans="1:12">
      <c r="A139" s="53" t="s">
        <v>382</v>
      </c>
      <c r="B139" s="750"/>
      <c r="C139" s="750"/>
      <c r="D139" s="750"/>
      <c r="E139" s="780"/>
      <c r="F139" s="2277"/>
      <c r="G139" s="780"/>
      <c r="H139" s="780"/>
      <c r="I139" s="780"/>
      <c r="J139" s="780"/>
      <c r="K139" s="780"/>
    </row>
    <row r="140" spans="1:12">
      <c r="A140" s="53">
        <v>1</v>
      </c>
      <c r="B140" s="53">
        <v>360</v>
      </c>
      <c r="C140" s="53">
        <v>3600</v>
      </c>
      <c r="D140" s="737" t="s">
        <v>608</v>
      </c>
      <c r="E140" s="30">
        <f>'SCH B-2.3'!K140</f>
        <v>17351770</v>
      </c>
      <c r="F140" s="2278">
        <v>1</v>
      </c>
      <c r="G140" s="748">
        <f t="shared" ref="G140:G163" si="9">ROUND((E140*F140),0)</f>
        <v>17351770</v>
      </c>
      <c r="H140" s="1169"/>
      <c r="I140" s="748">
        <f t="shared" ref="I140:I163" si="10">G140+H140</f>
        <v>17351770</v>
      </c>
      <c r="J140" s="780"/>
      <c r="K140" s="780"/>
      <c r="L140" s="28"/>
    </row>
    <row r="141" spans="1:12">
      <c r="A141" s="53">
        <f t="shared" ref="A141:A163" si="11">A140+1</f>
        <v>2</v>
      </c>
      <c r="B141" s="53">
        <v>360</v>
      </c>
      <c r="C141" s="53">
        <v>3601</v>
      </c>
      <c r="D141" s="737" t="s">
        <v>622</v>
      </c>
      <c r="E141" s="30">
        <f>'SCH B-2.3'!K141</f>
        <v>5686385</v>
      </c>
      <c r="F141" s="2278">
        <v>1</v>
      </c>
      <c r="G141" s="748">
        <f t="shared" si="9"/>
        <v>5686385</v>
      </c>
      <c r="H141" s="1169"/>
      <c r="I141" s="748">
        <f t="shared" si="10"/>
        <v>5686385</v>
      </c>
      <c r="J141" s="780"/>
      <c r="K141" s="780"/>
      <c r="L141" s="28"/>
    </row>
    <row r="142" spans="1:12">
      <c r="A142" s="53">
        <f t="shared" si="11"/>
        <v>3</v>
      </c>
      <c r="B142" s="53">
        <v>361</v>
      </c>
      <c r="C142" s="53">
        <v>3610</v>
      </c>
      <c r="D142" s="737" t="s">
        <v>609</v>
      </c>
      <c r="E142" s="30">
        <f>'SCH B-2.3'!K142</f>
        <v>3243052</v>
      </c>
      <c r="F142" s="2278">
        <v>1</v>
      </c>
      <c r="G142" s="748">
        <f t="shared" si="9"/>
        <v>3243052</v>
      </c>
      <c r="H142" s="1169"/>
      <c r="I142" s="748">
        <f t="shared" si="10"/>
        <v>3243052</v>
      </c>
      <c r="J142" s="780"/>
      <c r="K142" s="780"/>
      <c r="L142" s="28"/>
    </row>
    <row r="143" spans="1:12">
      <c r="A143" s="53">
        <f t="shared" si="11"/>
        <v>4</v>
      </c>
      <c r="B143" s="53">
        <v>362</v>
      </c>
      <c r="C143" s="53">
        <v>3620</v>
      </c>
      <c r="D143" s="737" t="s">
        <v>635</v>
      </c>
      <c r="E143" s="30">
        <f>'SCH B-2.3'!K143</f>
        <v>96312838</v>
      </c>
      <c r="F143" s="2278">
        <v>1</v>
      </c>
      <c r="G143" s="748">
        <f t="shared" si="9"/>
        <v>96312838</v>
      </c>
      <c r="H143" s="1169"/>
      <c r="I143" s="748">
        <f t="shared" si="10"/>
        <v>96312838</v>
      </c>
      <c r="J143" s="780"/>
      <c r="K143" s="780"/>
      <c r="L143" s="28"/>
    </row>
    <row r="144" spans="1:12">
      <c r="A144" s="53">
        <f t="shared" si="11"/>
        <v>5</v>
      </c>
      <c r="B144" s="53">
        <v>362</v>
      </c>
      <c r="C144" s="53">
        <v>3622</v>
      </c>
      <c r="D144" s="737" t="s">
        <v>637</v>
      </c>
      <c r="E144" s="30">
        <f>'SCH B-2.3'!K144</f>
        <v>51263838</v>
      </c>
      <c r="F144" s="2278">
        <v>1</v>
      </c>
      <c r="G144" s="748">
        <f t="shared" si="9"/>
        <v>51263838</v>
      </c>
      <c r="H144" s="1169"/>
      <c r="I144" s="748">
        <f t="shared" si="10"/>
        <v>51263838</v>
      </c>
      <c r="J144" s="780"/>
      <c r="K144" s="780"/>
      <c r="L144" s="28"/>
    </row>
    <row r="145" spans="1:12">
      <c r="A145" s="53">
        <f t="shared" si="11"/>
        <v>6</v>
      </c>
      <c r="B145" s="53">
        <v>363</v>
      </c>
      <c r="C145" s="53">
        <v>3630</v>
      </c>
      <c r="D145" s="737" t="s">
        <v>645</v>
      </c>
      <c r="E145" s="30">
        <f>'SCH B-2.3'!K145</f>
        <v>0</v>
      </c>
      <c r="F145" s="2278">
        <v>1</v>
      </c>
      <c r="G145" s="748">
        <f t="shared" si="9"/>
        <v>0</v>
      </c>
      <c r="H145" s="1169"/>
      <c r="I145" s="748">
        <f t="shared" si="10"/>
        <v>0</v>
      </c>
      <c r="J145" s="780"/>
      <c r="K145" s="780"/>
      <c r="L145" s="28"/>
    </row>
    <row r="146" spans="1:12">
      <c r="A146" s="53">
        <f t="shared" si="11"/>
        <v>7</v>
      </c>
      <c r="B146" s="53">
        <v>364</v>
      </c>
      <c r="C146" s="53">
        <v>3640</v>
      </c>
      <c r="D146" s="737" t="s">
        <v>646</v>
      </c>
      <c r="E146" s="30">
        <f>'SCH B-2.3'!K146</f>
        <v>84690174</v>
      </c>
      <c r="F146" s="2278">
        <v>1</v>
      </c>
      <c r="G146" s="748">
        <f t="shared" si="9"/>
        <v>84690174</v>
      </c>
      <c r="H146" s="1169"/>
      <c r="I146" s="748">
        <f t="shared" si="10"/>
        <v>84690174</v>
      </c>
      <c r="J146" s="780"/>
      <c r="K146" s="780"/>
      <c r="L146" s="28"/>
    </row>
    <row r="147" spans="1:12">
      <c r="A147" s="53">
        <f t="shared" si="11"/>
        <v>8</v>
      </c>
      <c r="B147" s="53">
        <v>365</v>
      </c>
      <c r="C147" s="53">
        <v>3650</v>
      </c>
      <c r="D147" s="737" t="s">
        <v>640</v>
      </c>
      <c r="E147" s="30">
        <f>'SCH B-2.3'!K147</f>
        <v>163758868</v>
      </c>
      <c r="F147" s="2278">
        <v>1</v>
      </c>
      <c r="G147" s="748">
        <f t="shared" si="9"/>
        <v>163758868</v>
      </c>
      <c r="H147" s="1169"/>
      <c r="I147" s="748">
        <f t="shared" si="10"/>
        <v>163758868</v>
      </c>
      <c r="J147" s="780"/>
      <c r="K147" s="780"/>
      <c r="L147" s="28"/>
    </row>
    <row r="148" spans="1:12">
      <c r="A148" s="53">
        <f t="shared" si="11"/>
        <v>9</v>
      </c>
      <c r="B148" s="53">
        <v>365</v>
      </c>
      <c r="C148" s="53">
        <v>3651</v>
      </c>
      <c r="D148" s="737" t="s">
        <v>641</v>
      </c>
      <c r="E148" s="30">
        <f>'SCH B-2.3'!K148</f>
        <v>9200646</v>
      </c>
      <c r="F148" s="2278">
        <v>1</v>
      </c>
      <c r="G148" s="748">
        <f t="shared" si="9"/>
        <v>9200646</v>
      </c>
      <c r="H148" s="1169"/>
      <c r="I148" s="748">
        <f t="shared" si="10"/>
        <v>9200646</v>
      </c>
      <c r="J148" s="780"/>
      <c r="K148" s="780"/>
      <c r="L148" s="28"/>
    </row>
    <row r="149" spans="1:12">
      <c r="A149" s="53">
        <f t="shared" si="11"/>
        <v>10</v>
      </c>
      <c r="B149" s="53">
        <v>366</v>
      </c>
      <c r="C149" s="53">
        <v>3660</v>
      </c>
      <c r="D149" s="737" t="s">
        <v>647</v>
      </c>
      <c r="E149" s="30">
        <f>'SCH B-2.3'!K149</f>
        <v>52587086</v>
      </c>
      <c r="F149" s="2278">
        <v>1</v>
      </c>
      <c r="G149" s="748">
        <f t="shared" si="9"/>
        <v>52587086</v>
      </c>
      <c r="H149" s="1169"/>
      <c r="I149" s="748">
        <f t="shared" si="10"/>
        <v>52587086</v>
      </c>
      <c r="J149" s="780"/>
      <c r="K149" s="780"/>
      <c r="L149" s="28"/>
    </row>
    <row r="150" spans="1:12">
      <c r="A150" s="53">
        <f t="shared" si="11"/>
        <v>11</v>
      </c>
      <c r="B150" s="53">
        <v>367</v>
      </c>
      <c r="C150" s="53">
        <v>3670</v>
      </c>
      <c r="D150" s="737" t="s">
        <v>648</v>
      </c>
      <c r="E150" s="30">
        <f>'SCH B-2.3'!K150</f>
        <v>107077723</v>
      </c>
      <c r="F150" s="2278">
        <v>1</v>
      </c>
      <c r="G150" s="748">
        <f t="shared" si="9"/>
        <v>107077723</v>
      </c>
      <c r="H150" s="1169"/>
      <c r="I150" s="748">
        <f t="shared" si="10"/>
        <v>107077723</v>
      </c>
      <c r="J150" s="780"/>
      <c r="K150" s="780"/>
      <c r="L150" s="28"/>
    </row>
    <row r="151" spans="1:12">
      <c r="A151" s="53">
        <f t="shared" si="11"/>
        <v>12</v>
      </c>
      <c r="B151" s="53">
        <v>368</v>
      </c>
      <c r="C151" s="53">
        <v>3680</v>
      </c>
      <c r="D151" s="737" t="s">
        <v>649</v>
      </c>
      <c r="E151" s="30">
        <f>'SCH B-2.3'!K151</f>
        <v>92945182</v>
      </c>
      <c r="F151" s="2278">
        <v>1</v>
      </c>
      <c r="G151" s="748">
        <f t="shared" si="9"/>
        <v>92945182</v>
      </c>
      <c r="H151" s="1169"/>
      <c r="I151" s="748">
        <f t="shared" si="10"/>
        <v>92945182</v>
      </c>
      <c r="J151" s="780"/>
      <c r="K151" s="780"/>
      <c r="L151" s="28"/>
    </row>
    <row r="152" spans="1:12">
      <c r="A152" s="53">
        <f t="shared" si="11"/>
        <v>13</v>
      </c>
      <c r="B152" s="53">
        <v>368</v>
      </c>
      <c r="C152" s="53">
        <v>3682</v>
      </c>
      <c r="D152" s="737" t="s">
        <v>650</v>
      </c>
      <c r="E152" s="30">
        <f>'SCH B-2.3'!K152</f>
        <v>289579</v>
      </c>
      <c r="F152" s="2278">
        <v>1</v>
      </c>
      <c r="G152" s="748">
        <f t="shared" si="9"/>
        <v>289579</v>
      </c>
      <c r="H152" s="1169"/>
      <c r="I152" s="748">
        <f t="shared" si="10"/>
        <v>289579</v>
      </c>
      <c r="J152" s="780"/>
      <c r="K152" s="780"/>
      <c r="L152" s="28"/>
    </row>
    <row r="153" spans="1:12">
      <c r="A153" s="53">
        <f t="shared" si="11"/>
        <v>14</v>
      </c>
      <c r="B153" s="53">
        <v>369</v>
      </c>
      <c r="C153" s="53">
        <v>3691</v>
      </c>
      <c r="D153" s="737" t="s">
        <v>651</v>
      </c>
      <c r="E153" s="30">
        <f>'SCH B-2.3'!K153</f>
        <v>3013618</v>
      </c>
      <c r="F153" s="2278">
        <v>1</v>
      </c>
      <c r="G153" s="748">
        <f t="shared" si="9"/>
        <v>3013618</v>
      </c>
      <c r="H153" s="1169"/>
      <c r="I153" s="748">
        <f t="shared" si="10"/>
        <v>3013618</v>
      </c>
      <c r="J153" s="780"/>
      <c r="K153" s="780"/>
      <c r="L153" s="28"/>
    </row>
    <row r="154" spans="1:12">
      <c r="A154" s="53">
        <f t="shared" si="11"/>
        <v>15</v>
      </c>
      <c r="B154" s="53">
        <v>369</v>
      </c>
      <c r="C154" s="53">
        <v>3692</v>
      </c>
      <c r="D154" s="737" t="s">
        <v>652</v>
      </c>
      <c r="E154" s="30">
        <f>'SCH B-2.3'!K154</f>
        <v>19005991</v>
      </c>
      <c r="F154" s="2278">
        <v>1</v>
      </c>
      <c r="G154" s="748">
        <f t="shared" si="9"/>
        <v>19005991</v>
      </c>
      <c r="H154" s="1169"/>
      <c r="I154" s="748">
        <f t="shared" si="10"/>
        <v>19005991</v>
      </c>
      <c r="J154" s="780"/>
      <c r="K154" s="780"/>
      <c r="L154" s="28"/>
    </row>
    <row r="155" spans="1:12">
      <c r="A155" s="53">
        <f t="shared" si="11"/>
        <v>16</v>
      </c>
      <c r="B155" s="53">
        <v>370</v>
      </c>
      <c r="C155" s="53">
        <v>3700</v>
      </c>
      <c r="D155" s="737" t="s">
        <v>653</v>
      </c>
      <c r="E155" s="30">
        <f>'SCH B-2.3'!K155</f>
        <v>3990827</v>
      </c>
      <c r="F155" s="2278">
        <v>1</v>
      </c>
      <c r="G155" s="748">
        <f t="shared" si="9"/>
        <v>3990827</v>
      </c>
      <c r="H155" s="1169"/>
      <c r="I155" s="748">
        <f t="shared" si="10"/>
        <v>3990827</v>
      </c>
      <c r="J155" s="780"/>
      <c r="K155" s="780"/>
      <c r="L155" s="28"/>
    </row>
    <row r="156" spans="1:12">
      <c r="A156" s="53">
        <f t="shared" si="11"/>
        <v>17</v>
      </c>
      <c r="B156" s="53">
        <v>370</v>
      </c>
      <c r="C156" s="53">
        <v>3702</v>
      </c>
      <c r="D156" s="737" t="s">
        <v>654</v>
      </c>
      <c r="E156" s="30">
        <f>'SCH B-2.3'!K156</f>
        <v>30074658</v>
      </c>
      <c r="F156" s="2278">
        <v>1</v>
      </c>
      <c r="G156" s="748">
        <f t="shared" si="9"/>
        <v>30074658</v>
      </c>
      <c r="H156" s="1169"/>
      <c r="I156" s="748">
        <f t="shared" si="10"/>
        <v>30074658</v>
      </c>
      <c r="J156" s="780"/>
      <c r="K156" s="780"/>
      <c r="L156" s="28"/>
    </row>
    <row r="157" spans="1:12">
      <c r="A157" s="53">
        <f t="shared" si="11"/>
        <v>18</v>
      </c>
      <c r="B157" s="53">
        <v>371</v>
      </c>
      <c r="C157" s="53" t="s">
        <v>655</v>
      </c>
      <c r="D157" s="737" t="s">
        <v>656</v>
      </c>
      <c r="E157" s="30">
        <f>'SCH B-2.3'!K157</f>
        <v>1807757</v>
      </c>
      <c r="F157" s="2278">
        <v>1</v>
      </c>
      <c r="G157" s="748">
        <f t="shared" si="9"/>
        <v>1807757</v>
      </c>
      <c r="H157" s="1169"/>
      <c r="I157" s="748">
        <f t="shared" si="10"/>
        <v>1807757</v>
      </c>
      <c r="J157" s="780"/>
      <c r="K157" s="780"/>
      <c r="L157" s="28"/>
    </row>
    <row r="158" spans="1:12">
      <c r="A158" s="53">
        <f t="shared" si="11"/>
        <v>19</v>
      </c>
      <c r="B158" s="53">
        <v>372</v>
      </c>
      <c r="C158" s="53">
        <v>3720</v>
      </c>
      <c r="D158" s="737" t="s">
        <v>657</v>
      </c>
      <c r="E158" s="30">
        <f>'SCH B-2.3'!K158</f>
        <v>10208</v>
      </c>
      <c r="F158" s="2278">
        <v>1</v>
      </c>
      <c r="G158" s="748">
        <f t="shared" si="9"/>
        <v>10208</v>
      </c>
      <c r="H158" s="1169"/>
      <c r="I158" s="748">
        <f t="shared" si="10"/>
        <v>10208</v>
      </c>
      <c r="J158" s="780"/>
      <c r="K158" s="780"/>
      <c r="L158" s="28"/>
    </row>
    <row r="159" spans="1:12">
      <c r="A159" s="53">
        <f t="shared" si="11"/>
        <v>20</v>
      </c>
      <c r="B159" s="53">
        <v>373</v>
      </c>
      <c r="C159" s="53">
        <v>3731</v>
      </c>
      <c r="D159" s="737" t="s">
        <v>658</v>
      </c>
      <c r="E159" s="30">
        <f>'SCH B-2.3'!K159</f>
        <v>2651082</v>
      </c>
      <c r="F159" s="2278">
        <v>1</v>
      </c>
      <c r="G159" s="748">
        <f t="shared" si="9"/>
        <v>2651082</v>
      </c>
      <c r="H159" s="1169"/>
      <c r="I159" s="748">
        <f t="shared" si="10"/>
        <v>2651082</v>
      </c>
      <c r="J159" s="780"/>
      <c r="K159" s="780"/>
      <c r="L159" s="28"/>
    </row>
    <row r="160" spans="1:12">
      <c r="A160" s="53">
        <f t="shared" si="11"/>
        <v>21</v>
      </c>
      <c r="B160" s="53">
        <v>373</v>
      </c>
      <c r="C160" s="53">
        <v>3732</v>
      </c>
      <c r="D160" s="737" t="s">
        <v>659</v>
      </c>
      <c r="E160" s="30">
        <f>'SCH B-2.3'!K160</f>
        <v>3631140</v>
      </c>
      <c r="F160" s="2278">
        <v>1</v>
      </c>
      <c r="G160" s="748">
        <f t="shared" si="9"/>
        <v>3631140</v>
      </c>
      <c r="H160" s="1169"/>
      <c r="I160" s="748">
        <f t="shared" si="10"/>
        <v>3631140</v>
      </c>
      <c r="J160" s="780"/>
      <c r="K160" s="780"/>
      <c r="L160" s="28"/>
    </row>
    <row r="161" spans="1:12">
      <c r="A161" s="53">
        <f t="shared" si="11"/>
        <v>22</v>
      </c>
      <c r="B161" s="53">
        <v>373</v>
      </c>
      <c r="C161" s="53">
        <v>3733</v>
      </c>
      <c r="D161" s="737" t="s">
        <v>660</v>
      </c>
      <c r="E161" s="30">
        <f>'SCH B-2.3'!K161</f>
        <v>1684358</v>
      </c>
      <c r="F161" s="2278">
        <v>1</v>
      </c>
      <c r="G161" s="748">
        <f t="shared" si="9"/>
        <v>1684358</v>
      </c>
      <c r="H161" s="748">
        <f>'SCH B-2.2'!G26</f>
        <v>-1684358</v>
      </c>
      <c r="I161" s="748">
        <f t="shared" si="10"/>
        <v>0</v>
      </c>
      <c r="J161" s="780"/>
      <c r="K161" s="780"/>
      <c r="L161" s="28"/>
    </row>
    <row r="162" spans="1:12">
      <c r="A162" s="53">
        <f t="shared" si="11"/>
        <v>23</v>
      </c>
      <c r="B162" s="53">
        <v>373</v>
      </c>
      <c r="C162" s="53">
        <v>3734</v>
      </c>
      <c r="D162" s="737" t="s">
        <v>661</v>
      </c>
      <c r="E162" s="30">
        <f>'SCH B-2.3'!K162</f>
        <v>6234971</v>
      </c>
      <c r="F162" s="2278">
        <v>1</v>
      </c>
      <c r="G162" s="748">
        <f t="shared" si="9"/>
        <v>6234971</v>
      </c>
      <c r="H162" s="748">
        <f>'SCH B-2.2'!G27</f>
        <v>-6234971</v>
      </c>
      <c r="I162" s="748">
        <f t="shared" si="10"/>
        <v>0</v>
      </c>
      <c r="J162" s="780"/>
      <c r="K162" s="780"/>
      <c r="L162" s="28"/>
    </row>
    <row r="163" spans="1:12">
      <c r="A163" s="53">
        <f t="shared" si="11"/>
        <v>24</v>
      </c>
      <c r="B163" s="53"/>
      <c r="C163" s="53"/>
      <c r="D163" s="737" t="s">
        <v>617</v>
      </c>
      <c r="E163" s="30">
        <f>'SCH B-2.3'!K163</f>
        <v>0</v>
      </c>
      <c r="F163" s="2278">
        <v>1</v>
      </c>
      <c r="G163" s="748">
        <f t="shared" si="9"/>
        <v>0</v>
      </c>
      <c r="H163" s="748"/>
      <c r="I163" s="748">
        <f t="shared" si="10"/>
        <v>0</v>
      </c>
      <c r="J163" s="780"/>
      <c r="K163" s="780"/>
      <c r="L163" s="28"/>
    </row>
    <row r="164" spans="1:12">
      <c r="A164" s="53"/>
      <c r="B164" s="53"/>
      <c r="C164" s="53"/>
      <c r="D164" s="737"/>
      <c r="E164" s="30"/>
      <c r="F164" s="2278"/>
      <c r="G164" s="748"/>
      <c r="H164" s="748"/>
      <c r="I164" s="748"/>
      <c r="J164" s="780"/>
      <c r="K164" s="780"/>
      <c r="L164" s="28"/>
    </row>
    <row r="165" spans="1:12">
      <c r="A165" s="53"/>
      <c r="B165" s="737"/>
      <c r="C165" s="737"/>
      <c r="D165" s="737"/>
      <c r="E165" s="30"/>
      <c r="F165" s="2278"/>
      <c r="G165" s="748"/>
      <c r="H165" s="1169"/>
      <c r="I165" s="748"/>
      <c r="J165" s="780"/>
      <c r="K165" s="780"/>
      <c r="L165" s="28"/>
    </row>
    <row r="166" spans="1:12">
      <c r="A166" s="2082"/>
      <c r="B166" s="2082"/>
      <c r="C166" s="2082"/>
      <c r="D166" s="2082"/>
      <c r="E166" s="2084"/>
      <c r="F166" s="2087"/>
      <c r="G166" s="2084"/>
      <c r="H166" s="2084"/>
      <c r="I166" s="2084"/>
      <c r="J166" s="780"/>
      <c r="K166" s="780"/>
    </row>
    <row r="167" spans="1:12">
      <c r="A167" s="53">
        <f>A163+1</f>
        <v>25</v>
      </c>
      <c r="B167" s="750"/>
      <c r="C167" s="750"/>
      <c r="D167" s="737" t="s">
        <v>662</v>
      </c>
      <c r="E167" s="748">
        <f>SUM(E140:E165)</f>
        <v>756511751</v>
      </c>
      <c r="F167" s="747"/>
      <c r="G167" s="748">
        <f>SUM(G140:G165)</f>
        <v>756511751</v>
      </c>
      <c r="H167" s="748">
        <f>SUM(H140:H165)</f>
        <v>-7919329</v>
      </c>
      <c r="I167" s="748">
        <f>SUM(I140:I165)</f>
        <v>748592422</v>
      </c>
      <c r="J167" s="780"/>
      <c r="K167" s="2088" t="str">
        <f>IF(E167='SCH B-2.3'!K167,"BALANCED","ERROR")</f>
        <v>BALANCED</v>
      </c>
    </row>
    <row r="168" spans="1:12">
      <c r="A168" s="750"/>
      <c r="B168" s="750"/>
      <c r="C168" s="750"/>
      <c r="D168" s="750"/>
      <c r="E168" s="748"/>
      <c r="F168" s="747"/>
      <c r="G168" s="748"/>
      <c r="H168" s="748"/>
      <c r="I168" s="748"/>
      <c r="J168" s="780"/>
      <c r="K168" s="780"/>
    </row>
    <row r="169" spans="1:12">
      <c r="A169" s="2082"/>
      <c r="B169" s="2082"/>
      <c r="C169" s="2082"/>
      <c r="D169" s="2082"/>
      <c r="E169" s="2084"/>
      <c r="F169" s="2087"/>
      <c r="G169" s="2084"/>
      <c r="H169" s="2084"/>
      <c r="I169" s="2084"/>
      <c r="J169" s="780"/>
      <c r="K169" s="780"/>
    </row>
    <row r="170" spans="1:12">
      <c r="A170" s="750"/>
      <c r="B170" s="750"/>
      <c r="C170" s="750"/>
      <c r="D170" s="750"/>
      <c r="E170" s="748"/>
      <c r="F170" s="747"/>
      <c r="G170" s="748"/>
      <c r="H170" s="748"/>
      <c r="I170" s="748"/>
      <c r="J170" s="780"/>
      <c r="K170" s="780"/>
    </row>
    <row r="171" spans="1:12">
      <c r="A171" s="59" t="str">
        <f>A1</f>
        <v>DUKE ENERGY KENTUCKY, INC.</v>
      </c>
      <c r="B171" s="59"/>
      <c r="C171" s="59"/>
      <c r="D171" s="59"/>
      <c r="E171" s="59"/>
      <c r="F171" s="1167"/>
      <c r="G171" s="59"/>
      <c r="H171" s="59"/>
      <c r="I171" s="59"/>
      <c r="J171" s="780"/>
      <c r="K171" s="780"/>
    </row>
    <row r="172" spans="1:12">
      <c r="A172" s="59" t="str">
        <f>A2</f>
        <v>CASE NO. 2024-00354</v>
      </c>
      <c r="B172" s="59"/>
      <c r="C172" s="59"/>
      <c r="D172" s="59"/>
      <c r="E172" s="59"/>
      <c r="F172" s="1167"/>
      <c r="G172" s="59"/>
      <c r="H172" s="59"/>
      <c r="I172" s="59"/>
      <c r="J172" s="780"/>
      <c r="K172" s="780"/>
    </row>
    <row r="173" spans="1:12">
      <c r="A173" s="59" t="str">
        <f>A3</f>
        <v>PLANT IN SERVICE BY ACCOUNTS AND SUBACCOUNTS</v>
      </c>
      <c r="B173" s="59"/>
      <c r="C173" s="59"/>
      <c r="D173" s="59"/>
      <c r="E173" s="59"/>
      <c r="F173" s="1167"/>
      <c r="G173" s="59"/>
      <c r="H173" s="59"/>
      <c r="I173" s="59"/>
      <c r="J173" s="780"/>
      <c r="K173" s="780"/>
    </row>
    <row r="174" spans="1:12">
      <c r="A174" s="59" t="str">
        <f>A4</f>
        <v>AS OF FEBRUARY 28, 2025</v>
      </c>
      <c r="B174" s="59"/>
      <c r="C174" s="59"/>
      <c r="D174" s="59"/>
      <c r="E174" s="59"/>
      <c r="F174" s="1167"/>
      <c r="G174" s="59"/>
      <c r="H174" s="59"/>
      <c r="I174" s="59"/>
      <c r="J174" s="780"/>
      <c r="K174" s="780"/>
    </row>
    <row r="175" spans="1:12">
      <c r="A175" s="59"/>
      <c r="B175" s="59"/>
      <c r="C175" s="59"/>
      <c r="D175" s="59"/>
      <c r="E175" s="59"/>
      <c r="F175" s="1167"/>
      <c r="G175" s="59"/>
      <c r="H175" s="59"/>
      <c r="I175" s="59"/>
      <c r="J175" s="780"/>
      <c r="K175" s="780"/>
    </row>
    <row r="176" spans="1:12">
      <c r="A176" s="59" t="s">
        <v>663</v>
      </c>
      <c r="B176" s="59"/>
      <c r="C176" s="59"/>
      <c r="D176" s="59"/>
      <c r="E176" s="59"/>
      <c r="F176" s="1167"/>
      <c r="G176" s="59"/>
      <c r="H176" s="59"/>
      <c r="I176" s="59"/>
      <c r="J176" s="780"/>
      <c r="K176" s="780"/>
    </row>
    <row r="177" spans="1:11">
      <c r="A177" s="1148" t="s">
        <v>529</v>
      </c>
      <c r="B177" s="59"/>
      <c r="C177" s="59"/>
      <c r="D177" s="59"/>
      <c r="E177" s="59"/>
      <c r="F177" s="1167"/>
      <c r="G177" s="59"/>
      <c r="H177" s="59"/>
      <c r="I177" s="59"/>
      <c r="J177" s="780"/>
      <c r="K177" s="780"/>
    </row>
    <row r="178" spans="1:11">
      <c r="A178" s="750"/>
      <c r="B178" s="750"/>
      <c r="C178" s="750"/>
      <c r="D178" s="750"/>
      <c r="E178" s="750"/>
      <c r="F178" s="747"/>
      <c r="G178" s="750"/>
      <c r="H178" s="750"/>
      <c r="I178" s="750"/>
      <c r="J178" s="780"/>
      <c r="K178" s="780"/>
    </row>
    <row r="179" spans="1:11">
      <c r="A179" s="737" t="str">
        <f>A10</f>
        <v>DATA: "X" BASE PERIOD   FORECASTED PERIOD</v>
      </c>
      <c r="B179" s="750"/>
      <c r="C179" s="750"/>
      <c r="D179" s="750"/>
      <c r="E179" s="750"/>
      <c r="F179" s="747"/>
      <c r="G179" s="750"/>
      <c r="H179" s="1165" t="str">
        <f>H10</f>
        <v>SCHEDULE B-2.1</v>
      </c>
      <c r="I179" s="750"/>
      <c r="J179" s="780"/>
      <c r="K179" s="780"/>
    </row>
    <row r="180" spans="1:11">
      <c r="A180" s="737" t="str">
        <f>A11</f>
        <v xml:space="preserve">TYPE OF FILING:  "X" ORIGINAL   UPDATED    REVISED  </v>
      </c>
      <c r="B180" s="750"/>
      <c r="C180" s="750"/>
      <c r="D180" s="750"/>
      <c r="E180" s="750"/>
      <c r="F180" s="747"/>
      <c r="G180" s="750"/>
      <c r="H180" s="1165" t="s">
        <v>664</v>
      </c>
      <c r="I180" s="750"/>
      <c r="J180" s="780"/>
      <c r="K180" s="780"/>
    </row>
    <row r="181" spans="1:11">
      <c r="A181" s="737" t="str">
        <f>A12</f>
        <v>WORK PAPER REFERENCE NO(S).: SCHEDULE B-2.2, SCHEDULE B-2.3</v>
      </c>
      <c r="B181" s="750"/>
      <c r="C181" s="750"/>
      <c r="D181" s="750"/>
      <c r="E181" s="750"/>
      <c r="F181" s="747"/>
      <c r="G181" s="750"/>
      <c r="H181" s="1165" t="s">
        <v>468</v>
      </c>
      <c r="I181" s="750"/>
      <c r="J181" s="780"/>
      <c r="K181" s="780"/>
    </row>
    <row r="182" spans="1:11">
      <c r="A182" s="750"/>
      <c r="B182" s="750"/>
      <c r="C182" s="750"/>
      <c r="D182" s="750"/>
      <c r="E182" s="750"/>
      <c r="F182" s="747"/>
      <c r="G182" s="750"/>
      <c r="H182" s="750" t="str">
        <f>H13</f>
        <v>G. S. CARPENTER / S. S. MITCHELL</v>
      </c>
      <c r="I182" s="750"/>
      <c r="J182" s="780"/>
      <c r="K182" s="780"/>
    </row>
    <row r="183" spans="1:11">
      <c r="A183" s="750"/>
      <c r="B183" s="750"/>
      <c r="C183" s="750"/>
      <c r="D183" s="750"/>
      <c r="E183" s="750"/>
      <c r="F183" s="747"/>
      <c r="G183" s="750"/>
      <c r="H183" s="750"/>
      <c r="I183" s="750"/>
      <c r="J183" s="780"/>
      <c r="K183" s="780"/>
    </row>
    <row r="184" spans="1:11">
      <c r="A184" s="750"/>
      <c r="B184" s="750"/>
      <c r="C184" s="750"/>
      <c r="D184" s="750"/>
      <c r="E184" s="750"/>
      <c r="F184" s="747"/>
      <c r="G184" s="750"/>
      <c r="H184" s="750"/>
      <c r="I184" s="750"/>
      <c r="J184" s="780"/>
      <c r="K184" s="780"/>
    </row>
    <row r="185" spans="1:11">
      <c r="A185" s="750"/>
      <c r="B185" s="1443"/>
      <c r="C185" s="750"/>
      <c r="D185" s="750"/>
      <c r="E185" s="750"/>
      <c r="F185" s="747"/>
      <c r="G185" s="750"/>
      <c r="H185" s="750"/>
      <c r="I185" s="750"/>
      <c r="J185" s="780"/>
      <c r="K185" s="780"/>
    </row>
    <row r="186" spans="1:11">
      <c r="A186" s="2082"/>
      <c r="B186" s="56"/>
      <c r="C186" s="2085"/>
      <c r="D186" s="2082"/>
      <c r="E186" s="2082"/>
      <c r="F186" s="2087"/>
      <c r="G186" s="2082"/>
      <c r="H186" s="2082"/>
      <c r="I186" s="2082"/>
      <c r="J186" s="780"/>
      <c r="K186" s="780"/>
    </row>
    <row r="187" spans="1:11">
      <c r="A187" s="52"/>
      <c r="B187" s="56" t="s">
        <v>257</v>
      </c>
      <c r="C187" s="56" t="s">
        <v>605</v>
      </c>
      <c r="D187" s="52"/>
      <c r="E187" s="49"/>
      <c r="F187" s="54"/>
      <c r="G187" s="52"/>
      <c r="H187" s="52"/>
      <c r="I187" s="52"/>
      <c r="J187" s="780"/>
      <c r="K187" s="780"/>
    </row>
    <row r="188" spans="1:11">
      <c r="A188" s="53" t="s">
        <v>573</v>
      </c>
      <c r="B188" s="53" t="s">
        <v>606</v>
      </c>
      <c r="C188" s="53" t="s">
        <v>606</v>
      </c>
      <c r="D188" s="750"/>
      <c r="E188" s="53" t="s">
        <v>13</v>
      </c>
      <c r="F188" s="1168" t="s">
        <v>574</v>
      </c>
      <c r="G188" s="53" t="s">
        <v>574</v>
      </c>
      <c r="H188" s="750"/>
      <c r="I188" s="53" t="s">
        <v>575</v>
      </c>
      <c r="J188" s="780"/>
      <c r="K188" s="780"/>
    </row>
    <row r="189" spans="1:11">
      <c r="A189" s="53" t="s">
        <v>576</v>
      </c>
      <c r="B189" s="53" t="s">
        <v>576</v>
      </c>
      <c r="C189" s="53" t="s">
        <v>576</v>
      </c>
      <c r="D189" s="53" t="s">
        <v>607</v>
      </c>
      <c r="E189" s="53" t="s">
        <v>418</v>
      </c>
      <c r="F189" s="1168" t="s">
        <v>420</v>
      </c>
      <c r="G189" s="53" t="s">
        <v>258</v>
      </c>
      <c r="H189" s="53" t="s">
        <v>578</v>
      </c>
      <c r="I189" s="53" t="s">
        <v>579</v>
      </c>
      <c r="J189" s="780"/>
      <c r="K189" s="780"/>
    </row>
    <row r="190" spans="1:11">
      <c r="A190" s="53"/>
      <c r="B190" s="53"/>
      <c r="C190" s="53"/>
      <c r="D190" s="53"/>
      <c r="E190" s="1445"/>
      <c r="F190" s="1446"/>
      <c r="G190" s="1445"/>
      <c r="H190" s="1445"/>
      <c r="I190" s="1445"/>
      <c r="J190" s="780"/>
      <c r="K190" s="780"/>
    </row>
    <row r="191" spans="1:11">
      <c r="A191" s="2082"/>
      <c r="B191" s="2082"/>
      <c r="C191" s="2082"/>
      <c r="D191" s="2082"/>
      <c r="E191" s="1154" t="s">
        <v>580</v>
      </c>
      <c r="F191" s="747"/>
      <c r="G191" s="53" t="s">
        <v>580</v>
      </c>
      <c r="H191" s="53" t="s">
        <v>580</v>
      </c>
      <c r="I191" s="53" t="s">
        <v>580</v>
      </c>
      <c r="J191" s="780"/>
      <c r="K191" s="780"/>
    </row>
    <row r="192" spans="1:11">
      <c r="A192" s="750"/>
      <c r="B192" s="750"/>
      <c r="C192" s="750"/>
      <c r="D192" s="750"/>
      <c r="E192" s="780"/>
      <c r="F192" s="2277"/>
      <c r="G192" s="780"/>
      <c r="H192" s="780"/>
      <c r="I192" s="780"/>
      <c r="J192" s="780"/>
      <c r="K192" s="780"/>
    </row>
    <row r="193" spans="1:11">
      <c r="A193" s="53">
        <v>1</v>
      </c>
      <c r="B193" s="53">
        <v>303</v>
      </c>
      <c r="C193" s="53">
        <v>3030</v>
      </c>
      <c r="D193" s="737" t="s">
        <v>665</v>
      </c>
      <c r="E193" s="748">
        <f>'SCH B-2.3'!K193</f>
        <v>49081896</v>
      </c>
      <c r="F193" s="2278">
        <v>1</v>
      </c>
      <c r="G193" s="748">
        <f t="shared" ref="G193:G202" si="12">ROUND(E193*F193,0)</f>
        <v>49081896</v>
      </c>
      <c r="H193" s="53"/>
      <c r="I193" s="748">
        <f t="shared" ref="I193:I202" si="13">G193+H193</f>
        <v>49081896</v>
      </c>
      <c r="J193" s="780"/>
      <c r="K193" s="780"/>
    </row>
    <row r="194" spans="1:11">
      <c r="A194" s="53">
        <f t="shared" ref="A194:A202" si="14">A193+1</f>
        <v>2</v>
      </c>
      <c r="B194" s="53">
        <v>390</v>
      </c>
      <c r="C194" s="53">
        <v>3900</v>
      </c>
      <c r="D194" s="737" t="s">
        <v>609</v>
      </c>
      <c r="E194" s="748">
        <f>'SCH B-2.3'!K194</f>
        <v>223703</v>
      </c>
      <c r="F194" s="2278">
        <v>1</v>
      </c>
      <c r="G194" s="748">
        <f t="shared" si="12"/>
        <v>223703</v>
      </c>
      <c r="H194" s="748"/>
      <c r="I194" s="748">
        <f t="shared" si="13"/>
        <v>223703</v>
      </c>
      <c r="J194" s="780"/>
      <c r="K194" s="780"/>
    </row>
    <row r="195" spans="1:11">
      <c r="A195" s="53">
        <f t="shared" si="14"/>
        <v>3</v>
      </c>
      <c r="B195" s="53">
        <v>391</v>
      </c>
      <c r="C195" s="53">
        <v>3910</v>
      </c>
      <c r="D195" s="737" t="s">
        <v>666</v>
      </c>
      <c r="E195" s="748">
        <f>'SCH B-2.3'!K195</f>
        <v>502571</v>
      </c>
      <c r="F195" s="2278">
        <v>1</v>
      </c>
      <c r="G195" s="748">
        <f t="shared" si="12"/>
        <v>502571</v>
      </c>
      <c r="H195" s="1165"/>
      <c r="I195" s="748">
        <f t="shared" si="13"/>
        <v>502571</v>
      </c>
      <c r="J195" s="780"/>
      <c r="K195" s="780"/>
    </row>
    <row r="196" spans="1:11">
      <c r="A196" s="53">
        <f t="shared" si="14"/>
        <v>4</v>
      </c>
      <c r="B196" s="53">
        <v>391</v>
      </c>
      <c r="C196" s="53">
        <v>3911</v>
      </c>
      <c r="D196" s="737" t="s">
        <v>667</v>
      </c>
      <c r="E196" s="748">
        <f>'SCH B-2.3'!K196</f>
        <v>6901483</v>
      </c>
      <c r="F196" s="2278">
        <v>1</v>
      </c>
      <c r="G196" s="748">
        <f t="shared" si="12"/>
        <v>6901483</v>
      </c>
      <c r="H196" s="1165"/>
      <c r="I196" s="748">
        <f t="shared" si="13"/>
        <v>6901483</v>
      </c>
      <c r="J196" s="780"/>
      <c r="K196" s="780"/>
    </row>
    <row r="197" spans="1:11">
      <c r="A197" s="53">
        <f t="shared" si="14"/>
        <v>5</v>
      </c>
      <c r="B197" s="53">
        <v>392</v>
      </c>
      <c r="C197" s="53">
        <v>3920</v>
      </c>
      <c r="D197" s="737" t="s">
        <v>668</v>
      </c>
      <c r="E197" s="748">
        <f>'SCH B-2.3'!K197</f>
        <v>1248861</v>
      </c>
      <c r="F197" s="2278">
        <v>1</v>
      </c>
      <c r="G197" s="748">
        <f t="shared" si="12"/>
        <v>1248861</v>
      </c>
      <c r="H197" s="1165"/>
      <c r="I197" s="748">
        <f t="shared" si="13"/>
        <v>1248861</v>
      </c>
      <c r="J197" s="780"/>
      <c r="K197" s="780"/>
    </row>
    <row r="198" spans="1:11">
      <c r="A198" s="53">
        <f t="shared" si="14"/>
        <v>6</v>
      </c>
      <c r="B198" s="53">
        <v>392</v>
      </c>
      <c r="C198" s="53">
        <v>3921</v>
      </c>
      <c r="D198" s="737" t="s">
        <v>669</v>
      </c>
      <c r="E198" s="748">
        <f>'SCH B-2.3'!K198</f>
        <v>367604</v>
      </c>
      <c r="F198" s="2278">
        <v>1</v>
      </c>
      <c r="G198" s="748">
        <f t="shared" si="12"/>
        <v>367604</v>
      </c>
      <c r="H198" s="748"/>
      <c r="I198" s="748">
        <f t="shared" si="13"/>
        <v>367604</v>
      </c>
      <c r="J198" s="780"/>
      <c r="K198" s="780"/>
    </row>
    <row r="199" spans="1:11">
      <c r="A199" s="53">
        <f t="shared" si="14"/>
        <v>7</v>
      </c>
      <c r="B199" s="53">
        <v>394</v>
      </c>
      <c r="C199" s="53">
        <v>3940</v>
      </c>
      <c r="D199" s="737" t="s">
        <v>670</v>
      </c>
      <c r="E199" s="748">
        <f>'SCH B-2.3'!K199</f>
        <v>5544308</v>
      </c>
      <c r="F199" s="2278">
        <v>1</v>
      </c>
      <c r="G199" s="748">
        <f t="shared" si="12"/>
        <v>5544308</v>
      </c>
      <c r="H199" s="1165"/>
      <c r="I199" s="748">
        <f t="shared" si="13"/>
        <v>5544308</v>
      </c>
      <c r="J199" s="780"/>
      <c r="K199" s="780"/>
    </row>
    <row r="200" spans="1:11">
      <c r="A200" s="53">
        <f t="shared" si="14"/>
        <v>8</v>
      </c>
      <c r="B200" s="53">
        <v>396</v>
      </c>
      <c r="C200" s="53">
        <v>3960</v>
      </c>
      <c r="D200" s="737" t="s">
        <v>671</v>
      </c>
      <c r="E200" s="748">
        <f>'SCH B-2.3'!K200</f>
        <v>15903</v>
      </c>
      <c r="F200" s="2278">
        <v>1</v>
      </c>
      <c r="G200" s="748">
        <f t="shared" si="12"/>
        <v>15903</v>
      </c>
      <c r="H200" s="748"/>
      <c r="I200" s="748">
        <f t="shared" si="13"/>
        <v>15903</v>
      </c>
      <c r="J200" s="780"/>
      <c r="K200" s="780"/>
    </row>
    <row r="201" spans="1:11">
      <c r="A201" s="53">
        <f t="shared" si="14"/>
        <v>9</v>
      </c>
      <c r="B201" s="53">
        <v>397</v>
      </c>
      <c r="C201" s="53">
        <v>3970</v>
      </c>
      <c r="D201" s="737" t="s">
        <v>672</v>
      </c>
      <c r="E201" s="748">
        <f>'SCH B-2.3'!K201</f>
        <v>29101760</v>
      </c>
      <c r="F201" s="2278">
        <v>1</v>
      </c>
      <c r="G201" s="748">
        <f t="shared" si="12"/>
        <v>29101760</v>
      </c>
      <c r="H201" s="748"/>
      <c r="I201" s="748">
        <f t="shared" si="13"/>
        <v>29101760</v>
      </c>
      <c r="J201" s="780"/>
      <c r="K201" s="780"/>
    </row>
    <row r="202" spans="1:11">
      <c r="A202" s="53">
        <f t="shared" si="14"/>
        <v>10</v>
      </c>
      <c r="B202" s="737"/>
      <c r="C202" s="737"/>
      <c r="D202" s="737" t="s">
        <v>617</v>
      </c>
      <c r="E202" s="748">
        <f>'SCH B-2.3'!K202</f>
        <v>0</v>
      </c>
      <c r="F202" s="2278">
        <v>1</v>
      </c>
      <c r="G202" s="748">
        <f t="shared" si="12"/>
        <v>0</v>
      </c>
      <c r="H202" s="748"/>
      <c r="I202" s="748">
        <f t="shared" si="13"/>
        <v>0</v>
      </c>
      <c r="J202" s="780"/>
      <c r="K202" s="780"/>
    </row>
    <row r="203" spans="1:11">
      <c r="A203" s="750"/>
      <c r="B203" s="750"/>
      <c r="C203" s="750"/>
      <c r="D203" s="750"/>
      <c r="E203" s="748"/>
      <c r="F203" s="747"/>
      <c r="G203" s="748"/>
      <c r="H203" s="748"/>
      <c r="I203" s="748"/>
      <c r="J203" s="780"/>
      <c r="K203" s="780"/>
    </row>
    <row r="204" spans="1:11">
      <c r="A204" s="750"/>
      <c r="B204" s="750"/>
      <c r="C204" s="750"/>
      <c r="D204" s="750"/>
      <c r="E204" s="748"/>
      <c r="F204" s="747"/>
      <c r="G204" s="748"/>
      <c r="H204" s="748"/>
      <c r="I204" s="748"/>
      <c r="J204" s="780"/>
      <c r="K204" s="780"/>
    </row>
    <row r="205" spans="1:11">
      <c r="A205" s="2082"/>
      <c r="B205" s="2082"/>
      <c r="C205" s="2082"/>
      <c r="D205" s="2082"/>
      <c r="E205" s="2084"/>
      <c r="F205" s="2087"/>
      <c r="G205" s="2084"/>
      <c r="H205" s="2084"/>
      <c r="I205" s="2084"/>
      <c r="J205" s="780"/>
      <c r="K205" s="780"/>
    </row>
    <row r="206" spans="1:11">
      <c r="A206" s="53">
        <v>11</v>
      </c>
      <c r="B206" s="750"/>
      <c r="C206" s="750"/>
      <c r="D206" s="737" t="s">
        <v>673</v>
      </c>
      <c r="E206" s="748">
        <f>SUM(E193:E203)</f>
        <v>92988089</v>
      </c>
      <c r="F206" s="747"/>
      <c r="G206" s="748">
        <f>SUM(G193:G203)</f>
        <v>92988089</v>
      </c>
      <c r="H206" s="748">
        <f>SUM(H193:H203)</f>
        <v>0</v>
      </c>
      <c r="I206" s="748">
        <f>SUM(I193:I203)</f>
        <v>92988089</v>
      </c>
      <c r="J206" s="780"/>
      <c r="K206" s="2088" t="str">
        <f>IF(E206='SCH B-2.3'!K206,"BALANCED","ERROR")</f>
        <v>BALANCED</v>
      </c>
    </row>
    <row r="207" spans="1:11">
      <c r="A207" s="750"/>
      <c r="B207" s="750"/>
      <c r="C207" s="750"/>
      <c r="D207" s="750"/>
      <c r="E207" s="748"/>
      <c r="F207" s="747"/>
      <c r="G207" s="748"/>
      <c r="H207" s="748"/>
      <c r="I207" s="748"/>
      <c r="J207" s="780"/>
      <c r="K207" s="780"/>
    </row>
    <row r="208" spans="1:11">
      <c r="A208" s="2082"/>
      <c r="B208" s="2082"/>
      <c r="C208" s="2082"/>
      <c r="D208" s="2082"/>
      <c r="E208" s="2084"/>
      <c r="F208" s="2087"/>
      <c r="G208" s="2084"/>
      <c r="H208" s="2084"/>
      <c r="I208" s="2084"/>
      <c r="J208" s="780"/>
      <c r="K208" s="780"/>
    </row>
    <row r="209" spans="1:11">
      <c r="A209" s="53">
        <v>12</v>
      </c>
      <c r="B209" s="750"/>
      <c r="C209" s="750"/>
      <c r="D209" s="737" t="s">
        <v>674</v>
      </c>
      <c r="E209" s="748">
        <f>E36+E76+E115+E167+E206</f>
        <v>2445941209</v>
      </c>
      <c r="F209" s="747"/>
      <c r="G209" s="748">
        <f>G36+G76+G115+G167+G206</f>
        <v>2445941209</v>
      </c>
      <c r="H209" s="748">
        <f>H36+H76+H115+H167+H206</f>
        <v>-156667553</v>
      </c>
      <c r="I209" s="748">
        <f>I36+I76+I115+I167+I206</f>
        <v>2289273656</v>
      </c>
      <c r="J209" s="780"/>
      <c r="K209" s="2088" t="str">
        <f>IF(E209='SCH B-2.3'!K209,"BALANCED","ERROR")</f>
        <v>BALANCED</v>
      </c>
    </row>
    <row r="210" spans="1:11">
      <c r="A210" s="750"/>
      <c r="B210" s="750"/>
      <c r="C210" s="750"/>
      <c r="D210" s="750"/>
      <c r="E210" s="750"/>
      <c r="F210" s="747"/>
      <c r="G210" s="750"/>
      <c r="H210" s="750"/>
      <c r="I210" s="750"/>
      <c r="J210" s="780"/>
      <c r="K210" s="780"/>
    </row>
    <row r="211" spans="1:11">
      <c r="A211" s="2082"/>
      <c r="B211" s="2082"/>
      <c r="C211" s="2082"/>
      <c r="D211" s="2082"/>
      <c r="E211" s="2082"/>
      <c r="F211" s="2087"/>
      <c r="G211" s="2082"/>
      <c r="H211" s="2082"/>
      <c r="I211" s="2082"/>
      <c r="J211" s="780"/>
      <c r="K211" s="780"/>
    </row>
    <row r="212" spans="1:11">
      <c r="A212" s="750"/>
      <c r="B212" s="750"/>
      <c r="C212" s="750"/>
      <c r="D212" s="750"/>
      <c r="E212" s="750"/>
      <c r="F212" s="747"/>
      <c r="G212" s="750"/>
      <c r="H212" s="750"/>
      <c r="I212" s="750"/>
      <c r="J212" s="780"/>
      <c r="K212" s="780"/>
    </row>
    <row r="213" spans="1:11">
      <c r="A213" s="59" t="str">
        <f>A1</f>
        <v>DUKE ENERGY KENTUCKY, INC.</v>
      </c>
      <c r="B213" s="59"/>
      <c r="C213" s="59"/>
      <c r="D213" s="59"/>
      <c r="E213" s="59"/>
      <c r="F213" s="1167"/>
      <c r="G213" s="59"/>
      <c r="H213" s="59"/>
      <c r="I213" s="59"/>
      <c r="J213" s="780"/>
      <c r="K213" s="780"/>
    </row>
    <row r="214" spans="1:11">
      <c r="A214" s="59" t="str">
        <f>A2</f>
        <v>CASE NO. 2024-00354</v>
      </c>
      <c r="B214" s="59"/>
      <c r="C214" s="59"/>
      <c r="D214" s="59"/>
      <c r="E214" s="59"/>
      <c r="F214" s="1167"/>
      <c r="G214" s="59"/>
      <c r="H214" s="59"/>
      <c r="I214" s="59"/>
      <c r="J214" s="780"/>
      <c r="K214" s="780"/>
    </row>
    <row r="215" spans="1:11">
      <c r="A215" s="59" t="str">
        <f>A3</f>
        <v>PLANT IN SERVICE BY ACCOUNTS AND SUBACCOUNTS</v>
      </c>
      <c r="B215" s="59"/>
      <c r="C215" s="59"/>
      <c r="D215" s="59"/>
      <c r="E215" s="59"/>
      <c r="F215" s="1167"/>
      <c r="G215" s="59"/>
      <c r="H215" s="59"/>
      <c r="I215" s="59"/>
      <c r="J215" s="780"/>
      <c r="K215" s="780"/>
    </row>
    <row r="216" spans="1:11">
      <c r="A216" s="59" t="str">
        <f>A4</f>
        <v>AS OF FEBRUARY 28, 2025</v>
      </c>
      <c r="B216" s="59"/>
      <c r="C216" s="59"/>
      <c r="D216" s="59"/>
      <c r="E216" s="59"/>
      <c r="F216" s="1167"/>
      <c r="G216" s="59"/>
      <c r="H216" s="59"/>
      <c r="I216" s="59"/>
      <c r="J216" s="780"/>
      <c r="K216" s="780"/>
    </row>
    <row r="217" spans="1:11">
      <c r="A217" s="59"/>
      <c r="B217" s="59"/>
      <c r="C217" s="59"/>
      <c r="D217" s="59"/>
      <c r="E217" s="59"/>
      <c r="F217" s="1167"/>
      <c r="G217" s="59"/>
      <c r="H217" s="59"/>
      <c r="I217" s="59"/>
      <c r="J217" s="780"/>
      <c r="K217" s="780"/>
    </row>
    <row r="218" spans="1:11">
      <c r="A218" s="59" t="s">
        <v>675</v>
      </c>
      <c r="B218" s="59"/>
      <c r="C218" s="59"/>
      <c r="D218" s="59"/>
      <c r="E218" s="59"/>
      <c r="F218" s="1167"/>
      <c r="G218" s="59"/>
      <c r="H218" s="59"/>
      <c r="I218" s="59"/>
      <c r="J218" s="780"/>
      <c r="K218" s="780"/>
    </row>
    <row r="219" spans="1:11">
      <c r="A219" s="1148" t="s">
        <v>529</v>
      </c>
      <c r="B219" s="59"/>
      <c r="C219" s="59"/>
      <c r="D219" s="59"/>
      <c r="E219" s="59"/>
      <c r="F219" s="1167"/>
      <c r="G219" s="59"/>
      <c r="H219" s="59"/>
      <c r="I219" s="59"/>
      <c r="J219" s="780"/>
      <c r="K219" s="780"/>
    </row>
    <row r="220" spans="1:11">
      <c r="A220" s="750"/>
      <c r="B220" s="750"/>
      <c r="C220" s="750"/>
      <c r="D220" s="750"/>
      <c r="E220" s="750"/>
      <c r="F220" s="747"/>
      <c r="G220" s="750"/>
      <c r="H220" s="750"/>
      <c r="I220" s="750"/>
      <c r="J220" s="780"/>
      <c r="K220" s="780"/>
    </row>
    <row r="221" spans="1:11">
      <c r="A221" s="737" t="str">
        <f>A10</f>
        <v>DATA: "X" BASE PERIOD   FORECASTED PERIOD</v>
      </c>
      <c r="B221" s="750"/>
      <c r="C221" s="750"/>
      <c r="D221" s="750"/>
      <c r="E221" s="750"/>
      <c r="F221" s="747"/>
      <c r="G221" s="750"/>
      <c r="H221" s="1165" t="str">
        <f>H10</f>
        <v>SCHEDULE B-2.1</v>
      </c>
      <c r="I221" s="750"/>
      <c r="J221" s="780"/>
      <c r="K221" s="780"/>
    </row>
    <row r="222" spans="1:11">
      <c r="A222" s="737" t="str">
        <f>A11</f>
        <v xml:space="preserve">TYPE OF FILING:  "X" ORIGINAL   UPDATED    REVISED  </v>
      </c>
      <c r="B222" s="750"/>
      <c r="C222" s="750"/>
      <c r="D222" s="750"/>
      <c r="E222" s="750"/>
      <c r="F222" s="747"/>
      <c r="G222" s="750"/>
      <c r="H222" s="737" t="s">
        <v>676</v>
      </c>
      <c r="I222" s="750"/>
      <c r="J222" s="780"/>
      <c r="K222" s="780"/>
    </row>
    <row r="223" spans="1:11">
      <c r="A223" s="737" t="str">
        <f>A12</f>
        <v>WORK PAPER REFERENCE NO(S).: SCHEDULE B-2.2, SCHEDULE B-2.3</v>
      </c>
      <c r="B223" s="750"/>
      <c r="C223" s="750"/>
      <c r="D223" s="750"/>
      <c r="E223" s="750"/>
      <c r="F223" s="747"/>
      <c r="G223" s="750"/>
      <c r="H223" s="1165" t="s">
        <v>468</v>
      </c>
      <c r="I223" s="750"/>
      <c r="J223" s="780"/>
      <c r="K223" s="780"/>
    </row>
    <row r="224" spans="1:11">
      <c r="A224" s="750"/>
      <c r="B224" s="750"/>
      <c r="C224" s="750"/>
      <c r="D224" s="750"/>
      <c r="E224" s="750"/>
      <c r="F224" s="747"/>
      <c r="G224" s="750"/>
      <c r="H224" s="750" t="str">
        <f>H13</f>
        <v>G. S. CARPENTER / S. S. MITCHELL</v>
      </c>
      <c r="I224" s="750"/>
      <c r="J224" s="780"/>
      <c r="K224" s="780"/>
    </row>
    <row r="225" spans="1:11">
      <c r="A225" s="750"/>
      <c r="B225" s="750"/>
      <c r="C225" s="750"/>
      <c r="D225" s="750"/>
      <c r="E225" s="750"/>
      <c r="F225" s="747"/>
      <c r="G225" s="750"/>
      <c r="H225" s="750"/>
      <c r="I225" s="750"/>
      <c r="J225" s="780"/>
      <c r="K225" s="780"/>
    </row>
    <row r="226" spans="1:11">
      <c r="A226" s="750"/>
      <c r="B226" s="750"/>
      <c r="C226" s="750"/>
      <c r="D226" s="750"/>
      <c r="E226" s="750"/>
      <c r="F226" s="747"/>
      <c r="G226" s="750"/>
      <c r="H226" s="750"/>
      <c r="I226" s="750"/>
      <c r="J226" s="780"/>
      <c r="K226" s="780"/>
    </row>
    <row r="227" spans="1:11">
      <c r="A227" s="750"/>
      <c r="B227" s="750"/>
      <c r="C227" s="750"/>
      <c r="D227" s="750"/>
      <c r="E227" s="750"/>
      <c r="F227" s="747"/>
      <c r="G227" s="750"/>
      <c r="H227" s="750"/>
      <c r="I227" s="750"/>
      <c r="J227" s="780"/>
      <c r="K227" s="780"/>
    </row>
    <row r="228" spans="1:11">
      <c r="A228" s="2082"/>
      <c r="B228" s="2089"/>
      <c r="C228" s="2085"/>
      <c r="D228" s="2082"/>
      <c r="E228" s="2082"/>
      <c r="F228" s="2087"/>
      <c r="G228" s="2082"/>
      <c r="H228" s="2082"/>
      <c r="I228" s="2082"/>
      <c r="J228" s="780"/>
      <c r="K228" s="780"/>
    </row>
    <row r="229" spans="1:11">
      <c r="A229" s="52"/>
      <c r="B229" s="53" t="s">
        <v>257</v>
      </c>
      <c r="C229" s="53" t="s">
        <v>605</v>
      </c>
      <c r="D229" s="52"/>
      <c r="E229" s="49"/>
      <c r="F229" s="54"/>
      <c r="G229" s="52"/>
      <c r="H229" s="52"/>
      <c r="I229" s="52"/>
      <c r="J229" s="780"/>
      <c r="K229" s="780"/>
    </row>
    <row r="230" spans="1:11">
      <c r="A230" s="53" t="s">
        <v>573</v>
      </c>
      <c r="B230" s="53" t="s">
        <v>606</v>
      </c>
      <c r="C230" s="53" t="s">
        <v>606</v>
      </c>
      <c r="D230" s="750"/>
      <c r="E230" s="53" t="s">
        <v>13</v>
      </c>
      <c r="F230" s="1168" t="s">
        <v>574</v>
      </c>
      <c r="G230" s="53" t="s">
        <v>574</v>
      </c>
      <c r="H230" s="750"/>
      <c r="I230" s="53" t="s">
        <v>575</v>
      </c>
      <c r="J230" s="780"/>
      <c r="K230" s="780"/>
    </row>
    <row r="231" spans="1:11">
      <c r="A231" s="53" t="s">
        <v>576</v>
      </c>
      <c r="B231" s="53" t="s">
        <v>576</v>
      </c>
      <c r="C231" s="53" t="s">
        <v>576</v>
      </c>
      <c r="D231" s="53" t="s">
        <v>607</v>
      </c>
      <c r="E231" s="53" t="s">
        <v>418</v>
      </c>
      <c r="F231" s="1168" t="s">
        <v>420</v>
      </c>
      <c r="G231" s="53" t="s">
        <v>258</v>
      </c>
      <c r="H231" s="53" t="s">
        <v>578</v>
      </c>
      <c r="I231" s="53" t="s">
        <v>579</v>
      </c>
      <c r="J231" s="780"/>
      <c r="K231" s="780"/>
    </row>
    <row r="232" spans="1:11">
      <c r="A232" s="53"/>
      <c r="B232" s="53"/>
      <c r="C232" s="53"/>
      <c r="D232" s="53"/>
      <c r="E232" s="1445"/>
      <c r="F232" s="1446"/>
      <c r="G232" s="1445"/>
      <c r="H232" s="1445"/>
      <c r="I232" s="1445"/>
      <c r="J232" s="780"/>
      <c r="K232" s="780"/>
    </row>
    <row r="233" spans="1:11">
      <c r="A233" s="2082"/>
      <c r="B233" s="2082"/>
      <c r="C233" s="2082"/>
      <c r="D233" s="2082"/>
      <c r="E233" s="1154" t="s">
        <v>580</v>
      </c>
      <c r="F233" s="747"/>
      <c r="G233" s="53" t="s">
        <v>580</v>
      </c>
      <c r="H233" s="53" t="s">
        <v>580</v>
      </c>
      <c r="I233" s="53" t="s">
        <v>580</v>
      </c>
      <c r="J233" s="780"/>
      <c r="K233" s="780"/>
    </row>
    <row r="234" spans="1:11">
      <c r="A234" s="750"/>
      <c r="B234" s="750"/>
      <c r="C234" s="750"/>
      <c r="D234" s="750"/>
      <c r="E234" s="780"/>
      <c r="F234" s="2277"/>
      <c r="G234" s="780"/>
      <c r="H234" s="780"/>
      <c r="I234" s="780"/>
      <c r="J234" s="780"/>
      <c r="K234" s="780"/>
    </row>
    <row r="235" spans="1:11">
      <c r="A235" s="53" t="s">
        <v>621</v>
      </c>
      <c r="B235" s="53">
        <v>103</v>
      </c>
      <c r="C235" s="53">
        <v>1030</v>
      </c>
      <c r="D235" s="737" t="s">
        <v>665</v>
      </c>
      <c r="E235" s="748">
        <f>'SCH B-2.3'!K235</f>
        <v>22442698</v>
      </c>
      <c r="F235" s="2278">
        <v>1</v>
      </c>
      <c r="G235" s="748">
        <f t="shared" ref="G235:G244" si="15">ROUND(E235*F235,0)</f>
        <v>22442698</v>
      </c>
      <c r="H235" s="750"/>
      <c r="I235" s="748">
        <f t="shared" ref="I235:I244" si="16">G235+H235</f>
        <v>22442698</v>
      </c>
      <c r="J235" s="780"/>
      <c r="K235" s="780"/>
    </row>
    <row r="236" spans="1:11">
      <c r="A236" s="53">
        <f t="shared" ref="A236:A244" si="17">A235+1</f>
        <v>2</v>
      </c>
      <c r="B236" s="53">
        <v>189</v>
      </c>
      <c r="C236" s="53">
        <v>1890</v>
      </c>
      <c r="D236" s="737" t="s">
        <v>608</v>
      </c>
      <c r="E236" s="748">
        <f>'SCH B-2.3'!K236</f>
        <v>1041678</v>
      </c>
      <c r="F236" s="2278">
        <v>1</v>
      </c>
      <c r="G236" s="748">
        <f t="shared" si="15"/>
        <v>1041678</v>
      </c>
      <c r="H236" s="748"/>
      <c r="I236" s="748">
        <f t="shared" si="16"/>
        <v>1041678</v>
      </c>
      <c r="J236" s="780"/>
      <c r="K236" s="780"/>
    </row>
    <row r="237" spans="1:11">
      <c r="A237" s="53">
        <f t="shared" si="17"/>
        <v>3</v>
      </c>
      <c r="B237" s="53">
        <v>190</v>
      </c>
      <c r="C237" s="53">
        <v>1900</v>
      </c>
      <c r="D237" s="737" t="s">
        <v>609</v>
      </c>
      <c r="E237" s="748">
        <f>'SCH B-2.3'!K237</f>
        <v>21550311</v>
      </c>
      <c r="F237" s="2278">
        <v>1</v>
      </c>
      <c r="G237" s="748">
        <f t="shared" si="15"/>
        <v>21550311</v>
      </c>
      <c r="H237" s="748"/>
      <c r="I237" s="748">
        <f t="shared" si="16"/>
        <v>21550311</v>
      </c>
      <c r="J237" s="780"/>
      <c r="K237" s="780"/>
    </row>
    <row r="238" spans="1:11">
      <c r="A238" s="53">
        <f t="shared" si="17"/>
        <v>4</v>
      </c>
      <c r="B238" s="53">
        <v>191</v>
      </c>
      <c r="C238" s="53">
        <v>1910</v>
      </c>
      <c r="D238" s="737" t="s">
        <v>666</v>
      </c>
      <c r="E238" s="748">
        <f>'SCH B-2.3'!K238</f>
        <v>1560369</v>
      </c>
      <c r="F238" s="2278">
        <v>1</v>
      </c>
      <c r="G238" s="748">
        <f t="shared" si="15"/>
        <v>1560369</v>
      </c>
      <c r="H238" s="748"/>
      <c r="I238" s="748">
        <f t="shared" si="16"/>
        <v>1560369</v>
      </c>
      <c r="J238" s="780"/>
      <c r="K238" s="780"/>
    </row>
    <row r="239" spans="1:11">
      <c r="A239" s="53">
        <f t="shared" si="17"/>
        <v>5</v>
      </c>
      <c r="B239" s="53">
        <v>191</v>
      </c>
      <c r="C239" s="53">
        <v>1911</v>
      </c>
      <c r="D239" s="737" t="s">
        <v>677</v>
      </c>
      <c r="E239" s="748">
        <f>'SCH B-2.3'!K239</f>
        <v>3018</v>
      </c>
      <c r="F239" s="2278">
        <v>1</v>
      </c>
      <c r="G239" s="748">
        <f t="shared" si="15"/>
        <v>3018</v>
      </c>
      <c r="H239" s="748"/>
      <c r="I239" s="748">
        <f t="shared" si="16"/>
        <v>3018</v>
      </c>
      <c r="J239" s="780"/>
      <c r="K239" s="780"/>
    </row>
    <row r="240" spans="1:11">
      <c r="A240" s="53">
        <f t="shared" si="17"/>
        <v>6</v>
      </c>
      <c r="B240" s="53">
        <v>194</v>
      </c>
      <c r="C240" s="53">
        <v>1940</v>
      </c>
      <c r="D240" s="737" t="s">
        <v>670</v>
      </c>
      <c r="E240" s="748">
        <f>'SCH B-2.3'!K240</f>
        <v>107999</v>
      </c>
      <c r="F240" s="2278">
        <v>1</v>
      </c>
      <c r="G240" s="748">
        <f t="shared" si="15"/>
        <v>107999</v>
      </c>
      <c r="H240" s="748"/>
      <c r="I240" s="748">
        <f t="shared" si="16"/>
        <v>107999</v>
      </c>
      <c r="J240" s="780"/>
      <c r="K240" s="780"/>
    </row>
    <row r="241" spans="1:11">
      <c r="A241" s="53">
        <f t="shared" si="17"/>
        <v>7</v>
      </c>
      <c r="B241" s="53">
        <v>197</v>
      </c>
      <c r="C241" s="53">
        <v>1970</v>
      </c>
      <c r="D241" s="737" t="s">
        <v>672</v>
      </c>
      <c r="E241" s="748">
        <f>'SCH B-2.3'!K241</f>
        <v>5228162</v>
      </c>
      <c r="F241" s="2278">
        <v>1</v>
      </c>
      <c r="G241" s="748">
        <f t="shared" si="15"/>
        <v>5228162</v>
      </c>
      <c r="H241" s="748"/>
      <c r="I241" s="748">
        <f t="shared" si="16"/>
        <v>5228162</v>
      </c>
      <c r="J241" s="780"/>
      <c r="K241" s="780"/>
    </row>
    <row r="242" spans="1:11">
      <c r="A242" s="53">
        <f t="shared" si="17"/>
        <v>8</v>
      </c>
      <c r="B242" s="53">
        <v>198</v>
      </c>
      <c r="C242" s="53">
        <v>1980</v>
      </c>
      <c r="D242" s="737" t="s">
        <v>678</v>
      </c>
      <c r="E242" s="748">
        <f>'SCH B-2.3'!K242</f>
        <v>95301</v>
      </c>
      <c r="F242" s="2278">
        <v>1</v>
      </c>
      <c r="G242" s="748">
        <f t="shared" si="15"/>
        <v>95301</v>
      </c>
      <c r="H242" s="748"/>
      <c r="I242" s="748">
        <f t="shared" si="16"/>
        <v>95301</v>
      </c>
      <c r="J242" s="780"/>
      <c r="K242" s="780"/>
    </row>
    <row r="243" spans="1:11">
      <c r="A243" s="53">
        <f t="shared" si="17"/>
        <v>9</v>
      </c>
      <c r="B243" s="53">
        <v>199</v>
      </c>
      <c r="C243" s="53">
        <v>1990</v>
      </c>
      <c r="D243" s="737" t="s">
        <v>679</v>
      </c>
      <c r="E243" s="748">
        <f>'SCH B-2.3'!K243</f>
        <v>1486982</v>
      </c>
      <c r="F243" s="2278">
        <v>1</v>
      </c>
      <c r="G243" s="748">
        <f t="shared" si="15"/>
        <v>1486982</v>
      </c>
      <c r="H243" s="748">
        <f>'SCH B-2.2'!G25</f>
        <v>-1486982</v>
      </c>
      <c r="I243" s="748">
        <f t="shared" si="16"/>
        <v>0</v>
      </c>
      <c r="J243" s="780"/>
      <c r="K243" s="780"/>
    </row>
    <row r="244" spans="1:11">
      <c r="A244" s="53">
        <f t="shared" si="17"/>
        <v>10</v>
      </c>
      <c r="B244" s="750"/>
      <c r="C244" s="737"/>
      <c r="D244" s="737" t="s">
        <v>617</v>
      </c>
      <c r="E244" s="748">
        <f>'SCH B-2.3'!K244</f>
        <v>0</v>
      </c>
      <c r="F244" s="2278">
        <v>1</v>
      </c>
      <c r="G244" s="748">
        <f t="shared" si="15"/>
        <v>0</v>
      </c>
      <c r="H244" s="748"/>
      <c r="I244" s="748">
        <f t="shared" si="16"/>
        <v>0</v>
      </c>
      <c r="J244" s="780"/>
      <c r="K244" s="780"/>
    </row>
    <row r="245" spans="1:11">
      <c r="A245" s="53"/>
      <c r="B245" s="750"/>
      <c r="C245" s="737"/>
      <c r="D245" s="737"/>
      <c r="E245" s="748"/>
      <c r="F245" s="747"/>
      <c r="G245" s="748"/>
      <c r="H245" s="748"/>
      <c r="I245" s="748"/>
      <c r="J245" s="780"/>
      <c r="K245" s="780"/>
    </row>
    <row r="246" spans="1:11">
      <c r="A246" s="750"/>
      <c r="B246" s="750"/>
      <c r="C246" s="750"/>
      <c r="D246" s="750"/>
      <c r="E246" s="750"/>
      <c r="F246" s="747"/>
      <c r="G246" s="750"/>
      <c r="H246" s="750"/>
      <c r="I246" s="750"/>
      <c r="J246" s="780"/>
      <c r="K246" s="780"/>
    </row>
    <row r="247" spans="1:11">
      <c r="A247" s="2082"/>
      <c r="B247" s="2082"/>
      <c r="C247" s="2082"/>
      <c r="D247" s="2082"/>
      <c r="E247" s="2084"/>
      <c r="F247" s="2087"/>
      <c r="G247" s="2084"/>
      <c r="H247" s="2084"/>
      <c r="I247" s="2084"/>
      <c r="J247" s="780"/>
      <c r="K247" s="780"/>
    </row>
    <row r="248" spans="1:11">
      <c r="A248" s="53">
        <v>11</v>
      </c>
      <c r="B248" s="750"/>
      <c r="C248" s="750"/>
      <c r="D248" s="737" t="s">
        <v>680</v>
      </c>
      <c r="E248" s="748">
        <f>SUM(E235:E246)</f>
        <v>53516518</v>
      </c>
      <c r="F248" s="747"/>
      <c r="G248" s="748">
        <f>SUM(G235:G246)</f>
        <v>53516518</v>
      </c>
      <c r="H248" s="748">
        <f>SUM(H235:H246)</f>
        <v>-1486982</v>
      </c>
      <c r="I248" s="748">
        <f>SUM(I235:I246)</f>
        <v>52029536</v>
      </c>
      <c r="J248" s="780"/>
      <c r="K248" s="2088" t="str">
        <f>IF(E248='SCH B-2.3'!K248,"BALANCED","ERROR")</f>
        <v>BALANCED</v>
      </c>
    </row>
    <row r="249" spans="1:11">
      <c r="A249" s="750"/>
      <c r="B249" s="750"/>
      <c r="C249" s="750"/>
      <c r="D249" s="750"/>
      <c r="E249" s="750"/>
      <c r="F249" s="747"/>
      <c r="G249" s="750"/>
      <c r="H249" s="750"/>
      <c r="I249" s="750"/>
      <c r="J249" s="780"/>
      <c r="K249" s="780"/>
    </row>
    <row r="250" spans="1:11">
      <c r="A250" s="2082"/>
      <c r="B250" s="2082"/>
      <c r="C250" s="2082"/>
      <c r="D250" s="2082"/>
      <c r="E250" s="2084"/>
      <c r="F250" s="2087"/>
      <c r="G250" s="2084"/>
      <c r="H250" s="2084"/>
      <c r="I250" s="2084"/>
      <c r="J250" s="780"/>
      <c r="K250" s="780"/>
    </row>
    <row r="251" spans="1:11">
      <c r="A251" s="53">
        <v>12</v>
      </c>
      <c r="B251" s="750"/>
      <c r="C251" s="2278">
        <v>0.70750000000000002</v>
      </c>
      <c r="D251" s="737" t="s">
        <v>681</v>
      </c>
      <c r="E251" s="748">
        <f>ROUND(E248*CommonE,0)</f>
        <v>37862936</v>
      </c>
      <c r="F251" s="748"/>
      <c r="G251" s="748">
        <f>ROUND(G248*CommonE,0)</f>
        <v>37862936</v>
      </c>
      <c r="H251" s="748">
        <f>ROUND(H248*CommonE,0)</f>
        <v>-1052040</v>
      </c>
      <c r="I251" s="748">
        <f>ROUND(I248*CommonE,0)-1</f>
        <v>36810896</v>
      </c>
      <c r="J251" s="780"/>
      <c r="K251" s="2088" t="str">
        <f>IF(E251='SCH B-2.3'!K251,"BALANCED","ERROR")</f>
        <v>BALANCED</v>
      </c>
    </row>
    <row r="252" spans="1:11">
      <c r="A252" s="750"/>
      <c r="B252" s="750"/>
      <c r="C252" s="750"/>
      <c r="D252" s="750"/>
      <c r="E252" s="750"/>
      <c r="F252" s="747"/>
      <c r="G252" s="750"/>
      <c r="H252" s="750"/>
      <c r="I252" s="750"/>
      <c r="J252" s="780"/>
      <c r="K252" s="780"/>
    </row>
    <row r="253" spans="1:11">
      <c r="A253" s="2082"/>
      <c r="B253" s="2082"/>
      <c r="C253" s="2082"/>
      <c r="D253" s="2082"/>
      <c r="E253" s="2084"/>
      <c r="F253" s="2087"/>
      <c r="G253" s="2084"/>
      <c r="H253" s="2084"/>
      <c r="I253" s="2084"/>
      <c r="J253" s="780"/>
      <c r="K253" s="780"/>
    </row>
    <row r="254" spans="1:11">
      <c r="A254" s="53">
        <v>13</v>
      </c>
      <c r="B254" s="750"/>
      <c r="C254" s="750"/>
      <c r="D254" s="737" t="s">
        <v>682</v>
      </c>
      <c r="E254" s="748">
        <f>E209+E251</f>
        <v>2483804145</v>
      </c>
      <c r="F254" s="747"/>
      <c r="G254" s="748">
        <f>G209+G251</f>
        <v>2483804145</v>
      </c>
      <c r="H254" s="748">
        <f>H209+H251</f>
        <v>-157719593</v>
      </c>
      <c r="I254" s="748">
        <f>I209+I251</f>
        <v>2326084552</v>
      </c>
      <c r="J254" s="780"/>
      <c r="K254" s="2088" t="str">
        <f>IF(E254='SCH B-2.3'!K254,"BALANCED","ERROR")</f>
        <v>BALANCED</v>
      </c>
    </row>
    <row r="255" spans="1:11">
      <c r="A255" s="750"/>
      <c r="B255" s="750"/>
      <c r="C255" s="750"/>
      <c r="D255" s="750"/>
      <c r="E255" s="750"/>
      <c r="F255" s="747"/>
      <c r="G255" s="750"/>
      <c r="H255" s="750"/>
      <c r="I255" s="750"/>
      <c r="J255" s="780"/>
      <c r="K255" s="780"/>
    </row>
    <row r="256" spans="1:11">
      <c r="A256" s="2082"/>
      <c r="B256" s="2082"/>
      <c r="C256" s="2082"/>
      <c r="D256" s="2082"/>
      <c r="E256" s="2084"/>
      <c r="F256" s="2087"/>
      <c r="G256" s="2084"/>
      <c r="H256" s="2084"/>
      <c r="I256" s="2084"/>
      <c r="J256" s="780"/>
      <c r="K256" s="780"/>
    </row>
    <row r="257" spans="1:11">
      <c r="A257" s="750"/>
      <c r="B257" s="750"/>
      <c r="C257" s="750"/>
      <c r="D257" s="750"/>
      <c r="E257" s="748"/>
      <c r="F257" s="747"/>
      <c r="G257" s="748"/>
      <c r="H257" s="748"/>
      <c r="I257" s="748"/>
      <c r="J257" s="780"/>
      <c r="K257" s="780"/>
    </row>
    <row r="258" spans="1:11">
      <c r="A258" s="59" t="str">
        <f>COMPANY</f>
        <v>DUKE ENERGY KENTUCKY, INC.</v>
      </c>
      <c r="B258" s="59"/>
      <c r="C258" s="59"/>
      <c r="D258" s="1155"/>
      <c r="E258" s="59"/>
      <c r="F258" s="1167"/>
      <c r="G258" s="1146"/>
      <c r="H258" s="1146"/>
      <c r="I258" s="1146"/>
      <c r="J258" s="780"/>
      <c r="K258" s="780"/>
    </row>
    <row r="259" spans="1:11">
      <c r="A259" s="59" t="str">
        <f>CASE</f>
        <v>CASE NO. 2024-00354</v>
      </c>
      <c r="B259" s="59"/>
      <c r="C259" s="59"/>
      <c r="D259" s="1155"/>
      <c r="E259" s="59"/>
      <c r="F259" s="1167"/>
      <c r="G259" s="1146"/>
      <c r="H259" s="1146"/>
      <c r="I259" s="1146"/>
      <c r="J259" s="780"/>
      <c r="K259" s="780"/>
    </row>
    <row r="260" spans="1:11">
      <c r="A260" s="59" t="s">
        <v>600</v>
      </c>
      <c r="B260" s="59"/>
      <c r="C260" s="59"/>
      <c r="D260" s="1155"/>
      <c r="E260" s="59"/>
      <c r="F260" s="1167"/>
      <c r="G260" s="1146"/>
      <c r="H260" s="1146"/>
      <c r="I260" s="1146"/>
      <c r="J260" s="780"/>
      <c r="K260" s="780"/>
    </row>
    <row r="261" spans="1:11">
      <c r="A261" s="47" t="str">
        <f>"AS OF " &amp;RIGHT(Forecast,(LEN(Forecast)-16))</f>
        <v>AS OF JUNE 30, 2026</v>
      </c>
      <c r="B261" s="59"/>
      <c r="C261" s="59"/>
      <c r="D261" s="1155"/>
      <c r="E261" s="59"/>
      <c r="F261" s="1167"/>
      <c r="G261" s="1146"/>
      <c r="H261" s="1146"/>
      <c r="I261" s="1146"/>
      <c r="J261" s="780"/>
      <c r="K261" s="780"/>
    </row>
    <row r="262" spans="1:11">
      <c r="A262" s="59"/>
      <c r="B262" s="59"/>
      <c r="C262" s="59"/>
      <c r="D262" s="1155"/>
      <c r="E262" s="59"/>
      <c r="F262" s="1167"/>
      <c r="G262" s="1146"/>
      <c r="H262" s="1146"/>
      <c r="I262" s="1146"/>
      <c r="J262" s="780"/>
      <c r="K262" s="780"/>
    </row>
    <row r="263" spans="1:11">
      <c r="A263" s="59" t="s">
        <v>601</v>
      </c>
      <c r="B263" s="59"/>
      <c r="C263" s="59"/>
      <c r="D263" s="1155"/>
      <c r="E263" s="59"/>
      <c r="F263" s="1167"/>
      <c r="G263" s="1146"/>
      <c r="H263" s="1146"/>
      <c r="I263" s="1146"/>
      <c r="J263" s="780"/>
      <c r="K263" s="780"/>
    </row>
    <row r="264" spans="1:11">
      <c r="A264" s="1148" t="s">
        <v>529</v>
      </c>
      <c r="B264" s="59"/>
      <c r="C264" s="59"/>
      <c r="D264" s="1155"/>
      <c r="E264" s="59"/>
      <c r="F264" s="1167"/>
      <c r="G264" s="1146"/>
      <c r="H264" s="1146"/>
      <c r="I264" s="1146"/>
      <c r="J264" s="780"/>
      <c r="K264" s="780"/>
    </row>
    <row r="265" spans="1:11">
      <c r="A265" s="750"/>
      <c r="B265" s="750"/>
      <c r="C265" s="750"/>
      <c r="D265" s="750"/>
      <c r="E265" s="750"/>
      <c r="F265" s="747"/>
      <c r="G265" s="748"/>
      <c r="H265" s="748"/>
      <c r="I265" s="748"/>
      <c r="J265" s="780"/>
      <c r="K265" s="780"/>
    </row>
    <row r="266" spans="1:11">
      <c r="A266" s="750"/>
      <c r="B266" s="750"/>
      <c r="C266" s="750"/>
      <c r="D266" s="750"/>
      <c r="E266" s="750"/>
      <c r="F266" s="747"/>
      <c r="G266" s="750"/>
      <c r="H266" s="750"/>
      <c r="I266" s="750"/>
      <c r="J266" s="780"/>
      <c r="K266" s="780"/>
    </row>
    <row r="267" spans="1:11">
      <c r="A267" s="737" t="str">
        <f>DataF</f>
        <v>DATA:  BASE PERIOD  "X" FORECASTED PERIOD</v>
      </c>
      <c r="B267" s="750"/>
      <c r="C267" s="750"/>
      <c r="D267" s="750"/>
      <c r="E267" s="748"/>
      <c r="F267" s="747"/>
      <c r="G267" s="748"/>
      <c r="H267" s="1165" t="s">
        <v>602</v>
      </c>
      <c r="I267" s="748"/>
      <c r="J267" s="780"/>
      <c r="K267" s="780"/>
    </row>
    <row r="268" spans="1:11">
      <c r="A268" s="737" t="str">
        <f>Type</f>
        <v xml:space="preserve">TYPE OF FILING:  "X" ORIGINAL   UPDATED    REVISED  </v>
      </c>
      <c r="B268" s="750"/>
      <c r="C268" s="750"/>
      <c r="D268" s="750"/>
      <c r="E268" s="748"/>
      <c r="F268" s="747"/>
      <c r="G268" s="748"/>
      <c r="H268" s="1165" t="s">
        <v>683</v>
      </c>
      <c r="I268" s="748"/>
      <c r="J268" s="780"/>
      <c r="K268" s="780"/>
    </row>
    <row r="269" spans="1:11">
      <c r="A269" s="737" t="s">
        <v>604</v>
      </c>
      <c r="B269" s="750"/>
      <c r="C269" s="750"/>
      <c r="D269" s="750"/>
      <c r="E269" s="748"/>
      <c r="F269" s="747"/>
      <c r="G269" s="748"/>
      <c r="H269" s="1165" t="s">
        <v>468</v>
      </c>
      <c r="I269" s="748"/>
      <c r="J269" s="780"/>
      <c r="K269" s="780"/>
    </row>
    <row r="270" spans="1:11">
      <c r="A270" s="750"/>
      <c r="B270" s="750"/>
      <c r="C270" s="750"/>
      <c r="D270" s="750"/>
      <c r="E270" s="748"/>
      <c r="F270" s="747"/>
      <c r="G270" s="748"/>
      <c r="H270" s="750" t="str">
        <f>_WIT7</f>
        <v>G. S. CARPENTER / S. S. MITCHELL</v>
      </c>
      <c r="I270" s="748"/>
      <c r="J270" s="780"/>
      <c r="K270" s="780"/>
    </row>
    <row r="271" spans="1:11">
      <c r="A271" s="750"/>
      <c r="B271" s="750"/>
      <c r="C271" s="750"/>
      <c r="D271" s="750"/>
      <c r="E271" s="748"/>
      <c r="F271" s="747"/>
      <c r="G271" s="748"/>
      <c r="H271" s="748"/>
      <c r="I271" s="748"/>
      <c r="J271" s="780"/>
      <c r="K271" s="780"/>
    </row>
    <row r="272" spans="1:11">
      <c r="A272" s="750"/>
      <c r="B272" s="750"/>
      <c r="C272" s="750"/>
      <c r="D272" s="750"/>
      <c r="E272" s="748"/>
      <c r="F272" s="747"/>
      <c r="G272" s="748"/>
      <c r="H272" s="748"/>
      <c r="I272" s="748"/>
      <c r="J272" s="780"/>
      <c r="K272" s="780"/>
    </row>
    <row r="273" spans="1:11">
      <c r="A273" s="2082"/>
      <c r="B273" s="2086"/>
      <c r="C273" s="2083"/>
      <c r="D273" s="2082"/>
      <c r="E273" s="2084"/>
      <c r="F273" s="2087"/>
      <c r="G273" s="2084"/>
      <c r="H273" s="2084"/>
      <c r="I273" s="2090" t="s">
        <v>591</v>
      </c>
      <c r="J273" s="780"/>
      <c r="K273" s="780"/>
    </row>
    <row r="274" spans="1:11">
      <c r="A274" s="52"/>
      <c r="B274" s="53" t="s">
        <v>257</v>
      </c>
      <c r="C274" s="53" t="s">
        <v>605</v>
      </c>
      <c r="D274" s="52"/>
      <c r="E274" s="49" t="s">
        <v>591</v>
      </c>
      <c r="F274" s="54"/>
      <c r="G274" s="55"/>
      <c r="H274" s="48" t="s">
        <v>591</v>
      </c>
      <c r="I274" s="48" t="s">
        <v>592</v>
      </c>
      <c r="J274" s="780"/>
      <c r="K274" s="780"/>
    </row>
    <row r="275" spans="1:11">
      <c r="A275" s="53" t="s">
        <v>573</v>
      </c>
      <c r="B275" s="53" t="s">
        <v>606</v>
      </c>
      <c r="C275" s="53" t="s">
        <v>606</v>
      </c>
      <c r="D275" s="750"/>
      <c r="E275" s="53" t="s">
        <v>592</v>
      </c>
      <c r="F275" s="1168" t="s">
        <v>574</v>
      </c>
      <c r="G275" s="1154" t="s">
        <v>574</v>
      </c>
      <c r="H275" s="1154" t="s">
        <v>592</v>
      </c>
      <c r="I275" s="1154" t="s">
        <v>575</v>
      </c>
      <c r="J275" s="780"/>
      <c r="K275" s="780"/>
    </row>
    <row r="276" spans="1:11">
      <c r="A276" s="53" t="s">
        <v>576</v>
      </c>
      <c r="B276" s="53" t="s">
        <v>576</v>
      </c>
      <c r="C276" s="53" t="s">
        <v>576</v>
      </c>
      <c r="D276" s="53" t="s">
        <v>607</v>
      </c>
      <c r="E276" s="53" t="s">
        <v>593</v>
      </c>
      <c r="F276" s="1168" t="s">
        <v>420</v>
      </c>
      <c r="G276" s="1154" t="s">
        <v>258</v>
      </c>
      <c r="H276" s="1154" t="s">
        <v>578</v>
      </c>
      <c r="I276" s="1154" t="s">
        <v>579</v>
      </c>
      <c r="J276" s="780"/>
      <c r="K276" s="780"/>
    </row>
    <row r="277" spans="1:11">
      <c r="A277" s="53"/>
      <c r="B277" s="53"/>
      <c r="C277" s="53"/>
      <c r="D277" s="53"/>
      <c r="E277" s="1445"/>
      <c r="F277" s="1446"/>
      <c r="G277" s="1444"/>
      <c r="H277" s="1444"/>
      <c r="I277" s="1444"/>
      <c r="J277" s="780"/>
      <c r="K277" s="780"/>
    </row>
    <row r="278" spans="1:11">
      <c r="A278" s="2082"/>
      <c r="B278" s="2082"/>
      <c r="C278" s="2082"/>
      <c r="D278" s="2082"/>
      <c r="E278" s="1154" t="s">
        <v>580</v>
      </c>
      <c r="F278" s="747"/>
      <c r="G278" s="1154" t="s">
        <v>580</v>
      </c>
      <c r="H278" s="1154" t="s">
        <v>580</v>
      </c>
      <c r="I278" s="1154" t="s">
        <v>580</v>
      </c>
      <c r="J278" s="780"/>
      <c r="K278" s="780"/>
    </row>
    <row r="279" spans="1:11">
      <c r="A279" s="53" t="s">
        <v>382</v>
      </c>
      <c r="B279" s="750"/>
      <c r="C279" s="750"/>
      <c r="D279" s="750"/>
      <c r="E279" s="780"/>
      <c r="F279" s="2277"/>
      <c r="G279" s="780"/>
      <c r="H279" s="780"/>
      <c r="I279" s="780"/>
      <c r="J279" s="780"/>
      <c r="K279" s="780"/>
    </row>
    <row r="280" spans="1:11">
      <c r="A280" s="53" t="s">
        <v>621</v>
      </c>
      <c r="B280" s="53">
        <v>310</v>
      </c>
      <c r="C280" s="53">
        <v>3100</v>
      </c>
      <c r="D280" s="737" t="s">
        <v>608</v>
      </c>
      <c r="E280" s="30">
        <f>'SCH B-2.3'!L280</f>
        <v>7270233</v>
      </c>
      <c r="F280" s="2278">
        <v>1</v>
      </c>
      <c r="G280" s="748">
        <f t="shared" ref="G280:G289" si="18">ROUND((E280*F280),0)</f>
        <v>7270233</v>
      </c>
      <c r="H280" s="748"/>
      <c r="I280" s="748">
        <f t="shared" ref="I280:I289" si="19">G280+H280</f>
        <v>7270233</v>
      </c>
      <c r="J280" s="780"/>
      <c r="K280" s="780"/>
    </row>
    <row r="281" spans="1:11">
      <c r="A281" s="53">
        <f t="shared" ref="A281:A289" si="20">A280+1</f>
        <v>2</v>
      </c>
      <c r="B281" s="53">
        <v>311</v>
      </c>
      <c r="C281" s="53">
        <v>3110</v>
      </c>
      <c r="D281" s="737" t="s">
        <v>609</v>
      </c>
      <c r="E281" s="30">
        <f>'SCH B-2.3'!L281</f>
        <v>197792489</v>
      </c>
      <c r="F281" s="2278">
        <v>1</v>
      </c>
      <c r="G281" s="748">
        <f t="shared" si="18"/>
        <v>197792489</v>
      </c>
      <c r="H281" s="748">
        <f>'SCH B-2.2'!G70</f>
        <v>-67432275</v>
      </c>
      <c r="I281" s="748">
        <f t="shared" si="19"/>
        <v>130360214</v>
      </c>
      <c r="J281" s="780"/>
      <c r="K281" s="780"/>
    </row>
    <row r="282" spans="1:11">
      <c r="A282" s="53">
        <f t="shared" si="20"/>
        <v>3</v>
      </c>
      <c r="B282" s="53">
        <v>312</v>
      </c>
      <c r="C282" s="53">
        <v>3120</v>
      </c>
      <c r="D282" s="737" t="s">
        <v>610</v>
      </c>
      <c r="E282" s="30">
        <f>'SCH B-2.3'!L282</f>
        <v>580229539</v>
      </c>
      <c r="F282" s="2278">
        <v>1</v>
      </c>
      <c r="G282" s="748">
        <f t="shared" si="18"/>
        <v>580229539</v>
      </c>
      <c r="H282" s="748"/>
      <c r="I282" s="748">
        <f t="shared" si="19"/>
        <v>580229539</v>
      </c>
      <c r="J282" s="780"/>
      <c r="K282" s="780"/>
    </row>
    <row r="283" spans="1:11">
      <c r="A283" s="53">
        <f t="shared" si="20"/>
        <v>4</v>
      </c>
      <c r="B283" s="53">
        <v>312</v>
      </c>
      <c r="C283" s="53">
        <v>3123</v>
      </c>
      <c r="D283" s="737" t="s">
        <v>611</v>
      </c>
      <c r="E283" s="30">
        <f>'SCH B-2.3'!L283</f>
        <v>8054003</v>
      </c>
      <c r="F283" s="2278">
        <v>1</v>
      </c>
      <c r="G283" s="748">
        <f t="shared" si="18"/>
        <v>8054003</v>
      </c>
      <c r="H283" s="748"/>
      <c r="I283" s="748">
        <f t="shared" si="19"/>
        <v>8054003</v>
      </c>
      <c r="J283" s="780"/>
      <c r="K283" s="780"/>
    </row>
    <row r="284" spans="1:11">
      <c r="A284" s="53">
        <f t="shared" si="20"/>
        <v>5</v>
      </c>
      <c r="B284" s="53">
        <v>314</v>
      </c>
      <c r="C284" s="53">
        <v>3140</v>
      </c>
      <c r="D284" s="737" t="s">
        <v>612</v>
      </c>
      <c r="E284" s="30">
        <f>'SCH B-2.3'!L284</f>
        <v>122525657</v>
      </c>
      <c r="F284" s="2278">
        <v>1</v>
      </c>
      <c r="G284" s="748">
        <f t="shared" si="18"/>
        <v>122525657</v>
      </c>
      <c r="H284" s="748"/>
      <c r="I284" s="748">
        <f t="shared" si="19"/>
        <v>122525657</v>
      </c>
      <c r="J284" s="780"/>
      <c r="K284" s="780"/>
    </row>
    <row r="285" spans="1:11">
      <c r="A285" s="53">
        <f t="shared" si="20"/>
        <v>6</v>
      </c>
      <c r="B285" s="53">
        <v>315</v>
      </c>
      <c r="C285" s="53">
        <v>3150</v>
      </c>
      <c r="D285" s="737" t="s">
        <v>613</v>
      </c>
      <c r="E285" s="30">
        <f>'SCH B-2.3'!L285</f>
        <v>49741207</v>
      </c>
      <c r="F285" s="2278">
        <v>1</v>
      </c>
      <c r="G285" s="748">
        <f t="shared" si="18"/>
        <v>49741207</v>
      </c>
      <c r="H285" s="748"/>
      <c r="I285" s="748">
        <f t="shared" si="19"/>
        <v>49741207</v>
      </c>
      <c r="J285" s="780"/>
      <c r="K285" s="780"/>
    </row>
    <row r="286" spans="1:11">
      <c r="A286" s="53">
        <f t="shared" si="20"/>
        <v>7</v>
      </c>
      <c r="B286" s="53">
        <v>316</v>
      </c>
      <c r="C286" s="53">
        <v>3160</v>
      </c>
      <c r="D286" s="737" t="s">
        <v>614</v>
      </c>
      <c r="E286" s="30">
        <f>'SCH B-2.3'!L286</f>
        <v>25942235</v>
      </c>
      <c r="F286" s="2278">
        <v>1</v>
      </c>
      <c r="G286" s="748">
        <f t="shared" si="18"/>
        <v>25942235</v>
      </c>
      <c r="H286" s="748"/>
      <c r="I286" s="748">
        <f t="shared" si="19"/>
        <v>25942235</v>
      </c>
      <c r="J286" s="780"/>
      <c r="K286" s="780"/>
    </row>
    <row r="287" spans="1:11">
      <c r="A287" s="53">
        <f t="shared" si="20"/>
        <v>8</v>
      </c>
      <c r="B287" s="53">
        <v>317</v>
      </c>
      <c r="C287" s="1249">
        <v>3170</v>
      </c>
      <c r="D287" s="737" t="s">
        <v>615</v>
      </c>
      <c r="E287" s="30">
        <f>'SCH B-2.3'!L287</f>
        <v>89027761</v>
      </c>
      <c r="F287" s="2278">
        <v>1</v>
      </c>
      <c r="G287" s="748">
        <f t="shared" si="18"/>
        <v>89027761</v>
      </c>
      <c r="H287" s="748">
        <f>'SCH B-2.2'!G65</f>
        <v>-89027761</v>
      </c>
      <c r="I287" s="748">
        <f t="shared" si="19"/>
        <v>0</v>
      </c>
      <c r="J287" s="780"/>
      <c r="K287" s="780"/>
    </row>
    <row r="288" spans="1:11">
      <c r="A288" s="53">
        <f t="shared" si="20"/>
        <v>9</v>
      </c>
      <c r="B288" s="53"/>
      <c r="C288" s="1249"/>
      <c r="D288" s="1131" t="s">
        <v>616</v>
      </c>
      <c r="E288" s="30">
        <f>'SCH B-2.3'!L288</f>
        <v>0</v>
      </c>
      <c r="F288" s="2278">
        <v>1</v>
      </c>
      <c r="G288" s="748">
        <f t="shared" si="18"/>
        <v>0</v>
      </c>
      <c r="H288" s="748">
        <f>'SCH B-2.2'!G71</f>
        <v>7695137</v>
      </c>
      <c r="I288" s="748">
        <f t="shared" si="19"/>
        <v>7695137</v>
      </c>
      <c r="J288" s="780"/>
      <c r="K288" s="780"/>
    </row>
    <row r="289" spans="1:11">
      <c r="A289" s="53">
        <f t="shared" si="20"/>
        <v>10</v>
      </c>
      <c r="B289" s="53"/>
      <c r="C289" s="1249"/>
      <c r="D289" s="737" t="s">
        <v>617</v>
      </c>
      <c r="E289" s="30">
        <f>'SCH B-2.3'!L289</f>
        <v>0</v>
      </c>
      <c r="F289" s="2278">
        <v>1</v>
      </c>
      <c r="G289" s="748">
        <f t="shared" si="18"/>
        <v>0</v>
      </c>
      <c r="H289" s="748"/>
      <c r="I289" s="748">
        <f t="shared" si="19"/>
        <v>0</v>
      </c>
      <c r="J289" s="780"/>
      <c r="K289" s="780"/>
    </row>
    <row r="290" spans="1:11">
      <c r="A290" s="53"/>
      <c r="B290" s="737"/>
      <c r="C290" s="737"/>
      <c r="D290" s="737"/>
      <c r="E290" s="60"/>
      <c r="F290" s="747"/>
      <c r="G290" s="748"/>
      <c r="H290" s="748"/>
      <c r="I290" s="748"/>
      <c r="J290" s="780"/>
      <c r="K290" s="780"/>
    </row>
    <row r="291" spans="1:11">
      <c r="A291" s="750"/>
      <c r="B291" s="750"/>
      <c r="C291" s="750"/>
      <c r="D291" s="750"/>
      <c r="E291" s="750"/>
      <c r="F291" s="747"/>
      <c r="G291" s="750"/>
      <c r="H291" s="750"/>
      <c r="I291" s="750"/>
      <c r="J291" s="780"/>
      <c r="K291" s="780"/>
    </row>
    <row r="292" spans="1:11">
      <c r="A292" s="2082"/>
      <c r="B292" s="2082"/>
      <c r="C292" s="2082"/>
      <c r="D292" s="2082"/>
      <c r="E292" s="2082"/>
      <c r="F292" s="2087"/>
      <c r="G292" s="2082"/>
      <c r="H292" s="2082"/>
      <c r="I292" s="2082"/>
      <c r="J292" s="780"/>
      <c r="K292" s="780"/>
    </row>
    <row r="293" spans="1:11">
      <c r="A293" s="53">
        <f>A289+1</f>
        <v>11</v>
      </c>
      <c r="B293" s="750"/>
      <c r="C293" s="750"/>
      <c r="D293" s="737" t="s">
        <v>684</v>
      </c>
      <c r="E293" s="748">
        <f>SUM(E280:E289)</f>
        <v>1080583124</v>
      </c>
      <c r="F293" s="747"/>
      <c r="G293" s="748">
        <f>SUM(G280:G289)</f>
        <v>1080583124</v>
      </c>
      <c r="H293" s="748">
        <f>SUM(H280:H289)</f>
        <v>-148764899</v>
      </c>
      <c r="I293" s="748">
        <f>SUM(I280:I289)</f>
        <v>931818225</v>
      </c>
      <c r="J293" s="780"/>
      <c r="K293" s="2088" t="str">
        <f>IF(E293='SCH B-2.3'!L292,"BALANCED","ERROR")</f>
        <v>BALANCED</v>
      </c>
    </row>
    <row r="294" spans="1:11">
      <c r="A294" s="750"/>
      <c r="B294" s="750"/>
      <c r="C294" s="750"/>
      <c r="D294" s="750"/>
      <c r="E294" s="748"/>
      <c r="F294" s="747"/>
      <c r="G294" s="748"/>
      <c r="H294" s="748"/>
      <c r="I294" s="748"/>
      <c r="J294" s="780"/>
      <c r="K294" s="780"/>
    </row>
    <row r="295" spans="1:11">
      <c r="A295" s="2082"/>
      <c r="B295" s="2082"/>
      <c r="C295" s="2082"/>
      <c r="D295" s="2082"/>
      <c r="E295" s="2082"/>
      <c r="F295" s="2087"/>
      <c r="G295" s="2082"/>
      <c r="H295" s="2082"/>
      <c r="I295" s="2082"/>
      <c r="J295" s="780"/>
      <c r="K295" s="780"/>
    </row>
    <row r="296" spans="1:11">
      <c r="A296" s="59" t="str">
        <f>COMPANY</f>
        <v>DUKE ENERGY KENTUCKY, INC.</v>
      </c>
      <c r="B296" s="59"/>
      <c r="C296" s="59"/>
      <c r="D296" s="59"/>
      <c r="E296" s="1155"/>
      <c r="F296" s="59"/>
      <c r="G296" s="59"/>
      <c r="H296" s="59"/>
      <c r="I296" s="59"/>
      <c r="J296" s="780"/>
      <c r="K296" s="780"/>
    </row>
    <row r="297" spans="1:11">
      <c r="A297" s="59" t="str">
        <f>CASE</f>
        <v>CASE NO. 2024-00354</v>
      </c>
      <c r="B297" s="59"/>
      <c r="C297" s="59"/>
      <c r="D297" s="59"/>
      <c r="E297" s="1155"/>
      <c r="F297" s="59"/>
      <c r="G297" s="59"/>
      <c r="H297" s="59"/>
      <c r="I297" s="59"/>
      <c r="J297" s="780"/>
      <c r="K297" s="780"/>
    </row>
    <row r="298" spans="1:11">
      <c r="A298" s="59" t="s">
        <v>600</v>
      </c>
      <c r="B298" s="59"/>
      <c r="C298" s="59"/>
      <c r="D298" s="59"/>
      <c r="E298" s="1155"/>
      <c r="F298" s="59"/>
      <c r="G298" s="59"/>
      <c r="H298" s="59"/>
      <c r="I298" s="59"/>
      <c r="J298" s="780"/>
      <c r="K298" s="780"/>
    </row>
    <row r="299" spans="1:11">
      <c r="A299" s="47" t="str">
        <f>"AS OF " &amp;RIGHT(Forecast,(LEN(Forecast)-16))</f>
        <v>AS OF JUNE 30, 2026</v>
      </c>
      <c r="B299" s="59"/>
      <c r="C299" s="59"/>
      <c r="D299" s="59"/>
      <c r="E299" s="1155"/>
      <c r="F299" s="59"/>
      <c r="G299" s="59"/>
      <c r="H299" s="59"/>
      <c r="I299" s="59"/>
      <c r="J299" s="780"/>
      <c r="K299" s="780"/>
    </row>
    <row r="300" spans="1:11">
      <c r="A300" s="59"/>
      <c r="B300" s="59"/>
      <c r="C300" s="59"/>
      <c r="D300" s="59"/>
      <c r="E300" s="1155"/>
      <c r="F300" s="59"/>
      <c r="G300" s="59"/>
      <c r="H300" s="59"/>
      <c r="I300" s="59"/>
      <c r="J300" s="780"/>
      <c r="K300" s="780"/>
    </row>
    <row r="301" spans="1:11">
      <c r="A301" s="59" t="s">
        <v>619</v>
      </c>
      <c r="B301" s="59"/>
      <c r="C301" s="59"/>
      <c r="D301" s="59"/>
      <c r="E301" s="1155"/>
      <c r="F301" s="59"/>
      <c r="G301" s="59"/>
      <c r="H301" s="59"/>
      <c r="I301" s="59"/>
      <c r="J301" s="780"/>
      <c r="K301" s="780"/>
    </row>
    <row r="302" spans="1:11">
      <c r="A302" s="59"/>
      <c r="B302" s="59"/>
      <c r="C302" s="59"/>
      <c r="D302" s="59"/>
      <c r="E302" s="1155"/>
      <c r="F302" s="59"/>
      <c r="G302" s="59"/>
      <c r="H302" s="59"/>
      <c r="I302" s="59"/>
      <c r="J302" s="780"/>
      <c r="K302" s="780"/>
    </row>
    <row r="303" spans="1:11">
      <c r="A303" s="1148" t="s">
        <v>529</v>
      </c>
      <c r="B303" s="59"/>
      <c r="C303" s="59"/>
      <c r="D303" s="59"/>
      <c r="E303" s="1155"/>
      <c r="F303" s="59"/>
      <c r="G303" s="59"/>
      <c r="H303" s="59"/>
      <c r="I303" s="59"/>
      <c r="J303" s="780"/>
      <c r="K303" s="780"/>
    </row>
    <row r="304" spans="1:11">
      <c r="A304" s="750"/>
      <c r="B304" s="750"/>
      <c r="C304" s="750"/>
      <c r="D304" s="750"/>
      <c r="E304" s="750"/>
      <c r="F304" s="750"/>
      <c r="G304" s="750"/>
      <c r="H304" s="750"/>
      <c r="I304" s="750"/>
      <c r="J304" s="780"/>
      <c r="K304" s="780"/>
    </row>
    <row r="305" spans="1:11">
      <c r="A305" s="737" t="str">
        <f>DataF</f>
        <v>DATA:  BASE PERIOD  "X" FORECASTED PERIOD</v>
      </c>
      <c r="B305" s="750"/>
      <c r="C305" s="750"/>
      <c r="D305" s="750"/>
      <c r="E305" s="750"/>
      <c r="F305" s="750"/>
      <c r="G305" s="750"/>
      <c r="H305" s="1165" t="s">
        <v>602</v>
      </c>
      <c r="I305" s="750"/>
      <c r="J305" s="780"/>
      <c r="K305" s="780"/>
    </row>
    <row r="306" spans="1:11">
      <c r="A306" s="737" t="str">
        <f>Type</f>
        <v xml:space="preserve">TYPE OF FILING:  "X" ORIGINAL   UPDATED    REVISED  </v>
      </c>
      <c r="B306" s="750"/>
      <c r="C306" s="750"/>
      <c r="D306" s="750"/>
      <c r="E306" s="750"/>
      <c r="F306" s="750"/>
      <c r="G306" s="750"/>
      <c r="H306" s="1165" t="s">
        <v>685</v>
      </c>
      <c r="I306" s="750"/>
      <c r="J306" s="780"/>
      <c r="K306" s="780"/>
    </row>
    <row r="307" spans="1:11">
      <c r="A307" s="737" t="s">
        <v>604</v>
      </c>
      <c r="B307" s="750"/>
      <c r="C307" s="750"/>
      <c r="D307" s="750"/>
      <c r="E307" s="750"/>
      <c r="F307" s="750"/>
      <c r="G307" s="750"/>
      <c r="H307" s="1165" t="s">
        <v>468</v>
      </c>
      <c r="I307" s="750"/>
      <c r="J307" s="780"/>
      <c r="K307" s="780"/>
    </row>
    <row r="308" spans="1:11">
      <c r="A308" s="750"/>
      <c r="B308" s="750"/>
      <c r="C308" s="750"/>
      <c r="D308" s="750"/>
      <c r="E308" s="750"/>
      <c r="F308" s="750"/>
      <c r="G308" s="750"/>
      <c r="H308" s="750" t="str">
        <f>_WIT7</f>
        <v>G. S. CARPENTER / S. S. MITCHELL</v>
      </c>
      <c r="I308" s="750"/>
      <c r="J308" s="780"/>
      <c r="K308" s="780"/>
    </row>
    <row r="309" spans="1:11">
      <c r="A309" s="750"/>
      <c r="B309" s="750"/>
      <c r="C309" s="750"/>
      <c r="D309" s="750"/>
      <c r="E309" s="750"/>
      <c r="F309" s="750"/>
      <c r="G309" s="750"/>
      <c r="H309" s="750"/>
      <c r="I309" s="750"/>
      <c r="J309" s="780"/>
      <c r="K309" s="780"/>
    </row>
    <row r="310" spans="1:11">
      <c r="A310" s="750"/>
      <c r="B310" s="750"/>
      <c r="C310" s="750"/>
      <c r="D310" s="750"/>
      <c r="E310" s="748"/>
      <c r="F310" s="747"/>
      <c r="G310" s="748"/>
      <c r="H310" s="748"/>
      <c r="I310" s="748"/>
      <c r="J310" s="780"/>
      <c r="K310" s="780"/>
    </row>
    <row r="311" spans="1:11">
      <c r="A311" s="2082"/>
      <c r="B311" s="2086"/>
      <c r="C311" s="2083"/>
      <c r="D311" s="2082"/>
      <c r="E311" s="2084"/>
      <c r="F311" s="2087"/>
      <c r="G311" s="2084"/>
      <c r="H311" s="2084"/>
      <c r="I311" s="2084"/>
      <c r="J311" s="780"/>
      <c r="K311" s="780"/>
    </row>
    <row r="312" spans="1:11">
      <c r="A312" s="52"/>
      <c r="B312" s="53" t="s">
        <v>257</v>
      </c>
      <c r="C312" s="53" t="s">
        <v>605</v>
      </c>
      <c r="D312" s="52"/>
      <c r="E312" s="49" t="s">
        <v>591</v>
      </c>
      <c r="F312" s="54"/>
      <c r="G312" s="55"/>
      <c r="H312" s="55"/>
      <c r="I312" s="55"/>
      <c r="J312" s="780"/>
      <c r="K312" s="780"/>
    </row>
    <row r="313" spans="1:11">
      <c r="A313" s="53" t="s">
        <v>573</v>
      </c>
      <c r="B313" s="53" t="s">
        <v>606</v>
      </c>
      <c r="C313" s="53" t="s">
        <v>606</v>
      </c>
      <c r="D313" s="750"/>
      <c r="E313" s="53" t="s">
        <v>592</v>
      </c>
      <c r="F313" s="1168" t="s">
        <v>574</v>
      </c>
      <c r="G313" s="1154" t="s">
        <v>574</v>
      </c>
      <c r="H313" s="748"/>
      <c r="I313" s="1154" t="s">
        <v>575</v>
      </c>
      <c r="J313" s="780"/>
      <c r="K313" s="780"/>
    </row>
    <row r="314" spans="1:11">
      <c r="A314" s="53" t="s">
        <v>576</v>
      </c>
      <c r="B314" s="53" t="s">
        <v>576</v>
      </c>
      <c r="C314" s="53" t="s">
        <v>576</v>
      </c>
      <c r="D314" s="53" t="s">
        <v>607</v>
      </c>
      <c r="E314" s="53" t="s">
        <v>593</v>
      </c>
      <c r="F314" s="1168" t="s">
        <v>420</v>
      </c>
      <c r="G314" s="1154" t="s">
        <v>258</v>
      </c>
      <c r="H314" s="1154" t="s">
        <v>578</v>
      </c>
      <c r="I314" s="1154" t="s">
        <v>579</v>
      </c>
      <c r="J314" s="780"/>
      <c r="K314" s="780"/>
    </row>
    <row r="315" spans="1:11">
      <c r="A315" s="53"/>
      <c r="B315" s="53"/>
      <c r="C315" s="53"/>
      <c r="D315" s="53"/>
      <c r="E315" s="1445"/>
      <c r="F315" s="1446"/>
      <c r="G315" s="1444"/>
      <c r="H315" s="1444"/>
      <c r="I315" s="1444"/>
      <c r="J315" s="780"/>
      <c r="K315" s="780"/>
    </row>
    <row r="316" spans="1:11">
      <c r="A316" s="2082"/>
      <c r="B316" s="2082"/>
      <c r="C316" s="2082"/>
      <c r="D316" s="2082"/>
      <c r="E316" s="1154" t="s">
        <v>580</v>
      </c>
      <c r="F316" s="747"/>
      <c r="G316" s="1154" t="s">
        <v>580</v>
      </c>
      <c r="H316" s="1154" t="s">
        <v>580</v>
      </c>
      <c r="I316" s="1154" t="s">
        <v>580</v>
      </c>
      <c r="J316" s="780"/>
      <c r="K316" s="780"/>
    </row>
    <row r="317" spans="1:11">
      <c r="A317" s="52"/>
      <c r="B317" s="52"/>
      <c r="C317" s="52"/>
      <c r="D317" s="52"/>
      <c r="E317" s="52"/>
      <c r="F317" s="54"/>
      <c r="G317" s="52"/>
      <c r="H317" s="52"/>
      <c r="I317" s="52"/>
      <c r="J317" s="780"/>
      <c r="K317" s="780"/>
    </row>
    <row r="318" spans="1:11">
      <c r="A318" s="53" t="s">
        <v>621</v>
      </c>
      <c r="B318" s="53">
        <v>340</v>
      </c>
      <c r="C318" s="53">
        <v>3400</v>
      </c>
      <c r="D318" s="737" t="s">
        <v>608</v>
      </c>
      <c r="E318" s="55">
        <f>'SCH B-2.3'!L317</f>
        <v>2409908</v>
      </c>
      <c r="F318" s="2278">
        <v>1</v>
      </c>
      <c r="G318" s="748">
        <f t="shared" ref="G318:G329" si="21">ROUND((E318*F318),0)</f>
        <v>2409908</v>
      </c>
      <c r="H318" s="52"/>
      <c r="I318" s="748">
        <f t="shared" ref="I318:I329" si="22">G318+H318</f>
        <v>2409908</v>
      </c>
      <c r="J318" s="780"/>
      <c r="K318" s="780"/>
    </row>
    <row r="319" spans="1:11">
      <c r="A319" s="53">
        <f>A318+1</f>
        <v>2</v>
      </c>
      <c r="B319" s="53">
        <v>340</v>
      </c>
      <c r="C319" s="53">
        <v>3401</v>
      </c>
      <c r="D319" s="737" t="s">
        <v>622</v>
      </c>
      <c r="E319" s="55">
        <f>'SCH B-2.3'!L318</f>
        <v>0</v>
      </c>
      <c r="F319" s="2278">
        <v>1</v>
      </c>
      <c r="G319" s="748">
        <f t="shared" si="21"/>
        <v>0</v>
      </c>
      <c r="H319" s="52"/>
      <c r="I319" s="748">
        <f t="shared" si="22"/>
        <v>0</v>
      </c>
      <c r="J319" s="780"/>
      <c r="K319" s="780"/>
    </row>
    <row r="320" spans="1:11">
      <c r="A320" s="53">
        <f t="shared" ref="A320:A327" si="23">A319+1</f>
        <v>3</v>
      </c>
      <c r="B320" s="53">
        <v>341</v>
      </c>
      <c r="C320" s="53">
        <v>3410</v>
      </c>
      <c r="D320" s="737" t="s">
        <v>609</v>
      </c>
      <c r="E320" s="55">
        <f>'SCH B-2.3'!L319</f>
        <v>39105237</v>
      </c>
      <c r="F320" s="2278">
        <v>1</v>
      </c>
      <c r="G320" s="748">
        <f t="shared" si="21"/>
        <v>39105237</v>
      </c>
      <c r="H320" s="52"/>
      <c r="I320" s="748">
        <f t="shared" si="22"/>
        <v>39105237</v>
      </c>
      <c r="J320" s="780"/>
      <c r="K320" s="780"/>
    </row>
    <row r="321" spans="1:11">
      <c r="A321" s="53">
        <f t="shared" si="23"/>
        <v>4</v>
      </c>
      <c r="B321" s="53">
        <v>342</v>
      </c>
      <c r="C321" s="53">
        <v>3420</v>
      </c>
      <c r="D321" s="737" t="s">
        <v>623</v>
      </c>
      <c r="E321" s="55">
        <f>'SCH B-2.3'!L320</f>
        <v>65797312</v>
      </c>
      <c r="F321" s="2278">
        <v>1</v>
      </c>
      <c r="G321" s="748">
        <f t="shared" si="21"/>
        <v>65797312</v>
      </c>
      <c r="H321" s="52"/>
      <c r="I321" s="748">
        <f t="shared" si="22"/>
        <v>65797312</v>
      </c>
      <c r="J321" s="780"/>
      <c r="K321" s="780"/>
    </row>
    <row r="322" spans="1:11">
      <c r="A322" s="53">
        <f t="shared" si="23"/>
        <v>5</v>
      </c>
      <c r="B322" s="53">
        <v>343</v>
      </c>
      <c r="C322" s="53" t="s">
        <v>624</v>
      </c>
      <c r="D322" s="737" t="s">
        <v>625</v>
      </c>
      <c r="E322" s="55">
        <f>'SCH B-2.3'!L321</f>
        <v>9412658</v>
      </c>
      <c r="F322" s="2278">
        <v>1</v>
      </c>
      <c r="G322" s="748">
        <f t="shared" si="21"/>
        <v>9412658</v>
      </c>
      <c r="H322" s="52"/>
      <c r="I322" s="748">
        <f t="shared" si="22"/>
        <v>9412658</v>
      </c>
      <c r="J322" s="780"/>
      <c r="K322" s="780"/>
    </row>
    <row r="323" spans="1:11">
      <c r="A323" s="53">
        <f t="shared" si="23"/>
        <v>6</v>
      </c>
      <c r="B323" s="53">
        <v>344</v>
      </c>
      <c r="C323" s="53">
        <v>3440</v>
      </c>
      <c r="D323" s="737" t="s">
        <v>626</v>
      </c>
      <c r="E323" s="55">
        <f>'SCH B-2.3'!L322</f>
        <v>230946272</v>
      </c>
      <c r="F323" s="2278">
        <v>1</v>
      </c>
      <c r="G323" s="748">
        <f t="shared" si="21"/>
        <v>230946272</v>
      </c>
      <c r="H323" s="52"/>
      <c r="I323" s="748">
        <f t="shared" si="22"/>
        <v>230946272</v>
      </c>
      <c r="J323" s="780"/>
      <c r="K323" s="780"/>
    </row>
    <row r="324" spans="1:11">
      <c r="A324" s="53">
        <f t="shared" si="23"/>
        <v>7</v>
      </c>
      <c r="B324" s="53">
        <v>344</v>
      </c>
      <c r="C324" s="53">
        <v>3446</v>
      </c>
      <c r="D324" s="737" t="s">
        <v>627</v>
      </c>
      <c r="E324" s="55">
        <f>'SCH B-2.3'!L323</f>
        <v>16116637</v>
      </c>
      <c r="F324" s="2278">
        <v>1</v>
      </c>
      <c r="G324" s="748">
        <f t="shared" si="21"/>
        <v>16116637</v>
      </c>
      <c r="H324" s="52"/>
      <c r="I324" s="748">
        <f t="shared" si="22"/>
        <v>16116637</v>
      </c>
      <c r="J324" s="780"/>
      <c r="K324" s="780"/>
    </row>
    <row r="325" spans="1:11">
      <c r="A325" s="53">
        <f t="shared" si="23"/>
        <v>8</v>
      </c>
      <c r="B325" s="53">
        <v>345</v>
      </c>
      <c r="C325" s="53">
        <v>3450</v>
      </c>
      <c r="D325" s="737" t="s">
        <v>613</v>
      </c>
      <c r="E325" s="55">
        <f>'SCH B-2.3'!L324</f>
        <v>21311175</v>
      </c>
      <c r="F325" s="2278">
        <v>1</v>
      </c>
      <c r="G325" s="748">
        <f t="shared" si="21"/>
        <v>21311175</v>
      </c>
      <c r="H325" s="52"/>
      <c r="I325" s="748">
        <f t="shared" si="22"/>
        <v>21311175</v>
      </c>
      <c r="J325" s="780"/>
      <c r="K325" s="780"/>
    </row>
    <row r="326" spans="1:11">
      <c r="A326" s="53">
        <f t="shared" si="23"/>
        <v>9</v>
      </c>
      <c r="B326" s="53">
        <v>345</v>
      </c>
      <c r="C326" s="53">
        <v>3456</v>
      </c>
      <c r="D326" s="737" t="s">
        <v>628</v>
      </c>
      <c r="E326" s="55">
        <f>'SCH B-2.3'!L325</f>
        <v>3676452</v>
      </c>
      <c r="F326" s="2278">
        <v>1</v>
      </c>
      <c r="G326" s="748">
        <f t="shared" si="21"/>
        <v>3676452</v>
      </c>
      <c r="H326" s="52"/>
      <c r="I326" s="748">
        <f t="shared" si="22"/>
        <v>3676452</v>
      </c>
      <c r="J326" s="780"/>
      <c r="K326" s="780"/>
    </row>
    <row r="327" spans="1:11">
      <c r="A327" s="53">
        <f t="shared" si="23"/>
        <v>10</v>
      </c>
      <c r="B327" s="53">
        <v>346</v>
      </c>
      <c r="C327" s="53">
        <v>3460</v>
      </c>
      <c r="D327" s="737" t="s">
        <v>629</v>
      </c>
      <c r="E327" s="55">
        <f>'SCH B-2.3'!L326</f>
        <v>5919120</v>
      </c>
      <c r="F327" s="2278">
        <v>1</v>
      </c>
      <c r="G327" s="748">
        <f t="shared" si="21"/>
        <v>5919120</v>
      </c>
      <c r="H327" s="52"/>
      <c r="I327" s="748">
        <f t="shared" si="22"/>
        <v>5919120</v>
      </c>
      <c r="J327" s="780"/>
      <c r="K327" s="780"/>
    </row>
    <row r="328" spans="1:11">
      <c r="A328" s="53">
        <v>11</v>
      </c>
      <c r="B328" s="53">
        <v>347</v>
      </c>
      <c r="C328" s="53">
        <v>3476</v>
      </c>
      <c r="D328" s="737" t="s">
        <v>630</v>
      </c>
      <c r="E328" s="55">
        <f>'SCH B-2.3'!L327</f>
        <v>442832</v>
      </c>
      <c r="F328" s="2278">
        <v>1</v>
      </c>
      <c r="G328" s="748">
        <f t="shared" si="21"/>
        <v>442832</v>
      </c>
      <c r="H328" s="2279">
        <f>'SCH B-2.2'!G66</f>
        <v>-442832</v>
      </c>
      <c r="I328" s="748">
        <f t="shared" si="22"/>
        <v>0</v>
      </c>
      <c r="J328" s="780"/>
      <c r="K328" s="780"/>
    </row>
    <row r="329" spans="1:11">
      <c r="A329" s="53">
        <v>12</v>
      </c>
      <c r="B329" s="737"/>
      <c r="C329" s="737"/>
      <c r="D329" s="737" t="s">
        <v>617</v>
      </c>
      <c r="E329" s="55">
        <f>'SCH B-2.3'!L328</f>
        <v>0</v>
      </c>
      <c r="F329" s="2278">
        <v>1</v>
      </c>
      <c r="G329" s="748">
        <f t="shared" si="21"/>
        <v>0</v>
      </c>
      <c r="H329" s="52"/>
      <c r="I329" s="748">
        <f t="shared" si="22"/>
        <v>0</v>
      </c>
      <c r="J329" s="780"/>
      <c r="K329" s="780"/>
    </row>
    <row r="330" spans="1:11">
      <c r="A330" s="52"/>
      <c r="B330" s="52"/>
      <c r="C330" s="52"/>
      <c r="D330" s="52"/>
      <c r="E330" s="52"/>
      <c r="F330" s="54"/>
      <c r="G330" s="52"/>
      <c r="H330" s="52"/>
      <c r="I330" s="52"/>
      <c r="J330" s="780"/>
      <c r="K330" s="780"/>
    </row>
    <row r="331" spans="1:11">
      <c r="A331" s="750"/>
      <c r="B331" s="750"/>
      <c r="C331" s="750"/>
      <c r="D331" s="750"/>
      <c r="E331" s="750"/>
      <c r="F331" s="747"/>
      <c r="G331" s="750"/>
      <c r="H331" s="750"/>
      <c r="I331" s="750"/>
      <c r="J331" s="780"/>
      <c r="K331" s="780"/>
    </row>
    <row r="332" spans="1:11">
      <c r="A332" s="2082"/>
      <c r="B332" s="2082"/>
      <c r="C332" s="2082"/>
      <c r="D332" s="2082"/>
      <c r="E332" s="2082"/>
      <c r="F332" s="2087"/>
      <c r="G332" s="2082"/>
      <c r="H332" s="2082"/>
      <c r="I332" s="2082"/>
      <c r="J332" s="780"/>
      <c r="K332" s="780"/>
    </row>
    <row r="333" spans="1:11">
      <c r="A333" s="53">
        <f>A329+1</f>
        <v>13</v>
      </c>
      <c r="B333" s="750"/>
      <c r="C333" s="750"/>
      <c r="D333" s="737" t="s">
        <v>631</v>
      </c>
      <c r="E333" s="748">
        <f>SUM(E317:E330)</f>
        <v>395137603</v>
      </c>
      <c r="F333" s="747"/>
      <c r="G333" s="748">
        <f>SUM(G317:G330)</f>
        <v>395137603</v>
      </c>
      <c r="H333" s="748">
        <f>SUM(H317:H330)</f>
        <v>-442832</v>
      </c>
      <c r="I333" s="748">
        <f>SUM(I317:I330)</f>
        <v>394694771</v>
      </c>
      <c r="J333" s="780"/>
      <c r="K333" s="2088" t="str">
        <f>IF(E333='SCH B-2.3'!L332,"BALANCED","ERROR")</f>
        <v>BALANCED</v>
      </c>
    </row>
    <row r="334" spans="1:11">
      <c r="A334" s="1443"/>
      <c r="B334" s="1443"/>
      <c r="C334" s="1443"/>
      <c r="D334" s="1443"/>
      <c r="E334" s="1447"/>
      <c r="F334" s="1448"/>
      <c r="G334" s="1447"/>
      <c r="H334" s="1447"/>
      <c r="I334" s="1447"/>
      <c r="J334" s="780"/>
      <c r="K334" s="780"/>
    </row>
    <row r="335" spans="1:11">
      <c r="A335" s="750"/>
      <c r="B335" s="750"/>
      <c r="C335" s="750"/>
      <c r="D335" s="750"/>
      <c r="E335" s="748"/>
      <c r="F335" s="747"/>
      <c r="G335" s="748"/>
      <c r="H335" s="748"/>
      <c r="I335" s="748"/>
      <c r="J335" s="780"/>
      <c r="K335" s="780"/>
    </row>
    <row r="336" spans="1:11">
      <c r="A336" s="59" t="str">
        <f>COMPANY</f>
        <v>DUKE ENERGY KENTUCKY, INC.</v>
      </c>
      <c r="B336" s="59"/>
      <c r="C336" s="59"/>
      <c r="D336" s="59"/>
      <c r="E336" s="59"/>
      <c r="F336" s="1167"/>
      <c r="G336" s="59"/>
      <c r="H336" s="59"/>
      <c r="I336" s="59"/>
      <c r="J336" s="780"/>
      <c r="K336" s="780"/>
    </row>
    <row r="337" spans="1:11">
      <c r="A337" s="59" t="str">
        <f>CASE</f>
        <v>CASE NO. 2024-00354</v>
      </c>
      <c r="B337" s="59"/>
      <c r="C337" s="59"/>
      <c r="D337" s="59"/>
      <c r="E337" s="59"/>
      <c r="F337" s="1167"/>
      <c r="G337" s="59"/>
      <c r="H337" s="59"/>
      <c r="I337" s="59"/>
      <c r="J337" s="780"/>
      <c r="K337" s="780"/>
    </row>
    <row r="338" spans="1:11">
      <c r="A338" s="59" t="s">
        <v>600</v>
      </c>
      <c r="B338" s="59"/>
      <c r="C338" s="59"/>
      <c r="D338" s="59"/>
      <c r="E338" s="59"/>
      <c r="F338" s="1167"/>
      <c r="G338" s="59"/>
      <c r="H338" s="59"/>
      <c r="I338" s="59"/>
      <c r="J338" s="780"/>
      <c r="K338" s="780"/>
    </row>
    <row r="339" spans="1:11">
      <c r="A339" s="47" t="str">
        <f>"AS OF " &amp;RIGHT(Forecast,(LEN(Forecast)-16))</f>
        <v>AS OF JUNE 30, 2026</v>
      </c>
      <c r="B339" s="59"/>
      <c r="C339" s="59"/>
      <c r="D339" s="59"/>
      <c r="E339" s="59"/>
      <c r="F339" s="1167"/>
      <c r="G339" s="59"/>
      <c r="H339" s="59"/>
      <c r="I339" s="59"/>
      <c r="J339" s="780"/>
      <c r="K339" s="780"/>
    </row>
    <row r="340" spans="1:11">
      <c r="A340" s="59"/>
      <c r="B340" s="59"/>
      <c r="C340" s="59"/>
      <c r="D340" s="59"/>
      <c r="E340" s="59"/>
      <c r="F340" s="1167"/>
      <c r="G340" s="59"/>
      <c r="H340" s="59"/>
      <c r="I340" s="59"/>
      <c r="J340" s="780"/>
      <c r="K340" s="780"/>
    </row>
    <row r="341" spans="1:11">
      <c r="A341" s="59" t="s">
        <v>632</v>
      </c>
      <c r="B341" s="59"/>
      <c r="C341" s="59"/>
      <c r="D341" s="59"/>
      <c r="E341" s="59"/>
      <c r="F341" s="1167"/>
      <c r="G341" s="59"/>
      <c r="H341" s="59"/>
      <c r="I341" s="59"/>
      <c r="J341" s="780"/>
      <c r="K341" s="780"/>
    </row>
    <row r="342" spans="1:11">
      <c r="A342" s="1148" t="s">
        <v>529</v>
      </c>
      <c r="B342" s="59"/>
      <c r="C342" s="59"/>
      <c r="D342" s="59"/>
      <c r="E342" s="59"/>
      <c r="F342" s="1167"/>
      <c r="G342" s="59"/>
      <c r="H342" s="59"/>
      <c r="I342" s="59"/>
      <c r="J342" s="780"/>
      <c r="K342" s="780"/>
    </row>
    <row r="343" spans="1:11">
      <c r="A343" s="750"/>
      <c r="B343" s="750"/>
      <c r="C343" s="750"/>
      <c r="D343" s="750"/>
      <c r="E343" s="750"/>
      <c r="F343" s="747"/>
      <c r="G343" s="750"/>
      <c r="H343" s="750"/>
      <c r="I343" s="750"/>
      <c r="J343" s="780"/>
      <c r="K343" s="780"/>
    </row>
    <row r="344" spans="1:11">
      <c r="A344" s="750"/>
      <c r="B344" s="750"/>
      <c r="C344" s="750"/>
      <c r="D344" s="750"/>
      <c r="E344" s="750"/>
      <c r="F344" s="747"/>
      <c r="G344" s="750"/>
      <c r="H344" s="1165" t="str">
        <f>H10</f>
        <v>SCHEDULE B-2.1</v>
      </c>
      <c r="I344" s="750"/>
      <c r="J344" s="780"/>
      <c r="K344" s="780"/>
    </row>
    <row r="345" spans="1:11">
      <c r="A345" s="737" t="str">
        <f>DataF</f>
        <v>DATA:  BASE PERIOD  "X" FORECASTED PERIOD</v>
      </c>
      <c r="B345" s="750"/>
      <c r="C345" s="750"/>
      <c r="D345" s="750"/>
      <c r="E345" s="750"/>
      <c r="F345" s="747"/>
      <c r="G345" s="750"/>
      <c r="H345" s="1165" t="s">
        <v>686</v>
      </c>
      <c r="I345" s="750"/>
      <c r="J345" s="780"/>
      <c r="K345" s="780"/>
    </row>
    <row r="346" spans="1:11">
      <c r="A346" s="737" t="str">
        <f>Type</f>
        <v xml:space="preserve">TYPE OF FILING:  "X" ORIGINAL   UPDATED    REVISED  </v>
      </c>
      <c r="B346" s="750"/>
      <c r="C346" s="750"/>
      <c r="D346" s="750"/>
      <c r="E346" s="750"/>
      <c r="F346" s="747"/>
      <c r="G346" s="750"/>
      <c r="H346" s="1165" t="s">
        <v>468</v>
      </c>
      <c r="I346" s="750"/>
      <c r="J346" s="780"/>
      <c r="K346" s="780"/>
    </row>
    <row r="347" spans="1:11">
      <c r="A347" s="737" t="s">
        <v>604</v>
      </c>
      <c r="B347" s="750"/>
      <c r="C347" s="750"/>
      <c r="D347" s="750"/>
      <c r="E347" s="750"/>
      <c r="F347" s="747"/>
      <c r="G347" s="750"/>
      <c r="H347" s="750" t="str">
        <f>_WIT7</f>
        <v>G. S. CARPENTER / S. S. MITCHELL</v>
      </c>
      <c r="I347" s="750"/>
      <c r="J347" s="780"/>
      <c r="K347" s="780"/>
    </row>
    <row r="348" spans="1:11">
      <c r="A348" s="750"/>
      <c r="B348" s="750"/>
      <c r="C348" s="750"/>
      <c r="D348" s="750"/>
      <c r="E348" s="750"/>
      <c r="F348" s="747"/>
      <c r="G348" s="750"/>
      <c r="H348" s="750"/>
      <c r="I348" s="750"/>
      <c r="J348" s="780"/>
      <c r="K348" s="780"/>
    </row>
    <row r="349" spans="1:11">
      <c r="A349" s="750"/>
      <c r="B349" s="750"/>
      <c r="C349" s="750"/>
      <c r="D349" s="750"/>
      <c r="E349" s="750"/>
      <c r="F349" s="747"/>
      <c r="G349" s="750"/>
      <c r="H349" s="750"/>
      <c r="I349" s="750"/>
      <c r="J349" s="780"/>
      <c r="K349" s="780"/>
    </row>
    <row r="350" spans="1:11">
      <c r="A350" s="750"/>
      <c r="B350" s="750"/>
      <c r="C350" s="750"/>
      <c r="D350" s="750"/>
      <c r="E350" s="750"/>
      <c r="F350" s="747"/>
      <c r="G350" s="750"/>
      <c r="H350" s="750"/>
      <c r="I350" s="750"/>
      <c r="J350" s="780"/>
      <c r="K350" s="780"/>
    </row>
    <row r="351" spans="1:11">
      <c r="A351" s="2082"/>
      <c r="B351" s="2089"/>
      <c r="C351" s="2085"/>
      <c r="D351" s="2082"/>
      <c r="E351" s="2082"/>
      <c r="F351" s="2087"/>
      <c r="G351" s="2082"/>
      <c r="H351" s="2084"/>
      <c r="I351" s="2090" t="s">
        <v>591</v>
      </c>
      <c r="J351" s="780"/>
      <c r="K351" s="780"/>
    </row>
    <row r="352" spans="1:11">
      <c r="A352" s="52"/>
      <c r="B352" s="56" t="s">
        <v>257</v>
      </c>
      <c r="C352" s="56" t="s">
        <v>605</v>
      </c>
      <c r="D352" s="52"/>
      <c r="E352" s="49" t="s">
        <v>591</v>
      </c>
      <c r="F352" s="54"/>
      <c r="G352" s="52"/>
      <c r="H352" s="48" t="s">
        <v>591</v>
      </c>
      <c r="I352" s="48" t="s">
        <v>592</v>
      </c>
      <c r="J352" s="780"/>
      <c r="K352" s="780"/>
    </row>
    <row r="353" spans="1:11">
      <c r="A353" s="53" t="s">
        <v>573</v>
      </c>
      <c r="B353" s="53" t="s">
        <v>606</v>
      </c>
      <c r="C353" s="53" t="s">
        <v>606</v>
      </c>
      <c r="D353" s="750"/>
      <c r="E353" s="53" t="s">
        <v>592</v>
      </c>
      <c r="F353" s="1168" t="s">
        <v>574</v>
      </c>
      <c r="G353" s="53" t="s">
        <v>574</v>
      </c>
      <c r="H353" s="1154" t="s">
        <v>592</v>
      </c>
      <c r="I353" s="1154" t="s">
        <v>575</v>
      </c>
      <c r="J353" s="780"/>
      <c r="K353" s="780"/>
    </row>
    <row r="354" spans="1:11">
      <c r="A354" s="53" t="s">
        <v>576</v>
      </c>
      <c r="B354" s="53" t="s">
        <v>576</v>
      </c>
      <c r="C354" s="53" t="s">
        <v>576</v>
      </c>
      <c r="D354" s="53" t="s">
        <v>607</v>
      </c>
      <c r="E354" s="53" t="s">
        <v>593</v>
      </c>
      <c r="F354" s="1168" t="s">
        <v>420</v>
      </c>
      <c r="G354" s="53" t="s">
        <v>258</v>
      </c>
      <c r="H354" s="1154" t="s">
        <v>578</v>
      </c>
      <c r="I354" s="1154" t="s">
        <v>579</v>
      </c>
      <c r="J354" s="780"/>
      <c r="K354" s="780"/>
    </row>
    <row r="355" spans="1:11">
      <c r="A355" s="53"/>
      <c r="B355" s="53"/>
      <c r="C355" s="53"/>
      <c r="D355" s="53"/>
      <c r="E355" s="1445"/>
      <c r="F355" s="1446"/>
      <c r="G355" s="1445"/>
      <c r="H355" s="1444"/>
      <c r="I355" s="1444"/>
      <c r="J355" s="780"/>
      <c r="K355" s="780"/>
    </row>
    <row r="356" spans="1:11">
      <c r="A356" s="2082"/>
      <c r="B356" s="2082"/>
      <c r="C356" s="2082"/>
      <c r="D356" s="2082"/>
      <c r="E356" s="1154" t="s">
        <v>580</v>
      </c>
      <c r="F356" s="747"/>
      <c r="G356" s="53" t="s">
        <v>580</v>
      </c>
      <c r="H356" s="53" t="s">
        <v>580</v>
      </c>
      <c r="I356" s="53" t="s">
        <v>580</v>
      </c>
      <c r="J356" s="780"/>
      <c r="K356" s="780"/>
    </row>
    <row r="357" spans="1:11">
      <c r="A357" s="53" t="s">
        <v>382</v>
      </c>
      <c r="B357" s="750"/>
      <c r="C357" s="750"/>
      <c r="D357" s="750"/>
      <c r="E357" s="780"/>
      <c r="F357" s="2277"/>
      <c r="G357" s="780"/>
      <c r="H357" s="780"/>
      <c r="I357" s="780"/>
      <c r="J357" s="780"/>
      <c r="K357" s="780"/>
    </row>
    <row r="358" spans="1:11">
      <c r="A358" s="53">
        <v>1</v>
      </c>
      <c r="B358" s="33">
        <v>350</v>
      </c>
      <c r="C358" s="33">
        <v>3500</v>
      </c>
      <c r="D358" s="32" t="s">
        <v>634</v>
      </c>
      <c r="E358" s="748">
        <f>'SCH B-2.3'!L357</f>
        <v>357042</v>
      </c>
      <c r="F358" s="2278">
        <v>1</v>
      </c>
      <c r="G358" s="748">
        <f t="shared" ref="G358:G368" si="24">ROUND((E358*F358),0)</f>
        <v>357042</v>
      </c>
      <c r="H358" s="1169"/>
      <c r="I358" s="748">
        <f t="shared" ref="I358:I368" si="25">G358+H358</f>
        <v>357042</v>
      </c>
      <c r="J358" s="780"/>
      <c r="K358" s="780"/>
    </row>
    <row r="359" spans="1:11">
      <c r="A359" s="53">
        <f t="shared" ref="A359:A368" si="26">A358+1</f>
        <v>2</v>
      </c>
      <c r="B359" s="33">
        <v>350</v>
      </c>
      <c r="C359" s="33">
        <v>3501</v>
      </c>
      <c r="D359" s="32" t="s">
        <v>622</v>
      </c>
      <c r="E359" s="748">
        <f>'SCH B-2.3'!L358</f>
        <v>10654574</v>
      </c>
      <c r="F359" s="2278">
        <v>1</v>
      </c>
      <c r="G359" s="748">
        <f t="shared" si="24"/>
        <v>10654574</v>
      </c>
      <c r="H359" s="1169"/>
      <c r="I359" s="748">
        <f t="shared" si="25"/>
        <v>10654574</v>
      </c>
      <c r="J359" s="780"/>
      <c r="K359" s="780"/>
    </row>
    <row r="360" spans="1:11">
      <c r="A360" s="53">
        <f t="shared" si="26"/>
        <v>3</v>
      </c>
      <c r="B360" s="33">
        <v>352</v>
      </c>
      <c r="C360" s="33">
        <v>3520</v>
      </c>
      <c r="D360" s="32" t="s">
        <v>609</v>
      </c>
      <c r="E360" s="748">
        <f>'SCH B-2.3'!L359</f>
        <v>6986560</v>
      </c>
      <c r="F360" s="2278">
        <v>1</v>
      </c>
      <c r="G360" s="748">
        <f t="shared" si="24"/>
        <v>6986560</v>
      </c>
      <c r="H360" s="1169"/>
      <c r="I360" s="748">
        <f t="shared" si="25"/>
        <v>6986560</v>
      </c>
      <c r="J360" s="780"/>
      <c r="K360" s="780"/>
    </row>
    <row r="361" spans="1:11">
      <c r="A361" s="53">
        <f t="shared" si="26"/>
        <v>4</v>
      </c>
      <c r="B361" s="33">
        <v>353</v>
      </c>
      <c r="C361" s="33">
        <v>3530</v>
      </c>
      <c r="D361" s="32" t="s">
        <v>635</v>
      </c>
      <c r="E361" s="748">
        <f>'SCH B-2.3'!L360</f>
        <v>37723393</v>
      </c>
      <c r="F361" s="2278">
        <v>1</v>
      </c>
      <c r="G361" s="748">
        <f t="shared" si="24"/>
        <v>37723393</v>
      </c>
      <c r="H361" s="1169"/>
      <c r="I361" s="748">
        <f t="shared" si="25"/>
        <v>37723393</v>
      </c>
      <c r="J361" s="780"/>
      <c r="K361" s="780"/>
    </row>
    <row r="362" spans="1:11">
      <c r="A362" s="53">
        <f t="shared" si="26"/>
        <v>5</v>
      </c>
      <c r="B362" s="33">
        <v>353</v>
      </c>
      <c r="C362" s="33">
        <v>3531</v>
      </c>
      <c r="D362" s="32" t="s">
        <v>636</v>
      </c>
      <c r="E362" s="748">
        <f>'SCH B-2.3'!L361</f>
        <v>10844053</v>
      </c>
      <c r="F362" s="2278">
        <v>1</v>
      </c>
      <c r="G362" s="748">
        <f t="shared" si="24"/>
        <v>10844053</v>
      </c>
      <c r="H362" s="1169"/>
      <c r="I362" s="748">
        <f t="shared" si="25"/>
        <v>10844053</v>
      </c>
      <c r="J362" s="780"/>
      <c r="K362" s="780"/>
    </row>
    <row r="363" spans="1:11">
      <c r="A363" s="53">
        <f t="shared" si="26"/>
        <v>6</v>
      </c>
      <c r="B363" s="33">
        <v>353</v>
      </c>
      <c r="C363" s="33">
        <v>3532</v>
      </c>
      <c r="D363" s="32" t="s">
        <v>637</v>
      </c>
      <c r="E363" s="748">
        <f>'SCH B-2.3'!L362</f>
        <v>13244554</v>
      </c>
      <c r="F363" s="2278">
        <v>1</v>
      </c>
      <c r="G363" s="748">
        <f t="shared" si="24"/>
        <v>13244554</v>
      </c>
      <c r="H363" s="1169"/>
      <c r="I363" s="748">
        <f t="shared" si="25"/>
        <v>13244554</v>
      </c>
      <c r="J363" s="780"/>
      <c r="K363" s="780"/>
    </row>
    <row r="364" spans="1:11">
      <c r="A364" s="53">
        <f t="shared" si="26"/>
        <v>7</v>
      </c>
      <c r="B364" s="33">
        <v>353</v>
      </c>
      <c r="C364" s="33">
        <v>3534</v>
      </c>
      <c r="D364" s="32" t="s">
        <v>638</v>
      </c>
      <c r="E364" s="748">
        <f>'SCH B-2.3'!L363</f>
        <v>8872106</v>
      </c>
      <c r="F364" s="2278">
        <v>1</v>
      </c>
      <c r="G364" s="748">
        <f t="shared" si="24"/>
        <v>8872106</v>
      </c>
      <c r="H364" s="1169"/>
      <c r="I364" s="748">
        <f t="shared" si="25"/>
        <v>8872106</v>
      </c>
      <c r="J364" s="780"/>
      <c r="K364" s="780"/>
    </row>
    <row r="365" spans="1:11">
      <c r="A365" s="53">
        <f t="shared" si="26"/>
        <v>8</v>
      </c>
      <c r="B365" s="33">
        <v>355</v>
      </c>
      <c r="C365" s="33">
        <v>3550</v>
      </c>
      <c r="D365" s="32" t="s">
        <v>639</v>
      </c>
      <c r="E365" s="748">
        <f>'SCH B-2.3'!L364</f>
        <v>46250360</v>
      </c>
      <c r="F365" s="2278">
        <v>1</v>
      </c>
      <c r="G365" s="748">
        <f t="shared" si="24"/>
        <v>46250360</v>
      </c>
      <c r="H365" s="1169"/>
      <c r="I365" s="748">
        <f t="shared" si="25"/>
        <v>46250360</v>
      </c>
      <c r="J365" s="780"/>
      <c r="K365" s="780"/>
    </row>
    <row r="366" spans="1:11">
      <c r="A366" s="53">
        <f t="shared" si="26"/>
        <v>9</v>
      </c>
      <c r="B366" s="33">
        <v>356</v>
      </c>
      <c r="C366" s="33">
        <v>3560</v>
      </c>
      <c r="D366" s="32" t="s">
        <v>640</v>
      </c>
      <c r="E366" s="748">
        <f>'SCH B-2.3'!L365</f>
        <v>22467590</v>
      </c>
      <c r="F366" s="2278">
        <v>1</v>
      </c>
      <c r="G366" s="748">
        <f t="shared" si="24"/>
        <v>22467590</v>
      </c>
      <c r="H366" s="1169"/>
      <c r="I366" s="748">
        <f t="shared" si="25"/>
        <v>22467590</v>
      </c>
      <c r="J366" s="780"/>
      <c r="K366" s="780"/>
    </row>
    <row r="367" spans="1:11">
      <c r="A367" s="53">
        <f t="shared" si="26"/>
        <v>10</v>
      </c>
      <c r="B367" s="33">
        <v>356</v>
      </c>
      <c r="C367" s="33">
        <v>3561</v>
      </c>
      <c r="D367" s="32" t="s">
        <v>641</v>
      </c>
      <c r="E367" s="748">
        <f>'SCH B-2.3'!L366</f>
        <v>3303607</v>
      </c>
      <c r="F367" s="2278">
        <v>1</v>
      </c>
      <c r="G367" s="748">
        <f t="shared" si="24"/>
        <v>3303607</v>
      </c>
      <c r="H367" s="1169"/>
      <c r="I367" s="748">
        <f t="shared" si="25"/>
        <v>3303607</v>
      </c>
      <c r="J367" s="780"/>
      <c r="K367" s="780"/>
    </row>
    <row r="368" spans="1:11">
      <c r="A368" s="53">
        <f t="shared" si="26"/>
        <v>11</v>
      </c>
      <c r="B368" s="32"/>
      <c r="C368" s="32"/>
      <c r="D368" s="32" t="s">
        <v>617</v>
      </c>
      <c r="E368" s="748">
        <f>'SCH B-2.3'!L367</f>
        <v>0</v>
      </c>
      <c r="F368" s="2278">
        <v>1</v>
      </c>
      <c r="G368" s="748">
        <f t="shared" si="24"/>
        <v>0</v>
      </c>
      <c r="H368" s="1169"/>
      <c r="I368" s="748">
        <f t="shared" si="25"/>
        <v>0</v>
      </c>
      <c r="J368" s="780"/>
      <c r="K368" s="780"/>
    </row>
    <row r="369" spans="1:11">
      <c r="A369" s="53"/>
      <c r="B369" s="32"/>
      <c r="C369" s="32"/>
      <c r="D369" s="32"/>
      <c r="E369" s="748"/>
      <c r="F369" s="747"/>
      <c r="G369" s="748"/>
      <c r="H369" s="1169"/>
      <c r="I369" s="748"/>
      <c r="J369" s="780"/>
      <c r="K369" s="780"/>
    </row>
    <row r="370" spans="1:11">
      <c r="A370" s="750"/>
      <c r="B370" s="750"/>
      <c r="C370" s="750"/>
      <c r="D370" s="750"/>
      <c r="E370" s="748"/>
      <c r="F370" s="747"/>
      <c r="G370" s="748"/>
      <c r="H370" s="748"/>
      <c r="I370" s="748"/>
      <c r="J370" s="780"/>
      <c r="K370" s="780"/>
    </row>
    <row r="371" spans="1:11">
      <c r="A371" s="2082"/>
      <c r="B371" s="2082"/>
      <c r="C371" s="2082"/>
      <c r="D371" s="2082"/>
      <c r="E371" s="2084"/>
      <c r="F371" s="2087"/>
      <c r="G371" s="2084"/>
      <c r="H371" s="2084"/>
      <c r="I371" s="2084"/>
      <c r="J371" s="780"/>
      <c r="K371" s="780"/>
    </row>
    <row r="372" spans="1:11">
      <c r="A372" s="53">
        <v>12</v>
      </c>
      <c r="B372" s="750"/>
      <c r="C372" s="750"/>
      <c r="D372" s="737" t="s">
        <v>642</v>
      </c>
      <c r="E372" s="748">
        <f>SUM(E358:E368)</f>
        <v>160703839</v>
      </c>
      <c r="F372" s="747"/>
      <c r="G372" s="748">
        <f>SUM(G358:G368)</f>
        <v>160703839</v>
      </c>
      <c r="H372" s="748">
        <f>SUM(H358:H368)</f>
        <v>0</v>
      </c>
      <c r="I372" s="748">
        <f>SUM(I358:I368)</f>
        <v>160703839</v>
      </c>
      <c r="J372" s="780"/>
      <c r="K372" s="2088" t="str">
        <f>IF(E372='SCH B-2.3'!L371,"BALANCED","ERROR")</f>
        <v>BALANCED</v>
      </c>
    </row>
    <row r="373" spans="1:11">
      <c r="A373" s="750"/>
      <c r="B373" s="750"/>
      <c r="C373" s="750"/>
      <c r="D373" s="750"/>
      <c r="E373" s="748"/>
      <c r="F373" s="747"/>
      <c r="G373" s="748"/>
      <c r="H373" s="748"/>
      <c r="I373" s="748"/>
      <c r="J373" s="780"/>
      <c r="K373" s="780"/>
    </row>
    <row r="374" spans="1:11">
      <c r="A374" s="2082"/>
      <c r="B374" s="2082"/>
      <c r="C374" s="2082"/>
      <c r="D374" s="2082"/>
      <c r="E374" s="2084"/>
      <c r="F374" s="2087"/>
      <c r="G374" s="2084"/>
      <c r="H374" s="2084"/>
      <c r="I374" s="2084"/>
      <c r="J374" s="780"/>
      <c r="K374" s="780"/>
    </row>
    <row r="375" spans="1:11">
      <c r="A375" s="59" t="str">
        <f>A258</f>
        <v>DUKE ENERGY KENTUCKY, INC.</v>
      </c>
      <c r="B375" s="59"/>
      <c r="C375" s="59"/>
      <c r="D375" s="59"/>
      <c r="E375" s="59"/>
      <c r="F375" s="1167"/>
      <c r="G375" s="59"/>
      <c r="H375" s="59"/>
      <c r="I375" s="59"/>
      <c r="J375" s="780"/>
      <c r="K375" s="780"/>
    </row>
    <row r="376" spans="1:11">
      <c r="A376" s="59" t="str">
        <f>A259</f>
        <v>CASE NO. 2024-00354</v>
      </c>
      <c r="B376" s="59"/>
      <c r="C376" s="59"/>
      <c r="D376" s="59"/>
      <c r="E376" s="59"/>
      <c r="F376" s="1167"/>
      <c r="G376" s="59"/>
      <c r="H376" s="59"/>
      <c r="I376" s="59"/>
      <c r="J376" s="780"/>
      <c r="K376" s="780"/>
    </row>
    <row r="377" spans="1:11">
      <c r="A377" s="59" t="str">
        <f>A260</f>
        <v>PLANT IN SERVICE BY ACCOUNTS AND SUBACCOUNTS</v>
      </c>
      <c r="B377" s="59"/>
      <c r="C377" s="59"/>
      <c r="D377" s="59"/>
      <c r="E377" s="59"/>
      <c r="F377" s="1167"/>
      <c r="G377" s="59"/>
      <c r="H377" s="59"/>
      <c r="I377" s="59"/>
      <c r="J377" s="780"/>
      <c r="K377" s="780"/>
    </row>
    <row r="378" spans="1:11">
      <c r="A378" s="47" t="str">
        <f>"AS OF " &amp;RIGHT(Forecast,(LEN(Forecast)-16))</f>
        <v>AS OF JUNE 30, 2026</v>
      </c>
      <c r="B378" s="59"/>
      <c r="C378" s="59"/>
      <c r="D378" s="59"/>
      <c r="E378" s="59"/>
      <c r="F378" s="1167"/>
      <c r="G378" s="59"/>
      <c r="H378" s="59"/>
      <c r="I378" s="59"/>
      <c r="J378" s="780"/>
      <c r="K378" s="780"/>
    </row>
    <row r="379" spans="1:11">
      <c r="A379" s="59"/>
      <c r="B379" s="59"/>
      <c r="C379" s="59"/>
      <c r="D379" s="59"/>
      <c r="E379" s="59"/>
      <c r="F379" s="1167"/>
      <c r="G379" s="59"/>
      <c r="H379" s="59"/>
      <c r="I379" s="59"/>
      <c r="J379" s="780"/>
      <c r="K379" s="780"/>
    </row>
    <row r="380" spans="1:11">
      <c r="A380" s="59" t="s">
        <v>643</v>
      </c>
      <c r="B380" s="59"/>
      <c r="C380" s="59"/>
      <c r="D380" s="59"/>
      <c r="E380" s="59"/>
      <c r="F380" s="1167"/>
      <c r="G380" s="59"/>
      <c r="H380" s="59"/>
      <c r="I380" s="59"/>
      <c r="J380" s="780"/>
      <c r="K380" s="780"/>
    </row>
    <row r="381" spans="1:11">
      <c r="A381" s="1148" t="s">
        <v>529</v>
      </c>
      <c r="B381" s="59"/>
      <c r="C381" s="59"/>
      <c r="D381" s="59"/>
      <c r="E381" s="59"/>
      <c r="F381" s="1167"/>
      <c r="G381" s="59"/>
      <c r="H381" s="59"/>
      <c r="I381" s="59"/>
      <c r="J381" s="780"/>
      <c r="K381" s="780"/>
    </row>
    <row r="382" spans="1:11">
      <c r="A382" s="750"/>
      <c r="B382" s="750"/>
      <c r="C382" s="750"/>
      <c r="D382" s="750"/>
      <c r="E382" s="750"/>
      <c r="F382" s="747"/>
      <c r="G382" s="750"/>
      <c r="H382" s="750"/>
      <c r="I382" s="750"/>
      <c r="J382" s="780"/>
      <c r="K382" s="780"/>
    </row>
    <row r="383" spans="1:11">
      <c r="A383" s="750"/>
      <c r="B383" s="750"/>
      <c r="C383" s="750"/>
      <c r="D383" s="750"/>
      <c r="E383" s="750"/>
      <c r="F383" s="747"/>
      <c r="G383" s="750"/>
      <c r="H383" s="1165" t="str">
        <f>H267</f>
        <v>SCHEDULE B-2.1</v>
      </c>
      <c r="I383" s="750"/>
      <c r="J383" s="780"/>
      <c r="K383" s="780"/>
    </row>
    <row r="384" spans="1:11">
      <c r="A384" s="737" t="str">
        <f>A267</f>
        <v>DATA:  BASE PERIOD  "X" FORECASTED PERIOD</v>
      </c>
      <c r="B384" s="750"/>
      <c r="C384" s="750"/>
      <c r="D384" s="750"/>
      <c r="E384" s="750"/>
      <c r="F384" s="747"/>
      <c r="G384" s="750"/>
      <c r="H384" s="1165" t="s">
        <v>687</v>
      </c>
      <c r="I384" s="750"/>
      <c r="J384" s="780"/>
      <c r="K384" s="780"/>
    </row>
    <row r="385" spans="1:12">
      <c r="A385" s="737" t="str">
        <f>A268</f>
        <v xml:space="preserve">TYPE OF FILING:  "X" ORIGINAL   UPDATED    REVISED  </v>
      </c>
      <c r="B385" s="750"/>
      <c r="C385" s="750"/>
      <c r="D385" s="750"/>
      <c r="E385" s="750"/>
      <c r="F385" s="747"/>
      <c r="G385" s="750"/>
      <c r="H385" s="1165" t="s">
        <v>468</v>
      </c>
      <c r="I385" s="750"/>
      <c r="J385" s="780"/>
      <c r="K385" s="780"/>
    </row>
    <row r="386" spans="1:12">
      <c r="A386" s="737" t="str">
        <f>A269</f>
        <v>WORK PAPER REFERENCE NO(S).: SCHEDULE B-2.2, SCHEDULE B-2.3</v>
      </c>
      <c r="B386" s="750"/>
      <c r="C386" s="750"/>
      <c r="D386" s="750"/>
      <c r="E386" s="750"/>
      <c r="F386" s="747"/>
      <c r="G386" s="750"/>
      <c r="H386" s="750" t="str">
        <f>H270</f>
        <v>G. S. CARPENTER / S. S. MITCHELL</v>
      </c>
      <c r="I386" s="750"/>
      <c r="J386" s="780"/>
      <c r="K386" s="780"/>
    </row>
    <row r="387" spans="1:12">
      <c r="A387" s="750"/>
      <c r="B387" s="750"/>
      <c r="C387" s="750"/>
      <c r="D387" s="750"/>
      <c r="E387" s="750"/>
      <c r="F387" s="747"/>
      <c r="G387" s="750"/>
      <c r="H387" s="750"/>
      <c r="I387" s="750"/>
      <c r="J387" s="780"/>
      <c r="K387" s="780"/>
    </row>
    <row r="388" spans="1:12">
      <c r="A388" s="750"/>
      <c r="B388" s="750"/>
      <c r="C388" s="750"/>
      <c r="D388" s="750"/>
      <c r="E388" s="750"/>
      <c r="F388" s="747"/>
      <c r="G388" s="750"/>
      <c r="H388" s="750"/>
      <c r="I388" s="750"/>
      <c r="J388" s="780"/>
      <c r="K388" s="780"/>
    </row>
    <row r="389" spans="1:12">
      <c r="A389" s="750"/>
      <c r="B389" s="750"/>
      <c r="C389" s="750"/>
      <c r="D389" s="750"/>
      <c r="E389" s="750"/>
      <c r="F389" s="747"/>
      <c r="G389" s="750"/>
      <c r="H389" s="750"/>
      <c r="I389" s="750"/>
      <c r="J389" s="780"/>
      <c r="K389" s="780"/>
    </row>
    <row r="390" spans="1:12">
      <c r="A390" s="2082"/>
      <c r="B390" s="2089"/>
      <c r="C390" s="2085"/>
      <c r="D390" s="2082"/>
      <c r="E390" s="2082"/>
      <c r="F390" s="2087"/>
      <c r="G390" s="2082"/>
      <c r="H390" s="2084"/>
      <c r="I390" s="2090" t="s">
        <v>591</v>
      </c>
      <c r="J390" s="780"/>
      <c r="K390" s="780"/>
    </row>
    <row r="391" spans="1:12">
      <c r="A391" s="52"/>
      <c r="B391" s="56" t="s">
        <v>257</v>
      </c>
      <c r="C391" s="56" t="s">
        <v>605</v>
      </c>
      <c r="D391" s="52"/>
      <c r="E391" s="49" t="s">
        <v>591</v>
      </c>
      <c r="F391" s="54"/>
      <c r="G391" s="52"/>
      <c r="H391" s="48" t="s">
        <v>591</v>
      </c>
      <c r="I391" s="48" t="s">
        <v>592</v>
      </c>
      <c r="J391" s="780"/>
      <c r="K391" s="780"/>
    </row>
    <row r="392" spans="1:12">
      <c r="A392" s="53" t="s">
        <v>573</v>
      </c>
      <c r="B392" s="53" t="s">
        <v>606</v>
      </c>
      <c r="C392" s="53" t="s">
        <v>606</v>
      </c>
      <c r="D392" s="750"/>
      <c r="E392" s="53" t="s">
        <v>592</v>
      </c>
      <c r="F392" s="1168" t="s">
        <v>574</v>
      </c>
      <c r="G392" s="53" t="s">
        <v>574</v>
      </c>
      <c r="H392" s="1154" t="s">
        <v>592</v>
      </c>
      <c r="I392" s="1154" t="s">
        <v>575</v>
      </c>
      <c r="J392" s="780"/>
      <c r="K392" s="780"/>
    </row>
    <row r="393" spans="1:12">
      <c r="A393" s="53" t="s">
        <v>576</v>
      </c>
      <c r="B393" s="53" t="s">
        <v>576</v>
      </c>
      <c r="C393" s="53" t="s">
        <v>576</v>
      </c>
      <c r="D393" s="53" t="s">
        <v>607</v>
      </c>
      <c r="E393" s="53" t="s">
        <v>593</v>
      </c>
      <c r="F393" s="1168" t="s">
        <v>420</v>
      </c>
      <c r="G393" s="53" t="s">
        <v>258</v>
      </c>
      <c r="H393" s="1154" t="s">
        <v>578</v>
      </c>
      <c r="I393" s="1154" t="s">
        <v>579</v>
      </c>
      <c r="J393" s="780"/>
      <c r="K393" s="780"/>
    </row>
    <row r="394" spans="1:12">
      <c r="A394" s="53"/>
      <c r="B394" s="53"/>
      <c r="C394" s="53"/>
      <c r="D394" s="53"/>
      <c r="E394" s="1445"/>
      <c r="F394" s="1446"/>
      <c r="G394" s="1445"/>
      <c r="H394" s="1444"/>
      <c r="I394" s="1444"/>
      <c r="J394" s="780"/>
      <c r="K394" s="780"/>
    </row>
    <row r="395" spans="1:12">
      <c r="A395" s="2082"/>
      <c r="B395" s="2082"/>
      <c r="C395" s="2082"/>
      <c r="D395" s="2082"/>
      <c r="E395" s="1154" t="s">
        <v>580</v>
      </c>
      <c r="F395" s="747"/>
      <c r="G395" s="53" t="s">
        <v>580</v>
      </c>
      <c r="H395" s="53" t="s">
        <v>580</v>
      </c>
      <c r="I395" s="53" t="s">
        <v>580</v>
      </c>
      <c r="J395" s="780"/>
      <c r="K395" s="780"/>
    </row>
    <row r="396" spans="1:12">
      <c r="A396" s="53" t="s">
        <v>382</v>
      </c>
      <c r="B396" s="750"/>
      <c r="C396" s="750"/>
      <c r="D396" s="750"/>
      <c r="E396" s="780"/>
      <c r="F396" s="2277"/>
      <c r="G396" s="780"/>
      <c r="H396" s="780"/>
      <c r="I396" s="780"/>
      <c r="J396" s="780"/>
      <c r="K396" s="780"/>
    </row>
    <row r="397" spans="1:12">
      <c r="A397" s="53">
        <v>1</v>
      </c>
      <c r="B397" s="53">
        <v>360</v>
      </c>
      <c r="C397" s="53">
        <v>3600</v>
      </c>
      <c r="D397" s="737" t="s">
        <v>608</v>
      </c>
      <c r="E397" s="748">
        <f>'SCH B-2.3'!L396</f>
        <v>18539153</v>
      </c>
      <c r="F397" s="2278">
        <v>1</v>
      </c>
      <c r="G397" s="748">
        <f t="shared" ref="G397:G420" si="27">ROUND((E397*F397),0)</f>
        <v>18539153</v>
      </c>
      <c r="H397" s="1169"/>
      <c r="I397" s="748">
        <f t="shared" ref="I397:I420" si="28">G397+H397</f>
        <v>18539153</v>
      </c>
      <c r="J397" s="780"/>
      <c r="K397" s="780"/>
      <c r="L397" s="28"/>
    </row>
    <row r="398" spans="1:12">
      <c r="A398" s="53">
        <f t="shared" ref="A398:A420" si="29">A397+1</f>
        <v>2</v>
      </c>
      <c r="B398" s="53">
        <v>360</v>
      </c>
      <c r="C398" s="53">
        <v>3601</v>
      </c>
      <c r="D398" s="737" t="s">
        <v>622</v>
      </c>
      <c r="E398" s="748">
        <f>'SCH B-2.3'!L397</f>
        <v>6075504</v>
      </c>
      <c r="F398" s="2278">
        <v>1</v>
      </c>
      <c r="G398" s="748">
        <f t="shared" si="27"/>
        <v>6075504</v>
      </c>
      <c r="H398" s="1169"/>
      <c r="I398" s="748">
        <f t="shared" si="28"/>
        <v>6075504</v>
      </c>
      <c r="J398" s="780"/>
      <c r="K398" s="780"/>
      <c r="L398" s="28"/>
    </row>
    <row r="399" spans="1:12">
      <c r="A399" s="53">
        <f t="shared" si="29"/>
        <v>3</v>
      </c>
      <c r="B399" s="53">
        <v>361</v>
      </c>
      <c r="C399" s="53">
        <v>3610</v>
      </c>
      <c r="D399" s="737" t="s">
        <v>609</v>
      </c>
      <c r="E399" s="748">
        <f>'SCH B-2.3'!L398</f>
        <v>3462289</v>
      </c>
      <c r="F399" s="2278">
        <v>1</v>
      </c>
      <c r="G399" s="748">
        <f t="shared" si="27"/>
        <v>3462289</v>
      </c>
      <c r="H399" s="1169"/>
      <c r="I399" s="748">
        <f t="shared" si="28"/>
        <v>3462289</v>
      </c>
      <c r="J399" s="780"/>
      <c r="K399" s="780"/>
      <c r="L399" s="28"/>
    </row>
    <row r="400" spans="1:12">
      <c r="A400" s="53">
        <f t="shared" si="29"/>
        <v>4</v>
      </c>
      <c r="B400" s="53">
        <v>362</v>
      </c>
      <c r="C400" s="53">
        <v>3620</v>
      </c>
      <c r="D400" s="737" t="s">
        <v>635</v>
      </c>
      <c r="E400" s="748">
        <f>'SCH B-2.3'!L399</f>
        <v>104578229</v>
      </c>
      <c r="F400" s="2278">
        <v>1</v>
      </c>
      <c r="G400" s="748">
        <f t="shared" si="27"/>
        <v>104578229</v>
      </c>
      <c r="H400" s="1169"/>
      <c r="I400" s="748">
        <f t="shared" si="28"/>
        <v>104578229</v>
      </c>
      <c r="J400" s="780"/>
      <c r="K400" s="780"/>
      <c r="L400" s="28"/>
    </row>
    <row r="401" spans="1:12">
      <c r="A401" s="53">
        <f t="shared" si="29"/>
        <v>5</v>
      </c>
      <c r="B401" s="53">
        <v>362</v>
      </c>
      <c r="C401" s="53">
        <v>3622</v>
      </c>
      <c r="D401" s="1131" t="s">
        <v>637</v>
      </c>
      <c r="E401" s="748">
        <f>'SCH B-2.3'!L400</f>
        <v>54712564</v>
      </c>
      <c r="F401" s="2278">
        <v>1</v>
      </c>
      <c r="G401" s="748">
        <f t="shared" si="27"/>
        <v>54712564</v>
      </c>
      <c r="H401" s="1169"/>
      <c r="I401" s="748">
        <f t="shared" si="28"/>
        <v>54712564</v>
      </c>
      <c r="J401" s="780"/>
      <c r="K401" s="780"/>
      <c r="L401" s="28"/>
    </row>
    <row r="402" spans="1:12">
      <c r="A402" s="53">
        <f t="shared" si="29"/>
        <v>6</v>
      </c>
      <c r="B402" s="53">
        <v>363</v>
      </c>
      <c r="C402" s="53">
        <v>3630</v>
      </c>
      <c r="D402" s="1131" t="s">
        <v>645</v>
      </c>
      <c r="E402" s="748">
        <f>'SCH B-2.3'!L401</f>
        <v>0</v>
      </c>
      <c r="F402" s="2278">
        <v>1</v>
      </c>
      <c r="G402" s="748">
        <f t="shared" si="27"/>
        <v>0</v>
      </c>
      <c r="H402" s="1169"/>
      <c r="I402" s="748">
        <f t="shared" si="28"/>
        <v>0</v>
      </c>
      <c r="J402" s="780"/>
      <c r="K402" s="780"/>
      <c r="L402" s="28"/>
    </row>
    <row r="403" spans="1:12">
      <c r="A403" s="53">
        <f t="shared" si="29"/>
        <v>7</v>
      </c>
      <c r="B403" s="53">
        <v>364</v>
      </c>
      <c r="C403" s="53">
        <v>3640</v>
      </c>
      <c r="D403" s="737" t="s">
        <v>688</v>
      </c>
      <c r="E403" s="748">
        <f>'SCH B-2.3'!L402</f>
        <v>89912849</v>
      </c>
      <c r="F403" s="2278">
        <v>1</v>
      </c>
      <c r="G403" s="748">
        <f t="shared" si="27"/>
        <v>89912849</v>
      </c>
      <c r="H403" s="1169"/>
      <c r="I403" s="748">
        <f t="shared" si="28"/>
        <v>89912849</v>
      </c>
      <c r="J403" s="780"/>
      <c r="K403" s="780"/>
      <c r="L403" s="28"/>
    </row>
    <row r="404" spans="1:12">
      <c r="A404" s="53">
        <f t="shared" si="29"/>
        <v>8</v>
      </c>
      <c r="B404" s="53">
        <v>365</v>
      </c>
      <c r="C404" s="53">
        <v>3650</v>
      </c>
      <c r="D404" s="737" t="s">
        <v>640</v>
      </c>
      <c r="E404" s="748">
        <f>'SCH B-2.3'!L403</f>
        <v>173850609</v>
      </c>
      <c r="F404" s="2278">
        <v>1</v>
      </c>
      <c r="G404" s="748">
        <f t="shared" si="27"/>
        <v>173850609</v>
      </c>
      <c r="H404" s="1169"/>
      <c r="I404" s="748">
        <f t="shared" si="28"/>
        <v>173850609</v>
      </c>
      <c r="J404" s="780"/>
      <c r="K404" s="780"/>
      <c r="L404" s="28"/>
    </row>
    <row r="405" spans="1:12">
      <c r="A405" s="53">
        <f t="shared" si="29"/>
        <v>9</v>
      </c>
      <c r="B405" s="53">
        <v>365</v>
      </c>
      <c r="C405" s="53">
        <v>3651</v>
      </c>
      <c r="D405" s="737" t="s">
        <v>641</v>
      </c>
      <c r="E405" s="748">
        <f>'SCH B-2.3'!L404</f>
        <v>9830247</v>
      </c>
      <c r="F405" s="2278">
        <v>1</v>
      </c>
      <c r="G405" s="748">
        <f t="shared" si="27"/>
        <v>9830247</v>
      </c>
      <c r="H405" s="1169"/>
      <c r="I405" s="748">
        <f t="shared" si="28"/>
        <v>9830247</v>
      </c>
      <c r="J405" s="780"/>
      <c r="K405" s="780"/>
      <c r="L405" s="28"/>
    </row>
    <row r="406" spans="1:12">
      <c r="A406" s="53">
        <f t="shared" si="29"/>
        <v>10</v>
      </c>
      <c r="B406" s="53">
        <v>366</v>
      </c>
      <c r="C406" s="53">
        <v>3660</v>
      </c>
      <c r="D406" s="737" t="s">
        <v>647</v>
      </c>
      <c r="E406" s="748">
        <f>'SCH B-2.3'!L405</f>
        <v>56165678</v>
      </c>
      <c r="F406" s="2278">
        <v>1</v>
      </c>
      <c r="G406" s="748">
        <f t="shared" si="27"/>
        <v>56165678</v>
      </c>
      <c r="H406" s="1169"/>
      <c r="I406" s="748">
        <f t="shared" si="28"/>
        <v>56165678</v>
      </c>
      <c r="J406" s="780"/>
      <c r="K406" s="780"/>
      <c r="L406" s="28"/>
    </row>
    <row r="407" spans="1:12">
      <c r="A407" s="53">
        <f t="shared" si="29"/>
        <v>11</v>
      </c>
      <c r="B407" s="53">
        <v>367</v>
      </c>
      <c r="C407" s="53">
        <v>3670</v>
      </c>
      <c r="D407" s="737" t="s">
        <v>648</v>
      </c>
      <c r="E407" s="748">
        <f>'SCH B-2.3'!L406</f>
        <v>114333811</v>
      </c>
      <c r="F407" s="2278">
        <v>1</v>
      </c>
      <c r="G407" s="748">
        <f t="shared" si="27"/>
        <v>114333811</v>
      </c>
      <c r="H407" s="1169"/>
      <c r="I407" s="748">
        <f t="shared" si="28"/>
        <v>114333811</v>
      </c>
      <c r="J407" s="780"/>
      <c r="K407" s="780"/>
      <c r="L407" s="28"/>
    </row>
    <row r="408" spans="1:12">
      <c r="A408" s="53">
        <f t="shared" si="29"/>
        <v>12</v>
      </c>
      <c r="B408" s="53">
        <v>368</v>
      </c>
      <c r="C408" s="53">
        <v>3680</v>
      </c>
      <c r="D408" s="737" t="s">
        <v>649</v>
      </c>
      <c r="E408" s="748">
        <f>'SCH B-2.3'!L407</f>
        <v>98810327</v>
      </c>
      <c r="F408" s="2278">
        <v>1</v>
      </c>
      <c r="G408" s="748">
        <f t="shared" si="27"/>
        <v>98810327</v>
      </c>
      <c r="H408" s="1169"/>
      <c r="I408" s="748">
        <f t="shared" si="28"/>
        <v>98810327</v>
      </c>
      <c r="J408" s="780"/>
      <c r="K408" s="780"/>
      <c r="L408" s="28"/>
    </row>
    <row r="409" spans="1:12">
      <c r="A409" s="53">
        <f t="shared" si="29"/>
        <v>13</v>
      </c>
      <c r="B409" s="53">
        <v>368</v>
      </c>
      <c r="C409" s="53">
        <v>3682</v>
      </c>
      <c r="D409" s="737" t="s">
        <v>650</v>
      </c>
      <c r="E409" s="748">
        <f>'SCH B-2.3'!L408</f>
        <v>309394</v>
      </c>
      <c r="F409" s="2278">
        <v>1</v>
      </c>
      <c r="G409" s="748">
        <f t="shared" si="27"/>
        <v>309394</v>
      </c>
      <c r="H409" s="1169"/>
      <c r="I409" s="748">
        <f t="shared" si="28"/>
        <v>309394</v>
      </c>
      <c r="J409" s="780"/>
      <c r="K409" s="780"/>
      <c r="L409" s="28"/>
    </row>
    <row r="410" spans="1:12">
      <c r="A410" s="53">
        <f t="shared" si="29"/>
        <v>14</v>
      </c>
      <c r="B410" s="53">
        <v>369</v>
      </c>
      <c r="C410" s="53">
        <v>3691</v>
      </c>
      <c r="D410" s="737" t="s">
        <v>651</v>
      </c>
      <c r="E410" s="748">
        <f>'SCH B-2.3'!L409</f>
        <v>3219840</v>
      </c>
      <c r="F410" s="2278">
        <v>1</v>
      </c>
      <c r="G410" s="748">
        <f t="shared" si="27"/>
        <v>3219840</v>
      </c>
      <c r="H410" s="1169"/>
      <c r="I410" s="748">
        <f t="shared" si="28"/>
        <v>3219840</v>
      </c>
      <c r="J410" s="780"/>
      <c r="K410" s="780"/>
      <c r="L410" s="28"/>
    </row>
    <row r="411" spans="1:12">
      <c r="A411" s="53">
        <f t="shared" si="29"/>
        <v>15</v>
      </c>
      <c r="B411" s="53">
        <v>369</v>
      </c>
      <c r="C411" s="53">
        <v>3692</v>
      </c>
      <c r="D411" s="737" t="s">
        <v>652</v>
      </c>
      <c r="E411" s="748">
        <f>'SCH B-2.3'!L410</f>
        <v>20305135</v>
      </c>
      <c r="F411" s="2278">
        <v>1</v>
      </c>
      <c r="G411" s="748">
        <f t="shared" si="27"/>
        <v>20305135</v>
      </c>
      <c r="H411" s="1169"/>
      <c r="I411" s="748">
        <f t="shared" si="28"/>
        <v>20305135</v>
      </c>
      <c r="J411" s="780"/>
      <c r="K411" s="780"/>
      <c r="L411" s="28"/>
    </row>
    <row r="412" spans="1:12">
      <c r="A412" s="53">
        <f t="shared" si="29"/>
        <v>16</v>
      </c>
      <c r="B412" s="53">
        <v>370</v>
      </c>
      <c r="C412" s="1250">
        <v>3700</v>
      </c>
      <c r="D412" s="1131" t="s">
        <v>653</v>
      </c>
      <c r="E412" s="748">
        <f>'SCH B-2.3'!L411</f>
        <v>4263919</v>
      </c>
      <c r="F412" s="2278">
        <v>1</v>
      </c>
      <c r="G412" s="748">
        <f t="shared" si="27"/>
        <v>4263919</v>
      </c>
      <c r="H412" s="1169"/>
      <c r="I412" s="748">
        <f t="shared" si="28"/>
        <v>4263919</v>
      </c>
      <c r="J412" s="780"/>
      <c r="K412" s="780"/>
      <c r="L412" s="28"/>
    </row>
    <row r="413" spans="1:12">
      <c r="A413" s="53">
        <f t="shared" si="29"/>
        <v>17</v>
      </c>
      <c r="B413" s="53">
        <v>370</v>
      </c>
      <c r="C413" s="1250">
        <v>3702</v>
      </c>
      <c r="D413" s="1131" t="s">
        <v>654</v>
      </c>
      <c r="E413" s="748">
        <f>'SCH B-2.3'!L412</f>
        <v>32132669</v>
      </c>
      <c r="F413" s="2278">
        <v>1</v>
      </c>
      <c r="G413" s="748">
        <f t="shared" si="27"/>
        <v>32132669</v>
      </c>
      <c r="H413" s="1169"/>
      <c r="I413" s="748">
        <f t="shared" si="28"/>
        <v>32132669</v>
      </c>
      <c r="J413" s="780"/>
      <c r="K413" s="780"/>
      <c r="L413" s="28"/>
    </row>
    <row r="414" spans="1:12">
      <c r="A414" s="53">
        <f t="shared" si="29"/>
        <v>18</v>
      </c>
      <c r="B414" s="53">
        <v>371</v>
      </c>
      <c r="C414" s="1250" t="s">
        <v>655</v>
      </c>
      <c r="D414" s="1131" t="s">
        <v>656</v>
      </c>
      <c r="E414" s="748">
        <f>'SCH B-2.3'!L413</f>
        <v>1914967</v>
      </c>
      <c r="F414" s="2278">
        <v>1</v>
      </c>
      <c r="G414" s="748">
        <f t="shared" si="27"/>
        <v>1914967</v>
      </c>
      <c r="H414" s="1169"/>
      <c r="I414" s="748">
        <f t="shared" si="28"/>
        <v>1914967</v>
      </c>
      <c r="J414" s="780"/>
      <c r="K414" s="780"/>
      <c r="L414" s="28"/>
    </row>
    <row r="415" spans="1:12">
      <c r="A415" s="53">
        <f t="shared" si="29"/>
        <v>19</v>
      </c>
      <c r="B415" s="53">
        <v>372</v>
      </c>
      <c r="C415" s="53">
        <v>3720</v>
      </c>
      <c r="D415" s="737" t="s">
        <v>657</v>
      </c>
      <c r="E415" s="748">
        <f>'SCH B-2.3'!L414</f>
        <v>10907</v>
      </c>
      <c r="F415" s="2278">
        <v>1</v>
      </c>
      <c r="G415" s="748">
        <f t="shared" si="27"/>
        <v>10907</v>
      </c>
      <c r="H415" s="1169"/>
      <c r="I415" s="748">
        <f t="shared" si="28"/>
        <v>10907</v>
      </c>
      <c r="J415" s="780"/>
      <c r="K415" s="780"/>
      <c r="L415" s="28"/>
    </row>
    <row r="416" spans="1:12">
      <c r="A416" s="53">
        <f t="shared" si="29"/>
        <v>20</v>
      </c>
      <c r="B416" s="53">
        <v>373</v>
      </c>
      <c r="C416" s="53">
        <v>3731</v>
      </c>
      <c r="D416" s="737" t="s">
        <v>658</v>
      </c>
      <c r="E416" s="748">
        <f>'SCH B-2.3'!L415</f>
        <v>2832017</v>
      </c>
      <c r="F416" s="2278">
        <v>1</v>
      </c>
      <c r="G416" s="748">
        <f t="shared" si="27"/>
        <v>2832017</v>
      </c>
      <c r="H416" s="1169"/>
      <c r="I416" s="748">
        <f t="shared" si="28"/>
        <v>2832017</v>
      </c>
      <c r="J416" s="780"/>
      <c r="K416" s="780"/>
      <c r="L416" s="28"/>
    </row>
    <row r="417" spans="1:12">
      <c r="A417" s="53">
        <f t="shared" si="29"/>
        <v>21</v>
      </c>
      <c r="B417" s="53">
        <v>373</v>
      </c>
      <c r="C417" s="53">
        <v>3732</v>
      </c>
      <c r="D417" s="737" t="s">
        <v>659</v>
      </c>
      <c r="E417" s="748">
        <f>'SCH B-2.3'!L416</f>
        <v>3879619</v>
      </c>
      <c r="F417" s="2278">
        <v>1</v>
      </c>
      <c r="G417" s="748">
        <f t="shared" si="27"/>
        <v>3879619</v>
      </c>
      <c r="H417" s="1169"/>
      <c r="I417" s="748">
        <f t="shared" si="28"/>
        <v>3879619</v>
      </c>
      <c r="J417" s="780"/>
      <c r="K417" s="780"/>
      <c r="L417" s="28"/>
    </row>
    <row r="418" spans="1:12">
      <c r="A418" s="53">
        <f t="shared" si="29"/>
        <v>22</v>
      </c>
      <c r="B418" s="53">
        <v>373</v>
      </c>
      <c r="C418" s="53">
        <v>3733</v>
      </c>
      <c r="D418" s="737" t="s">
        <v>660</v>
      </c>
      <c r="E418" s="748">
        <f>'SCH B-2.3'!L417</f>
        <v>1799619</v>
      </c>
      <c r="F418" s="2278">
        <v>1</v>
      </c>
      <c r="G418" s="748">
        <f t="shared" si="27"/>
        <v>1799619</v>
      </c>
      <c r="H418" s="1169">
        <f>'SCH B-2.2'!G68</f>
        <v>-1799619</v>
      </c>
      <c r="I418" s="748">
        <f t="shared" si="28"/>
        <v>0</v>
      </c>
      <c r="J418" s="780"/>
      <c r="K418" s="780"/>
      <c r="L418" s="28"/>
    </row>
    <row r="419" spans="1:12">
      <c r="A419" s="53">
        <f t="shared" si="29"/>
        <v>23</v>
      </c>
      <c r="B419" s="53">
        <v>373</v>
      </c>
      <c r="C419" s="53">
        <v>3734</v>
      </c>
      <c r="D419" s="737" t="s">
        <v>661</v>
      </c>
      <c r="E419" s="748">
        <f>'SCH B-2.3'!L418</f>
        <v>6478281</v>
      </c>
      <c r="F419" s="2278">
        <v>1</v>
      </c>
      <c r="G419" s="748">
        <f t="shared" si="27"/>
        <v>6478281</v>
      </c>
      <c r="H419" s="1169">
        <f>'SCH B-2.2'!G69</f>
        <v>-6478281</v>
      </c>
      <c r="I419" s="748">
        <f t="shared" si="28"/>
        <v>0</v>
      </c>
      <c r="J419" s="780"/>
      <c r="K419" s="780"/>
      <c r="L419" s="28"/>
    </row>
    <row r="420" spans="1:12">
      <c r="A420" s="53">
        <f t="shared" si="29"/>
        <v>24</v>
      </c>
      <c r="B420" s="737"/>
      <c r="C420" s="737"/>
      <c r="D420" s="737" t="s">
        <v>617</v>
      </c>
      <c r="E420" s="748">
        <f>'SCH B-2.3'!L419</f>
        <v>0</v>
      </c>
      <c r="F420" s="2278">
        <v>1</v>
      </c>
      <c r="G420" s="748">
        <f t="shared" si="27"/>
        <v>0</v>
      </c>
      <c r="H420" s="1169"/>
      <c r="I420" s="748">
        <f t="shared" si="28"/>
        <v>0</v>
      </c>
      <c r="J420" s="780"/>
      <c r="K420" s="780"/>
      <c r="L420" s="28"/>
    </row>
    <row r="421" spans="1:12">
      <c r="A421" s="53"/>
      <c r="B421" s="737"/>
      <c r="C421" s="737"/>
      <c r="D421" s="737"/>
      <c r="E421" s="748"/>
      <c r="F421" s="2278"/>
      <c r="G421" s="748"/>
      <c r="H421" s="1169"/>
      <c r="I421" s="748"/>
      <c r="J421" s="780"/>
      <c r="K421" s="780"/>
      <c r="L421" s="28"/>
    </row>
    <row r="422" spans="1:12">
      <c r="A422" s="53"/>
      <c r="B422" s="737"/>
      <c r="C422" s="737"/>
      <c r="D422" s="737"/>
      <c r="E422" s="748"/>
      <c r="F422" s="2278"/>
      <c r="G422" s="748"/>
      <c r="H422" s="1165"/>
      <c r="I422" s="748"/>
      <c r="J422" s="780"/>
      <c r="K422" s="780"/>
    </row>
    <row r="423" spans="1:12">
      <c r="A423" s="750"/>
      <c r="B423" s="750"/>
      <c r="C423" s="750"/>
      <c r="D423" s="750"/>
      <c r="E423" s="748"/>
      <c r="F423" s="747"/>
      <c r="G423" s="748"/>
      <c r="H423" s="748"/>
      <c r="I423" s="748"/>
      <c r="J423" s="780"/>
      <c r="K423" s="780"/>
    </row>
    <row r="424" spans="1:12">
      <c r="A424" s="2082"/>
      <c r="B424" s="2082"/>
      <c r="C424" s="2082"/>
      <c r="D424" s="2082"/>
      <c r="E424" s="2084"/>
      <c r="F424" s="2087"/>
      <c r="G424" s="2084"/>
      <c r="H424" s="2084"/>
      <c r="I424" s="2084"/>
      <c r="J424" s="780"/>
      <c r="K424" s="780"/>
    </row>
    <row r="425" spans="1:12">
      <c r="A425" s="53">
        <f>A420+1</f>
        <v>25</v>
      </c>
      <c r="B425" s="750"/>
      <c r="C425" s="750"/>
      <c r="D425" s="737" t="s">
        <v>662</v>
      </c>
      <c r="E425" s="748">
        <f>SUM(E397:E421)</f>
        <v>807417627</v>
      </c>
      <c r="F425" s="747"/>
      <c r="G425" s="748">
        <f>SUM(G397:G421)</f>
        <v>807417627</v>
      </c>
      <c r="H425" s="748">
        <f>SUM(H397:H421)</f>
        <v>-8277900</v>
      </c>
      <c r="I425" s="748">
        <f>SUM(I397:I421)</f>
        <v>799139727</v>
      </c>
      <c r="J425" s="780"/>
      <c r="K425" s="2088" t="str">
        <f>IF(E425='SCH B-2.3'!L422,"BALANCED","ERROR")</f>
        <v>BALANCED</v>
      </c>
    </row>
    <row r="426" spans="1:12">
      <c r="A426" s="750"/>
      <c r="B426" s="750"/>
      <c r="C426" s="750"/>
      <c r="D426" s="750"/>
      <c r="E426" s="748"/>
      <c r="F426" s="747"/>
      <c r="G426" s="748"/>
      <c r="H426" s="748"/>
      <c r="I426" s="748"/>
      <c r="J426" s="780"/>
      <c r="K426" s="780"/>
    </row>
    <row r="427" spans="1:12">
      <c r="A427" s="2082"/>
      <c r="B427" s="2082"/>
      <c r="C427" s="2082"/>
      <c r="D427" s="2082"/>
      <c r="E427" s="2084"/>
      <c r="F427" s="2087"/>
      <c r="G427" s="2084"/>
      <c r="H427" s="2084"/>
      <c r="I427" s="2084"/>
      <c r="J427" s="780"/>
      <c r="K427" s="780"/>
    </row>
    <row r="428" spans="1:12">
      <c r="A428" s="750"/>
      <c r="B428" s="750"/>
      <c r="C428" s="750"/>
      <c r="D428" s="750"/>
      <c r="E428" s="748"/>
      <c r="F428" s="747"/>
      <c r="G428" s="748"/>
      <c r="H428" s="748"/>
      <c r="I428" s="748"/>
      <c r="J428" s="780"/>
      <c r="K428" s="780"/>
    </row>
    <row r="429" spans="1:12">
      <c r="A429" s="59" t="str">
        <f>A258</f>
        <v>DUKE ENERGY KENTUCKY, INC.</v>
      </c>
      <c r="B429" s="59"/>
      <c r="C429" s="59"/>
      <c r="D429" s="59"/>
      <c r="E429" s="59"/>
      <c r="F429" s="1167"/>
      <c r="G429" s="59"/>
      <c r="H429" s="59"/>
      <c r="I429" s="59"/>
      <c r="J429" s="780"/>
      <c r="K429" s="780"/>
    </row>
    <row r="430" spans="1:12">
      <c r="A430" s="59" t="str">
        <f>A259</f>
        <v>CASE NO. 2024-00354</v>
      </c>
      <c r="B430" s="59"/>
      <c r="C430" s="59"/>
      <c r="D430" s="59"/>
      <c r="E430" s="59"/>
      <c r="F430" s="1167"/>
      <c r="G430" s="59"/>
      <c r="H430" s="59"/>
      <c r="I430" s="59"/>
      <c r="J430" s="780"/>
      <c r="K430" s="780"/>
    </row>
    <row r="431" spans="1:12">
      <c r="A431" s="59" t="str">
        <f>A260</f>
        <v>PLANT IN SERVICE BY ACCOUNTS AND SUBACCOUNTS</v>
      </c>
      <c r="B431" s="59"/>
      <c r="C431" s="59"/>
      <c r="D431" s="59"/>
      <c r="E431" s="59"/>
      <c r="F431" s="1167"/>
      <c r="G431" s="59"/>
      <c r="H431" s="59"/>
      <c r="I431" s="59"/>
      <c r="J431" s="780"/>
      <c r="K431" s="780"/>
    </row>
    <row r="432" spans="1:12">
      <c r="A432" s="47" t="str">
        <f>"AS OF " &amp;RIGHT(Forecast,(LEN(Forecast)-16))</f>
        <v>AS OF JUNE 30, 2026</v>
      </c>
      <c r="B432" s="59"/>
      <c r="C432" s="59"/>
      <c r="D432" s="59"/>
      <c r="E432" s="59"/>
      <c r="F432" s="1167"/>
      <c r="G432" s="59"/>
      <c r="H432" s="59"/>
      <c r="I432" s="59"/>
      <c r="J432" s="780"/>
      <c r="K432" s="780"/>
    </row>
    <row r="433" spans="1:11">
      <c r="A433" s="59"/>
      <c r="B433" s="59"/>
      <c r="C433" s="59"/>
      <c r="D433" s="59"/>
      <c r="E433" s="59"/>
      <c r="F433" s="1167"/>
      <c r="G433" s="59"/>
      <c r="H433" s="59"/>
      <c r="I433" s="59"/>
      <c r="J433" s="780"/>
      <c r="K433" s="780"/>
    </row>
    <row r="434" spans="1:11">
      <c r="A434" s="59" t="s">
        <v>663</v>
      </c>
      <c r="B434" s="59"/>
      <c r="C434" s="59"/>
      <c r="D434" s="59"/>
      <c r="E434" s="59"/>
      <c r="F434" s="1167"/>
      <c r="G434" s="59"/>
      <c r="H434" s="59"/>
      <c r="I434" s="59"/>
      <c r="J434" s="780"/>
      <c r="K434" s="780"/>
    </row>
    <row r="435" spans="1:11">
      <c r="A435" s="1148" t="s">
        <v>529</v>
      </c>
      <c r="B435" s="59"/>
      <c r="C435" s="59"/>
      <c r="D435" s="59"/>
      <c r="E435" s="59"/>
      <c r="F435" s="1167"/>
      <c r="G435" s="59"/>
      <c r="H435" s="59"/>
      <c r="I435" s="59"/>
      <c r="J435" s="780"/>
      <c r="K435" s="780"/>
    </row>
    <row r="436" spans="1:11">
      <c r="A436" s="750"/>
      <c r="B436" s="750"/>
      <c r="C436" s="750"/>
      <c r="D436" s="750"/>
      <c r="E436" s="750"/>
      <c r="F436" s="747"/>
      <c r="G436" s="750"/>
      <c r="H436" s="750"/>
      <c r="I436" s="750"/>
      <c r="J436" s="780"/>
      <c r="K436" s="780"/>
    </row>
    <row r="437" spans="1:11">
      <c r="A437" s="737" t="str">
        <f>A267</f>
        <v>DATA:  BASE PERIOD  "X" FORECASTED PERIOD</v>
      </c>
      <c r="B437" s="750"/>
      <c r="C437" s="750"/>
      <c r="D437" s="750"/>
      <c r="E437" s="750"/>
      <c r="F437" s="747"/>
      <c r="G437" s="750"/>
      <c r="H437" s="1165" t="str">
        <f>H267</f>
        <v>SCHEDULE B-2.1</v>
      </c>
      <c r="I437" s="750"/>
      <c r="J437" s="780"/>
      <c r="K437" s="780"/>
    </row>
    <row r="438" spans="1:11">
      <c r="A438" s="737" t="str">
        <f>A268</f>
        <v xml:space="preserve">TYPE OF FILING:  "X" ORIGINAL   UPDATED    REVISED  </v>
      </c>
      <c r="B438" s="750"/>
      <c r="C438" s="750"/>
      <c r="D438" s="750"/>
      <c r="E438" s="750"/>
      <c r="F438" s="747"/>
      <c r="G438" s="750"/>
      <c r="H438" s="1165" t="s">
        <v>689</v>
      </c>
      <c r="I438" s="750"/>
      <c r="J438" s="780"/>
      <c r="K438" s="780"/>
    </row>
    <row r="439" spans="1:11">
      <c r="A439" s="737" t="str">
        <f>A269</f>
        <v>WORK PAPER REFERENCE NO(S).: SCHEDULE B-2.2, SCHEDULE B-2.3</v>
      </c>
      <c r="B439" s="750"/>
      <c r="C439" s="750"/>
      <c r="D439" s="750"/>
      <c r="E439" s="750"/>
      <c r="F439" s="747"/>
      <c r="G439" s="750"/>
      <c r="H439" s="1165" t="s">
        <v>468</v>
      </c>
      <c r="I439" s="750"/>
      <c r="J439" s="780"/>
      <c r="K439" s="780"/>
    </row>
    <row r="440" spans="1:11">
      <c r="A440" s="750"/>
      <c r="B440" s="750"/>
      <c r="C440" s="750"/>
      <c r="D440" s="750"/>
      <c r="E440" s="750"/>
      <c r="F440" s="747"/>
      <c r="G440" s="750"/>
      <c r="H440" s="750" t="str">
        <f>H270</f>
        <v>G. S. CARPENTER / S. S. MITCHELL</v>
      </c>
      <c r="I440" s="750"/>
      <c r="J440" s="780"/>
      <c r="K440" s="780"/>
    </row>
    <row r="441" spans="1:11">
      <c r="A441" s="750"/>
      <c r="B441" s="750"/>
      <c r="C441" s="750"/>
      <c r="D441" s="750"/>
      <c r="E441" s="750"/>
      <c r="F441" s="747"/>
      <c r="G441" s="750"/>
      <c r="H441" s="750"/>
      <c r="I441" s="750"/>
      <c r="J441" s="780"/>
      <c r="K441" s="780"/>
    </row>
    <row r="442" spans="1:11">
      <c r="A442" s="750"/>
      <c r="B442" s="750"/>
      <c r="C442" s="750"/>
      <c r="D442" s="750"/>
      <c r="E442" s="750"/>
      <c r="F442" s="747"/>
      <c r="G442" s="750"/>
      <c r="H442" s="750"/>
      <c r="I442" s="750"/>
      <c r="J442" s="780"/>
      <c r="K442" s="780"/>
    </row>
    <row r="443" spans="1:11">
      <c r="A443" s="750"/>
      <c r="B443" s="1443"/>
      <c r="C443" s="750"/>
      <c r="D443" s="750"/>
      <c r="E443" s="750"/>
      <c r="F443" s="747"/>
      <c r="G443" s="750"/>
      <c r="H443" s="750"/>
      <c r="I443" s="750"/>
      <c r="J443" s="780"/>
      <c r="K443" s="780"/>
    </row>
    <row r="444" spans="1:11">
      <c r="A444" s="2082"/>
      <c r="B444" s="56"/>
      <c r="C444" s="2085"/>
      <c r="D444" s="2082"/>
      <c r="E444" s="2082"/>
      <c r="F444" s="2087"/>
      <c r="G444" s="2082"/>
      <c r="H444" s="2084"/>
      <c r="I444" s="2090" t="s">
        <v>591</v>
      </c>
      <c r="J444" s="780"/>
      <c r="K444" s="780"/>
    </row>
    <row r="445" spans="1:11">
      <c r="A445" s="52"/>
      <c r="B445" s="56" t="s">
        <v>257</v>
      </c>
      <c r="C445" s="56" t="s">
        <v>605</v>
      </c>
      <c r="D445" s="52"/>
      <c r="E445" s="49" t="s">
        <v>591</v>
      </c>
      <c r="F445" s="54"/>
      <c r="G445" s="52"/>
      <c r="H445" s="48" t="s">
        <v>591</v>
      </c>
      <c r="I445" s="48" t="s">
        <v>592</v>
      </c>
      <c r="J445" s="780"/>
      <c r="K445" s="780"/>
    </row>
    <row r="446" spans="1:11">
      <c r="A446" s="53" t="s">
        <v>573</v>
      </c>
      <c r="B446" s="53" t="s">
        <v>606</v>
      </c>
      <c r="C446" s="53" t="s">
        <v>606</v>
      </c>
      <c r="D446" s="750"/>
      <c r="E446" s="53" t="s">
        <v>592</v>
      </c>
      <c r="F446" s="1168" t="s">
        <v>574</v>
      </c>
      <c r="G446" s="53" t="s">
        <v>574</v>
      </c>
      <c r="H446" s="1154" t="s">
        <v>592</v>
      </c>
      <c r="I446" s="1154" t="s">
        <v>575</v>
      </c>
      <c r="J446" s="780"/>
      <c r="K446" s="780"/>
    </row>
    <row r="447" spans="1:11">
      <c r="A447" s="53" t="s">
        <v>576</v>
      </c>
      <c r="B447" s="53" t="s">
        <v>576</v>
      </c>
      <c r="C447" s="53" t="s">
        <v>576</v>
      </c>
      <c r="D447" s="53" t="s">
        <v>607</v>
      </c>
      <c r="E447" s="53" t="s">
        <v>593</v>
      </c>
      <c r="F447" s="1168" t="s">
        <v>420</v>
      </c>
      <c r="G447" s="53" t="s">
        <v>258</v>
      </c>
      <c r="H447" s="1154" t="s">
        <v>578</v>
      </c>
      <c r="I447" s="1154" t="s">
        <v>579</v>
      </c>
      <c r="J447" s="780"/>
      <c r="K447" s="780"/>
    </row>
    <row r="448" spans="1:11">
      <c r="A448" s="53"/>
      <c r="B448" s="53"/>
      <c r="C448" s="53"/>
      <c r="D448" s="53"/>
      <c r="E448" s="1445"/>
      <c r="F448" s="1446"/>
      <c r="G448" s="1445"/>
      <c r="H448" s="1444"/>
      <c r="I448" s="1444"/>
      <c r="J448" s="780"/>
      <c r="K448" s="780"/>
    </row>
    <row r="449" spans="1:11">
      <c r="A449" s="2082"/>
      <c r="B449" s="2082"/>
      <c r="C449" s="2082"/>
      <c r="D449" s="2082"/>
      <c r="E449" s="1154" t="s">
        <v>580</v>
      </c>
      <c r="F449" s="747"/>
      <c r="G449" s="53" t="s">
        <v>580</v>
      </c>
      <c r="H449" s="53" t="s">
        <v>580</v>
      </c>
      <c r="I449" s="53" t="s">
        <v>580</v>
      </c>
      <c r="J449" s="780"/>
      <c r="K449" s="780"/>
    </row>
    <row r="450" spans="1:11">
      <c r="A450" s="750"/>
      <c r="B450" s="750"/>
      <c r="C450" s="750"/>
      <c r="D450" s="750"/>
      <c r="E450" s="780"/>
      <c r="F450" s="2277"/>
      <c r="G450" s="780"/>
      <c r="H450" s="780"/>
      <c r="I450" s="780"/>
      <c r="J450" s="780"/>
      <c r="K450" s="780"/>
    </row>
    <row r="451" spans="1:11">
      <c r="A451" s="53" t="s">
        <v>621</v>
      </c>
      <c r="B451" s="53">
        <v>303</v>
      </c>
      <c r="C451" s="53">
        <v>3030</v>
      </c>
      <c r="D451" s="737" t="s">
        <v>665</v>
      </c>
      <c r="E451" s="748">
        <f>'SCH B-2.3'!L448</f>
        <v>57142504</v>
      </c>
      <c r="F451" s="2278">
        <v>1</v>
      </c>
      <c r="G451" s="748">
        <f t="shared" ref="G451:G460" si="30">ROUND(E451*F451,0)</f>
        <v>57142504</v>
      </c>
      <c r="H451" s="53"/>
      <c r="I451" s="748">
        <f t="shared" ref="I451:I460" si="31">G451+H451</f>
        <v>57142504</v>
      </c>
      <c r="J451" s="780"/>
      <c r="K451" s="780"/>
    </row>
    <row r="452" spans="1:11">
      <c r="A452" s="53">
        <f t="shared" ref="A452:A460" si="32">A451+1</f>
        <v>2</v>
      </c>
      <c r="B452" s="53">
        <v>390</v>
      </c>
      <c r="C452" s="53">
        <v>3900</v>
      </c>
      <c r="D452" s="737" t="s">
        <v>609</v>
      </c>
      <c r="E452" s="748">
        <f>'SCH B-2.3'!L449</f>
        <v>260891</v>
      </c>
      <c r="F452" s="2278">
        <v>1</v>
      </c>
      <c r="G452" s="748">
        <f t="shared" si="30"/>
        <v>260891</v>
      </c>
      <c r="H452" s="748"/>
      <c r="I452" s="748">
        <f t="shared" si="31"/>
        <v>260891</v>
      </c>
      <c r="J452" s="780"/>
      <c r="K452" s="780"/>
    </row>
    <row r="453" spans="1:11">
      <c r="A453" s="53">
        <f t="shared" si="32"/>
        <v>3</v>
      </c>
      <c r="B453" s="53">
        <v>391</v>
      </c>
      <c r="C453" s="53">
        <v>3910</v>
      </c>
      <c r="D453" s="737" t="s">
        <v>666</v>
      </c>
      <c r="E453" s="748">
        <f>'SCH B-2.3'!L450</f>
        <v>585107</v>
      </c>
      <c r="F453" s="2278">
        <v>1</v>
      </c>
      <c r="G453" s="748">
        <f t="shared" si="30"/>
        <v>585107</v>
      </c>
      <c r="H453" s="1165"/>
      <c r="I453" s="748">
        <f t="shared" si="31"/>
        <v>585107</v>
      </c>
      <c r="J453" s="780"/>
      <c r="K453" s="780"/>
    </row>
    <row r="454" spans="1:11">
      <c r="A454" s="53">
        <f t="shared" si="32"/>
        <v>4</v>
      </c>
      <c r="B454" s="53">
        <v>391</v>
      </c>
      <c r="C454" s="53">
        <v>3911</v>
      </c>
      <c r="D454" s="737" t="s">
        <v>667</v>
      </c>
      <c r="E454" s="748">
        <f>'SCH B-2.3'!L451</f>
        <v>7548018</v>
      </c>
      <c r="F454" s="2278">
        <v>1</v>
      </c>
      <c r="G454" s="748">
        <f t="shared" si="30"/>
        <v>7548018</v>
      </c>
      <c r="H454" s="1165"/>
      <c r="I454" s="748">
        <f t="shared" si="31"/>
        <v>7548018</v>
      </c>
      <c r="J454" s="780"/>
      <c r="K454" s="780"/>
    </row>
    <row r="455" spans="1:11">
      <c r="A455" s="53">
        <f t="shared" si="32"/>
        <v>5</v>
      </c>
      <c r="B455" s="53">
        <v>392</v>
      </c>
      <c r="C455" s="53">
        <v>3920</v>
      </c>
      <c r="D455" s="737" t="s">
        <v>668</v>
      </c>
      <c r="E455" s="748">
        <f>'SCH B-2.3'!L452</f>
        <v>1453958</v>
      </c>
      <c r="F455" s="2278">
        <v>1</v>
      </c>
      <c r="G455" s="748">
        <f t="shared" si="30"/>
        <v>1453958</v>
      </c>
      <c r="H455" s="1165"/>
      <c r="I455" s="748">
        <f t="shared" si="31"/>
        <v>1453958</v>
      </c>
      <c r="J455" s="780"/>
      <c r="K455" s="780"/>
    </row>
    <row r="456" spans="1:11">
      <c r="A456" s="53">
        <f t="shared" si="32"/>
        <v>6</v>
      </c>
      <c r="B456" s="53">
        <v>392</v>
      </c>
      <c r="C456" s="53">
        <v>3921</v>
      </c>
      <c r="D456" s="737" t="s">
        <v>669</v>
      </c>
      <c r="E456" s="748">
        <f>'SCH B-2.3'!L453</f>
        <v>427975</v>
      </c>
      <c r="F456" s="2278">
        <v>1</v>
      </c>
      <c r="G456" s="748">
        <f t="shared" si="30"/>
        <v>427975</v>
      </c>
      <c r="H456" s="748"/>
      <c r="I456" s="748">
        <f t="shared" si="31"/>
        <v>427975</v>
      </c>
      <c r="J456" s="780"/>
      <c r="K456" s="780"/>
    </row>
    <row r="457" spans="1:11">
      <c r="A457" s="53">
        <f t="shared" si="32"/>
        <v>7</v>
      </c>
      <c r="B457" s="53">
        <v>394</v>
      </c>
      <c r="C457" s="53">
        <v>3940</v>
      </c>
      <c r="D457" s="737" t="s">
        <v>670</v>
      </c>
      <c r="E457" s="748">
        <f>'SCH B-2.3'!L454</f>
        <v>6449067</v>
      </c>
      <c r="F457" s="2278">
        <v>1</v>
      </c>
      <c r="G457" s="748">
        <f t="shared" si="30"/>
        <v>6449067</v>
      </c>
      <c r="H457" s="1165"/>
      <c r="I457" s="748">
        <f t="shared" si="31"/>
        <v>6449067</v>
      </c>
      <c r="J457" s="780"/>
      <c r="K457" s="780"/>
    </row>
    <row r="458" spans="1:11">
      <c r="A458" s="53">
        <f t="shared" si="32"/>
        <v>8</v>
      </c>
      <c r="B458" s="53">
        <v>396</v>
      </c>
      <c r="C458" s="53">
        <v>3960</v>
      </c>
      <c r="D458" s="737" t="s">
        <v>671</v>
      </c>
      <c r="E458" s="748">
        <f>'SCH B-2.3'!L455</f>
        <v>18515</v>
      </c>
      <c r="F458" s="2278">
        <v>1</v>
      </c>
      <c r="G458" s="748">
        <f t="shared" si="30"/>
        <v>18515</v>
      </c>
      <c r="H458" s="748"/>
      <c r="I458" s="748">
        <f t="shared" si="31"/>
        <v>18515</v>
      </c>
      <c r="J458" s="780"/>
      <c r="K458" s="780"/>
    </row>
    <row r="459" spans="1:11">
      <c r="A459" s="53">
        <f t="shared" si="32"/>
        <v>9</v>
      </c>
      <c r="B459" s="53">
        <v>397</v>
      </c>
      <c r="C459" s="53">
        <v>3970</v>
      </c>
      <c r="D459" s="737" t="s">
        <v>672</v>
      </c>
      <c r="E459" s="748">
        <f>'SCH B-2.3'!L456</f>
        <v>33800485</v>
      </c>
      <c r="F459" s="2278">
        <v>1</v>
      </c>
      <c r="G459" s="748">
        <f t="shared" si="30"/>
        <v>33800485</v>
      </c>
      <c r="H459" s="748"/>
      <c r="I459" s="748">
        <f t="shared" si="31"/>
        <v>33800485</v>
      </c>
      <c r="J459" s="780"/>
      <c r="K459" s="780"/>
    </row>
    <row r="460" spans="1:11">
      <c r="A460" s="53">
        <f t="shared" si="32"/>
        <v>10</v>
      </c>
      <c r="B460" s="737"/>
      <c r="C460" s="737"/>
      <c r="D460" s="737" t="s">
        <v>617</v>
      </c>
      <c r="E460" s="748">
        <f>'SCH B-2.3'!L457</f>
        <v>0</v>
      </c>
      <c r="F460" s="2278">
        <v>1</v>
      </c>
      <c r="G460" s="748">
        <f t="shared" si="30"/>
        <v>0</v>
      </c>
      <c r="H460" s="748"/>
      <c r="I460" s="748">
        <f t="shared" si="31"/>
        <v>0</v>
      </c>
      <c r="J460" s="780"/>
      <c r="K460" s="780"/>
    </row>
    <row r="461" spans="1:11">
      <c r="A461" s="750"/>
      <c r="B461" s="750"/>
      <c r="C461" s="750"/>
      <c r="D461" s="750"/>
      <c r="E461" s="748"/>
      <c r="F461" s="2278"/>
      <c r="G461" s="748"/>
      <c r="H461" s="748"/>
      <c r="I461" s="748"/>
      <c r="J461" s="780"/>
      <c r="K461" s="780"/>
    </row>
    <row r="462" spans="1:11">
      <c r="A462" s="750"/>
      <c r="B462" s="750"/>
      <c r="C462" s="750"/>
      <c r="D462" s="750"/>
      <c r="E462" s="748"/>
      <c r="F462" s="747"/>
      <c r="G462" s="748"/>
      <c r="H462" s="748"/>
      <c r="I462" s="748"/>
      <c r="J462" s="780"/>
      <c r="K462" s="780"/>
    </row>
    <row r="463" spans="1:11">
      <c r="A463" s="2082"/>
      <c r="B463" s="2082"/>
      <c r="C463" s="2082"/>
      <c r="D463" s="2082"/>
      <c r="E463" s="2084"/>
      <c r="F463" s="2087"/>
      <c r="G463" s="2084"/>
      <c r="H463" s="2084"/>
      <c r="I463" s="2084"/>
      <c r="J463" s="780"/>
      <c r="K463" s="780"/>
    </row>
    <row r="464" spans="1:11">
      <c r="A464" s="53">
        <v>11</v>
      </c>
      <c r="B464" s="750"/>
      <c r="C464" s="750"/>
      <c r="D464" s="737" t="s">
        <v>673</v>
      </c>
      <c r="E464" s="748">
        <f>SUM(E451:E460)</f>
        <v>107686520</v>
      </c>
      <c r="F464" s="747"/>
      <c r="G464" s="748">
        <f>SUM(G451:G460)</f>
        <v>107686520</v>
      </c>
      <c r="H464" s="748">
        <f>SUM(H451:H460)</f>
        <v>0</v>
      </c>
      <c r="I464" s="748">
        <f>SUM(I451:I460)</f>
        <v>107686520</v>
      </c>
      <c r="J464" s="780"/>
      <c r="K464" s="2088" t="str">
        <f>IF(E464='SCH B-2.3'!L461,"BALANCED","ERROR")</f>
        <v>BALANCED</v>
      </c>
    </row>
    <row r="465" spans="1:11">
      <c r="A465" s="750"/>
      <c r="B465" s="750"/>
      <c r="C465" s="750"/>
      <c r="D465" s="750"/>
      <c r="E465" s="748"/>
      <c r="F465" s="747"/>
      <c r="G465" s="748"/>
      <c r="H465" s="748"/>
      <c r="I465" s="748"/>
      <c r="J465" s="780"/>
      <c r="K465" s="780"/>
    </row>
    <row r="466" spans="1:11">
      <c r="A466" s="2082"/>
      <c r="B466" s="2082"/>
      <c r="C466" s="2082"/>
      <c r="D466" s="2082"/>
      <c r="E466" s="2084"/>
      <c r="F466" s="2087"/>
      <c r="G466" s="2084"/>
      <c r="H466" s="2084"/>
      <c r="I466" s="2084"/>
      <c r="J466" s="780"/>
      <c r="K466" s="780"/>
    </row>
    <row r="467" spans="1:11">
      <c r="A467" s="53">
        <v>12</v>
      </c>
      <c r="B467" s="750"/>
      <c r="C467" s="750"/>
      <c r="D467" s="737" t="s">
        <v>690</v>
      </c>
      <c r="E467" s="748">
        <f>E293+E333+E372+E425+E464</f>
        <v>2551528713</v>
      </c>
      <c r="F467" s="747"/>
      <c r="G467" s="748">
        <f>G293+G333+G372+G425+G464</f>
        <v>2551528713</v>
      </c>
      <c r="H467" s="748">
        <f>H293+H333+H372+H425+H464</f>
        <v>-157485631</v>
      </c>
      <c r="I467" s="748">
        <f>I293+I333+I372+I425+I464</f>
        <v>2394043082</v>
      </c>
      <c r="J467" s="780"/>
      <c r="K467" s="2088" t="str">
        <f>IF(E467='SCH B-2.3'!L464,"BALANCED","ERROR")</f>
        <v>BALANCED</v>
      </c>
    </row>
    <row r="468" spans="1:11">
      <c r="A468" s="750"/>
      <c r="B468" s="750"/>
      <c r="C468" s="750"/>
      <c r="D468" s="750"/>
      <c r="E468" s="750"/>
      <c r="F468" s="747"/>
      <c r="G468" s="750"/>
      <c r="H468" s="750"/>
      <c r="I468" s="750"/>
      <c r="J468" s="780"/>
      <c r="K468" s="780"/>
    </row>
    <row r="469" spans="1:11">
      <c r="A469" s="2082"/>
      <c r="B469" s="2082"/>
      <c r="C469" s="2082"/>
      <c r="D469" s="2082"/>
      <c r="E469" s="2082"/>
      <c r="F469" s="2087"/>
      <c r="G469" s="2082"/>
      <c r="H469" s="2082"/>
      <c r="I469" s="2082"/>
      <c r="J469" s="780"/>
      <c r="K469" s="780"/>
    </row>
    <row r="470" spans="1:11">
      <c r="A470" s="750"/>
      <c r="B470" s="750"/>
      <c r="C470" s="750"/>
      <c r="D470" s="750"/>
      <c r="E470" s="750"/>
      <c r="F470" s="747"/>
      <c r="G470" s="750"/>
      <c r="H470" s="750"/>
      <c r="I470" s="750"/>
      <c r="J470" s="780"/>
      <c r="K470" s="780"/>
    </row>
    <row r="471" spans="1:11">
      <c r="A471" s="59" t="s">
        <v>382</v>
      </c>
      <c r="B471" s="59"/>
      <c r="C471" s="59"/>
      <c r="D471" s="59"/>
      <c r="E471" s="59"/>
      <c r="F471" s="1167"/>
      <c r="G471" s="59"/>
      <c r="H471" s="59"/>
      <c r="I471" s="59"/>
      <c r="J471" s="780"/>
      <c r="K471" s="780"/>
    </row>
    <row r="472" spans="1:11">
      <c r="A472" s="59" t="str">
        <f>A259</f>
        <v>CASE NO. 2024-00354</v>
      </c>
      <c r="B472" s="59"/>
      <c r="C472" s="59"/>
      <c r="D472" s="59"/>
      <c r="E472" s="59"/>
      <c r="F472" s="1167"/>
      <c r="G472" s="59"/>
      <c r="H472" s="59"/>
      <c r="I472" s="59"/>
      <c r="J472" s="780"/>
      <c r="K472" s="780"/>
    </row>
    <row r="473" spans="1:11">
      <c r="A473" s="59" t="str">
        <f>A260</f>
        <v>PLANT IN SERVICE BY ACCOUNTS AND SUBACCOUNTS</v>
      </c>
      <c r="B473" s="59"/>
      <c r="C473" s="59"/>
      <c r="D473" s="59"/>
      <c r="E473" s="59"/>
      <c r="F473" s="1167"/>
      <c r="G473" s="59"/>
      <c r="H473" s="59"/>
      <c r="I473" s="59"/>
      <c r="J473" s="780"/>
      <c r="K473" s="780"/>
    </row>
    <row r="474" spans="1:11">
      <c r="A474" s="47" t="str">
        <f>"AS OF " &amp;RIGHT(Forecast,(LEN(Forecast)-16))</f>
        <v>AS OF JUNE 30, 2026</v>
      </c>
      <c r="B474" s="59"/>
      <c r="C474" s="59"/>
      <c r="D474" s="59"/>
      <c r="E474" s="59"/>
      <c r="F474" s="1167"/>
      <c r="G474" s="59"/>
      <c r="H474" s="59"/>
      <c r="I474" s="59"/>
      <c r="J474" s="780"/>
      <c r="K474" s="780"/>
    </row>
    <row r="475" spans="1:11">
      <c r="A475" s="59"/>
      <c r="B475" s="59"/>
      <c r="C475" s="59"/>
      <c r="D475" s="59"/>
      <c r="E475" s="59"/>
      <c r="F475" s="1167"/>
      <c r="G475" s="59"/>
      <c r="H475" s="59"/>
      <c r="I475" s="59"/>
      <c r="J475" s="780"/>
      <c r="K475" s="780"/>
    </row>
    <row r="476" spans="1:11">
      <c r="A476" s="59" t="s">
        <v>675</v>
      </c>
      <c r="B476" s="59"/>
      <c r="C476" s="59"/>
      <c r="D476" s="59"/>
      <c r="E476" s="59"/>
      <c r="F476" s="1167"/>
      <c r="G476" s="59"/>
      <c r="H476" s="59"/>
      <c r="I476" s="59"/>
      <c r="J476" s="780"/>
      <c r="K476" s="780"/>
    </row>
    <row r="477" spans="1:11">
      <c r="A477" s="1148" t="s">
        <v>529</v>
      </c>
      <c r="B477" s="59"/>
      <c r="C477" s="59"/>
      <c r="D477" s="59"/>
      <c r="E477" s="59"/>
      <c r="F477" s="1167"/>
      <c r="G477" s="59"/>
      <c r="H477" s="59"/>
      <c r="I477" s="59"/>
      <c r="J477" s="780"/>
      <c r="K477" s="780"/>
    </row>
    <row r="478" spans="1:11">
      <c r="A478" s="750"/>
      <c r="B478" s="750"/>
      <c r="C478" s="750"/>
      <c r="D478" s="750"/>
      <c r="E478" s="750"/>
      <c r="F478" s="747"/>
      <c r="G478" s="750"/>
      <c r="H478" s="750"/>
      <c r="I478" s="750"/>
      <c r="J478" s="780"/>
      <c r="K478" s="780"/>
    </row>
    <row r="479" spans="1:11">
      <c r="A479" s="737" t="str">
        <f>A267</f>
        <v>DATA:  BASE PERIOD  "X" FORECASTED PERIOD</v>
      </c>
      <c r="B479" s="750"/>
      <c r="C479" s="750"/>
      <c r="D479" s="750"/>
      <c r="E479" s="750"/>
      <c r="F479" s="747"/>
      <c r="G479" s="750"/>
      <c r="H479" s="1165" t="str">
        <f>H267</f>
        <v>SCHEDULE B-2.1</v>
      </c>
      <c r="I479" s="750"/>
      <c r="J479" s="780"/>
      <c r="K479" s="780"/>
    </row>
    <row r="480" spans="1:11">
      <c r="A480" s="737" t="str">
        <f>A268</f>
        <v xml:space="preserve">TYPE OF FILING:  "X" ORIGINAL   UPDATED    REVISED  </v>
      </c>
      <c r="B480" s="750"/>
      <c r="C480" s="750"/>
      <c r="D480" s="750"/>
      <c r="E480" s="750"/>
      <c r="F480" s="747"/>
      <c r="G480" s="750"/>
      <c r="H480" s="737" t="s">
        <v>691</v>
      </c>
      <c r="I480" s="750"/>
      <c r="J480" s="780"/>
      <c r="K480" s="780"/>
    </row>
    <row r="481" spans="1:11">
      <c r="A481" s="737" t="str">
        <f>A269</f>
        <v>WORK PAPER REFERENCE NO(S).: SCHEDULE B-2.2, SCHEDULE B-2.3</v>
      </c>
      <c r="B481" s="750"/>
      <c r="C481" s="750"/>
      <c r="D481" s="750"/>
      <c r="E481" s="750"/>
      <c r="F481" s="747"/>
      <c r="G481" s="750"/>
      <c r="H481" s="1165" t="s">
        <v>468</v>
      </c>
      <c r="I481" s="750"/>
      <c r="J481" s="780"/>
      <c r="K481" s="780"/>
    </row>
    <row r="482" spans="1:11">
      <c r="A482" s="750"/>
      <c r="B482" s="750"/>
      <c r="C482" s="750"/>
      <c r="D482" s="750"/>
      <c r="E482" s="750"/>
      <c r="F482" s="747"/>
      <c r="G482" s="750"/>
      <c r="H482" s="750" t="str">
        <f>H270</f>
        <v>G. S. CARPENTER / S. S. MITCHELL</v>
      </c>
      <c r="I482" s="750"/>
      <c r="J482" s="780"/>
      <c r="K482" s="780"/>
    </row>
    <row r="483" spans="1:11">
      <c r="A483" s="750"/>
      <c r="B483" s="750"/>
      <c r="C483" s="750"/>
      <c r="D483" s="750"/>
      <c r="E483" s="750"/>
      <c r="F483" s="747"/>
      <c r="G483" s="750"/>
      <c r="H483" s="750"/>
      <c r="I483" s="750"/>
      <c r="J483" s="780"/>
      <c r="K483" s="780"/>
    </row>
    <row r="484" spans="1:11">
      <c r="A484" s="750"/>
      <c r="B484" s="750"/>
      <c r="C484" s="750"/>
      <c r="D484" s="750"/>
      <c r="E484" s="750"/>
      <c r="F484" s="747"/>
      <c r="G484" s="750"/>
      <c r="H484" s="750"/>
      <c r="I484" s="750"/>
      <c r="J484" s="780"/>
      <c r="K484" s="780"/>
    </row>
    <row r="485" spans="1:11">
      <c r="A485" s="750"/>
      <c r="B485" s="750"/>
      <c r="C485" s="750"/>
      <c r="D485" s="750"/>
      <c r="E485" s="750"/>
      <c r="F485" s="747"/>
      <c r="G485" s="750"/>
      <c r="H485" s="750"/>
      <c r="I485" s="750"/>
      <c r="J485" s="780"/>
      <c r="K485" s="780"/>
    </row>
    <row r="486" spans="1:11">
      <c r="A486" s="2082"/>
      <c r="B486" s="2089"/>
      <c r="C486" s="2085"/>
      <c r="D486" s="2082"/>
      <c r="E486" s="2082"/>
      <c r="F486" s="2087"/>
      <c r="G486" s="2082"/>
      <c r="H486" s="2084"/>
      <c r="I486" s="2090" t="s">
        <v>591</v>
      </c>
      <c r="J486" s="780"/>
      <c r="K486" s="780"/>
    </row>
    <row r="487" spans="1:11">
      <c r="A487" s="52"/>
      <c r="B487" s="53" t="s">
        <v>257</v>
      </c>
      <c r="C487" s="53" t="s">
        <v>605</v>
      </c>
      <c r="D487" s="52"/>
      <c r="E487" s="49" t="s">
        <v>591</v>
      </c>
      <c r="F487" s="54"/>
      <c r="G487" s="52"/>
      <c r="H487" s="48" t="s">
        <v>591</v>
      </c>
      <c r="I487" s="48" t="s">
        <v>592</v>
      </c>
      <c r="J487" s="780"/>
      <c r="K487" s="780"/>
    </row>
    <row r="488" spans="1:11">
      <c r="A488" s="53" t="s">
        <v>573</v>
      </c>
      <c r="B488" s="53" t="s">
        <v>606</v>
      </c>
      <c r="C488" s="53" t="s">
        <v>606</v>
      </c>
      <c r="D488" s="750"/>
      <c r="E488" s="53" t="s">
        <v>592</v>
      </c>
      <c r="F488" s="1168" t="s">
        <v>574</v>
      </c>
      <c r="G488" s="53" t="s">
        <v>574</v>
      </c>
      <c r="H488" s="1154" t="s">
        <v>592</v>
      </c>
      <c r="I488" s="1154" t="s">
        <v>575</v>
      </c>
      <c r="J488" s="780"/>
      <c r="K488" s="780"/>
    </row>
    <row r="489" spans="1:11">
      <c r="A489" s="53" t="s">
        <v>576</v>
      </c>
      <c r="B489" s="53" t="s">
        <v>576</v>
      </c>
      <c r="C489" s="53" t="s">
        <v>576</v>
      </c>
      <c r="D489" s="53" t="s">
        <v>607</v>
      </c>
      <c r="E489" s="53" t="s">
        <v>593</v>
      </c>
      <c r="F489" s="1168" t="s">
        <v>420</v>
      </c>
      <c r="G489" s="53" t="s">
        <v>258</v>
      </c>
      <c r="H489" s="1154" t="s">
        <v>578</v>
      </c>
      <c r="I489" s="1154" t="s">
        <v>579</v>
      </c>
      <c r="J489" s="780"/>
      <c r="K489" s="780"/>
    </row>
    <row r="490" spans="1:11">
      <c r="A490" s="53"/>
      <c r="B490" s="53"/>
      <c r="C490" s="53"/>
      <c r="D490" s="53"/>
      <c r="E490" s="1445"/>
      <c r="F490" s="1446"/>
      <c r="G490" s="1445"/>
      <c r="H490" s="1444"/>
      <c r="I490" s="1444"/>
      <c r="J490" s="780"/>
      <c r="K490" s="780"/>
    </row>
    <row r="491" spans="1:11">
      <c r="A491" s="2082"/>
      <c r="B491" s="2082"/>
      <c r="C491" s="2082"/>
      <c r="D491" s="2082"/>
      <c r="E491" s="1154" t="s">
        <v>580</v>
      </c>
      <c r="F491" s="747"/>
      <c r="G491" s="53" t="s">
        <v>580</v>
      </c>
      <c r="H491" s="53" t="s">
        <v>580</v>
      </c>
      <c r="I491" s="53" t="s">
        <v>580</v>
      </c>
      <c r="J491" s="780"/>
      <c r="K491" s="780"/>
    </row>
    <row r="492" spans="1:11">
      <c r="A492" s="750"/>
      <c r="B492" s="750"/>
      <c r="C492" s="750"/>
      <c r="D492" s="750"/>
      <c r="E492" s="780"/>
      <c r="F492" s="2277"/>
      <c r="G492" s="780"/>
      <c r="H492" s="780"/>
      <c r="I492" s="780"/>
      <c r="J492" s="780"/>
      <c r="K492" s="780"/>
    </row>
    <row r="493" spans="1:11">
      <c r="A493" s="53" t="s">
        <v>621</v>
      </c>
      <c r="B493" s="53">
        <v>103</v>
      </c>
      <c r="C493" s="53">
        <v>1030</v>
      </c>
      <c r="D493" s="737" t="s">
        <v>665</v>
      </c>
      <c r="E493" s="748">
        <f>'SCH B-2.3'!L490</f>
        <v>22442698</v>
      </c>
      <c r="F493" s="2278">
        <v>1</v>
      </c>
      <c r="G493" s="748">
        <f t="shared" ref="G493:G502" si="33">ROUND(E493*F493,0)</f>
        <v>22442698</v>
      </c>
      <c r="H493" s="750"/>
      <c r="I493" s="748">
        <f t="shared" ref="I493:I502" si="34">G493+H493</f>
        <v>22442698</v>
      </c>
      <c r="J493" s="780"/>
      <c r="K493" s="780"/>
    </row>
    <row r="494" spans="1:11">
      <c r="A494" s="53">
        <f t="shared" ref="A494:A502" si="35">A493+1</f>
        <v>2</v>
      </c>
      <c r="B494" s="53">
        <v>189</v>
      </c>
      <c r="C494" s="53">
        <v>1890</v>
      </c>
      <c r="D494" s="737" t="s">
        <v>608</v>
      </c>
      <c r="E494" s="748">
        <f>'SCH B-2.3'!L491</f>
        <v>1041678</v>
      </c>
      <c r="F494" s="2278">
        <v>1</v>
      </c>
      <c r="G494" s="748">
        <f t="shared" si="33"/>
        <v>1041678</v>
      </c>
      <c r="H494" s="748"/>
      <c r="I494" s="748">
        <f t="shared" si="34"/>
        <v>1041678</v>
      </c>
      <c r="J494" s="780"/>
      <c r="K494" s="780"/>
    </row>
    <row r="495" spans="1:11">
      <c r="A495" s="53">
        <f t="shared" si="35"/>
        <v>3</v>
      </c>
      <c r="B495" s="53">
        <v>190</v>
      </c>
      <c r="C495" s="53">
        <v>1900</v>
      </c>
      <c r="D495" s="737" t="s">
        <v>609</v>
      </c>
      <c r="E495" s="748">
        <f>'SCH B-2.3'!L492</f>
        <v>21955911</v>
      </c>
      <c r="F495" s="2278">
        <v>1</v>
      </c>
      <c r="G495" s="748">
        <f t="shared" si="33"/>
        <v>21955911</v>
      </c>
      <c r="H495" s="748"/>
      <c r="I495" s="748">
        <f t="shared" si="34"/>
        <v>21955911</v>
      </c>
      <c r="J495" s="780"/>
      <c r="K495" s="780"/>
    </row>
    <row r="496" spans="1:11">
      <c r="A496" s="53">
        <f t="shared" si="35"/>
        <v>4</v>
      </c>
      <c r="B496" s="53">
        <v>191</v>
      </c>
      <c r="C496" s="53">
        <v>1910</v>
      </c>
      <c r="D496" s="737" t="s">
        <v>666</v>
      </c>
      <c r="E496" s="748">
        <f>'SCH B-2.3'!L493</f>
        <v>1560369</v>
      </c>
      <c r="F496" s="2278">
        <v>1</v>
      </c>
      <c r="G496" s="748">
        <f t="shared" si="33"/>
        <v>1560369</v>
      </c>
      <c r="H496" s="748"/>
      <c r="I496" s="748">
        <f t="shared" si="34"/>
        <v>1560369</v>
      </c>
      <c r="J496" s="780"/>
      <c r="K496" s="780"/>
    </row>
    <row r="497" spans="1:11">
      <c r="A497" s="53">
        <f t="shared" si="35"/>
        <v>5</v>
      </c>
      <c r="B497" s="53">
        <v>191</v>
      </c>
      <c r="C497" s="53">
        <v>1911</v>
      </c>
      <c r="D497" s="737" t="s">
        <v>677</v>
      </c>
      <c r="E497" s="748">
        <f>'SCH B-2.3'!L494</f>
        <v>-8282</v>
      </c>
      <c r="F497" s="2278">
        <v>1</v>
      </c>
      <c r="G497" s="748">
        <f t="shared" si="33"/>
        <v>-8282</v>
      </c>
      <c r="H497" s="748"/>
      <c r="I497" s="748">
        <f t="shared" si="34"/>
        <v>-8282</v>
      </c>
      <c r="J497" s="780"/>
      <c r="K497" s="780"/>
    </row>
    <row r="498" spans="1:11">
      <c r="A498" s="53">
        <f t="shared" si="35"/>
        <v>6</v>
      </c>
      <c r="B498" s="53">
        <v>194</v>
      </c>
      <c r="C498" s="53">
        <v>1940</v>
      </c>
      <c r="D498" s="737" t="s">
        <v>670</v>
      </c>
      <c r="E498" s="748">
        <f>'SCH B-2.3'!L495</f>
        <v>107198</v>
      </c>
      <c r="F498" s="2278">
        <v>1</v>
      </c>
      <c r="G498" s="748">
        <f t="shared" si="33"/>
        <v>107198</v>
      </c>
      <c r="H498" s="748"/>
      <c r="I498" s="748">
        <f t="shared" si="34"/>
        <v>107198</v>
      </c>
      <c r="J498" s="780"/>
      <c r="K498" s="780"/>
    </row>
    <row r="499" spans="1:11">
      <c r="A499" s="53">
        <f t="shared" si="35"/>
        <v>7</v>
      </c>
      <c r="B499" s="53">
        <v>197</v>
      </c>
      <c r="C499" s="53">
        <v>1970</v>
      </c>
      <c r="D499" s="737" t="s">
        <v>672</v>
      </c>
      <c r="E499" s="748">
        <f>'SCH B-2.3'!L496</f>
        <v>3872062</v>
      </c>
      <c r="F499" s="2278">
        <v>1</v>
      </c>
      <c r="G499" s="748">
        <f t="shared" si="33"/>
        <v>3872062</v>
      </c>
      <c r="H499" s="748"/>
      <c r="I499" s="748">
        <f t="shared" si="34"/>
        <v>3872062</v>
      </c>
      <c r="J499" s="780"/>
      <c r="K499" s="780"/>
    </row>
    <row r="500" spans="1:11">
      <c r="A500" s="53">
        <f t="shared" si="35"/>
        <v>8</v>
      </c>
      <c r="B500" s="53">
        <v>198</v>
      </c>
      <c r="C500" s="53">
        <v>1980</v>
      </c>
      <c r="D500" s="737" t="s">
        <v>678</v>
      </c>
      <c r="E500" s="748">
        <f>'SCH B-2.3'!L497</f>
        <v>95301</v>
      </c>
      <c r="F500" s="2278">
        <v>1</v>
      </c>
      <c r="G500" s="748">
        <f t="shared" si="33"/>
        <v>95301</v>
      </c>
      <c r="H500" s="748"/>
      <c r="I500" s="748">
        <f t="shared" si="34"/>
        <v>95301</v>
      </c>
      <c r="J500" s="780"/>
      <c r="K500" s="780"/>
    </row>
    <row r="501" spans="1:11">
      <c r="A501" s="53">
        <f t="shared" si="35"/>
        <v>9</v>
      </c>
      <c r="B501" s="53">
        <v>199</v>
      </c>
      <c r="C501" s="53">
        <v>1990</v>
      </c>
      <c r="D501" s="737" t="s">
        <v>679</v>
      </c>
      <c r="E501" s="748">
        <f>'SCH B-2.3'!L498</f>
        <v>1486982</v>
      </c>
      <c r="F501" s="2278">
        <v>1</v>
      </c>
      <c r="G501" s="748">
        <f t="shared" si="33"/>
        <v>1486982</v>
      </c>
      <c r="H501" s="748">
        <f>'SCH B-2.2'!G67</f>
        <v>-1486982</v>
      </c>
      <c r="I501" s="748">
        <f t="shared" si="34"/>
        <v>0</v>
      </c>
      <c r="J501" s="780"/>
      <c r="K501" s="780"/>
    </row>
    <row r="502" spans="1:11">
      <c r="A502" s="53">
        <f t="shared" si="35"/>
        <v>10</v>
      </c>
      <c r="B502" s="750"/>
      <c r="C502" s="737"/>
      <c r="D502" s="737" t="s">
        <v>617</v>
      </c>
      <c r="E502" s="748">
        <f>'SCH B-2.3'!L499</f>
        <v>0</v>
      </c>
      <c r="F502" s="2278">
        <v>1</v>
      </c>
      <c r="G502" s="748">
        <f t="shared" si="33"/>
        <v>0</v>
      </c>
      <c r="H502" s="748"/>
      <c r="I502" s="748">
        <f t="shared" si="34"/>
        <v>0</v>
      </c>
      <c r="J502" s="780"/>
      <c r="K502" s="780"/>
    </row>
    <row r="503" spans="1:11">
      <c r="A503" s="53"/>
      <c r="B503" s="750"/>
      <c r="C503" s="737"/>
      <c r="D503" s="737"/>
      <c r="E503" s="748"/>
      <c r="F503" s="747"/>
      <c r="G503" s="748"/>
      <c r="H503" s="748"/>
      <c r="I503" s="748"/>
      <c r="J503" s="780"/>
      <c r="K503" s="780"/>
    </row>
    <row r="504" spans="1:11">
      <c r="A504" s="750"/>
      <c r="B504" s="750"/>
      <c r="C504" s="750"/>
      <c r="D504" s="750"/>
      <c r="E504" s="750"/>
      <c r="F504" s="747"/>
      <c r="G504" s="750"/>
      <c r="H504" s="750"/>
      <c r="I504" s="750"/>
      <c r="J504" s="780"/>
      <c r="K504" s="780"/>
    </row>
    <row r="505" spans="1:11">
      <c r="A505" s="2082"/>
      <c r="B505" s="2082"/>
      <c r="C505" s="2082"/>
      <c r="D505" s="2082"/>
      <c r="E505" s="2084"/>
      <c r="F505" s="2087"/>
      <c r="G505" s="2084"/>
      <c r="H505" s="2084"/>
      <c r="I505" s="2084"/>
      <c r="J505" s="780"/>
      <c r="K505" s="780"/>
    </row>
    <row r="506" spans="1:11">
      <c r="A506" s="53">
        <v>11</v>
      </c>
      <c r="B506" s="750"/>
      <c r="C506" s="750"/>
      <c r="D506" s="737" t="s">
        <v>680</v>
      </c>
      <c r="E506" s="748">
        <f>SUM(E493:E504)</f>
        <v>52553917</v>
      </c>
      <c r="F506" s="747"/>
      <c r="G506" s="748">
        <f>SUM(G493:G504)</f>
        <v>52553917</v>
      </c>
      <c r="H506" s="748">
        <f>SUM(H493:H504)</f>
        <v>-1486982</v>
      </c>
      <c r="I506" s="748">
        <f>SUM(I493:I504)</f>
        <v>51066935</v>
      </c>
      <c r="J506" s="780"/>
      <c r="K506" s="2088" t="str">
        <f>IF(E506='SCH B-2.3'!L503,"BALANCED","ERROR")</f>
        <v>BALANCED</v>
      </c>
    </row>
    <row r="507" spans="1:11">
      <c r="A507" s="750"/>
      <c r="B507" s="750"/>
      <c r="C507" s="750"/>
      <c r="D507" s="750"/>
      <c r="E507" s="750"/>
      <c r="F507" s="747"/>
      <c r="G507" s="750"/>
      <c r="H507" s="750"/>
      <c r="I507" s="750"/>
      <c r="J507" s="780"/>
      <c r="K507" s="780"/>
    </row>
    <row r="508" spans="1:11">
      <c r="A508" s="2082"/>
      <c r="B508" s="2082"/>
      <c r="C508" s="2082"/>
      <c r="D508" s="2082"/>
      <c r="E508" s="2084"/>
      <c r="F508" s="2087"/>
      <c r="G508" s="2084"/>
      <c r="H508" s="2084"/>
      <c r="I508" s="2084"/>
      <c r="J508" s="780"/>
      <c r="K508" s="780"/>
    </row>
    <row r="509" spans="1:11">
      <c r="A509" s="53">
        <v>12</v>
      </c>
      <c r="B509" s="750"/>
      <c r="C509" s="747">
        <f>CommonE</f>
        <v>0.70750000000000002</v>
      </c>
      <c r="D509" s="737" t="s">
        <v>681</v>
      </c>
      <c r="E509" s="748">
        <f>ROUND(E506*C509,0)</f>
        <v>37181896</v>
      </c>
      <c r="F509" s="747"/>
      <c r="G509" s="748">
        <f>ROUND(G506*$C$251,0)</f>
        <v>37181896</v>
      </c>
      <c r="H509" s="748">
        <f>ROUND(H506*$C$251,0)</f>
        <v>-1052040</v>
      </c>
      <c r="I509" s="748">
        <f>G509+H509</f>
        <v>36129856</v>
      </c>
      <c r="J509" s="780"/>
      <c r="K509" s="2088" t="str">
        <f>IF(E509='SCH B-2.3'!L506,"BALANCED","ERROR")</f>
        <v>BALANCED</v>
      </c>
    </row>
    <row r="510" spans="1:11">
      <c r="A510" s="750"/>
      <c r="B510" s="750"/>
      <c r="C510" s="750"/>
      <c r="D510" s="750"/>
      <c r="E510" s="750"/>
      <c r="F510" s="747"/>
      <c r="G510" s="750"/>
      <c r="H510" s="750"/>
      <c r="I510" s="750"/>
      <c r="J510" s="780"/>
      <c r="K510" s="780"/>
    </row>
    <row r="511" spans="1:11">
      <c r="A511" s="2082"/>
      <c r="B511" s="2082"/>
      <c r="C511" s="2082"/>
      <c r="D511" s="2082"/>
      <c r="E511" s="2084"/>
      <c r="F511" s="2087"/>
      <c r="G511" s="2084"/>
      <c r="H511" s="2084"/>
      <c r="I511" s="2084"/>
      <c r="J511" s="780"/>
      <c r="K511" s="780"/>
    </row>
    <row r="512" spans="1:11">
      <c r="A512" s="53">
        <v>13</v>
      </c>
      <c r="B512" s="750"/>
      <c r="C512" s="750"/>
      <c r="D512" s="737" t="s">
        <v>682</v>
      </c>
      <c r="E512" s="748">
        <f>E467+E509</f>
        <v>2588710609</v>
      </c>
      <c r="F512" s="747"/>
      <c r="G512" s="748">
        <f>G467+G509</f>
        <v>2588710609</v>
      </c>
      <c r="H512" s="748">
        <f>H467+H509</f>
        <v>-158537671</v>
      </c>
      <c r="I512" s="748">
        <f>I467+I509</f>
        <v>2430172938</v>
      </c>
      <c r="J512" s="780"/>
      <c r="K512" s="2088" t="str">
        <f>IF(E512='SCH B-2.3'!L509,"BALANCED","ERROR")</f>
        <v>BALANCED</v>
      </c>
    </row>
    <row r="513" spans="1:11">
      <c r="A513" s="750"/>
      <c r="B513" s="750"/>
      <c r="C513" s="750"/>
      <c r="D513" s="750"/>
      <c r="E513" s="750"/>
      <c r="F513" s="747"/>
      <c r="G513" s="750"/>
      <c r="H513" s="750"/>
      <c r="I513" s="750"/>
      <c r="J513" s="780"/>
      <c r="K513" s="780"/>
    </row>
    <row r="514" spans="1:11">
      <c r="A514" s="2082"/>
      <c r="B514" s="2082"/>
      <c r="C514" s="2082"/>
      <c r="D514" s="2082"/>
      <c r="E514" s="2084"/>
      <c r="F514" s="2087"/>
      <c r="G514" s="2084"/>
      <c r="H514" s="2084"/>
      <c r="I514" s="2084"/>
      <c r="J514" s="780"/>
      <c r="K514" s="780"/>
    </row>
    <row r="515" spans="1:11">
      <c r="A515" s="750"/>
      <c r="B515" s="750"/>
      <c r="C515" s="750"/>
      <c r="D515" s="750"/>
      <c r="E515" s="748"/>
      <c r="F515" s="747"/>
      <c r="G515" s="748"/>
      <c r="H515" s="748"/>
      <c r="I515" s="748"/>
      <c r="J515" s="780"/>
      <c r="K515" s="780"/>
    </row>
  </sheetData>
  <hyperlinks>
    <hyperlink ref="A5" location="Sch_A" display="." xr:uid="{00000000-0004-0000-0F00-000000000000}"/>
  </hyperlinks>
  <printOptions horizontalCentered="1"/>
  <pageMargins left="1" right="0.75" top="1" bottom="1" header="0.5" footer="0.5"/>
  <pageSetup scale="74" orientation="landscape" horizontalDpi="300" r:id="rId1"/>
  <headerFooter alignWithMargins="0"/>
  <rowBreaks count="3" manualBreakCount="3">
    <brk id="117" max="9" man="1"/>
    <brk id="170" max="9" man="1"/>
    <brk id="212" max="9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64">
    <tabColor theme="4" tint="0.39997558519241921"/>
    <pageSetUpPr fitToPage="1"/>
  </sheetPr>
  <dimension ref="A1:Q99"/>
  <sheetViews>
    <sheetView workbookViewId="0"/>
  </sheetViews>
  <sheetFormatPr defaultColWidth="11.44140625" defaultRowHeight="13.2"/>
  <cols>
    <col min="1" max="1" width="7.44140625" customWidth="1"/>
    <col min="2" max="3" width="11.44140625" customWidth="1"/>
    <col min="4" max="4" width="42.5546875" customWidth="1"/>
    <col min="5" max="5" width="18" customWidth="1"/>
    <col min="6" max="8" width="15.5546875" customWidth="1"/>
    <col min="9" max="9" width="46.5546875" customWidth="1"/>
    <col min="10" max="12" width="11.44140625" customWidth="1"/>
    <col min="13" max="13" width="35.5546875" customWidth="1"/>
    <col min="14" max="14" width="15.5546875" customWidth="1"/>
    <col min="15" max="15" width="14.44140625" customWidth="1"/>
    <col min="16" max="16" width="17.44140625" customWidth="1"/>
  </cols>
  <sheetData>
    <row r="1" spans="1:17">
      <c r="A1" s="59" t="str">
        <f>COMPANY</f>
        <v>DUKE ENERGY KENTUCKY, INC.</v>
      </c>
      <c r="B1" s="59"/>
      <c r="C1" s="59"/>
      <c r="D1" s="59"/>
      <c r="E1" s="59"/>
      <c r="F1" s="59"/>
      <c r="G1" s="59"/>
      <c r="H1" s="59"/>
      <c r="I1" s="59"/>
      <c r="J1" s="750"/>
      <c r="K1" s="750"/>
      <c r="L1" s="750"/>
      <c r="M1" s="750"/>
      <c r="N1" s="750"/>
      <c r="O1" s="750"/>
      <c r="P1" s="750"/>
      <c r="Q1" s="750"/>
    </row>
    <row r="2" spans="1:17">
      <c r="A2" s="59" t="str">
        <f>CASE</f>
        <v>CASE NO. 2024-00354</v>
      </c>
      <c r="B2" s="59"/>
      <c r="C2" s="59"/>
      <c r="D2" s="59"/>
      <c r="E2" s="59"/>
      <c r="F2" s="59"/>
      <c r="G2" s="59"/>
      <c r="H2" s="59"/>
      <c r="I2" s="59"/>
      <c r="J2" s="750"/>
      <c r="K2" s="750"/>
      <c r="L2" s="750"/>
      <c r="M2" s="750"/>
      <c r="N2" s="750"/>
      <c r="O2" s="750"/>
      <c r="P2" s="750"/>
      <c r="Q2" s="750"/>
    </row>
    <row r="3" spans="1:17">
      <c r="A3" s="59" t="s">
        <v>692</v>
      </c>
      <c r="B3" s="59"/>
      <c r="C3" s="59"/>
      <c r="D3" s="59"/>
      <c r="E3" s="59"/>
      <c r="F3" s="59"/>
      <c r="G3" s="59"/>
      <c r="H3" s="59"/>
      <c r="I3" s="59"/>
      <c r="J3" s="750"/>
      <c r="K3" s="750"/>
      <c r="L3" s="750"/>
      <c r="M3" s="750"/>
      <c r="N3" s="750"/>
      <c r="O3" s="750"/>
      <c r="P3" s="750"/>
      <c r="Q3" s="750"/>
    </row>
    <row r="4" spans="1:17">
      <c r="A4" s="47" t="str">
        <f>"AS OF " &amp;RIGHT(TESTYR,(LEN(TESTYR)-16))</f>
        <v>AS OF FEBRUARY 28, 2025</v>
      </c>
      <c r="B4" s="59"/>
      <c r="C4" s="59"/>
      <c r="D4" s="59"/>
      <c r="E4" s="59"/>
      <c r="F4" s="59"/>
      <c r="G4" s="59"/>
      <c r="H4" s="59"/>
      <c r="I4" s="59"/>
      <c r="J4" s="750"/>
      <c r="K4" s="750"/>
      <c r="L4" s="750"/>
      <c r="M4" s="750"/>
      <c r="N4" s="750"/>
      <c r="O4" s="750"/>
      <c r="P4" s="750"/>
      <c r="Q4" s="750"/>
    </row>
    <row r="5" spans="1:17">
      <c r="A5" s="1393" t="s">
        <v>55</v>
      </c>
      <c r="B5" s="59"/>
      <c r="C5" s="59"/>
      <c r="D5" s="59"/>
      <c r="E5" s="59"/>
      <c r="F5" s="59"/>
      <c r="G5" s="59"/>
      <c r="H5" s="750"/>
      <c r="I5" s="750"/>
      <c r="J5" s="750"/>
      <c r="K5" s="750"/>
      <c r="L5" s="750"/>
      <c r="M5" s="750"/>
      <c r="N5" s="750"/>
      <c r="O5" s="750"/>
      <c r="P5" s="750"/>
      <c r="Q5" s="750"/>
    </row>
    <row r="6" spans="1:17">
      <c r="A6" s="59"/>
      <c r="B6" s="59"/>
      <c r="C6" s="59"/>
      <c r="D6" s="59"/>
      <c r="E6" s="59"/>
      <c r="F6" s="59"/>
      <c r="G6" s="59"/>
      <c r="H6" s="59"/>
      <c r="I6" s="59"/>
      <c r="J6" s="750"/>
      <c r="K6" s="750"/>
      <c r="L6" s="750"/>
      <c r="M6" s="750"/>
      <c r="N6" s="750"/>
      <c r="O6" s="750"/>
      <c r="P6" s="750"/>
      <c r="Q6" s="750"/>
    </row>
    <row r="7" spans="1:17">
      <c r="A7" s="59"/>
      <c r="B7" s="59"/>
      <c r="C7" s="59"/>
      <c r="D7" s="59"/>
      <c r="E7" s="59"/>
      <c r="F7" s="59"/>
      <c r="G7" s="59"/>
      <c r="H7" s="750"/>
      <c r="I7" s="750"/>
      <c r="J7" s="750"/>
      <c r="K7" s="750"/>
      <c r="L7" s="750"/>
      <c r="M7" s="750"/>
      <c r="N7" s="750"/>
      <c r="O7" s="750"/>
      <c r="P7" s="750"/>
      <c r="Q7" s="750"/>
    </row>
    <row r="8" spans="1:17">
      <c r="A8" s="59"/>
      <c r="B8" s="59"/>
      <c r="C8" s="59"/>
      <c r="D8" s="59"/>
      <c r="E8" s="59"/>
      <c r="F8" s="59"/>
      <c r="G8" s="59"/>
      <c r="H8" s="750"/>
      <c r="I8" s="750"/>
      <c r="J8" s="750"/>
      <c r="K8" s="750"/>
      <c r="L8" s="750"/>
      <c r="M8" s="750"/>
      <c r="N8" s="750"/>
      <c r="O8" s="750"/>
      <c r="P8" s="750"/>
      <c r="Q8" s="750"/>
    </row>
    <row r="9" spans="1:17">
      <c r="A9" s="737" t="str">
        <f>Data</f>
        <v>DATA: "X" BASE PERIOD   FORECASTED PERIOD</v>
      </c>
      <c r="B9" s="750"/>
      <c r="C9" s="750"/>
      <c r="D9" s="750"/>
      <c r="E9" s="750"/>
      <c r="F9" s="750"/>
      <c r="G9" s="750"/>
      <c r="H9" s="737" t="s">
        <v>693</v>
      </c>
      <c r="I9" s="750"/>
      <c r="J9" s="750"/>
      <c r="K9" s="750"/>
      <c r="L9" s="750"/>
      <c r="M9" s="750"/>
      <c r="N9" s="750"/>
      <c r="O9" s="750"/>
      <c r="P9" s="750"/>
      <c r="Q9" s="750"/>
    </row>
    <row r="10" spans="1:17">
      <c r="A10" s="737" t="str">
        <f>Type</f>
        <v xml:space="preserve">TYPE OF FILING:  "X" ORIGINAL   UPDATED    REVISED  </v>
      </c>
      <c r="B10" s="750"/>
      <c r="C10" s="750"/>
      <c r="D10" s="750"/>
      <c r="E10" s="750"/>
      <c r="F10" s="750"/>
      <c r="G10" s="750"/>
      <c r="H10" s="737" t="s">
        <v>571</v>
      </c>
      <c r="I10" s="750"/>
      <c r="J10" s="750"/>
      <c r="K10" s="750"/>
      <c r="L10" s="750"/>
      <c r="M10" s="750"/>
      <c r="N10" s="750"/>
      <c r="O10" s="750"/>
      <c r="P10" s="750"/>
      <c r="Q10" s="750"/>
    </row>
    <row r="11" spans="1:17">
      <c r="A11" s="737" t="s">
        <v>694</v>
      </c>
      <c r="B11" s="750"/>
      <c r="C11" s="750"/>
      <c r="D11" s="750"/>
      <c r="E11" s="750"/>
      <c r="F11" s="750"/>
      <c r="G11" s="750"/>
      <c r="H11" s="750" t="s">
        <v>468</v>
      </c>
      <c r="I11" s="750"/>
      <c r="J11" s="750"/>
      <c r="K11" s="750"/>
      <c r="L11" s="750"/>
      <c r="M11" s="750"/>
      <c r="N11" s="750"/>
      <c r="O11" s="750"/>
      <c r="P11" s="750"/>
      <c r="Q11" s="750"/>
    </row>
    <row r="12" spans="1:17">
      <c r="A12" s="750"/>
      <c r="B12" s="750"/>
      <c r="C12" s="750"/>
      <c r="D12" s="750"/>
      <c r="E12" s="750"/>
      <c r="F12" s="750"/>
      <c r="G12" s="750"/>
      <c r="H12" s="750" t="str">
        <f>_WIT7</f>
        <v>G. S. CARPENTER / S. S. MITCHELL</v>
      </c>
      <c r="I12" s="750"/>
      <c r="J12" s="750"/>
      <c r="K12" s="750"/>
      <c r="L12" s="750"/>
      <c r="M12" s="750"/>
      <c r="N12" s="750"/>
      <c r="O12" s="750"/>
      <c r="P12" s="750"/>
      <c r="Q12" s="750"/>
    </row>
    <row r="13" spans="1:17">
      <c r="A13" s="750"/>
      <c r="B13" s="750"/>
      <c r="C13" s="750"/>
      <c r="D13" s="750"/>
      <c r="E13" s="750"/>
      <c r="F13" s="750"/>
      <c r="G13" s="750"/>
      <c r="H13" s="750"/>
      <c r="I13" s="750"/>
      <c r="J13" s="750"/>
      <c r="K13" s="750"/>
      <c r="L13" s="750"/>
      <c r="M13" s="750"/>
      <c r="N13" s="750"/>
      <c r="O13" s="750"/>
      <c r="P13" s="750"/>
      <c r="Q13" s="750"/>
    </row>
    <row r="14" spans="1:17">
      <c r="A14" s="750"/>
      <c r="B14" s="750"/>
      <c r="C14" s="750"/>
      <c r="D14" s="750"/>
      <c r="E14" s="750"/>
      <c r="F14" s="750"/>
      <c r="G14" s="750"/>
      <c r="H14" s="750"/>
      <c r="I14" s="750"/>
      <c r="J14" s="750"/>
      <c r="K14" s="750"/>
      <c r="L14" s="750"/>
      <c r="M14" s="750"/>
      <c r="N14" s="750"/>
      <c r="O14" s="750"/>
      <c r="P14" s="750"/>
      <c r="Q14" s="750"/>
    </row>
    <row r="15" spans="1:17">
      <c r="A15" s="750"/>
      <c r="B15" s="750"/>
      <c r="C15" s="750"/>
      <c r="D15" s="750"/>
      <c r="E15" s="750"/>
      <c r="F15" s="750"/>
      <c r="G15" s="750"/>
      <c r="H15" s="1443"/>
      <c r="I15" s="1443"/>
      <c r="J15" s="750"/>
      <c r="K15" s="750"/>
      <c r="L15" s="750"/>
      <c r="M15" s="750"/>
      <c r="N15" s="750"/>
      <c r="O15" s="750"/>
      <c r="P15" s="750"/>
      <c r="Q15" s="750"/>
    </row>
    <row r="16" spans="1:17">
      <c r="A16" s="2082"/>
      <c r="B16" s="2082"/>
      <c r="C16" s="2083"/>
      <c r="D16" s="2082"/>
      <c r="E16" s="2082"/>
      <c r="F16" s="2082"/>
      <c r="G16" s="2082"/>
      <c r="H16" s="750"/>
      <c r="I16" s="750"/>
      <c r="J16" s="750"/>
      <c r="K16" s="750"/>
      <c r="L16" s="750"/>
      <c r="M16" s="750"/>
      <c r="N16" s="750"/>
      <c r="O16" s="750"/>
      <c r="P16" s="750"/>
      <c r="Q16" s="750"/>
    </row>
    <row r="17" spans="1:17">
      <c r="A17" s="750"/>
      <c r="B17" s="53" t="s">
        <v>257</v>
      </c>
      <c r="C17" s="53" t="s">
        <v>605</v>
      </c>
      <c r="D17" s="750"/>
      <c r="E17" s="53"/>
      <c r="F17" s="750"/>
      <c r="G17" s="750"/>
      <c r="H17" s="750"/>
      <c r="I17" s="53" t="s">
        <v>695</v>
      </c>
      <c r="J17" s="750"/>
      <c r="K17" s="750"/>
      <c r="L17" s="750"/>
      <c r="M17" s="750"/>
      <c r="N17" s="750"/>
      <c r="O17" s="750"/>
      <c r="P17" s="750"/>
      <c r="Q17" s="750"/>
    </row>
    <row r="18" spans="1:17">
      <c r="A18" s="53" t="s">
        <v>573</v>
      </c>
      <c r="B18" s="53" t="s">
        <v>606</v>
      </c>
      <c r="C18" s="53" t="s">
        <v>606</v>
      </c>
      <c r="D18" s="737"/>
      <c r="E18" s="53" t="s">
        <v>13</v>
      </c>
      <c r="F18" s="53" t="s">
        <v>574</v>
      </c>
      <c r="G18" s="53" t="s">
        <v>574</v>
      </c>
      <c r="H18" s="53" t="s">
        <v>696</v>
      </c>
      <c r="I18" s="53" t="s">
        <v>697</v>
      </c>
      <c r="J18" s="750"/>
      <c r="K18" s="750"/>
      <c r="L18" s="750"/>
      <c r="M18" s="750"/>
      <c r="N18" s="750"/>
      <c r="O18" s="750"/>
      <c r="P18" s="750"/>
      <c r="Q18" s="750"/>
    </row>
    <row r="19" spans="1:17">
      <c r="A19" s="53" t="s">
        <v>576</v>
      </c>
      <c r="B19" s="53" t="s">
        <v>576</v>
      </c>
      <c r="C19" s="53" t="s">
        <v>576</v>
      </c>
      <c r="D19" s="53" t="s">
        <v>607</v>
      </c>
      <c r="E19" s="53" t="s">
        <v>418</v>
      </c>
      <c r="F19" s="53" t="s">
        <v>420</v>
      </c>
      <c r="G19" s="53" t="s">
        <v>698</v>
      </c>
      <c r="H19" s="53" t="s">
        <v>699</v>
      </c>
      <c r="I19" s="53" t="s">
        <v>698</v>
      </c>
      <c r="J19" s="750"/>
      <c r="K19" s="750"/>
      <c r="L19" s="750"/>
      <c r="M19" s="750"/>
      <c r="N19" s="750"/>
      <c r="O19" s="750"/>
      <c r="P19" s="750"/>
      <c r="Q19" s="750"/>
    </row>
    <row r="20" spans="1:17">
      <c r="A20" s="750"/>
      <c r="B20" s="750"/>
      <c r="C20" s="1449"/>
      <c r="D20" s="750"/>
      <c r="E20" s="1445"/>
      <c r="F20" s="750"/>
      <c r="G20" s="1443"/>
      <c r="H20" s="1443"/>
      <c r="I20" s="1443"/>
      <c r="J20" s="750"/>
      <c r="K20" s="750"/>
      <c r="L20" s="750"/>
      <c r="M20" s="750"/>
      <c r="N20" s="750"/>
      <c r="O20" s="750"/>
      <c r="P20" s="750"/>
      <c r="Q20" s="750"/>
    </row>
    <row r="21" spans="1:17">
      <c r="A21" s="2082"/>
      <c r="B21" s="2082"/>
      <c r="C21" s="52"/>
      <c r="D21" s="2082"/>
      <c r="E21" s="1154" t="s">
        <v>580</v>
      </c>
      <c r="F21" s="2082"/>
      <c r="G21" s="1154" t="s">
        <v>580</v>
      </c>
      <c r="H21" s="750"/>
      <c r="I21" s="750"/>
      <c r="J21" s="750"/>
      <c r="K21" s="750"/>
      <c r="L21" s="750"/>
      <c r="M21" s="750"/>
      <c r="N21" s="750"/>
      <c r="O21" s="750"/>
      <c r="P21" s="750"/>
      <c r="Q21" s="750"/>
    </row>
    <row r="22" spans="1:17">
      <c r="A22" s="53"/>
      <c r="B22" s="750"/>
      <c r="C22" s="750"/>
      <c r="D22" s="750"/>
      <c r="E22" s="750"/>
      <c r="F22" s="750"/>
      <c r="G22" s="750"/>
      <c r="H22" s="750"/>
      <c r="I22" s="750"/>
      <c r="J22" s="750"/>
      <c r="K22" s="750"/>
      <c r="L22" s="750"/>
      <c r="M22" s="750"/>
      <c r="N22" s="750"/>
      <c r="O22" s="750"/>
      <c r="P22" s="750"/>
      <c r="Q22" s="750"/>
    </row>
    <row r="23" spans="1:17">
      <c r="A23" s="33">
        <v>1</v>
      </c>
      <c r="B23" s="33">
        <v>317</v>
      </c>
      <c r="C23" s="33">
        <v>3170</v>
      </c>
      <c r="D23" s="32" t="s">
        <v>615</v>
      </c>
      <c r="E23" s="1185">
        <f>-'SCH B-2.3'!K30</f>
        <v>-89027761</v>
      </c>
      <c r="F23" s="1183">
        <v>1</v>
      </c>
      <c r="G23" s="1184">
        <f>E23*F23</f>
        <v>-89027761</v>
      </c>
      <c r="H23" s="1184"/>
      <c r="I23" s="1130" t="s">
        <v>700</v>
      </c>
      <c r="J23" s="750"/>
      <c r="K23" s="750"/>
      <c r="L23" s="750"/>
      <c r="M23" s="750"/>
      <c r="N23" s="750"/>
      <c r="O23" s="750"/>
      <c r="P23" s="750"/>
      <c r="Q23" s="750"/>
    </row>
    <row r="24" spans="1:17">
      <c r="A24" s="33">
        <v>2</v>
      </c>
      <c r="B24" s="33">
        <v>347</v>
      </c>
      <c r="C24" s="33">
        <v>3476</v>
      </c>
      <c r="D24" s="32" t="s">
        <v>630</v>
      </c>
      <c r="E24" s="1185">
        <f>-'SCH B-2.3'!K71</f>
        <v>-442832</v>
      </c>
      <c r="F24" s="1183">
        <v>1</v>
      </c>
      <c r="G24" s="1184">
        <f>E24*F24</f>
        <v>-442832</v>
      </c>
      <c r="H24" s="1184"/>
      <c r="I24" s="1130" t="s">
        <v>700</v>
      </c>
      <c r="J24" s="750"/>
      <c r="K24" s="750"/>
      <c r="L24" s="750"/>
      <c r="M24" s="750"/>
      <c r="N24" s="750"/>
      <c r="O24" s="750"/>
      <c r="P24" s="750"/>
      <c r="Q24" s="750"/>
    </row>
    <row r="25" spans="1:17">
      <c r="A25" s="33">
        <v>3</v>
      </c>
      <c r="B25" s="33">
        <v>399</v>
      </c>
      <c r="C25" s="33">
        <v>3990</v>
      </c>
      <c r="D25" s="32" t="s">
        <v>679</v>
      </c>
      <c r="E25" s="1185">
        <f>-'SCH B-2.3'!K243</f>
        <v>-1486982</v>
      </c>
      <c r="F25" s="1183">
        <v>1</v>
      </c>
      <c r="G25" s="1184">
        <f>E25*F25</f>
        <v>-1486982</v>
      </c>
      <c r="H25" s="1184"/>
      <c r="I25" s="1130" t="s">
        <v>700</v>
      </c>
      <c r="J25" s="750"/>
      <c r="K25" s="750"/>
      <c r="L25" s="750"/>
      <c r="M25" s="750"/>
      <c r="N25" s="750"/>
      <c r="O25" s="750"/>
      <c r="P25" s="750"/>
      <c r="Q25" s="750"/>
    </row>
    <row r="26" spans="1:17">
      <c r="A26" s="53">
        <v>4</v>
      </c>
      <c r="B26" s="53">
        <v>373</v>
      </c>
      <c r="C26" s="53">
        <v>3733</v>
      </c>
      <c r="D26" s="737" t="s">
        <v>660</v>
      </c>
      <c r="E26" s="30">
        <f>-'SCH B-2.3'!K161</f>
        <v>-1684358</v>
      </c>
      <c r="F26" s="1183">
        <v>1</v>
      </c>
      <c r="G26" s="748">
        <f t="shared" ref="G26:G27" si="0">E26*F26</f>
        <v>-1684358</v>
      </c>
      <c r="H26" s="750"/>
      <c r="I26" s="1130" t="s">
        <v>701</v>
      </c>
      <c r="J26" s="750"/>
      <c r="K26" s="750"/>
      <c r="L26" s="750"/>
      <c r="M26" s="750"/>
      <c r="N26" s="750"/>
      <c r="O26" s="750"/>
      <c r="P26" s="750"/>
      <c r="Q26" s="750"/>
    </row>
    <row r="27" spans="1:17">
      <c r="A27" s="33">
        <v>5</v>
      </c>
      <c r="B27" s="53">
        <v>373</v>
      </c>
      <c r="C27" s="53">
        <v>3734</v>
      </c>
      <c r="D27" s="737" t="s">
        <v>661</v>
      </c>
      <c r="E27" s="30">
        <f>-'SCH B-2.3'!K162</f>
        <v>-6234971</v>
      </c>
      <c r="F27" s="1183">
        <v>1</v>
      </c>
      <c r="G27" s="748">
        <f t="shared" si="0"/>
        <v>-6234971</v>
      </c>
      <c r="H27" s="750"/>
      <c r="I27" s="1130" t="s">
        <v>701</v>
      </c>
      <c r="J27" s="750"/>
      <c r="K27" s="750"/>
      <c r="L27" s="750"/>
      <c r="M27" s="750"/>
      <c r="N27" s="750"/>
      <c r="O27" s="750"/>
      <c r="P27" s="750"/>
      <c r="Q27" s="750"/>
    </row>
    <row r="28" spans="1:17">
      <c r="A28" s="33">
        <v>6</v>
      </c>
      <c r="B28" s="33">
        <v>311</v>
      </c>
      <c r="C28" s="33">
        <v>3110</v>
      </c>
      <c r="D28" s="32" t="s">
        <v>702</v>
      </c>
      <c r="E28" s="2280">
        <v>-67432275</v>
      </c>
      <c r="F28" s="1183">
        <v>1</v>
      </c>
      <c r="G28" s="1184">
        <f>E28*F28</f>
        <v>-67432275</v>
      </c>
      <c r="H28" s="1184"/>
      <c r="I28" t="s">
        <v>703</v>
      </c>
      <c r="J28" s="750"/>
      <c r="K28" s="750"/>
      <c r="L28" s="750"/>
      <c r="M28" s="750"/>
      <c r="N28" s="750"/>
      <c r="O28" s="750"/>
      <c r="P28" s="750"/>
      <c r="Q28" s="750"/>
    </row>
    <row r="29" spans="1:17">
      <c r="A29" s="33">
        <v>7</v>
      </c>
      <c r="B29" s="53"/>
      <c r="C29" s="53"/>
      <c r="D29" s="1131" t="s">
        <v>616</v>
      </c>
      <c r="E29" s="643">
        <v>8154644</v>
      </c>
      <c r="F29" s="1691">
        <v>1</v>
      </c>
      <c r="G29" s="1692">
        <f>E29*F29</f>
        <v>8154644</v>
      </c>
      <c r="H29" s="1130"/>
      <c r="I29" s="1130" t="s">
        <v>704</v>
      </c>
      <c r="J29" s="750"/>
      <c r="K29" s="750"/>
      <c r="L29" s="750"/>
      <c r="M29" s="750"/>
      <c r="N29" s="750"/>
      <c r="O29" s="750"/>
      <c r="P29" s="750"/>
      <c r="Q29" s="750"/>
    </row>
    <row r="30" spans="1:17">
      <c r="A30" s="53"/>
      <c r="B30" s="53"/>
      <c r="C30" s="53"/>
      <c r="D30" s="737"/>
      <c r="E30" s="643"/>
      <c r="F30" s="1183"/>
      <c r="G30" s="748"/>
      <c r="H30" s="750"/>
      <c r="I30" s="750"/>
      <c r="J30" s="750"/>
      <c r="K30" s="750"/>
      <c r="L30" s="750"/>
      <c r="M30" s="750"/>
      <c r="N30" s="750"/>
      <c r="O30" s="750"/>
      <c r="P30" s="750"/>
      <c r="Q30" s="750"/>
    </row>
    <row r="31" spans="1:17">
      <c r="A31" s="2082"/>
      <c r="B31" s="2082"/>
      <c r="C31" s="2082"/>
      <c r="D31" s="2082"/>
      <c r="E31" s="2084"/>
      <c r="F31" s="2087"/>
      <c r="G31" s="2084"/>
      <c r="H31" s="2084"/>
      <c r="I31" s="2084"/>
      <c r="J31" s="750"/>
      <c r="K31" s="750"/>
      <c r="L31" s="750"/>
      <c r="M31" s="750"/>
      <c r="N31" s="750"/>
      <c r="O31" s="750"/>
      <c r="P31" s="750"/>
      <c r="Q31" s="750"/>
    </row>
    <row r="32" spans="1:17">
      <c r="A32" s="53">
        <v>8</v>
      </c>
      <c r="B32" s="750"/>
      <c r="C32" s="750"/>
      <c r="D32" s="1131" t="s">
        <v>705</v>
      </c>
      <c r="E32" s="748">
        <f>SUM(E23:E30)</f>
        <v>-158154535</v>
      </c>
      <c r="F32" s="1183">
        <v>1</v>
      </c>
      <c r="G32" s="748">
        <f>SUM(G23:G30)</f>
        <v>-158154535</v>
      </c>
      <c r="H32" s="748"/>
      <c r="I32" s="748"/>
      <c r="J32" s="750"/>
      <c r="K32" s="750"/>
      <c r="L32" s="750"/>
      <c r="M32" s="750"/>
      <c r="N32" s="750"/>
      <c r="O32" s="750"/>
      <c r="P32" s="750"/>
      <c r="Q32" s="750"/>
    </row>
    <row r="33" spans="1:17">
      <c r="A33" s="750"/>
      <c r="B33" s="750"/>
      <c r="C33" s="750"/>
      <c r="D33" s="750"/>
      <c r="E33" s="748"/>
      <c r="F33" s="747"/>
      <c r="G33" s="748"/>
      <c r="H33" s="748"/>
      <c r="I33" s="748"/>
      <c r="J33" s="750"/>
      <c r="K33" s="750"/>
      <c r="L33" s="750"/>
      <c r="M33" s="750"/>
      <c r="N33" s="750"/>
      <c r="O33" s="750"/>
      <c r="P33" s="750"/>
      <c r="Q33" s="750"/>
    </row>
    <row r="34" spans="1:17">
      <c r="A34" s="2082"/>
      <c r="B34" s="2082"/>
      <c r="C34" s="2082"/>
      <c r="D34" s="2082"/>
      <c r="E34" s="2084"/>
      <c r="F34" s="2087"/>
      <c r="G34" s="2084"/>
      <c r="H34" s="2084"/>
      <c r="I34" s="2084"/>
      <c r="J34" s="750"/>
      <c r="K34" s="750"/>
      <c r="L34" s="750"/>
      <c r="M34" s="750"/>
      <c r="N34" s="750"/>
      <c r="O34" s="750"/>
      <c r="P34" s="750"/>
      <c r="Q34" s="750"/>
    </row>
    <row r="35" spans="1:17">
      <c r="A35" s="53"/>
      <c r="B35" s="53"/>
      <c r="C35" s="1166"/>
      <c r="D35" s="750"/>
      <c r="E35" s="30"/>
      <c r="F35" s="1149"/>
      <c r="G35" s="748"/>
      <c r="H35" s="750"/>
      <c r="I35" s="750"/>
      <c r="J35" s="750"/>
      <c r="K35" s="750"/>
      <c r="L35" s="750"/>
      <c r="M35" s="750"/>
      <c r="N35" s="750"/>
      <c r="O35" s="750"/>
      <c r="P35" s="750"/>
      <c r="Q35" s="750"/>
    </row>
    <row r="36" spans="1:17">
      <c r="A36" s="53"/>
      <c r="B36" s="53"/>
      <c r="C36" s="750"/>
      <c r="D36" s="737"/>
      <c r="E36" s="30"/>
      <c r="F36" s="1149"/>
      <c r="G36" s="748"/>
      <c r="H36" s="750"/>
      <c r="I36" s="750"/>
      <c r="J36" s="750"/>
      <c r="K36" s="750"/>
      <c r="L36" s="750"/>
      <c r="M36" s="750"/>
      <c r="N36" s="750"/>
      <c r="O36" s="750"/>
      <c r="P36" s="750"/>
      <c r="Q36" s="750"/>
    </row>
    <row r="37" spans="1:17">
      <c r="A37" s="53"/>
      <c r="B37" s="53"/>
      <c r="C37" s="750"/>
      <c r="D37" s="750"/>
      <c r="E37" s="30"/>
      <c r="F37" s="1149"/>
      <c r="G37" s="748"/>
      <c r="H37" s="750"/>
      <c r="I37" s="750"/>
      <c r="J37" s="750"/>
      <c r="K37" s="750"/>
      <c r="L37" s="750"/>
      <c r="M37" s="750"/>
      <c r="N37" s="750"/>
      <c r="O37" s="750"/>
      <c r="P37" s="750"/>
      <c r="Q37" s="750"/>
    </row>
    <row r="38" spans="1:17">
      <c r="A38" s="53"/>
      <c r="B38" s="53"/>
      <c r="C38" s="750"/>
      <c r="D38" s="750"/>
      <c r="E38" s="30"/>
      <c r="F38" s="1149"/>
      <c r="G38" s="748"/>
      <c r="H38" s="750"/>
      <c r="I38" s="750"/>
      <c r="J38" s="750"/>
      <c r="K38" s="750"/>
      <c r="L38" s="750"/>
      <c r="M38" s="750"/>
      <c r="N38" s="750"/>
      <c r="O38" s="750"/>
      <c r="P38" s="750"/>
      <c r="Q38" s="750"/>
    </row>
    <row r="39" spans="1:17">
      <c r="A39" s="53"/>
      <c r="B39" s="53"/>
      <c r="C39" s="750"/>
      <c r="D39" s="750"/>
      <c r="E39" s="30"/>
      <c r="F39" s="1149"/>
      <c r="G39" s="748"/>
      <c r="H39" s="750"/>
      <c r="I39" s="750"/>
      <c r="J39" s="750"/>
      <c r="K39" s="750"/>
      <c r="L39" s="750"/>
      <c r="M39" s="750"/>
      <c r="N39" s="750"/>
      <c r="O39" s="750"/>
      <c r="P39" s="750"/>
      <c r="Q39" s="750"/>
    </row>
    <row r="40" spans="1:17">
      <c r="A40" s="750"/>
      <c r="B40" s="750"/>
      <c r="C40" s="750"/>
      <c r="D40" s="750"/>
      <c r="E40" s="750"/>
      <c r="F40" s="750"/>
      <c r="G40" s="750"/>
      <c r="H40" s="750"/>
      <c r="I40" s="750"/>
      <c r="J40" s="750"/>
      <c r="K40" s="750"/>
      <c r="L40" s="750"/>
      <c r="M40" s="750"/>
      <c r="N40" s="750"/>
      <c r="O40" s="750"/>
      <c r="P40" s="750"/>
      <c r="Q40" s="750"/>
    </row>
    <row r="41" spans="1:17">
      <c r="A41" s="53"/>
      <c r="B41" s="750"/>
      <c r="C41" s="750"/>
      <c r="D41" s="750"/>
      <c r="E41" s="748"/>
      <c r="F41" s="750"/>
      <c r="G41" s="748"/>
      <c r="H41" s="750"/>
      <c r="I41" s="750"/>
      <c r="J41" s="750"/>
      <c r="K41" s="750"/>
      <c r="L41" s="750"/>
      <c r="M41" s="750"/>
      <c r="N41" s="750"/>
      <c r="O41" s="750"/>
      <c r="P41" s="750"/>
      <c r="Q41" s="750"/>
    </row>
    <row r="42" spans="1:17">
      <c r="A42" s="750"/>
      <c r="B42" s="750"/>
      <c r="C42" s="750"/>
      <c r="D42" s="750"/>
      <c r="E42" s="750"/>
      <c r="F42" s="750"/>
      <c r="G42" s="750"/>
      <c r="H42" s="750"/>
      <c r="I42" s="750"/>
      <c r="J42" s="750"/>
      <c r="K42" s="750"/>
      <c r="L42" s="750"/>
      <c r="M42" s="750"/>
      <c r="N42" s="750"/>
      <c r="O42" s="750"/>
      <c r="P42" s="750"/>
      <c r="Q42" s="750"/>
    </row>
    <row r="43" spans="1:17">
      <c r="A43" s="59" t="str">
        <f>COMPANY</f>
        <v>DUKE ENERGY KENTUCKY, INC.</v>
      </c>
      <c r="B43" s="59"/>
      <c r="C43" s="59"/>
      <c r="D43" s="59"/>
      <c r="E43" s="59"/>
      <c r="F43" s="59"/>
      <c r="G43" s="59"/>
      <c r="H43" s="59"/>
      <c r="I43" s="59"/>
      <c r="J43" s="750"/>
      <c r="K43" s="750"/>
      <c r="L43" s="750"/>
      <c r="M43" s="750"/>
      <c r="N43" s="750"/>
      <c r="O43" s="750"/>
      <c r="P43" s="750"/>
      <c r="Q43" s="750"/>
    </row>
    <row r="44" spans="1:17">
      <c r="A44" s="59" t="str">
        <f>CASE</f>
        <v>CASE NO. 2024-00354</v>
      </c>
      <c r="B44" s="59"/>
      <c r="C44" s="59"/>
      <c r="D44" s="59"/>
      <c r="E44" s="59"/>
      <c r="F44" s="59"/>
      <c r="G44" s="59"/>
      <c r="H44" s="59"/>
      <c r="I44" s="59"/>
      <c r="J44" s="750"/>
      <c r="K44" s="750"/>
      <c r="L44" s="750"/>
      <c r="M44" s="750"/>
      <c r="N44" s="750"/>
      <c r="O44" s="750"/>
      <c r="P44" s="750"/>
      <c r="Q44" s="750"/>
    </row>
    <row r="45" spans="1:17">
      <c r="A45" s="59" t="s">
        <v>692</v>
      </c>
      <c r="B45" s="59"/>
      <c r="C45" s="59"/>
      <c r="D45" s="59"/>
      <c r="E45" s="59"/>
      <c r="F45" s="59"/>
      <c r="G45" s="59"/>
      <c r="H45" s="59"/>
      <c r="I45" s="59"/>
      <c r="J45" s="750"/>
      <c r="K45" s="750"/>
      <c r="L45" s="750"/>
      <c r="M45" s="750"/>
      <c r="N45" s="750"/>
      <c r="O45" s="750"/>
      <c r="P45" s="750"/>
      <c r="Q45" s="750"/>
    </row>
    <row r="46" spans="1:17">
      <c r="A46" s="47" t="str">
        <f>"AS OF " &amp;RIGHT(Forecast,(LEN(Forecast)-16))</f>
        <v>AS OF JUNE 30, 2026</v>
      </c>
      <c r="B46" s="47"/>
      <c r="C46" s="47"/>
      <c r="D46" s="47"/>
      <c r="E46" s="47"/>
      <c r="F46" s="47"/>
      <c r="G46" s="47"/>
      <c r="H46" s="47"/>
      <c r="I46" s="47"/>
      <c r="J46" s="750"/>
      <c r="K46" s="750"/>
      <c r="L46" s="750"/>
      <c r="M46" s="750"/>
      <c r="N46" s="750"/>
      <c r="O46" s="750"/>
      <c r="P46" s="750"/>
      <c r="Q46" s="750"/>
    </row>
    <row r="47" spans="1:17">
      <c r="A47" s="59"/>
      <c r="B47" s="59"/>
      <c r="C47" s="59"/>
      <c r="D47" s="59"/>
      <c r="E47" s="59"/>
      <c r="F47" s="59"/>
      <c r="G47" s="59"/>
      <c r="H47" s="750"/>
      <c r="I47" s="750"/>
      <c r="J47" s="750"/>
      <c r="K47" s="750"/>
      <c r="L47" s="750"/>
      <c r="M47" s="750"/>
      <c r="N47" s="750"/>
      <c r="O47" s="750"/>
      <c r="P47" s="750"/>
      <c r="Q47" s="750"/>
    </row>
    <row r="48" spans="1:17">
      <c r="A48" s="59"/>
      <c r="B48" s="59"/>
      <c r="C48" s="59"/>
      <c r="D48" s="59"/>
      <c r="E48" s="59"/>
      <c r="F48" s="59"/>
      <c r="G48" s="59"/>
      <c r="H48" s="59"/>
      <c r="I48" s="59"/>
      <c r="J48" s="750"/>
      <c r="K48" s="750"/>
      <c r="L48" s="750"/>
      <c r="M48" s="750"/>
      <c r="N48" s="750"/>
      <c r="O48" s="750"/>
      <c r="P48" s="750"/>
      <c r="Q48" s="750"/>
    </row>
    <row r="49" spans="1:17">
      <c r="A49" s="59"/>
      <c r="B49" s="59"/>
      <c r="C49" s="59"/>
      <c r="D49" s="59"/>
      <c r="E49" s="59"/>
      <c r="F49" s="59"/>
      <c r="G49" s="59"/>
      <c r="H49" s="750"/>
      <c r="I49" s="750"/>
      <c r="J49" s="750"/>
      <c r="K49" s="750"/>
      <c r="L49" s="750"/>
      <c r="M49" s="750"/>
      <c r="N49" s="750"/>
      <c r="O49" s="750"/>
      <c r="P49" s="750"/>
      <c r="Q49" s="750"/>
    </row>
    <row r="50" spans="1:17">
      <c r="A50" s="59"/>
      <c r="B50" s="59"/>
      <c r="C50" s="59"/>
      <c r="D50" s="59"/>
      <c r="E50" s="59"/>
      <c r="F50" s="59"/>
      <c r="G50" s="59"/>
      <c r="H50" s="750"/>
      <c r="I50" s="750"/>
      <c r="J50" s="750"/>
      <c r="K50" s="750"/>
      <c r="L50" s="750"/>
      <c r="M50" s="750"/>
      <c r="N50" s="750"/>
      <c r="O50" s="750"/>
      <c r="P50" s="750"/>
      <c r="Q50" s="750"/>
    </row>
    <row r="51" spans="1:17">
      <c r="A51" s="737" t="str">
        <f>DataF</f>
        <v>DATA:  BASE PERIOD  "X" FORECASTED PERIOD</v>
      </c>
      <c r="B51" s="750"/>
      <c r="C51" s="750"/>
      <c r="D51" s="750"/>
      <c r="E51" s="750"/>
      <c r="F51" s="750"/>
      <c r="G51" s="750"/>
      <c r="H51" s="737" t="s">
        <v>693</v>
      </c>
      <c r="I51" s="750"/>
      <c r="J51" s="750"/>
      <c r="K51" s="750"/>
      <c r="L51" s="750"/>
      <c r="M51" s="750"/>
      <c r="N51" s="750"/>
      <c r="O51" s="750"/>
      <c r="P51" s="750"/>
      <c r="Q51" s="750"/>
    </row>
    <row r="52" spans="1:17">
      <c r="A52" s="737" t="str">
        <f>Type</f>
        <v xml:space="preserve">TYPE OF FILING:  "X" ORIGINAL   UPDATED    REVISED  </v>
      </c>
      <c r="B52" s="750"/>
      <c r="C52" s="750"/>
      <c r="D52" s="750"/>
      <c r="E52" s="750"/>
      <c r="F52" s="750"/>
      <c r="G52" s="750"/>
      <c r="H52" s="737" t="s">
        <v>590</v>
      </c>
      <c r="I52" s="750"/>
      <c r="J52" s="750"/>
      <c r="K52" s="750"/>
      <c r="L52" s="750"/>
      <c r="M52" s="750"/>
      <c r="N52" s="750"/>
      <c r="O52" s="750"/>
      <c r="P52" s="750"/>
      <c r="Q52" s="750"/>
    </row>
    <row r="53" spans="1:17">
      <c r="A53" s="737" t="s">
        <v>694</v>
      </c>
      <c r="B53" s="750"/>
      <c r="C53" s="750"/>
      <c r="D53" s="750"/>
      <c r="E53" s="750"/>
      <c r="F53" s="750"/>
      <c r="G53" s="750"/>
      <c r="H53" s="750" t="s">
        <v>468</v>
      </c>
      <c r="I53" s="750"/>
      <c r="J53" s="750"/>
      <c r="K53" s="750"/>
      <c r="L53" s="750"/>
      <c r="M53" s="750"/>
      <c r="N53" s="750"/>
      <c r="O53" s="750"/>
      <c r="P53" s="750"/>
      <c r="Q53" s="750"/>
    </row>
    <row r="54" spans="1:17">
      <c r="A54" s="750"/>
      <c r="B54" s="750"/>
      <c r="C54" s="750"/>
      <c r="D54" s="750"/>
      <c r="E54" s="750"/>
      <c r="F54" s="750"/>
      <c r="G54" s="750"/>
      <c r="H54" s="750" t="str">
        <f>_WIT7</f>
        <v>G. S. CARPENTER / S. S. MITCHELL</v>
      </c>
      <c r="I54" s="750"/>
      <c r="J54" s="750"/>
      <c r="K54" s="750"/>
      <c r="L54" s="750"/>
      <c r="M54" s="750"/>
      <c r="N54" s="750"/>
      <c r="O54" s="750"/>
      <c r="P54" s="750"/>
      <c r="Q54" s="750"/>
    </row>
    <row r="55" spans="1:17">
      <c r="A55" s="750"/>
      <c r="B55" s="750"/>
      <c r="C55" s="750"/>
      <c r="D55" s="750"/>
      <c r="E55" s="750"/>
      <c r="F55" s="750"/>
      <c r="G55" s="750"/>
      <c r="H55" s="750"/>
      <c r="I55" s="750"/>
      <c r="J55" s="750"/>
      <c r="K55" s="750"/>
      <c r="L55" s="750"/>
      <c r="M55" s="750"/>
      <c r="N55" s="750"/>
      <c r="O55" s="750"/>
      <c r="P55" s="750"/>
      <c r="Q55" s="750"/>
    </row>
    <row r="56" spans="1:17">
      <c r="A56" s="750"/>
      <c r="B56" s="750"/>
      <c r="C56" s="750"/>
      <c r="D56" s="750"/>
      <c r="E56" s="750"/>
      <c r="F56" s="750"/>
      <c r="G56" s="750"/>
      <c r="H56" s="750"/>
      <c r="I56" s="750"/>
      <c r="J56" s="750"/>
      <c r="K56" s="750"/>
      <c r="L56" s="750"/>
      <c r="M56" s="750"/>
      <c r="N56" s="750"/>
      <c r="O56" s="750"/>
      <c r="P56" s="750"/>
      <c r="Q56" s="750"/>
    </row>
    <row r="57" spans="1:17">
      <c r="A57" s="750"/>
      <c r="B57" s="750"/>
      <c r="C57" s="750"/>
      <c r="D57" s="750"/>
      <c r="E57" s="750"/>
      <c r="F57" s="750"/>
      <c r="G57" s="750"/>
      <c r="H57" s="1443"/>
      <c r="I57" s="1443"/>
      <c r="J57" s="750"/>
      <c r="K57" s="750"/>
      <c r="L57" s="750"/>
      <c r="M57" s="750"/>
      <c r="N57" s="750"/>
      <c r="O57" s="750"/>
      <c r="P57" s="750"/>
      <c r="Q57" s="750"/>
    </row>
    <row r="58" spans="1:17">
      <c r="A58" s="2082"/>
      <c r="B58" s="2082"/>
      <c r="C58" s="2083"/>
      <c r="D58" s="2082"/>
      <c r="E58" s="2086" t="s">
        <v>591</v>
      </c>
      <c r="F58" s="2082"/>
      <c r="G58" s="2082"/>
      <c r="H58" s="750"/>
      <c r="I58" s="750"/>
      <c r="J58" s="750"/>
      <c r="K58" s="750"/>
      <c r="L58" s="750"/>
      <c r="M58" s="750"/>
      <c r="N58" s="750"/>
      <c r="O58" s="750"/>
      <c r="P58" s="750"/>
      <c r="Q58" s="750"/>
    </row>
    <row r="59" spans="1:17">
      <c r="A59" s="750"/>
      <c r="B59" s="53" t="s">
        <v>257</v>
      </c>
      <c r="C59" s="53" t="s">
        <v>605</v>
      </c>
      <c r="D59" s="750"/>
      <c r="E59" s="53" t="s">
        <v>592</v>
      </c>
      <c r="F59" s="750"/>
      <c r="G59" s="750"/>
      <c r="H59" s="750"/>
      <c r="I59" s="53" t="s">
        <v>695</v>
      </c>
      <c r="J59" s="750"/>
      <c r="K59" s="750"/>
      <c r="L59" s="750"/>
      <c r="M59" s="750"/>
      <c r="N59" s="750"/>
      <c r="O59" s="750"/>
      <c r="P59" s="750"/>
      <c r="Q59" s="750"/>
    </row>
    <row r="60" spans="1:17">
      <c r="A60" s="53" t="s">
        <v>573</v>
      </c>
      <c r="B60" s="53" t="s">
        <v>606</v>
      </c>
      <c r="C60" s="53" t="s">
        <v>606</v>
      </c>
      <c r="D60" s="737"/>
      <c r="E60" s="53" t="s">
        <v>417</v>
      </c>
      <c r="F60" s="53" t="s">
        <v>574</v>
      </c>
      <c r="G60" s="53" t="s">
        <v>574</v>
      </c>
      <c r="H60" s="53" t="s">
        <v>696</v>
      </c>
      <c r="I60" s="53" t="s">
        <v>697</v>
      </c>
      <c r="J60" s="750"/>
      <c r="K60" s="750"/>
      <c r="L60" s="750"/>
      <c r="M60" s="750"/>
      <c r="N60" s="750"/>
      <c r="O60" s="750"/>
      <c r="P60" s="750"/>
      <c r="Q60" s="750"/>
    </row>
    <row r="61" spans="1:17">
      <c r="A61" s="53" t="s">
        <v>576</v>
      </c>
      <c r="B61" s="53" t="s">
        <v>576</v>
      </c>
      <c r="C61" s="53" t="s">
        <v>576</v>
      </c>
      <c r="D61" s="53" t="s">
        <v>607</v>
      </c>
      <c r="E61" s="53" t="s">
        <v>418</v>
      </c>
      <c r="F61" s="53" t="s">
        <v>420</v>
      </c>
      <c r="G61" s="53" t="s">
        <v>698</v>
      </c>
      <c r="H61" s="53" t="s">
        <v>699</v>
      </c>
      <c r="I61" s="53" t="s">
        <v>698</v>
      </c>
      <c r="J61" s="750"/>
      <c r="K61" s="750"/>
      <c r="L61" s="750"/>
      <c r="M61" s="750"/>
      <c r="N61" s="750"/>
      <c r="O61" s="750"/>
      <c r="P61" s="750"/>
      <c r="Q61" s="750"/>
    </row>
    <row r="62" spans="1:17">
      <c r="A62" s="750"/>
      <c r="B62" s="750"/>
      <c r="C62" s="1449"/>
      <c r="D62" s="750"/>
      <c r="E62" s="1445"/>
      <c r="F62" s="750"/>
      <c r="G62" s="1443"/>
      <c r="H62" s="1443"/>
      <c r="I62" s="1443"/>
      <c r="J62" s="750"/>
      <c r="K62" s="750"/>
      <c r="L62" s="750"/>
      <c r="M62" s="750"/>
      <c r="N62" s="750"/>
      <c r="O62" s="750"/>
      <c r="P62" s="750"/>
      <c r="Q62" s="750"/>
    </row>
    <row r="63" spans="1:17">
      <c r="A63" s="2082"/>
      <c r="B63" s="2082"/>
      <c r="C63" s="52"/>
      <c r="D63" s="2082"/>
      <c r="E63" s="1154" t="s">
        <v>580</v>
      </c>
      <c r="F63" s="2082"/>
      <c r="G63" s="1154" t="s">
        <v>580</v>
      </c>
      <c r="H63" s="53"/>
      <c r="I63" s="750"/>
      <c r="J63" s="750"/>
      <c r="K63" s="750"/>
      <c r="L63" s="750"/>
      <c r="M63" s="750"/>
      <c r="N63" s="750"/>
      <c r="O63" s="750"/>
      <c r="P63" s="750"/>
      <c r="Q63" s="750"/>
    </row>
    <row r="64" spans="1:17">
      <c r="A64" s="53"/>
      <c r="B64" s="32"/>
      <c r="C64" s="750"/>
      <c r="D64" s="750"/>
      <c r="E64" s="750"/>
      <c r="F64" s="750"/>
      <c r="G64" s="750"/>
      <c r="H64" s="750"/>
      <c r="I64" s="750"/>
      <c r="J64" s="750"/>
      <c r="K64" s="750"/>
      <c r="L64" s="750"/>
      <c r="M64" s="750"/>
      <c r="N64" s="750"/>
      <c r="O64" s="750"/>
      <c r="P64" s="750"/>
      <c r="Q64" s="750"/>
    </row>
    <row r="65" spans="1:17">
      <c r="A65" s="33">
        <v>1</v>
      </c>
      <c r="B65" s="33">
        <v>317</v>
      </c>
      <c r="C65" s="33">
        <v>3170</v>
      </c>
      <c r="D65" s="32" t="s">
        <v>615</v>
      </c>
      <c r="E65" s="1185">
        <f>-'SCH B-2.3'!L287</f>
        <v>-89027761</v>
      </c>
      <c r="F65" s="1183">
        <v>1</v>
      </c>
      <c r="G65" s="1184">
        <f t="shared" ref="G65:G69" si="1">E65*F65</f>
        <v>-89027761</v>
      </c>
      <c r="H65" s="1184"/>
      <c r="I65" s="1130" t="s">
        <v>700</v>
      </c>
      <c r="J65" s="750"/>
      <c r="K65" s="750"/>
      <c r="L65" s="750"/>
      <c r="M65" s="750"/>
      <c r="N65" s="750"/>
      <c r="O65" s="750"/>
      <c r="P65" s="750"/>
      <c r="Q65" s="750"/>
    </row>
    <row r="66" spans="1:17">
      <c r="A66" s="33">
        <v>2</v>
      </c>
      <c r="B66" s="33">
        <v>347</v>
      </c>
      <c r="C66" s="33">
        <v>3476</v>
      </c>
      <c r="D66" s="32" t="s">
        <v>630</v>
      </c>
      <c r="E66" s="1185">
        <f>-'SCH B-2.3'!L327</f>
        <v>-442832</v>
      </c>
      <c r="F66" s="1183">
        <v>1</v>
      </c>
      <c r="G66" s="1184">
        <f t="shared" si="1"/>
        <v>-442832</v>
      </c>
      <c r="H66" s="1184"/>
      <c r="I66" s="1130" t="s">
        <v>700</v>
      </c>
      <c r="J66" s="750"/>
      <c r="K66" s="750"/>
      <c r="L66" s="750"/>
      <c r="M66" s="750"/>
      <c r="N66" s="750"/>
      <c r="O66" s="750"/>
      <c r="P66" s="750"/>
      <c r="Q66" s="750"/>
    </row>
    <row r="67" spans="1:17">
      <c r="A67" s="53">
        <v>3</v>
      </c>
      <c r="B67" s="53">
        <v>399</v>
      </c>
      <c r="C67" s="53">
        <v>3990</v>
      </c>
      <c r="D67" s="737" t="s">
        <v>679</v>
      </c>
      <c r="E67" s="1185">
        <f>-'SCH B-2.3'!L498</f>
        <v>-1486982</v>
      </c>
      <c r="F67" s="1183">
        <v>1</v>
      </c>
      <c r="G67" s="1184">
        <f t="shared" si="1"/>
        <v>-1486982</v>
      </c>
      <c r="H67" s="1184"/>
      <c r="I67" s="1130" t="s">
        <v>700</v>
      </c>
      <c r="J67" s="750"/>
      <c r="K67" s="750"/>
      <c r="L67" s="750"/>
      <c r="M67" s="750"/>
      <c r="N67" s="750"/>
      <c r="O67" s="750"/>
      <c r="P67" s="750"/>
      <c r="Q67" s="750"/>
    </row>
    <row r="68" spans="1:17">
      <c r="A68" s="33">
        <v>4</v>
      </c>
      <c r="B68" s="53">
        <v>373</v>
      </c>
      <c r="C68" s="53">
        <v>3733</v>
      </c>
      <c r="D68" s="737" t="s">
        <v>660</v>
      </c>
      <c r="E68" s="30">
        <f>-'SCH B-2.3'!L417</f>
        <v>-1799619</v>
      </c>
      <c r="F68" s="1183">
        <v>1</v>
      </c>
      <c r="G68" s="1184">
        <f t="shared" si="1"/>
        <v>-1799619</v>
      </c>
      <c r="H68" s="750"/>
      <c r="I68" s="1130" t="s">
        <v>701</v>
      </c>
      <c r="J68" s="750"/>
      <c r="K68" s="750"/>
      <c r="L68" s="750"/>
      <c r="M68" s="750"/>
      <c r="N68" s="750"/>
      <c r="O68" s="750"/>
      <c r="P68" s="750"/>
      <c r="Q68" s="750"/>
    </row>
    <row r="69" spans="1:17">
      <c r="A69" s="33">
        <v>5</v>
      </c>
      <c r="B69" s="53">
        <v>373</v>
      </c>
      <c r="C69" s="53">
        <v>3734</v>
      </c>
      <c r="D69" s="737" t="s">
        <v>661</v>
      </c>
      <c r="E69" s="30">
        <f>-'SCH B-2.3'!L418</f>
        <v>-6478281</v>
      </c>
      <c r="F69" s="1183">
        <v>1</v>
      </c>
      <c r="G69" s="1184">
        <f t="shared" si="1"/>
        <v>-6478281</v>
      </c>
      <c r="H69" s="750"/>
      <c r="I69" s="1130" t="s">
        <v>701</v>
      </c>
      <c r="J69" s="750"/>
      <c r="K69" s="750"/>
      <c r="L69" s="750"/>
      <c r="M69" s="750"/>
      <c r="N69" s="750"/>
      <c r="O69" s="750"/>
      <c r="P69" s="750"/>
      <c r="Q69" s="750"/>
    </row>
    <row r="70" spans="1:17">
      <c r="A70" s="53">
        <v>6</v>
      </c>
      <c r="B70" s="10">
        <v>311</v>
      </c>
      <c r="C70" s="10">
        <v>3110</v>
      </c>
      <c r="D70" s="40" t="s">
        <v>702</v>
      </c>
      <c r="E70" s="2281">
        <f>-67432275</f>
        <v>-67432275</v>
      </c>
      <c r="F70" s="1183">
        <v>1</v>
      </c>
      <c r="G70" s="1184">
        <f>E70*F70</f>
        <v>-67432275</v>
      </c>
      <c r="H70" s="1993"/>
      <c r="I70" s="1130" t="s">
        <v>703</v>
      </c>
      <c r="J70" s="750"/>
      <c r="K70" s="750"/>
      <c r="L70" s="750"/>
      <c r="M70" s="750"/>
      <c r="N70" s="750"/>
      <c r="O70" s="750"/>
      <c r="P70" s="750"/>
      <c r="Q70" s="750"/>
    </row>
    <row r="71" spans="1:17">
      <c r="A71" s="33">
        <v>7</v>
      </c>
      <c r="B71" s="53"/>
      <c r="C71" s="53"/>
      <c r="D71" s="737" t="s">
        <v>616</v>
      </c>
      <c r="E71" s="643">
        <v>7695137</v>
      </c>
      <c r="F71" s="1183">
        <v>1</v>
      </c>
      <c r="G71" s="1184">
        <f>E71*F71</f>
        <v>7695137</v>
      </c>
      <c r="H71" s="750"/>
      <c r="I71" s="1130" t="s">
        <v>704</v>
      </c>
      <c r="J71" s="750"/>
      <c r="K71" s="750"/>
      <c r="L71" s="750"/>
      <c r="M71" s="750"/>
      <c r="N71" s="750"/>
      <c r="O71" s="750"/>
      <c r="P71" s="750"/>
      <c r="Q71" s="750"/>
    </row>
    <row r="72" spans="1:17">
      <c r="A72" s="53"/>
      <c r="B72" s="53"/>
      <c r="C72" s="53"/>
      <c r="D72" s="737"/>
      <c r="E72" s="643"/>
      <c r="F72" s="1183"/>
      <c r="G72" s="1184"/>
      <c r="H72" s="750"/>
      <c r="I72" s="750"/>
      <c r="J72" s="750"/>
      <c r="K72" s="750"/>
      <c r="L72" s="750"/>
      <c r="M72" s="750"/>
      <c r="N72" s="750"/>
      <c r="O72" s="750"/>
      <c r="P72" s="750"/>
      <c r="Q72" s="750"/>
    </row>
    <row r="73" spans="1:17">
      <c r="A73" s="2082"/>
      <c r="B73" s="2082"/>
      <c r="C73" s="2082"/>
      <c r="D73" s="2082"/>
      <c r="E73" s="2084"/>
      <c r="F73" s="2087"/>
      <c r="G73" s="2084"/>
      <c r="H73" s="2084"/>
      <c r="I73" s="2084"/>
      <c r="J73" s="750"/>
      <c r="K73" s="750"/>
      <c r="L73" s="750"/>
      <c r="M73" s="750"/>
      <c r="N73" s="750"/>
      <c r="O73" s="750"/>
      <c r="P73" s="750"/>
      <c r="Q73" s="750"/>
    </row>
    <row r="74" spans="1:17">
      <c r="A74" s="53">
        <v>8</v>
      </c>
      <c r="B74" s="750"/>
      <c r="C74" s="750"/>
      <c r="D74" s="1131" t="s">
        <v>705</v>
      </c>
      <c r="E74" s="748">
        <f>SUM(E65:E72)</f>
        <v>-158972613</v>
      </c>
      <c r="F74" s="1183">
        <v>1</v>
      </c>
      <c r="G74" s="748">
        <f>SUM(G65:G72)</f>
        <v>-158972613</v>
      </c>
      <c r="H74" s="748"/>
      <c r="I74" s="748"/>
      <c r="J74" s="750"/>
      <c r="K74" s="750"/>
      <c r="L74" s="750"/>
      <c r="M74" s="750"/>
      <c r="N74" s="750"/>
      <c r="O74" s="750"/>
      <c r="P74" s="750"/>
      <c r="Q74" s="750"/>
    </row>
    <row r="75" spans="1:17">
      <c r="A75" s="750"/>
      <c r="B75" s="750"/>
      <c r="C75" s="750"/>
      <c r="D75" s="750"/>
      <c r="E75" s="748"/>
      <c r="F75" s="747"/>
      <c r="G75" s="748"/>
      <c r="H75" s="748"/>
      <c r="I75" s="748"/>
      <c r="J75" s="750"/>
      <c r="K75" s="750"/>
      <c r="L75" s="750"/>
      <c r="M75" s="750"/>
      <c r="N75" s="750"/>
      <c r="O75" s="750"/>
      <c r="P75" s="750"/>
      <c r="Q75" s="750"/>
    </row>
    <row r="76" spans="1:17">
      <c r="A76" s="2082"/>
      <c r="B76" s="2082"/>
      <c r="C76" s="2082"/>
      <c r="D76" s="2082"/>
      <c r="E76" s="2084"/>
      <c r="F76" s="2087"/>
      <c r="G76" s="2084"/>
      <c r="H76" s="2084"/>
      <c r="I76" s="2084"/>
      <c r="J76" s="750"/>
      <c r="K76" s="750"/>
      <c r="L76" s="750"/>
      <c r="M76" s="750"/>
      <c r="N76" s="750"/>
      <c r="O76" s="750"/>
      <c r="P76" s="750"/>
      <c r="Q76" s="750"/>
    </row>
    <row r="77" spans="1:17">
      <c r="A77" s="53"/>
      <c r="B77" s="53"/>
      <c r="C77" s="1166"/>
      <c r="D77" s="750"/>
      <c r="E77" s="30"/>
      <c r="F77" s="1149"/>
      <c r="G77" s="748"/>
      <c r="H77" s="750"/>
      <c r="I77" s="750"/>
      <c r="J77" s="750"/>
      <c r="K77" s="750"/>
      <c r="L77" s="750"/>
      <c r="M77" s="750"/>
      <c r="N77" s="750"/>
      <c r="O77" s="750"/>
      <c r="P77" s="750"/>
      <c r="Q77" s="57"/>
    </row>
    <row r="78" spans="1:17">
      <c r="A78" s="53"/>
      <c r="B78" s="53"/>
      <c r="C78" s="750"/>
      <c r="D78" s="737"/>
      <c r="E78" s="30"/>
      <c r="F78" s="1149"/>
      <c r="G78" s="748"/>
      <c r="H78" s="750"/>
      <c r="I78" s="750"/>
      <c r="J78" s="750"/>
      <c r="K78" s="750"/>
      <c r="L78" s="750"/>
      <c r="M78" s="750"/>
      <c r="N78" s="750"/>
      <c r="O78" s="750"/>
      <c r="P78" s="750"/>
      <c r="Q78" s="750"/>
    </row>
    <row r="79" spans="1:17">
      <c r="A79" s="53"/>
      <c r="B79" s="53"/>
      <c r="C79" s="750"/>
      <c r="D79" s="750"/>
      <c r="E79" s="30"/>
      <c r="F79" s="1149"/>
      <c r="G79" s="748"/>
      <c r="H79" s="750"/>
      <c r="I79" s="750"/>
      <c r="J79" s="750"/>
      <c r="K79" s="750"/>
      <c r="L79" s="750"/>
      <c r="M79" s="750"/>
      <c r="N79" s="750"/>
      <c r="O79" s="750"/>
      <c r="P79" s="750"/>
      <c r="Q79" s="750"/>
    </row>
    <row r="80" spans="1:17">
      <c r="A80" s="53"/>
      <c r="B80" s="53"/>
      <c r="C80" s="750"/>
      <c r="D80" s="750"/>
      <c r="E80" s="30"/>
      <c r="F80" s="1149"/>
      <c r="G80" s="748"/>
      <c r="H80" s="750"/>
      <c r="I80" s="750"/>
      <c r="J80" s="750"/>
      <c r="K80" s="750"/>
      <c r="L80" s="750"/>
      <c r="M80" s="750"/>
      <c r="N80" s="750"/>
      <c r="O80" s="750"/>
      <c r="P80" s="750"/>
      <c r="Q80" s="750"/>
    </row>
    <row r="81" spans="1:17">
      <c r="A81" s="53"/>
      <c r="B81" s="53"/>
      <c r="C81" s="750"/>
      <c r="D81" s="750"/>
      <c r="E81" s="30"/>
      <c r="F81" s="1149"/>
      <c r="G81" s="748"/>
      <c r="H81" s="750"/>
      <c r="I81" s="750"/>
      <c r="J81" s="750"/>
      <c r="K81" s="750"/>
      <c r="L81" s="750"/>
      <c r="M81" s="750"/>
      <c r="N81" s="750"/>
      <c r="O81" s="750"/>
      <c r="P81" s="750"/>
      <c r="Q81" s="750"/>
    </row>
    <row r="82" spans="1:17">
      <c r="A82" s="750"/>
      <c r="B82" s="750"/>
      <c r="C82" s="750"/>
      <c r="D82" s="750"/>
      <c r="E82" s="750"/>
      <c r="F82" s="750"/>
      <c r="G82" s="750"/>
      <c r="H82" s="750"/>
      <c r="I82" s="750"/>
      <c r="J82" s="750"/>
      <c r="K82" s="750"/>
      <c r="L82" s="750"/>
      <c r="M82" s="750"/>
      <c r="N82" s="750"/>
      <c r="O82" s="750"/>
      <c r="P82" s="750"/>
      <c r="Q82" s="750"/>
    </row>
    <row r="83" spans="1:17">
      <c r="A83" s="53"/>
      <c r="B83" s="750"/>
      <c r="C83" s="750"/>
      <c r="D83" s="750"/>
      <c r="E83" s="748"/>
      <c r="F83" s="750"/>
      <c r="G83" s="748"/>
      <c r="H83" s="750"/>
      <c r="I83" s="750"/>
      <c r="J83" s="750"/>
      <c r="K83" s="750"/>
      <c r="L83" s="750"/>
      <c r="M83" s="750"/>
      <c r="N83" s="750"/>
      <c r="O83" s="750"/>
      <c r="P83" s="750"/>
      <c r="Q83" s="750"/>
    </row>
    <row r="84" spans="1:17">
      <c r="A84" s="750"/>
      <c r="B84" s="750"/>
      <c r="C84" s="750"/>
      <c r="D84" s="750"/>
      <c r="E84" s="750"/>
      <c r="F84" s="750"/>
      <c r="G84" s="750"/>
      <c r="H84" s="750"/>
      <c r="I84" s="750"/>
      <c r="J84" s="750"/>
      <c r="K84" s="750"/>
      <c r="L84" s="750"/>
      <c r="M84" s="750"/>
      <c r="N84" s="750"/>
      <c r="O84" s="750"/>
      <c r="P84" s="750"/>
      <c r="Q84" s="750"/>
    </row>
    <row r="85" spans="1:17">
      <c r="A85" s="53"/>
      <c r="B85" s="53"/>
      <c r="C85" s="53"/>
      <c r="D85" s="750"/>
      <c r="E85" s="30"/>
      <c r="F85" s="1149"/>
      <c r="G85" s="748"/>
      <c r="H85" s="750"/>
      <c r="I85" s="750"/>
      <c r="J85" s="750"/>
      <c r="K85" s="750"/>
      <c r="L85" s="750"/>
      <c r="M85" s="750"/>
      <c r="N85" s="750"/>
      <c r="O85" s="750"/>
      <c r="P85" s="750"/>
      <c r="Q85" s="750"/>
    </row>
    <row r="86" spans="1:17">
      <c r="A86" s="750"/>
      <c r="B86" s="53"/>
      <c r="C86" s="750"/>
      <c r="D86" s="750"/>
      <c r="E86" s="750"/>
      <c r="F86" s="750"/>
      <c r="G86" s="750"/>
      <c r="H86" s="750"/>
      <c r="I86" s="750"/>
      <c r="J86" s="750"/>
      <c r="K86" s="750"/>
      <c r="L86" s="750"/>
      <c r="M86" s="750"/>
      <c r="N86" s="750"/>
      <c r="O86" s="750"/>
      <c r="P86" s="750"/>
      <c r="Q86" s="750"/>
    </row>
    <row r="87" spans="1:17">
      <c r="A87" s="53"/>
      <c r="B87" s="750"/>
      <c r="C87" s="750"/>
      <c r="D87" s="750"/>
      <c r="E87" s="748"/>
      <c r="F87" s="750"/>
      <c r="G87" s="748"/>
      <c r="H87" s="748"/>
      <c r="I87" s="750"/>
      <c r="J87" s="750"/>
      <c r="K87" s="750"/>
      <c r="L87" s="750"/>
      <c r="M87" s="750"/>
      <c r="N87" s="750"/>
      <c r="O87" s="750"/>
      <c r="P87" s="750"/>
      <c r="Q87" s="750"/>
    </row>
    <row r="88" spans="1:17">
      <c r="A88" s="750"/>
      <c r="B88" s="750"/>
      <c r="C88" s="750"/>
      <c r="D88" s="750"/>
      <c r="E88" s="750"/>
      <c r="F88" s="750"/>
      <c r="G88" s="750"/>
      <c r="H88" s="750"/>
      <c r="I88" s="750"/>
      <c r="J88" s="750"/>
      <c r="K88" s="750"/>
      <c r="L88" s="750"/>
      <c r="M88" s="750"/>
      <c r="N88" s="750"/>
      <c r="O88" s="750"/>
      <c r="P88" s="750"/>
      <c r="Q88" s="750"/>
    </row>
    <row r="89" spans="1:17">
      <c r="A89" s="53"/>
      <c r="B89" s="750"/>
      <c r="C89" s="750"/>
      <c r="D89" s="750"/>
      <c r="E89" s="748"/>
      <c r="F89" s="750"/>
      <c r="G89" s="748"/>
      <c r="H89" s="748"/>
      <c r="I89" s="750"/>
      <c r="J89" s="750"/>
      <c r="K89" s="750"/>
      <c r="L89" s="750"/>
      <c r="M89" s="750"/>
      <c r="N89" s="750"/>
      <c r="O89" s="750"/>
      <c r="P89" s="750"/>
      <c r="Q89" s="750"/>
    </row>
    <row r="90" spans="1:17">
      <c r="A90" s="750"/>
      <c r="B90" s="750"/>
      <c r="C90" s="750"/>
      <c r="D90" s="750"/>
      <c r="E90" s="750"/>
      <c r="F90" s="750"/>
      <c r="G90" s="750"/>
      <c r="H90" s="750"/>
      <c r="I90" s="750"/>
      <c r="J90" s="750"/>
      <c r="K90" s="750"/>
      <c r="L90" s="750"/>
      <c r="M90" s="750"/>
      <c r="N90" s="750"/>
      <c r="O90" s="750"/>
      <c r="P90" s="750"/>
      <c r="Q90" s="750"/>
    </row>
    <row r="91" spans="1:17">
      <c r="A91" s="750"/>
      <c r="B91" s="750"/>
      <c r="C91" s="750"/>
      <c r="D91" s="750"/>
      <c r="E91" s="750"/>
      <c r="F91" s="750"/>
      <c r="G91" s="750"/>
      <c r="H91" s="750"/>
      <c r="I91" s="750"/>
      <c r="J91" s="750"/>
      <c r="K91" s="750"/>
      <c r="L91" s="750"/>
      <c r="M91" s="750"/>
      <c r="N91" s="750"/>
      <c r="O91" s="750"/>
      <c r="P91" s="750"/>
      <c r="Q91" s="750"/>
    </row>
    <row r="92" spans="1:17">
      <c r="A92" s="750"/>
      <c r="B92" s="750"/>
      <c r="C92" s="750"/>
      <c r="D92" s="750"/>
      <c r="E92" s="750"/>
      <c r="F92" s="750"/>
      <c r="G92" s="750"/>
      <c r="H92" s="750"/>
      <c r="I92" s="750"/>
      <c r="J92" s="750"/>
      <c r="K92" s="750"/>
      <c r="L92" s="750"/>
      <c r="M92" s="750"/>
      <c r="N92" s="750"/>
      <c r="O92" s="750"/>
      <c r="P92" s="750"/>
      <c r="Q92" s="750"/>
    </row>
    <row r="93" spans="1:17">
      <c r="A93" s="750"/>
      <c r="B93" s="750"/>
      <c r="C93" s="750"/>
      <c r="D93" s="750"/>
      <c r="E93" s="750"/>
      <c r="F93" s="750"/>
      <c r="G93" s="750"/>
      <c r="H93" s="750"/>
      <c r="I93" s="750"/>
      <c r="J93" s="750"/>
      <c r="K93" s="750"/>
      <c r="L93" s="750"/>
      <c r="M93" s="750"/>
      <c r="N93" s="750"/>
      <c r="O93" s="750"/>
      <c r="P93" s="750"/>
      <c r="Q93" s="750"/>
    </row>
    <row r="94" spans="1:17">
      <c r="A94" s="750"/>
      <c r="B94" s="750"/>
      <c r="C94" s="750"/>
      <c r="D94" s="750"/>
      <c r="E94" s="750"/>
      <c r="F94" s="750"/>
      <c r="G94" s="750"/>
      <c r="H94" s="750"/>
      <c r="I94" s="750"/>
      <c r="J94" s="750"/>
      <c r="K94" s="750"/>
      <c r="L94" s="750"/>
      <c r="M94" s="750"/>
      <c r="N94" s="750"/>
      <c r="O94" s="750"/>
      <c r="P94" s="750"/>
      <c r="Q94" s="750"/>
    </row>
    <row r="95" spans="1:17">
      <c r="A95" s="750"/>
      <c r="B95" s="750"/>
      <c r="C95" s="750"/>
      <c r="D95" s="750"/>
      <c r="E95" s="750"/>
      <c r="F95" s="750"/>
      <c r="G95" s="750"/>
      <c r="H95" s="750"/>
      <c r="I95" s="750"/>
      <c r="J95" s="750"/>
      <c r="K95" s="750"/>
      <c r="L95" s="750"/>
      <c r="M95" s="750"/>
      <c r="N95" s="750"/>
      <c r="O95" s="750"/>
      <c r="P95" s="750"/>
      <c r="Q95" s="750"/>
    </row>
    <row r="96" spans="1:17">
      <c r="A96" s="750"/>
      <c r="B96" s="750"/>
      <c r="C96" s="750"/>
      <c r="D96" s="750"/>
      <c r="E96" s="750"/>
      <c r="F96" s="750"/>
      <c r="G96" s="750"/>
      <c r="H96" s="750"/>
      <c r="I96" s="750"/>
      <c r="J96" s="750"/>
      <c r="K96" s="750"/>
      <c r="L96" s="750"/>
      <c r="M96" s="750"/>
      <c r="N96" s="750"/>
      <c r="O96" s="750"/>
      <c r="P96" s="750"/>
      <c r="Q96" s="750"/>
    </row>
    <row r="97" spans="1:17">
      <c r="A97" s="750"/>
      <c r="B97" s="750"/>
      <c r="C97" s="750"/>
      <c r="D97" s="750"/>
      <c r="E97" s="750"/>
      <c r="F97" s="750"/>
      <c r="G97" s="750"/>
      <c r="H97" s="750"/>
      <c r="I97" s="750"/>
      <c r="J97" s="750"/>
      <c r="K97" s="750"/>
      <c r="L97" s="750"/>
      <c r="M97" s="750"/>
      <c r="N97" s="750"/>
      <c r="O97" s="750"/>
      <c r="P97" s="750"/>
      <c r="Q97" s="750"/>
    </row>
    <row r="98" spans="1:17">
      <c r="A98" s="750"/>
      <c r="B98" s="750"/>
      <c r="C98" s="750"/>
      <c r="D98" s="750"/>
      <c r="E98" s="750"/>
      <c r="F98" s="750"/>
      <c r="G98" s="750"/>
      <c r="H98" s="750"/>
      <c r="I98" s="750"/>
      <c r="J98" s="750"/>
      <c r="K98" s="750"/>
      <c r="L98" s="750"/>
      <c r="M98" s="750"/>
      <c r="N98" s="750"/>
      <c r="O98" s="750"/>
      <c r="P98" s="750"/>
      <c r="Q98" s="750"/>
    </row>
    <row r="99" spans="1:17">
      <c r="A99" s="750"/>
      <c r="B99" s="750"/>
      <c r="C99" s="750"/>
      <c r="D99" s="750"/>
      <c r="E99" s="750"/>
      <c r="F99" s="750"/>
      <c r="G99" s="750"/>
      <c r="H99" s="750"/>
      <c r="I99" s="750"/>
      <c r="J99" s="750"/>
      <c r="K99" s="750"/>
      <c r="L99" s="750"/>
      <c r="M99" s="750"/>
      <c r="N99" s="750"/>
      <c r="O99" s="750"/>
      <c r="P99" s="750"/>
      <c r="Q99" s="750"/>
    </row>
  </sheetData>
  <hyperlinks>
    <hyperlink ref="A5" location="Sch_A" display="." xr:uid="{00000000-0004-0000-1000-000000000000}"/>
  </hyperlinks>
  <printOptions horizontalCentered="1"/>
  <pageMargins left="1" right="0.75" top="1" bottom="1" header="0.5" footer="0.5"/>
  <pageSetup scale="65" orientation="landscape" horizont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8">
    <tabColor theme="4" tint="0.39997558519241921"/>
    <pageSetUpPr fitToPage="1"/>
  </sheetPr>
  <dimension ref="A1:V514"/>
  <sheetViews>
    <sheetView workbookViewId="0"/>
  </sheetViews>
  <sheetFormatPr defaultColWidth="11.44140625" defaultRowHeight="13.2"/>
  <cols>
    <col min="1" max="1" width="7.5546875" customWidth="1"/>
    <col min="2" max="2" width="11.44140625" customWidth="1"/>
    <col min="3" max="3" width="12.5546875" customWidth="1"/>
    <col min="4" max="4" width="48.109375" customWidth="1"/>
    <col min="5" max="5" width="16.44140625" customWidth="1"/>
    <col min="6" max="6" width="14.44140625" customWidth="1"/>
    <col min="7" max="8" width="13.44140625" customWidth="1"/>
    <col min="9" max="9" width="20.5546875" customWidth="1"/>
    <col min="10" max="10" width="13.5546875" customWidth="1"/>
    <col min="11" max="11" width="18.6640625" customWidth="1"/>
    <col min="12" max="12" width="17.44140625" customWidth="1"/>
    <col min="13" max="13" width="15.5546875" bestFit="1" customWidth="1"/>
    <col min="14" max="14" width="20.5546875" bestFit="1" customWidth="1"/>
  </cols>
  <sheetData>
    <row r="1" spans="1:22">
      <c r="A1" s="59" t="str">
        <f>COMPANY</f>
        <v>DUKE ENERGY KENTUCKY, INC.</v>
      </c>
      <c r="B1" s="59"/>
      <c r="C1" s="59"/>
      <c r="D1" s="59"/>
      <c r="E1" s="1155"/>
      <c r="F1" s="59"/>
      <c r="G1" s="59"/>
      <c r="H1" s="59"/>
      <c r="I1" s="59"/>
      <c r="J1" s="59"/>
      <c r="K1" s="59"/>
      <c r="L1" s="750"/>
      <c r="M1" s="59"/>
      <c r="N1" s="780"/>
      <c r="O1" s="780"/>
      <c r="P1" s="780"/>
      <c r="Q1" s="780"/>
      <c r="R1" s="780"/>
      <c r="S1" s="780"/>
      <c r="T1" s="780"/>
      <c r="U1" s="780"/>
      <c r="V1" s="750"/>
    </row>
    <row r="2" spans="1:22">
      <c r="A2" s="59" t="str">
        <f>CASE</f>
        <v>CASE NO. 2024-00354</v>
      </c>
      <c r="B2" s="59"/>
      <c r="C2" s="59"/>
      <c r="D2" s="59"/>
      <c r="E2" s="1155"/>
      <c r="F2" s="59"/>
      <c r="G2" s="59"/>
      <c r="H2" s="59"/>
      <c r="I2" s="59"/>
      <c r="J2" s="59"/>
      <c r="K2" s="59"/>
      <c r="L2" s="750"/>
      <c r="M2" s="59"/>
      <c r="N2" s="780"/>
      <c r="O2" s="780"/>
      <c r="P2" s="780"/>
      <c r="Q2" s="780"/>
      <c r="R2" s="780"/>
      <c r="S2" s="780"/>
      <c r="T2" s="780"/>
      <c r="U2" s="780"/>
      <c r="V2" s="750"/>
    </row>
    <row r="3" spans="1:22">
      <c r="A3" s="59" t="s">
        <v>706</v>
      </c>
      <c r="B3" s="59"/>
      <c r="C3" s="59"/>
      <c r="D3" s="59"/>
      <c r="E3" s="1155"/>
      <c r="F3" s="59"/>
      <c r="G3" s="59"/>
      <c r="H3" s="59"/>
      <c r="I3" s="59"/>
      <c r="J3" s="59"/>
      <c r="K3" s="59"/>
      <c r="L3" s="750"/>
      <c r="M3" s="59"/>
      <c r="N3" s="780"/>
      <c r="O3" s="780"/>
      <c r="P3" s="780"/>
      <c r="Q3" s="780"/>
      <c r="R3" s="780"/>
      <c r="S3" s="780"/>
      <c r="T3" s="780"/>
      <c r="U3" s="780"/>
      <c r="V3" s="750"/>
    </row>
    <row r="4" spans="1:22">
      <c r="A4" s="1823" t="str">
        <f>"FROM MARCH 1, 2024 TO "&amp;RIGHT(TESTYR,(LEN(TESTYR)-16))</f>
        <v>FROM MARCH 1, 2024 TO FEBRUARY 28, 2025</v>
      </c>
      <c r="B4" s="59"/>
      <c r="C4" s="59"/>
      <c r="D4" s="59"/>
      <c r="E4" s="1155"/>
      <c r="F4" s="59"/>
      <c r="G4" s="59"/>
      <c r="H4" s="59"/>
      <c r="I4" s="59"/>
      <c r="J4" s="59"/>
      <c r="K4" s="59"/>
      <c r="L4" s="750"/>
      <c r="M4" s="59"/>
      <c r="N4" s="780"/>
      <c r="O4" s="780"/>
      <c r="P4" s="780"/>
      <c r="Q4" s="780"/>
      <c r="R4" s="780"/>
      <c r="S4" s="780"/>
      <c r="T4" s="780"/>
      <c r="U4" s="780"/>
      <c r="V4" s="750"/>
    </row>
    <row r="5" spans="1:22">
      <c r="A5" s="1393" t="s">
        <v>55</v>
      </c>
      <c r="B5" s="59"/>
      <c r="C5" s="59"/>
      <c r="D5" s="59"/>
      <c r="E5" s="1155"/>
      <c r="F5" s="59"/>
      <c r="G5" s="59"/>
      <c r="H5" s="59"/>
      <c r="I5" s="59"/>
      <c r="J5" s="59"/>
      <c r="K5" s="59"/>
      <c r="L5" s="750"/>
      <c r="M5" s="59"/>
      <c r="N5" s="780"/>
      <c r="O5" s="780"/>
      <c r="P5" s="780"/>
      <c r="Q5" s="780"/>
      <c r="R5" s="780"/>
      <c r="S5" s="780"/>
      <c r="T5" s="780"/>
      <c r="U5" s="780"/>
      <c r="V5" s="750"/>
    </row>
    <row r="6" spans="1:22">
      <c r="A6" s="59" t="s">
        <v>601</v>
      </c>
      <c r="B6" s="59"/>
      <c r="C6" s="59"/>
      <c r="D6" s="59"/>
      <c r="E6" s="1155"/>
      <c r="F6" s="59"/>
      <c r="G6" s="59"/>
      <c r="H6" s="59"/>
      <c r="I6" s="59"/>
      <c r="J6" s="59"/>
      <c r="K6" s="59"/>
      <c r="L6" s="750"/>
      <c r="M6" s="59"/>
      <c r="N6" s="780"/>
      <c r="O6" s="780"/>
      <c r="P6" s="780"/>
      <c r="Q6" s="780"/>
      <c r="R6" s="780"/>
      <c r="S6" s="780"/>
      <c r="T6" s="780"/>
      <c r="U6" s="780"/>
      <c r="V6" s="750"/>
    </row>
    <row r="7" spans="1:22">
      <c r="A7" s="59"/>
      <c r="B7" s="59"/>
      <c r="C7" s="59"/>
      <c r="D7" s="59"/>
      <c r="E7" s="1155"/>
      <c r="F7" s="59"/>
      <c r="G7" s="59"/>
      <c r="H7" s="59"/>
      <c r="I7" s="59"/>
      <c r="J7" s="59"/>
      <c r="K7" s="59"/>
      <c r="L7" s="750"/>
      <c r="M7" s="59"/>
      <c r="N7" s="780"/>
      <c r="O7" s="780"/>
      <c r="P7" s="780"/>
      <c r="Q7" s="780"/>
      <c r="R7" s="780"/>
      <c r="S7" s="780"/>
      <c r="T7" s="780"/>
      <c r="U7" s="780"/>
      <c r="V7" s="750"/>
    </row>
    <row r="8" spans="1:22">
      <c r="A8" s="1148" t="s">
        <v>529</v>
      </c>
      <c r="B8" s="59"/>
      <c r="C8" s="59"/>
      <c r="D8" s="59"/>
      <c r="E8" s="1155"/>
      <c r="F8" s="59"/>
      <c r="G8" s="59"/>
      <c r="H8" s="59"/>
      <c r="I8" s="59"/>
      <c r="J8" s="59"/>
      <c r="K8" s="59"/>
      <c r="L8" s="750"/>
      <c r="M8" s="59"/>
      <c r="N8" s="780"/>
      <c r="O8" s="780"/>
      <c r="P8" s="780"/>
      <c r="Q8" s="780"/>
      <c r="R8" s="780"/>
      <c r="S8" s="780"/>
      <c r="T8" s="780"/>
      <c r="U8" s="780"/>
      <c r="V8" s="750"/>
    </row>
    <row r="9" spans="1:22">
      <c r="A9" s="750"/>
      <c r="B9" s="750"/>
      <c r="C9" s="750"/>
      <c r="D9" s="750"/>
      <c r="E9" s="750"/>
      <c r="F9" s="750"/>
      <c r="G9" s="750"/>
      <c r="H9" s="750"/>
      <c r="I9" s="750"/>
      <c r="J9" s="750"/>
      <c r="K9" s="750"/>
      <c r="L9" s="750"/>
      <c r="M9" s="750"/>
      <c r="N9" s="780"/>
      <c r="O9" s="780"/>
      <c r="P9" s="780"/>
      <c r="Q9" s="780"/>
      <c r="R9" s="780"/>
      <c r="S9" s="780"/>
      <c r="T9" s="780"/>
      <c r="U9" s="780"/>
      <c r="V9" s="750"/>
    </row>
    <row r="10" spans="1:22">
      <c r="A10" s="737" t="str">
        <f>Data</f>
        <v>DATA: "X" BASE PERIOD   FORECASTED PERIOD</v>
      </c>
      <c r="B10" s="750"/>
      <c r="C10" s="750"/>
      <c r="D10" s="750"/>
      <c r="E10" s="750"/>
      <c r="F10" s="750"/>
      <c r="G10" s="750"/>
      <c r="H10" s="750"/>
      <c r="I10" s="750"/>
      <c r="J10" s="737" t="s">
        <v>707</v>
      </c>
      <c r="K10" s="750"/>
      <c r="L10" s="750"/>
      <c r="M10" s="750"/>
      <c r="N10" s="780"/>
      <c r="O10" s="780"/>
      <c r="P10" s="780"/>
      <c r="Q10" s="780"/>
      <c r="R10" s="780"/>
      <c r="S10" s="780"/>
      <c r="T10" s="780"/>
      <c r="U10" s="780"/>
      <c r="V10" s="750"/>
    </row>
    <row r="11" spans="1:22">
      <c r="A11" s="737" t="str">
        <f>Type</f>
        <v xml:space="preserve">TYPE OF FILING:  "X" ORIGINAL   UPDATED    REVISED  </v>
      </c>
      <c r="B11" s="750"/>
      <c r="C11" s="750"/>
      <c r="D11" s="750"/>
      <c r="E11" s="750"/>
      <c r="F11" s="750"/>
      <c r="G11" s="750"/>
      <c r="H11" s="750"/>
      <c r="I11" s="750"/>
      <c r="J11" s="737" t="s">
        <v>603</v>
      </c>
      <c r="K11" s="750"/>
      <c r="L11" s="750"/>
      <c r="M11" s="750"/>
      <c r="N11" s="780"/>
      <c r="O11" s="780"/>
      <c r="P11" s="780"/>
      <c r="Q11" s="780"/>
      <c r="R11" s="780"/>
      <c r="S11" s="780"/>
      <c r="T11" s="780"/>
      <c r="U11" s="780"/>
      <c r="V11" s="750"/>
    </row>
    <row r="12" spans="1:22">
      <c r="A12" s="737" t="s">
        <v>694</v>
      </c>
      <c r="B12" s="750"/>
      <c r="C12" s="750"/>
      <c r="D12" s="750"/>
      <c r="E12" s="750"/>
      <c r="F12" s="750"/>
      <c r="G12" s="750"/>
      <c r="H12" s="750"/>
      <c r="I12" s="750"/>
      <c r="J12" s="750" t="s">
        <v>468</v>
      </c>
      <c r="K12" s="750"/>
      <c r="L12" s="750"/>
      <c r="M12" s="750"/>
      <c r="N12" s="780"/>
      <c r="O12" s="780"/>
      <c r="P12" s="780"/>
      <c r="Q12" s="780"/>
      <c r="R12" s="780"/>
      <c r="S12" s="780"/>
      <c r="T12" s="780"/>
      <c r="U12" s="780"/>
      <c r="V12" s="750"/>
    </row>
    <row r="13" spans="1:22">
      <c r="A13" s="750"/>
      <c r="B13" s="750"/>
      <c r="C13" s="750"/>
      <c r="D13" s="750"/>
      <c r="E13" s="750"/>
      <c r="F13" s="750"/>
      <c r="G13" s="750"/>
      <c r="H13" s="750"/>
      <c r="I13" s="750"/>
      <c r="J13" s="750" t="str">
        <f>_WIT7</f>
        <v>G. S. CARPENTER / S. S. MITCHELL</v>
      </c>
      <c r="K13" s="750"/>
      <c r="L13" s="750"/>
      <c r="M13" s="750"/>
      <c r="N13" s="780"/>
      <c r="O13" s="780"/>
      <c r="P13" s="780"/>
      <c r="Q13" s="780"/>
      <c r="R13" s="780"/>
      <c r="S13" s="780"/>
      <c r="T13" s="780"/>
      <c r="U13" s="780"/>
      <c r="V13" s="750"/>
    </row>
    <row r="14" spans="1:22">
      <c r="A14" s="750"/>
      <c r="B14" s="750"/>
      <c r="C14" s="750"/>
      <c r="D14" s="750"/>
      <c r="E14" s="750"/>
      <c r="F14" s="750"/>
      <c r="G14" s="750"/>
      <c r="H14" s="750"/>
      <c r="I14" s="750"/>
      <c r="J14" s="750"/>
      <c r="K14" s="750"/>
      <c r="L14" s="750"/>
      <c r="M14" s="750"/>
      <c r="N14" s="780"/>
      <c r="O14" s="780"/>
      <c r="P14" s="780"/>
      <c r="Q14" s="780"/>
      <c r="R14" s="780"/>
      <c r="S14" s="780"/>
      <c r="T14" s="780"/>
      <c r="U14" s="780"/>
      <c r="V14" s="750"/>
    </row>
    <row r="15" spans="1:22">
      <c r="A15" s="750"/>
      <c r="B15" s="750"/>
      <c r="C15" s="750"/>
      <c r="D15" s="750"/>
      <c r="E15" s="750"/>
      <c r="F15" s="750"/>
      <c r="G15" s="750"/>
      <c r="H15" s="1443"/>
      <c r="I15" s="750"/>
      <c r="J15" s="750"/>
      <c r="K15" s="750"/>
      <c r="L15" s="750"/>
      <c r="M15" s="750"/>
      <c r="N15" s="780"/>
      <c r="O15" s="780"/>
      <c r="P15" s="780"/>
      <c r="Q15" s="780"/>
      <c r="R15" s="780"/>
      <c r="S15" s="780"/>
      <c r="T15" s="780"/>
      <c r="U15" s="780"/>
      <c r="V15" s="750"/>
    </row>
    <row r="16" spans="1:22">
      <c r="A16" s="2082"/>
      <c r="B16" s="2082"/>
      <c r="C16" s="2085"/>
      <c r="D16" s="2082"/>
      <c r="E16" s="2082"/>
      <c r="F16" s="2082"/>
      <c r="G16" s="2082"/>
      <c r="H16" s="780"/>
      <c r="I16" s="2082"/>
      <c r="J16" s="2082"/>
      <c r="K16" s="2082"/>
      <c r="L16" s="750"/>
      <c r="M16" s="750"/>
      <c r="N16" s="780"/>
      <c r="O16" s="780"/>
      <c r="P16" s="780"/>
      <c r="Q16" s="780"/>
      <c r="R16" s="780"/>
      <c r="S16" s="780"/>
      <c r="T16" s="780"/>
      <c r="U16" s="780"/>
      <c r="V16" s="750"/>
    </row>
    <row r="17" spans="1:22">
      <c r="A17" s="750"/>
      <c r="B17" s="53" t="s">
        <v>257</v>
      </c>
      <c r="C17" s="53" t="s">
        <v>605</v>
      </c>
      <c r="D17" s="750"/>
      <c r="E17" s="750"/>
      <c r="F17" s="750"/>
      <c r="G17" s="750"/>
      <c r="H17" s="1450" t="s">
        <v>708</v>
      </c>
      <c r="I17" s="1450"/>
      <c r="J17" s="1450"/>
      <c r="K17" s="750"/>
      <c r="L17" s="750"/>
      <c r="M17" s="750"/>
      <c r="N17" s="780"/>
      <c r="O17" s="780"/>
      <c r="P17" s="780"/>
      <c r="Q17" s="780"/>
      <c r="R17" s="780"/>
      <c r="S17" s="780"/>
      <c r="T17" s="780"/>
      <c r="U17" s="780"/>
      <c r="V17" s="750"/>
    </row>
    <row r="18" spans="1:22">
      <c r="A18" s="53" t="s">
        <v>573</v>
      </c>
      <c r="B18" s="53" t="s">
        <v>606</v>
      </c>
      <c r="C18" s="53" t="s">
        <v>606</v>
      </c>
      <c r="D18" s="53" t="s">
        <v>255</v>
      </c>
      <c r="E18" s="53" t="s">
        <v>709</v>
      </c>
      <c r="F18" s="750"/>
      <c r="G18" s="750"/>
      <c r="H18" s="2091"/>
      <c r="I18" s="2086" t="s">
        <v>710</v>
      </c>
      <c r="J18" s="2086" t="s">
        <v>711</v>
      </c>
      <c r="K18" s="53" t="s">
        <v>712</v>
      </c>
      <c r="L18" s="750"/>
      <c r="M18" s="750"/>
      <c r="N18" s="780"/>
      <c r="O18" s="780"/>
      <c r="P18" s="780"/>
      <c r="Q18" s="780"/>
      <c r="R18" s="780"/>
      <c r="S18" s="780"/>
      <c r="T18" s="780"/>
      <c r="U18" s="780"/>
      <c r="V18" s="750"/>
    </row>
    <row r="19" spans="1:22">
      <c r="A19" s="53" t="s">
        <v>576</v>
      </c>
      <c r="B19" s="53" t="s">
        <v>576</v>
      </c>
      <c r="C19" s="53" t="s">
        <v>576</v>
      </c>
      <c r="D19" s="53" t="s">
        <v>713</v>
      </c>
      <c r="E19" s="53" t="s">
        <v>556</v>
      </c>
      <c r="F19" s="53" t="s">
        <v>714</v>
      </c>
      <c r="G19" s="53" t="s">
        <v>715</v>
      </c>
      <c r="H19" s="53" t="s">
        <v>419</v>
      </c>
      <c r="I19" s="53" t="s">
        <v>716</v>
      </c>
      <c r="J19" s="53" t="s">
        <v>717</v>
      </c>
      <c r="K19" s="53" t="s">
        <v>556</v>
      </c>
      <c r="L19" s="750"/>
      <c r="M19" s="750"/>
      <c r="N19" s="780"/>
      <c r="O19" s="780"/>
      <c r="P19" s="780"/>
      <c r="Q19" s="780"/>
      <c r="R19" s="780"/>
      <c r="S19" s="780"/>
      <c r="T19" s="780"/>
      <c r="U19" s="780"/>
      <c r="V19" s="750"/>
    </row>
    <row r="20" spans="1:22">
      <c r="A20" s="750"/>
      <c r="B20" s="750"/>
      <c r="C20" s="750"/>
      <c r="D20" s="750"/>
      <c r="E20" s="750"/>
      <c r="F20" s="750"/>
      <c r="G20" s="750"/>
      <c r="H20" s="750"/>
      <c r="I20" s="750"/>
      <c r="J20" s="750"/>
      <c r="K20" s="750"/>
      <c r="L20" s="750"/>
      <c r="M20" s="750"/>
      <c r="N20" s="780"/>
      <c r="O20" s="780"/>
      <c r="P20" s="780"/>
      <c r="Q20" s="780"/>
      <c r="R20" s="780"/>
      <c r="S20" s="780"/>
      <c r="T20" s="780"/>
      <c r="U20" s="780"/>
      <c r="V20" s="750"/>
    </row>
    <row r="21" spans="1:22">
      <c r="A21" s="2082"/>
      <c r="B21" s="2082"/>
      <c r="C21" s="2082"/>
      <c r="D21" s="2082"/>
      <c r="E21" s="2089" t="s">
        <v>580</v>
      </c>
      <c r="F21" s="2089" t="s">
        <v>580</v>
      </c>
      <c r="G21" s="2089" t="s">
        <v>580</v>
      </c>
      <c r="H21" s="2089" t="s">
        <v>580</v>
      </c>
      <c r="I21" s="2082"/>
      <c r="J21" s="2082"/>
      <c r="K21" s="2089" t="s">
        <v>580</v>
      </c>
      <c r="L21" s="750"/>
      <c r="M21" s="749"/>
      <c r="N21" s="780"/>
      <c r="O21" s="780"/>
      <c r="P21" s="780"/>
      <c r="Q21" s="780"/>
      <c r="R21" s="780"/>
      <c r="S21" s="780"/>
      <c r="T21" s="780"/>
      <c r="U21" s="780"/>
      <c r="V21" s="750"/>
    </row>
    <row r="22" spans="1:22">
      <c r="A22" s="750"/>
      <c r="B22" s="750"/>
      <c r="C22" s="750"/>
      <c r="D22" s="2282"/>
      <c r="E22" s="750"/>
      <c r="F22" s="750"/>
      <c r="G22" s="750"/>
      <c r="H22" s="750"/>
      <c r="I22" s="750"/>
      <c r="J22" s="750"/>
      <c r="K22" s="750"/>
      <c r="L22" s="749"/>
      <c r="M22" s="750"/>
      <c r="N22" s="750"/>
      <c r="O22" s="750"/>
      <c r="P22" s="780"/>
      <c r="Q22" s="780"/>
      <c r="R22" s="780"/>
      <c r="S22" s="780"/>
      <c r="T22" s="780"/>
      <c r="U22" s="780"/>
      <c r="V22" s="750"/>
    </row>
    <row r="23" spans="1:22">
      <c r="A23" s="53">
        <v>1</v>
      </c>
      <c r="B23" s="53">
        <v>310</v>
      </c>
      <c r="C23" s="53">
        <v>3100</v>
      </c>
      <c r="D23" s="737" t="s">
        <v>608</v>
      </c>
      <c r="E23" s="61">
        <v>7046984</v>
      </c>
      <c r="F23" s="643">
        <v>109821</v>
      </c>
      <c r="G23" s="643">
        <v>0</v>
      </c>
      <c r="H23" s="643">
        <v>0</v>
      </c>
      <c r="I23" s="533"/>
      <c r="J23" s="533"/>
      <c r="K23" s="30">
        <f t="shared" ref="K23:K32" si="0">E23+F23-G23+H23</f>
        <v>7156805</v>
      </c>
      <c r="L23" s="749"/>
      <c r="M23" s="750"/>
      <c r="N23" s="750"/>
      <c r="O23" s="750"/>
      <c r="P23" s="780"/>
      <c r="Q23" s="780"/>
      <c r="R23" s="780"/>
      <c r="S23" s="780"/>
      <c r="T23" s="780"/>
      <c r="U23" s="780"/>
      <c r="V23" s="750"/>
    </row>
    <row r="24" spans="1:22">
      <c r="A24" s="53">
        <v>2</v>
      </c>
      <c r="B24" s="53">
        <v>311</v>
      </c>
      <c r="C24" s="53">
        <v>3110</v>
      </c>
      <c r="D24" s="737" t="s">
        <v>609</v>
      </c>
      <c r="E24" s="61">
        <v>188248225</v>
      </c>
      <c r="F24" s="643">
        <v>3124550</v>
      </c>
      <c r="G24" s="643">
        <v>-2646207</v>
      </c>
      <c r="H24" s="643">
        <v>0</v>
      </c>
      <c r="I24" s="533"/>
      <c r="J24" s="533"/>
      <c r="K24" s="30">
        <f t="shared" si="0"/>
        <v>194018982</v>
      </c>
      <c r="L24" s="749"/>
      <c r="M24" s="750"/>
      <c r="N24" s="750"/>
      <c r="O24" s="750"/>
      <c r="P24" s="780"/>
      <c r="Q24" s="780"/>
      <c r="R24" s="780"/>
      <c r="S24" s="780"/>
      <c r="T24" s="780"/>
      <c r="U24" s="780"/>
      <c r="V24" s="750"/>
    </row>
    <row r="25" spans="1:22">
      <c r="A25" s="53">
        <v>3</v>
      </c>
      <c r="B25" s="53">
        <v>312</v>
      </c>
      <c r="C25" s="53">
        <v>3120</v>
      </c>
      <c r="D25" s="737" t="s">
        <v>610</v>
      </c>
      <c r="E25" s="61">
        <v>566550684</v>
      </c>
      <c r="F25" s="643">
        <v>11388580</v>
      </c>
      <c r="G25" s="643">
        <v>3323078</v>
      </c>
      <c r="H25" s="643">
        <v>0</v>
      </c>
      <c r="I25" s="533"/>
      <c r="J25" s="533"/>
      <c r="K25" s="30">
        <f t="shared" si="0"/>
        <v>574616186</v>
      </c>
      <c r="L25" s="749"/>
      <c r="M25" s="750"/>
      <c r="N25" s="750"/>
      <c r="O25" s="750"/>
      <c r="P25" s="780"/>
      <c r="Q25" s="780"/>
      <c r="R25" s="780"/>
      <c r="S25" s="780"/>
      <c r="T25" s="780"/>
      <c r="U25" s="780"/>
      <c r="V25" s="750"/>
    </row>
    <row r="26" spans="1:22">
      <c r="A26" s="53">
        <v>4</v>
      </c>
      <c r="B26" s="53">
        <v>312</v>
      </c>
      <c r="C26" s="53">
        <v>3123</v>
      </c>
      <c r="D26" s="737" t="s">
        <v>611</v>
      </c>
      <c r="E26" s="61">
        <v>8575296</v>
      </c>
      <c r="F26" s="643">
        <v>133639</v>
      </c>
      <c r="G26" s="643">
        <v>297360</v>
      </c>
      <c r="H26" s="643">
        <v>0</v>
      </c>
      <c r="I26" s="533"/>
      <c r="J26" s="533"/>
      <c r="K26" s="30">
        <f t="shared" si="0"/>
        <v>8411575</v>
      </c>
      <c r="L26" s="749"/>
      <c r="M26" s="750"/>
      <c r="N26" s="750"/>
      <c r="O26" s="750"/>
      <c r="P26" s="780"/>
      <c r="Q26" s="780"/>
      <c r="R26" s="780"/>
      <c r="S26" s="780"/>
      <c r="T26" s="780"/>
      <c r="U26" s="780"/>
      <c r="V26" s="750"/>
    </row>
    <row r="27" spans="1:22">
      <c r="A27" s="53">
        <v>5</v>
      </c>
      <c r="B27" s="53">
        <v>314</v>
      </c>
      <c r="C27" s="53">
        <v>3140</v>
      </c>
      <c r="D27" s="737" t="s">
        <v>612</v>
      </c>
      <c r="E27" s="61">
        <v>122419537</v>
      </c>
      <c r="F27" s="643">
        <v>3210379</v>
      </c>
      <c r="G27" s="643">
        <v>1963814</v>
      </c>
      <c r="H27" s="643">
        <v>0</v>
      </c>
      <c r="I27" s="533"/>
      <c r="J27" s="533"/>
      <c r="K27" s="30">
        <f t="shared" si="0"/>
        <v>123666102</v>
      </c>
      <c r="L27" s="749"/>
      <c r="M27" s="750"/>
      <c r="N27" s="750"/>
      <c r="O27" s="750"/>
      <c r="P27" s="780"/>
      <c r="Q27" s="780"/>
      <c r="R27" s="780"/>
      <c r="S27" s="780"/>
      <c r="T27" s="780"/>
      <c r="U27" s="780"/>
      <c r="V27" s="750"/>
    </row>
    <row r="28" spans="1:22">
      <c r="A28" s="53">
        <v>6</v>
      </c>
      <c r="B28" s="53">
        <v>315</v>
      </c>
      <c r="C28" s="53">
        <v>3150</v>
      </c>
      <c r="D28" s="737" t="s">
        <v>613</v>
      </c>
      <c r="E28" s="61">
        <v>49973658</v>
      </c>
      <c r="F28" s="643">
        <v>701517</v>
      </c>
      <c r="G28" s="643">
        <v>651420</v>
      </c>
      <c r="H28" s="643">
        <v>0</v>
      </c>
      <c r="I28" s="533"/>
      <c r="J28" s="533"/>
      <c r="K28" s="30">
        <f t="shared" si="0"/>
        <v>50023755</v>
      </c>
      <c r="L28" s="749"/>
      <c r="M28" s="750"/>
      <c r="N28" s="750"/>
      <c r="O28" s="750"/>
      <c r="P28" s="780"/>
      <c r="Q28" s="780"/>
      <c r="R28" s="780"/>
      <c r="S28" s="780"/>
      <c r="T28" s="780"/>
      <c r="U28" s="780"/>
      <c r="V28" s="750"/>
    </row>
    <row r="29" spans="1:22">
      <c r="A29" s="53">
        <v>7</v>
      </c>
      <c r="B29" s="53">
        <v>316</v>
      </c>
      <c r="C29" s="53">
        <v>3160</v>
      </c>
      <c r="D29" s="737" t="s">
        <v>718</v>
      </c>
      <c r="E29" s="61">
        <v>25172417</v>
      </c>
      <c r="F29" s="643">
        <v>469656</v>
      </c>
      <c r="G29" s="643">
        <v>39840</v>
      </c>
      <c r="H29" s="643">
        <v>0</v>
      </c>
      <c r="I29" s="533"/>
      <c r="J29" s="533"/>
      <c r="K29" s="30">
        <f t="shared" si="0"/>
        <v>25602233</v>
      </c>
      <c r="L29" s="749"/>
      <c r="M29" s="750"/>
      <c r="N29" s="750"/>
      <c r="O29" s="750"/>
      <c r="P29" s="780"/>
      <c r="Q29" s="780"/>
      <c r="R29" s="780"/>
      <c r="S29" s="780"/>
      <c r="T29" s="780"/>
      <c r="U29" s="780"/>
      <c r="V29" s="750"/>
    </row>
    <row r="30" spans="1:22">
      <c r="A30" s="53">
        <v>8</v>
      </c>
      <c r="B30" s="53">
        <v>317</v>
      </c>
      <c r="C30" s="53" t="s">
        <v>719</v>
      </c>
      <c r="D30" s="737" t="s">
        <v>615</v>
      </c>
      <c r="E30" s="61">
        <v>89131026</v>
      </c>
      <c r="F30" s="643">
        <v>-103265</v>
      </c>
      <c r="G30" s="643">
        <v>0</v>
      </c>
      <c r="H30" s="643">
        <v>0</v>
      </c>
      <c r="I30" s="533"/>
      <c r="J30" s="533"/>
      <c r="K30" s="30">
        <f t="shared" si="0"/>
        <v>89027761</v>
      </c>
      <c r="L30" s="749"/>
      <c r="M30" s="750"/>
      <c r="N30" s="750"/>
      <c r="O30" s="750"/>
      <c r="P30" s="780"/>
      <c r="Q30" s="780"/>
      <c r="R30" s="780"/>
      <c r="S30" s="780"/>
      <c r="T30" s="780"/>
      <c r="U30" s="780"/>
      <c r="V30" s="750"/>
    </row>
    <row r="31" spans="1:22">
      <c r="A31" s="53">
        <f>A30+1</f>
        <v>9</v>
      </c>
      <c r="B31" s="53"/>
      <c r="C31" s="53"/>
      <c r="D31" s="737" t="s">
        <v>616</v>
      </c>
      <c r="E31" s="61">
        <v>0</v>
      </c>
      <c r="F31" s="643">
        <v>0</v>
      </c>
      <c r="G31" s="643">
        <v>0</v>
      </c>
      <c r="H31" s="643">
        <v>0</v>
      </c>
      <c r="I31" s="533"/>
      <c r="J31" s="533"/>
      <c r="K31" s="30">
        <f t="shared" si="0"/>
        <v>0</v>
      </c>
      <c r="L31" s="749"/>
      <c r="M31" s="750"/>
      <c r="N31" s="750"/>
      <c r="O31" s="750"/>
      <c r="P31" s="780"/>
      <c r="Q31" s="780"/>
      <c r="R31" s="780"/>
      <c r="S31" s="780"/>
      <c r="T31" s="780"/>
      <c r="U31" s="780"/>
      <c r="V31" s="750"/>
    </row>
    <row r="32" spans="1:22">
      <c r="A32" s="53">
        <f>A31+1</f>
        <v>10</v>
      </c>
      <c r="B32" s="53"/>
      <c r="C32" s="53"/>
      <c r="D32" s="737" t="s">
        <v>617</v>
      </c>
      <c r="E32" s="61">
        <v>0</v>
      </c>
      <c r="F32" s="643">
        <v>0</v>
      </c>
      <c r="G32" s="643">
        <v>0</v>
      </c>
      <c r="H32" s="643">
        <v>0</v>
      </c>
      <c r="I32" s="533"/>
      <c r="J32" s="533"/>
      <c r="K32" s="30">
        <f t="shared" si="0"/>
        <v>0</v>
      </c>
      <c r="L32" s="749"/>
      <c r="M32" s="750"/>
      <c r="N32" s="750"/>
      <c r="O32" s="750"/>
      <c r="P32" s="780"/>
      <c r="Q32" s="780"/>
      <c r="R32" s="780"/>
      <c r="S32" s="780"/>
      <c r="T32" s="780"/>
      <c r="U32" s="780"/>
      <c r="V32" s="750"/>
    </row>
    <row r="33" spans="1:22">
      <c r="A33" s="53"/>
      <c r="B33" s="750"/>
      <c r="C33" s="53"/>
      <c r="D33" s="737"/>
      <c r="E33" s="61"/>
      <c r="F33" s="2283"/>
      <c r="G33" s="61"/>
      <c r="H33" s="30"/>
      <c r="I33" s="533"/>
      <c r="J33" s="533"/>
      <c r="K33" s="30"/>
      <c r="L33" s="749"/>
      <c r="M33" s="750"/>
      <c r="N33" s="780"/>
      <c r="O33" s="780"/>
      <c r="P33" s="780"/>
      <c r="Q33" s="780"/>
      <c r="R33" s="780"/>
      <c r="S33" s="780"/>
      <c r="T33" s="780"/>
      <c r="U33" s="780"/>
      <c r="V33" s="750"/>
    </row>
    <row r="34" spans="1:22">
      <c r="A34" s="750"/>
      <c r="B34" s="750"/>
      <c r="C34" s="750"/>
      <c r="D34" s="750"/>
      <c r="E34" s="750"/>
      <c r="F34" s="750"/>
      <c r="G34" s="750"/>
      <c r="H34" s="750"/>
      <c r="I34" s="750"/>
      <c r="J34" s="750"/>
      <c r="K34" s="748"/>
      <c r="L34" s="749"/>
      <c r="M34" s="750"/>
      <c r="N34" s="780"/>
      <c r="O34" s="780"/>
      <c r="P34" s="780"/>
      <c r="Q34" s="780"/>
      <c r="R34" s="780"/>
      <c r="S34" s="780"/>
      <c r="T34" s="780"/>
      <c r="U34" s="780"/>
      <c r="V34" s="750"/>
    </row>
    <row r="35" spans="1:22">
      <c r="A35" s="2082"/>
      <c r="B35" s="2082"/>
      <c r="C35" s="2082"/>
      <c r="D35" s="2082"/>
      <c r="E35" s="2082"/>
      <c r="F35" s="2082"/>
      <c r="G35" s="2082"/>
      <c r="H35" s="2082"/>
      <c r="I35" s="2082"/>
      <c r="J35" s="2082"/>
      <c r="K35" s="2084"/>
      <c r="L35" s="749"/>
      <c r="M35" s="750"/>
      <c r="N35" s="780"/>
      <c r="O35" s="780"/>
      <c r="P35" s="780"/>
      <c r="Q35" s="780"/>
      <c r="R35" s="780"/>
      <c r="S35" s="780"/>
      <c r="T35" s="780"/>
      <c r="U35" s="780"/>
      <c r="V35" s="750"/>
    </row>
    <row r="36" spans="1:22">
      <c r="A36" s="53">
        <f>A32+1</f>
        <v>11</v>
      </c>
      <c r="B36" s="750"/>
      <c r="C36" s="750"/>
      <c r="D36" s="737" t="s">
        <v>720</v>
      </c>
      <c r="E36" s="748">
        <f>SUM(E23:E34)</f>
        <v>1057117827</v>
      </c>
      <c r="F36" s="748">
        <f>SUM(F23:F34)</f>
        <v>19034877</v>
      </c>
      <c r="G36" s="748">
        <f>SUM(G23:G34)</f>
        <v>3629305</v>
      </c>
      <c r="H36" s="748">
        <f>SUM(H23:H34)</f>
        <v>0</v>
      </c>
      <c r="I36" s="749"/>
      <c r="J36" s="749"/>
      <c r="K36" s="748">
        <f>SUM(K23:K34)</f>
        <v>1072523399</v>
      </c>
      <c r="L36" s="749"/>
      <c r="M36" s="750"/>
      <c r="N36" s="780"/>
      <c r="O36" s="780"/>
      <c r="P36" s="780"/>
      <c r="Q36" s="780"/>
      <c r="R36" s="780"/>
      <c r="S36" s="780"/>
      <c r="T36" s="780"/>
      <c r="U36" s="780"/>
      <c r="V36" s="750"/>
    </row>
    <row r="37" spans="1:22">
      <c r="A37" s="750"/>
      <c r="B37" s="750"/>
      <c r="C37" s="750"/>
      <c r="D37" s="750"/>
      <c r="E37" s="750"/>
      <c r="F37" s="750"/>
      <c r="G37" s="750"/>
      <c r="H37" s="750"/>
      <c r="I37" s="750"/>
      <c r="J37" s="750"/>
      <c r="K37" s="750"/>
      <c r="L37" s="749"/>
      <c r="M37" s="750"/>
      <c r="N37" s="780"/>
      <c r="O37" s="780"/>
      <c r="P37" s="780"/>
      <c r="Q37" s="780"/>
      <c r="R37" s="780"/>
      <c r="S37" s="780"/>
      <c r="T37" s="780"/>
      <c r="U37" s="780"/>
      <c r="V37" s="750"/>
    </row>
    <row r="38" spans="1:22">
      <c r="A38" s="2082"/>
      <c r="B38" s="2082"/>
      <c r="C38" s="2082"/>
      <c r="D38" s="2082"/>
      <c r="E38" s="2084"/>
      <c r="F38" s="2084"/>
      <c r="G38" s="2084"/>
      <c r="H38" s="2084"/>
      <c r="I38" s="2092"/>
      <c r="J38" s="2092"/>
      <c r="K38" s="2084"/>
      <c r="L38" s="749"/>
      <c r="M38" s="750"/>
      <c r="N38" s="780"/>
      <c r="O38" s="780"/>
      <c r="P38" s="780"/>
      <c r="Q38" s="780"/>
      <c r="R38" s="780"/>
      <c r="S38" s="780"/>
      <c r="T38" s="780"/>
      <c r="U38" s="780"/>
      <c r="V38" s="750"/>
    </row>
    <row r="39" spans="1:22">
      <c r="A39" s="59" t="str">
        <f>COMPANY</f>
        <v>DUKE ENERGY KENTUCKY, INC.</v>
      </c>
      <c r="B39" s="59"/>
      <c r="C39" s="59"/>
      <c r="D39" s="59"/>
      <c r="E39" s="1155"/>
      <c r="F39" s="59"/>
      <c r="G39" s="59"/>
      <c r="H39" s="59"/>
      <c r="I39" s="59"/>
      <c r="J39" s="59"/>
      <c r="K39" s="59"/>
      <c r="L39" s="749"/>
      <c r="M39" s="750"/>
      <c r="N39" s="780"/>
      <c r="O39" s="780"/>
      <c r="P39" s="780"/>
      <c r="Q39" s="780"/>
      <c r="R39" s="780"/>
      <c r="S39" s="780"/>
      <c r="T39" s="780"/>
      <c r="U39" s="780"/>
      <c r="V39" s="750"/>
    </row>
    <row r="40" spans="1:22">
      <c r="A40" s="59" t="str">
        <f>CASE</f>
        <v>CASE NO. 2024-00354</v>
      </c>
      <c r="B40" s="59"/>
      <c r="C40" s="59"/>
      <c r="D40" s="59"/>
      <c r="E40" s="1155"/>
      <c r="F40" s="59"/>
      <c r="G40" s="59"/>
      <c r="H40" s="59"/>
      <c r="I40" s="59"/>
      <c r="J40" s="59"/>
      <c r="K40" s="59"/>
      <c r="L40" s="749"/>
      <c r="M40" s="750"/>
      <c r="N40" s="780"/>
      <c r="O40" s="780"/>
      <c r="P40" s="780"/>
      <c r="Q40" s="780"/>
      <c r="R40" s="780"/>
      <c r="S40" s="780"/>
      <c r="T40" s="780"/>
      <c r="U40" s="780"/>
      <c r="V40" s="750"/>
    </row>
    <row r="41" spans="1:22">
      <c r="A41" s="59" t="s">
        <v>706</v>
      </c>
      <c r="B41" s="59"/>
      <c r="C41" s="59"/>
      <c r="D41" s="59"/>
      <c r="E41" s="1155"/>
      <c r="F41" s="59"/>
      <c r="G41" s="59"/>
      <c r="H41" s="59"/>
      <c r="I41" s="59"/>
      <c r="J41" s="59"/>
      <c r="K41" s="59"/>
      <c r="L41" s="749"/>
      <c r="M41" s="750"/>
      <c r="N41" s="780"/>
      <c r="O41" s="780"/>
      <c r="P41" s="780"/>
      <c r="Q41" s="780"/>
      <c r="R41" s="780"/>
      <c r="S41" s="780"/>
      <c r="T41" s="780"/>
      <c r="U41" s="780"/>
      <c r="V41" s="750"/>
    </row>
    <row r="42" spans="1:22">
      <c r="A42" s="59" t="str">
        <f>A4</f>
        <v>FROM MARCH 1, 2024 TO FEBRUARY 28, 2025</v>
      </c>
      <c r="B42" s="59"/>
      <c r="C42" s="59"/>
      <c r="D42" s="59"/>
      <c r="E42" s="1155"/>
      <c r="F42" s="59"/>
      <c r="G42" s="59"/>
      <c r="H42" s="59"/>
      <c r="I42" s="59"/>
      <c r="J42" s="59"/>
      <c r="K42" s="59"/>
      <c r="L42" s="749"/>
      <c r="M42" s="750"/>
      <c r="N42" s="780"/>
      <c r="O42" s="780"/>
      <c r="P42" s="780"/>
      <c r="Q42" s="780"/>
      <c r="R42" s="780"/>
      <c r="S42" s="780"/>
      <c r="T42" s="780"/>
      <c r="U42" s="780"/>
      <c r="V42" s="750"/>
    </row>
    <row r="43" spans="1:22">
      <c r="A43" s="59"/>
      <c r="B43" s="59"/>
      <c r="C43" s="59"/>
      <c r="D43" s="59"/>
      <c r="E43" s="1155"/>
      <c r="F43" s="59"/>
      <c r="G43" s="59"/>
      <c r="H43" s="59"/>
      <c r="I43" s="59"/>
      <c r="J43" s="59"/>
      <c r="K43" s="59"/>
      <c r="L43" s="749"/>
      <c r="M43" s="750"/>
      <c r="N43" s="780"/>
      <c r="O43" s="780"/>
      <c r="P43" s="780"/>
      <c r="Q43" s="780"/>
      <c r="R43" s="780"/>
      <c r="S43" s="780"/>
      <c r="T43" s="780"/>
      <c r="U43" s="780"/>
      <c r="V43" s="750"/>
    </row>
    <row r="44" spans="1:22">
      <c r="A44" s="59" t="s">
        <v>619</v>
      </c>
      <c r="B44" s="59"/>
      <c r="C44" s="59"/>
      <c r="D44" s="59"/>
      <c r="E44" s="1155"/>
      <c r="F44" s="59"/>
      <c r="G44" s="59"/>
      <c r="H44" s="59"/>
      <c r="I44" s="59"/>
      <c r="J44" s="59"/>
      <c r="K44" s="59"/>
      <c r="L44" s="749"/>
      <c r="M44" s="750"/>
      <c r="N44" s="780"/>
      <c r="O44" s="780"/>
      <c r="P44" s="780"/>
      <c r="Q44" s="780"/>
      <c r="R44" s="780"/>
      <c r="S44" s="780"/>
      <c r="T44" s="780"/>
      <c r="U44" s="780"/>
      <c r="V44" s="750"/>
    </row>
    <row r="45" spans="1:22">
      <c r="A45" s="59"/>
      <c r="B45" s="59"/>
      <c r="C45" s="59"/>
      <c r="D45" s="59"/>
      <c r="E45" s="1155"/>
      <c r="F45" s="59"/>
      <c r="G45" s="59"/>
      <c r="H45" s="59"/>
      <c r="I45" s="59"/>
      <c r="J45" s="59"/>
      <c r="K45" s="59"/>
      <c r="L45" s="749"/>
      <c r="M45" s="750"/>
      <c r="N45" s="780"/>
      <c r="O45" s="780"/>
      <c r="P45" s="780"/>
      <c r="Q45" s="780"/>
      <c r="R45" s="780"/>
      <c r="S45" s="780"/>
      <c r="T45" s="780"/>
      <c r="U45" s="780"/>
      <c r="V45" s="750"/>
    </row>
    <row r="46" spans="1:22">
      <c r="A46" s="1148" t="s">
        <v>529</v>
      </c>
      <c r="B46" s="59"/>
      <c r="C46" s="59"/>
      <c r="D46" s="59"/>
      <c r="E46" s="1155"/>
      <c r="F46" s="59"/>
      <c r="G46" s="59"/>
      <c r="H46" s="59"/>
      <c r="I46" s="59"/>
      <c r="J46" s="59"/>
      <c r="K46" s="59"/>
      <c r="L46" s="749"/>
      <c r="M46" s="750"/>
      <c r="N46" s="780"/>
      <c r="O46" s="780"/>
      <c r="P46" s="780"/>
      <c r="Q46" s="780"/>
      <c r="R46" s="780"/>
      <c r="S46" s="780"/>
      <c r="T46" s="780"/>
      <c r="U46" s="780"/>
      <c r="V46" s="750"/>
    </row>
    <row r="47" spans="1:22">
      <c r="A47" s="750"/>
      <c r="B47" s="750"/>
      <c r="C47" s="750"/>
      <c r="D47" s="750"/>
      <c r="E47" s="750"/>
      <c r="F47" s="750"/>
      <c r="G47" s="750"/>
      <c r="H47" s="750"/>
      <c r="I47" s="750"/>
      <c r="J47" s="750"/>
      <c r="K47" s="750"/>
      <c r="L47" s="749"/>
      <c r="M47" s="750"/>
      <c r="N47" s="780"/>
      <c r="O47" s="780"/>
      <c r="P47" s="780"/>
      <c r="Q47" s="780"/>
      <c r="R47" s="780"/>
      <c r="S47" s="780"/>
      <c r="T47" s="780"/>
      <c r="U47" s="780"/>
      <c r="V47" s="750"/>
    </row>
    <row r="48" spans="1:22">
      <c r="A48" s="737" t="str">
        <f>Data</f>
        <v>DATA: "X" BASE PERIOD   FORECASTED PERIOD</v>
      </c>
      <c r="B48" s="750"/>
      <c r="C48" s="750"/>
      <c r="D48" s="750"/>
      <c r="E48" s="750"/>
      <c r="F48" s="750"/>
      <c r="G48" s="750"/>
      <c r="H48" s="750"/>
      <c r="I48" s="750"/>
      <c r="J48" s="737" t="s">
        <v>707</v>
      </c>
      <c r="K48" s="750"/>
      <c r="L48" s="749"/>
      <c r="M48" s="750"/>
      <c r="N48" s="780"/>
      <c r="O48" s="780"/>
      <c r="P48" s="780"/>
      <c r="Q48" s="780"/>
      <c r="R48" s="780"/>
      <c r="S48" s="780"/>
      <c r="T48" s="780"/>
      <c r="U48" s="780"/>
      <c r="V48" s="750"/>
    </row>
    <row r="49" spans="1:22">
      <c r="A49" s="737" t="str">
        <f>Type</f>
        <v xml:space="preserve">TYPE OF FILING:  "X" ORIGINAL   UPDATED    REVISED  </v>
      </c>
      <c r="B49" s="750"/>
      <c r="C49" s="750"/>
      <c r="D49" s="750"/>
      <c r="E49" s="750"/>
      <c r="F49" s="750"/>
      <c r="G49" s="750"/>
      <c r="H49" s="750"/>
      <c r="I49" s="750"/>
      <c r="J49" s="737" t="s">
        <v>620</v>
      </c>
      <c r="K49" s="750"/>
      <c r="L49" s="749"/>
      <c r="M49" s="750"/>
      <c r="N49" s="780"/>
      <c r="O49" s="780"/>
      <c r="P49" s="780"/>
      <c r="Q49" s="780"/>
      <c r="R49" s="780"/>
      <c r="S49" s="780"/>
      <c r="T49" s="780"/>
      <c r="U49" s="780"/>
      <c r="V49" s="750"/>
    </row>
    <row r="50" spans="1:22">
      <c r="A50" s="737" t="s">
        <v>694</v>
      </c>
      <c r="B50" s="750"/>
      <c r="C50" s="750"/>
      <c r="D50" s="750"/>
      <c r="E50" s="750"/>
      <c r="F50" s="750"/>
      <c r="G50" s="750"/>
      <c r="H50" s="750"/>
      <c r="I50" s="750"/>
      <c r="J50" s="750" t="s">
        <v>468</v>
      </c>
      <c r="K50" s="750"/>
      <c r="L50" s="749"/>
      <c r="M50" s="750"/>
      <c r="N50" s="780"/>
      <c r="O50" s="780"/>
      <c r="P50" s="780"/>
      <c r="Q50" s="780"/>
      <c r="R50" s="780"/>
      <c r="S50" s="780"/>
      <c r="T50" s="780"/>
      <c r="U50" s="780"/>
      <c r="V50" s="750"/>
    </row>
    <row r="51" spans="1:22">
      <c r="A51" s="750"/>
      <c r="B51" s="750"/>
      <c r="C51" s="750"/>
      <c r="D51" s="750"/>
      <c r="E51" s="750"/>
      <c r="F51" s="750"/>
      <c r="G51" s="750"/>
      <c r="H51" s="750"/>
      <c r="I51" s="750"/>
      <c r="J51" s="750" t="str">
        <f>_WIT7</f>
        <v>G. S. CARPENTER / S. S. MITCHELL</v>
      </c>
      <c r="K51" s="750"/>
      <c r="L51" s="749"/>
      <c r="M51" s="750"/>
      <c r="N51" s="780"/>
      <c r="O51" s="780"/>
      <c r="P51" s="780"/>
      <c r="Q51" s="780"/>
      <c r="R51" s="780"/>
      <c r="S51" s="780"/>
      <c r="T51" s="780"/>
      <c r="U51" s="780"/>
      <c r="V51" s="750"/>
    </row>
    <row r="52" spans="1:22">
      <c r="A52" s="750"/>
      <c r="B52" s="750"/>
      <c r="C52" s="750"/>
      <c r="D52" s="750"/>
      <c r="E52" s="750"/>
      <c r="F52" s="750"/>
      <c r="G52" s="750"/>
      <c r="H52" s="750"/>
      <c r="I52" s="750"/>
      <c r="J52" s="750"/>
      <c r="K52" s="750"/>
      <c r="L52" s="749"/>
      <c r="M52" s="750"/>
      <c r="N52" s="780"/>
      <c r="O52" s="780"/>
      <c r="P52" s="780"/>
      <c r="Q52" s="780"/>
      <c r="R52" s="780"/>
      <c r="S52" s="780"/>
      <c r="T52" s="780"/>
      <c r="U52" s="780"/>
      <c r="V52" s="750"/>
    </row>
    <row r="53" spans="1:22">
      <c r="A53" s="750"/>
      <c r="B53" s="750"/>
      <c r="C53" s="750"/>
      <c r="D53" s="750"/>
      <c r="E53" s="750"/>
      <c r="F53" s="750"/>
      <c r="G53" s="750"/>
      <c r="H53" s="1443"/>
      <c r="I53" s="750"/>
      <c r="J53" s="750"/>
      <c r="K53" s="750"/>
      <c r="L53" s="749"/>
      <c r="M53" s="750"/>
      <c r="N53" s="780"/>
      <c r="O53" s="780"/>
      <c r="P53" s="780"/>
      <c r="Q53" s="780"/>
      <c r="R53" s="780"/>
      <c r="S53" s="780"/>
      <c r="T53" s="780"/>
      <c r="U53" s="780"/>
      <c r="V53" s="750"/>
    </row>
    <row r="54" spans="1:22">
      <c r="A54" s="2082"/>
      <c r="B54" s="2082"/>
      <c r="C54" s="2085"/>
      <c r="D54" s="2082"/>
      <c r="E54" s="2082"/>
      <c r="F54" s="2082"/>
      <c r="G54" s="2082"/>
      <c r="H54" s="780"/>
      <c r="I54" s="2082"/>
      <c r="J54" s="2082"/>
      <c r="K54" s="2082"/>
      <c r="L54" s="749"/>
      <c r="M54" s="750"/>
      <c r="N54" s="780"/>
      <c r="O54" s="780"/>
      <c r="P54" s="780"/>
      <c r="Q54" s="780"/>
      <c r="R54" s="780"/>
      <c r="S54" s="780"/>
      <c r="T54" s="780"/>
      <c r="U54" s="780"/>
      <c r="V54" s="750"/>
    </row>
    <row r="55" spans="1:22">
      <c r="A55" s="750"/>
      <c r="B55" s="53" t="s">
        <v>257</v>
      </c>
      <c r="C55" s="53" t="s">
        <v>605</v>
      </c>
      <c r="D55" s="750"/>
      <c r="E55" s="750"/>
      <c r="F55" s="750"/>
      <c r="G55" s="750"/>
      <c r="H55" s="1450" t="s">
        <v>708</v>
      </c>
      <c r="I55" s="1450"/>
      <c r="J55" s="1450"/>
      <c r="K55" s="750"/>
      <c r="L55" s="749"/>
      <c r="M55" s="750"/>
      <c r="N55" s="780"/>
      <c r="O55" s="780"/>
      <c r="P55" s="780"/>
      <c r="Q55" s="780"/>
      <c r="R55" s="780"/>
      <c r="S55" s="780"/>
      <c r="T55" s="780"/>
      <c r="U55" s="780"/>
      <c r="V55" s="750"/>
    </row>
    <row r="56" spans="1:22">
      <c r="A56" s="53" t="s">
        <v>573</v>
      </c>
      <c r="B56" s="53" t="s">
        <v>606</v>
      </c>
      <c r="C56" s="53" t="s">
        <v>606</v>
      </c>
      <c r="D56" s="53" t="s">
        <v>255</v>
      </c>
      <c r="E56" s="53" t="s">
        <v>709</v>
      </c>
      <c r="F56" s="750"/>
      <c r="G56" s="750"/>
      <c r="H56" s="2091"/>
      <c r="I56" s="2086" t="s">
        <v>710</v>
      </c>
      <c r="J56" s="2086" t="s">
        <v>711</v>
      </c>
      <c r="K56" s="53" t="s">
        <v>712</v>
      </c>
      <c r="L56" s="749"/>
      <c r="M56" s="750"/>
      <c r="N56" s="780"/>
      <c r="O56" s="780"/>
      <c r="P56" s="780"/>
      <c r="Q56" s="780"/>
      <c r="R56" s="780"/>
      <c r="S56" s="780"/>
      <c r="T56" s="780"/>
      <c r="U56" s="780"/>
      <c r="V56" s="750"/>
    </row>
    <row r="57" spans="1:22">
      <c r="A57" s="53" t="s">
        <v>576</v>
      </c>
      <c r="B57" s="53" t="s">
        <v>576</v>
      </c>
      <c r="C57" s="53" t="s">
        <v>576</v>
      </c>
      <c r="D57" s="53" t="s">
        <v>713</v>
      </c>
      <c r="E57" s="53" t="s">
        <v>556</v>
      </c>
      <c r="F57" s="53" t="s">
        <v>714</v>
      </c>
      <c r="G57" s="53" t="s">
        <v>715</v>
      </c>
      <c r="H57" s="53" t="s">
        <v>419</v>
      </c>
      <c r="I57" s="53" t="s">
        <v>716</v>
      </c>
      <c r="J57" s="53" t="s">
        <v>717</v>
      </c>
      <c r="K57" s="53" t="s">
        <v>556</v>
      </c>
      <c r="L57" s="749"/>
      <c r="M57" s="750"/>
      <c r="N57" s="780"/>
      <c r="O57" s="780"/>
      <c r="P57" s="780"/>
      <c r="Q57" s="780"/>
      <c r="R57" s="780"/>
      <c r="S57" s="780"/>
      <c r="T57" s="780"/>
      <c r="U57" s="780"/>
      <c r="V57" s="750"/>
    </row>
    <row r="58" spans="1:22">
      <c r="A58" s="750"/>
      <c r="B58" s="750"/>
      <c r="C58" s="750"/>
      <c r="D58" s="750"/>
      <c r="E58" s="750"/>
      <c r="F58" s="750"/>
      <c r="G58" s="750"/>
      <c r="H58" s="750"/>
      <c r="I58" s="750"/>
      <c r="J58" s="750"/>
      <c r="K58" s="750"/>
      <c r="L58" s="749"/>
      <c r="M58" s="750"/>
      <c r="N58" s="780"/>
      <c r="O58" s="780"/>
      <c r="P58" s="780"/>
      <c r="Q58" s="780"/>
      <c r="R58" s="780"/>
      <c r="S58" s="780"/>
      <c r="T58" s="780"/>
      <c r="U58" s="780"/>
      <c r="V58" s="750"/>
    </row>
    <row r="59" spans="1:22">
      <c r="A59" s="2082"/>
      <c r="B59" s="2082"/>
      <c r="C59" s="2082"/>
      <c r="D59" s="2082"/>
      <c r="E59" s="2089" t="s">
        <v>580</v>
      </c>
      <c r="F59" s="2089" t="s">
        <v>580</v>
      </c>
      <c r="G59" s="2089" t="s">
        <v>580</v>
      </c>
      <c r="H59" s="2089" t="s">
        <v>580</v>
      </c>
      <c r="I59" s="2082"/>
      <c r="J59" s="2082"/>
      <c r="K59" s="2089" t="s">
        <v>580</v>
      </c>
      <c r="L59" s="749"/>
      <c r="M59" s="750"/>
      <c r="N59" s="780"/>
      <c r="O59" s="780"/>
      <c r="P59" s="780"/>
      <c r="Q59" s="780"/>
      <c r="R59" s="780"/>
      <c r="S59" s="780"/>
      <c r="T59" s="780"/>
      <c r="U59" s="780"/>
      <c r="V59" s="750"/>
    </row>
    <row r="60" spans="1:22">
      <c r="A60" s="750"/>
      <c r="B60" s="750"/>
      <c r="C60" s="750"/>
      <c r="D60" s="2282"/>
      <c r="E60" s="750"/>
      <c r="F60" s="750"/>
      <c r="G60" s="750"/>
      <c r="H60" s="750"/>
      <c r="I60" s="750"/>
      <c r="J60" s="750"/>
      <c r="K60" s="750"/>
      <c r="L60" s="749"/>
      <c r="M60" s="750"/>
      <c r="N60" s="780"/>
      <c r="O60" s="780"/>
      <c r="P60" s="780"/>
      <c r="Q60" s="780"/>
      <c r="R60" s="780"/>
      <c r="S60" s="780"/>
      <c r="T60" s="780"/>
      <c r="U60" s="780"/>
      <c r="V60" s="750"/>
    </row>
    <row r="61" spans="1:22">
      <c r="A61" s="53">
        <v>1</v>
      </c>
      <c r="B61" s="53">
        <v>340</v>
      </c>
      <c r="C61" s="53">
        <v>3400</v>
      </c>
      <c r="D61" s="737" t="s">
        <v>608</v>
      </c>
      <c r="E61" s="643">
        <v>2258588</v>
      </c>
      <c r="F61" s="1157">
        <v>60115</v>
      </c>
      <c r="G61" s="643">
        <v>0</v>
      </c>
      <c r="H61" s="643">
        <v>0</v>
      </c>
      <c r="I61" s="2284"/>
      <c r="J61" s="2284"/>
      <c r="K61" s="30">
        <f t="shared" ref="K61:K72" si="1">E61+F61-G61+H61</f>
        <v>2318703</v>
      </c>
      <c r="L61" s="749"/>
      <c r="M61" s="749"/>
      <c r="N61" s="749"/>
      <c r="O61" s="749"/>
      <c r="P61" s="780"/>
      <c r="Q61" s="780"/>
      <c r="R61" s="780"/>
      <c r="S61" s="780"/>
      <c r="T61" s="780"/>
      <c r="U61" s="780"/>
      <c r="V61" s="750"/>
    </row>
    <row r="62" spans="1:22">
      <c r="A62" s="53">
        <v>2</v>
      </c>
      <c r="B62" s="53">
        <v>340</v>
      </c>
      <c r="C62" s="53">
        <v>3401</v>
      </c>
      <c r="D62" s="737" t="s">
        <v>622</v>
      </c>
      <c r="E62" s="643">
        <v>0</v>
      </c>
      <c r="F62" s="1157">
        <v>0</v>
      </c>
      <c r="G62" s="643">
        <v>0</v>
      </c>
      <c r="H62" s="643">
        <v>0</v>
      </c>
      <c r="I62" s="2284"/>
      <c r="J62" s="2284"/>
      <c r="K62" s="30">
        <f t="shared" si="1"/>
        <v>0</v>
      </c>
      <c r="L62" s="749"/>
      <c r="M62" s="749"/>
      <c r="N62" s="749"/>
      <c r="O62" s="749"/>
      <c r="P62" s="780"/>
      <c r="Q62" s="780"/>
      <c r="R62" s="780"/>
      <c r="S62" s="780"/>
      <c r="T62" s="780"/>
      <c r="U62" s="780"/>
      <c r="V62" s="750"/>
    </row>
    <row r="63" spans="1:22">
      <c r="A63" s="53">
        <v>3</v>
      </c>
      <c r="B63" s="53">
        <v>341</v>
      </c>
      <c r="C63" s="53">
        <v>3410</v>
      </c>
      <c r="D63" s="737" t="s">
        <v>609</v>
      </c>
      <c r="E63" s="643">
        <v>38133069</v>
      </c>
      <c r="F63" s="1157">
        <v>-467002</v>
      </c>
      <c r="G63" s="643">
        <v>15900</v>
      </c>
      <c r="H63" s="643">
        <v>0</v>
      </c>
      <c r="I63" s="2284"/>
      <c r="J63" s="2284"/>
      <c r="K63" s="30">
        <f t="shared" si="1"/>
        <v>37650167</v>
      </c>
      <c r="L63" s="749"/>
      <c r="M63" s="749"/>
      <c r="N63" s="749"/>
      <c r="O63" s="749"/>
      <c r="P63" s="780"/>
      <c r="Q63" s="780"/>
      <c r="R63" s="780"/>
      <c r="S63" s="780"/>
      <c r="T63" s="780"/>
      <c r="U63" s="780"/>
      <c r="V63" s="750"/>
    </row>
    <row r="64" spans="1:22">
      <c r="A64" s="53">
        <v>4</v>
      </c>
      <c r="B64" s="53">
        <v>342</v>
      </c>
      <c r="C64" s="53">
        <v>3420</v>
      </c>
      <c r="D64" s="737" t="s">
        <v>623</v>
      </c>
      <c r="E64" s="643">
        <v>61853385</v>
      </c>
      <c r="F64" s="1157">
        <v>1526598</v>
      </c>
      <c r="G64" s="643">
        <v>28380</v>
      </c>
      <c r="H64" s="643">
        <v>0</v>
      </c>
      <c r="I64" s="2284"/>
      <c r="J64" s="2284"/>
      <c r="K64" s="30">
        <f t="shared" si="1"/>
        <v>63351603</v>
      </c>
      <c r="L64" s="749"/>
      <c r="M64" s="749"/>
      <c r="N64" s="749"/>
      <c r="O64" s="749"/>
      <c r="P64" s="780"/>
      <c r="Q64" s="780"/>
      <c r="R64" s="780"/>
      <c r="S64" s="780"/>
      <c r="T64" s="780"/>
      <c r="U64" s="780"/>
      <c r="V64" s="750"/>
    </row>
    <row r="65" spans="1:22">
      <c r="A65" s="53">
        <v>5</v>
      </c>
      <c r="B65" s="53">
        <v>343</v>
      </c>
      <c r="C65" s="53" t="s">
        <v>624</v>
      </c>
      <c r="D65" s="737" t="s">
        <v>625</v>
      </c>
      <c r="E65" s="643">
        <v>10506034</v>
      </c>
      <c r="F65" s="1157">
        <v>489330</v>
      </c>
      <c r="G65" s="643">
        <v>796943</v>
      </c>
      <c r="H65" s="643">
        <v>0</v>
      </c>
      <c r="I65" s="2284"/>
      <c r="J65" s="2284"/>
      <c r="K65" s="30">
        <f t="shared" si="1"/>
        <v>10198421</v>
      </c>
      <c r="L65" s="749"/>
      <c r="M65" s="749"/>
      <c r="N65" s="749"/>
      <c r="O65" s="749"/>
      <c r="P65" s="780"/>
      <c r="Q65" s="780"/>
      <c r="R65" s="780"/>
      <c r="S65" s="780"/>
      <c r="T65" s="780"/>
      <c r="U65" s="780"/>
      <c r="V65" s="750"/>
    </row>
    <row r="66" spans="1:22">
      <c r="A66" s="53">
        <v>6</v>
      </c>
      <c r="B66" s="53">
        <v>344</v>
      </c>
      <c r="C66" s="53">
        <v>3440</v>
      </c>
      <c r="D66" s="737" t="s">
        <v>626</v>
      </c>
      <c r="E66" s="643">
        <v>213945135</v>
      </c>
      <c r="F66" s="1157">
        <v>11750588</v>
      </c>
      <c r="G66" s="643">
        <v>3376850</v>
      </c>
      <c r="H66" s="643">
        <v>0</v>
      </c>
      <c r="I66" s="2284"/>
      <c r="J66" s="2284"/>
      <c r="K66" s="30">
        <f t="shared" si="1"/>
        <v>222318873</v>
      </c>
      <c r="L66" s="749"/>
      <c r="M66" s="749"/>
      <c r="N66" s="749"/>
      <c r="O66" s="749"/>
      <c r="P66" s="780"/>
      <c r="Q66" s="780"/>
      <c r="R66" s="780"/>
      <c r="S66" s="780"/>
      <c r="T66" s="780"/>
      <c r="U66" s="780"/>
      <c r="V66" s="750"/>
    </row>
    <row r="67" spans="1:22">
      <c r="A67" s="53">
        <v>7</v>
      </c>
      <c r="B67" s="53">
        <v>344</v>
      </c>
      <c r="C67" s="53">
        <v>3446</v>
      </c>
      <c r="D67" s="737" t="s">
        <v>721</v>
      </c>
      <c r="E67" s="643">
        <v>11286818</v>
      </c>
      <c r="F67" s="1157">
        <v>4219874</v>
      </c>
      <c r="G67" s="643">
        <v>0</v>
      </c>
      <c r="H67" s="643">
        <v>0</v>
      </c>
      <c r="I67" s="2284"/>
      <c r="J67" s="2284"/>
      <c r="K67" s="30">
        <f t="shared" si="1"/>
        <v>15506692</v>
      </c>
      <c r="L67" s="749"/>
      <c r="M67" s="749"/>
      <c r="N67" s="749"/>
      <c r="O67" s="749"/>
      <c r="P67" s="780"/>
      <c r="Q67" s="780"/>
      <c r="R67" s="780"/>
      <c r="S67" s="780"/>
      <c r="T67" s="780"/>
      <c r="U67" s="780"/>
      <c r="V67" s="750"/>
    </row>
    <row r="68" spans="1:22">
      <c r="A68" s="53">
        <v>8</v>
      </c>
      <c r="B68" s="53">
        <v>345</v>
      </c>
      <c r="C68" s="53">
        <v>3450</v>
      </c>
      <c r="D68" s="737" t="s">
        <v>613</v>
      </c>
      <c r="E68" s="643">
        <v>19863027</v>
      </c>
      <c r="F68" s="1157">
        <v>698987</v>
      </c>
      <c r="G68" s="643">
        <v>42155</v>
      </c>
      <c r="H68" s="643">
        <v>0</v>
      </c>
      <c r="I68" s="2284"/>
      <c r="J68" s="2284"/>
      <c r="K68" s="30">
        <f t="shared" si="1"/>
        <v>20519859</v>
      </c>
      <c r="L68" s="749"/>
      <c r="M68" s="749"/>
      <c r="N68" s="749"/>
      <c r="O68" s="749"/>
      <c r="P68" s="780"/>
      <c r="Q68" s="780"/>
      <c r="R68" s="780"/>
      <c r="S68" s="780"/>
      <c r="T68" s="780"/>
      <c r="U68" s="780"/>
      <c r="V68" s="750"/>
    </row>
    <row r="69" spans="1:22">
      <c r="A69" s="53">
        <v>9</v>
      </c>
      <c r="B69" s="53">
        <v>345</v>
      </c>
      <c r="C69" s="53">
        <v>3456</v>
      </c>
      <c r="D69" s="737" t="s">
        <v>628</v>
      </c>
      <c r="E69" s="643">
        <v>5555718</v>
      </c>
      <c r="F69" s="1157">
        <v>-2018404</v>
      </c>
      <c r="G69" s="643">
        <v>0</v>
      </c>
      <c r="H69" s="643">
        <v>0</v>
      </c>
      <c r="I69" s="2284"/>
      <c r="J69" s="2284"/>
      <c r="K69" s="30">
        <f t="shared" si="1"/>
        <v>3537314</v>
      </c>
      <c r="L69" s="749"/>
      <c r="M69" s="749"/>
      <c r="N69" s="749"/>
      <c r="O69" s="749"/>
      <c r="P69" s="780"/>
      <c r="Q69" s="780"/>
      <c r="R69" s="780"/>
      <c r="S69" s="780"/>
      <c r="T69" s="780"/>
      <c r="U69" s="780"/>
      <c r="V69" s="750"/>
    </row>
    <row r="70" spans="1:22">
      <c r="A70" s="53">
        <v>10</v>
      </c>
      <c r="B70" s="53">
        <v>346</v>
      </c>
      <c r="C70" s="53">
        <v>3460</v>
      </c>
      <c r="D70" s="737" t="s">
        <v>629</v>
      </c>
      <c r="E70" s="643">
        <v>5680226</v>
      </c>
      <c r="F70" s="1157">
        <v>-382</v>
      </c>
      <c r="G70" s="643">
        <v>-20241</v>
      </c>
      <c r="H70" s="643">
        <v>0</v>
      </c>
      <c r="I70" s="2284"/>
      <c r="J70" s="2284"/>
      <c r="K70" s="30">
        <f t="shared" si="1"/>
        <v>5700085</v>
      </c>
      <c r="L70" s="749"/>
      <c r="M70" s="749"/>
      <c r="N70" s="749"/>
      <c r="O70" s="749"/>
      <c r="P70" s="780"/>
      <c r="Q70" s="780"/>
      <c r="R70" s="780"/>
      <c r="S70" s="780"/>
      <c r="T70" s="780"/>
      <c r="U70" s="780"/>
      <c r="V70" s="750"/>
    </row>
    <row r="71" spans="1:22">
      <c r="A71" s="53">
        <v>11</v>
      </c>
      <c r="B71" s="53">
        <v>347</v>
      </c>
      <c r="C71" s="53">
        <v>3476</v>
      </c>
      <c r="D71" s="737" t="s">
        <v>630</v>
      </c>
      <c r="E71" s="643">
        <v>442832</v>
      </c>
      <c r="F71" s="1157">
        <v>0</v>
      </c>
      <c r="G71" s="643">
        <v>0</v>
      </c>
      <c r="H71" s="643">
        <v>0</v>
      </c>
      <c r="I71" s="2284"/>
      <c r="J71" s="2284"/>
      <c r="K71" s="30">
        <f t="shared" si="1"/>
        <v>442832</v>
      </c>
      <c r="L71" s="749"/>
      <c r="M71" s="749"/>
      <c r="N71" s="749"/>
      <c r="O71" s="749"/>
      <c r="P71" s="780"/>
      <c r="Q71" s="780"/>
      <c r="R71" s="780"/>
      <c r="S71" s="780"/>
      <c r="T71" s="780"/>
      <c r="U71" s="780"/>
      <c r="V71" s="750"/>
    </row>
    <row r="72" spans="1:22">
      <c r="A72" s="53">
        <v>12</v>
      </c>
      <c r="B72" s="737"/>
      <c r="C72" s="737"/>
      <c r="D72" s="737" t="s">
        <v>617</v>
      </c>
      <c r="E72" s="643">
        <v>0</v>
      </c>
      <c r="F72" s="1157">
        <v>0</v>
      </c>
      <c r="G72" s="643">
        <v>0</v>
      </c>
      <c r="H72" s="643">
        <v>0</v>
      </c>
      <c r="I72" s="2284"/>
      <c r="J72" s="2284"/>
      <c r="K72" s="30">
        <f t="shared" si="1"/>
        <v>0</v>
      </c>
      <c r="L72" s="749"/>
      <c r="M72" s="749"/>
      <c r="N72" s="749"/>
      <c r="O72" s="749"/>
      <c r="P72" s="780"/>
      <c r="Q72" s="780"/>
      <c r="R72" s="780"/>
      <c r="S72" s="780"/>
      <c r="T72" s="780"/>
      <c r="U72" s="780"/>
      <c r="V72" s="750"/>
    </row>
    <row r="73" spans="1:22">
      <c r="A73" s="750"/>
      <c r="B73" s="750"/>
      <c r="C73" s="750"/>
      <c r="D73" s="750"/>
      <c r="E73" s="643"/>
      <c r="F73" s="1157"/>
      <c r="G73" s="1157"/>
      <c r="H73" s="643"/>
      <c r="I73" s="749"/>
      <c r="J73" s="749"/>
      <c r="K73" s="748"/>
      <c r="L73" s="749"/>
      <c r="M73" s="750"/>
      <c r="N73" s="780"/>
      <c r="O73" s="780"/>
      <c r="P73" s="780"/>
      <c r="Q73" s="780"/>
      <c r="R73" s="780"/>
      <c r="S73" s="780"/>
      <c r="T73" s="780"/>
      <c r="U73" s="780"/>
      <c r="V73" s="750"/>
    </row>
    <row r="74" spans="1:22">
      <c r="A74" s="750"/>
      <c r="B74" s="750"/>
      <c r="C74" s="750"/>
      <c r="D74" s="750"/>
      <c r="E74" s="750"/>
      <c r="F74" s="750"/>
      <c r="G74" s="750"/>
      <c r="H74" s="750"/>
      <c r="I74" s="750"/>
      <c r="J74" s="750"/>
      <c r="K74" s="748"/>
      <c r="L74" s="749"/>
      <c r="M74" s="750"/>
      <c r="N74" s="780"/>
      <c r="O74" s="780"/>
      <c r="P74" s="780"/>
      <c r="Q74" s="780"/>
      <c r="R74" s="780"/>
      <c r="S74" s="780"/>
      <c r="T74" s="780"/>
      <c r="U74" s="780"/>
      <c r="V74" s="750"/>
    </row>
    <row r="75" spans="1:22">
      <c r="A75" s="2082"/>
      <c r="B75" s="2082"/>
      <c r="C75" s="2082"/>
      <c r="D75" s="2082"/>
      <c r="E75" s="2082"/>
      <c r="F75" s="2082"/>
      <c r="G75" s="2082"/>
      <c r="H75" s="2082"/>
      <c r="I75" s="2082"/>
      <c r="J75" s="2082"/>
      <c r="K75" s="2084"/>
      <c r="L75" s="749"/>
      <c r="M75" s="750"/>
      <c r="N75" s="780"/>
      <c r="O75" s="780"/>
      <c r="P75" s="780"/>
      <c r="Q75" s="780"/>
      <c r="R75" s="780"/>
      <c r="S75" s="780"/>
      <c r="T75" s="780"/>
      <c r="U75" s="780"/>
      <c r="V75" s="750"/>
    </row>
    <row r="76" spans="1:22">
      <c r="A76" s="53">
        <f>A72+1</f>
        <v>13</v>
      </c>
      <c r="B76" s="750"/>
      <c r="C76" s="750"/>
      <c r="D76" s="737" t="s">
        <v>722</v>
      </c>
      <c r="E76" s="748">
        <f>SUM(E61:E74)</f>
        <v>369524832</v>
      </c>
      <c r="F76" s="748">
        <f>SUM(F61:F74)</f>
        <v>16259704</v>
      </c>
      <c r="G76" s="748">
        <f>SUM(G61:G74)</f>
        <v>4239987</v>
      </c>
      <c r="H76" s="748">
        <f>SUM(H61:H74)</f>
        <v>0</v>
      </c>
      <c r="I76" s="749"/>
      <c r="J76" s="749"/>
      <c r="K76" s="748">
        <f>SUM(K61:K74)</f>
        <v>381544549</v>
      </c>
      <c r="L76" s="749"/>
      <c r="M76" s="750"/>
      <c r="N76" s="780"/>
      <c r="O76" s="780"/>
      <c r="P76" s="780"/>
      <c r="Q76" s="780"/>
      <c r="R76" s="780"/>
      <c r="S76" s="780"/>
      <c r="T76" s="780"/>
      <c r="U76" s="780"/>
      <c r="V76" s="750"/>
    </row>
    <row r="77" spans="1:22">
      <c r="A77" s="1443"/>
      <c r="B77" s="1443"/>
      <c r="C77" s="1443"/>
      <c r="D77" s="1443"/>
      <c r="E77" s="1443"/>
      <c r="F77" s="1443"/>
      <c r="G77" s="1443"/>
      <c r="H77" s="1443"/>
      <c r="I77" s="1443"/>
      <c r="J77" s="1443"/>
      <c r="K77" s="1443"/>
      <c r="L77" s="749"/>
      <c r="M77" s="750"/>
      <c r="N77" s="780"/>
      <c r="O77" s="780"/>
      <c r="P77" s="780"/>
      <c r="Q77" s="780"/>
      <c r="R77" s="780"/>
      <c r="S77" s="780"/>
      <c r="T77" s="780"/>
      <c r="U77" s="780"/>
      <c r="V77" s="750"/>
    </row>
    <row r="78" spans="1:22">
      <c r="A78" s="52"/>
      <c r="B78" s="52"/>
      <c r="C78" s="52"/>
      <c r="D78" s="52"/>
      <c r="E78" s="55"/>
      <c r="F78" s="55"/>
      <c r="G78" s="55"/>
      <c r="H78" s="55"/>
      <c r="I78" s="58"/>
      <c r="J78" s="58"/>
      <c r="K78" s="55"/>
      <c r="L78" s="749"/>
      <c r="M78" s="750"/>
      <c r="N78" s="780"/>
      <c r="O78" s="780"/>
      <c r="P78" s="780"/>
      <c r="Q78" s="780"/>
      <c r="R78" s="780"/>
      <c r="S78" s="780"/>
      <c r="T78" s="780"/>
      <c r="U78" s="780"/>
      <c r="V78" s="750"/>
    </row>
    <row r="79" spans="1:22">
      <c r="A79" s="59" t="str">
        <f>COMPANY</f>
        <v>DUKE ENERGY KENTUCKY, INC.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749"/>
      <c r="M79" s="750"/>
      <c r="N79" s="780"/>
      <c r="O79" s="780"/>
      <c r="P79" s="780"/>
      <c r="Q79" s="780"/>
      <c r="R79" s="780"/>
      <c r="S79" s="780"/>
      <c r="T79" s="780"/>
      <c r="U79" s="780"/>
      <c r="V79" s="750"/>
    </row>
    <row r="80" spans="1:22">
      <c r="A80" s="59" t="str">
        <f>CASE</f>
        <v>CASE NO. 2024-00354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749"/>
      <c r="M80" s="750"/>
      <c r="N80" s="780"/>
      <c r="O80" s="780"/>
      <c r="P80" s="780"/>
      <c r="Q80" s="780"/>
      <c r="R80" s="780"/>
      <c r="S80" s="780"/>
      <c r="T80" s="780"/>
      <c r="U80" s="780"/>
      <c r="V80" s="750"/>
    </row>
    <row r="81" spans="1:22">
      <c r="A81" s="59" t="s">
        <v>706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749"/>
      <c r="M81" s="750"/>
      <c r="N81" s="780"/>
      <c r="O81" s="780"/>
      <c r="P81" s="780"/>
      <c r="Q81" s="780"/>
      <c r="R81" s="780"/>
      <c r="S81" s="780"/>
      <c r="T81" s="780"/>
      <c r="U81" s="780"/>
      <c r="V81" s="750"/>
    </row>
    <row r="82" spans="1:22">
      <c r="A82" s="59" t="str">
        <f>A4</f>
        <v>FROM MARCH 1, 2024 TO FEBRUARY 28, 2025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749"/>
      <c r="M82" s="750"/>
      <c r="N82" s="780"/>
      <c r="O82" s="780"/>
      <c r="P82" s="780"/>
      <c r="Q82" s="780"/>
      <c r="R82" s="780"/>
      <c r="S82" s="780"/>
      <c r="T82" s="780"/>
      <c r="U82" s="780"/>
      <c r="V82" s="750"/>
    </row>
    <row r="83" spans="1:22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749"/>
      <c r="M83" s="750"/>
      <c r="N83" s="780"/>
      <c r="O83" s="780"/>
      <c r="P83" s="780"/>
      <c r="Q83" s="780"/>
      <c r="R83" s="780"/>
      <c r="S83" s="780"/>
      <c r="T83" s="780"/>
      <c r="U83" s="780"/>
      <c r="V83" s="750"/>
    </row>
    <row r="84" spans="1:22">
      <c r="A84" s="59" t="s">
        <v>632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749"/>
      <c r="M84" s="750"/>
      <c r="N84" s="780"/>
      <c r="O84" s="780"/>
      <c r="P84" s="780"/>
      <c r="Q84" s="780"/>
      <c r="R84" s="780"/>
      <c r="S84" s="780"/>
      <c r="T84" s="780"/>
      <c r="U84" s="780"/>
      <c r="V84" s="750"/>
    </row>
    <row r="85" spans="1:22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749"/>
      <c r="M85" s="750"/>
      <c r="N85" s="780"/>
      <c r="O85" s="780"/>
      <c r="P85" s="780"/>
      <c r="Q85" s="780"/>
      <c r="R85" s="780"/>
      <c r="S85" s="780"/>
      <c r="T85" s="780"/>
      <c r="U85" s="780"/>
      <c r="V85" s="750"/>
    </row>
    <row r="86" spans="1:22">
      <c r="A86" s="1148" t="s">
        <v>529</v>
      </c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749"/>
      <c r="M86" s="750"/>
      <c r="N86" s="780"/>
      <c r="O86" s="780"/>
      <c r="P86" s="780"/>
      <c r="Q86" s="780"/>
      <c r="R86" s="780"/>
      <c r="S86" s="780"/>
      <c r="T86" s="780"/>
      <c r="U86" s="780"/>
      <c r="V86" s="750"/>
    </row>
    <row r="87" spans="1:22">
      <c r="A87" s="1148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749"/>
      <c r="M87" s="750"/>
      <c r="N87" s="780"/>
      <c r="O87" s="780"/>
      <c r="P87" s="780"/>
      <c r="Q87" s="780"/>
      <c r="R87" s="780"/>
      <c r="S87" s="780"/>
      <c r="T87" s="780"/>
      <c r="U87" s="780"/>
      <c r="V87" s="750"/>
    </row>
    <row r="88" spans="1:22">
      <c r="A88" s="737" t="str">
        <f>Data</f>
        <v>DATA: "X" BASE PERIOD   FORECASTED PERIOD</v>
      </c>
      <c r="B88" s="750"/>
      <c r="C88" s="750"/>
      <c r="D88" s="750"/>
      <c r="E88" s="750"/>
      <c r="F88" s="750"/>
      <c r="G88" s="750"/>
      <c r="H88" s="750"/>
      <c r="I88" s="750"/>
      <c r="J88" s="737" t="str">
        <f>J10</f>
        <v>SCHEDULE B-2.3</v>
      </c>
      <c r="K88" s="750"/>
      <c r="L88" s="749"/>
      <c r="M88" s="750"/>
      <c r="N88" s="780"/>
      <c r="O88" s="780"/>
      <c r="P88" s="780"/>
      <c r="Q88" s="780"/>
      <c r="R88" s="780"/>
      <c r="S88" s="780"/>
      <c r="T88" s="780"/>
      <c r="U88" s="780"/>
      <c r="V88" s="750"/>
    </row>
    <row r="89" spans="1:22">
      <c r="A89" s="737" t="str">
        <f>Type</f>
        <v xml:space="preserve">TYPE OF FILING:  "X" ORIGINAL   UPDATED    REVISED  </v>
      </c>
      <c r="B89" s="750"/>
      <c r="C89" s="750"/>
      <c r="D89" s="750"/>
      <c r="E89" s="750"/>
      <c r="F89" s="750"/>
      <c r="G89" s="750"/>
      <c r="H89" s="750"/>
      <c r="I89" s="750"/>
      <c r="J89" s="737" t="s">
        <v>633</v>
      </c>
      <c r="K89" s="750"/>
      <c r="L89" s="749"/>
      <c r="M89" s="750"/>
      <c r="N89" s="780"/>
      <c r="O89" s="780"/>
      <c r="P89" s="780"/>
      <c r="Q89" s="780"/>
      <c r="R89" s="780"/>
      <c r="S89" s="780"/>
      <c r="T89" s="780"/>
      <c r="U89" s="780"/>
      <c r="V89" s="750"/>
    </row>
    <row r="90" spans="1:22">
      <c r="A90" s="737" t="s">
        <v>694</v>
      </c>
      <c r="B90" s="750"/>
      <c r="C90" s="750"/>
      <c r="D90" s="750"/>
      <c r="E90" s="750"/>
      <c r="F90" s="750"/>
      <c r="G90" s="750"/>
      <c r="H90" s="750"/>
      <c r="I90" s="750"/>
      <c r="J90" s="750" t="s">
        <v>468</v>
      </c>
      <c r="K90" s="750"/>
      <c r="L90" s="749"/>
      <c r="M90" s="750"/>
      <c r="N90" s="780"/>
      <c r="O90" s="780"/>
      <c r="P90" s="780"/>
      <c r="Q90" s="780"/>
      <c r="R90" s="780"/>
      <c r="S90" s="780"/>
      <c r="T90" s="780"/>
      <c r="U90" s="780"/>
      <c r="V90" s="750"/>
    </row>
    <row r="91" spans="1:22">
      <c r="A91" s="750"/>
      <c r="B91" s="750"/>
      <c r="C91" s="750"/>
      <c r="D91" s="750"/>
      <c r="E91" s="750"/>
      <c r="F91" s="750"/>
      <c r="G91" s="750"/>
      <c r="H91" s="750"/>
      <c r="I91" s="750"/>
      <c r="J91" s="750" t="str">
        <f>J13</f>
        <v>G. S. CARPENTER / S. S. MITCHELL</v>
      </c>
      <c r="K91" s="750"/>
      <c r="L91" s="749"/>
      <c r="M91" s="750"/>
      <c r="N91" s="780"/>
      <c r="O91" s="780"/>
      <c r="P91" s="780"/>
      <c r="Q91" s="780"/>
      <c r="R91" s="780"/>
      <c r="S91" s="780"/>
      <c r="T91" s="780"/>
      <c r="U91" s="780"/>
      <c r="V91" s="750"/>
    </row>
    <row r="92" spans="1:22">
      <c r="A92" s="750"/>
      <c r="B92" s="750"/>
      <c r="C92" s="750"/>
      <c r="D92" s="750"/>
      <c r="E92" s="750"/>
      <c r="F92" s="750"/>
      <c r="G92" s="750"/>
      <c r="H92" s="750"/>
      <c r="I92" s="750"/>
      <c r="J92" s="750"/>
      <c r="K92" s="750"/>
      <c r="L92" s="749"/>
      <c r="M92" s="750"/>
      <c r="N92" s="780"/>
      <c r="O92" s="780"/>
      <c r="P92" s="780"/>
      <c r="Q92" s="780"/>
      <c r="R92" s="780"/>
      <c r="S92" s="780"/>
      <c r="T92" s="780"/>
      <c r="U92" s="780"/>
      <c r="V92" s="750"/>
    </row>
    <row r="93" spans="1:22">
      <c r="A93" s="750"/>
      <c r="B93" s="750"/>
      <c r="C93" s="750"/>
      <c r="D93" s="750"/>
      <c r="E93" s="750"/>
      <c r="F93" s="750"/>
      <c r="G93" s="750"/>
      <c r="H93" s="1443"/>
      <c r="I93" s="750"/>
      <c r="J93" s="750"/>
      <c r="K93" s="750"/>
      <c r="L93" s="749"/>
      <c r="M93" s="750"/>
      <c r="N93" s="780"/>
      <c r="O93" s="780"/>
      <c r="P93" s="780"/>
      <c r="Q93" s="780"/>
      <c r="R93" s="780"/>
      <c r="S93" s="780"/>
      <c r="T93" s="780"/>
      <c r="U93" s="780"/>
      <c r="V93" s="750"/>
    </row>
    <row r="94" spans="1:22">
      <c r="A94" s="2082"/>
      <c r="B94" s="2082"/>
      <c r="C94" s="2085"/>
      <c r="D94" s="2082"/>
      <c r="E94" s="2082"/>
      <c r="F94" s="2082"/>
      <c r="G94" s="2082"/>
      <c r="H94" s="780"/>
      <c r="I94" s="2082"/>
      <c r="J94" s="2082"/>
      <c r="K94" s="2082"/>
      <c r="L94" s="749"/>
      <c r="M94" s="750"/>
      <c r="N94" s="780"/>
      <c r="O94" s="780"/>
      <c r="P94" s="780"/>
      <c r="Q94" s="780"/>
      <c r="R94" s="780"/>
      <c r="S94" s="780"/>
      <c r="T94" s="780"/>
      <c r="U94" s="780"/>
      <c r="V94" s="750"/>
    </row>
    <row r="95" spans="1:22">
      <c r="A95" s="750"/>
      <c r="B95" s="53" t="s">
        <v>257</v>
      </c>
      <c r="C95" s="53" t="s">
        <v>605</v>
      </c>
      <c r="D95" s="750"/>
      <c r="E95" s="750"/>
      <c r="F95" s="750"/>
      <c r="G95" s="750"/>
      <c r="H95" s="1451" t="s">
        <v>708</v>
      </c>
      <c r="I95" s="1451"/>
      <c r="J95" s="1451"/>
      <c r="K95" s="750"/>
      <c r="L95" s="749"/>
      <c r="M95" s="750"/>
      <c r="N95" s="780"/>
      <c r="O95" s="780"/>
      <c r="P95" s="780"/>
      <c r="Q95" s="780"/>
      <c r="R95" s="780"/>
      <c r="S95" s="780"/>
      <c r="T95" s="780"/>
      <c r="U95" s="780"/>
      <c r="V95" s="750"/>
    </row>
    <row r="96" spans="1:22">
      <c r="A96" s="53" t="s">
        <v>573</v>
      </c>
      <c r="B96" s="53" t="s">
        <v>606</v>
      </c>
      <c r="C96" s="53" t="s">
        <v>606</v>
      </c>
      <c r="D96" s="53" t="s">
        <v>255</v>
      </c>
      <c r="E96" s="53" t="s">
        <v>709</v>
      </c>
      <c r="F96" s="750"/>
      <c r="G96" s="750"/>
      <c r="H96" s="2082"/>
      <c r="I96" s="2089" t="s">
        <v>710</v>
      </c>
      <c r="J96" s="2089" t="s">
        <v>711</v>
      </c>
      <c r="K96" s="53" t="s">
        <v>712</v>
      </c>
      <c r="L96" s="749"/>
      <c r="M96" s="750"/>
      <c r="N96" s="780"/>
      <c r="O96" s="780"/>
      <c r="P96" s="780"/>
      <c r="Q96" s="780"/>
      <c r="R96" s="780"/>
      <c r="S96" s="780"/>
      <c r="T96" s="780"/>
      <c r="U96" s="780"/>
      <c r="V96" s="750"/>
    </row>
    <row r="97" spans="1:22">
      <c r="A97" s="53" t="s">
        <v>576</v>
      </c>
      <c r="B97" s="53" t="s">
        <v>576</v>
      </c>
      <c r="C97" s="53" t="s">
        <v>576</v>
      </c>
      <c r="D97" s="53" t="s">
        <v>713</v>
      </c>
      <c r="E97" s="53" t="s">
        <v>556</v>
      </c>
      <c r="F97" s="53" t="s">
        <v>714</v>
      </c>
      <c r="G97" s="53" t="s">
        <v>715</v>
      </c>
      <c r="H97" s="53" t="s">
        <v>419</v>
      </c>
      <c r="I97" s="53" t="s">
        <v>716</v>
      </c>
      <c r="J97" s="53" t="s">
        <v>717</v>
      </c>
      <c r="K97" s="53" t="s">
        <v>556</v>
      </c>
      <c r="L97" s="749"/>
      <c r="M97" s="750"/>
      <c r="N97" s="780"/>
      <c r="O97" s="780"/>
      <c r="P97" s="780"/>
      <c r="Q97" s="780"/>
      <c r="R97" s="780"/>
      <c r="S97" s="780"/>
      <c r="T97" s="780"/>
      <c r="U97" s="780"/>
      <c r="V97" s="750"/>
    </row>
    <row r="98" spans="1:22">
      <c r="A98" s="750"/>
      <c r="B98" s="750"/>
      <c r="C98" s="750"/>
      <c r="D98" s="750"/>
      <c r="E98" s="750"/>
      <c r="F98" s="750"/>
      <c r="G98" s="750"/>
      <c r="H98" s="750"/>
      <c r="I98" s="750"/>
      <c r="J98" s="750"/>
      <c r="K98" s="750"/>
      <c r="L98" s="749"/>
      <c r="M98" s="750"/>
      <c r="N98" s="780"/>
      <c r="O98" s="780"/>
      <c r="P98" s="780"/>
      <c r="Q98" s="780"/>
      <c r="R98" s="780"/>
      <c r="S98" s="780"/>
      <c r="T98" s="780"/>
      <c r="U98" s="780"/>
      <c r="V98" s="750"/>
    </row>
    <row r="99" spans="1:22">
      <c r="A99" s="2082"/>
      <c r="B99" s="2082"/>
      <c r="C99" s="2082"/>
      <c r="D99" s="2082"/>
      <c r="E99" s="2089" t="s">
        <v>580</v>
      </c>
      <c r="F99" s="2089" t="s">
        <v>580</v>
      </c>
      <c r="G99" s="2089" t="s">
        <v>580</v>
      </c>
      <c r="H99" s="2089" t="s">
        <v>580</v>
      </c>
      <c r="I99" s="2082"/>
      <c r="J99" s="2082"/>
      <c r="K99" s="2089" t="s">
        <v>580</v>
      </c>
      <c r="L99" s="749"/>
      <c r="M99" s="750"/>
      <c r="N99" s="780"/>
      <c r="O99" s="780"/>
      <c r="P99" s="780"/>
      <c r="Q99" s="780"/>
      <c r="R99" s="780"/>
      <c r="S99" s="780"/>
      <c r="T99" s="780"/>
      <c r="U99" s="780"/>
      <c r="V99" s="750"/>
    </row>
    <row r="100" spans="1:22">
      <c r="A100" s="750"/>
      <c r="B100" s="750"/>
      <c r="C100" s="750"/>
      <c r="D100" s="750"/>
      <c r="E100" s="750"/>
      <c r="F100" s="750"/>
      <c r="G100" s="750"/>
      <c r="H100" s="750"/>
      <c r="I100" s="750"/>
      <c r="J100" s="750"/>
      <c r="K100" s="750"/>
      <c r="L100" s="749"/>
      <c r="M100" s="750"/>
      <c r="N100" s="780"/>
      <c r="O100" s="780"/>
      <c r="P100" s="780"/>
      <c r="Q100" s="780"/>
      <c r="R100" s="780"/>
      <c r="S100" s="780"/>
      <c r="T100" s="780"/>
      <c r="U100" s="780"/>
      <c r="V100" s="750"/>
    </row>
    <row r="101" spans="1:22">
      <c r="A101" s="53">
        <v>1</v>
      </c>
      <c r="B101" s="33">
        <v>350</v>
      </c>
      <c r="C101" s="33">
        <v>3500</v>
      </c>
      <c r="D101" s="32" t="s">
        <v>634</v>
      </c>
      <c r="E101" s="643">
        <v>308628</v>
      </c>
      <c r="F101" s="643">
        <v>5517</v>
      </c>
      <c r="G101" s="643">
        <v>0</v>
      </c>
      <c r="H101" s="643">
        <v>0</v>
      </c>
      <c r="I101" s="643"/>
      <c r="J101" s="643"/>
      <c r="K101" s="30">
        <f t="shared" ref="K101:K111" si="2">E101+F101-G101+H101</f>
        <v>314145</v>
      </c>
      <c r="L101" s="749"/>
      <c r="M101" s="749"/>
      <c r="N101" s="749"/>
      <c r="O101" s="749"/>
      <c r="P101" s="780"/>
      <c r="Q101" s="780"/>
      <c r="R101" s="780"/>
      <c r="S101" s="780"/>
      <c r="T101" s="780"/>
      <c r="U101" s="780"/>
      <c r="V101" s="750"/>
    </row>
    <row r="102" spans="1:22">
      <c r="A102" s="53">
        <v>2</v>
      </c>
      <c r="B102" s="33">
        <v>350</v>
      </c>
      <c r="C102" s="33">
        <v>3501</v>
      </c>
      <c r="D102" s="32" t="s">
        <v>622</v>
      </c>
      <c r="E102" s="643">
        <v>9209257</v>
      </c>
      <c r="F102" s="643">
        <v>165236</v>
      </c>
      <c r="G102" s="643">
        <v>0</v>
      </c>
      <c r="H102" s="643">
        <v>0</v>
      </c>
      <c r="I102" s="643"/>
      <c r="J102" s="643"/>
      <c r="K102" s="30">
        <f t="shared" si="2"/>
        <v>9374493</v>
      </c>
      <c r="L102" s="749"/>
      <c r="M102" s="749"/>
      <c r="N102" s="749"/>
      <c r="O102" s="749"/>
      <c r="P102" s="780"/>
      <c r="Q102" s="780"/>
      <c r="R102" s="780"/>
      <c r="S102" s="780"/>
      <c r="T102" s="780"/>
      <c r="U102" s="780"/>
      <c r="V102" s="750"/>
    </row>
    <row r="103" spans="1:22">
      <c r="A103" s="53">
        <v>3</v>
      </c>
      <c r="B103" s="33">
        <v>352</v>
      </c>
      <c r="C103" s="33">
        <v>3520</v>
      </c>
      <c r="D103" s="32" t="s">
        <v>609</v>
      </c>
      <c r="E103" s="643">
        <v>6033046</v>
      </c>
      <c r="F103" s="643">
        <v>114122</v>
      </c>
      <c r="G103" s="643">
        <v>0</v>
      </c>
      <c r="H103" s="643">
        <v>0</v>
      </c>
      <c r="I103" s="643"/>
      <c r="J103" s="643"/>
      <c r="K103" s="30">
        <f t="shared" si="2"/>
        <v>6147168</v>
      </c>
      <c r="L103" s="749"/>
      <c r="M103" s="749"/>
      <c r="N103" s="749"/>
      <c r="O103" s="749"/>
      <c r="P103" s="780"/>
      <c r="Q103" s="780"/>
      <c r="R103" s="780"/>
      <c r="S103" s="780"/>
      <c r="T103" s="780"/>
      <c r="U103" s="780"/>
      <c r="V103" s="750"/>
    </row>
    <row r="104" spans="1:22" s="1162" customFormat="1">
      <c r="A104" s="1158">
        <v>4</v>
      </c>
      <c r="B104" s="33">
        <v>353</v>
      </c>
      <c r="C104" s="33">
        <v>3530</v>
      </c>
      <c r="D104" s="32" t="s">
        <v>635</v>
      </c>
      <c r="E104" s="2285">
        <v>30652485</v>
      </c>
      <c r="F104" s="2285">
        <v>2589180</v>
      </c>
      <c r="G104" s="2285">
        <v>22396</v>
      </c>
      <c r="H104" s="2285">
        <v>0</v>
      </c>
      <c r="I104" s="2285"/>
      <c r="J104" s="2285"/>
      <c r="K104" s="1159">
        <f t="shared" si="2"/>
        <v>33219269</v>
      </c>
      <c r="L104" s="749"/>
      <c r="M104" s="749"/>
      <c r="N104" s="749"/>
      <c r="O104" s="749"/>
      <c r="P104" s="1161"/>
      <c r="Q104" s="1161"/>
      <c r="R104" s="1161"/>
      <c r="S104" s="1161"/>
      <c r="T104" s="1161"/>
      <c r="U104" s="1161"/>
      <c r="V104" s="1160"/>
    </row>
    <row r="105" spans="1:22" s="1162" customFormat="1">
      <c r="A105" s="53">
        <v>5</v>
      </c>
      <c r="B105" s="33">
        <v>353</v>
      </c>
      <c r="C105" s="33">
        <v>3531</v>
      </c>
      <c r="D105" s="32" t="s">
        <v>636</v>
      </c>
      <c r="E105" s="2285">
        <v>9637832</v>
      </c>
      <c r="F105" s="2285">
        <v>-96625</v>
      </c>
      <c r="G105" s="2285">
        <v>0</v>
      </c>
      <c r="H105" s="2285">
        <v>0</v>
      </c>
      <c r="I105" s="2285"/>
      <c r="J105" s="2285"/>
      <c r="K105" s="1159">
        <f t="shared" si="2"/>
        <v>9541207</v>
      </c>
      <c r="L105" s="749"/>
      <c r="M105" s="749"/>
      <c r="N105" s="749"/>
      <c r="O105" s="749"/>
      <c r="P105" s="1161"/>
      <c r="Q105" s="1161"/>
      <c r="R105" s="1161"/>
      <c r="S105" s="1161"/>
      <c r="T105" s="1161"/>
      <c r="U105" s="1161"/>
      <c r="V105" s="1160"/>
    </row>
    <row r="106" spans="1:22" s="1162" customFormat="1">
      <c r="A106" s="53">
        <v>6</v>
      </c>
      <c r="B106" s="33">
        <v>353</v>
      </c>
      <c r="C106" s="33">
        <v>3532</v>
      </c>
      <c r="D106" s="32" t="s">
        <v>637</v>
      </c>
      <c r="E106" s="2285">
        <v>11448634</v>
      </c>
      <c r="F106" s="2285">
        <v>204668</v>
      </c>
      <c r="G106" s="2285">
        <v>0</v>
      </c>
      <c r="H106" s="2285">
        <v>0</v>
      </c>
      <c r="I106" s="2285"/>
      <c r="J106" s="2285"/>
      <c r="K106" s="1159">
        <f t="shared" si="2"/>
        <v>11653302</v>
      </c>
      <c r="L106" s="749"/>
      <c r="M106" s="749"/>
      <c r="N106" s="749"/>
      <c r="O106" s="749"/>
      <c r="P106" s="1161"/>
      <c r="Q106" s="1161"/>
      <c r="R106" s="1161"/>
      <c r="S106" s="1161"/>
      <c r="T106" s="1161"/>
      <c r="U106" s="1161"/>
      <c r="V106" s="1160"/>
    </row>
    <row r="107" spans="1:22" s="1162" customFormat="1">
      <c r="A107" s="53">
        <v>7</v>
      </c>
      <c r="B107" s="33">
        <v>353</v>
      </c>
      <c r="C107" s="33">
        <v>3534</v>
      </c>
      <c r="D107" s="32" t="s">
        <v>638</v>
      </c>
      <c r="E107" s="2285">
        <v>7669077</v>
      </c>
      <c r="F107" s="2285">
        <v>137101</v>
      </c>
      <c r="G107" s="2285">
        <v>0</v>
      </c>
      <c r="H107" s="2285">
        <v>0</v>
      </c>
      <c r="I107" s="2285"/>
      <c r="J107" s="2285"/>
      <c r="K107" s="1159">
        <f t="shared" si="2"/>
        <v>7806178</v>
      </c>
      <c r="L107" s="749"/>
      <c r="M107" s="749"/>
      <c r="N107" s="749"/>
      <c r="O107" s="749"/>
      <c r="P107" s="1161"/>
      <c r="Q107" s="1161"/>
      <c r="R107" s="1161"/>
      <c r="S107" s="1161"/>
      <c r="T107" s="1161"/>
      <c r="U107" s="1161"/>
      <c r="V107" s="1160"/>
    </row>
    <row r="108" spans="1:22">
      <c r="A108" s="1158">
        <v>8</v>
      </c>
      <c r="B108" s="33">
        <v>355</v>
      </c>
      <c r="C108" s="33">
        <v>3550</v>
      </c>
      <c r="D108" s="32" t="s">
        <v>639</v>
      </c>
      <c r="E108" s="643">
        <v>42628147</v>
      </c>
      <c r="F108" s="643">
        <v>219724</v>
      </c>
      <c r="G108" s="643">
        <v>1363481</v>
      </c>
      <c r="H108" s="643">
        <v>0</v>
      </c>
      <c r="I108" s="643"/>
      <c r="J108" s="643"/>
      <c r="K108" s="30">
        <f t="shared" si="2"/>
        <v>41484390</v>
      </c>
      <c r="L108" s="749"/>
      <c r="M108" s="749"/>
      <c r="N108" s="749"/>
      <c r="O108" s="749"/>
      <c r="P108" s="780"/>
      <c r="Q108" s="780"/>
      <c r="R108" s="780"/>
      <c r="S108" s="780"/>
      <c r="T108" s="780"/>
      <c r="U108" s="780"/>
      <c r="V108" s="750"/>
    </row>
    <row r="109" spans="1:22">
      <c r="A109" s="53">
        <v>9</v>
      </c>
      <c r="B109" s="33">
        <v>356</v>
      </c>
      <c r="C109" s="33">
        <v>3560</v>
      </c>
      <c r="D109" s="32" t="s">
        <v>640</v>
      </c>
      <c r="E109" s="643">
        <v>14994050</v>
      </c>
      <c r="F109" s="643">
        <v>4935896</v>
      </c>
      <c r="G109" s="643">
        <v>3376</v>
      </c>
      <c r="H109" s="643">
        <v>0</v>
      </c>
      <c r="I109" s="643"/>
      <c r="J109" s="643"/>
      <c r="K109" s="30">
        <f t="shared" si="2"/>
        <v>19926570</v>
      </c>
      <c r="L109" s="749"/>
      <c r="M109" s="749"/>
      <c r="N109" s="749"/>
      <c r="O109" s="749"/>
      <c r="P109" s="780"/>
      <c r="Q109" s="780"/>
      <c r="R109" s="780"/>
      <c r="S109" s="780"/>
      <c r="T109" s="780"/>
      <c r="U109" s="780"/>
      <c r="V109" s="750"/>
    </row>
    <row r="110" spans="1:22">
      <c r="A110" s="53">
        <v>10</v>
      </c>
      <c r="B110" s="33">
        <v>356</v>
      </c>
      <c r="C110" s="33">
        <v>3561</v>
      </c>
      <c r="D110" s="32" t="s">
        <v>641</v>
      </c>
      <c r="E110" s="643">
        <v>2773383</v>
      </c>
      <c r="F110" s="643">
        <v>133316</v>
      </c>
      <c r="G110" s="643">
        <v>0</v>
      </c>
      <c r="H110" s="643">
        <v>0</v>
      </c>
      <c r="I110" s="643"/>
      <c r="J110" s="643"/>
      <c r="K110" s="30">
        <f t="shared" si="2"/>
        <v>2906699</v>
      </c>
      <c r="L110" s="749"/>
      <c r="M110" s="749"/>
      <c r="N110" s="749"/>
      <c r="O110" s="749"/>
      <c r="P110" s="780"/>
      <c r="Q110" s="780"/>
      <c r="R110" s="780"/>
      <c r="S110" s="780"/>
      <c r="T110" s="780"/>
      <c r="U110" s="780"/>
      <c r="V110" s="750"/>
    </row>
    <row r="111" spans="1:22">
      <c r="A111" s="53">
        <v>11</v>
      </c>
      <c r="B111" s="32"/>
      <c r="C111" s="32"/>
      <c r="D111" s="32" t="s">
        <v>617</v>
      </c>
      <c r="E111" s="643">
        <v>0</v>
      </c>
      <c r="F111" s="643">
        <v>0</v>
      </c>
      <c r="G111" s="643">
        <v>0</v>
      </c>
      <c r="H111" s="643">
        <v>0</v>
      </c>
      <c r="I111" s="643"/>
      <c r="J111" s="643"/>
      <c r="K111" s="30">
        <f t="shared" si="2"/>
        <v>0</v>
      </c>
      <c r="L111" s="749"/>
      <c r="M111" s="749"/>
      <c r="N111" s="780"/>
      <c r="O111" s="780"/>
      <c r="P111" s="780"/>
      <c r="Q111" s="780"/>
      <c r="R111" s="780"/>
      <c r="S111" s="780"/>
      <c r="T111" s="780"/>
      <c r="U111" s="780"/>
      <c r="V111" s="750"/>
    </row>
    <row r="112" spans="1:22">
      <c r="A112" s="53"/>
      <c r="B112" s="32"/>
      <c r="C112" s="32"/>
      <c r="D112" s="32"/>
      <c r="E112" s="30"/>
      <c r="F112" s="30"/>
      <c r="G112" s="30"/>
      <c r="H112" s="30"/>
      <c r="I112" s="30"/>
      <c r="J112" s="30"/>
      <c r="K112" s="30"/>
      <c r="L112" s="749"/>
      <c r="M112" s="750"/>
      <c r="N112" s="780"/>
      <c r="O112" s="780"/>
      <c r="P112" s="780"/>
      <c r="Q112" s="780"/>
      <c r="R112" s="780"/>
      <c r="S112" s="780"/>
      <c r="T112" s="780"/>
      <c r="U112" s="780"/>
      <c r="V112" s="750"/>
    </row>
    <row r="113" spans="1:22">
      <c r="A113" s="750"/>
      <c r="B113" s="750"/>
      <c r="C113" s="750"/>
      <c r="D113" s="750"/>
      <c r="E113" s="748"/>
      <c r="F113" s="1163"/>
      <c r="G113" s="748"/>
      <c r="H113" s="748"/>
      <c r="I113" s="748"/>
      <c r="J113" s="748"/>
      <c r="K113" s="748"/>
      <c r="L113" s="749"/>
      <c r="M113" s="750"/>
      <c r="N113" s="780"/>
      <c r="O113" s="780"/>
      <c r="P113" s="780"/>
      <c r="Q113" s="780"/>
      <c r="R113" s="780"/>
      <c r="S113" s="780"/>
      <c r="T113" s="780"/>
      <c r="U113" s="780"/>
      <c r="V113" s="750"/>
    </row>
    <row r="114" spans="1:22">
      <c r="A114" s="2082"/>
      <c r="B114" s="2082"/>
      <c r="C114" s="2082"/>
      <c r="D114" s="2082"/>
      <c r="E114" s="2084"/>
      <c r="F114" s="2093"/>
      <c r="G114" s="2084"/>
      <c r="H114" s="2084"/>
      <c r="I114" s="2084"/>
      <c r="J114" s="2092"/>
      <c r="K114" s="2084"/>
      <c r="L114" s="749"/>
      <c r="M114" s="750"/>
      <c r="N114" s="780"/>
      <c r="O114" s="780"/>
      <c r="P114" s="780"/>
      <c r="Q114" s="780"/>
      <c r="R114" s="780"/>
      <c r="S114" s="780"/>
      <c r="T114" s="780"/>
      <c r="U114" s="780"/>
      <c r="V114" s="750"/>
    </row>
    <row r="115" spans="1:22">
      <c r="A115" s="53">
        <v>12</v>
      </c>
      <c r="B115" s="750"/>
      <c r="C115" s="750"/>
      <c r="D115" s="737" t="s">
        <v>642</v>
      </c>
      <c r="E115" s="748">
        <f>SUM(E101:E111)</f>
        <v>135354539</v>
      </c>
      <c r="F115" s="748">
        <f>SUM(F101:F111)</f>
        <v>8408135</v>
      </c>
      <c r="G115" s="748">
        <f>SUM(G101:G111)</f>
        <v>1389253</v>
      </c>
      <c r="H115" s="748">
        <f>SUM(H101:H111)</f>
        <v>0</v>
      </c>
      <c r="I115" s="748"/>
      <c r="J115" s="749"/>
      <c r="K115" s="748">
        <f>SUM(K101:K111)</f>
        <v>142373421</v>
      </c>
      <c r="L115" s="749"/>
      <c r="M115" s="750"/>
      <c r="N115" s="780"/>
      <c r="O115" s="780"/>
      <c r="P115" s="780"/>
      <c r="Q115" s="780"/>
      <c r="R115" s="780"/>
      <c r="S115" s="780"/>
      <c r="T115" s="780"/>
      <c r="U115" s="780"/>
      <c r="V115" s="750"/>
    </row>
    <row r="116" spans="1:22">
      <c r="A116" s="1443"/>
      <c r="B116" s="1443"/>
      <c r="C116" s="1443"/>
      <c r="D116" s="1443"/>
      <c r="E116" s="1447"/>
      <c r="F116" s="1452"/>
      <c r="G116" s="1447"/>
      <c r="H116" s="1447"/>
      <c r="I116" s="1447"/>
      <c r="J116" s="1447"/>
      <c r="K116" s="1447"/>
      <c r="L116" s="749"/>
      <c r="M116" s="750"/>
      <c r="N116" s="780"/>
      <c r="O116" s="780"/>
      <c r="P116" s="780"/>
      <c r="Q116" s="780"/>
      <c r="R116" s="780"/>
      <c r="S116" s="780"/>
      <c r="T116" s="780"/>
      <c r="U116" s="780"/>
      <c r="V116" s="750"/>
    </row>
    <row r="117" spans="1:22">
      <c r="A117" s="750"/>
      <c r="B117" s="750"/>
      <c r="C117" s="750"/>
      <c r="D117" s="750"/>
      <c r="E117" s="748"/>
      <c r="F117" s="748"/>
      <c r="G117" s="748"/>
      <c r="H117" s="748"/>
      <c r="I117" s="749"/>
      <c r="J117" s="749"/>
      <c r="K117" s="748"/>
      <c r="L117" s="749"/>
      <c r="M117" s="750"/>
      <c r="N117" s="780"/>
      <c r="O117" s="780"/>
      <c r="P117" s="780"/>
      <c r="Q117" s="780"/>
      <c r="R117" s="780"/>
      <c r="S117" s="780"/>
      <c r="T117" s="780"/>
      <c r="U117" s="780"/>
      <c r="V117" s="750"/>
    </row>
    <row r="118" spans="1:22">
      <c r="A118" s="59" t="str">
        <f>A1</f>
        <v>DUKE ENERGY KENTUCKY, INC.</v>
      </c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750"/>
      <c r="M118" s="749"/>
      <c r="N118" s="750"/>
      <c r="O118" s="750"/>
      <c r="P118" s="750"/>
      <c r="Q118" s="750"/>
      <c r="R118" s="750"/>
      <c r="S118" s="750"/>
      <c r="T118" s="750"/>
      <c r="U118" s="750"/>
      <c r="V118" s="750"/>
    </row>
    <row r="119" spans="1:22">
      <c r="A119" s="59" t="str">
        <f>A2</f>
        <v>CASE NO. 2024-00354</v>
      </c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750"/>
      <c r="M119" s="749"/>
      <c r="N119" s="750"/>
      <c r="O119" s="750"/>
      <c r="P119" s="750"/>
      <c r="Q119" s="750"/>
      <c r="R119" s="750"/>
      <c r="S119" s="750"/>
      <c r="T119" s="750"/>
      <c r="U119" s="750"/>
      <c r="V119" s="750"/>
    </row>
    <row r="120" spans="1:22">
      <c r="A120" s="59" t="str">
        <f>A3</f>
        <v>GROSS ADDITIONS, RETIREMENTS, AND TRANSFERS</v>
      </c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750"/>
      <c r="M120" s="749"/>
      <c r="N120" s="750"/>
      <c r="O120" s="750"/>
      <c r="P120" s="750"/>
      <c r="Q120" s="750"/>
      <c r="R120" s="750"/>
      <c r="S120" s="750"/>
      <c r="T120" s="750"/>
      <c r="U120" s="750"/>
      <c r="V120" s="750"/>
    </row>
    <row r="121" spans="1:22">
      <c r="A121" s="59" t="str">
        <f>A4</f>
        <v>FROM MARCH 1, 2024 TO FEBRUARY 28, 2025</v>
      </c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750"/>
      <c r="M121" s="749"/>
      <c r="N121" s="750"/>
      <c r="O121" s="750"/>
      <c r="P121" s="750"/>
      <c r="Q121" s="750"/>
      <c r="R121" s="750"/>
      <c r="S121" s="750"/>
      <c r="T121" s="750"/>
      <c r="U121" s="750"/>
      <c r="V121" s="750"/>
    </row>
    <row r="122" spans="1:22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750"/>
      <c r="M122" s="749"/>
      <c r="N122" s="750"/>
      <c r="O122" s="750"/>
      <c r="P122" s="750"/>
      <c r="Q122" s="750"/>
      <c r="R122" s="750"/>
      <c r="S122" s="750"/>
      <c r="T122" s="750"/>
      <c r="U122" s="750"/>
      <c r="V122" s="750"/>
    </row>
    <row r="123" spans="1:22">
      <c r="A123" s="59" t="s">
        <v>643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750"/>
      <c r="M123" s="749"/>
      <c r="N123" s="750"/>
      <c r="O123" s="750"/>
      <c r="P123" s="750"/>
      <c r="Q123" s="750"/>
      <c r="R123" s="750"/>
      <c r="S123" s="750"/>
      <c r="T123" s="750"/>
      <c r="U123" s="750"/>
      <c r="V123" s="750"/>
    </row>
    <row r="124" spans="1:22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750"/>
      <c r="M124" s="749"/>
      <c r="N124" s="750"/>
      <c r="O124" s="750"/>
      <c r="P124" s="750"/>
      <c r="Q124" s="750"/>
      <c r="R124" s="750"/>
      <c r="S124" s="750"/>
      <c r="T124" s="750"/>
      <c r="U124" s="750"/>
      <c r="V124" s="750"/>
    </row>
    <row r="125" spans="1:22">
      <c r="A125" s="1148" t="s">
        <v>529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750"/>
      <c r="M125" s="749"/>
      <c r="N125" s="750"/>
      <c r="O125" s="750"/>
      <c r="P125" s="750"/>
      <c r="Q125" s="750"/>
      <c r="R125" s="750"/>
      <c r="S125" s="750"/>
      <c r="T125" s="750"/>
      <c r="U125" s="750"/>
      <c r="V125" s="750"/>
    </row>
    <row r="126" spans="1:22">
      <c r="A126" s="1148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750"/>
      <c r="M126" s="749"/>
      <c r="N126" s="750"/>
      <c r="O126" s="750"/>
      <c r="P126" s="750"/>
      <c r="Q126" s="750"/>
      <c r="R126" s="750"/>
      <c r="S126" s="750"/>
      <c r="T126" s="750"/>
      <c r="U126" s="750"/>
      <c r="V126" s="750"/>
    </row>
    <row r="127" spans="1:22">
      <c r="A127" s="737" t="str">
        <f>Data</f>
        <v>DATA: "X" BASE PERIOD   FORECASTED PERIOD</v>
      </c>
      <c r="B127" s="750"/>
      <c r="C127" s="750"/>
      <c r="D127" s="750"/>
      <c r="E127" s="750"/>
      <c r="F127" s="750"/>
      <c r="G127" s="750"/>
      <c r="H127" s="750"/>
      <c r="I127" s="750"/>
      <c r="J127" s="737" t="str">
        <f>J10</f>
        <v>SCHEDULE B-2.3</v>
      </c>
      <c r="K127" s="750"/>
      <c r="L127" s="750"/>
      <c r="M127" s="749"/>
      <c r="N127" s="750"/>
      <c r="O127" s="750"/>
      <c r="P127" s="750"/>
      <c r="Q127" s="750"/>
      <c r="R127" s="750"/>
      <c r="S127" s="750"/>
      <c r="T127" s="750"/>
      <c r="U127" s="750"/>
      <c r="V127" s="750"/>
    </row>
    <row r="128" spans="1:22">
      <c r="A128" s="737" t="str">
        <f>A11</f>
        <v xml:space="preserve">TYPE OF FILING:  "X" ORIGINAL   UPDATED    REVISED  </v>
      </c>
      <c r="B128" s="750"/>
      <c r="C128" s="750"/>
      <c r="D128" s="750"/>
      <c r="E128" s="750"/>
      <c r="F128" s="750"/>
      <c r="G128" s="750"/>
      <c r="H128" s="750"/>
      <c r="I128" s="750"/>
      <c r="J128" s="737" t="s">
        <v>644</v>
      </c>
      <c r="K128" s="750"/>
      <c r="L128" s="750"/>
      <c r="M128" s="749"/>
      <c r="N128" s="750"/>
      <c r="O128" s="750"/>
      <c r="P128" s="750"/>
      <c r="Q128" s="750"/>
      <c r="R128" s="750"/>
      <c r="S128" s="750"/>
      <c r="T128" s="750"/>
      <c r="U128" s="750"/>
      <c r="V128" s="750"/>
    </row>
    <row r="129" spans="1:22">
      <c r="A129" s="737" t="str">
        <f>A12</f>
        <v>WORK PAPER REFERENCE NO(S).:</v>
      </c>
      <c r="B129" s="750"/>
      <c r="C129" s="750"/>
      <c r="D129" s="750"/>
      <c r="E129" s="750"/>
      <c r="F129" s="750"/>
      <c r="G129" s="750"/>
      <c r="H129" s="750"/>
      <c r="I129" s="750"/>
      <c r="J129" s="750" t="s">
        <v>468</v>
      </c>
      <c r="K129" s="750"/>
      <c r="L129" s="750"/>
      <c r="M129" s="749"/>
      <c r="N129" s="750"/>
      <c r="O129" s="750"/>
      <c r="P129" s="750"/>
      <c r="Q129" s="750"/>
      <c r="R129" s="750"/>
      <c r="S129" s="750"/>
      <c r="T129" s="750"/>
      <c r="U129" s="750"/>
      <c r="V129" s="750"/>
    </row>
    <row r="130" spans="1:22">
      <c r="A130" s="750"/>
      <c r="B130" s="750"/>
      <c r="C130" s="750"/>
      <c r="D130" s="750"/>
      <c r="E130" s="750"/>
      <c r="F130" s="750"/>
      <c r="G130" s="750"/>
      <c r="H130" s="750"/>
      <c r="I130" s="750"/>
      <c r="J130" s="750" t="str">
        <f>J13</f>
        <v>G. S. CARPENTER / S. S. MITCHELL</v>
      </c>
      <c r="K130" s="750"/>
      <c r="L130" s="750"/>
      <c r="M130" s="749"/>
      <c r="N130" s="750"/>
      <c r="O130" s="750"/>
      <c r="P130" s="750"/>
      <c r="Q130" s="750"/>
      <c r="R130" s="750"/>
      <c r="S130" s="750"/>
      <c r="T130" s="750"/>
      <c r="U130" s="750"/>
      <c r="V130" s="750"/>
    </row>
    <row r="131" spans="1:22">
      <c r="A131" s="750"/>
      <c r="B131" s="750"/>
      <c r="C131" s="750"/>
      <c r="D131" s="750"/>
      <c r="E131" s="750"/>
      <c r="F131" s="750"/>
      <c r="G131" s="750"/>
      <c r="H131" s="750"/>
      <c r="I131" s="750"/>
      <c r="J131" s="750"/>
      <c r="K131" s="750"/>
      <c r="L131" s="750"/>
      <c r="M131" s="749"/>
      <c r="N131" s="750"/>
      <c r="O131" s="750"/>
      <c r="P131" s="750"/>
      <c r="Q131" s="750"/>
      <c r="R131" s="750"/>
      <c r="S131" s="750"/>
      <c r="T131" s="750"/>
      <c r="U131" s="750"/>
      <c r="V131" s="750"/>
    </row>
    <row r="132" spans="1:22">
      <c r="A132" s="750"/>
      <c r="B132" s="750"/>
      <c r="C132" s="750"/>
      <c r="D132" s="750"/>
      <c r="E132" s="750"/>
      <c r="F132" s="750"/>
      <c r="G132" s="750"/>
      <c r="H132" s="1443"/>
      <c r="I132" s="750"/>
      <c r="J132" s="750"/>
      <c r="K132" s="750"/>
      <c r="L132" s="750"/>
      <c r="M132" s="749"/>
      <c r="N132" s="750"/>
      <c r="O132" s="750"/>
      <c r="P132" s="750"/>
      <c r="Q132" s="750"/>
      <c r="R132" s="750"/>
      <c r="S132" s="750"/>
      <c r="T132" s="750"/>
      <c r="U132" s="750"/>
      <c r="V132" s="750"/>
    </row>
    <row r="133" spans="1:22">
      <c r="A133" s="2082"/>
      <c r="B133" s="2082"/>
      <c r="C133" s="2085"/>
      <c r="D133" s="2082"/>
      <c r="E133" s="2082"/>
      <c r="F133" s="2082"/>
      <c r="G133" s="2082"/>
      <c r="H133" s="780"/>
      <c r="I133" s="2082"/>
      <c r="J133" s="2082"/>
      <c r="K133" s="2082"/>
      <c r="L133" s="750"/>
      <c r="M133" s="749"/>
      <c r="N133" s="750"/>
      <c r="O133" s="750"/>
      <c r="P133" s="750"/>
      <c r="Q133" s="750"/>
      <c r="R133" s="750"/>
      <c r="S133" s="750"/>
      <c r="T133" s="750"/>
      <c r="U133" s="750"/>
      <c r="V133" s="750"/>
    </row>
    <row r="134" spans="1:22">
      <c r="A134" s="750"/>
      <c r="B134" s="53" t="s">
        <v>257</v>
      </c>
      <c r="C134" s="53" t="s">
        <v>605</v>
      </c>
      <c r="D134" s="750"/>
      <c r="E134" s="750"/>
      <c r="F134" s="750"/>
      <c r="G134" s="750"/>
      <c r="H134" s="1451" t="s">
        <v>708</v>
      </c>
      <c r="I134" s="1451"/>
      <c r="J134" s="1451"/>
      <c r="K134" s="750"/>
      <c r="L134" s="750"/>
      <c r="M134" s="749"/>
      <c r="N134" s="750"/>
      <c r="O134" s="750"/>
      <c r="P134" s="750"/>
      <c r="Q134" s="750"/>
      <c r="R134" s="750"/>
      <c r="S134" s="750"/>
      <c r="T134" s="750"/>
      <c r="U134" s="750"/>
      <c r="V134" s="750"/>
    </row>
    <row r="135" spans="1:22">
      <c r="A135" s="53" t="s">
        <v>573</v>
      </c>
      <c r="B135" s="53" t="s">
        <v>606</v>
      </c>
      <c r="C135" s="53" t="s">
        <v>606</v>
      </c>
      <c r="D135" s="53" t="s">
        <v>255</v>
      </c>
      <c r="E135" s="53" t="s">
        <v>709</v>
      </c>
      <c r="F135" s="750"/>
      <c r="G135" s="750"/>
      <c r="H135" s="2082"/>
      <c r="I135" s="2089" t="s">
        <v>710</v>
      </c>
      <c r="J135" s="2089" t="s">
        <v>711</v>
      </c>
      <c r="K135" s="53" t="s">
        <v>712</v>
      </c>
      <c r="L135" s="750"/>
      <c r="M135" s="749"/>
      <c r="N135" s="750"/>
      <c r="O135" s="750"/>
      <c r="P135" s="750"/>
      <c r="Q135" s="750"/>
      <c r="R135" s="750"/>
      <c r="S135" s="750"/>
      <c r="T135" s="750"/>
      <c r="U135" s="750"/>
      <c r="V135" s="750"/>
    </row>
    <row r="136" spans="1:22">
      <c r="A136" s="53" t="s">
        <v>576</v>
      </c>
      <c r="B136" s="53" t="s">
        <v>576</v>
      </c>
      <c r="C136" s="53" t="s">
        <v>576</v>
      </c>
      <c r="D136" s="53" t="s">
        <v>713</v>
      </c>
      <c r="E136" s="53" t="s">
        <v>556</v>
      </c>
      <c r="F136" s="53" t="s">
        <v>714</v>
      </c>
      <c r="G136" s="53" t="s">
        <v>715</v>
      </c>
      <c r="H136" s="53" t="s">
        <v>419</v>
      </c>
      <c r="I136" s="53" t="s">
        <v>716</v>
      </c>
      <c r="J136" s="53" t="s">
        <v>717</v>
      </c>
      <c r="K136" s="53" t="s">
        <v>556</v>
      </c>
      <c r="L136" s="750"/>
      <c r="M136" s="749"/>
      <c r="N136" s="750"/>
      <c r="O136" s="750"/>
      <c r="P136" s="750"/>
      <c r="Q136" s="750"/>
      <c r="R136" s="750"/>
      <c r="S136" s="750"/>
      <c r="T136" s="750"/>
      <c r="U136" s="750"/>
      <c r="V136" s="750"/>
    </row>
    <row r="137" spans="1:22">
      <c r="A137" s="750"/>
      <c r="B137" s="750"/>
      <c r="C137" s="750"/>
      <c r="D137" s="750"/>
      <c r="E137" s="750"/>
      <c r="F137" s="750"/>
      <c r="G137" s="750"/>
      <c r="H137" s="750"/>
      <c r="I137" s="750"/>
      <c r="J137" s="750"/>
      <c r="K137" s="750"/>
      <c r="L137" s="750"/>
      <c r="M137" s="749"/>
      <c r="N137" s="750"/>
      <c r="O137" s="750"/>
      <c r="P137" s="750"/>
      <c r="Q137" s="750"/>
      <c r="R137" s="750"/>
      <c r="S137" s="750"/>
      <c r="T137" s="750"/>
      <c r="U137" s="750"/>
      <c r="V137" s="750"/>
    </row>
    <row r="138" spans="1:22">
      <c r="A138" s="2082"/>
      <c r="B138" s="2082"/>
      <c r="C138" s="2082"/>
      <c r="D138" s="2082"/>
      <c r="E138" s="2089" t="s">
        <v>580</v>
      </c>
      <c r="F138" s="2089" t="s">
        <v>580</v>
      </c>
      <c r="G138" s="2089" t="s">
        <v>580</v>
      </c>
      <c r="H138" s="2089" t="s">
        <v>580</v>
      </c>
      <c r="I138" s="2082"/>
      <c r="J138" s="2082"/>
      <c r="K138" s="2089" t="s">
        <v>580</v>
      </c>
      <c r="L138" s="750"/>
      <c r="M138" s="749"/>
      <c r="N138" s="750"/>
      <c r="O138" s="750"/>
      <c r="P138" s="750"/>
      <c r="Q138" s="750"/>
      <c r="R138" s="750"/>
      <c r="S138" s="750"/>
      <c r="T138" s="750"/>
      <c r="U138" s="750"/>
      <c r="V138" s="750"/>
    </row>
    <row r="139" spans="1:22">
      <c r="A139" s="750"/>
      <c r="B139" s="750"/>
      <c r="C139" s="750"/>
      <c r="D139" s="750"/>
      <c r="E139" s="750"/>
      <c r="F139" s="750"/>
      <c r="G139" s="750"/>
      <c r="H139" s="750"/>
      <c r="I139" s="750"/>
      <c r="J139" s="750"/>
      <c r="K139" s="750"/>
      <c r="L139" s="750"/>
      <c r="M139" s="749"/>
      <c r="N139" s="750"/>
      <c r="O139" s="750"/>
      <c r="P139" s="750"/>
      <c r="Q139" s="750"/>
      <c r="R139" s="750"/>
      <c r="S139" s="750"/>
      <c r="T139" s="750"/>
      <c r="U139" s="750"/>
      <c r="V139" s="750"/>
    </row>
    <row r="140" spans="1:22">
      <c r="A140" s="53">
        <v>1</v>
      </c>
      <c r="B140" s="53">
        <v>360</v>
      </c>
      <c r="C140" s="53">
        <v>3600</v>
      </c>
      <c r="D140" s="737" t="s">
        <v>608</v>
      </c>
      <c r="E140" s="61">
        <v>16384408</v>
      </c>
      <c r="F140" s="61">
        <v>967362</v>
      </c>
      <c r="G140" s="61">
        <v>0</v>
      </c>
      <c r="H140" s="61">
        <v>0</v>
      </c>
      <c r="I140" s="61"/>
      <c r="J140" s="61"/>
      <c r="K140" s="30">
        <f t="shared" ref="K140:K163" si="3">E140+F140-G140+H140</f>
        <v>17351770</v>
      </c>
      <c r="L140" s="749"/>
      <c r="M140" s="749"/>
      <c r="N140" s="749"/>
      <c r="O140" s="749"/>
      <c r="P140" s="750"/>
      <c r="Q140" s="750"/>
      <c r="R140" s="750"/>
      <c r="S140" s="750"/>
      <c r="T140" s="750"/>
      <c r="U140" s="750"/>
      <c r="V140" s="750"/>
    </row>
    <row r="141" spans="1:22">
      <c r="A141" s="53">
        <v>2</v>
      </c>
      <c r="B141" s="53">
        <v>360</v>
      </c>
      <c r="C141" s="53">
        <v>3601</v>
      </c>
      <c r="D141" s="737" t="s">
        <v>622</v>
      </c>
      <c r="E141" s="61">
        <v>5250278</v>
      </c>
      <c r="F141" s="61">
        <v>436107</v>
      </c>
      <c r="G141" s="61">
        <v>0</v>
      </c>
      <c r="H141" s="61">
        <v>0</v>
      </c>
      <c r="I141" s="61"/>
      <c r="J141" s="61"/>
      <c r="K141" s="30">
        <f t="shared" si="3"/>
        <v>5686385</v>
      </c>
      <c r="L141" s="749"/>
      <c r="M141" s="749"/>
      <c r="N141" s="749"/>
      <c r="O141" s="749"/>
      <c r="P141" s="750"/>
      <c r="Q141" s="750"/>
      <c r="R141" s="750"/>
      <c r="S141" s="750"/>
      <c r="T141" s="750"/>
      <c r="U141" s="750"/>
      <c r="V141" s="750"/>
    </row>
    <row r="142" spans="1:22">
      <c r="A142" s="53">
        <v>3</v>
      </c>
      <c r="B142" s="53">
        <v>361</v>
      </c>
      <c r="C142" s="53">
        <v>3610</v>
      </c>
      <c r="D142" s="737" t="s">
        <v>609</v>
      </c>
      <c r="E142" s="61">
        <v>3326794</v>
      </c>
      <c r="F142" s="61">
        <v>-82062</v>
      </c>
      <c r="G142" s="61">
        <v>1680</v>
      </c>
      <c r="H142" s="61">
        <v>0</v>
      </c>
      <c r="I142" s="61"/>
      <c r="J142" s="61"/>
      <c r="K142" s="30">
        <f t="shared" si="3"/>
        <v>3243052</v>
      </c>
      <c r="L142" s="749"/>
      <c r="M142" s="749"/>
      <c r="N142" s="749"/>
      <c r="O142" s="749"/>
      <c r="P142" s="750"/>
      <c r="Q142" s="750"/>
      <c r="R142" s="750"/>
      <c r="S142" s="750"/>
      <c r="T142" s="750"/>
      <c r="U142" s="750"/>
      <c r="V142" s="750"/>
    </row>
    <row r="143" spans="1:22">
      <c r="A143" s="53">
        <v>4</v>
      </c>
      <c r="B143" s="53">
        <v>362</v>
      </c>
      <c r="C143" s="53">
        <v>3620</v>
      </c>
      <c r="D143" s="1131" t="s">
        <v>635</v>
      </c>
      <c r="E143" s="61">
        <v>87628728</v>
      </c>
      <c r="F143" s="61">
        <v>8759264</v>
      </c>
      <c r="G143" s="61">
        <v>75154</v>
      </c>
      <c r="H143" s="61">
        <v>0</v>
      </c>
      <c r="I143" s="61"/>
      <c r="J143" s="61"/>
      <c r="K143" s="30">
        <f t="shared" si="3"/>
        <v>96312838</v>
      </c>
      <c r="L143" s="749"/>
      <c r="M143" s="749"/>
      <c r="N143" s="749"/>
      <c r="O143" s="749"/>
      <c r="P143" s="750"/>
      <c r="Q143" s="750"/>
      <c r="R143" s="750"/>
      <c r="S143" s="750"/>
      <c r="T143" s="750"/>
      <c r="U143" s="750"/>
      <c r="V143" s="750"/>
    </row>
    <row r="144" spans="1:22">
      <c r="A144" s="53">
        <v>5</v>
      </c>
      <c r="B144" s="53">
        <v>362</v>
      </c>
      <c r="C144" s="1264">
        <v>3622</v>
      </c>
      <c r="D144" s="1131" t="s">
        <v>637</v>
      </c>
      <c r="E144" s="61">
        <v>46510482</v>
      </c>
      <c r="F144" s="61">
        <v>4853130</v>
      </c>
      <c r="G144" s="61">
        <v>99774</v>
      </c>
      <c r="H144" s="61">
        <v>0</v>
      </c>
      <c r="I144" s="61"/>
      <c r="J144" s="61"/>
      <c r="K144" s="30">
        <f t="shared" si="3"/>
        <v>51263838</v>
      </c>
      <c r="L144" s="749"/>
      <c r="M144" s="749"/>
      <c r="N144" s="749"/>
      <c r="O144" s="749"/>
      <c r="P144" s="750"/>
      <c r="Q144" s="750"/>
      <c r="R144" s="750"/>
      <c r="S144" s="750"/>
      <c r="T144" s="750"/>
      <c r="U144" s="750"/>
      <c r="V144" s="750"/>
    </row>
    <row r="145" spans="1:22">
      <c r="A145" s="53">
        <f>A144+1</f>
        <v>6</v>
      </c>
      <c r="B145" s="53">
        <v>363</v>
      </c>
      <c r="C145" s="1264">
        <v>3630</v>
      </c>
      <c r="D145" s="1131" t="s">
        <v>645</v>
      </c>
      <c r="E145" s="61">
        <v>0</v>
      </c>
      <c r="F145" s="61">
        <v>0</v>
      </c>
      <c r="G145" s="61">
        <v>0</v>
      </c>
      <c r="H145" s="61">
        <v>0</v>
      </c>
      <c r="I145" s="61"/>
      <c r="J145" s="61"/>
      <c r="K145" s="30">
        <f t="shared" si="3"/>
        <v>0</v>
      </c>
      <c r="L145" s="749"/>
      <c r="M145" s="749"/>
      <c r="N145" s="749"/>
      <c r="O145" s="749"/>
      <c r="P145" s="750"/>
      <c r="Q145" s="750"/>
      <c r="R145" s="750"/>
      <c r="S145" s="750"/>
      <c r="T145" s="750"/>
      <c r="U145" s="750"/>
      <c r="V145" s="750"/>
    </row>
    <row r="146" spans="1:22">
      <c r="A146" s="53">
        <f t="shared" ref="A146:A163" si="4">A145+1</f>
        <v>7</v>
      </c>
      <c r="B146" s="53">
        <v>364</v>
      </c>
      <c r="C146" s="53">
        <v>3640</v>
      </c>
      <c r="D146" s="737" t="s">
        <v>646</v>
      </c>
      <c r="E146" s="61">
        <v>79573509</v>
      </c>
      <c r="F146" s="61">
        <v>5805624</v>
      </c>
      <c r="G146" s="61">
        <v>688959</v>
      </c>
      <c r="H146" s="61">
        <v>0</v>
      </c>
      <c r="I146" s="61"/>
      <c r="J146" s="61"/>
      <c r="K146" s="30">
        <f t="shared" si="3"/>
        <v>84690174</v>
      </c>
      <c r="L146" s="749"/>
      <c r="M146" s="749"/>
      <c r="N146" s="749"/>
      <c r="O146" s="749"/>
      <c r="P146" s="750"/>
      <c r="Q146" s="750"/>
      <c r="R146" s="750"/>
      <c r="S146" s="750"/>
      <c r="T146" s="750"/>
      <c r="U146" s="750"/>
      <c r="V146" s="750"/>
    </row>
    <row r="147" spans="1:22">
      <c r="A147" s="53">
        <f t="shared" si="4"/>
        <v>8</v>
      </c>
      <c r="B147" s="53">
        <v>365</v>
      </c>
      <c r="C147" s="53">
        <v>3650</v>
      </c>
      <c r="D147" s="737" t="s">
        <v>640</v>
      </c>
      <c r="E147" s="61">
        <v>154021989</v>
      </c>
      <c r="F147" s="61">
        <v>10816812</v>
      </c>
      <c r="G147" s="61">
        <v>1079933</v>
      </c>
      <c r="H147" s="61">
        <v>0</v>
      </c>
      <c r="I147" s="61"/>
      <c r="J147" s="61"/>
      <c r="K147" s="30">
        <f t="shared" si="3"/>
        <v>163758868</v>
      </c>
      <c r="L147" s="749"/>
      <c r="M147" s="749"/>
      <c r="N147" s="749"/>
      <c r="O147" s="749"/>
      <c r="P147" s="750"/>
      <c r="Q147" s="750"/>
      <c r="R147" s="750"/>
      <c r="S147" s="750"/>
      <c r="T147" s="750"/>
      <c r="U147" s="750"/>
      <c r="V147" s="750"/>
    </row>
    <row r="148" spans="1:22">
      <c r="A148" s="53">
        <f t="shared" si="4"/>
        <v>9</v>
      </c>
      <c r="B148" s="53">
        <v>365</v>
      </c>
      <c r="C148" s="53">
        <v>3651</v>
      </c>
      <c r="D148" s="1131" t="s">
        <v>641</v>
      </c>
      <c r="E148" s="61">
        <v>8253497</v>
      </c>
      <c r="F148" s="61">
        <v>947149</v>
      </c>
      <c r="G148" s="61">
        <v>0</v>
      </c>
      <c r="H148" s="61">
        <v>0</v>
      </c>
      <c r="I148" s="61"/>
      <c r="J148" s="61"/>
      <c r="K148" s="30">
        <f t="shared" si="3"/>
        <v>9200646</v>
      </c>
      <c r="L148" s="749"/>
      <c r="M148" s="749"/>
      <c r="N148" s="749"/>
      <c r="O148" s="749"/>
      <c r="P148" s="750"/>
      <c r="Q148" s="750"/>
      <c r="R148" s="750"/>
      <c r="S148" s="750"/>
      <c r="T148" s="750"/>
      <c r="U148" s="750"/>
      <c r="V148" s="750"/>
    </row>
    <row r="149" spans="1:22">
      <c r="A149" s="53">
        <f t="shared" si="4"/>
        <v>10</v>
      </c>
      <c r="B149" s="53">
        <v>366</v>
      </c>
      <c r="C149" s="53">
        <v>3660</v>
      </c>
      <c r="D149" s="737" t="s">
        <v>647</v>
      </c>
      <c r="E149" s="61">
        <v>48232548</v>
      </c>
      <c r="F149" s="61">
        <v>4367018</v>
      </c>
      <c r="G149" s="61">
        <v>12480</v>
      </c>
      <c r="H149" s="61">
        <v>0</v>
      </c>
      <c r="I149" s="61"/>
      <c r="J149" s="61"/>
      <c r="K149" s="30">
        <f t="shared" si="3"/>
        <v>52587086</v>
      </c>
      <c r="L149" s="749"/>
      <c r="M149" s="749"/>
      <c r="N149" s="749"/>
      <c r="O149" s="749"/>
      <c r="P149" s="750"/>
      <c r="Q149" s="750"/>
      <c r="R149" s="750"/>
      <c r="S149" s="750"/>
      <c r="T149" s="750"/>
      <c r="U149" s="750"/>
      <c r="V149" s="750"/>
    </row>
    <row r="150" spans="1:22">
      <c r="A150" s="53">
        <f t="shared" si="4"/>
        <v>11</v>
      </c>
      <c r="B150" s="53">
        <v>367</v>
      </c>
      <c r="C150" s="53">
        <v>3670</v>
      </c>
      <c r="D150" s="737" t="s">
        <v>648</v>
      </c>
      <c r="E150" s="61">
        <v>97184027</v>
      </c>
      <c r="F150" s="61">
        <v>10020210</v>
      </c>
      <c r="G150" s="61">
        <v>126514</v>
      </c>
      <c r="H150" s="61">
        <v>0</v>
      </c>
      <c r="I150" s="61"/>
      <c r="J150" s="61"/>
      <c r="K150" s="30">
        <f t="shared" si="3"/>
        <v>107077723</v>
      </c>
      <c r="L150" s="749"/>
      <c r="M150" s="749"/>
      <c r="N150" s="749"/>
      <c r="O150" s="749"/>
      <c r="P150" s="750"/>
      <c r="Q150" s="750"/>
      <c r="R150" s="750"/>
      <c r="S150" s="750"/>
      <c r="T150" s="750"/>
      <c r="U150" s="750"/>
      <c r="V150" s="750"/>
    </row>
    <row r="151" spans="1:22">
      <c r="A151" s="53">
        <f t="shared" si="4"/>
        <v>12</v>
      </c>
      <c r="B151" s="53">
        <v>368</v>
      </c>
      <c r="C151" s="53">
        <v>3680</v>
      </c>
      <c r="D151" s="737" t="s">
        <v>649</v>
      </c>
      <c r="E151" s="61">
        <v>81827892</v>
      </c>
      <c r="F151" s="61">
        <v>11528891</v>
      </c>
      <c r="G151" s="61">
        <v>411601</v>
      </c>
      <c r="H151" s="61">
        <v>0</v>
      </c>
      <c r="I151" s="61"/>
      <c r="J151" s="61"/>
      <c r="K151" s="30">
        <f t="shared" si="3"/>
        <v>92945182</v>
      </c>
      <c r="L151" s="749"/>
      <c r="M151" s="749"/>
      <c r="N151" s="749"/>
      <c r="O151" s="749"/>
      <c r="P151" s="750"/>
      <c r="Q151" s="750"/>
      <c r="R151" s="750"/>
      <c r="S151" s="750"/>
      <c r="T151" s="750"/>
      <c r="U151" s="750"/>
      <c r="V151" s="750"/>
    </row>
    <row r="152" spans="1:22">
      <c r="A152" s="53">
        <f t="shared" si="4"/>
        <v>13</v>
      </c>
      <c r="B152" s="53">
        <v>368</v>
      </c>
      <c r="C152" s="53">
        <v>3682</v>
      </c>
      <c r="D152" s="737" t="s">
        <v>650</v>
      </c>
      <c r="E152" s="61">
        <v>273661</v>
      </c>
      <c r="F152" s="61">
        <v>15918</v>
      </c>
      <c r="G152" s="61">
        <v>0</v>
      </c>
      <c r="H152" s="61">
        <v>0</v>
      </c>
      <c r="I152" s="61"/>
      <c r="J152" s="61"/>
      <c r="K152" s="30">
        <f t="shared" si="3"/>
        <v>289579</v>
      </c>
      <c r="L152" s="749"/>
      <c r="M152" s="749"/>
      <c r="N152" s="749"/>
      <c r="O152" s="749"/>
      <c r="P152" s="750"/>
      <c r="Q152" s="750"/>
      <c r="R152" s="750"/>
      <c r="S152" s="750"/>
      <c r="T152" s="750"/>
      <c r="U152" s="750"/>
      <c r="V152" s="750"/>
    </row>
    <row r="153" spans="1:22">
      <c r="A153" s="53">
        <f t="shared" si="4"/>
        <v>14</v>
      </c>
      <c r="B153" s="53">
        <v>369</v>
      </c>
      <c r="C153" s="53">
        <v>3691</v>
      </c>
      <c r="D153" s="737" t="s">
        <v>651</v>
      </c>
      <c r="E153" s="61">
        <v>3849086</v>
      </c>
      <c r="F153" s="61">
        <v>-835468</v>
      </c>
      <c r="G153" s="61">
        <v>0</v>
      </c>
      <c r="H153" s="61">
        <v>0</v>
      </c>
      <c r="I153" s="61"/>
      <c r="J153" s="61"/>
      <c r="K153" s="30">
        <f t="shared" si="3"/>
        <v>3013618</v>
      </c>
      <c r="L153" s="749"/>
      <c r="M153" s="749"/>
      <c r="N153" s="749"/>
      <c r="O153" s="749"/>
      <c r="P153" s="750"/>
      <c r="Q153" s="750"/>
      <c r="R153" s="750"/>
      <c r="S153" s="750"/>
      <c r="T153" s="750"/>
      <c r="U153" s="750"/>
      <c r="V153" s="750"/>
    </row>
    <row r="154" spans="1:22">
      <c r="A154" s="53">
        <f t="shared" si="4"/>
        <v>15</v>
      </c>
      <c r="B154" s="53">
        <v>369</v>
      </c>
      <c r="C154" s="53">
        <v>3692</v>
      </c>
      <c r="D154" s="737" t="s">
        <v>652</v>
      </c>
      <c r="E154" s="61">
        <v>18713893</v>
      </c>
      <c r="F154" s="61">
        <v>293140</v>
      </c>
      <c r="G154" s="61">
        <v>1042</v>
      </c>
      <c r="H154" s="61">
        <v>0</v>
      </c>
      <c r="I154" s="61"/>
      <c r="J154" s="61"/>
      <c r="K154" s="30">
        <f t="shared" si="3"/>
        <v>19005991</v>
      </c>
      <c r="L154" s="749"/>
      <c r="M154" s="749"/>
      <c r="N154" s="749"/>
      <c r="O154" s="749"/>
      <c r="P154" s="750"/>
      <c r="Q154" s="750"/>
      <c r="R154" s="750"/>
      <c r="S154" s="750"/>
      <c r="T154" s="750"/>
      <c r="U154" s="750"/>
      <c r="V154" s="750"/>
    </row>
    <row r="155" spans="1:22">
      <c r="A155" s="53">
        <f t="shared" si="4"/>
        <v>16</v>
      </c>
      <c r="B155" s="53">
        <v>370</v>
      </c>
      <c r="C155" s="1250">
        <v>3700</v>
      </c>
      <c r="D155" s="1131" t="s">
        <v>653</v>
      </c>
      <c r="E155" s="61">
        <v>3536567</v>
      </c>
      <c r="F155" s="61">
        <v>454343</v>
      </c>
      <c r="G155" s="61">
        <v>83</v>
      </c>
      <c r="H155" s="61">
        <v>0</v>
      </c>
      <c r="I155" s="61"/>
      <c r="J155" s="61"/>
      <c r="K155" s="30">
        <f t="shared" si="3"/>
        <v>3990827</v>
      </c>
      <c r="L155" s="749"/>
      <c r="M155" s="749"/>
      <c r="N155" s="749"/>
      <c r="O155" s="749"/>
      <c r="P155" s="750"/>
      <c r="Q155" s="750"/>
      <c r="R155" s="750"/>
      <c r="S155" s="750"/>
      <c r="T155" s="750"/>
      <c r="U155" s="750"/>
      <c r="V155" s="750"/>
    </row>
    <row r="156" spans="1:22">
      <c r="A156" s="53">
        <f t="shared" si="4"/>
        <v>17</v>
      </c>
      <c r="B156" s="53">
        <v>370</v>
      </c>
      <c r="C156" s="1250">
        <v>3702</v>
      </c>
      <c r="D156" s="1131" t="s">
        <v>654</v>
      </c>
      <c r="E156" s="61">
        <v>28573745</v>
      </c>
      <c r="F156" s="61">
        <v>1945942</v>
      </c>
      <c r="G156" s="61">
        <v>445029</v>
      </c>
      <c r="H156" s="61">
        <v>0</v>
      </c>
      <c r="I156" s="61"/>
      <c r="J156" s="61"/>
      <c r="K156" s="30">
        <f t="shared" si="3"/>
        <v>30074658</v>
      </c>
      <c r="L156" s="749"/>
      <c r="M156" s="749"/>
      <c r="N156" s="749"/>
      <c r="O156" s="749"/>
      <c r="P156" s="750"/>
      <c r="Q156" s="750"/>
      <c r="R156" s="750"/>
      <c r="S156" s="750"/>
      <c r="T156" s="750"/>
      <c r="U156" s="750"/>
      <c r="V156" s="750"/>
    </row>
    <row r="157" spans="1:22">
      <c r="A157" s="53">
        <f t="shared" si="4"/>
        <v>18</v>
      </c>
      <c r="B157" s="53">
        <v>371</v>
      </c>
      <c r="C157" s="1250" t="s">
        <v>655</v>
      </c>
      <c r="D157" s="1131" t="s">
        <v>656</v>
      </c>
      <c r="E157" s="61">
        <v>1550375</v>
      </c>
      <c r="F157" s="61">
        <v>267702</v>
      </c>
      <c r="G157" s="61">
        <v>10320</v>
      </c>
      <c r="H157" s="61">
        <v>0</v>
      </c>
      <c r="I157" s="61"/>
      <c r="J157" s="61"/>
      <c r="K157" s="30">
        <f t="shared" si="3"/>
        <v>1807757</v>
      </c>
      <c r="L157" s="749"/>
      <c r="M157" s="749"/>
      <c r="N157" s="749"/>
      <c r="O157" s="749"/>
      <c r="P157" s="750"/>
      <c r="Q157" s="750"/>
      <c r="R157" s="750"/>
      <c r="S157" s="750"/>
      <c r="T157" s="750"/>
      <c r="U157" s="750"/>
      <c r="V157" s="750"/>
    </row>
    <row r="158" spans="1:22">
      <c r="A158" s="53">
        <f t="shared" si="4"/>
        <v>19</v>
      </c>
      <c r="B158" s="53">
        <v>372</v>
      </c>
      <c r="C158" s="53">
        <v>3720</v>
      </c>
      <c r="D158" s="737" t="s">
        <v>657</v>
      </c>
      <c r="E158" s="61">
        <v>9647</v>
      </c>
      <c r="F158" s="61">
        <v>561</v>
      </c>
      <c r="G158" s="61">
        <v>0</v>
      </c>
      <c r="H158" s="61">
        <v>0</v>
      </c>
      <c r="I158" s="61"/>
      <c r="J158" s="61"/>
      <c r="K158" s="30">
        <f t="shared" si="3"/>
        <v>10208</v>
      </c>
      <c r="L158" s="749"/>
      <c r="M158" s="749"/>
      <c r="N158" s="749"/>
      <c r="O158" s="749"/>
      <c r="P158" s="750"/>
      <c r="Q158" s="750"/>
      <c r="R158" s="750"/>
      <c r="S158" s="750"/>
      <c r="T158" s="750"/>
      <c r="U158" s="750"/>
      <c r="V158" s="750"/>
    </row>
    <row r="159" spans="1:22">
      <c r="A159" s="53">
        <f t="shared" si="4"/>
        <v>20</v>
      </c>
      <c r="B159" s="53">
        <v>373</v>
      </c>
      <c r="C159" s="53">
        <v>3731</v>
      </c>
      <c r="D159" s="737" t="s">
        <v>658</v>
      </c>
      <c r="E159" s="61">
        <v>2505632</v>
      </c>
      <c r="F159" s="61">
        <v>145750</v>
      </c>
      <c r="G159" s="61">
        <v>300</v>
      </c>
      <c r="H159" s="61">
        <v>0</v>
      </c>
      <c r="I159" s="61"/>
      <c r="J159" s="61"/>
      <c r="K159" s="30">
        <f t="shared" si="3"/>
        <v>2651082</v>
      </c>
      <c r="L159" s="749"/>
      <c r="M159" s="749"/>
      <c r="N159" s="749"/>
      <c r="O159" s="749"/>
      <c r="P159" s="750"/>
      <c r="Q159" s="750"/>
      <c r="R159" s="750"/>
      <c r="S159" s="750"/>
      <c r="T159" s="750"/>
      <c r="U159" s="750"/>
      <c r="V159" s="750"/>
    </row>
    <row r="160" spans="1:22">
      <c r="A160" s="53">
        <f t="shared" si="4"/>
        <v>21</v>
      </c>
      <c r="B160" s="53">
        <v>373</v>
      </c>
      <c r="C160" s="53">
        <v>3732</v>
      </c>
      <c r="D160" s="737" t="s">
        <v>659</v>
      </c>
      <c r="E160" s="61">
        <v>3368423</v>
      </c>
      <c r="F160" s="61">
        <v>262717</v>
      </c>
      <c r="G160" s="61">
        <v>0</v>
      </c>
      <c r="H160" s="61">
        <v>0</v>
      </c>
      <c r="I160" s="61"/>
      <c r="J160" s="61"/>
      <c r="K160" s="30">
        <f t="shared" si="3"/>
        <v>3631140</v>
      </c>
      <c r="L160" s="749"/>
      <c r="M160" s="749"/>
      <c r="N160" s="749"/>
      <c r="O160" s="749"/>
      <c r="P160" s="750"/>
      <c r="Q160" s="750"/>
      <c r="R160" s="750"/>
      <c r="S160" s="750"/>
      <c r="T160" s="750"/>
      <c r="U160" s="750"/>
      <c r="V160" s="750"/>
    </row>
    <row r="161" spans="1:22">
      <c r="A161" s="53">
        <f t="shared" si="4"/>
        <v>22</v>
      </c>
      <c r="B161" s="53">
        <v>373</v>
      </c>
      <c r="C161" s="53">
        <v>3733</v>
      </c>
      <c r="D161" s="737" t="s">
        <v>660</v>
      </c>
      <c r="E161" s="61">
        <v>1591770</v>
      </c>
      <c r="F161" s="61">
        <v>92588</v>
      </c>
      <c r="G161" s="61">
        <v>0</v>
      </c>
      <c r="H161" s="61">
        <v>0</v>
      </c>
      <c r="I161" s="61"/>
      <c r="J161" s="61"/>
      <c r="K161" s="30">
        <f t="shared" si="3"/>
        <v>1684358</v>
      </c>
      <c r="L161" s="749"/>
      <c r="M161" s="749"/>
      <c r="N161" s="749"/>
      <c r="O161" s="749"/>
      <c r="P161" s="750"/>
      <c r="Q161" s="750"/>
      <c r="R161" s="750"/>
      <c r="S161" s="750"/>
      <c r="T161" s="750"/>
      <c r="U161" s="750"/>
      <c r="V161" s="750"/>
    </row>
    <row r="162" spans="1:22">
      <c r="A162" s="53">
        <f t="shared" si="4"/>
        <v>23</v>
      </c>
      <c r="B162" s="53">
        <v>373</v>
      </c>
      <c r="C162" s="53">
        <v>3734</v>
      </c>
      <c r="D162" s="737" t="s">
        <v>661</v>
      </c>
      <c r="E162" s="61">
        <v>4669004</v>
      </c>
      <c r="F162" s="61">
        <v>1594212</v>
      </c>
      <c r="G162" s="61">
        <v>28245</v>
      </c>
      <c r="H162" s="61">
        <v>0</v>
      </c>
      <c r="I162" s="61"/>
      <c r="J162" s="61"/>
      <c r="K162" s="30">
        <f t="shared" si="3"/>
        <v>6234971</v>
      </c>
      <c r="L162" s="749"/>
      <c r="M162" s="749"/>
      <c r="N162" s="749"/>
      <c r="O162" s="749"/>
      <c r="P162" s="750"/>
      <c r="Q162" s="750"/>
      <c r="R162" s="750"/>
      <c r="S162" s="750"/>
      <c r="T162" s="750"/>
      <c r="U162" s="750"/>
      <c r="V162" s="750"/>
    </row>
    <row r="163" spans="1:22">
      <c r="A163" s="53">
        <f t="shared" si="4"/>
        <v>24</v>
      </c>
      <c r="B163" s="737"/>
      <c r="C163" s="737"/>
      <c r="D163" s="737" t="s">
        <v>617</v>
      </c>
      <c r="E163" s="61">
        <v>0</v>
      </c>
      <c r="F163" s="61">
        <v>0</v>
      </c>
      <c r="G163" s="61">
        <v>0</v>
      </c>
      <c r="H163" s="61">
        <v>0</v>
      </c>
      <c r="I163" s="61"/>
      <c r="J163" s="61"/>
      <c r="K163" s="30">
        <f t="shared" si="3"/>
        <v>0</v>
      </c>
      <c r="L163" s="749"/>
      <c r="M163" s="749"/>
      <c r="N163" s="749"/>
      <c r="O163" s="749"/>
      <c r="P163" s="750"/>
      <c r="Q163" s="750"/>
      <c r="R163" s="750"/>
      <c r="S163" s="750"/>
      <c r="T163" s="750"/>
      <c r="U163" s="750"/>
      <c r="V163" s="750"/>
    </row>
    <row r="164" spans="1:22">
      <c r="A164" s="53"/>
      <c r="B164" s="737"/>
      <c r="C164" s="737"/>
      <c r="D164" s="737"/>
      <c r="E164" s="61"/>
      <c r="F164" s="61"/>
      <c r="G164" s="61"/>
      <c r="H164" s="61"/>
      <c r="I164" s="61"/>
      <c r="J164" s="61"/>
      <c r="K164" s="61"/>
      <c r="L164" s="749"/>
      <c r="M164" s="749"/>
      <c r="N164" s="750"/>
      <c r="O164" s="750"/>
      <c r="P164" s="750"/>
      <c r="Q164" s="750"/>
      <c r="R164" s="750"/>
      <c r="S164" s="750"/>
      <c r="T164" s="750"/>
      <c r="U164" s="750"/>
      <c r="V164" s="750"/>
    </row>
    <row r="165" spans="1:22">
      <c r="A165" s="750"/>
      <c r="B165" s="750"/>
      <c r="C165" s="750"/>
      <c r="D165" s="750"/>
      <c r="E165" s="748"/>
      <c r="F165" s="1163"/>
      <c r="G165" s="748"/>
      <c r="H165" s="748"/>
      <c r="I165" s="748"/>
      <c r="J165" s="748"/>
      <c r="K165" s="748"/>
      <c r="L165" s="749"/>
      <c r="M165" s="749"/>
      <c r="N165" s="750"/>
      <c r="O165" s="750"/>
      <c r="P165" s="750"/>
      <c r="Q165" s="750"/>
      <c r="R165" s="750"/>
      <c r="S165" s="750"/>
      <c r="T165" s="750"/>
      <c r="U165" s="750"/>
      <c r="V165" s="750"/>
    </row>
    <row r="166" spans="1:22">
      <c r="A166" s="2082"/>
      <c r="B166" s="2082"/>
      <c r="C166" s="2082"/>
      <c r="D166" s="2082"/>
      <c r="E166" s="2084"/>
      <c r="F166" s="2093"/>
      <c r="G166" s="2084"/>
      <c r="H166" s="2084"/>
      <c r="I166" s="2084"/>
      <c r="J166" s="2092"/>
      <c r="K166" s="2084"/>
      <c r="L166" s="749"/>
      <c r="M166" s="749"/>
      <c r="N166" s="750"/>
      <c r="O166" s="750"/>
      <c r="P166" s="750"/>
      <c r="Q166" s="750"/>
      <c r="R166" s="750"/>
      <c r="S166" s="750"/>
      <c r="T166" s="750"/>
      <c r="U166" s="750"/>
      <c r="V166" s="750"/>
    </row>
    <row r="167" spans="1:22">
      <c r="A167" s="53">
        <f>A163+1</f>
        <v>25</v>
      </c>
      <c r="B167" s="750"/>
      <c r="C167" s="750"/>
      <c r="D167" s="737" t="s">
        <v>662</v>
      </c>
      <c r="E167" s="748">
        <f>SUM(E140:E163)</f>
        <v>696835955</v>
      </c>
      <c r="F167" s="748">
        <f>SUM(F140:F163)</f>
        <v>62656910</v>
      </c>
      <c r="G167" s="748">
        <f>SUM(G140:G163)</f>
        <v>2981114</v>
      </c>
      <c r="H167" s="748">
        <f>SUM(H140:H163)</f>
        <v>0</v>
      </c>
      <c r="I167" s="748"/>
      <c r="J167" s="749"/>
      <c r="K167" s="748">
        <f>SUM(K140:K163)</f>
        <v>756511751</v>
      </c>
      <c r="L167" s="749"/>
      <c r="M167" s="749"/>
      <c r="N167" s="750"/>
      <c r="O167" s="750"/>
      <c r="P167" s="750"/>
      <c r="Q167" s="750"/>
      <c r="R167" s="750"/>
      <c r="S167" s="750"/>
      <c r="T167" s="750"/>
      <c r="U167" s="750"/>
      <c r="V167" s="750"/>
    </row>
    <row r="168" spans="1:22">
      <c r="A168" s="750"/>
      <c r="B168" s="750"/>
      <c r="C168" s="750"/>
      <c r="D168" s="750"/>
      <c r="E168" s="748"/>
      <c r="F168" s="1163"/>
      <c r="G168" s="748"/>
      <c r="H168" s="748"/>
      <c r="I168" s="748"/>
      <c r="J168" s="748"/>
      <c r="K168" s="748"/>
      <c r="L168" s="749"/>
      <c r="M168" s="749"/>
      <c r="N168" s="750"/>
      <c r="O168" s="750"/>
      <c r="P168" s="750"/>
      <c r="Q168" s="750"/>
      <c r="R168" s="750"/>
      <c r="S168" s="750"/>
      <c r="T168" s="750"/>
      <c r="U168" s="750"/>
      <c r="V168" s="750"/>
    </row>
    <row r="169" spans="1:22">
      <c r="A169" s="2082"/>
      <c r="B169" s="2082"/>
      <c r="C169" s="2082"/>
      <c r="D169" s="2082"/>
      <c r="E169" s="2084"/>
      <c r="F169" s="2084"/>
      <c r="G169" s="2084"/>
      <c r="H169" s="2084"/>
      <c r="I169" s="2092"/>
      <c r="J169" s="2092"/>
      <c r="K169" s="2084"/>
      <c r="L169" s="749"/>
      <c r="M169" s="749"/>
      <c r="N169" s="750"/>
      <c r="O169" s="750"/>
      <c r="P169" s="750"/>
      <c r="Q169" s="750"/>
      <c r="R169" s="750"/>
      <c r="S169" s="750"/>
      <c r="T169" s="750"/>
      <c r="U169" s="750"/>
      <c r="V169" s="750"/>
    </row>
    <row r="170" spans="1:22">
      <c r="A170" s="737"/>
      <c r="B170" s="750"/>
      <c r="C170" s="750"/>
      <c r="D170" s="750"/>
      <c r="E170" s="750"/>
      <c r="F170" s="750"/>
      <c r="G170" s="750"/>
      <c r="H170" s="750"/>
      <c r="I170" s="750"/>
      <c r="J170" s="750"/>
      <c r="K170" s="750"/>
      <c r="L170" s="749"/>
      <c r="M170" s="749"/>
      <c r="N170" s="750"/>
      <c r="O170" s="750"/>
      <c r="P170" s="750"/>
      <c r="Q170" s="750"/>
      <c r="R170" s="750"/>
      <c r="S170" s="750"/>
      <c r="T170" s="750"/>
      <c r="U170" s="750"/>
      <c r="V170" s="750"/>
    </row>
    <row r="171" spans="1:22">
      <c r="A171" s="59" t="str">
        <f>A1</f>
        <v>DUKE ENERGY KENTUCKY, INC.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750"/>
      <c r="M171" s="749"/>
      <c r="N171" s="750"/>
      <c r="O171" s="750"/>
      <c r="P171" s="750"/>
      <c r="Q171" s="750"/>
      <c r="R171" s="750"/>
      <c r="S171" s="750"/>
      <c r="T171" s="750"/>
      <c r="U171" s="750"/>
      <c r="V171" s="750"/>
    </row>
    <row r="172" spans="1:22">
      <c r="A172" s="59" t="str">
        <f>A2</f>
        <v>CASE NO. 2024-00354</v>
      </c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750"/>
      <c r="M172" s="749"/>
      <c r="N172" s="750"/>
      <c r="O172" s="750"/>
      <c r="P172" s="750"/>
      <c r="Q172" s="750"/>
      <c r="R172" s="750"/>
      <c r="S172" s="750"/>
      <c r="T172" s="750"/>
      <c r="U172" s="750"/>
      <c r="V172" s="750"/>
    </row>
    <row r="173" spans="1:22">
      <c r="A173" s="59" t="str">
        <f>A3</f>
        <v>GROSS ADDITIONS, RETIREMENTS, AND TRANSFERS</v>
      </c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750"/>
      <c r="M173" s="749"/>
      <c r="N173" s="750"/>
      <c r="O173" s="750"/>
      <c r="P173" s="750"/>
      <c r="Q173" s="750"/>
      <c r="R173" s="750"/>
      <c r="S173" s="750"/>
      <c r="T173" s="750"/>
      <c r="U173" s="750"/>
      <c r="V173" s="750"/>
    </row>
    <row r="174" spans="1:22">
      <c r="A174" s="59" t="str">
        <f>A4</f>
        <v>FROM MARCH 1, 2024 TO FEBRUARY 28, 2025</v>
      </c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750"/>
      <c r="M174" s="749"/>
      <c r="N174" s="750"/>
      <c r="O174" s="750"/>
      <c r="P174" s="750"/>
      <c r="Q174" s="750"/>
      <c r="R174" s="750"/>
      <c r="S174" s="750"/>
      <c r="T174" s="750"/>
      <c r="U174" s="750"/>
      <c r="V174" s="750"/>
    </row>
    <row r="175" spans="1:22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750"/>
      <c r="M175" s="749"/>
      <c r="N175" s="750"/>
      <c r="O175" s="750"/>
      <c r="P175" s="750"/>
      <c r="Q175" s="750"/>
      <c r="R175" s="750"/>
      <c r="S175" s="750"/>
      <c r="T175" s="750"/>
      <c r="U175" s="750"/>
      <c r="V175" s="750"/>
    </row>
    <row r="176" spans="1:22">
      <c r="A176" s="59" t="s">
        <v>663</v>
      </c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750"/>
      <c r="M176" s="749"/>
      <c r="N176" s="750"/>
      <c r="O176" s="750"/>
      <c r="P176" s="750"/>
      <c r="Q176" s="750"/>
      <c r="R176" s="750"/>
      <c r="S176" s="750"/>
      <c r="T176" s="750"/>
      <c r="U176" s="750"/>
      <c r="V176" s="750"/>
    </row>
    <row r="177" spans="1:22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750"/>
      <c r="M177" s="749"/>
      <c r="N177" s="750"/>
      <c r="O177" s="750"/>
      <c r="P177" s="750"/>
      <c r="Q177" s="750"/>
      <c r="R177" s="750"/>
      <c r="S177" s="750"/>
      <c r="T177" s="750"/>
      <c r="U177" s="750"/>
      <c r="V177" s="750"/>
    </row>
    <row r="178" spans="1:22">
      <c r="A178" s="1148" t="s">
        <v>529</v>
      </c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750"/>
      <c r="M178" s="749"/>
      <c r="N178" s="750"/>
      <c r="O178" s="750"/>
      <c r="P178" s="750"/>
      <c r="Q178" s="750"/>
      <c r="R178" s="750"/>
      <c r="S178" s="750"/>
      <c r="T178" s="750"/>
      <c r="U178" s="750"/>
      <c r="V178" s="750"/>
    </row>
    <row r="179" spans="1:22">
      <c r="A179" s="1148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750"/>
      <c r="M179" s="749"/>
      <c r="N179" s="750"/>
      <c r="O179" s="750"/>
      <c r="P179" s="750"/>
      <c r="Q179" s="750"/>
      <c r="R179" s="750"/>
      <c r="S179" s="750"/>
      <c r="T179" s="750"/>
      <c r="U179" s="750"/>
      <c r="V179" s="750"/>
    </row>
    <row r="180" spans="1:22">
      <c r="A180" s="737" t="str">
        <f>Data</f>
        <v>DATA: "X" BASE PERIOD   FORECASTED PERIOD</v>
      </c>
      <c r="B180" s="750"/>
      <c r="C180" s="750"/>
      <c r="D180" s="750"/>
      <c r="E180" s="750"/>
      <c r="F180" s="750"/>
      <c r="G180" s="750"/>
      <c r="H180" s="750"/>
      <c r="I180" s="750"/>
      <c r="J180" s="737" t="str">
        <f>J10</f>
        <v>SCHEDULE B-2.3</v>
      </c>
      <c r="K180" s="750"/>
      <c r="L180" s="750"/>
      <c r="M180" s="749"/>
      <c r="N180" s="750"/>
      <c r="O180" s="750"/>
      <c r="P180" s="750"/>
      <c r="Q180" s="750"/>
      <c r="R180" s="750"/>
      <c r="S180" s="750"/>
      <c r="T180" s="750"/>
      <c r="U180" s="750"/>
      <c r="V180" s="750"/>
    </row>
    <row r="181" spans="1:22">
      <c r="A181" s="737" t="str">
        <f>A11</f>
        <v xml:space="preserve">TYPE OF FILING:  "X" ORIGINAL   UPDATED    REVISED  </v>
      </c>
      <c r="B181" s="750"/>
      <c r="C181" s="750"/>
      <c r="D181" s="750"/>
      <c r="E181" s="750"/>
      <c r="F181" s="750"/>
      <c r="G181" s="750"/>
      <c r="H181" s="750"/>
      <c r="I181" s="750"/>
      <c r="J181" s="737" t="s">
        <v>664</v>
      </c>
      <c r="K181" s="750"/>
      <c r="L181" s="750"/>
      <c r="M181" s="749"/>
      <c r="N181" s="750"/>
      <c r="O181" s="750"/>
      <c r="P181" s="750"/>
      <c r="Q181" s="750"/>
      <c r="R181" s="750"/>
      <c r="S181" s="750"/>
      <c r="T181" s="750"/>
      <c r="U181" s="750"/>
      <c r="V181" s="750"/>
    </row>
    <row r="182" spans="1:22">
      <c r="A182" s="737" t="str">
        <f>A12</f>
        <v>WORK PAPER REFERENCE NO(S).:</v>
      </c>
      <c r="B182" s="750"/>
      <c r="C182" s="750"/>
      <c r="D182" s="750"/>
      <c r="E182" s="750"/>
      <c r="F182" s="750"/>
      <c r="G182" s="750"/>
      <c r="H182" s="750"/>
      <c r="I182" s="750"/>
      <c r="J182" s="750" t="s">
        <v>468</v>
      </c>
      <c r="K182" s="750"/>
      <c r="L182" s="750"/>
      <c r="M182" s="749"/>
      <c r="N182" s="750"/>
      <c r="O182" s="750"/>
      <c r="P182" s="750"/>
      <c r="Q182" s="750"/>
      <c r="R182" s="750"/>
      <c r="S182" s="750"/>
      <c r="T182" s="750"/>
      <c r="U182" s="750"/>
      <c r="V182" s="750"/>
    </row>
    <row r="183" spans="1:22">
      <c r="A183" s="750"/>
      <c r="B183" s="750"/>
      <c r="C183" s="750"/>
      <c r="D183" s="750"/>
      <c r="E183" s="750"/>
      <c r="F183" s="750"/>
      <c r="G183" s="750"/>
      <c r="H183" s="750"/>
      <c r="I183" s="750"/>
      <c r="J183" s="750" t="str">
        <f>J13</f>
        <v>G. S. CARPENTER / S. S. MITCHELL</v>
      </c>
      <c r="K183" s="750"/>
      <c r="L183" s="750"/>
      <c r="M183" s="749"/>
      <c r="N183" s="750"/>
      <c r="O183" s="750"/>
      <c r="P183" s="750"/>
      <c r="Q183" s="750"/>
      <c r="R183" s="750"/>
      <c r="S183" s="750"/>
      <c r="T183" s="750"/>
      <c r="U183" s="750"/>
      <c r="V183" s="750"/>
    </row>
    <row r="184" spans="1:22">
      <c r="A184" s="750"/>
      <c r="B184" s="750"/>
      <c r="C184" s="750"/>
      <c r="D184" s="750"/>
      <c r="E184" s="750"/>
      <c r="F184" s="750"/>
      <c r="G184" s="750"/>
      <c r="H184" s="750"/>
      <c r="I184" s="750"/>
      <c r="J184" s="750"/>
      <c r="K184" s="750"/>
      <c r="L184" s="750"/>
      <c r="M184" s="749"/>
      <c r="N184" s="750"/>
      <c r="O184" s="750"/>
      <c r="P184" s="750"/>
      <c r="Q184" s="750"/>
      <c r="R184" s="750"/>
      <c r="S184" s="750"/>
      <c r="T184" s="750"/>
      <c r="U184" s="750"/>
      <c r="V184" s="750"/>
    </row>
    <row r="185" spans="1:22">
      <c r="A185" s="750"/>
      <c r="B185" s="750"/>
      <c r="C185" s="750"/>
      <c r="D185" s="750"/>
      <c r="E185" s="750"/>
      <c r="F185" s="750"/>
      <c r="G185" s="750"/>
      <c r="H185" s="1443"/>
      <c r="I185" s="750"/>
      <c r="J185" s="750"/>
      <c r="K185" s="750"/>
      <c r="L185" s="750"/>
      <c r="M185" s="749"/>
      <c r="N185" s="750"/>
      <c r="O185" s="750"/>
      <c r="P185" s="750"/>
      <c r="Q185" s="750"/>
      <c r="R185" s="750"/>
      <c r="S185" s="750"/>
      <c r="T185" s="750"/>
      <c r="U185" s="750"/>
      <c r="V185" s="750"/>
    </row>
    <row r="186" spans="1:22">
      <c r="A186" s="2082"/>
      <c r="B186" s="2082"/>
      <c r="C186" s="2085"/>
      <c r="D186" s="2082"/>
      <c r="E186" s="2082"/>
      <c r="F186" s="2082"/>
      <c r="G186" s="2082"/>
      <c r="H186" s="780"/>
      <c r="I186" s="2082"/>
      <c r="J186" s="2082"/>
      <c r="K186" s="2082"/>
      <c r="L186" s="750"/>
      <c r="M186" s="749"/>
      <c r="N186" s="750"/>
      <c r="O186" s="750"/>
      <c r="P186" s="750"/>
      <c r="Q186" s="750"/>
      <c r="R186" s="750"/>
      <c r="S186" s="750"/>
      <c r="T186" s="750"/>
      <c r="U186" s="750"/>
      <c r="V186" s="750"/>
    </row>
    <row r="187" spans="1:22">
      <c r="A187" s="750"/>
      <c r="B187" s="53" t="s">
        <v>257</v>
      </c>
      <c r="C187" s="53" t="s">
        <v>605</v>
      </c>
      <c r="D187" s="750"/>
      <c r="E187" s="750"/>
      <c r="F187" s="750"/>
      <c r="G187" s="750"/>
      <c r="H187" s="1451" t="s">
        <v>708</v>
      </c>
      <c r="I187" s="1451"/>
      <c r="J187" s="1451"/>
      <c r="K187" s="750"/>
      <c r="L187" s="750"/>
      <c r="M187" s="749"/>
      <c r="N187" s="750"/>
      <c r="O187" s="750"/>
      <c r="P187" s="750"/>
      <c r="Q187" s="750"/>
      <c r="R187" s="750"/>
      <c r="S187" s="750"/>
      <c r="T187" s="750"/>
      <c r="U187" s="750"/>
      <c r="V187" s="750"/>
    </row>
    <row r="188" spans="1:22">
      <c r="A188" s="53" t="s">
        <v>573</v>
      </c>
      <c r="B188" s="53" t="s">
        <v>606</v>
      </c>
      <c r="C188" s="53" t="s">
        <v>606</v>
      </c>
      <c r="D188" s="53" t="s">
        <v>255</v>
      </c>
      <c r="E188" s="53" t="s">
        <v>709</v>
      </c>
      <c r="F188" s="750"/>
      <c r="G188" s="750"/>
      <c r="H188" s="2082"/>
      <c r="I188" s="2089" t="s">
        <v>710</v>
      </c>
      <c r="J188" s="2089" t="s">
        <v>711</v>
      </c>
      <c r="K188" s="53" t="s">
        <v>712</v>
      </c>
      <c r="L188" s="750"/>
      <c r="M188" s="749"/>
      <c r="N188" s="750"/>
      <c r="O188" s="750"/>
      <c r="P188" s="750"/>
      <c r="Q188" s="750"/>
      <c r="R188" s="750"/>
      <c r="S188" s="750"/>
      <c r="T188" s="750"/>
      <c r="U188" s="750"/>
      <c r="V188" s="750"/>
    </row>
    <row r="189" spans="1:22">
      <c r="A189" s="53" t="s">
        <v>576</v>
      </c>
      <c r="B189" s="53" t="s">
        <v>576</v>
      </c>
      <c r="C189" s="53" t="s">
        <v>576</v>
      </c>
      <c r="D189" s="53" t="s">
        <v>713</v>
      </c>
      <c r="E189" s="53" t="s">
        <v>556</v>
      </c>
      <c r="F189" s="53" t="s">
        <v>714</v>
      </c>
      <c r="G189" s="53" t="s">
        <v>715</v>
      </c>
      <c r="H189" s="53" t="s">
        <v>419</v>
      </c>
      <c r="I189" s="53" t="s">
        <v>716</v>
      </c>
      <c r="J189" s="53" t="s">
        <v>717</v>
      </c>
      <c r="K189" s="53" t="s">
        <v>556</v>
      </c>
      <c r="L189" s="750"/>
      <c r="M189" s="749"/>
      <c r="N189" s="750"/>
      <c r="O189" s="750"/>
      <c r="P189" s="750"/>
      <c r="Q189" s="750"/>
      <c r="R189" s="750"/>
      <c r="S189" s="750"/>
      <c r="T189" s="750"/>
      <c r="U189" s="750"/>
      <c r="V189" s="750"/>
    </row>
    <row r="190" spans="1:22">
      <c r="A190" s="750"/>
      <c r="B190" s="750"/>
      <c r="C190" s="750"/>
      <c r="D190" s="750"/>
      <c r="E190" s="750"/>
      <c r="F190" s="750"/>
      <c r="G190" s="750"/>
      <c r="H190" s="750"/>
      <c r="I190" s="750"/>
      <c r="J190" s="750"/>
      <c r="K190" s="750"/>
      <c r="L190" s="750"/>
      <c r="M190" s="749"/>
      <c r="N190" s="750"/>
      <c r="O190" s="750"/>
      <c r="P190" s="750"/>
      <c r="Q190" s="750"/>
      <c r="R190" s="750"/>
      <c r="S190" s="750"/>
      <c r="T190" s="750"/>
      <c r="U190" s="750"/>
      <c r="V190" s="750"/>
    </row>
    <row r="191" spans="1:22">
      <c r="A191" s="2082"/>
      <c r="B191" s="2082"/>
      <c r="C191" s="2082"/>
      <c r="D191" s="2082"/>
      <c r="E191" s="2089" t="s">
        <v>580</v>
      </c>
      <c r="F191" s="2089" t="s">
        <v>580</v>
      </c>
      <c r="G191" s="2089" t="s">
        <v>580</v>
      </c>
      <c r="H191" s="2089" t="s">
        <v>580</v>
      </c>
      <c r="I191" s="2082"/>
      <c r="J191" s="2082"/>
      <c r="K191" s="2089" t="s">
        <v>580</v>
      </c>
      <c r="L191" s="750"/>
      <c r="M191" s="749"/>
      <c r="N191" s="750"/>
      <c r="O191" s="750"/>
      <c r="P191" s="750"/>
      <c r="Q191" s="750"/>
      <c r="R191" s="750"/>
      <c r="S191" s="750"/>
      <c r="T191" s="750"/>
      <c r="U191" s="750"/>
      <c r="V191" s="750"/>
    </row>
    <row r="192" spans="1:22">
      <c r="A192" s="52"/>
      <c r="B192" s="52"/>
      <c r="C192" s="52"/>
      <c r="D192" s="52"/>
      <c r="E192" s="56"/>
      <c r="F192" s="56"/>
      <c r="G192" s="56"/>
      <c r="H192" s="56"/>
      <c r="I192" s="52"/>
      <c r="J192" s="52"/>
      <c r="K192" s="56"/>
      <c r="L192" s="750"/>
      <c r="M192" s="749"/>
      <c r="N192" s="750"/>
      <c r="O192" s="750"/>
      <c r="P192" s="750"/>
      <c r="Q192" s="750"/>
      <c r="R192" s="750"/>
      <c r="S192" s="750"/>
      <c r="T192" s="750"/>
      <c r="U192" s="750"/>
      <c r="V192" s="750"/>
    </row>
    <row r="193" spans="1:22">
      <c r="A193" s="53">
        <v>1</v>
      </c>
      <c r="B193" s="53">
        <v>303</v>
      </c>
      <c r="C193" s="53">
        <v>3030</v>
      </c>
      <c r="D193" s="737" t="s">
        <v>665</v>
      </c>
      <c r="E193" s="1157">
        <v>35040528</v>
      </c>
      <c r="F193" s="1157">
        <v>13954772</v>
      </c>
      <c r="G193" s="1157">
        <v>0</v>
      </c>
      <c r="H193" s="1157">
        <v>86596</v>
      </c>
      <c r="I193" s="1157"/>
      <c r="J193" s="1157"/>
      <c r="K193" s="748">
        <f t="shared" ref="K193:K202" si="5">E193+F193-G193+H193</f>
        <v>49081896</v>
      </c>
      <c r="L193" s="749"/>
      <c r="M193" s="749"/>
      <c r="N193" s="749"/>
      <c r="O193" s="749"/>
      <c r="P193" s="750"/>
      <c r="Q193" s="750"/>
      <c r="R193" s="750"/>
      <c r="S193" s="750"/>
      <c r="T193" s="750"/>
      <c r="U193" s="750"/>
      <c r="V193" s="750"/>
    </row>
    <row r="194" spans="1:22">
      <c r="A194" s="53">
        <v>2</v>
      </c>
      <c r="B194" s="53">
        <v>390</v>
      </c>
      <c r="C194" s="53">
        <v>3900</v>
      </c>
      <c r="D194" s="737" t="s">
        <v>609</v>
      </c>
      <c r="E194" s="1157">
        <v>165342</v>
      </c>
      <c r="F194" s="1157">
        <v>58061</v>
      </c>
      <c r="G194" s="1157">
        <v>-300</v>
      </c>
      <c r="H194" s="1157">
        <v>0</v>
      </c>
      <c r="I194" s="1157"/>
      <c r="J194" s="1157"/>
      <c r="K194" s="748">
        <f t="shared" si="5"/>
        <v>223703</v>
      </c>
      <c r="L194" s="749"/>
      <c r="M194" s="749"/>
      <c r="N194" s="749"/>
      <c r="O194" s="749"/>
      <c r="P194" s="750"/>
      <c r="Q194" s="750"/>
      <c r="R194" s="750"/>
      <c r="S194" s="750"/>
      <c r="T194" s="750"/>
      <c r="U194" s="750"/>
      <c r="V194" s="750"/>
    </row>
    <row r="195" spans="1:22">
      <c r="A195" s="53">
        <v>3</v>
      </c>
      <c r="B195" s="53">
        <v>391</v>
      </c>
      <c r="C195" s="53">
        <v>3910</v>
      </c>
      <c r="D195" s="737" t="s">
        <v>666</v>
      </c>
      <c r="E195" s="1157">
        <v>371198</v>
      </c>
      <c r="F195" s="1157">
        <v>131373</v>
      </c>
      <c r="G195" s="1157">
        <v>0</v>
      </c>
      <c r="H195" s="1157">
        <v>0</v>
      </c>
      <c r="I195" s="1157"/>
      <c r="J195" s="1157"/>
      <c r="K195" s="748">
        <f t="shared" si="5"/>
        <v>502571</v>
      </c>
      <c r="L195" s="749"/>
      <c r="M195" s="749"/>
      <c r="N195" s="749"/>
      <c r="O195" s="749"/>
      <c r="P195" s="750"/>
      <c r="Q195" s="750"/>
      <c r="R195" s="750"/>
      <c r="S195" s="750"/>
      <c r="T195" s="750"/>
      <c r="U195" s="750"/>
      <c r="V195" s="750"/>
    </row>
    <row r="196" spans="1:22">
      <c r="A196" s="53">
        <v>4</v>
      </c>
      <c r="B196" s="53">
        <v>391</v>
      </c>
      <c r="C196" s="53">
        <v>3911</v>
      </c>
      <c r="D196" s="737" t="s">
        <v>667</v>
      </c>
      <c r="E196" s="1157">
        <v>5866744</v>
      </c>
      <c r="F196" s="1157">
        <v>1954452</v>
      </c>
      <c r="G196" s="1157">
        <v>919713</v>
      </c>
      <c r="H196" s="1157">
        <v>0</v>
      </c>
      <c r="I196" s="1157"/>
      <c r="J196" s="1157"/>
      <c r="K196" s="748">
        <f t="shared" si="5"/>
        <v>6901483</v>
      </c>
      <c r="L196" s="749"/>
      <c r="M196" s="749"/>
      <c r="N196" s="749"/>
      <c r="O196" s="749"/>
      <c r="P196" s="750"/>
      <c r="Q196" s="750"/>
      <c r="R196" s="750"/>
      <c r="S196" s="750"/>
      <c r="T196" s="750"/>
      <c r="U196" s="750"/>
      <c r="V196" s="750"/>
    </row>
    <row r="197" spans="1:22">
      <c r="A197" s="53">
        <v>5</v>
      </c>
      <c r="B197" s="53">
        <v>392</v>
      </c>
      <c r="C197" s="53">
        <v>3920</v>
      </c>
      <c r="D197" s="737" t="s">
        <v>668</v>
      </c>
      <c r="E197" s="1157">
        <v>924290</v>
      </c>
      <c r="F197" s="1157">
        <v>324571</v>
      </c>
      <c r="G197" s="1157">
        <v>0</v>
      </c>
      <c r="H197" s="1157">
        <v>0</v>
      </c>
      <c r="I197" s="1157"/>
      <c r="J197" s="1157"/>
      <c r="K197" s="748">
        <f t="shared" si="5"/>
        <v>1248861</v>
      </c>
      <c r="L197" s="749"/>
      <c r="M197" s="749"/>
      <c r="N197" s="749"/>
      <c r="O197" s="749"/>
      <c r="P197" s="750"/>
      <c r="Q197" s="750"/>
      <c r="R197" s="750"/>
      <c r="S197" s="750"/>
      <c r="T197" s="750"/>
      <c r="U197" s="750"/>
      <c r="V197" s="750"/>
    </row>
    <row r="198" spans="1:22">
      <c r="A198" s="53">
        <v>6</v>
      </c>
      <c r="B198" s="53">
        <v>392</v>
      </c>
      <c r="C198" s="53">
        <v>3921</v>
      </c>
      <c r="D198" s="737" t="s">
        <v>669</v>
      </c>
      <c r="E198" s="1157">
        <v>272066</v>
      </c>
      <c r="F198" s="1157">
        <v>95538</v>
      </c>
      <c r="G198" s="1157">
        <v>0</v>
      </c>
      <c r="H198" s="1157">
        <v>0</v>
      </c>
      <c r="I198" s="1157"/>
      <c r="J198" s="1157"/>
      <c r="K198" s="748">
        <f t="shared" si="5"/>
        <v>367604</v>
      </c>
      <c r="L198" s="749"/>
      <c r="M198" s="749"/>
      <c r="N198" s="749"/>
      <c r="O198" s="749"/>
      <c r="P198" s="750"/>
      <c r="Q198" s="750"/>
      <c r="R198" s="750"/>
      <c r="S198" s="750"/>
      <c r="T198" s="750"/>
      <c r="U198" s="750"/>
      <c r="V198" s="750"/>
    </row>
    <row r="199" spans="1:22">
      <c r="A199" s="53">
        <v>7</v>
      </c>
      <c r="B199" s="53">
        <v>394</v>
      </c>
      <c r="C199" s="53">
        <v>3940</v>
      </c>
      <c r="D199" s="737" t="s">
        <v>670</v>
      </c>
      <c r="E199" s="1157">
        <v>3804206</v>
      </c>
      <c r="F199" s="1157">
        <v>1743942</v>
      </c>
      <c r="G199" s="1157">
        <v>3840</v>
      </c>
      <c r="H199" s="1157">
        <v>0</v>
      </c>
      <c r="I199" s="1157"/>
      <c r="J199" s="1157"/>
      <c r="K199" s="748">
        <f t="shared" si="5"/>
        <v>5544308</v>
      </c>
      <c r="L199" s="749"/>
      <c r="M199" s="749"/>
      <c r="N199" s="749"/>
      <c r="O199" s="749"/>
      <c r="P199" s="750"/>
      <c r="Q199" s="750"/>
      <c r="R199" s="750"/>
      <c r="S199" s="750"/>
      <c r="T199" s="750"/>
      <c r="U199" s="750"/>
      <c r="V199" s="750"/>
    </row>
    <row r="200" spans="1:22">
      <c r="A200" s="53">
        <v>8</v>
      </c>
      <c r="B200" s="53">
        <v>396</v>
      </c>
      <c r="C200" s="53">
        <v>3960</v>
      </c>
      <c r="D200" s="737" t="s">
        <v>671</v>
      </c>
      <c r="E200" s="1157">
        <v>11770</v>
      </c>
      <c r="F200" s="1157">
        <v>4133</v>
      </c>
      <c r="G200" s="1157">
        <v>0</v>
      </c>
      <c r="H200" s="1157">
        <v>0</v>
      </c>
      <c r="I200" s="1157"/>
      <c r="J200" s="1157"/>
      <c r="K200" s="748">
        <f t="shared" si="5"/>
        <v>15903</v>
      </c>
      <c r="L200" s="749"/>
      <c r="M200" s="749"/>
      <c r="N200" s="749"/>
      <c r="O200" s="749"/>
      <c r="P200" s="750"/>
      <c r="Q200" s="750"/>
      <c r="R200" s="750"/>
      <c r="S200" s="750"/>
      <c r="T200" s="750"/>
      <c r="U200" s="750"/>
      <c r="V200" s="750"/>
    </row>
    <row r="201" spans="1:22">
      <c r="A201" s="53">
        <v>9</v>
      </c>
      <c r="B201" s="53">
        <v>397</v>
      </c>
      <c r="C201" s="53">
        <v>3970</v>
      </c>
      <c r="D201" s="737" t="s">
        <v>672</v>
      </c>
      <c r="E201" s="1157">
        <v>20987914</v>
      </c>
      <c r="F201" s="1157">
        <v>8274844</v>
      </c>
      <c r="G201" s="1157">
        <v>160998</v>
      </c>
      <c r="H201" s="1157">
        <v>0</v>
      </c>
      <c r="I201" s="1157"/>
      <c r="J201" s="1157"/>
      <c r="K201" s="748">
        <f t="shared" si="5"/>
        <v>29101760</v>
      </c>
      <c r="L201" s="749"/>
      <c r="M201" s="749"/>
      <c r="N201" s="749"/>
      <c r="O201" s="749"/>
      <c r="P201" s="750"/>
      <c r="Q201" s="750"/>
      <c r="R201" s="750"/>
      <c r="S201" s="750"/>
      <c r="T201" s="750"/>
      <c r="U201" s="750"/>
      <c r="V201" s="750"/>
    </row>
    <row r="202" spans="1:22">
      <c r="A202" s="53">
        <v>10</v>
      </c>
      <c r="B202" s="737"/>
      <c r="C202" s="737"/>
      <c r="D202" s="737" t="s">
        <v>617</v>
      </c>
      <c r="E202" s="1157">
        <v>0</v>
      </c>
      <c r="F202" s="1157">
        <v>0</v>
      </c>
      <c r="G202" s="1157">
        <v>0</v>
      </c>
      <c r="H202" s="1157">
        <v>0</v>
      </c>
      <c r="I202" s="1157"/>
      <c r="J202" s="1157"/>
      <c r="K202" s="748">
        <f t="shared" si="5"/>
        <v>0</v>
      </c>
      <c r="L202" s="749"/>
      <c r="M202" s="749"/>
      <c r="N202" s="749"/>
      <c r="O202" s="749"/>
      <c r="P202" s="750"/>
      <c r="Q202" s="750"/>
      <c r="R202" s="750"/>
      <c r="S202" s="750"/>
      <c r="T202" s="750"/>
      <c r="U202" s="750"/>
      <c r="V202" s="750"/>
    </row>
    <row r="203" spans="1:22">
      <c r="A203" s="750"/>
      <c r="B203" s="750"/>
      <c r="C203" s="750"/>
      <c r="D203" s="750"/>
      <c r="E203" s="748"/>
      <c r="F203" s="748"/>
      <c r="G203" s="748"/>
      <c r="H203" s="748"/>
      <c r="I203" s="748"/>
      <c r="J203" s="748"/>
      <c r="K203" s="748"/>
      <c r="L203" s="749"/>
      <c r="M203" s="749"/>
      <c r="N203" s="750"/>
      <c r="O203" s="750"/>
      <c r="P203" s="750"/>
      <c r="Q203" s="750"/>
      <c r="R203" s="750"/>
      <c r="S203" s="750"/>
      <c r="T203" s="750"/>
      <c r="U203" s="750"/>
      <c r="V203" s="750"/>
    </row>
    <row r="204" spans="1:22">
      <c r="A204" s="750"/>
      <c r="B204" s="750"/>
      <c r="C204" s="750"/>
      <c r="D204" s="750"/>
      <c r="E204" s="750"/>
      <c r="F204" s="750"/>
      <c r="G204" s="750"/>
      <c r="H204" s="750"/>
      <c r="I204" s="750"/>
      <c r="J204" s="750"/>
      <c r="K204" s="748"/>
      <c r="L204" s="749"/>
      <c r="M204" s="749"/>
      <c r="N204" s="750"/>
      <c r="O204" s="750"/>
      <c r="P204" s="750"/>
      <c r="Q204" s="750"/>
      <c r="R204" s="750"/>
      <c r="S204" s="750"/>
      <c r="T204" s="750"/>
      <c r="U204" s="750"/>
      <c r="V204" s="750"/>
    </row>
    <row r="205" spans="1:22">
      <c r="A205" s="2082"/>
      <c r="B205" s="2082"/>
      <c r="C205" s="2082"/>
      <c r="D205" s="2082"/>
      <c r="E205" s="2084"/>
      <c r="F205" s="2084"/>
      <c r="G205" s="2084"/>
      <c r="H205" s="2084"/>
      <c r="I205" s="2092"/>
      <c r="J205" s="2092"/>
      <c r="K205" s="2084"/>
      <c r="L205" s="749"/>
      <c r="M205" s="750"/>
      <c r="N205" s="750"/>
      <c r="O205" s="750"/>
      <c r="P205" s="750"/>
      <c r="Q205" s="750"/>
      <c r="R205" s="750"/>
      <c r="S205" s="750"/>
      <c r="T205" s="750"/>
      <c r="U205" s="750"/>
      <c r="V205" s="750"/>
    </row>
    <row r="206" spans="1:22">
      <c r="A206" s="53">
        <v>11</v>
      </c>
      <c r="B206" s="750"/>
      <c r="C206" s="750"/>
      <c r="D206" s="737" t="s">
        <v>673</v>
      </c>
      <c r="E206" s="748">
        <f>SUM(E193:E203)</f>
        <v>67444058</v>
      </c>
      <c r="F206" s="748">
        <f>SUM(F193:F203)</f>
        <v>26541686</v>
      </c>
      <c r="G206" s="748">
        <f>SUM(G193:G203)</f>
        <v>1084251</v>
      </c>
      <c r="H206" s="748">
        <f>SUM(H193:H203)</f>
        <v>86596</v>
      </c>
      <c r="I206" s="749"/>
      <c r="J206" s="749"/>
      <c r="K206" s="748">
        <f>SUM(K193:K203)</f>
        <v>92988089</v>
      </c>
      <c r="L206" s="749"/>
      <c r="M206" s="750"/>
      <c r="N206" s="750"/>
      <c r="O206" s="750"/>
      <c r="P206" s="750"/>
      <c r="Q206" s="750"/>
      <c r="R206" s="750"/>
      <c r="S206" s="750"/>
      <c r="T206" s="750"/>
      <c r="U206" s="750"/>
      <c r="V206" s="750"/>
    </row>
    <row r="207" spans="1:22">
      <c r="A207" s="750"/>
      <c r="B207" s="750"/>
      <c r="C207" s="750"/>
      <c r="D207" s="750"/>
      <c r="E207" s="750"/>
      <c r="F207" s="750"/>
      <c r="G207" s="750"/>
      <c r="H207" s="750"/>
      <c r="I207" s="750"/>
      <c r="J207" s="750"/>
      <c r="K207" s="748"/>
      <c r="L207" s="749"/>
      <c r="M207" s="750"/>
      <c r="N207" s="750"/>
      <c r="O207" s="750"/>
      <c r="P207" s="750"/>
      <c r="Q207" s="750"/>
      <c r="R207" s="750"/>
      <c r="S207" s="750"/>
      <c r="T207" s="750"/>
      <c r="U207" s="750"/>
      <c r="V207" s="750"/>
    </row>
    <row r="208" spans="1:22">
      <c r="A208" s="2082"/>
      <c r="B208" s="2082"/>
      <c r="C208" s="2082"/>
      <c r="D208" s="2082"/>
      <c r="E208" s="2084"/>
      <c r="F208" s="2084"/>
      <c r="G208" s="2084"/>
      <c r="H208" s="2084"/>
      <c r="I208" s="2092"/>
      <c r="J208" s="2092"/>
      <c r="K208" s="2084"/>
      <c r="L208" s="749"/>
      <c r="M208" s="750"/>
      <c r="N208" s="750"/>
      <c r="O208" s="750"/>
      <c r="P208" s="750"/>
      <c r="Q208" s="750"/>
      <c r="R208" s="750"/>
      <c r="S208" s="750"/>
      <c r="T208" s="750"/>
      <c r="U208" s="750"/>
      <c r="V208" s="750"/>
    </row>
    <row r="209" spans="1:22">
      <c r="A209" s="53">
        <v>12</v>
      </c>
      <c r="B209" s="750"/>
      <c r="C209" s="750"/>
      <c r="D209" s="737" t="s">
        <v>674</v>
      </c>
      <c r="E209" s="748">
        <f>E36+E76+E115+E167+E206</f>
        <v>2326277211</v>
      </c>
      <c r="F209" s="748">
        <f>F36+F76+F115+F167+F206</f>
        <v>132901312</v>
      </c>
      <c r="G209" s="748">
        <f>G36+G76+G115+G167+G206</f>
        <v>13323910</v>
      </c>
      <c r="H209" s="748">
        <f>H36+H76+H115+H167+H206</f>
        <v>86596</v>
      </c>
      <c r="I209" s="750"/>
      <c r="J209" s="750"/>
      <c r="K209" s="748">
        <f>K36+K76+K115+K167+K206</f>
        <v>2445941209</v>
      </c>
      <c r="L209" s="749"/>
      <c r="M209" s="749"/>
      <c r="N209" s="750"/>
      <c r="O209" s="750"/>
      <c r="P209" s="750"/>
      <c r="Q209" s="750"/>
      <c r="R209" s="750"/>
      <c r="S209" s="750"/>
      <c r="T209" s="750"/>
      <c r="U209" s="750"/>
      <c r="V209" s="750"/>
    </row>
    <row r="210" spans="1:22">
      <c r="A210" s="750"/>
      <c r="B210" s="750"/>
      <c r="C210" s="750"/>
      <c r="D210" s="750"/>
      <c r="E210" s="750"/>
      <c r="F210" s="750"/>
      <c r="G210" s="750"/>
      <c r="H210" s="750"/>
      <c r="I210" s="750"/>
      <c r="J210" s="750"/>
      <c r="K210" s="750"/>
      <c r="L210" s="749"/>
      <c r="M210" s="749"/>
      <c r="N210" s="750"/>
      <c r="O210" s="750"/>
      <c r="P210" s="750"/>
      <c r="Q210" s="750"/>
      <c r="R210" s="750"/>
      <c r="S210" s="750"/>
      <c r="T210" s="750"/>
      <c r="U210" s="750"/>
      <c r="V210" s="750"/>
    </row>
    <row r="211" spans="1:22">
      <c r="A211" s="2082"/>
      <c r="B211" s="2082"/>
      <c r="C211" s="2082"/>
      <c r="D211" s="2082"/>
      <c r="E211" s="2082"/>
      <c r="F211" s="2082"/>
      <c r="G211" s="2082"/>
      <c r="H211" s="2082"/>
      <c r="I211" s="2082"/>
      <c r="J211" s="2082"/>
      <c r="K211" s="2082"/>
      <c r="L211" s="749"/>
      <c r="M211" s="749"/>
      <c r="N211" s="750"/>
      <c r="O211" s="750"/>
      <c r="P211" s="750"/>
      <c r="Q211" s="750"/>
      <c r="R211" s="750"/>
      <c r="S211" s="750"/>
      <c r="T211" s="750"/>
      <c r="U211" s="750"/>
      <c r="V211" s="750"/>
    </row>
    <row r="212" spans="1:22">
      <c r="A212" s="750"/>
      <c r="B212" s="750"/>
      <c r="C212" s="750"/>
      <c r="D212" s="750"/>
      <c r="E212" s="750"/>
      <c r="F212" s="750"/>
      <c r="G212" s="750"/>
      <c r="H212" s="750"/>
      <c r="I212" s="750"/>
      <c r="J212" s="750"/>
      <c r="K212" s="750"/>
      <c r="L212" s="749"/>
      <c r="M212" s="749"/>
      <c r="N212" s="750"/>
      <c r="O212" s="750"/>
      <c r="P212" s="750"/>
      <c r="Q212" s="750"/>
      <c r="R212" s="750"/>
      <c r="S212" s="750"/>
      <c r="T212" s="750"/>
      <c r="U212" s="750"/>
      <c r="V212" s="750"/>
    </row>
    <row r="213" spans="1:22">
      <c r="A213" s="59" t="str">
        <f>A1</f>
        <v>DUKE ENERGY KENTUCKY, INC.</v>
      </c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750"/>
      <c r="M213" s="749"/>
      <c r="N213" s="750"/>
      <c r="O213" s="750"/>
      <c r="P213" s="750"/>
      <c r="Q213" s="750"/>
      <c r="R213" s="750"/>
      <c r="S213" s="750"/>
      <c r="T213" s="750"/>
      <c r="U213" s="750"/>
      <c r="V213" s="750"/>
    </row>
    <row r="214" spans="1:22">
      <c r="A214" s="59" t="str">
        <f>A2</f>
        <v>CASE NO. 2024-00354</v>
      </c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750"/>
      <c r="M214" s="749"/>
      <c r="N214" s="750"/>
      <c r="O214" s="750"/>
      <c r="P214" s="750"/>
      <c r="Q214" s="750"/>
      <c r="R214" s="750"/>
      <c r="S214" s="750"/>
      <c r="T214" s="750"/>
      <c r="U214" s="750"/>
      <c r="V214" s="750"/>
    </row>
    <row r="215" spans="1:22">
      <c r="A215" s="59" t="str">
        <f>A3</f>
        <v>GROSS ADDITIONS, RETIREMENTS, AND TRANSFERS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750"/>
      <c r="M215" s="749"/>
      <c r="N215" s="750"/>
      <c r="O215" s="750"/>
      <c r="P215" s="750"/>
      <c r="Q215" s="750"/>
      <c r="R215" s="750"/>
      <c r="S215" s="750"/>
      <c r="T215" s="750"/>
      <c r="U215" s="750"/>
      <c r="V215" s="750"/>
    </row>
    <row r="216" spans="1:22">
      <c r="A216" s="59" t="str">
        <f>A4</f>
        <v>FROM MARCH 1, 2024 TO FEBRUARY 28, 2025</v>
      </c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750"/>
      <c r="M216" s="749"/>
      <c r="N216" s="750"/>
      <c r="O216" s="750"/>
      <c r="P216" s="750"/>
      <c r="Q216" s="750"/>
      <c r="R216" s="750"/>
      <c r="S216" s="750"/>
      <c r="T216" s="750"/>
      <c r="U216" s="750"/>
      <c r="V216" s="750"/>
    </row>
    <row r="217" spans="1:22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750"/>
      <c r="M217" s="749"/>
      <c r="N217" s="750"/>
      <c r="O217" s="750"/>
      <c r="P217" s="750"/>
      <c r="Q217" s="750"/>
      <c r="R217" s="750"/>
      <c r="S217" s="750"/>
      <c r="T217" s="750"/>
      <c r="U217" s="750"/>
      <c r="V217" s="750"/>
    </row>
    <row r="218" spans="1:22">
      <c r="A218" s="59" t="s">
        <v>675</v>
      </c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750"/>
      <c r="M218" s="749"/>
      <c r="N218" s="750"/>
      <c r="O218" s="750"/>
      <c r="P218" s="750"/>
      <c r="Q218" s="750"/>
      <c r="R218" s="750"/>
      <c r="S218" s="750"/>
      <c r="T218" s="750"/>
      <c r="U218" s="750"/>
      <c r="V218" s="750"/>
    </row>
    <row r="219" spans="1:22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750"/>
      <c r="M219" s="749"/>
      <c r="N219" s="750"/>
      <c r="O219" s="750"/>
      <c r="P219" s="750"/>
      <c r="Q219" s="750"/>
      <c r="R219" s="750"/>
      <c r="S219" s="750"/>
      <c r="T219" s="750"/>
      <c r="U219" s="750"/>
      <c r="V219" s="750"/>
    </row>
    <row r="220" spans="1:22">
      <c r="A220" s="1148" t="s">
        <v>529</v>
      </c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750"/>
      <c r="M220" s="749"/>
      <c r="N220" s="750"/>
      <c r="O220" s="750"/>
      <c r="P220" s="750"/>
      <c r="Q220" s="750"/>
      <c r="R220" s="750"/>
      <c r="S220" s="750"/>
      <c r="T220" s="750"/>
      <c r="U220" s="750"/>
      <c r="V220" s="750"/>
    </row>
    <row r="221" spans="1:22">
      <c r="A221" s="1148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750"/>
      <c r="M221" s="749"/>
      <c r="N221" s="750"/>
      <c r="O221" s="750"/>
      <c r="P221" s="750"/>
      <c r="Q221" s="750"/>
      <c r="R221" s="750"/>
      <c r="S221" s="750"/>
      <c r="T221" s="750"/>
      <c r="U221" s="750"/>
      <c r="V221" s="750"/>
    </row>
    <row r="222" spans="1:22">
      <c r="A222" s="737" t="str">
        <f>Data</f>
        <v>DATA: "X" BASE PERIOD   FORECASTED PERIOD</v>
      </c>
      <c r="B222" s="750"/>
      <c r="C222" s="750"/>
      <c r="D222" s="750"/>
      <c r="E222" s="750"/>
      <c r="F222" s="750"/>
      <c r="G222" s="750"/>
      <c r="H222" s="750"/>
      <c r="I222" s="750"/>
      <c r="J222" s="737" t="str">
        <f>J10</f>
        <v>SCHEDULE B-2.3</v>
      </c>
      <c r="K222" s="750"/>
      <c r="L222" s="750"/>
      <c r="M222" s="749"/>
      <c r="N222" s="750"/>
      <c r="O222" s="750"/>
      <c r="P222" s="750"/>
      <c r="Q222" s="750"/>
      <c r="R222" s="750"/>
      <c r="S222" s="750"/>
      <c r="T222" s="750"/>
      <c r="U222" s="750"/>
      <c r="V222" s="750"/>
    </row>
    <row r="223" spans="1:22">
      <c r="A223" s="737" t="str">
        <f>A11</f>
        <v xml:space="preserve">TYPE OF FILING:  "X" ORIGINAL   UPDATED    REVISED  </v>
      </c>
      <c r="B223" s="750"/>
      <c r="C223" s="750"/>
      <c r="D223" s="750"/>
      <c r="E223" s="750"/>
      <c r="F223" s="750"/>
      <c r="G223" s="750"/>
      <c r="H223" s="750"/>
      <c r="I223" s="750"/>
      <c r="J223" s="737" t="s">
        <v>676</v>
      </c>
      <c r="K223" s="750"/>
      <c r="L223" s="750"/>
      <c r="M223" s="749"/>
      <c r="N223" s="750"/>
      <c r="O223" s="750"/>
      <c r="P223" s="750"/>
      <c r="Q223" s="750"/>
      <c r="R223" s="750"/>
      <c r="S223" s="750"/>
      <c r="T223" s="750"/>
      <c r="U223" s="750"/>
      <c r="V223" s="750"/>
    </row>
    <row r="224" spans="1:22">
      <c r="A224" s="737" t="str">
        <f>A12</f>
        <v>WORK PAPER REFERENCE NO(S).:</v>
      </c>
      <c r="B224" s="750"/>
      <c r="C224" s="750"/>
      <c r="D224" s="750"/>
      <c r="E224" s="750"/>
      <c r="F224" s="750"/>
      <c r="G224" s="750"/>
      <c r="H224" s="750"/>
      <c r="I224" s="750"/>
      <c r="J224" s="750" t="s">
        <v>468</v>
      </c>
      <c r="K224" s="750"/>
      <c r="L224" s="750"/>
      <c r="M224" s="749"/>
      <c r="N224" s="750"/>
      <c r="O224" s="750"/>
      <c r="P224" s="750"/>
      <c r="Q224" s="750"/>
      <c r="R224" s="750"/>
      <c r="S224" s="750"/>
      <c r="T224" s="750"/>
      <c r="U224" s="750"/>
      <c r="V224" s="750"/>
    </row>
    <row r="225" spans="1:22">
      <c r="A225" s="750"/>
      <c r="B225" s="750"/>
      <c r="C225" s="750"/>
      <c r="D225" s="750"/>
      <c r="E225" s="750"/>
      <c r="F225" s="750"/>
      <c r="G225" s="750"/>
      <c r="H225" s="750"/>
      <c r="I225" s="750"/>
      <c r="J225" s="750" t="str">
        <f>J13</f>
        <v>G. S. CARPENTER / S. S. MITCHELL</v>
      </c>
      <c r="K225" s="750"/>
      <c r="L225" s="750"/>
      <c r="M225" s="749"/>
      <c r="N225" s="750"/>
      <c r="O225" s="750"/>
      <c r="P225" s="750"/>
      <c r="Q225" s="750"/>
      <c r="R225" s="750"/>
      <c r="S225" s="750"/>
      <c r="T225" s="750"/>
      <c r="U225" s="750"/>
      <c r="V225" s="750"/>
    </row>
    <row r="226" spans="1:22">
      <c r="A226" s="750"/>
      <c r="B226" s="750"/>
      <c r="C226" s="750"/>
      <c r="D226" s="750"/>
      <c r="E226" s="750"/>
      <c r="F226" s="750"/>
      <c r="G226" s="750"/>
      <c r="H226" s="750"/>
      <c r="I226" s="750"/>
      <c r="J226" s="750"/>
      <c r="K226" s="750"/>
      <c r="L226" s="750"/>
      <c r="M226" s="749"/>
      <c r="N226" s="750"/>
      <c r="O226" s="750"/>
      <c r="P226" s="750"/>
      <c r="Q226" s="750"/>
      <c r="R226" s="750"/>
      <c r="S226" s="750"/>
      <c r="T226" s="750"/>
      <c r="U226" s="750"/>
      <c r="V226" s="750"/>
    </row>
    <row r="227" spans="1:22">
      <c r="A227" s="750"/>
      <c r="B227" s="750"/>
      <c r="C227" s="750"/>
      <c r="D227" s="750"/>
      <c r="E227" s="750"/>
      <c r="F227" s="750"/>
      <c r="G227" s="750"/>
      <c r="H227" s="1443"/>
      <c r="I227" s="750"/>
      <c r="J227" s="750"/>
      <c r="K227" s="750"/>
      <c r="L227" s="750"/>
      <c r="M227" s="749"/>
      <c r="N227" s="750"/>
      <c r="O227" s="750"/>
      <c r="P227" s="750"/>
      <c r="Q227" s="750"/>
      <c r="R227" s="750"/>
      <c r="S227" s="750"/>
      <c r="T227" s="750"/>
      <c r="U227" s="750"/>
      <c r="V227" s="750"/>
    </row>
    <row r="228" spans="1:22">
      <c r="A228" s="2082"/>
      <c r="B228" s="2082"/>
      <c r="C228" s="2085"/>
      <c r="D228" s="2082"/>
      <c r="E228" s="2082"/>
      <c r="F228" s="2082"/>
      <c r="G228" s="2082"/>
      <c r="H228" s="780"/>
      <c r="I228" s="2082"/>
      <c r="J228" s="2082"/>
      <c r="K228" s="2082"/>
      <c r="L228" s="750"/>
      <c r="M228" s="749"/>
      <c r="N228" s="750"/>
      <c r="O228" s="750"/>
      <c r="P228" s="750"/>
      <c r="Q228" s="750"/>
      <c r="R228" s="750"/>
      <c r="S228" s="750"/>
      <c r="T228" s="750"/>
      <c r="U228" s="750"/>
      <c r="V228" s="750"/>
    </row>
    <row r="229" spans="1:22">
      <c r="A229" s="750"/>
      <c r="B229" s="53" t="s">
        <v>257</v>
      </c>
      <c r="C229" s="53" t="s">
        <v>605</v>
      </c>
      <c r="D229" s="750"/>
      <c r="E229" s="750"/>
      <c r="F229" s="750"/>
      <c r="G229" s="750"/>
      <c r="H229" s="1451" t="s">
        <v>708</v>
      </c>
      <c r="I229" s="1451"/>
      <c r="J229" s="1451"/>
      <c r="K229" s="750"/>
      <c r="L229" s="750"/>
      <c r="M229" s="749"/>
      <c r="N229" s="750"/>
      <c r="O229" s="750"/>
      <c r="P229" s="750"/>
      <c r="Q229" s="750"/>
      <c r="R229" s="750"/>
      <c r="S229" s="750"/>
      <c r="T229" s="750"/>
      <c r="U229" s="750"/>
      <c r="V229" s="750"/>
    </row>
    <row r="230" spans="1:22">
      <c r="A230" s="53" t="s">
        <v>573</v>
      </c>
      <c r="B230" s="53" t="s">
        <v>606</v>
      </c>
      <c r="C230" s="53" t="s">
        <v>606</v>
      </c>
      <c r="D230" s="53" t="s">
        <v>255</v>
      </c>
      <c r="E230" s="53" t="s">
        <v>709</v>
      </c>
      <c r="F230" s="750"/>
      <c r="G230" s="750"/>
      <c r="H230" s="2082"/>
      <c r="I230" s="2089" t="s">
        <v>710</v>
      </c>
      <c r="J230" s="2089" t="s">
        <v>711</v>
      </c>
      <c r="K230" s="53" t="s">
        <v>712</v>
      </c>
      <c r="L230" s="750"/>
      <c r="M230" s="749"/>
      <c r="N230" s="750"/>
      <c r="O230" s="750"/>
      <c r="P230" s="750"/>
      <c r="Q230" s="750"/>
      <c r="R230" s="750"/>
      <c r="S230" s="750"/>
      <c r="T230" s="750"/>
      <c r="U230" s="750"/>
      <c r="V230" s="750"/>
    </row>
    <row r="231" spans="1:22">
      <c r="A231" s="53" t="s">
        <v>576</v>
      </c>
      <c r="B231" s="53" t="s">
        <v>576</v>
      </c>
      <c r="C231" s="53" t="s">
        <v>576</v>
      </c>
      <c r="D231" s="53" t="s">
        <v>713</v>
      </c>
      <c r="E231" s="53" t="s">
        <v>556</v>
      </c>
      <c r="F231" s="53" t="s">
        <v>714</v>
      </c>
      <c r="G231" s="53" t="s">
        <v>715</v>
      </c>
      <c r="H231" s="53" t="s">
        <v>419</v>
      </c>
      <c r="I231" s="53" t="s">
        <v>716</v>
      </c>
      <c r="J231" s="53" t="s">
        <v>717</v>
      </c>
      <c r="K231" s="53" t="s">
        <v>556</v>
      </c>
      <c r="L231" s="750"/>
      <c r="M231" s="749"/>
      <c r="N231" s="750"/>
      <c r="O231" s="750"/>
      <c r="P231" s="750"/>
      <c r="Q231" s="750"/>
      <c r="R231" s="750"/>
      <c r="S231" s="750"/>
      <c r="T231" s="750"/>
      <c r="U231" s="750"/>
      <c r="V231" s="750"/>
    </row>
    <row r="232" spans="1:22">
      <c r="A232" s="750"/>
      <c r="B232" s="750"/>
      <c r="C232" s="750"/>
      <c r="D232" s="750"/>
      <c r="E232" s="750"/>
      <c r="F232" s="750"/>
      <c r="G232" s="750"/>
      <c r="H232" s="750"/>
      <c r="I232" s="750"/>
      <c r="J232" s="750"/>
      <c r="K232" s="750"/>
      <c r="L232" s="750"/>
      <c r="M232" s="749"/>
      <c r="N232" s="750"/>
      <c r="O232" s="750"/>
      <c r="P232" s="750"/>
      <c r="Q232" s="750"/>
      <c r="R232" s="750"/>
      <c r="S232" s="750"/>
      <c r="T232" s="750"/>
      <c r="U232" s="750"/>
      <c r="V232" s="750"/>
    </row>
    <row r="233" spans="1:22">
      <c r="A233" s="2082"/>
      <c r="B233" s="2082"/>
      <c r="C233" s="2082"/>
      <c r="D233" s="2082"/>
      <c r="E233" s="2089" t="s">
        <v>580</v>
      </c>
      <c r="F233" s="2089" t="s">
        <v>580</v>
      </c>
      <c r="G233" s="2089" t="s">
        <v>580</v>
      </c>
      <c r="H233" s="2089" t="s">
        <v>580</v>
      </c>
      <c r="I233" s="2082"/>
      <c r="J233" s="2082"/>
      <c r="K233" s="2089" t="s">
        <v>580</v>
      </c>
      <c r="L233" s="750"/>
      <c r="M233" s="749"/>
      <c r="N233" s="750"/>
      <c r="O233" s="750"/>
      <c r="P233" s="750"/>
      <c r="Q233" s="750"/>
      <c r="R233" s="750"/>
      <c r="S233" s="750"/>
      <c r="T233" s="750"/>
      <c r="U233" s="750"/>
      <c r="V233" s="750"/>
    </row>
    <row r="234" spans="1:22">
      <c r="A234" s="750"/>
      <c r="B234" s="750"/>
      <c r="C234" s="750"/>
      <c r="D234" s="750"/>
      <c r="E234" s="750"/>
      <c r="F234" s="750"/>
      <c r="G234" s="750"/>
      <c r="H234" s="750"/>
      <c r="I234" s="750"/>
      <c r="J234" s="750"/>
      <c r="K234" s="750"/>
      <c r="L234" s="750"/>
      <c r="M234" s="749"/>
      <c r="N234" s="750"/>
      <c r="O234" s="750"/>
      <c r="P234" s="750"/>
      <c r="Q234" s="750"/>
      <c r="R234" s="750"/>
      <c r="S234" s="750"/>
      <c r="T234" s="750"/>
      <c r="U234" s="750"/>
      <c r="V234" s="750"/>
    </row>
    <row r="235" spans="1:22">
      <c r="A235" s="53" t="s">
        <v>621</v>
      </c>
      <c r="B235" s="750"/>
      <c r="C235" s="53">
        <v>1030</v>
      </c>
      <c r="D235" s="737" t="s">
        <v>665</v>
      </c>
      <c r="E235" s="1157">
        <v>22442438</v>
      </c>
      <c r="F235" s="1157">
        <v>260</v>
      </c>
      <c r="G235" s="1157">
        <v>0</v>
      </c>
      <c r="H235" s="1157">
        <v>0</v>
      </c>
      <c r="I235" s="1157"/>
      <c r="J235" s="1157"/>
      <c r="K235" s="748">
        <f t="shared" ref="K235:K244" si="6">E235+F235-G235+H235</f>
        <v>22442698</v>
      </c>
      <c r="L235" s="749"/>
      <c r="M235" s="749"/>
      <c r="N235" s="749"/>
      <c r="O235" s="749"/>
      <c r="P235" s="750"/>
      <c r="Q235" s="750"/>
      <c r="R235" s="750"/>
      <c r="S235" s="750"/>
      <c r="T235" s="750"/>
      <c r="U235" s="750"/>
      <c r="V235" s="750"/>
    </row>
    <row r="236" spans="1:22">
      <c r="A236" s="53">
        <v>2</v>
      </c>
      <c r="B236" s="750"/>
      <c r="C236" s="53">
        <v>1890</v>
      </c>
      <c r="D236" s="737" t="s">
        <v>608</v>
      </c>
      <c r="E236" s="1157">
        <v>1041678</v>
      </c>
      <c r="F236" s="1157">
        <v>0</v>
      </c>
      <c r="G236" s="1157">
        <v>0</v>
      </c>
      <c r="H236" s="1157">
        <v>0</v>
      </c>
      <c r="I236" s="1157"/>
      <c r="J236" s="1157"/>
      <c r="K236" s="748">
        <f t="shared" si="6"/>
        <v>1041678</v>
      </c>
      <c r="L236" s="749"/>
      <c r="M236" s="749"/>
      <c r="N236" s="749"/>
      <c r="O236" s="749"/>
      <c r="P236" s="750"/>
      <c r="Q236" s="750"/>
      <c r="R236" s="750"/>
      <c r="S236" s="750"/>
      <c r="T236" s="750"/>
      <c r="U236" s="750"/>
      <c r="V236" s="750"/>
    </row>
    <row r="237" spans="1:22">
      <c r="A237" s="53">
        <v>3</v>
      </c>
      <c r="B237" s="750"/>
      <c r="C237" s="53">
        <v>1900</v>
      </c>
      <c r="D237" s="737" t="s">
        <v>609</v>
      </c>
      <c r="E237" s="1157">
        <v>21086451</v>
      </c>
      <c r="F237" s="1157">
        <v>11401</v>
      </c>
      <c r="G237" s="1157">
        <v>-452459</v>
      </c>
      <c r="H237" s="1157">
        <v>0</v>
      </c>
      <c r="I237" s="1157"/>
      <c r="J237" s="1157"/>
      <c r="K237" s="748">
        <f t="shared" si="6"/>
        <v>21550311</v>
      </c>
      <c r="L237" s="749"/>
      <c r="M237" s="749"/>
      <c r="N237" s="749"/>
      <c r="O237" s="749"/>
      <c r="P237" s="750"/>
      <c r="Q237" s="750"/>
      <c r="R237" s="750"/>
      <c r="S237" s="750"/>
      <c r="T237" s="750"/>
      <c r="U237" s="750"/>
      <c r="V237" s="750"/>
    </row>
    <row r="238" spans="1:22">
      <c r="A238" s="53">
        <v>4</v>
      </c>
      <c r="B238" s="750"/>
      <c r="C238" s="53">
        <v>1910</v>
      </c>
      <c r="D238" s="737" t="s">
        <v>666</v>
      </c>
      <c r="E238" s="1157">
        <v>1560369</v>
      </c>
      <c r="F238" s="1157">
        <v>0</v>
      </c>
      <c r="G238" s="1157">
        <v>0</v>
      </c>
      <c r="H238" s="1157">
        <v>0</v>
      </c>
      <c r="I238" s="1157"/>
      <c r="J238" s="1157"/>
      <c r="K238" s="748">
        <f t="shared" si="6"/>
        <v>1560369</v>
      </c>
      <c r="L238" s="749"/>
      <c r="M238" s="749"/>
      <c r="N238" s="749"/>
      <c r="O238" s="749"/>
      <c r="P238" s="750"/>
      <c r="Q238" s="750"/>
      <c r="R238" s="750"/>
      <c r="S238" s="750"/>
      <c r="T238" s="750"/>
      <c r="U238" s="750"/>
      <c r="V238" s="750"/>
    </row>
    <row r="239" spans="1:22">
      <c r="A239" s="53">
        <v>5</v>
      </c>
      <c r="B239" s="750"/>
      <c r="C239" s="53">
        <v>1911</v>
      </c>
      <c r="D239" s="737" t="s">
        <v>677</v>
      </c>
      <c r="E239" s="1157">
        <v>9798</v>
      </c>
      <c r="F239" s="1157">
        <v>0</v>
      </c>
      <c r="G239" s="1157">
        <v>6780</v>
      </c>
      <c r="H239" s="1157">
        <v>0</v>
      </c>
      <c r="I239" s="1157"/>
      <c r="J239" s="1157"/>
      <c r="K239" s="748">
        <f t="shared" si="6"/>
        <v>3018</v>
      </c>
      <c r="L239" s="749"/>
      <c r="M239" s="749"/>
      <c r="N239" s="749"/>
      <c r="O239" s="749"/>
      <c r="P239" s="750"/>
      <c r="Q239" s="750"/>
      <c r="R239" s="750"/>
      <c r="S239" s="750"/>
      <c r="T239" s="750"/>
      <c r="U239" s="750"/>
      <c r="V239" s="750"/>
    </row>
    <row r="240" spans="1:22">
      <c r="A240" s="53">
        <v>6</v>
      </c>
      <c r="B240" s="750"/>
      <c r="C240" s="53">
        <v>1940</v>
      </c>
      <c r="D240" s="737" t="s">
        <v>670</v>
      </c>
      <c r="E240" s="1157">
        <v>113850</v>
      </c>
      <c r="F240" s="1157">
        <v>0</v>
      </c>
      <c r="G240" s="1157">
        <v>5851</v>
      </c>
      <c r="H240" s="1157">
        <v>0</v>
      </c>
      <c r="I240" s="1157"/>
      <c r="J240" s="1157"/>
      <c r="K240" s="748">
        <f t="shared" si="6"/>
        <v>107999</v>
      </c>
      <c r="L240" s="749"/>
      <c r="M240" s="749"/>
      <c r="N240" s="749"/>
      <c r="O240" s="749"/>
      <c r="P240" s="750"/>
      <c r="Q240" s="750"/>
      <c r="R240" s="750"/>
      <c r="S240" s="750"/>
      <c r="T240" s="750"/>
      <c r="U240" s="750"/>
      <c r="V240" s="750"/>
    </row>
    <row r="241" spans="1:22">
      <c r="A241" s="53">
        <v>7</v>
      </c>
      <c r="B241" s="750"/>
      <c r="C241" s="53">
        <v>1970</v>
      </c>
      <c r="D241" s="737" t="s">
        <v>672</v>
      </c>
      <c r="E241" s="1157">
        <v>6476478</v>
      </c>
      <c r="F241" s="1157">
        <v>-288969</v>
      </c>
      <c r="G241" s="1157">
        <v>959347</v>
      </c>
      <c r="H241" s="1157">
        <v>0</v>
      </c>
      <c r="I241" s="1157"/>
      <c r="J241" s="1157"/>
      <c r="K241" s="748">
        <f t="shared" si="6"/>
        <v>5228162</v>
      </c>
      <c r="L241" s="749"/>
      <c r="M241" s="749"/>
      <c r="N241" s="749"/>
      <c r="O241" s="749"/>
      <c r="P241" s="750"/>
      <c r="Q241" s="750"/>
      <c r="R241" s="750"/>
      <c r="S241" s="750"/>
      <c r="T241" s="750"/>
      <c r="U241" s="750"/>
      <c r="V241" s="750"/>
    </row>
    <row r="242" spans="1:22">
      <c r="A242" s="53">
        <v>8</v>
      </c>
      <c r="B242" s="750"/>
      <c r="C242" s="53">
        <v>1980</v>
      </c>
      <c r="D242" s="737" t="s">
        <v>678</v>
      </c>
      <c r="E242" s="1157">
        <v>95301</v>
      </c>
      <c r="F242" s="1157">
        <v>0</v>
      </c>
      <c r="G242" s="1157">
        <v>0</v>
      </c>
      <c r="H242" s="1157">
        <v>0</v>
      </c>
      <c r="I242" s="1157"/>
      <c r="J242" s="1157"/>
      <c r="K242" s="748">
        <f t="shared" si="6"/>
        <v>95301</v>
      </c>
      <c r="L242" s="749"/>
      <c r="M242" s="749"/>
      <c r="N242" s="749"/>
      <c r="O242" s="749"/>
      <c r="P242" s="750"/>
      <c r="Q242" s="750"/>
      <c r="R242" s="750"/>
      <c r="S242" s="750"/>
      <c r="T242" s="750"/>
      <c r="U242" s="750"/>
      <c r="V242" s="750"/>
    </row>
    <row r="243" spans="1:22">
      <c r="A243" s="53">
        <v>9</v>
      </c>
      <c r="B243" s="750"/>
      <c r="C243" s="53">
        <v>1990</v>
      </c>
      <c r="D243" s="737" t="s">
        <v>679</v>
      </c>
      <c r="E243" s="1157">
        <v>1486982</v>
      </c>
      <c r="F243" s="1157">
        <v>0</v>
      </c>
      <c r="G243" s="1157">
        <v>0</v>
      </c>
      <c r="H243" s="1157">
        <v>0</v>
      </c>
      <c r="I243" s="1157"/>
      <c r="J243" s="1157"/>
      <c r="K243" s="748">
        <f t="shared" si="6"/>
        <v>1486982</v>
      </c>
      <c r="L243" s="749"/>
      <c r="M243" s="749"/>
      <c r="N243" s="749"/>
      <c r="O243" s="749"/>
      <c r="P243" s="750"/>
      <c r="Q243" s="750"/>
      <c r="R243" s="750"/>
      <c r="S243" s="750"/>
      <c r="T243" s="750"/>
      <c r="U243" s="750"/>
      <c r="V243" s="750"/>
    </row>
    <row r="244" spans="1:22">
      <c r="A244" s="53">
        <v>10</v>
      </c>
      <c r="B244" s="750"/>
      <c r="C244" s="737"/>
      <c r="D244" s="737" t="s">
        <v>617</v>
      </c>
      <c r="E244" s="1157">
        <v>0</v>
      </c>
      <c r="F244" s="1157">
        <v>0</v>
      </c>
      <c r="G244" s="1157">
        <v>0</v>
      </c>
      <c r="H244" s="1157">
        <v>0</v>
      </c>
      <c r="I244" s="1157"/>
      <c r="J244" s="1157"/>
      <c r="K244" s="748">
        <f t="shared" si="6"/>
        <v>0</v>
      </c>
      <c r="L244" s="749"/>
      <c r="M244" s="749"/>
      <c r="N244" s="749"/>
      <c r="O244" s="749"/>
      <c r="P244" s="750"/>
      <c r="Q244" s="750"/>
      <c r="R244" s="750"/>
      <c r="S244" s="750"/>
      <c r="T244" s="750"/>
      <c r="U244" s="750"/>
      <c r="V244" s="750"/>
    </row>
    <row r="245" spans="1:22">
      <c r="A245" s="53"/>
      <c r="B245" s="750"/>
      <c r="C245" s="737"/>
      <c r="D245" s="737"/>
      <c r="E245" s="748"/>
      <c r="F245" s="748"/>
      <c r="G245" s="748"/>
      <c r="H245" s="748"/>
      <c r="I245" s="748"/>
      <c r="J245" s="748"/>
      <c r="K245" s="748"/>
      <c r="L245" s="749"/>
      <c r="M245" s="749"/>
      <c r="N245" s="750"/>
      <c r="O245" s="750"/>
      <c r="P245" s="750"/>
      <c r="Q245" s="750"/>
      <c r="R245" s="750"/>
      <c r="S245" s="750"/>
      <c r="T245" s="750"/>
      <c r="U245" s="750"/>
      <c r="V245" s="750"/>
    </row>
    <row r="246" spans="1:22">
      <c r="A246" s="750"/>
      <c r="B246" s="750"/>
      <c r="C246" s="750"/>
      <c r="D246" s="750"/>
      <c r="E246" s="750"/>
      <c r="F246" s="750"/>
      <c r="G246" s="750"/>
      <c r="H246" s="750"/>
      <c r="I246" s="750"/>
      <c r="J246" s="750"/>
      <c r="K246" s="748"/>
      <c r="L246" s="749"/>
      <c r="M246" s="749"/>
      <c r="N246" s="750"/>
      <c r="O246" s="750"/>
      <c r="P246" s="750"/>
      <c r="Q246" s="750"/>
      <c r="R246" s="750"/>
      <c r="S246" s="750"/>
      <c r="T246" s="750"/>
      <c r="U246" s="750"/>
      <c r="V246" s="750"/>
    </row>
    <row r="247" spans="1:22">
      <c r="A247" s="2082"/>
      <c r="B247" s="2082"/>
      <c r="C247" s="2082"/>
      <c r="D247" s="2082"/>
      <c r="E247" s="2084"/>
      <c r="F247" s="2084"/>
      <c r="G247" s="2084"/>
      <c r="H247" s="2084"/>
      <c r="I247" s="2092"/>
      <c r="J247" s="2092"/>
      <c r="K247" s="2084"/>
      <c r="L247" s="749"/>
      <c r="M247" s="749"/>
      <c r="N247" s="750"/>
      <c r="O247" s="750"/>
      <c r="P247" s="750"/>
      <c r="Q247" s="750"/>
      <c r="R247" s="750"/>
      <c r="S247" s="750"/>
      <c r="T247" s="750"/>
      <c r="U247" s="750"/>
      <c r="V247" s="750"/>
    </row>
    <row r="248" spans="1:22">
      <c r="A248" s="53">
        <v>11</v>
      </c>
      <c r="B248" s="750"/>
      <c r="C248" s="750"/>
      <c r="D248" s="737" t="s">
        <v>680</v>
      </c>
      <c r="E248" s="748">
        <f>SUM(E235:E244)</f>
        <v>54313345</v>
      </c>
      <c r="F248" s="748">
        <f>SUM(F235:F244)</f>
        <v>-277308</v>
      </c>
      <c r="G248" s="748">
        <f>SUM(G235:G244)</f>
        <v>519519</v>
      </c>
      <c r="H248" s="748">
        <f>SUM(H235:H244)</f>
        <v>0</v>
      </c>
      <c r="I248" s="749"/>
      <c r="J248" s="749"/>
      <c r="K248" s="748">
        <f>SUM(K235:K244)</f>
        <v>53516518</v>
      </c>
      <c r="Q248" s="750"/>
      <c r="R248" s="750"/>
      <c r="S248" s="750"/>
      <c r="T248" s="750"/>
      <c r="U248" s="750"/>
      <c r="V248" s="750"/>
    </row>
    <row r="249" spans="1:22">
      <c r="A249" s="750"/>
      <c r="B249" s="750"/>
      <c r="C249" s="750"/>
      <c r="D249" s="750"/>
      <c r="E249" s="750"/>
      <c r="F249" s="750"/>
      <c r="G249" s="750"/>
      <c r="H249" s="750"/>
      <c r="I249" s="750"/>
      <c r="J249" s="750"/>
      <c r="K249" s="748"/>
      <c r="Q249" s="750"/>
      <c r="R249" s="750"/>
      <c r="S249" s="750"/>
      <c r="T249" s="750"/>
      <c r="U249" s="750"/>
      <c r="V249" s="750"/>
    </row>
    <row r="250" spans="1:22">
      <c r="A250" s="2082"/>
      <c r="B250" s="2082"/>
      <c r="C250" s="2082"/>
      <c r="D250" s="2082"/>
      <c r="E250" s="2084"/>
      <c r="F250" s="2084"/>
      <c r="G250" s="2084"/>
      <c r="H250" s="2084"/>
      <c r="I250" s="2092"/>
      <c r="J250" s="2092"/>
      <c r="K250" s="2084"/>
      <c r="Q250" s="750"/>
      <c r="R250" s="750"/>
      <c r="S250" s="750"/>
      <c r="T250" s="750"/>
      <c r="U250" s="750"/>
      <c r="V250" s="750"/>
    </row>
    <row r="251" spans="1:22">
      <c r="A251" s="53">
        <v>12</v>
      </c>
      <c r="B251" s="750"/>
      <c r="C251" s="747">
        <f>CommonE</f>
        <v>0.70750000000000002</v>
      </c>
      <c r="D251" s="737" t="s">
        <v>681</v>
      </c>
      <c r="E251" s="748">
        <f>ROUND(E248*$C$251,0)</f>
        <v>38426692</v>
      </c>
      <c r="F251" s="748">
        <f>ROUND(F248*$C$251,0)-1</f>
        <v>-196196</v>
      </c>
      <c r="G251" s="748">
        <f>ROUND(G248*$C$251,0)</f>
        <v>367560</v>
      </c>
      <c r="H251" s="748">
        <f>ROUND(H248*$C$251,0)</f>
        <v>0</v>
      </c>
      <c r="I251" s="749"/>
      <c r="J251" s="749"/>
      <c r="K251" s="748">
        <f>E251+F251-G251+H251</f>
        <v>37862936</v>
      </c>
      <c r="Q251" s="750"/>
      <c r="R251" s="750"/>
      <c r="S251" s="750"/>
      <c r="T251" s="750"/>
      <c r="U251" s="750"/>
      <c r="V251" s="750"/>
    </row>
    <row r="252" spans="1:22">
      <c r="A252" s="750"/>
      <c r="B252" s="750"/>
      <c r="C252" s="750"/>
      <c r="D252" s="750"/>
      <c r="E252" s="750"/>
      <c r="F252" s="750"/>
      <c r="G252" s="750"/>
      <c r="H252" s="750"/>
      <c r="I252" s="750"/>
      <c r="J252" s="750"/>
      <c r="K252" s="748"/>
      <c r="L252" s="749"/>
      <c r="M252" s="749"/>
      <c r="N252" s="750"/>
      <c r="O252" s="750"/>
      <c r="P252" s="750"/>
      <c r="Q252" s="750"/>
      <c r="R252" s="750"/>
      <c r="S252" s="750"/>
      <c r="T252" s="750"/>
      <c r="U252" s="750"/>
      <c r="V252" s="750"/>
    </row>
    <row r="253" spans="1:22">
      <c r="A253" s="2082"/>
      <c r="B253" s="2082"/>
      <c r="C253" s="2082"/>
      <c r="D253" s="2082"/>
      <c r="E253" s="2084"/>
      <c r="F253" s="2084"/>
      <c r="G253" s="2084"/>
      <c r="H253" s="2084"/>
      <c r="I253" s="2092"/>
      <c r="J253" s="2092"/>
      <c r="K253" s="2084"/>
      <c r="L253" s="749"/>
      <c r="M253" s="749"/>
      <c r="N253" s="750"/>
      <c r="O253" s="750"/>
      <c r="P253" s="750"/>
      <c r="Q253" s="750"/>
      <c r="R253" s="750"/>
      <c r="S253" s="750"/>
      <c r="T253" s="750"/>
      <c r="U253" s="750"/>
      <c r="V253" s="750"/>
    </row>
    <row r="254" spans="1:22">
      <c r="A254" s="53">
        <v>13</v>
      </c>
      <c r="B254" s="750"/>
      <c r="C254" s="750"/>
      <c r="D254" s="737" t="s">
        <v>682</v>
      </c>
      <c r="E254" s="748">
        <f>E251+E209</f>
        <v>2364703903</v>
      </c>
      <c r="F254" s="748">
        <f>F251+F209</f>
        <v>132705116</v>
      </c>
      <c r="G254" s="748">
        <f>G251+G209</f>
        <v>13691470</v>
      </c>
      <c r="H254" s="748">
        <f>H251+H209</f>
        <v>86596</v>
      </c>
      <c r="I254" s="749"/>
      <c r="J254" s="749"/>
      <c r="K254" s="748">
        <f>K251+K209</f>
        <v>2483804145</v>
      </c>
      <c r="L254" s="749"/>
      <c r="M254" s="749"/>
      <c r="N254" s="750"/>
      <c r="O254" s="750"/>
      <c r="P254" s="750"/>
      <c r="Q254" s="750"/>
      <c r="R254" s="750"/>
      <c r="S254" s="750"/>
      <c r="T254" s="750"/>
      <c r="U254" s="750"/>
      <c r="V254" s="750"/>
    </row>
    <row r="255" spans="1:22">
      <c r="A255" s="750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49"/>
      <c r="M255" s="749"/>
      <c r="N255" s="750"/>
      <c r="O255" s="750"/>
      <c r="P255" s="750"/>
      <c r="Q255" s="750"/>
      <c r="R255" s="750"/>
      <c r="S255" s="750"/>
      <c r="T255" s="750"/>
      <c r="U255" s="750"/>
      <c r="V255" s="750"/>
    </row>
    <row r="256" spans="1:22">
      <c r="A256" s="2082"/>
      <c r="B256" s="2082"/>
      <c r="C256" s="2082"/>
      <c r="D256" s="2082"/>
      <c r="E256" s="2084"/>
      <c r="F256" s="2084"/>
      <c r="G256" s="2084"/>
      <c r="H256" s="2084"/>
      <c r="I256" s="2092"/>
      <c r="J256" s="2092"/>
      <c r="K256" s="2084"/>
      <c r="L256" s="749"/>
      <c r="M256" s="749"/>
      <c r="N256" s="750"/>
      <c r="O256" s="750"/>
      <c r="P256" s="750"/>
      <c r="Q256" s="750"/>
      <c r="R256" s="750"/>
      <c r="S256" s="750"/>
      <c r="T256" s="750"/>
      <c r="U256" s="750"/>
      <c r="V256" s="750"/>
    </row>
    <row r="257" spans="1:22">
      <c r="A257" s="737"/>
      <c r="B257" s="750"/>
      <c r="C257" s="750"/>
      <c r="D257" s="750"/>
      <c r="E257" s="748"/>
      <c r="F257" s="748"/>
      <c r="G257" s="748"/>
      <c r="H257" s="748"/>
      <c r="I257" s="749"/>
      <c r="J257" s="749"/>
      <c r="K257" s="748"/>
      <c r="L257" s="748"/>
      <c r="M257" s="749"/>
      <c r="N257" s="750"/>
      <c r="O257" s="750"/>
      <c r="P257" s="750"/>
      <c r="Q257" s="750"/>
      <c r="R257" s="750"/>
      <c r="S257" s="750"/>
      <c r="T257" s="750"/>
      <c r="U257" s="750"/>
      <c r="V257" s="750"/>
    </row>
    <row r="258" spans="1:22">
      <c r="A258" s="59" t="str">
        <f>COMPANY</f>
        <v>DUKE ENERGY KENTUCKY, INC.</v>
      </c>
      <c r="B258" s="59"/>
      <c r="C258" s="59"/>
      <c r="D258" s="59"/>
      <c r="E258" s="1155"/>
      <c r="F258" s="59"/>
      <c r="G258" s="59"/>
      <c r="H258" s="59"/>
      <c r="I258" s="59"/>
      <c r="J258" s="59"/>
      <c r="K258" s="59"/>
      <c r="L258" s="750"/>
      <c r="M258" s="749"/>
      <c r="N258" s="750"/>
      <c r="O258" s="750"/>
      <c r="P258" s="750"/>
      <c r="Q258" s="750"/>
      <c r="R258" s="750"/>
      <c r="S258" s="750"/>
      <c r="T258" s="750"/>
      <c r="U258" s="750"/>
      <c r="V258" s="750"/>
    </row>
    <row r="259" spans="1:22">
      <c r="A259" s="59" t="str">
        <f>CASE</f>
        <v>CASE NO. 2024-00354</v>
      </c>
      <c r="B259" s="59"/>
      <c r="C259" s="59"/>
      <c r="D259" s="59"/>
      <c r="E259" s="1155"/>
      <c r="F259" s="59"/>
      <c r="G259" s="59"/>
      <c r="H259" s="59"/>
      <c r="I259" s="59"/>
      <c r="J259" s="59"/>
      <c r="K259" s="59"/>
      <c r="L259" s="750"/>
      <c r="M259" s="749"/>
      <c r="N259" s="750"/>
      <c r="O259" s="750"/>
      <c r="P259" s="750"/>
      <c r="Q259" s="750"/>
      <c r="R259" s="750"/>
      <c r="S259" s="750"/>
      <c r="T259" s="750"/>
      <c r="U259" s="750"/>
      <c r="V259" s="750"/>
    </row>
    <row r="260" spans="1:22">
      <c r="A260" s="59" t="s">
        <v>706</v>
      </c>
      <c r="B260" s="59"/>
      <c r="C260" s="59"/>
      <c r="D260" s="59"/>
      <c r="E260" s="1155"/>
      <c r="F260" s="59"/>
      <c r="G260" s="59"/>
      <c r="H260" s="59"/>
      <c r="I260" s="59"/>
      <c r="J260" s="59"/>
      <c r="K260" s="59"/>
      <c r="L260" s="750"/>
      <c r="M260" s="749"/>
      <c r="N260" s="750"/>
      <c r="O260" s="750"/>
      <c r="P260" s="750"/>
      <c r="Q260" s="750"/>
      <c r="R260" s="750"/>
      <c r="S260" s="750"/>
      <c r="T260" s="750"/>
      <c r="U260" s="750"/>
      <c r="V260" s="750"/>
    </row>
    <row r="261" spans="1:22">
      <c r="A261" s="1823" t="str">
        <f>"FROM JULY 1, 2025"&amp;" TO "&amp;RIGHT(Forecast,(LEN(Forecast)-16))</f>
        <v>FROM JULY 1, 2025 TO JUNE 30, 2026</v>
      </c>
      <c r="B261" s="59"/>
      <c r="C261" s="59"/>
      <c r="D261" s="59"/>
      <c r="E261" s="1155"/>
      <c r="F261" s="59"/>
      <c r="G261" s="59"/>
      <c r="H261" s="59"/>
      <c r="I261" s="59"/>
      <c r="J261" s="59"/>
      <c r="K261" s="59"/>
      <c r="L261" s="750"/>
      <c r="M261" s="749"/>
      <c r="N261" s="750"/>
      <c r="O261" s="750"/>
      <c r="P261" s="750"/>
      <c r="Q261" s="750"/>
      <c r="R261" s="750"/>
      <c r="S261" s="750"/>
      <c r="T261" s="750"/>
      <c r="U261" s="750"/>
      <c r="V261" s="750"/>
    </row>
    <row r="262" spans="1:22">
      <c r="A262" s="59"/>
      <c r="B262" s="59"/>
      <c r="C262" s="59"/>
      <c r="D262" s="59"/>
      <c r="E262" s="1155"/>
      <c r="F262" s="59"/>
      <c r="G262" s="59"/>
      <c r="H262" s="59"/>
      <c r="I262" s="59"/>
      <c r="J262" s="59"/>
      <c r="K262" s="59"/>
      <c r="L262" s="750"/>
      <c r="M262" s="749"/>
      <c r="N262" s="750"/>
      <c r="O262" s="750"/>
      <c r="P262" s="750"/>
      <c r="Q262" s="750"/>
      <c r="R262" s="750"/>
      <c r="S262" s="750"/>
      <c r="T262" s="750"/>
      <c r="U262" s="750"/>
      <c r="V262" s="750"/>
    </row>
    <row r="263" spans="1:22">
      <c r="A263" s="59" t="s">
        <v>601</v>
      </c>
      <c r="B263" s="59"/>
      <c r="C263" s="59"/>
      <c r="D263" s="59"/>
      <c r="E263" s="1155"/>
      <c r="F263" s="59"/>
      <c r="G263" s="59"/>
      <c r="H263" s="59"/>
      <c r="I263" s="59"/>
      <c r="J263" s="59"/>
      <c r="K263" s="59"/>
      <c r="L263" s="750"/>
      <c r="M263" s="749"/>
      <c r="N263" s="750"/>
      <c r="O263" s="750"/>
      <c r="P263" s="750"/>
      <c r="Q263" s="750"/>
      <c r="R263" s="750"/>
      <c r="S263" s="750"/>
      <c r="T263" s="750"/>
      <c r="U263" s="750"/>
      <c r="V263" s="750"/>
    </row>
    <row r="264" spans="1:22">
      <c r="A264" s="59"/>
      <c r="B264" s="59"/>
      <c r="C264" s="59"/>
      <c r="D264" s="59"/>
      <c r="E264" s="1155"/>
      <c r="F264" s="59"/>
      <c r="G264" s="59"/>
      <c r="H264" s="59"/>
      <c r="I264" s="59"/>
      <c r="J264" s="59"/>
      <c r="K264" s="59"/>
      <c r="L264" s="750"/>
      <c r="M264" s="749"/>
      <c r="N264" s="750"/>
      <c r="O264" s="750"/>
      <c r="P264" s="750"/>
      <c r="Q264" s="750"/>
      <c r="R264" s="750"/>
      <c r="S264" s="750"/>
      <c r="T264" s="750"/>
      <c r="U264" s="750"/>
      <c r="V264" s="750"/>
    </row>
    <row r="265" spans="1:22">
      <c r="A265" s="1148" t="s">
        <v>529</v>
      </c>
      <c r="B265" s="59"/>
      <c r="C265" s="59"/>
      <c r="D265" s="59"/>
      <c r="E265" s="1155"/>
      <c r="F265" s="59"/>
      <c r="G265" s="59"/>
      <c r="H265" s="59"/>
      <c r="I265" s="59"/>
      <c r="J265" s="59"/>
      <c r="K265" s="59"/>
      <c r="L265" s="750"/>
      <c r="M265" s="749"/>
      <c r="N265" s="750"/>
      <c r="O265" s="750"/>
      <c r="P265" s="750"/>
      <c r="Q265" s="750"/>
      <c r="R265" s="750"/>
      <c r="S265" s="750"/>
      <c r="T265" s="750"/>
      <c r="U265" s="750"/>
      <c r="V265" s="750"/>
    </row>
    <row r="266" spans="1:22">
      <c r="A266" s="750"/>
      <c r="B266" s="750"/>
      <c r="C266" s="750"/>
      <c r="D266" s="750"/>
      <c r="E266" s="750"/>
      <c r="F266" s="750"/>
      <c r="G266" s="750"/>
      <c r="H266" s="750"/>
      <c r="I266" s="750"/>
      <c r="J266" s="750"/>
      <c r="K266" s="750"/>
      <c r="L266" s="750"/>
      <c r="M266" s="749"/>
      <c r="N266" s="750"/>
      <c r="O266" s="750"/>
      <c r="P266" s="750"/>
      <c r="Q266" s="750"/>
      <c r="R266" s="750"/>
      <c r="S266" s="750"/>
      <c r="T266" s="750"/>
      <c r="U266" s="750"/>
      <c r="V266" s="750"/>
    </row>
    <row r="267" spans="1:22">
      <c r="A267" s="737" t="str">
        <f>DataF</f>
        <v>DATA:  BASE PERIOD  "X" FORECASTED PERIOD</v>
      </c>
      <c r="B267" s="750"/>
      <c r="C267" s="750"/>
      <c r="D267" s="750"/>
      <c r="E267" s="750"/>
      <c r="F267" s="750"/>
      <c r="G267" s="750"/>
      <c r="H267" s="750"/>
      <c r="I267" s="750"/>
      <c r="K267" s="737" t="s">
        <v>707</v>
      </c>
      <c r="L267" s="750"/>
      <c r="M267" s="749"/>
      <c r="N267" s="750"/>
      <c r="O267" s="750"/>
      <c r="P267" s="750"/>
      <c r="Q267" s="750"/>
      <c r="R267" s="750"/>
      <c r="S267" s="750"/>
      <c r="T267" s="750"/>
      <c r="U267" s="750"/>
      <c r="V267" s="750"/>
    </row>
    <row r="268" spans="1:22">
      <c r="A268" s="737" t="str">
        <f>Type</f>
        <v xml:space="preserve">TYPE OF FILING:  "X" ORIGINAL   UPDATED    REVISED  </v>
      </c>
      <c r="B268" s="750"/>
      <c r="C268" s="750"/>
      <c r="D268" s="750"/>
      <c r="E268" s="750"/>
      <c r="F268" s="750"/>
      <c r="G268" s="750"/>
      <c r="H268" s="750"/>
      <c r="I268" s="750"/>
      <c r="K268" s="737" t="s">
        <v>683</v>
      </c>
      <c r="L268" s="750"/>
      <c r="M268" s="749"/>
      <c r="N268" s="750"/>
      <c r="O268" s="750"/>
      <c r="P268" s="750"/>
      <c r="Q268" s="750"/>
      <c r="R268" s="750"/>
      <c r="S268" s="750"/>
      <c r="T268" s="750"/>
      <c r="U268" s="750"/>
      <c r="V268" s="750"/>
    </row>
    <row r="269" spans="1:22">
      <c r="A269" s="737" t="s">
        <v>723</v>
      </c>
      <c r="B269" s="750"/>
      <c r="C269" s="750"/>
      <c r="D269" s="750"/>
      <c r="E269" s="750"/>
      <c r="F269" s="750"/>
      <c r="G269" s="750"/>
      <c r="H269" s="750"/>
      <c r="I269" s="750"/>
      <c r="K269" s="750" t="s">
        <v>468</v>
      </c>
      <c r="L269" s="750"/>
      <c r="M269" s="749"/>
      <c r="N269" s="750"/>
      <c r="O269" s="750"/>
      <c r="P269" s="750"/>
      <c r="Q269" s="750"/>
      <c r="R269" s="750"/>
      <c r="S269" s="750"/>
      <c r="T269" s="750"/>
      <c r="U269" s="750"/>
      <c r="V269" s="750"/>
    </row>
    <row r="270" spans="1:22">
      <c r="A270" s="750"/>
      <c r="B270" s="750"/>
      <c r="C270" s="750"/>
      <c r="D270" s="750"/>
      <c r="E270" s="750"/>
      <c r="F270" s="750"/>
      <c r="G270" s="750"/>
      <c r="H270" s="750"/>
      <c r="I270" s="750"/>
      <c r="K270" s="750" t="str">
        <f>_WIT7</f>
        <v>G. S. CARPENTER / S. S. MITCHELL</v>
      </c>
      <c r="L270" s="750"/>
      <c r="M270" s="749"/>
      <c r="N270" s="750"/>
      <c r="O270" s="750"/>
      <c r="P270" s="750"/>
      <c r="Q270" s="750"/>
      <c r="R270" s="750"/>
      <c r="S270" s="750"/>
      <c r="T270" s="750"/>
      <c r="U270" s="750"/>
      <c r="V270" s="750"/>
    </row>
    <row r="271" spans="1:22">
      <c r="A271" s="750"/>
      <c r="B271" s="750"/>
      <c r="C271" s="750"/>
      <c r="D271" s="750"/>
      <c r="E271" s="750"/>
      <c r="F271" s="750"/>
      <c r="G271" s="750"/>
      <c r="H271" s="750"/>
      <c r="I271" s="750"/>
      <c r="J271" s="750"/>
      <c r="K271" s="750"/>
      <c r="L271" s="750"/>
      <c r="M271" s="749"/>
      <c r="N271" s="750"/>
      <c r="O271" s="750"/>
      <c r="P271" s="750"/>
      <c r="Q271" s="750"/>
      <c r="R271" s="750"/>
      <c r="S271" s="750"/>
      <c r="T271" s="750"/>
      <c r="U271" s="750"/>
      <c r="V271" s="750"/>
    </row>
    <row r="272" spans="1:22">
      <c r="A272" s="750"/>
      <c r="B272" s="750"/>
      <c r="C272" s="750"/>
      <c r="D272" s="750"/>
      <c r="E272" s="750"/>
      <c r="F272" s="750"/>
      <c r="G272" s="750"/>
      <c r="H272" s="1443"/>
      <c r="I272" s="750"/>
      <c r="J272" s="750"/>
      <c r="K272" s="750"/>
      <c r="L272" s="750"/>
      <c r="M272" s="749"/>
      <c r="N272" s="750"/>
      <c r="O272" s="750"/>
      <c r="P272" s="750"/>
      <c r="Q272" s="750"/>
      <c r="R272" s="750"/>
      <c r="S272" s="750"/>
      <c r="T272" s="750"/>
      <c r="U272" s="750"/>
      <c r="V272" s="750"/>
    </row>
    <row r="273" spans="1:22">
      <c r="A273" s="2082"/>
      <c r="B273" s="2082"/>
      <c r="C273" s="2085"/>
      <c r="D273" s="2082"/>
      <c r="E273" s="2082"/>
      <c r="F273" s="2082"/>
      <c r="G273" s="2082"/>
      <c r="H273" s="780"/>
      <c r="I273" s="2082"/>
      <c r="J273" s="2082"/>
      <c r="K273" s="2082"/>
      <c r="L273" s="2082"/>
      <c r="M273" s="749"/>
      <c r="N273" s="750"/>
      <c r="O273" s="750"/>
      <c r="P273" s="750"/>
      <c r="Q273" s="750"/>
      <c r="R273" s="750"/>
      <c r="S273" s="750"/>
      <c r="T273" s="750"/>
      <c r="U273" s="750"/>
      <c r="V273" s="750"/>
    </row>
    <row r="274" spans="1:22">
      <c r="A274" s="750"/>
      <c r="B274" s="53" t="s">
        <v>257</v>
      </c>
      <c r="C274" s="53" t="s">
        <v>605</v>
      </c>
      <c r="D274" s="750"/>
      <c r="E274" s="750"/>
      <c r="F274" s="750"/>
      <c r="G274" s="750"/>
      <c r="H274" s="1450" t="s">
        <v>708</v>
      </c>
      <c r="I274" s="1450"/>
      <c r="J274" s="1450"/>
      <c r="K274" s="750"/>
      <c r="L274" s="750"/>
      <c r="M274" s="749"/>
      <c r="N274" s="750"/>
      <c r="O274" s="750"/>
      <c r="P274" s="750"/>
      <c r="Q274" s="750"/>
      <c r="R274" s="750"/>
      <c r="S274" s="750"/>
      <c r="T274" s="750"/>
      <c r="U274" s="750"/>
      <c r="V274" s="750"/>
    </row>
    <row r="275" spans="1:22">
      <c r="A275" s="53" t="s">
        <v>573</v>
      </c>
      <c r="B275" s="53" t="s">
        <v>606</v>
      </c>
      <c r="C275" s="53" t="s">
        <v>606</v>
      </c>
      <c r="D275" s="53" t="s">
        <v>255</v>
      </c>
      <c r="E275" s="53" t="s">
        <v>709</v>
      </c>
      <c r="F275" s="750"/>
      <c r="G275" s="750"/>
      <c r="H275" s="2091"/>
      <c r="I275" s="2086" t="s">
        <v>710</v>
      </c>
      <c r="J275" s="2086" t="s">
        <v>711</v>
      </c>
      <c r="K275" s="53" t="s">
        <v>712</v>
      </c>
      <c r="L275" s="53" t="s">
        <v>591</v>
      </c>
      <c r="M275" s="749"/>
      <c r="N275" s="750"/>
      <c r="O275" s="750"/>
      <c r="P275" s="750"/>
      <c r="Q275" s="750"/>
      <c r="R275" s="750"/>
      <c r="S275" s="750"/>
      <c r="T275" s="750"/>
      <c r="U275" s="750"/>
      <c r="V275" s="750"/>
    </row>
    <row r="276" spans="1:22">
      <c r="A276" s="53" t="s">
        <v>576</v>
      </c>
      <c r="B276" s="53" t="s">
        <v>576</v>
      </c>
      <c r="C276" s="53" t="s">
        <v>576</v>
      </c>
      <c r="D276" s="53" t="s">
        <v>713</v>
      </c>
      <c r="E276" s="53" t="s">
        <v>556</v>
      </c>
      <c r="F276" s="53" t="s">
        <v>714</v>
      </c>
      <c r="G276" s="53" t="s">
        <v>715</v>
      </c>
      <c r="H276" s="53" t="s">
        <v>419</v>
      </c>
      <c r="I276" s="53" t="s">
        <v>716</v>
      </c>
      <c r="J276" s="53" t="s">
        <v>717</v>
      </c>
      <c r="K276" s="53" t="s">
        <v>556</v>
      </c>
      <c r="L276" s="53" t="s">
        <v>592</v>
      </c>
      <c r="M276" s="749"/>
      <c r="N276" s="750"/>
      <c r="O276" s="750"/>
      <c r="P276" s="750"/>
      <c r="Q276" s="750"/>
      <c r="R276" s="750"/>
      <c r="S276" s="750"/>
      <c r="T276" s="750"/>
      <c r="U276" s="750"/>
      <c r="V276" s="750"/>
    </row>
    <row r="277" spans="1:22">
      <c r="A277" s="750"/>
      <c r="B277" s="750"/>
      <c r="C277" s="750"/>
      <c r="D277" s="750"/>
      <c r="E277" s="750"/>
      <c r="F277" s="750"/>
      <c r="G277" s="750"/>
      <c r="H277" s="750"/>
      <c r="I277" s="750"/>
      <c r="J277" s="750"/>
      <c r="K277" s="750"/>
      <c r="L277" s="750"/>
      <c r="M277" s="749"/>
      <c r="N277" s="750"/>
      <c r="O277" s="750"/>
      <c r="P277" s="750"/>
      <c r="Q277" s="750"/>
      <c r="R277" s="750"/>
      <c r="S277" s="750"/>
      <c r="T277" s="750"/>
      <c r="U277" s="750"/>
      <c r="V277" s="750"/>
    </row>
    <row r="278" spans="1:22">
      <c r="A278" s="2082"/>
      <c r="B278" s="2082"/>
      <c r="C278" s="2082"/>
      <c r="D278" s="2082"/>
      <c r="E278" s="2089" t="s">
        <v>580</v>
      </c>
      <c r="F278" s="2089" t="s">
        <v>580</v>
      </c>
      <c r="G278" s="2089" t="s">
        <v>580</v>
      </c>
      <c r="H278" s="2089" t="s">
        <v>580</v>
      </c>
      <c r="I278" s="2082"/>
      <c r="J278" s="2082"/>
      <c r="K278" s="2089" t="s">
        <v>580</v>
      </c>
      <c r="L278" s="2089" t="s">
        <v>580</v>
      </c>
      <c r="M278" s="749"/>
      <c r="N278" s="750"/>
      <c r="O278" s="750"/>
      <c r="P278" s="750"/>
      <c r="Q278" s="750"/>
      <c r="R278" s="750"/>
      <c r="S278" s="750"/>
      <c r="T278" s="750"/>
      <c r="U278" s="750"/>
      <c r="V278" s="750"/>
    </row>
    <row r="279" spans="1:22">
      <c r="A279" s="750"/>
      <c r="B279" s="750"/>
      <c r="C279" s="750"/>
      <c r="D279" s="2282"/>
      <c r="E279" s="750"/>
      <c r="F279" s="750"/>
      <c r="G279" s="750"/>
      <c r="H279" s="750"/>
      <c r="I279" s="750"/>
      <c r="J279" s="750"/>
      <c r="K279" s="750"/>
      <c r="L279" s="750"/>
      <c r="M279" s="749"/>
      <c r="N279" s="750"/>
      <c r="O279" s="750"/>
      <c r="P279" s="750"/>
      <c r="Q279" s="750"/>
      <c r="R279" s="750"/>
      <c r="S279" s="750"/>
      <c r="T279" s="750"/>
      <c r="U279" s="750"/>
      <c r="V279" s="750"/>
    </row>
    <row r="280" spans="1:22">
      <c r="A280" s="53" t="s">
        <v>621</v>
      </c>
      <c r="B280" s="53">
        <v>310</v>
      </c>
      <c r="C280" s="53">
        <v>3100</v>
      </c>
      <c r="D280" s="737" t="s">
        <v>608</v>
      </c>
      <c r="E280" s="61">
        <v>7157273</v>
      </c>
      <c r="F280" s="61">
        <v>183942</v>
      </c>
      <c r="G280" s="61">
        <v>0</v>
      </c>
      <c r="H280" s="2286">
        <v>0</v>
      </c>
      <c r="I280" s="749"/>
      <c r="J280" s="749"/>
      <c r="K280" s="748">
        <f t="shared" ref="K280:K289" si="7">E280+F280-G280+H280</f>
        <v>7341215</v>
      </c>
      <c r="L280" s="61">
        <v>7270233</v>
      </c>
      <c r="M280" s="749"/>
      <c r="N280" s="749"/>
      <c r="O280" s="749"/>
      <c r="P280" s="749"/>
      <c r="Q280" s="750"/>
      <c r="R280" s="750"/>
      <c r="S280" s="750"/>
      <c r="T280" s="750"/>
      <c r="U280" s="750"/>
      <c r="V280" s="750"/>
    </row>
    <row r="281" spans="1:22">
      <c r="A281" s="53">
        <f>A280+1</f>
        <v>2</v>
      </c>
      <c r="B281" s="53">
        <v>311</v>
      </c>
      <c r="C281" s="53">
        <v>3110</v>
      </c>
      <c r="D281" s="737" t="s">
        <v>609</v>
      </c>
      <c r="E281" s="61">
        <v>194313734</v>
      </c>
      <c r="F281" s="61">
        <v>4975746</v>
      </c>
      <c r="G281" s="61">
        <v>-846240</v>
      </c>
      <c r="H281" s="2286">
        <v>0</v>
      </c>
      <c r="I281" s="749"/>
      <c r="J281" s="749"/>
      <c r="K281" s="748">
        <f t="shared" si="7"/>
        <v>200135720</v>
      </c>
      <c r="L281" s="61">
        <v>197792489</v>
      </c>
      <c r="M281" s="749"/>
      <c r="N281" s="749"/>
      <c r="O281" s="749"/>
      <c r="P281" s="749"/>
      <c r="Q281" s="750"/>
      <c r="R281" s="750"/>
      <c r="S281" s="750"/>
      <c r="T281" s="750"/>
      <c r="U281" s="750"/>
      <c r="V281" s="750"/>
    </row>
    <row r="282" spans="1:22">
      <c r="A282" s="53">
        <f t="shared" ref="A282:A289" si="8">A281+1</f>
        <v>3</v>
      </c>
      <c r="B282" s="53">
        <v>312</v>
      </c>
      <c r="C282" s="53">
        <v>3120</v>
      </c>
      <c r="D282" s="737" t="s">
        <v>610</v>
      </c>
      <c r="E282" s="61">
        <v>573243016</v>
      </c>
      <c r="F282" s="61">
        <v>14823017</v>
      </c>
      <c r="G282" s="61">
        <v>4232760</v>
      </c>
      <c r="H282" s="2286">
        <v>0</v>
      </c>
      <c r="I282" s="749"/>
      <c r="J282" s="749"/>
      <c r="K282" s="748">
        <f t="shared" si="7"/>
        <v>583833273</v>
      </c>
      <c r="L282" s="61">
        <v>580229539</v>
      </c>
      <c r="M282" s="749"/>
      <c r="N282" s="749"/>
      <c r="O282" s="749"/>
      <c r="P282" s="749"/>
      <c r="Q282" s="750"/>
      <c r="R282" s="750"/>
      <c r="S282" s="750"/>
      <c r="T282" s="750"/>
      <c r="U282" s="750"/>
      <c r="V282" s="750"/>
    </row>
    <row r="283" spans="1:22">
      <c r="A283" s="53">
        <f t="shared" si="8"/>
        <v>4</v>
      </c>
      <c r="B283" s="53">
        <v>312</v>
      </c>
      <c r="C283" s="53">
        <v>3123</v>
      </c>
      <c r="D283" s="737" t="s">
        <v>611</v>
      </c>
      <c r="E283" s="61">
        <v>8213905</v>
      </c>
      <c r="F283" s="61">
        <v>223835</v>
      </c>
      <c r="G283" s="61">
        <v>594720</v>
      </c>
      <c r="H283" s="2286">
        <v>0</v>
      </c>
      <c r="I283" s="749"/>
      <c r="J283" s="749"/>
      <c r="K283" s="748">
        <f t="shared" si="7"/>
        <v>7843020</v>
      </c>
      <c r="L283" s="61">
        <v>8054003</v>
      </c>
      <c r="M283" s="749"/>
      <c r="N283" s="749"/>
      <c r="O283" s="749"/>
      <c r="P283" s="749"/>
      <c r="Q283" s="750"/>
      <c r="R283" s="750"/>
      <c r="S283" s="750"/>
      <c r="T283" s="750"/>
      <c r="U283" s="750"/>
      <c r="V283" s="750"/>
    </row>
    <row r="284" spans="1:22">
      <c r="A284" s="53">
        <f t="shared" si="8"/>
        <v>5</v>
      </c>
      <c r="B284" s="53">
        <v>314</v>
      </c>
      <c r="C284" s="53">
        <v>3140</v>
      </c>
      <c r="D284" s="737" t="s">
        <v>612</v>
      </c>
      <c r="E284" s="61">
        <v>122422240</v>
      </c>
      <c r="F284" s="61">
        <v>3226702</v>
      </c>
      <c r="G284" s="61">
        <v>3756240</v>
      </c>
      <c r="H284" s="2286">
        <v>0</v>
      </c>
      <c r="I284" s="749"/>
      <c r="J284" s="749"/>
      <c r="K284" s="748">
        <f t="shared" si="7"/>
        <v>121892702</v>
      </c>
      <c r="L284" s="61">
        <v>122525657</v>
      </c>
      <c r="M284" s="749"/>
      <c r="N284" s="749"/>
      <c r="O284" s="749"/>
      <c r="P284" s="749"/>
      <c r="Q284" s="750"/>
      <c r="R284" s="750"/>
      <c r="S284" s="750"/>
      <c r="T284" s="750"/>
      <c r="U284" s="750"/>
      <c r="V284" s="750"/>
    </row>
    <row r="285" spans="1:22">
      <c r="A285" s="53">
        <f t="shared" si="8"/>
        <v>6</v>
      </c>
      <c r="B285" s="53">
        <v>315</v>
      </c>
      <c r="C285" s="53">
        <v>3150</v>
      </c>
      <c r="D285" s="737" t="s">
        <v>613</v>
      </c>
      <c r="E285" s="61">
        <v>49592792</v>
      </c>
      <c r="F285" s="61">
        <v>1302439</v>
      </c>
      <c r="G285" s="61">
        <v>1302840</v>
      </c>
      <c r="H285" s="2286">
        <v>0</v>
      </c>
      <c r="I285" s="749"/>
      <c r="J285" s="749"/>
      <c r="K285" s="748">
        <f t="shared" si="7"/>
        <v>49592391</v>
      </c>
      <c r="L285" s="61">
        <v>49741207</v>
      </c>
      <c r="M285" s="749"/>
      <c r="N285" s="749"/>
      <c r="O285" s="749"/>
      <c r="P285" s="749"/>
      <c r="Q285" s="750"/>
      <c r="R285" s="750"/>
      <c r="S285" s="750"/>
      <c r="T285" s="750"/>
      <c r="U285" s="750"/>
      <c r="V285" s="750"/>
    </row>
    <row r="286" spans="1:22">
      <c r="A286" s="53">
        <f t="shared" si="8"/>
        <v>7</v>
      </c>
      <c r="B286" s="53">
        <v>316</v>
      </c>
      <c r="C286" s="53">
        <v>3160</v>
      </c>
      <c r="D286" s="737" t="s">
        <v>614</v>
      </c>
      <c r="E286" s="61">
        <v>25577352</v>
      </c>
      <c r="F286" s="61">
        <v>659045</v>
      </c>
      <c r="G286" s="61">
        <v>79680</v>
      </c>
      <c r="H286" s="2286">
        <v>0</v>
      </c>
      <c r="I286" s="749"/>
      <c r="J286" s="749"/>
      <c r="K286" s="748">
        <f t="shared" si="7"/>
        <v>26156717</v>
      </c>
      <c r="L286" s="61">
        <v>25942235</v>
      </c>
      <c r="M286" s="749"/>
      <c r="N286" s="749"/>
      <c r="O286" s="749"/>
      <c r="P286" s="749"/>
      <c r="Q286" s="750"/>
      <c r="R286" s="750"/>
      <c r="S286" s="750"/>
      <c r="T286" s="750"/>
      <c r="U286" s="750"/>
      <c r="V286" s="750"/>
    </row>
    <row r="287" spans="1:22">
      <c r="A287" s="53">
        <f t="shared" si="8"/>
        <v>8</v>
      </c>
      <c r="B287" s="53">
        <v>317</v>
      </c>
      <c r="C287" s="53" t="s">
        <v>719</v>
      </c>
      <c r="D287" s="737" t="s">
        <v>615</v>
      </c>
      <c r="E287" s="61">
        <v>89027761</v>
      </c>
      <c r="F287" s="61">
        <v>0</v>
      </c>
      <c r="G287" s="61">
        <v>0</v>
      </c>
      <c r="H287" s="2286">
        <v>0</v>
      </c>
      <c r="I287" s="749"/>
      <c r="J287" s="749"/>
      <c r="K287" s="748">
        <f t="shared" si="7"/>
        <v>89027761</v>
      </c>
      <c r="L287" s="61">
        <v>89027761</v>
      </c>
      <c r="M287" s="749"/>
      <c r="N287" s="749"/>
      <c r="O287" s="749"/>
      <c r="P287" s="749"/>
      <c r="Q287" s="750"/>
      <c r="R287" s="750"/>
      <c r="S287" s="750"/>
      <c r="T287" s="750"/>
      <c r="U287" s="750"/>
      <c r="V287" s="750"/>
    </row>
    <row r="288" spans="1:22">
      <c r="A288" s="53">
        <f t="shared" si="8"/>
        <v>9</v>
      </c>
      <c r="B288" s="53"/>
      <c r="C288" s="53"/>
      <c r="D288" s="737" t="s">
        <v>616</v>
      </c>
      <c r="E288" s="61">
        <v>0</v>
      </c>
      <c r="F288" s="61">
        <v>0</v>
      </c>
      <c r="G288" s="61">
        <v>0</v>
      </c>
      <c r="H288" s="2286">
        <v>0</v>
      </c>
      <c r="I288" s="749"/>
      <c r="J288" s="749"/>
      <c r="K288" s="748">
        <f t="shared" si="7"/>
        <v>0</v>
      </c>
      <c r="L288" s="61">
        <v>0</v>
      </c>
      <c r="M288" s="749"/>
      <c r="N288" s="749"/>
      <c r="O288" s="749"/>
      <c r="P288" s="749"/>
      <c r="Q288" s="750"/>
      <c r="R288" s="750"/>
      <c r="S288" s="750"/>
      <c r="T288" s="750"/>
      <c r="U288" s="750"/>
      <c r="V288" s="750"/>
    </row>
    <row r="289" spans="1:22">
      <c r="A289" s="53">
        <f t="shared" si="8"/>
        <v>10</v>
      </c>
      <c r="B289" s="737"/>
      <c r="C289" s="737"/>
      <c r="D289" s="737" t="s">
        <v>617</v>
      </c>
      <c r="E289" s="61">
        <v>0</v>
      </c>
      <c r="F289" s="61">
        <v>0</v>
      </c>
      <c r="G289" s="61">
        <v>0</v>
      </c>
      <c r="H289" s="2286">
        <v>0</v>
      </c>
      <c r="I289" s="749"/>
      <c r="J289" s="749"/>
      <c r="K289" s="748">
        <f t="shared" si="7"/>
        <v>0</v>
      </c>
      <c r="L289" s="61">
        <v>0</v>
      </c>
      <c r="M289" s="749"/>
      <c r="N289" s="749"/>
      <c r="O289" s="749"/>
      <c r="P289" s="749"/>
      <c r="Q289" s="750"/>
      <c r="R289" s="750"/>
      <c r="S289" s="750"/>
      <c r="T289" s="750"/>
      <c r="U289" s="750"/>
      <c r="V289" s="750"/>
    </row>
    <row r="290" spans="1:22">
      <c r="A290" s="750"/>
      <c r="B290" s="750"/>
      <c r="C290" s="750"/>
      <c r="D290" s="750"/>
      <c r="E290" s="750"/>
      <c r="F290" s="750"/>
      <c r="G290" s="750"/>
      <c r="H290" s="750"/>
      <c r="I290" s="750"/>
      <c r="J290" s="750"/>
      <c r="K290" s="748"/>
      <c r="L290" s="748"/>
      <c r="M290" s="749"/>
      <c r="N290" s="749"/>
      <c r="O290" s="750"/>
      <c r="P290" s="750"/>
      <c r="Q290" s="750"/>
      <c r="R290" s="750"/>
      <c r="S290" s="750"/>
      <c r="T290" s="750"/>
      <c r="U290" s="750"/>
      <c r="V290" s="750"/>
    </row>
    <row r="291" spans="1:22">
      <c r="A291" s="2082"/>
      <c r="B291" s="2082"/>
      <c r="C291" s="2082"/>
      <c r="D291" s="2082"/>
      <c r="E291" s="2082"/>
      <c r="F291" s="2082"/>
      <c r="G291" s="2082"/>
      <c r="H291" s="2082"/>
      <c r="I291" s="2082"/>
      <c r="J291" s="2082"/>
      <c r="K291" s="2084"/>
      <c r="L291" s="2084"/>
      <c r="M291" s="749"/>
      <c r="N291" s="749"/>
      <c r="O291" s="750"/>
      <c r="P291" s="750"/>
      <c r="Q291" s="750"/>
      <c r="R291" s="750"/>
      <c r="S291" s="750"/>
      <c r="T291" s="750"/>
      <c r="U291" s="750"/>
      <c r="V291" s="750"/>
    </row>
    <row r="292" spans="1:22">
      <c r="A292" s="53">
        <f>A289+1</f>
        <v>11</v>
      </c>
      <c r="B292" s="750"/>
      <c r="C292" s="750"/>
      <c r="D292" s="737" t="s">
        <v>720</v>
      </c>
      <c r="E292" s="748">
        <f>SUM(E280:E289)</f>
        <v>1069548073</v>
      </c>
      <c r="F292" s="748">
        <f>SUM(F280:F289)</f>
        <v>25394726</v>
      </c>
      <c r="G292" s="748">
        <f>SUM(G280:G289)</f>
        <v>9120000</v>
      </c>
      <c r="H292" s="748">
        <f>SUM(H280:H289)</f>
        <v>0</v>
      </c>
      <c r="I292" s="749"/>
      <c r="J292" s="749"/>
      <c r="K292" s="748">
        <f>SUM(K280:K289)</f>
        <v>1085822799</v>
      </c>
      <c r="L292" s="748">
        <f>SUM(L280:L289)</f>
        <v>1080583124</v>
      </c>
      <c r="M292" s="749"/>
      <c r="N292" s="749"/>
      <c r="O292" s="750"/>
      <c r="P292" s="750"/>
      <c r="Q292" s="750"/>
      <c r="R292" s="750"/>
      <c r="S292" s="750"/>
      <c r="T292" s="750"/>
      <c r="U292" s="750"/>
      <c r="V292" s="750"/>
    </row>
    <row r="293" spans="1:22">
      <c r="A293" s="750"/>
      <c r="B293" s="750"/>
      <c r="C293" s="750"/>
      <c r="D293" s="750"/>
      <c r="E293" s="750"/>
      <c r="F293" s="750"/>
      <c r="G293" s="750"/>
      <c r="H293" s="750"/>
      <c r="I293" s="750"/>
      <c r="J293" s="750"/>
      <c r="K293" s="750"/>
      <c r="L293" s="750"/>
      <c r="M293" s="749"/>
      <c r="N293" s="749"/>
      <c r="O293" s="750"/>
      <c r="P293" s="750"/>
      <c r="Q293" s="750"/>
      <c r="R293" s="750"/>
      <c r="S293" s="750"/>
      <c r="T293" s="750"/>
      <c r="U293" s="750"/>
      <c r="V293" s="750"/>
    </row>
    <row r="294" spans="1:22">
      <c r="A294" s="2082"/>
      <c r="B294" s="2082"/>
      <c r="C294" s="2082"/>
      <c r="D294" s="2082"/>
      <c r="E294" s="2084"/>
      <c r="F294" s="2084"/>
      <c r="G294" s="2084"/>
      <c r="H294" s="2084"/>
      <c r="I294" s="2092"/>
      <c r="J294" s="2092"/>
      <c r="K294" s="2084"/>
      <c r="L294" s="2084"/>
      <c r="M294" s="749"/>
      <c r="N294" s="749"/>
      <c r="O294" s="750"/>
      <c r="P294" s="750"/>
      <c r="Q294" s="750"/>
      <c r="R294" s="750"/>
      <c r="S294" s="750"/>
      <c r="T294" s="750"/>
      <c r="U294" s="750"/>
      <c r="V294" s="750"/>
    </row>
    <row r="295" spans="1:22">
      <c r="A295" s="59" t="str">
        <f>COMPANY</f>
        <v>DUKE ENERGY KENTUCKY, INC.</v>
      </c>
      <c r="B295" s="59"/>
      <c r="C295" s="59"/>
      <c r="D295" s="59"/>
      <c r="E295" s="1155"/>
      <c r="F295" s="59"/>
      <c r="G295" s="59"/>
      <c r="H295" s="59"/>
      <c r="I295" s="59"/>
      <c r="J295" s="59"/>
      <c r="K295" s="59"/>
      <c r="L295" s="55"/>
      <c r="M295" s="749"/>
      <c r="N295" s="749"/>
      <c r="O295" s="750"/>
      <c r="P295" s="750"/>
      <c r="Q295" s="750"/>
      <c r="R295" s="750"/>
      <c r="S295" s="750"/>
      <c r="T295" s="750"/>
      <c r="U295" s="750"/>
      <c r="V295" s="750"/>
    </row>
    <row r="296" spans="1:22">
      <c r="A296" s="59" t="str">
        <f>CASE</f>
        <v>CASE NO. 2024-00354</v>
      </c>
      <c r="B296" s="59"/>
      <c r="C296" s="59"/>
      <c r="D296" s="59"/>
      <c r="E296" s="1155"/>
      <c r="F296" s="59"/>
      <c r="G296" s="59"/>
      <c r="H296" s="59"/>
      <c r="I296" s="59"/>
      <c r="J296" s="59"/>
      <c r="K296" s="59"/>
      <c r="L296" s="55"/>
      <c r="M296" s="749"/>
      <c r="N296" s="749"/>
      <c r="O296" s="750"/>
      <c r="P296" s="750"/>
      <c r="Q296" s="750"/>
      <c r="R296" s="750"/>
      <c r="S296" s="750"/>
      <c r="T296" s="750"/>
      <c r="U296" s="750"/>
      <c r="V296" s="750"/>
    </row>
    <row r="297" spans="1:22">
      <c r="A297" s="59" t="s">
        <v>706</v>
      </c>
      <c r="B297" s="59"/>
      <c r="C297" s="59"/>
      <c r="D297" s="59"/>
      <c r="E297" s="1155"/>
      <c r="F297" s="59"/>
      <c r="G297" s="59"/>
      <c r="H297" s="59"/>
      <c r="I297" s="59"/>
      <c r="J297" s="59"/>
      <c r="K297" s="59"/>
      <c r="L297" s="55"/>
      <c r="M297" s="749"/>
      <c r="N297" s="749"/>
      <c r="O297" s="750"/>
      <c r="P297" s="750"/>
      <c r="Q297" s="750"/>
      <c r="R297" s="750"/>
      <c r="S297" s="750"/>
      <c r="T297" s="750"/>
      <c r="U297" s="750"/>
      <c r="V297" s="750"/>
    </row>
    <row r="298" spans="1:22">
      <c r="A298" s="59" t="str">
        <f>$A$261</f>
        <v>FROM JULY 1, 2025 TO JUNE 30, 2026</v>
      </c>
      <c r="B298" s="59"/>
      <c r="C298" s="59"/>
      <c r="D298" s="59"/>
      <c r="E298" s="1155"/>
      <c r="F298" s="59"/>
      <c r="G298" s="59"/>
      <c r="H298" s="59"/>
      <c r="I298" s="59"/>
      <c r="J298" s="59"/>
      <c r="K298" s="59"/>
      <c r="L298" s="55"/>
      <c r="M298" s="749"/>
      <c r="N298" s="749"/>
      <c r="O298" s="750"/>
      <c r="P298" s="750"/>
      <c r="Q298" s="750"/>
      <c r="R298" s="750"/>
      <c r="S298" s="750"/>
      <c r="T298" s="750"/>
      <c r="U298" s="750"/>
      <c r="V298" s="750"/>
    </row>
    <row r="299" spans="1:22">
      <c r="A299" s="59"/>
      <c r="B299" s="59"/>
      <c r="C299" s="59"/>
      <c r="D299" s="59"/>
      <c r="E299" s="1155"/>
      <c r="F299" s="59"/>
      <c r="G299" s="59"/>
      <c r="H299" s="59"/>
      <c r="I299" s="59"/>
      <c r="J299" s="59"/>
      <c r="K299" s="59"/>
      <c r="L299" s="55"/>
      <c r="M299" s="749"/>
      <c r="N299" s="749"/>
      <c r="O299" s="750"/>
      <c r="P299" s="750"/>
      <c r="Q299" s="750"/>
      <c r="R299" s="750"/>
      <c r="S299" s="750"/>
      <c r="T299" s="750"/>
      <c r="U299" s="750"/>
      <c r="V299" s="750"/>
    </row>
    <row r="300" spans="1:22">
      <c r="A300" s="59" t="s">
        <v>619</v>
      </c>
      <c r="B300" s="59"/>
      <c r="C300" s="59"/>
      <c r="D300" s="59"/>
      <c r="E300" s="1155"/>
      <c r="F300" s="59"/>
      <c r="G300" s="59"/>
      <c r="H300" s="59"/>
      <c r="I300" s="59"/>
      <c r="J300" s="59"/>
      <c r="K300" s="59"/>
      <c r="L300" s="55"/>
      <c r="M300" s="749"/>
      <c r="N300" s="749"/>
      <c r="O300" s="750"/>
      <c r="P300" s="750"/>
      <c r="Q300" s="750"/>
      <c r="R300" s="750"/>
      <c r="S300" s="750"/>
      <c r="T300" s="750"/>
      <c r="U300" s="750"/>
      <c r="V300" s="750"/>
    </row>
    <row r="301" spans="1:22">
      <c r="A301" s="59"/>
      <c r="B301" s="59"/>
      <c r="C301" s="59"/>
      <c r="D301" s="59"/>
      <c r="E301" s="1155"/>
      <c r="F301" s="59"/>
      <c r="G301" s="59"/>
      <c r="H301" s="59"/>
      <c r="I301" s="59"/>
      <c r="J301" s="59"/>
      <c r="K301" s="59"/>
      <c r="L301" s="55"/>
      <c r="M301" s="749"/>
      <c r="N301" s="749"/>
      <c r="O301" s="750"/>
      <c r="P301" s="750"/>
      <c r="Q301" s="750"/>
      <c r="R301" s="750"/>
      <c r="S301" s="750"/>
      <c r="T301" s="750"/>
      <c r="U301" s="750"/>
      <c r="V301" s="750"/>
    </row>
    <row r="302" spans="1:22">
      <c r="A302" s="1148" t="s">
        <v>529</v>
      </c>
      <c r="B302" s="59"/>
      <c r="C302" s="59"/>
      <c r="D302" s="59"/>
      <c r="E302" s="1155"/>
      <c r="F302" s="59"/>
      <c r="G302" s="59"/>
      <c r="H302" s="59"/>
      <c r="I302" s="59"/>
      <c r="J302" s="59"/>
      <c r="K302" s="59"/>
      <c r="L302" s="55"/>
      <c r="M302" s="749"/>
      <c r="N302" s="749"/>
      <c r="O302" s="750"/>
      <c r="P302" s="750"/>
      <c r="Q302" s="750"/>
      <c r="R302" s="750"/>
      <c r="S302" s="750"/>
      <c r="T302" s="750"/>
      <c r="U302" s="750"/>
      <c r="V302" s="750"/>
    </row>
    <row r="303" spans="1:22">
      <c r="A303" s="750"/>
      <c r="B303" s="750"/>
      <c r="C303" s="750"/>
      <c r="D303" s="750"/>
      <c r="E303" s="750"/>
      <c r="F303" s="750"/>
      <c r="G303" s="750"/>
      <c r="H303" s="750"/>
      <c r="I303" s="750"/>
      <c r="J303" s="750"/>
      <c r="K303" s="750"/>
      <c r="L303" s="55"/>
      <c r="M303" s="749"/>
      <c r="N303" s="749"/>
      <c r="O303" s="750"/>
      <c r="P303" s="750"/>
      <c r="Q303" s="750"/>
      <c r="R303" s="750"/>
      <c r="S303" s="750"/>
      <c r="T303" s="750"/>
      <c r="U303" s="750"/>
      <c r="V303" s="750"/>
    </row>
    <row r="304" spans="1:22">
      <c r="A304" s="737" t="str">
        <f>DataF</f>
        <v>DATA:  BASE PERIOD  "X" FORECASTED PERIOD</v>
      </c>
      <c r="B304" s="750"/>
      <c r="C304" s="750"/>
      <c r="D304" s="750"/>
      <c r="E304" s="750"/>
      <c r="F304" s="750"/>
      <c r="G304" s="750"/>
      <c r="H304" s="750"/>
      <c r="I304" s="750"/>
      <c r="K304" s="737" t="s">
        <v>707</v>
      </c>
      <c r="L304" s="55"/>
      <c r="M304" s="749"/>
      <c r="N304" s="749"/>
      <c r="O304" s="750"/>
      <c r="P304" s="750"/>
      <c r="Q304" s="750"/>
      <c r="R304" s="750"/>
      <c r="S304" s="750"/>
      <c r="T304" s="750"/>
      <c r="U304" s="750"/>
      <c r="V304" s="750"/>
    </row>
    <row r="305" spans="1:22">
      <c r="A305" s="737" t="str">
        <f>Type</f>
        <v xml:space="preserve">TYPE OF FILING:  "X" ORIGINAL   UPDATED    REVISED  </v>
      </c>
      <c r="B305" s="750"/>
      <c r="C305" s="750"/>
      <c r="D305" s="750"/>
      <c r="E305" s="750"/>
      <c r="F305" s="750"/>
      <c r="G305" s="750"/>
      <c r="H305" s="750"/>
      <c r="I305" s="750"/>
      <c r="K305" s="737" t="s">
        <v>685</v>
      </c>
      <c r="L305" s="55"/>
      <c r="M305" s="749"/>
      <c r="N305" s="749"/>
      <c r="O305" s="750"/>
      <c r="P305" s="750"/>
      <c r="Q305" s="750"/>
      <c r="R305" s="750"/>
      <c r="S305" s="750"/>
      <c r="T305" s="750"/>
      <c r="U305" s="750"/>
      <c r="V305" s="750"/>
    </row>
    <row r="306" spans="1:22">
      <c r="A306" s="737" t="s">
        <v>694</v>
      </c>
      <c r="B306" s="750"/>
      <c r="C306" s="750"/>
      <c r="D306" s="750"/>
      <c r="E306" s="750"/>
      <c r="F306" s="750"/>
      <c r="G306" s="750"/>
      <c r="H306" s="750"/>
      <c r="I306" s="750"/>
      <c r="K306" s="750" t="s">
        <v>468</v>
      </c>
      <c r="L306" s="55"/>
      <c r="M306" s="749"/>
      <c r="N306" s="749"/>
      <c r="O306" s="750"/>
      <c r="P306" s="750"/>
      <c r="Q306" s="750"/>
      <c r="R306" s="750"/>
      <c r="S306" s="750"/>
      <c r="T306" s="750"/>
      <c r="U306" s="750"/>
      <c r="V306" s="750"/>
    </row>
    <row r="307" spans="1:22">
      <c r="A307" s="750"/>
      <c r="B307" s="750"/>
      <c r="C307" s="750"/>
      <c r="D307" s="750"/>
      <c r="E307" s="750"/>
      <c r="F307" s="750"/>
      <c r="G307" s="750"/>
      <c r="H307" s="750"/>
      <c r="I307" s="750"/>
      <c r="K307" s="750" t="str">
        <f>_WIT7</f>
        <v>G. S. CARPENTER / S. S. MITCHELL</v>
      </c>
      <c r="L307" s="55"/>
      <c r="M307" s="749"/>
      <c r="N307" s="749"/>
      <c r="O307" s="750"/>
      <c r="P307" s="750"/>
      <c r="Q307" s="750"/>
      <c r="R307" s="750"/>
      <c r="S307" s="750"/>
      <c r="T307" s="750"/>
      <c r="U307" s="750"/>
      <c r="V307" s="750"/>
    </row>
    <row r="308" spans="1:22">
      <c r="A308" s="750"/>
      <c r="B308" s="750"/>
      <c r="C308" s="750"/>
      <c r="D308" s="750"/>
      <c r="E308" s="750"/>
      <c r="F308" s="750"/>
      <c r="G308" s="750"/>
      <c r="H308" s="750"/>
      <c r="I308" s="750"/>
      <c r="J308" s="750"/>
      <c r="K308" s="750"/>
      <c r="L308" s="55"/>
      <c r="M308" s="749"/>
      <c r="N308" s="749"/>
      <c r="O308" s="750"/>
      <c r="P308" s="750"/>
      <c r="Q308" s="750"/>
      <c r="R308" s="750"/>
      <c r="S308" s="750"/>
      <c r="T308" s="750"/>
      <c r="U308" s="750"/>
      <c r="V308" s="750"/>
    </row>
    <row r="309" spans="1:22">
      <c r="A309" s="750"/>
      <c r="B309" s="750"/>
      <c r="C309" s="750"/>
      <c r="D309" s="750"/>
      <c r="E309" s="750"/>
      <c r="F309" s="750"/>
      <c r="G309" s="750"/>
      <c r="H309" s="1443"/>
      <c r="I309" s="750"/>
      <c r="J309" s="750"/>
      <c r="K309" s="750"/>
      <c r="L309" s="750"/>
      <c r="M309" s="749"/>
      <c r="N309" s="749"/>
      <c r="O309" s="750"/>
      <c r="P309" s="750"/>
      <c r="Q309" s="750"/>
      <c r="R309" s="750"/>
      <c r="S309" s="750"/>
      <c r="T309" s="750"/>
      <c r="U309" s="750"/>
      <c r="V309" s="750"/>
    </row>
    <row r="310" spans="1:22">
      <c r="A310" s="2082"/>
      <c r="B310" s="2082"/>
      <c r="C310" s="2085"/>
      <c r="D310" s="2082"/>
      <c r="E310" s="2082"/>
      <c r="F310" s="2082"/>
      <c r="G310" s="2082"/>
      <c r="H310" s="780"/>
      <c r="I310" s="2082"/>
      <c r="J310" s="2082"/>
      <c r="K310" s="2082"/>
      <c r="L310" s="2082"/>
      <c r="M310" s="749"/>
      <c r="N310" s="749"/>
      <c r="O310" s="750"/>
      <c r="P310" s="750"/>
      <c r="Q310" s="750"/>
      <c r="R310" s="750"/>
      <c r="S310" s="750"/>
      <c r="T310" s="750"/>
      <c r="U310" s="750"/>
      <c r="V310" s="750"/>
    </row>
    <row r="311" spans="1:22">
      <c r="A311" s="750"/>
      <c r="B311" s="53" t="s">
        <v>257</v>
      </c>
      <c r="C311" s="53" t="s">
        <v>605</v>
      </c>
      <c r="D311" s="750"/>
      <c r="E311" s="750"/>
      <c r="F311" s="750"/>
      <c r="G311" s="750"/>
      <c r="H311" s="1450" t="s">
        <v>708</v>
      </c>
      <c r="I311" s="1450"/>
      <c r="J311" s="1450"/>
      <c r="K311" s="750"/>
      <c r="L311" s="750"/>
      <c r="M311" s="749"/>
      <c r="N311" s="749"/>
      <c r="O311" s="750"/>
      <c r="P311" s="750"/>
      <c r="Q311" s="750"/>
      <c r="R311" s="750"/>
      <c r="S311" s="750"/>
      <c r="T311" s="750"/>
      <c r="U311" s="750"/>
      <c r="V311" s="750"/>
    </row>
    <row r="312" spans="1:22">
      <c r="A312" s="53" t="s">
        <v>573</v>
      </c>
      <c r="B312" s="53" t="s">
        <v>606</v>
      </c>
      <c r="C312" s="53" t="s">
        <v>606</v>
      </c>
      <c r="D312" s="53" t="s">
        <v>255</v>
      </c>
      <c r="E312" s="53" t="s">
        <v>709</v>
      </c>
      <c r="F312" s="750"/>
      <c r="G312" s="750"/>
      <c r="H312" s="2091"/>
      <c r="I312" s="2086" t="s">
        <v>710</v>
      </c>
      <c r="J312" s="2086" t="s">
        <v>711</v>
      </c>
      <c r="K312" s="53" t="s">
        <v>712</v>
      </c>
      <c r="L312" s="53" t="s">
        <v>591</v>
      </c>
      <c r="M312" s="749"/>
      <c r="N312" s="749"/>
      <c r="O312" s="750"/>
      <c r="P312" s="750"/>
      <c r="Q312" s="750"/>
      <c r="R312" s="750"/>
      <c r="S312" s="750"/>
      <c r="T312" s="750"/>
      <c r="U312" s="750"/>
      <c r="V312" s="750"/>
    </row>
    <row r="313" spans="1:22">
      <c r="A313" s="53" t="s">
        <v>576</v>
      </c>
      <c r="B313" s="53" t="s">
        <v>576</v>
      </c>
      <c r="C313" s="53" t="s">
        <v>576</v>
      </c>
      <c r="D313" s="53" t="s">
        <v>713</v>
      </c>
      <c r="E313" s="53" t="s">
        <v>556</v>
      </c>
      <c r="F313" s="53" t="s">
        <v>714</v>
      </c>
      <c r="G313" s="53" t="s">
        <v>715</v>
      </c>
      <c r="H313" s="53" t="s">
        <v>419</v>
      </c>
      <c r="I313" s="53" t="s">
        <v>716</v>
      </c>
      <c r="J313" s="53" t="s">
        <v>717</v>
      </c>
      <c r="K313" s="53" t="s">
        <v>556</v>
      </c>
      <c r="L313" s="53" t="s">
        <v>592</v>
      </c>
      <c r="M313" s="749"/>
      <c r="N313" s="749"/>
      <c r="O313" s="750"/>
      <c r="P313" s="750"/>
      <c r="Q313" s="750"/>
      <c r="R313" s="750"/>
      <c r="S313" s="750"/>
      <c r="T313" s="750"/>
      <c r="U313" s="750"/>
      <c r="V313" s="750"/>
    </row>
    <row r="314" spans="1:22">
      <c r="A314" s="750"/>
      <c r="B314" s="750"/>
      <c r="C314" s="750"/>
      <c r="D314" s="750"/>
      <c r="E314" s="750"/>
      <c r="F314" s="750"/>
      <c r="G314" s="750"/>
      <c r="H314" s="750"/>
      <c r="I314" s="750"/>
      <c r="J314" s="750"/>
      <c r="K314" s="750"/>
      <c r="L314" s="750"/>
      <c r="M314" s="749"/>
      <c r="N314" s="749"/>
      <c r="O314" s="750"/>
      <c r="P314" s="750"/>
      <c r="Q314" s="750"/>
      <c r="R314" s="750"/>
      <c r="S314" s="750"/>
      <c r="T314" s="750"/>
      <c r="U314" s="750"/>
      <c r="V314" s="750"/>
    </row>
    <row r="315" spans="1:22">
      <c r="A315" s="2082"/>
      <c r="B315" s="2082"/>
      <c r="C315" s="2082"/>
      <c r="D315" s="2082"/>
      <c r="E315" s="2089" t="s">
        <v>580</v>
      </c>
      <c r="F315" s="2089" t="s">
        <v>580</v>
      </c>
      <c r="G315" s="2089" t="s">
        <v>580</v>
      </c>
      <c r="H315" s="2089" t="s">
        <v>580</v>
      </c>
      <c r="I315" s="2082"/>
      <c r="J315" s="2082"/>
      <c r="K315" s="2089" t="s">
        <v>580</v>
      </c>
      <c r="L315" s="2089" t="s">
        <v>580</v>
      </c>
      <c r="M315" s="749"/>
      <c r="N315" s="749"/>
      <c r="O315" s="750"/>
      <c r="P315" s="750"/>
      <c r="Q315" s="750"/>
      <c r="R315" s="750"/>
      <c r="S315" s="750"/>
      <c r="T315" s="750"/>
      <c r="U315" s="750"/>
      <c r="V315" s="750"/>
    </row>
    <row r="316" spans="1:22">
      <c r="A316" s="750"/>
      <c r="B316" s="750"/>
      <c r="C316" s="750"/>
      <c r="D316" s="2282"/>
      <c r="E316" s="750"/>
      <c r="F316" s="750"/>
      <c r="G316" s="750"/>
      <c r="H316" s="750"/>
      <c r="I316" s="750"/>
      <c r="J316" s="750"/>
      <c r="K316" s="750"/>
      <c r="L316" s="55"/>
      <c r="M316" s="749"/>
      <c r="N316" s="749"/>
      <c r="O316" s="750"/>
      <c r="P316" s="750"/>
      <c r="Q316" s="750"/>
      <c r="R316" s="750"/>
      <c r="S316" s="750"/>
      <c r="T316" s="750"/>
      <c r="U316" s="750"/>
      <c r="V316" s="750"/>
    </row>
    <row r="317" spans="1:22">
      <c r="A317" s="53" t="s">
        <v>621</v>
      </c>
      <c r="B317" s="53">
        <v>340</v>
      </c>
      <c r="C317" s="53">
        <v>3400</v>
      </c>
      <c r="D317" s="737" t="s">
        <v>608</v>
      </c>
      <c r="E317" s="643">
        <v>2318703</v>
      </c>
      <c r="F317" s="1157">
        <v>210406</v>
      </c>
      <c r="G317" s="643">
        <v>0</v>
      </c>
      <c r="H317" s="643">
        <v>0</v>
      </c>
      <c r="I317" s="533"/>
      <c r="J317" s="533"/>
      <c r="K317" s="30">
        <f t="shared" ref="K317:K328" si="9">E317+F317-G317+H317</f>
        <v>2529109</v>
      </c>
      <c r="L317" s="60">
        <v>2409908</v>
      </c>
      <c r="M317" s="749"/>
      <c r="N317" s="749"/>
      <c r="O317" s="749"/>
      <c r="P317" s="749"/>
      <c r="Q317" s="750"/>
      <c r="R317" s="750"/>
      <c r="S317" s="750"/>
      <c r="T317" s="750"/>
      <c r="U317" s="750"/>
      <c r="V317" s="750"/>
    </row>
    <row r="318" spans="1:22">
      <c r="A318" s="53" t="s">
        <v>724</v>
      </c>
      <c r="B318" s="53">
        <v>340</v>
      </c>
      <c r="C318" s="53">
        <v>3401</v>
      </c>
      <c r="D318" s="737" t="s">
        <v>622</v>
      </c>
      <c r="E318" s="643">
        <v>0</v>
      </c>
      <c r="F318" s="1157">
        <v>0</v>
      </c>
      <c r="G318" s="643">
        <v>0</v>
      </c>
      <c r="H318" s="643">
        <v>0</v>
      </c>
      <c r="I318" s="533"/>
      <c r="J318" s="533"/>
      <c r="K318" s="30">
        <f t="shared" si="9"/>
        <v>0</v>
      </c>
      <c r="L318" s="60">
        <v>0</v>
      </c>
      <c r="M318" s="749"/>
      <c r="N318" s="749"/>
      <c r="O318" s="749"/>
      <c r="P318" s="749"/>
      <c r="Q318" s="750"/>
      <c r="R318" s="750"/>
      <c r="S318" s="750"/>
      <c r="T318" s="750"/>
      <c r="U318" s="750"/>
      <c r="V318" s="750"/>
    </row>
    <row r="319" spans="1:22">
      <c r="A319" s="53" t="s">
        <v>725</v>
      </c>
      <c r="B319" s="53">
        <v>341</v>
      </c>
      <c r="C319" s="53">
        <v>3410</v>
      </c>
      <c r="D319" s="737" t="s">
        <v>609</v>
      </c>
      <c r="E319" s="643">
        <v>37639567</v>
      </c>
      <c r="F319" s="1157">
        <v>3417924</v>
      </c>
      <c r="G319" s="643">
        <v>31800</v>
      </c>
      <c r="H319" s="643">
        <v>0</v>
      </c>
      <c r="I319" s="533"/>
      <c r="J319" s="533"/>
      <c r="K319" s="30">
        <f t="shared" si="9"/>
        <v>41025691</v>
      </c>
      <c r="L319" s="60">
        <v>39105237</v>
      </c>
      <c r="M319" s="749"/>
      <c r="N319" s="749"/>
      <c r="O319" s="749"/>
      <c r="P319" s="749"/>
      <c r="Q319" s="750"/>
      <c r="R319" s="750"/>
      <c r="S319" s="750"/>
      <c r="T319" s="750"/>
      <c r="U319" s="750"/>
      <c r="V319" s="750"/>
    </row>
    <row r="320" spans="1:22">
      <c r="A320" s="53" t="s">
        <v>726</v>
      </c>
      <c r="B320" s="53">
        <v>342</v>
      </c>
      <c r="C320" s="53">
        <v>3420</v>
      </c>
      <c r="D320" s="737" t="s">
        <v>623</v>
      </c>
      <c r="E320" s="643">
        <v>63332683</v>
      </c>
      <c r="F320" s="1157">
        <v>5751277</v>
      </c>
      <c r="G320" s="643">
        <v>56760</v>
      </c>
      <c r="H320" s="643">
        <v>0</v>
      </c>
      <c r="I320" s="533"/>
      <c r="J320" s="533"/>
      <c r="K320" s="30">
        <f t="shared" si="9"/>
        <v>69027200</v>
      </c>
      <c r="L320" s="60">
        <v>65797312</v>
      </c>
      <c r="M320" s="749"/>
      <c r="N320" s="749"/>
      <c r="O320" s="749"/>
      <c r="P320" s="749"/>
      <c r="Q320" s="750"/>
      <c r="R320" s="750"/>
      <c r="S320" s="750"/>
      <c r="T320" s="750"/>
      <c r="U320" s="750"/>
      <c r="V320" s="750"/>
    </row>
    <row r="321" spans="1:22">
      <c r="A321" s="53" t="s">
        <v>727</v>
      </c>
      <c r="B321" s="53">
        <v>343</v>
      </c>
      <c r="C321" s="53" t="s">
        <v>624</v>
      </c>
      <c r="D321" s="737" t="s">
        <v>625</v>
      </c>
      <c r="E321" s="643">
        <v>9712181</v>
      </c>
      <c r="F321" s="1157">
        <v>991617</v>
      </c>
      <c r="G321" s="643">
        <v>1458720</v>
      </c>
      <c r="H321" s="643">
        <v>0</v>
      </c>
      <c r="I321" s="533"/>
      <c r="J321" s="533"/>
      <c r="K321" s="30">
        <f t="shared" si="9"/>
        <v>9245078</v>
      </c>
      <c r="L321" s="60">
        <v>9412658</v>
      </c>
      <c r="M321" s="749"/>
      <c r="N321" s="749"/>
      <c r="O321" s="749"/>
      <c r="P321" s="749"/>
      <c r="Q321" s="750"/>
      <c r="R321" s="750"/>
      <c r="S321" s="750"/>
      <c r="T321" s="750"/>
      <c r="U321" s="750"/>
      <c r="V321" s="750"/>
    </row>
    <row r="322" spans="1:22">
      <c r="A322" s="53" t="s">
        <v>728</v>
      </c>
      <c r="B322" s="53">
        <v>344</v>
      </c>
      <c r="C322" s="53">
        <v>3440</v>
      </c>
      <c r="D322" s="737" t="s">
        <v>626</v>
      </c>
      <c r="E322" s="643">
        <v>222270794</v>
      </c>
      <c r="F322" s="1157">
        <v>20180381</v>
      </c>
      <c r="G322" s="643">
        <v>144240</v>
      </c>
      <c r="H322" s="643">
        <v>0</v>
      </c>
      <c r="I322" s="533"/>
      <c r="J322" s="533"/>
      <c r="K322" s="30">
        <f t="shared" si="9"/>
        <v>242306935</v>
      </c>
      <c r="L322" s="60">
        <v>230946272</v>
      </c>
      <c r="M322" s="749"/>
      <c r="N322" s="749"/>
      <c r="O322" s="749"/>
      <c r="P322" s="749"/>
      <c r="Q322" s="750"/>
      <c r="R322" s="750"/>
      <c r="S322" s="750"/>
      <c r="T322" s="750"/>
      <c r="U322" s="750"/>
      <c r="V322" s="750"/>
    </row>
    <row r="323" spans="1:22">
      <c r="A323" s="53" t="s">
        <v>729</v>
      </c>
      <c r="B323" s="53">
        <v>344</v>
      </c>
      <c r="C323" s="53">
        <v>3446</v>
      </c>
      <c r="D323" s="737" t="s">
        <v>627</v>
      </c>
      <c r="E323" s="643">
        <v>15506692</v>
      </c>
      <c r="F323" s="1157">
        <v>1407121</v>
      </c>
      <c r="G323" s="643">
        <v>0</v>
      </c>
      <c r="H323" s="643">
        <v>0</v>
      </c>
      <c r="I323" s="533"/>
      <c r="J323" s="533"/>
      <c r="K323" s="30">
        <f t="shared" si="9"/>
        <v>16913813</v>
      </c>
      <c r="L323" s="60">
        <v>16116637</v>
      </c>
      <c r="M323" s="749"/>
      <c r="N323" s="749"/>
      <c r="O323" s="749"/>
      <c r="P323" s="749"/>
      <c r="Q323" s="750"/>
      <c r="R323" s="750"/>
      <c r="S323" s="750"/>
      <c r="T323" s="750"/>
      <c r="U323" s="750"/>
      <c r="V323" s="750"/>
    </row>
    <row r="324" spans="1:22">
      <c r="A324" s="53" t="s">
        <v>730</v>
      </c>
      <c r="B324" s="53">
        <v>345</v>
      </c>
      <c r="C324" s="53">
        <v>3450</v>
      </c>
      <c r="D324" s="737" t="s">
        <v>613</v>
      </c>
      <c r="E324" s="643">
        <v>20513378</v>
      </c>
      <c r="F324" s="1157">
        <v>1862911</v>
      </c>
      <c r="G324" s="643">
        <v>19440</v>
      </c>
      <c r="H324" s="643">
        <v>0</v>
      </c>
      <c r="I324" s="533"/>
      <c r="J324" s="533"/>
      <c r="K324" s="30">
        <f t="shared" si="9"/>
        <v>22356849</v>
      </c>
      <c r="L324" s="60">
        <v>21311175</v>
      </c>
      <c r="M324" s="749"/>
      <c r="N324" s="749"/>
      <c r="O324" s="749"/>
      <c r="P324" s="749"/>
      <c r="Q324" s="750"/>
      <c r="R324" s="750"/>
      <c r="S324" s="750"/>
      <c r="T324" s="750"/>
      <c r="U324" s="750"/>
      <c r="V324" s="750"/>
    </row>
    <row r="325" spans="1:22">
      <c r="A325" s="53" t="s">
        <v>731</v>
      </c>
      <c r="B325" s="53">
        <v>345</v>
      </c>
      <c r="C325" s="53">
        <v>3456</v>
      </c>
      <c r="D325" s="737" t="s">
        <v>732</v>
      </c>
      <c r="E325" s="643">
        <v>3537314</v>
      </c>
      <c r="F325" s="1157">
        <v>320986</v>
      </c>
      <c r="G325" s="643">
        <v>0</v>
      </c>
      <c r="H325" s="643">
        <v>0</v>
      </c>
      <c r="I325" s="533"/>
      <c r="J325" s="533"/>
      <c r="K325" s="30">
        <f t="shared" si="9"/>
        <v>3858300</v>
      </c>
      <c r="L325" s="60">
        <v>3676452</v>
      </c>
      <c r="M325" s="749"/>
      <c r="N325" s="749"/>
      <c r="O325" s="749"/>
      <c r="P325" s="749"/>
      <c r="Q325" s="750"/>
      <c r="R325" s="750"/>
      <c r="S325" s="750"/>
      <c r="T325" s="750"/>
      <c r="U325" s="750"/>
      <c r="V325" s="750"/>
    </row>
    <row r="326" spans="1:22">
      <c r="A326" s="53" t="s">
        <v>733</v>
      </c>
      <c r="B326" s="53">
        <v>346</v>
      </c>
      <c r="C326" s="53">
        <v>3460</v>
      </c>
      <c r="D326" s="737" t="s">
        <v>629</v>
      </c>
      <c r="E326" s="643">
        <v>5697966</v>
      </c>
      <c r="F326" s="1157">
        <v>517530</v>
      </c>
      <c r="G326" s="643">
        <v>6360</v>
      </c>
      <c r="H326" s="643">
        <v>0</v>
      </c>
      <c r="I326" s="533"/>
      <c r="J326" s="533"/>
      <c r="K326" s="30">
        <f t="shared" si="9"/>
        <v>6209136</v>
      </c>
      <c r="L326" s="60">
        <v>5919120</v>
      </c>
      <c r="M326" s="749"/>
      <c r="N326" s="749"/>
      <c r="O326" s="749"/>
      <c r="P326" s="749"/>
      <c r="Q326" s="750"/>
      <c r="R326" s="750"/>
      <c r="S326" s="750"/>
      <c r="T326" s="750"/>
      <c r="U326" s="750"/>
      <c r="V326" s="750"/>
    </row>
    <row r="327" spans="1:22">
      <c r="A327" s="53">
        <v>11</v>
      </c>
      <c r="B327" s="53">
        <v>347</v>
      </c>
      <c r="C327" s="53">
        <v>3476</v>
      </c>
      <c r="D327" s="737" t="s">
        <v>630</v>
      </c>
      <c r="E327" s="643">
        <v>442832</v>
      </c>
      <c r="F327" s="1157">
        <v>0</v>
      </c>
      <c r="G327" s="643">
        <v>0</v>
      </c>
      <c r="H327" s="643">
        <v>0</v>
      </c>
      <c r="I327" s="533"/>
      <c r="J327" s="533"/>
      <c r="K327" s="30">
        <f t="shared" si="9"/>
        <v>442832</v>
      </c>
      <c r="L327" s="60">
        <v>442832</v>
      </c>
      <c r="M327" s="749"/>
      <c r="N327" s="749"/>
      <c r="O327" s="749"/>
      <c r="P327" s="749"/>
      <c r="Q327" s="750"/>
      <c r="R327" s="750"/>
      <c r="S327" s="750"/>
      <c r="T327" s="750"/>
      <c r="U327" s="750"/>
      <c r="V327" s="750"/>
    </row>
    <row r="328" spans="1:22">
      <c r="A328" s="53">
        <v>12</v>
      </c>
      <c r="B328" s="737"/>
      <c r="C328" s="737"/>
      <c r="D328" s="737" t="s">
        <v>617</v>
      </c>
      <c r="E328" s="643">
        <v>0</v>
      </c>
      <c r="F328" s="643">
        <v>0</v>
      </c>
      <c r="G328" s="1157">
        <v>0</v>
      </c>
      <c r="H328" s="643">
        <v>0</v>
      </c>
      <c r="I328" s="533"/>
      <c r="J328" s="533"/>
      <c r="K328" s="30">
        <f t="shared" si="9"/>
        <v>0</v>
      </c>
      <c r="L328" s="60">
        <v>0</v>
      </c>
      <c r="M328" s="749"/>
      <c r="N328" s="749"/>
      <c r="O328" s="749"/>
      <c r="P328" s="749"/>
      <c r="Q328" s="750"/>
      <c r="R328" s="750"/>
      <c r="S328" s="750"/>
      <c r="T328" s="750"/>
      <c r="U328" s="750"/>
      <c r="V328" s="750"/>
    </row>
    <row r="329" spans="1:22">
      <c r="A329" s="750"/>
      <c r="B329" s="750"/>
      <c r="C329" s="750"/>
      <c r="D329" s="750"/>
      <c r="E329" s="748"/>
      <c r="F329" s="748"/>
      <c r="G329" s="748"/>
      <c r="H329" s="748"/>
      <c r="I329" s="749"/>
      <c r="J329" s="749"/>
      <c r="K329" s="748"/>
      <c r="L329" s="55"/>
      <c r="M329" s="749"/>
      <c r="N329" s="749"/>
      <c r="O329" s="750"/>
      <c r="P329" s="750"/>
      <c r="Q329" s="750"/>
      <c r="R329" s="750"/>
      <c r="S329" s="750"/>
      <c r="T329" s="750"/>
      <c r="U329" s="750"/>
      <c r="V329" s="750"/>
    </row>
    <row r="330" spans="1:22">
      <c r="A330" s="750"/>
      <c r="B330" s="750"/>
      <c r="C330" s="750"/>
      <c r="D330" s="750"/>
      <c r="E330" s="750"/>
      <c r="F330" s="750"/>
      <c r="G330" s="750"/>
      <c r="H330" s="750"/>
      <c r="I330" s="750"/>
      <c r="J330" s="750"/>
      <c r="K330" s="748"/>
      <c r="L330" s="55"/>
      <c r="M330" s="749"/>
      <c r="N330" s="749"/>
      <c r="O330" s="750"/>
      <c r="P330" s="750"/>
      <c r="Q330" s="750"/>
      <c r="R330" s="750"/>
      <c r="S330" s="750"/>
      <c r="T330" s="750"/>
      <c r="U330" s="750"/>
      <c r="V330" s="750"/>
    </row>
    <row r="331" spans="1:22">
      <c r="A331" s="2082"/>
      <c r="B331" s="2082"/>
      <c r="C331" s="2082"/>
      <c r="D331" s="2082"/>
      <c r="E331" s="2082"/>
      <c r="F331" s="2082"/>
      <c r="G331" s="2082"/>
      <c r="H331" s="2082"/>
      <c r="I331" s="2082"/>
      <c r="J331" s="2082"/>
      <c r="K331" s="2084"/>
      <c r="L331" s="2084"/>
      <c r="M331" s="749"/>
      <c r="N331" s="749"/>
      <c r="O331" s="750"/>
      <c r="P331" s="750"/>
      <c r="Q331" s="750"/>
      <c r="R331" s="750"/>
      <c r="S331" s="750"/>
      <c r="T331" s="750"/>
      <c r="U331" s="750"/>
      <c r="V331" s="750"/>
    </row>
    <row r="332" spans="1:22">
      <c r="A332" s="53">
        <f>A328+1</f>
        <v>13</v>
      </c>
      <c r="B332" s="750"/>
      <c r="C332" s="750"/>
      <c r="D332" s="737" t="s">
        <v>722</v>
      </c>
      <c r="E332" s="748">
        <f>SUM(E317:E330)</f>
        <v>380972110</v>
      </c>
      <c r="F332" s="748">
        <f>SUM(F317:F330)</f>
        <v>34660153</v>
      </c>
      <c r="G332" s="748">
        <f>SUM(G317:G330)</f>
        <v>1717320</v>
      </c>
      <c r="H332" s="748">
        <f>SUM(H317:H330)</f>
        <v>0</v>
      </c>
      <c r="I332" s="749"/>
      <c r="J332" s="749"/>
      <c r="K332" s="748">
        <f>SUM(K317:K330)</f>
        <v>413914943</v>
      </c>
      <c r="L332" s="748">
        <f>SUM(L317:L330)</f>
        <v>395137603</v>
      </c>
      <c r="M332" s="749"/>
      <c r="N332" s="749"/>
      <c r="O332" s="750"/>
      <c r="P332" s="750"/>
      <c r="Q332" s="750"/>
      <c r="R332" s="750"/>
      <c r="S332" s="750"/>
      <c r="T332" s="750"/>
      <c r="U332" s="750"/>
      <c r="V332" s="750"/>
    </row>
    <row r="333" spans="1:22">
      <c r="A333" s="1443"/>
      <c r="B333" s="1443"/>
      <c r="C333" s="1443"/>
      <c r="D333" s="1443"/>
      <c r="E333" s="1443"/>
      <c r="F333" s="1443"/>
      <c r="G333" s="1443"/>
      <c r="H333" s="1443"/>
      <c r="I333" s="1443"/>
      <c r="J333" s="1443"/>
      <c r="K333" s="1443"/>
      <c r="L333" s="1443"/>
      <c r="M333" s="749"/>
      <c r="N333" s="749"/>
      <c r="O333" s="750"/>
      <c r="P333" s="750"/>
      <c r="Q333" s="750"/>
      <c r="R333" s="750"/>
      <c r="S333" s="750"/>
      <c r="T333" s="750"/>
      <c r="U333" s="750"/>
      <c r="V333" s="750"/>
    </row>
    <row r="334" spans="1:22">
      <c r="A334" s="52"/>
      <c r="B334" s="52"/>
      <c r="C334" s="52"/>
      <c r="D334" s="52"/>
      <c r="E334" s="55"/>
      <c r="F334" s="55"/>
      <c r="G334" s="55"/>
      <c r="H334" s="55"/>
      <c r="I334" s="58"/>
      <c r="J334" s="58"/>
      <c r="K334" s="55"/>
      <c r="L334" s="55"/>
      <c r="M334" s="749"/>
      <c r="N334" s="749"/>
      <c r="O334" s="750"/>
      <c r="P334" s="750"/>
      <c r="Q334" s="750"/>
      <c r="R334" s="750"/>
      <c r="S334" s="750"/>
      <c r="T334" s="750"/>
      <c r="U334" s="750"/>
      <c r="V334" s="750"/>
    </row>
    <row r="335" spans="1:22">
      <c r="A335" s="59" t="str">
        <f>COMPANY</f>
        <v>DUKE ENERGY KENTUCKY, INC.</v>
      </c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749"/>
      <c r="N335" s="749"/>
      <c r="O335" s="750"/>
      <c r="P335" s="750"/>
      <c r="Q335" s="750"/>
      <c r="R335" s="750"/>
      <c r="S335" s="750"/>
      <c r="T335" s="750"/>
      <c r="U335" s="750"/>
      <c r="V335" s="750"/>
    </row>
    <row r="336" spans="1:22">
      <c r="A336" s="59" t="str">
        <f>CASE</f>
        <v>CASE NO. 2024-00354</v>
      </c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749"/>
      <c r="N336" s="749"/>
      <c r="O336" s="750"/>
      <c r="P336" s="750"/>
      <c r="Q336" s="750"/>
      <c r="R336" s="750"/>
      <c r="S336" s="750"/>
      <c r="T336" s="750"/>
      <c r="U336" s="750"/>
      <c r="V336" s="750"/>
    </row>
    <row r="337" spans="1:22">
      <c r="A337" s="59" t="s">
        <v>706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749"/>
      <c r="N337" s="749"/>
      <c r="O337" s="750"/>
      <c r="P337" s="750"/>
      <c r="Q337" s="750"/>
      <c r="R337" s="750"/>
      <c r="S337" s="750"/>
      <c r="T337" s="750"/>
      <c r="U337" s="750"/>
      <c r="V337" s="750"/>
    </row>
    <row r="338" spans="1:22">
      <c r="A338" s="59" t="str">
        <f>$A$261</f>
        <v>FROM JULY 1, 2025 TO JUNE 30, 2026</v>
      </c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749"/>
      <c r="N338" s="749"/>
      <c r="O338" s="750"/>
      <c r="P338" s="750"/>
      <c r="Q338" s="750"/>
      <c r="R338" s="750"/>
      <c r="S338" s="750"/>
      <c r="T338" s="750"/>
      <c r="U338" s="750"/>
      <c r="V338" s="750"/>
    </row>
    <row r="339" spans="1:22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749"/>
      <c r="N339" s="749"/>
      <c r="O339" s="750"/>
      <c r="P339" s="750"/>
      <c r="Q339" s="750"/>
      <c r="R339" s="750"/>
      <c r="S339" s="750"/>
      <c r="T339" s="750"/>
      <c r="U339" s="750"/>
      <c r="V339" s="750"/>
    </row>
    <row r="340" spans="1:22">
      <c r="A340" s="59" t="s">
        <v>632</v>
      </c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749"/>
      <c r="N340" s="749"/>
      <c r="O340" s="750"/>
      <c r="P340" s="750"/>
      <c r="Q340" s="750"/>
      <c r="R340" s="750"/>
      <c r="S340" s="750"/>
      <c r="T340" s="750"/>
      <c r="U340" s="750"/>
      <c r="V340" s="750"/>
    </row>
    <row r="341" spans="1:22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749"/>
      <c r="N341" s="749"/>
      <c r="O341" s="750"/>
      <c r="P341" s="750"/>
      <c r="Q341" s="750"/>
      <c r="R341" s="750"/>
      <c r="S341" s="750"/>
      <c r="T341" s="750"/>
      <c r="U341" s="750"/>
      <c r="V341" s="750"/>
    </row>
    <row r="342" spans="1:22">
      <c r="A342" s="1148" t="s">
        <v>529</v>
      </c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749"/>
      <c r="N342" s="749"/>
      <c r="O342" s="750"/>
      <c r="P342" s="750"/>
      <c r="Q342" s="750"/>
      <c r="R342" s="750"/>
      <c r="S342" s="750"/>
      <c r="T342" s="750"/>
      <c r="U342" s="750"/>
      <c r="V342" s="750"/>
    </row>
    <row r="343" spans="1:22">
      <c r="A343" s="1148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749"/>
      <c r="N343" s="749"/>
      <c r="O343" s="750"/>
      <c r="P343" s="750"/>
      <c r="Q343" s="750"/>
      <c r="R343" s="750"/>
      <c r="S343" s="750"/>
      <c r="T343" s="750"/>
      <c r="U343" s="750"/>
      <c r="V343" s="750"/>
    </row>
    <row r="344" spans="1:22">
      <c r="A344" s="737" t="str">
        <f>DataF</f>
        <v>DATA:  BASE PERIOD  "X" FORECASTED PERIOD</v>
      </c>
      <c r="B344" s="750"/>
      <c r="C344" s="750"/>
      <c r="D344" s="750"/>
      <c r="E344" s="750"/>
      <c r="F344" s="750"/>
      <c r="G344" s="750"/>
      <c r="H344" s="750"/>
      <c r="I344" s="750"/>
      <c r="K344" s="737" t="str">
        <f>J10</f>
        <v>SCHEDULE B-2.3</v>
      </c>
      <c r="L344" s="750"/>
      <c r="M344" s="749"/>
      <c r="N344" s="749"/>
      <c r="O344" s="750"/>
      <c r="P344" s="750"/>
      <c r="Q344" s="750"/>
      <c r="R344" s="750"/>
      <c r="S344" s="750"/>
      <c r="T344" s="750"/>
      <c r="U344" s="750"/>
      <c r="V344" s="750"/>
    </row>
    <row r="345" spans="1:22">
      <c r="A345" s="737" t="str">
        <f>Type</f>
        <v xml:space="preserve">TYPE OF FILING:  "X" ORIGINAL   UPDATED    REVISED  </v>
      </c>
      <c r="B345" s="750"/>
      <c r="C345" s="750"/>
      <c r="D345" s="750"/>
      <c r="E345" s="750"/>
      <c r="F345" s="750"/>
      <c r="G345" s="750"/>
      <c r="H345" s="750"/>
      <c r="I345" s="750"/>
      <c r="K345" s="737" t="s">
        <v>686</v>
      </c>
      <c r="L345" s="750"/>
      <c r="M345" s="749"/>
      <c r="N345" s="749"/>
      <c r="O345" s="750"/>
      <c r="P345" s="750"/>
      <c r="Q345" s="750"/>
      <c r="R345" s="750"/>
      <c r="S345" s="750"/>
      <c r="T345" s="750"/>
      <c r="U345" s="750"/>
      <c r="V345" s="750"/>
    </row>
    <row r="346" spans="1:22">
      <c r="A346" s="737" t="s">
        <v>723</v>
      </c>
      <c r="B346" s="750"/>
      <c r="C346" s="750"/>
      <c r="D346" s="750"/>
      <c r="E346" s="750"/>
      <c r="F346" s="750"/>
      <c r="G346" s="750"/>
      <c r="H346" s="750"/>
      <c r="I346" s="750"/>
      <c r="K346" s="750" t="s">
        <v>468</v>
      </c>
      <c r="L346" s="750"/>
      <c r="M346" s="749"/>
      <c r="N346" s="749"/>
      <c r="O346" s="750"/>
      <c r="P346" s="750"/>
      <c r="Q346" s="750"/>
      <c r="R346" s="750"/>
      <c r="S346" s="750"/>
      <c r="T346" s="750"/>
      <c r="U346" s="750"/>
      <c r="V346" s="750"/>
    </row>
    <row r="347" spans="1:22">
      <c r="A347" s="750"/>
      <c r="B347" s="750"/>
      <c r="C347" s="750"/>
      <c r="D347" s="750"/>
      <c r="E347" s="750"/>
      <c r="F347" s="750"/>
      <c r="G347" s="750"/>
      <c r="H347" s="750"/>
      <c r="I347" s="750"/>
      <c r="K347" s="750" t="str">
        <f>_WIT7</f>
        <v>G. S. CARPENTER / S. S. MITCHELL</v>
      </c>
      <c r="L347" s="750"/>
      <c r="M347" s="749"/>
      <c r="N347" s="749"/>
      <c r="O347" s="750"/>
      <c r="P347" s="750"/>
      <c r="Q347" s="750"/>
      <c r="R347" s="750"/>
      <c r="S347" s="750"/>
      <c r="T347" s="750"/>
      <c r="U347" s="750"/>
      <c r="V347" s="750"/>
    </row>
    <row r="348" spans="1:22">
      <c r="A348" s="750"/>
      <c r="B348" s="750"/>
      <c r="C348" s="750"/>
      <c r="D348" s="750"/>
      <c r="E348" s="750"/>
      <c r="F348" s="750"/>
      <c r="G348" s="750"/>
      <c r="H348" s="750"/>
      <c r="I348" s="750"/>
      <c r="J348" s="750"/>
      <c r="K348" s="750"/>
      <c r="L348" s="750"/>
      <c r="M348" s="749"/>
      <c r="N348" s="749"/>
      <c r="O348" s="750"/>
      <c r="P348" s="750"/>
      <c r="Q348" s="750"/>
      <c r="R348" s="750"/>
      <c r="S348" s="750"/>
      <c r="T348" s="750"/>
      <c r="U348" s="750"/>
      <c r="V348" s="750"/>
    </row>
    <row r="349" spans="1:22">
      <c r="A349" s="750"/>
      <c r="B349" s="750"/>
      <c r="C349" s="750"/>
      <c r="D349" s="750"/>
      <c r="E349" s="750"/>
      <c r="F349" s="750"/>
      <c r="G349" s="750"/>
      <c r="H349" s="1443"/>
      <c r="I349" s="750"/>
      <c r="J349" s="750"/>
      <c r="K349" s="750"/>
      <c r="L349" s="750"/>
      <c r="M349" s="749"/>
      <c r="N349" s="749"/>
      <c r="O349" s="750"/>
      <c r="P349" s="750"/>
      <c r="Q349" s="750"/>
      <c r="R349" s="750"/>
      <c r="S349" s="750"/>
      <c r="T349" s="750"/>
      <c r="U349" s="750"/>
      <c r="V349" s="750"/>
    </row>
    <row r="350" spans="1:22">
      <c r="A350" s="2082"/>
      <c r="B350" s="2082"/>
      <c r="C350" s="2085"/>
      <c r="D350" s="2082"/>
      <c r="E350" s="2082"/>
      <c r="F350" s="2082"/>
      <c r="G350" s="2082"/>
      <c r="H350" s="780"/>
      <c r="I350" s="2082"/>
      <c r="J350" s="2082"/>
      <c r="K350" s="2082"/>
      <c r="L350" s="2082"/>
      <c r="M350" s="749"/>
      <c r="N350" s="749"/>
      <c r="O350" s="750"/>
      <c r="P350" s="750"/>
      <c r="Q350" s="750"/>
      <c r="R350" s="750"/>
      <c r="S350" s="750"/>
      <c r="T350" s="750"/>
      <c r="U350" s="750"/>
      <c r="V350" s="750"/>
    </row>
    <row r="351" spans="1:22">
      <c r="A351" s="750"/>
      <c r="B351" s="53" t="s">
        <v>257</v>
      </c>
      <c r="C351" s="53" t="s">
        <v>605</v>
      </c>
      <c r="D351" s="750"/>
      <c r="E351" s="750"/>
      <c r="F351" s="750"/>
      <c r="G351" s="750"/>
      <c r="H351" s="1451" t="s">
        <v>708</v>
      </c>
      <c r="I351" s="1451"/>
      <c r="J351" s="1451"/>
      <c r="K351" s="750"/>
      <c r="L351" s="750"/>
      <c r="M351" s="749"/>
      <c r="N351" s="749"/>
      <c r="O351" s="750"/>
      <c r="P351" s="750"/>
      <c r="Q351" s="750"/>
      <c r="R351" s="750"/>
      <c r="S351" s="750"/>
      <c r="T351" s="750"/>
      <c r="U351" s="750"/>
      <c r="V351" s="750"/>
    </row>
    <row r="352" spans="1:22">
      <c r="A352" s="53" t="s">
        <v>573</v>
      </c>
      <c r="B352" s="53" t="s">
        <v>606</v>
      </c>
      <c r="C352" s="53" t="s">
        <v>606</v>
      </c>
      <c r="D352" s="53" t="s">
        <v>255</v>
      </c>
      <c r="E352" s="53" t="s">
        <v>709</v>
      </c>
      <c r="F352" s="750"/>
      <c r="G352" s="750"/>
      <c r="H352" s="2082"/>
      <c r="I352" s="2089" t="s">
        <v>710</v>
      </c>
      <c r="J352" s="2089" t="s">
        <v>711</v>
      </c>
      <c r="K352" s="53" t="s">
        <v>712</v>
      </c>
      <c r="L352" s="53" t="s">
        <v>591</v>
      </c>
      <c r="M352" s="749"/>
      <c r="N352" s="749"/>
      <c r="O352" s="750"/>
      <c r="P352" s="750"/>
      <c r="Q352" s="750"/>
      <c r="R352" s="750"/>
      <c r="S352" s="750"/>
      <c r="T352" s="750"/>
      <c r="U352" s="750"/>
      <c r="V352" s="750"/>
    </row>
    <row r="353" spans="1:22">
      <c r="A353" s="53" t="s">
        <v>576</v>
      </c>
      <c r="B353" s="53" t="s">
        <v>576</v>
      </c>
      <c r="C353" s="53" t="s">
        <v>576</v>
      </c>
      <c r="D353" s="53" t="s">
        <v>713</v>
      </c>
      <c r="E353" s="53" t="s">
        <v>556</v>
      </c>
      <c r="F353" s="53" t="s">
        <v>714</v>
      </c>
      <c r="G353" s="53" t="s">
        <v>715</v>
      </c>
      <c r="H353" s="53" t="s">
        <v>419</v>
      </c>
      <c r="I353" s="53" t="s">
        <v>716</v>
      </c>
      <c r="J353" s="53" t="s">
        <v>717</v>
      </c>
      <c r="K353" s="53" t="s">
        <v>556</v>
      </c>
      <c r="L353" s="53" t="s">
        <v>592</v>
      </c>
      <c r="M353" s="749"/>
      <c r="N353" s="749"/>
      <c r="O353" s="750"/>
      <c r="P353" s="750"/>
      <c r="Q353" s="750"/>
      <c r="R353" s="750"/>
      <c r="S353" s="750"/>
      <c r="T353" s="750"/>
      <c r="U353" s="750"/>
      <c r="V353" s="750"/>
    </row>
    <row r="354" spans="1:22">
      <c r="A354" s="750"/>
      <c r="B354" s="750"/>
      <c r="C354" s="750"/>
      <c r="D354" s="750"/>
      <c r="E354" s="750"/>
      <c r="F354" s="750"/>
      <c r="G354" s="750"/>
      <c r="H354" s="750"/>
      <c r="I354" s="750"/>
      <c r="J354" s="750"/>
      <c r="K354" s="750"/>
      <c r="L354" s="750"/>
      <c r="M354" s="749"/>
      <c r="N354" s="749"/>
      <c r="O354" s="750"/>
      <c r="P354" s="750"/>
      <c r="Q354" s="750"/>
      <c r="R354" s="750"/>
      <c r="S354" s="750"/>
      <c r="T354" s="750"/>
      <c r="U354" s="750"/>
      <c r="V354" s="750"/>
    </row>
    <row r="355" spans="1:22">
      <c r="A355" s="2082"/>
      <c r="B355" s="2082"/>
      <c r="C355" s="2082"/>
      <c r="D355" s="2082"/>
      <c r="E355" s="2089" t="s">
        <v>580</v>
      </c>
      <c r="F355" s="2089" t="s">
        <v>580</v>
      </c>
      <c r="G355" s="2089" t="s">
        <v>580</v>
      </c>
      <c r="H355" s="2089" t="s">
        <v>580</v>
      </c>
      <c r="I355" s="2082"/>
      <c r="J355" s="2082"/>
      <c r="K355" s="2089" t="s">
        <v>580</v>
      </c>
      <c r="L355" s="2089" t="s">
        <v>580</v>
      </c>
      <c r="M355" s="749"/>
      <c r="N355" s="749"/>
      <c r="O355" s="750"/>
      <c r="P355" s="750"/>
      <c r="Q355" s="750"/>
      <c r="R355" s="750"/>
      <c r="S355" s="750"/>
      <c r="T355" s="750"/>
      <c r="U355" s="750"/>
      <c r="V355" s="750"/>
    </row>
    <row r="356" spans="1:22">
      <c r="A356" s="750"/>
      <c r="B356" s="750"/>
      <c r="C356" s="750"/>
      <c r="D356" s="750"/>
      <c r="E356" s="750"/>
      <c r="F356" s="750"/>
      <c r="G356" s="750"/>
      <c r="H356" s="750"/>
      <c r="I356" s="750"/>
      <c r="J356" s="750"/>
      <c r="K356" s="750"/>
      <c r="L356" s="750"/>
      <c r="M356" s="749"/>
      <c r="N356" s="749"/>
      <c r="O356" s="750"/>
      <c r="P356" s="750"/>
      <c r="Q356" s="750"/>
      <c r="R356" s="750"/>
      <c r="S356" s="750"/>
      <c r="T356" s="750"/>
      <c r="U356" s="750"/>
      <c r="V356" s="750"/>
    </row>
    <row r="357" spans="1:22">
      <c r="A357" s="53">
        <v>1</v>
      </c>
      <c r="B357" s="33">
        <v>350</v>
      </c>
      <c r="C357" s="33">
        <v>3500</v>
      </c>
      <c r="D357" s="32" t="s">
        <v>634</v>
      </c>
      <c r="E357" s="1157">
        <v>321720</v>
      </c>
      <c r="F357" s="1157">
        <v>64187</v>
      </c>
      <c r="G357" s="1157">
        <v>0</v>
      </c>
      <c r="H357" s="1157">
        <v>0</v>
      </c>
      <c r="I357" s="748"/>
      <c r="J357" s="749"/>
      <c r="K357" s="748">
        <f t="shared" ref="K357:K367" si="10">E357+F357-G357+H357</f>
        <v>385907</v>
      </c>
      <c r="L357" s="1157">
        <v>357042</v>
      </c>
      <c r="M357" s="749"/>
      <c r="N357" s="749"/>
      <c r="O357" s="749"/>
      <c r="P357" s="749"/>
      <c r="Q357" s="750"/>
      <c r="R357" s="750"/>
      <c r="S357" s="750"/>
      <c r="T357" s="750"/>
      <c r="U357" s="750"/>
      <c r="V357" s="750"/>
    </row>
    <row r="358" spans="1:22">
      <c r="A358" s="53">
        <v>2</v>
      </c>
      <c r="B358" s="33">
        <v>350</v>
      </c>
      <c r="C358" s="33">
        <v>3501</v>
      </c>
      <c r="D358" s="32" t="s">
        <v>622</v>
      </c>
      <c r="E358" s="1157">
        <v>9600523</v>
      </c>
      <c r="F358" s="1157">
        <v>1915424</v>
      </c>
      <c r="G358" s="1157">
        <v>0</v>
      </c>
      <c r="H358" s="1157">
        <v>0</v>
      </c>
      <c r="I358" s="748"/>
      <c r="J358" s="749"/>
      <c r="K358" s="748">
        <f t="shared" si="10"/>
        <v>11515947</v>
      </c>
      <c r="L358" s="1157">
        <v>10654574</v>
      </c>
      <c r="M358" s="749"/>
      <c r="N358" s="749"/>
      <c r="O358" s="749"/>
      <c r="P358" s="749"/>
      <c r="Q358" s="750"/>
      <c r="R358" s="750"/>
      <c r="S358" s="750"/>
      <c r="T358" s="750"/>
      <c r="U358" s="750"/>
      <c r="V358" s="750"/>
    </row>
    <row r="359" spans="1:22">
      <c r="A359" s="53">
        <v>3</v>
      </c>
      <c r="B359" s="33">
        <v>352</v>
      </c>
      <c r="C359" s="33">
        <v>3520</v>
      </c>
      <c r="D359" s="32" t="s">
        <v>609</v>
      </c>
      <c r="E359" s="1157">
        <v>6295383</v>
      </c>
      <c r="F359" s="1157">
        <v>1256007</v>
      </c>
      <c r="G359" s="1157">
        <v>0</v>
      </c>
      <c r="H359" s="1157">
        <v>0</v>
      </c>
      <c r="I359" s="748"/>
      <c r="J359" s="749"/>
      <c r="K359" s="748">
        <f t="shared" si="10"/>
        <v>7551390</v>
      </c>
      <c r="L359" s="1157">
        <v>6986560</v>
      </c>
      <c r="M359" s="749"/>
      <c r="N359" s="749"/>
      <c r="O359" s="749"/>
      <c r="P359" s="749"/>
      <c r="Q359" s="750"/>
      <c r="R359" s="750"/>
      <c r="S359" s="750"/>
      <c r="T359" s="750"/>
      <c r="U359" s="750"/>
      <c r="V359" s="750"/>
    </row>
    <row r="360" spans="1:22">
      <c r="A360" s="1164">
        <v>4</v>
      </c>
      <c r="B360" s="33">
        <v>353</v>
      </c>
      <c r="C360" s="33">
        <v>3530</v>
      </c>
      <c r="D360" s="32" t="s">
        <v>635</v>
      </c>
      <c r="E360" s="1157">
        <v>34006810</v>
      </c>
      <c r="F360" s="1157">
        <v>6791725</v>
      </c>
      <c r="G360" s="1157">
        <v>41760</v>
      </c>
      <c r="H360" s="1157">
        <v>0</v>
      </c>
      <c r="I360" s="748"/>
      <c r="J360" s="749"/>
      <c r="K360" s="748">
        <f t="shared" si="10"/>
        <v>40756775</v>
      </c>
      <c r="L360" s="1157">
        <v>37723393</v>
      </c>
      <c r="M360" s="749"/>
      <c r="N360" s="749"/>
      <c r="O360" s="749"/>
      <c r="P360" s="749"/>
      <c r="Q360" s="750"/>
      <c r="R360" s="750"/>
      <c r="S360" s="750"/>
      <c r="T360" s="750"/>
      <c r="U360" s="750"/>
      <c r="V360" s="750"/>
    </row>
    <row r="361" spans="1:22">
      <c r="A361" s="53">
        <v>5</v>
      </c>
      <c r="B361" s="33">
        <v>353</v>
      </c>
      <c r="C361" s="33">
        <v>3531</v>
      </c>
      <c r="D361" s="32" t="s">
        <v>636</v>
      </c>
      <c r="E361" s="1157">
        <v>9771257</v>
      </c>
      <c r="F361" s="1157">
        <v>1949488</v>
      </c>
      <c r="G361" s="1157">
        <v>0</v>
      </c>
      <c r="H361" s="1157">
        <v>0</v>
      </c>
      <c r="I361" s="748"/>
      <c r="J361" s="749"/>
      <c r="K361" s="748">
        <f t="shared" si="10"/>
        <v>11720745</v>
      </c>
      <c r="L361" s="1157">
        <v>10844053</v>
      </c>
      <c r="M361" s="749"/>
      <c r="N361" s="749"/>
      <c r="O361" s="749"/>
      <c r="P361" s="749"/>
      <c r="Q361" s="750"/>
      <c r="R361" s="750"/>
      <c r="S361" s="750"/>
      <c r="T361" s="750"/>
      <c r="U361" s="750"/>
      <c r="V361" s="750"/>
    </row>
    <row r="362" spans="1:22">
      <c r="A362" s="53">
        <v>6</v>
      </c>
      <c r="B362" s="33">
        <v>353</v>
      </c>
      <c r="C362" s="33">
        <v>3532</v>
      </c>
      <c r="D362" s="32" t="s">
        <v>637</v>
      </c>
      <c r="E362" s="1157">
        <v>11934278</v>
      </c>
      <c r="F362" s="1157">
        <v>2381037</v>
      </c>
      <c r="G362" s="1157">
        <v>0</v>
      </c>
      <c r="H362" s="1157">
        <v>0</v>
      </c>
      <c r="I362" s="748"/>
      <c r="J362" s="749"/>
      <c r="K362" s="748">
        <f t="shared" si="10"/>
        <v>14315315</v>
      </c>
      <c r="L362" s="1157">
        <v>13244554</v>
      </c>
      <c r="M362" s="749"/>
      <c r="N362" s="749"/>
      <c r="O362" s="749"/>
      <c r="P362" s="749"/>
      <c r="Q362" s="750"/>
      <c r="R362" s="750"/>
      <c r="S362" s="750"/>
      <c r="T362" s="750"/>
      <c r="U362" s="750"/>
      <c r="V362" s="750"/>
    </row>
    <row r="363" spans="1:22">
      <c r="A363" s="53">
        <v>7</v>
      </c>
      <c r="B363" s="33">
        <v>353</v>
      </c>
      <c r="C363" s="33">
        <v>3534</v>
      </c>
      <c r="D363" s="32" t="s">
        <v>638</v>
      </c>
      <c r="E363" s="1157">
        <v>7994394</v>
      </c>
      <c r="F363" s="1157">
        <v>1594981</v>
      </c>
      <c r="G363" s="1157">
        <v>0</v>
      </c>
      <c r="H363" s="1157">
        <v>0</v>
      </c>
      <c r="I363" s="748"/>
      <c r="J363" s="749"/>
      <c r="K363" s="748">
        <f t="shared" si="10"/>
        <v>9589375</v>
      </c>
      <c r="L363" s="1157">
        <v>8872106</v>
      </c>
      <c r="M363" s="749"/>
      <c r="N363" s="749"/>
      <c r="O363" s="749"/>
      <c r="P363" s="749"/>
      <c r="Q363" s="750"/>
      <c r="R363" s="750"/>
      <c r="S363" s="750"/>
      <c r="T363" s="750"/>
      <c r="U363" s="750"/>
      <c r="V363" s="750"/>
    </row>
    <row r="364" spans="1:22">
      <c r="A364" s="53">
        <v>8</v>
      </c>
      <c r="B364" s="33">
        <v>355</v>
      </c>
      <c r="C364" s="33">
        <v>3550</v>
      </c>
      <c r="D364" s="32" t="s">
        <v>639</v>
      </c>
      <c r="E364" s="1157">
        <v>42107230</v>
      </c>
      <c r="F364" s="1157">
        <v>8596220</v>
      </c>
      <c r="G364" s="1157">
        <v>1174680</v>
      </c>
      <c r="H364" s="1157">
        <v>0</v>
      </c>
      <c r="I364" s="748"/>
      <c r="J364" s="749"/>
      <c r="K364" s="748">
        <f t="shared" si="10"/>
        <v>49528770</v>
      </c>
      <c r="L364" s="1157">
        <v>46250360</v>
      </c>
      <c r="M364" s="749"/>
      <c r="N364" s="749"/>
      <c r="O364" s="749"/>
      <c r="P364" s="749"/>
      <c r="Q364" s="750"/>
      <c r="R364" s="750"/>
      <c r="S364" s="750"/>
      <c r="T364" s="750"/>
      <c r="U364" s="750"/>
      <c r="V364" s="750"/>
    </row>
    <row r="365" spans="1:22">
      <c r="A365" s="1164">
        <v>9</v>
      </c>
      <c r="B365" s="33">
        <v>356</v>
      </c>
      <c r="C365" s="33">
        <v>3560</v>
      </c>
      <c r="D365" s="32" t="s">
        <v>640</v>
      </c>
      <c r="E365" s="1157">
        <v>20331460</v>
      </c>
      <c r="F365" s="1157">
        <v>4095484</v>
      </c>
      <c r="G365" s="1157">
        <v>235200</v>
      </c>
      <c r="H365" s="1157">
        <v>0</v>
      </c>
      <c r="I365" s="748"/>
      <c r="J365" s="749"/>
      <c r="K365" s="748">
        <f t="shared" si="10"/>
        <v>24191744</v>
      </c>
      <c r="L365" s="1157">
        <v>22467590</v>
      </c>
      <c r="M365" s="749"/>
      <c r="N365" s="749"/>
      <c r="O365" s="749"/>
      <c r="P365" s="749"/>
      <c r="Q365" s="750"/>
      <c r="R365" s="750"/>
      <c r="S365" s="750"/>
      <c r="T365" s="750"/>
      <c r="U365" s="750"/>
      <c r="V365" s="750"/>
    </row>
    <row r="366" spans="1:22">
      <c r="A366" s="53">
        <v>10</v>
      </c>
      <c r="B366" s="33">
        <v>356</v>
      </c>
      <c r="C366" s="33">
        <v>3561</v>
      </c>
      <c r="D366" s="32" t="s">
        <v>641</v>
      </c>
      <c r="E366" s="1157">
        <v>2976783</v>
      </c>
      <c r="F366" s="1157">
        <v>593905</v>
      </c>
      <c r="G366" s="1157">
        <v>0</v>
      </c>
      <c r="H366" s="1157">
        <v>0</v>
      </c>
      <c r="I366" s="748"/>
      <c r="J366" s="749"/>
      <c r="K366" s="748">
        <f t="shared" si="10"/>
        <v>3570688</v>
      </c>
      <c r="L366" s="1157">
        <v>3303607</v>
      </c>
      <c r="M366" s="749"/>
      <c r="N366" s="749"/>
      <c r="O366" s="749"/>
      <c r="P366" s="749"/>
      <c r="Q366" s="750"/>
      <c r="R366" s="750"/>
      <c r="S366" s="750"/>
      <c r="T366" s="750"/>
      <c r="U366" s="750"/>
      <c r="V366" s="750"/>
    </row>
    <row r="367" spans="1:22">
      <c r="A367" s="53">
        <v>11</v>
      </c>
      <c r="B367" s="32"/>
      <c r="C367" s="32"/>
      <c r="D367" s="32" t="s">
        <v>617</v>
      </c>
      <c r="E367" s="1157">
        <v>0</v>
      </c>
      <c r="F367" s="1157">
        <v>0</v>
      </c>
      <c r="G367" s="1157">
        <v>0</v>
      </c>
      <c r="H367" s="1157">
        <v>0</v>
      </c>
      <c r="I367" s="748"/>
      <c r="J367" s="749"/>
      <c r="K367" s="748">
        <f t="shared" si="10"/>
        <v>0</v>
      </c>
      <c r="L367" s="1157">
        <v>0</v>
      </c>
      <c r="M367" s="749"/>
      <c r="N367" s="749"/>
      <c r="O367" s="749"/>
      <c r="P367" s="749"/>
      <c r="Q367" s="750"/>
      <c r="R367" s="750"/>
      <c r="S367" s="750"/>
      <c r="T367" s="750"/>
      <c r="U367" s="750"/>
      <c r="V367" s="750"/>
    </row>
    <row r="368" spans="1:22">
      <c r="A368" s="53"/>
      <c r="B368" s="32"/>
      <c r="C368" s="32"/>
      <c r="D368" s="32"/>
      <c r="E368" s="61"/>
      <c r="F368" s="2283"/>
      <c r="G368" s="61"/>
      <c r="H368" s="30"/>
      <c r="I368" s="750"/>
      <c r="J368" s="750"/>
      <c r="K368" s="748"/>
      <c r="L368" s="30"/>
      <c r="M368" s="749"/>
      <c r="N368" s="749"/>
      <c r="O368" s="750"/>
      <c r="P368" s="750"/>
      <c r="Q368" s="750"/>
      <c r="R368" s="750"/>
      <c r="S368" s="750"/>
      <c r="T368" s="750"/>
      <c r="U368" s="750"/>
      <c r="V368" s="750"/>
    </row>
    <row r="369" spans="1:22">
      <c r="A369" s="750"/>
      <c r="B369" s="750"/>
      <c r="C369" s="750"/>
      <c r="D369" s="750"/>
      <c r="E369" s="748"/>
      <c r="F369" s="1163"/>
      <c r="G369" s="748"/>
      <c r="H369" s="748"/>
      <c r="I369" s="748"/>
      <c r="J369" s="748"/>
      <c r="K369" s="748"/>
      <c r="L369" s="748"/>
      <c r="M369" s="749"/>
      <c r="N369" s="749"/>
      <c r="O369" s="750"/>
      <c r="P369" s="750"/>
      <c r="Q369" s="750"/>
      <c r="R369" s="750"/>
      <c r="S369" s="750"/>
      <c r="T369" s="750"/>
      <c r="U369" s="750"/>
      <c r="V369" s="750"/>
    </row>
    <row r="370" spans="1:22">
      <c r="A370" s="2082"/>
      <c r="B370" s="2082"/>
      <c r="C370" s="2082"/>
      <c r="D370" s="2082"/>
      <c r="E370" s="2084"/>
      <c r="F370" s="2093"/>
      <c r="G370" s="2084"/>
      <c r="H370" s="2084"/>
      <c r="I370" s="2084"/>
      <c r="J370" s="2092"/>
      <c r="K370" s="2084"/>
      <c r="L370" s="2084"/>
      <c r="M370" s="749"/>
      <c r="N370" s="749"/>
      <c r="O370" s="750"/>
      <c r="P370" s="750"/>
      <c r="Q370" s="750"/>
      <c r="R370" s="750"/>
      <c r="S370" s="750"/>
      <c r="T370" s="750"/>
      <c r="U370" s="750"/>
      <c r="V370" s="750"/>
    </row>
    <row r="371" spans="1:22">
      <c r="A371" s="53">
        <v>12</v>
      </c>
      <c r="B371" s="750"/>
      <c r="C371" s="750"/>
      <c r="D371" s="737" t="s">
        <v>642</v>
      </c>
      <c r="E371" s="748">
        <f>SUM(E357:E367)</f>
        <v>145339838</v>
      </c>
      <c r="F371" s="748">
        <f>SUM(F357:F367)</f>
        <v>29238458</v>
      </c>
      <c r="G371" s="748">
        <f>SUM(G357:G367)</f>
        <v>1451640</v>
      </c>
      <c r="H371" s="748">
        <f>SUM(H357:H367)</f>
        <v>0</v>
      </c>
      <c r="I371" s="748"/>
      <c r="J371" s="749"/>
      <c r="K371" s="748">
        <f>SUM(K357:K367)</f>
        <v>173126656</v>
      </c>
      <c r="L371" s="748">
        <f>SUM(L357:L367)</f>
        <v>160703839</v>
      </c>
      <c r="M371" s="749"/>
      <c r="N371" s="749"/>
      <c r="O371" s="750"/>
      <c r="P371" s="750"/>
      <c r="Q371" s="750"/>
      <c r="R371" s="750"/>
      <c r="S371" s="750"/>
      <c r="T371" s="750"/>
      <c r="U371" s="750"/>
      <c r="V371" s="750"/>
    </row>
    <row r="372" spans="1:22">
      <c r="A372" s="750"/>
      <c r="B372" s="750"/>
      <c r="C372" s="750"/>
      <c r="D372" s="750"/>
      <c r="E372" s="748"/>
      <c r="F372" s="1163"/>
      <c r="G372" s="748"/>
      <c r="H372" s="748"/>
      <c r="I372" s="748"/>
      <c r="J372" s="748"/>
      <c r="K372" s="748"/>
      <c r="L372" s="748"/>
      <c r="M372" s="749"/>
      <c r="N372" s="749"/>
      <c r="O372" s="750"/>
      <c r="P372" s="750"/>
      <c r="Q372" s="750"/>
      <c r="R372" s="750"/>
      <c r="S372" s="750"/>
      <c r="T372" s="750"/>
      <c r="U372" s="750"/>
      <c r="V372" s="750"/>
    </row>
    <row r="373" spans="1:22">
      <c r="A373" s="2082"/>
      <c r="B373" s="2082"/>
      <c r="C373" s="2082"/>
      <c r="D373" s="2082"/>
      <c r="E373" s="2084"/>
      <c r="F373" s="2084"/>
      <c r="G373" s="2084"/>
      <c r="H373" s="2084"/>
      <c r="I373" s="2092"/>
      <c r="J373" s="2092"/>
      <c r="K373" s="2084"/>
      <c r="L373" s="2084"/>
      <c r="M373" s="749"/>
      <c r="N373" s="749"/>
      <c r="O373" s="750"/>
      <c r="P373" s="750"/>
      <c r="Q373" s="750"/>
      <c r="R373" s="750"/>
      <c r="S373" s="750"/>
      <c r="T373" s="750"/>
      <c r="U373" s="750"/>
      <c r="V373" s="750"/>
    </row>
    <row r="374" spans="1:22">
      <c r="A374" s="59" t="str">
        <f>A258</f>
        <v>DUKE ENERGY KENTUCKY, INC.</v>
      </c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749"/>
      <c r="N374" s="749"/>
      <c r="O374" s="750"/>
      <c r="P374" s="750"/>
      <c r="Q374" s="750"/>
      <c r="R374" s="750"/>
      <c r="S374" s="750"/>
      <c r="T374" s="750"/>
      <c r="U374" s="750"/>
      <c r="V374" s="750"/>
    </row>
    <row r="375" spans="1:22">
      <c r="A375" s="59" t="str">
        <f>A259</f>
        <v>CASE NO. 2024-00354</v>
      </c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749"/>
      <c r="N375" s="749"/>
      <c r="O375" s="750"/>
      <c r="P375" s="750"/>
      <c r="Q375" s="750"/>
      <c r="R375" s="750"/>
      <c r="S375" s="750"/>
      <c r="T375" s="750"/>
      <c r="U375" s="750"/>
      <c r="V375" s="750"/>
    </row>
    <row r="376" spans="1:22">
      <c r="A376" s="59" t="str">
        <f>A260</f>
        <v>GROSS ADDITIONS, RETIREMENTS, AND TRANSFERS</v>
      </c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749"/>
      <c r="N376" s="749"/>
      <c r="O376" s="750"/>
      <c r="P376" s="750"/>
      <c r="Q376" s="750"/>
      <c r="R376" s="750"/>
      <c r="S376" s="750"/>
      <c r="T376" s="750"/>
      <c r="U376" s="750"/>
      <c r="V376" s="750"/>
    </row>
    <row r="377" spans="1:22">
      <c r="A377" s="59" t="str">
        <f>$A$261</f>
        <v>FROM JULY 1, 2025 TO JUNE 30, 2026</v>
      </c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749"/>
      <c r="N377" s="749"/>
      <c r="O377" s="750"/>
      <c r="P377" s="750"/>
      <c r="Q377" s="750"/>
      <c r="R377" s="750"/>
      <c r="S377" s="750"/>
      <c r="T377" s="750"/>
      <c r="U377" s="750"/>
      <c r="V377" s="750"/>
    </row>
    <row r="378" spans="1:22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749"/>
      <c r="N378" s="749"/>
      <c r="O378" s="750"/>
      <c r="P378" s="750"/>
      <c r="Q378" s="750"/>
      <c r="R378" s="750"/>
      <c r="S378" s="750"/>
      <c r="T378" s="750"/>
      <c r="U378" s="750"/>
      <c r="V378" s="750"/>
    </row>
    <row r="379" spans="1:22">
      <c r="A379" s="59" t="s">
        <v>643</v>
      </c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749"/>
      <c r="N379" s="749"/>
      <c r="O379" s="750"/>
      <c r="P379" s="750"/>
      <c r="Q379" s="750"/>
      <c r="R379" s="750"/>
      <c r="S379" s="750"/>
      <c r="T379" s="750"/>
      <c r="U379" s="750"/>
      <c r="V379" s="750"/>
    </row>
    <row r="380" spans="1:22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749"/>
      <c r="N380" s="749"/>
      <c r="O380" s="750"/>
      <c r="P380" s="750"/>
      <c r="Q380" s="750"/>
      <c r="R380" s="750"/>
      <c r="S380" s="750"/>
      <c r="T380" s="750"/>
      <c r="U380" s="750"/>
      <c r="V380" s="750"/>
    </row>
    <row r="381" spans="1:22">
      <c r="A381" s="1148" t="s">
        <v>529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749"/>
      <c r="N381" s="749"/>
      <c r="O381" s="750"/>
      <c r="P381" s="750"/>
      <c r="Q381" s="750"/>
      <c r="R381" s="750"/>
      <c r="S381" s="750"/>
      <c r="T381" s="750"/>
      <c r="U381" s="750"/>
      <c r="V381" s="750"/>
    </row>
    <row r="382" spans="1:22">
      <c r="A382" s="1148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749"/>
      <c r="N382" s="749"/>
      <c r="O382" s="750"/>
      <c r="P382" s="750"/>
      <c r="Q382" s="750"/>
      <c r="R382" s="750"/>
      <c r="S382" s="750"/>
      <c r="T382" s="750"/>
      <c r="U382" s="750"/>
      <c r="V382" s="750"/>
    </row>
    <row r="383" spans="1:22">
      <c r="A383" s="737" t="str">
        <f>DataF</f>
        <v>DATA:  BASE PERIOD  "X" FORECASTED PERIOD</v>
      </c>
      <c r="B383" s="750"/>
      <c r="C383" s="750"/>
      <c r="D383" s="750"/>
      <c r="E383" s="750"/>
      <c r="F383" s="750"/>
      <c r="G383" s="750"/>
      <c r="H383" s="750"/>
      <c r="I383" s="750"/>
      <c r="K383" s="737" t="str">
        <f>K267</f>
        <v>SCHEDULE B-2.3</v>
      </c>
      <c r="L383" s="750"/>
      <c r="M383" s="749"/>
      <c r="N383" s="749"/>
      <c r="O383" s="750"/>
      <c r="P383" s="750"/>
      <c r="Q383" s="750"/>
      <c r="R383" s="750"/>
      <c r="S383" s="750"/>
      <c r="T383" s="750"/>
      <c r="U383" s="750"/>
      <c r="V383" s="750"/>
    </row>
    <row r="384" spans="1:22">
      <c r="A384" s="737" t="str">
        <f>A268</f>
        <v xml:space="preserve">TYPE OF FILING:  "X" ORIGINAL   UPDATED    REVISED  </v>
      </c>
      <c r="B384" s="750"/>
      <c r="C384" s="750"/>
      <c r="D384" s="750"/>
      <c r="E384" s="750"/>
      <c r="F384" s="750"/>
      <c r="G384" s="750"/>
      <c r="H384" s="750"/>
      <c r="I384" s="750"/>
      <c r="K384" s="737" t="s">
        <v>687</v>
      </c>
      <c r="L384" s="750"/>
      <c r="M384" s="749"/>
      <c r="N384" s="749"/>
      <c r="O384" s="750"/>
      <c r="P384" s="750"/>
      <c r="Q384" s="750"/>
      <c r="R384" s="750"/>
      <c r="S384" s="750"/>
      <c r="T384" s="750"/>
      <c r="U384" s="750"/>
      <c r="V384" s="750"/>
    </row>
    <row r="385" spans="1:22">
      <c r="A385" s="737" t="str">
        <f>A269</f>
        <v xml:space="preserve">WORK PAPER REFERENCE NO(S).: </v>
      </c>
      <c r="B385" s="750"/>
      <c r="C385" s="750"/>
      <c r="D385" s="750"/>
      <c r="E385" s="750"/>
      <c r="F385" s="750"/>
      <c r="G385" s="750"/>
      <c r="H385" s="750"/>
      <c r="I385" s="750"/>
      <c r="K385" s="750" t="s">
        <v>468</v>
      </c>
      <c r="L385" s="750"/>
      <c r="M385" s="749"/>
      <c r="N385" s="749"/>
      <c r="O385" s="750"/>
      <c r="P385" s="750"/>
      <c r="Q385" s="750"/>
      <c r="R385" s="750"/>
      <c r="S385" s="750"/>
      <c r="T385" s="750"/>
      <c r="U385" s="750"/>
      <c r="V385" s="750"/>
    </row>
    <row r="386" spans="1:22">
      <c r="A386" s="750"/>
      <c r="B386" s="750"/>
      <c r="C386" s="750"/>
      <c r="D386" s="750"/>
      <c r="E386" s="750"/>
      <c r="F386" s="750"/>
      <c r="G386" s="750"/>
      <c r="H386" s="750"/>
      <c r="I386" s="750"/>
      <c r="K386" s="750" t="str">
        <f>K270</f>
        <v>G. S. CARPENTER / S. S. MITCHELL</v>
      </c>
      <c r="L386" s="750"/>
      <c r="M386" s="749"/>
      <c r="N386" s="749"/>
      <c r="O386" s="750"/>
      <c r="P386" s="750"/>
      <c r="Q386" s="750"/>
      <c r="R386" s="750"/>
      <c r="S386" s="750"/>
      <c r="T386" s="750"/>
      <c r="U386" s="750"/>
      <c r="V386" s="750"/>
    </row>
    <row r="387" spans="1:22">
      <c r="A387" s="750"/>
      <c r="B387" s="750"/>
      <c r="C387" s="750"/>
      <c r="D387" s="750"/>
      <c r="E387" s="750"/>
      <c r="F387" s="750"/>
      <c r="G387" s="750"/>
      <c r="H387" s="750"/>
      <c r="I387" s="750"/>
      <c r="J387" s="750"/>
      <c r="K387" s="750"/>
      <c r="L387" s="750"/>
      <c r="M387" s="749"/>
      <c r="N387" s="749"/>
      <c r="O387" s="750"/>
      <c r="P387" s="750"/>
      <c r="Q387" s="750"/>
      <c r="R387" s="750"/>
      <c r="S387" s="750"/>
      <c r="T387" s="750"/>
      <c r="U387" s="750"/>
      <c r="V387" s="750"/>
    </row>
    <row r="388" spans="1:22">
      <c r="A388" s="750"/>
      <c r="B388" s="750"/>
      <c r="C388" s="750"/>
      <c r="D388" s="750"/>
      <c r="E388" s="750"/>
      <c r="F388" s="750"/>
      <c r="G388" s="750"/>
      <c r="H388" s="1443"/>
      <c r="I388" s="750"/>
      <c r="J388" s="750"/>
      <c r="K388" s="750"/>
      <c r="L388" s="750"/>
      <c r="M388" s="749"/>
      <c r="N388" s="749"/>
      <c r="O388" s="750"/>
      <c r="P388" s="750"/>
      <c r="Q388" s="750"/>
      <c r="R388" s="750"/>
      <c r="S388" s="750"/>
      <c r="T388" s="750"/>
      <c r="U388" s="750"/>
      <c r="V388" s="750"/>
    </row>
    <row r="389" spans="1:22">
      <c r="A389" s="2082"/>
      <c r="B389" s="2082"/>
      <c r="C389" s="2085"/>
      <c r="D389" s="2082"/>
      <c r="E389" s="2082"/>
      <c r="F389" s="2082"/>
      <c r="G389" s="2082"/>
      <c r="H389" s="780"/>
      <c r="I389" s="2082"/>
      <c r="J389" s="2082"/>
      <c r="K389" s="2082"/>
      <c r="L389" s="2082"/>
      <c r="M389" s="749"/>
      <c r="N389" s="749"/>
      <c r="O389" s="750"/>
      <c r="P389" s="750"/>
      <c r="Q389" s="750"/>
      <c r="R389" s="750"/>
      <c r="S389" s="750"/>
      <c r="T389" s="750"/>
      <c r="U389" s="750"/>
      <c r="V389" s="750"/>
    </row>
    <row r="390" spans="1:22">
      <c r="A390" s="750"/>
      <c r="B390" s="53" t="s">
        <v>257</v>
      </c>
      <c r="C390" s="53" t="s">
        <v>605</v>
      </c>
      <c r="D390" s="750"/>
      <c r="E390" s="750"/>
      <c r="F390" s="750"/>
      <c r="G390" s="750"/>
      <c r="H390" s="1451" t="s">
        <v>708</v>
      </c>
      <c r="I390" s="1451"/>
      <c r="J390" s="1451"/>
      <c r="K390" s="750"/>
      <c r="L390" s="750"/>
      <c r="M390" s="749"/>
      <c r="N390" s="749"/>
      <c r="O390" s="750"/>
      <c r="P390" s="750"/>
      <c r="Q390" s="750"/>
      <c r="R390" s="750"/>
      <c r="S390" s="750"/>
      <c r="T390" s="750"/>
      <c r="U390" s="750"/>
      <c r="V390" s="750"/>
    </row>
    <row r="391" spans="1:22">
      <c r="A391" s="53" t="s">
        <v>573</v>
      </c>
      <c r="B391" s="53" t="s">
        <v>606</v>
      </c>
      <c r="C391" s="53" t="s">
        <v>606</v>
      </c>
      <c r="D391" s="53" t="s">
        <v>255</v>
      </c>
      <c r="E391" s="53" t="s">
        <v>709</v>
      </c>
      <c r="F391" s="750"/>
      <c r="G391" s="750"/>
      <c r="H391" s="2082"/>
      <c r="I391" s="2089" t="s">
        <v>710</v>
      </c>
      <c r="J391" s="2089" t="s">
        <v>711</v>
      </c>
      <c r="K391" s="53" t="s">
        <v>712</v>
      </c>
      <c r="L391" s="53" t="s">
        <v>591</v>
      </c>
      <c r="M391" s="749"/>
      <c r="N391" s="749"/>
      <c r="O391" s="750"/>
      <c r="P391" s="750"/>
      <c r="Q391" s="750"/>
      <c r="R391" s="750"/>
      <c r="S391" s="750"/>
      <c r="T391" s="750"/>
      <c r="U391" s="750"/>
      <c r="V391" s="750"/>
    </row>
    <row r="392" spans="1:22">
      <c r="A392" s="53" t="s">
        <v>576</v>
      </c>
      <c r="B392" s="53" t="s">
        <v>576</v>
      </c>
      <c r="C392" s="53" t="s">
        <v>576</v>
      </c>
      <c r="D392" s="53" t="s">
        <v>713</v>
      </c>
      <c r="E392" s="53" t="s">
        <v>556</v>
      </c>
      <c r="F392" s="53" t="s">
        <v>714</v>
      </c>
      <c r="G392" s="53" t="s">
        <v>715</v>
      </c>
      <c r="H392" s="53" t="s">
        <v>419</v>
      </c>
      <c r="I392" s="53" t="s">
        <v>716</v>
      </c>
      <c r="J392" s="53" t="s">
        <v>717</v>
      </c>
      <c r="K392" s="53" t="s">
        <v>556</v>
      </c>
      <c r="L392" s="53" t="s">
        <v>592</v>
      </c>
      <c r="M392" s="749"/>
      <c r="N392" s="749"/>
      <c r="O392" s="750"/>
      <c r="P392" s="750"/>
      <c r="Q392" s="750"/>
      <c r="R392" s="750"/>
      <c r="S392" s="750"/>
      <c r="T392" s="750"/>
      <c r="U392" s="750"/>
      <c r="V392" s="750"/>
    </row>
    <row r="393" spans="1:22">
      <c r="A393" s="750"/>
      <c r="B393" s="750"/>
      <c r="C393" s="750"/>
      <c r="D393" s="750"/>
      <c r="E393" s="750"/>
      <c r="F393" s="750"/>
      <c r="G393" s="750"/>
      <c r="H393" s="750"/>
      <c r="I393" s="750"/>
      <c r="J393" s="750"/>
      <c r="K393" s="750"/>
      <c r="L393" s="750"/>
      <c r="M393" s="749"/>
      <c r="N393" s="749"/>
      <c r="O393" s="750"/>
      <c r="P393" s="750"/>
      <c r="Q393" s="750"/>
      <c r="R393" s="750"/>
      <c r="S393" s="750"/>
      <c r="T393" s="750"/>
      <c r="U393" s="750"/>
      <c r="V393" s="750"/>
    </row>
    <row r="394" spans="1:22">
      <c r="A394" s="2082"/>
      <c r="B394" s="2082"/>
      <c r="C394" s="2082"/>
      <c r="D394" s="2082"/>
      <c r="E394" s="2089" t="s">
        <v>580</v>
      </c>
      <c r="F394" s="2089" t="s">
        <v>580</v>
      </c>
      <c r="G394" s="2089" t="s">
        <v>580</v>
      </c>
      <c r="H394" s="2089" t="s">
        <v>580</v>
      </c>
      <c r="I394" s="2082"/>
      <c r="J394" s="2082"/>
      <c r="K394" s="2089" t="s">
        <v>580</v>
      </c>
      <c r="L394" s="2089" t="s">
        <v>580</v>
      </c>
      <c r="M394" s="749"/>
      <c r="N394" s="749"/>
      <c r="O394" s="750"/>
      <c r="P394" s="750"/>
      <c r="Q394" s="750"/>
      <c r="R394" s="750"/>
      <c r="S394" s="750"/>
      <c r="T394" s="750"/>
      <c r="U394" s="750"/>
      <c r="V394" s="750"/>
    </row>
    <row r="395" spans="1:22">
      <c r="A395" s="750"/>
      <c r="B395" s="750"/>
      <c r="C395" s="750"/>
      <c r="D395" s="750"/>
      <c r="E395" s="750"/>
      <c r="F395" s="750"/>
      <c r="G395" s="750"/>
      <c r="H395" s="750"/>
      <c r="I395" s="750"/>
      <c r="J395" s="750"/>
      <c r="K395" s="750"/>
      <c r="L395" s="750"/>
      <c r="M395" s="749"/>
      <c r="N395" s="749"/>
      <c r="O395" s="750"/>
      <c r="P395" s="750"/>
      <c r="Q395" s="750"/>
      <c r="R395" s="750"/>
      <c r="S395" s="750"/>
      <c r="T395" s="750"/>
      <c r="U395" s="750"/>
      <c r="V395" s="750"/>
    </row>
    <row r="396" spans="1:22">
      <c r="A396" s="53">
        <v>1</v>
      </c>
      <c r="B396" s="53">
        <v>360</v>
      </c>
      <c r="C396" s="53">
        <v>3600</v>
      </c>
      <c r="D396" s="737" t="s">
        <v>608</v>
      </c>
      <c r="E396" s="61">
        <v>17877268</v>
      </c>
      <c r="F396" s="2283">
        <v>1469999</v>
      </c>
      <c r="G396" s="61">
        <v>0</v>
      </c>
      <c r="H396" s="643">
        <v>0</v>
      </c>
      <c r="I396" s="750"/>
      <c r="J396" s="750"/>
      <c r="K396" s="748">
        <f t="shared" ref="K396:K419" si="11">E396+F396-G396+H396</f>
        <v>19347267</v>
      </c>
      <c r="L396" s="61">
        <v>18539153</v>
      </c>
      <c r="M396" s="749"/>
      <c r="N396" s="749"/>
      <c r="O396" s="749"/>
      <c r="P396" s="749"/>
      <c r="Q396" s="750"/>
      <c r="R396" s="750"/>
      <c r="S396" s="750"/>
      <c r="T396" s="750"/>
      <c r="U396" s="750"/>
      <c r="V396" s="750"/>
    </row>
    <row r="397" spans="1:22">
      <c r="A397" s="53">
        <v>2</v>
      </c>
      <c r="B397" s="53">
        <v>360</v>
      </c>
      <c r="C397" s="53">
        <v>3601</v>
      </c>
      <c r="D397" s="737" t="s">
        <v>622</v>
      </c>
      <c r="E397" s="61">
        <v>5858596</v>
      </c>
      <c r="F397" s="2283">
        <v>481736</v>
      </c>
      <c r="G397" s="61">
        <v>0</v>
      </c>
      <c r="H397" s="643">
        <v>0</v>
      </c>
      <c r="I397" s="750"/>
      <c r="J397" s="750"/>
      <c r="K397" s="748">
        <f t="shared" si="11"/>
        <v>6340332</v>
      </c>
      <c r="L397" s="61">
        <v>6075504</v>
      </c>
      <c r="M397" s="749"/>
      <c r="N397" s="749"/>
      <c r="O397" s="749"/>
      <c r="P397" s="749"/>
      <c r="Q397" s="750"/>
      <c r="R397" s="750"/>
      <c r="S397" s="750"/>
      <c r="T397" s="750"/>
      <c r="U397" s="750"/>
      <c r="V397" s="750"/>
    </row>
    <row r="398" spans="1:22">
      <c r="A398" s="53">
        <v>3</v>
      </c>
      <c r="B398" s="53">
        <v>361</v>
      </c>
      <c r="C398" s="53">
        <v>3610</v>
      </c>
      <c r="D398" s="737" t="s">
        <v>609</v>
      </c>
      <c r="E398" s="61">
        <v>3340199</v>
      </c>
      <c r="F398" s="2283">
        <v>274886</v>
      </c>
      <c r="G398" s="61">
        <v>3360</v>
      </c>
      <c r="H398" s="643">
        <v>0</v>
      </c>
      <c r="I398" s="750"/>
      <c r="J398" s="750"/>
      <c r="K398" s="748">
        <f t="shared" si="11"/>
        <v>3611725</v>
      </c>
      <c r="L398" s="61">
        <v>3462289</v>
      </c>
      <c r="M398" s="749"/>
      <c r="N398" s="749"/>
      <c r="O398" s="749"/>
      <c r="P398" s="749"/>
      <c r="Q398" s="750"/>
      <c r="R398" s="750"/>
      <c r="S398" s="750"/>
      <c r="T398" s="750"/>
      <c r="U398" s="750"/>
      <c r="V398" s="750"/>
    </row>
    <row r="399" spans="1:22">
      <c r="A399" s="53">
        <v>4</v>
      </c>
      <c r="B399" s="53">
        <v>362</v>
      </c>
      <c r="C399" s="53">
        <v>3620</v>
      </c>
      <c r="D399" s="737" t="s">
        <v>635</v>
      </c>
      <c r="E399" s="61">
        <v>99896495</v>
      </c>
      <c r="F399" s="2283">
        <v>8070613</v>
      </c>
      <c r="G399" s="61">
        <v>-2095680</v>
      </c>
      <c r="H399" s="643">
        <v>0</v>
      </c>
      <c r="I399" s="750"/>
      <c r="J399" s="750"/>
      <c r="K399" s="748">
        <f t="shared" si="11"/>
        <v>110062788</v>
      </c>
      <c r="L399" s="61">
        <v>104578229</v>
      </c>
      <c r="M399" s="749"/>
      <c r="N399" s="749"/>
      <c r="O399" s="749"/>
      <c r="P399" s="749"/>
      <c r="Q399" s="750"/>
      <c r="R399" s="750"/>
      <c r="S399" s="750"/>
      <c r="T399" s="750"/>
      <c r="U399" s="750"/>
      <c r="V399" s="750"/>
    </row>
    <row r="400" spans="1:22">
      <c r="A400" s="53">
        <v>5</v>
      </c>
      <c r="B400" s="53">
        <v>362</v>
      </c>
      <c r="C400" s="53">
        <v>3622</v>
      </c>
      <c r="D400" s="737" t="s">
        <v>637</v>
      </c>
      <c r="E400" s="61">
        <v>52792765</v>
      </c>
      <c r="F400" s="2283">
        <v>4346086</v>
      </c>
      <c r="G400" s="61">
        <v>74160</v>
      </c>
      <c r="H400" s="643">
        <v>0</v>
      </c>
      <c r="I400" s="750"/>
      <c r="J400" s="750"/>
      <c r="K400" s="748">
        <f t="shared" si="11"/>
        <v>57064691</v>
      </c>
      <c r="L400" s="61">
        <v>54712564</v>
      </c>
      <c r="M400" s="749"/>
      <c r="N400" s="749"/>
      <c r="O400" s="749"/>
      <c r="P400" s="749"/>
      <c r="Q400" s="750"/>
      <c r="R400" s="750"/>
      <c r="S400" s="750"/>
      <c r="T400" s="750"/>
      <c r="U400" s="750"/>
      <c r="V400" s="750"/>
    </row>
    <row r="401" spans="1:22">
      <c r="A401" s="53">
        <f>A400+1</f>
        <v>6</v>
      </c>
      <c r="B401" s="53">
        <v>363</v>
      </c>
      <c r="C401" s="53">
        <v>3630</v>
      </c>
      <c r="D401" s="737" t="s">
        <v>645</v>
      </c>
      <c r="E401" s="61">
        <v>0</v>
      </c>
      <c r="F401" s="2283">
        <v>0</v>
      </c>
      <c r="G401" s="61">
        <v>0</v>
      </c>
      <c r="H401" s="643">
        <v>0</v>
      </c>
      <c r="I401" s="750"/>
      <c r="J401" s="750"/>
      <c r="K401" s="748">
        <f t="shared" si="11"/>
        <v>0</v>
      </c>
      <c r="L401" s="61">
        <v>0</v>
      </c>
      <c r="M401" s="749"/>
      <c r="N401" s="749"/>
      <c r="O401" s="749"/>
      <c r="P401" s="749"/>
      <c r="Q401" s="750"/>
      <c r="R401" s="750"/>
      <c r="S401" s="750"/>
      <c r="T401" s="750"/>
      <c r="U401" s="750"/>
      <c r="V401" s="750"/>
    </row>
    <row r="402" spans="1:22">
      <c r="A402" s="53">
        <f t="shared" ref="A402:A418" si="12">A401+1</f>
        <v>7</v>
      </c>
      <c r="B402" s="53">
        <v>364</v>
      </c>
      <c r="C402" s="53">
        <v>3640</v>
      </c>
      <c r="D402" s="737" t="s">
        <v>646</v>
      </c>
      <c r="E402" s="61">
        <v>87026986</v>
      </c>
      <c r="F402" s="2283">
        <v>7205096</v>
      </c>
      <c r="G402" s="61">
        <v>716640</v>
      </c>
      <c r="H402" s="643">
        <v>0</v>
      </c>
      <c r="I402" s="750"/>
      <c r="J402" s="750"/>
      <c r="K402" s="748">
        <f t="shared" si="11"/>
        <v>93515442</v>
      </c>
      <c r="L402" s="61">
        <v>89912849</v>
      </c>
      <c r="M402" s="749"/>
      <c r="N402" s="749"/>
      <c r="O402" s="749"/>
      <c r="P402" s="749"/>
      <c r="Q402" s="750"/>
      <c r="R402" s="750"/>
      <c r="S402" s="750"/>
      <c r="T402" s="750"/>
      <c r="U402" s="750"/>
      <c r="V402" s="750"/>
    </row>
    <row r="403" spans="1:22">
      <c r="A403" s="53">
        <f t="shared" si="12"/>
        <v>8</v>
      </c>
      <c r="B403" s="53">
        <v>365</v>
      </c>
      <c r="C403" s="53">
        <v>3650</v>
      </c>
      <c r="D403" s="737" t="s">
        <v>640</v>
      </c>
      <c r="E403" s="61">
        <v>168274615</v>
      </c>
      <c r="F403" s="2283">
        <v>13932308</v>
      </c>
      <c r="G403" s="61">
        <v>1394400</v>
      </c>
      <c r="H403" s="643">
        <v>0</v>
      </c>
      <c r="I403" s="750"/>
      <c r="J403" s="750"/>
      <c r="K403" s="748">
        <f t="shared" si="11"/>
        <v>180812523</v>
      </c>
      <c r="L403" s="61">
        <v>173850609</v>
      </c>
      <c r="M403" s="749"/>
      <c r="N403" s="749"/>
      <c r="O403" s="749"/>
      <c r="P403" s="749"/>
      <c r="Q403" s="750"/>
      <c r="R403" s="750"/>
      <c r="S403" s="750"/>
      <c r="T403" s="750"/>
      <c r="U403" s="750"/>
      <c r="V403" s="750"/>
    </row>
    <row r="404" spans="1:22">
      <c r="A404" s="53">
        <f t="shared" si="12"/>
        <v>9</v>
      </c>
      <c r="B404" s="53">
        <v>365</v>
      </c>
      <c r="C404" s="53">
        <v>3651</v>
      </c>
      <c r="D404" s="737" t="s">
        <v>641</v>
      </c>
      <c r="E404" s="61">
        <v>9479287</v>
      </c>
      <c r="F404" s="2283">
        <v>779456</v>
      </c>
      <c r="G404" s="61">
        <v>0</v>
      </c>
      <c r="H404" s="643">
        <v>0</v>
      </c>
      <c r="I404" s="750"/>
      <c r="J404" s="750"/>
      <c r="K404" s="748">
        <f t="shared" si="11"/>
        <v>10258743</v>
      </c>
      <c r="L404" s="61">
        <v>9830247</v>
      </c>
      <c r="M404" s="749"/>
      <c r="N404" s="749"/>
      <c r="O404" s="749"/>
      <c r="P404" s="749"/>
      <c r="Q404" s="750"/>
      <c r="R404" s="750"/>
      <c r="S404" s="750"/>
      <c r="T404" s="750"/>
      <c r="U404" s="750"/>
      <c r="V404" s="750"/>
    </row>
    <row r="405" spans="1:22">
      <c r="A405" s="53">
        <f t="shared" si="12"/>
        <v>10</v>
      </c>
      <c r="B405" s="53">
        <v>366</v>
      </c>
      <c r="C405" s="53">
        <v>3660</v>
      </c>
      <c r="D405" s="737" t="s">
        <v>647</v>
      </c>
      <c r="E405" s="61">
        <v>54171742</v>
      </c>
      <c r="F405" s="2283">
        <v>4456104</v>
      </c>
      <c r="G405" s="61">
        <v>24960</v>
      </c>
      <c r="H405" s="643">
        <v>0</v>
      </c>
      <c r="I405" s="750"/>
      <c r="J405" s="750"/>
      <c r="K405" s="748">
        <f t="shared" si="11"/>
        <v>58602886</v>
      </c>
      <c r="L405" s="61">
        <v>56165678</v>
      </c>
      <c r="M405" s="749"/>
      <c r="N405" s="749"/>
      <c r="O405" s="749"/>
      <c r="P405" s="749"/>
      <c r="Q405" s="750"/>
      <c r="R405" s="750"/>
      <c r="S405" s="750"/>
      <c r="T405" s="750"/>
      <c r="U405" s="750"/>
      <c r="V405" s="750"/>
    </row>
    <row r="406" spans="1:22">
      <c r="A406" s="53">
        <f t="shared" si="12"/>
        <v>11</v>
      </c>
      <c r="B406" s="53">
        <v>367</v>
      </c>
      <c r="C406" s="53">
        <v>3670</v>
      </c>
      <c r="D406" s="737" t="s">
        <v>648</v>
      </c>
      <c r="E406" s="61">
        <v>110292199</v>
      </c>
      <c r="F406" s="2283">
        <v>9075134</v>
      </c>
      <c r="G406" s="61">
        <v>89160</v>
      </c>
      <c r="H406" s="643">
        <v>0</v>
      </c>
      <c r="I406" s="750"/>
      <c r="J406" s="750"/>
      <c r="K406" s="748">
        <f t="shared" si="11"/>
        <v>119278173</v>
      </c>
      <c r="L406" s="61">
        <v>114333811</v>
      </c>
      <c r="M406" s="749"/>
      <c r="N406" s="749"/>
      <c r="O406" s="749"/>
      <c r="P406" s="749"/>
      <c r="Q406" s="750"/>
      <c r="R406" s="750"/>
      <c r="S406" s="750"/>
      <c r="T406" s="750"/>
      <c r="U406" s="750"/>
      <c r="V406" s="750"/>
    </row>
    <row r="407" spans="1:22">
      <c r="A407" s="53">
        <f t="shared" si="12"/>
        <v>12</v>
      </c>
      <c r="B407" s="53">
        <v>368</v>
      </c>
      <c r="C407" s="53">
        <v>3680</v>
      </c>
      <c r="D407" s="737" t="s">
        <v>649</v>
      </c>
      <c r="E407" s="61">
        <v>95562887</v>
      </c>
      <c r="F407" s="2283">
        <v>7900328</v>
      </c>
      <c r="G407" s="61">
        <v>619560</v>
      </c>
      <c r="H407" s="643">
        <v>0</v>
      </c>
      <c r="I407" s="750"/>
      <c r="J407" s="750"/>
      <c r="K407" s="748">
        <f t="shared" si="11"/>
        <v>102843655</v>
      </c>
      <c r="L407" s="61">
        <v>98810327</v>
      </c>
      <c r="M407" s="749"/>
      <c r="N407" s="749"/>
      <c r="O407" s="749"/>
      <c r="P407" s="749"/>
      <c r="Q407" s="750"/>
      <c r="R407" s="750"/>
      <c r="S407" s="750"/>
      <c r="T407" s="750"/>
      <c r="U407" s="750"/>
      <c r="V407" s="750"/>
    </row>
    <row r="408" spans="1:22">
      <c r="A408" s="53">
        <f t="shared" si="12"/>
        <v>13</v>
      </c>
      <c r="B408" s="53">
        <v>368</v>
      </c>
      <c r="C408" s="53">
        <v>3682</v>
      </c>
      <c r="D408" s="737" t="s">
        <v>650</v>
      </c>
      <c r="E408" s="61">
        <v>298348</v>
      </c>
      <c r="F408" s="2283">
        <v>24532</v>
      </c>
      <c r="G408" s="61">
        <v>0</v>
      </c>
      <c r="H408" s="643">
        <v>0</v>
      </c>
      <c r="I408" s="737"/>
      <c r="J408" s="737"/>
      <c r="K408" s="748">
        <f t="shared" si="11"/>
        <v>322880</v>
      </c>
      <c r="L408" s="61">
        <v>309394</v>
      </c>
      <c r="M408" s="749"/>
      <c r="N408" s="749"/>
      <c r="O408" s="749"/>
      <c r="P408" s="749"/>
      <c r="Q408" s="750"/>
      <c r="R408" s="750"/>
      <c r="S408" s="750"/>
      <c r="T408" s="750"/>
      <c r="U408" s="750"/>
      <c r="V408" s="750"/>
    </row>
    <row r="409" spans="1:22">
      <c r="A409" s="53">
        <f t="shared" si="12"/>
        <v>14</v>
      </c>
      <c r="B409" s="53">
        <v>369</v>
      </c>
      <c r="C409" s="53">
        <v>3691</v>
      </c>
      <c r="D409" s="737" t="s">
        <v>651</v>
      </c>
      <c r="E409" s="61">
        <v>3104886</v>
      </c>
      <c r="F409" s="2283">
        <v>255306</v>
      </c>
      <c r="G409" s="61">
        <v>0</v>
      </c>
      <c r="H409" s="643">
        <v>0</v>
      </c>
      <c r="I409" s="737"/>
      <c r="J409" s="737"/>
      <c r="K409" s="748">
        <f t="shared" si="11"/>
        <v>3360192</v>
      </c>
      <c r="L409" s="61">
        <v>3219840</v>
      </c>
      <c r="M409" s="749"/>
      <c r="N409" s="749"/>
      <c r="O409" s="749"/>
      <c r="P409" s="749"/>
      <c r="Q409" s="750"/>
      <c r="R409" s="750"/>
      <c r="S409" s="750"/>
      <c r="T409" s="750"/>
      <c r="U409" s="750"/>
      <c r="V409" s="750"/>
    </row>
    <row r="410" spans="1:22">
      <c r="A410" s="53">
        <f t="shared" si="12"/>
        <v>15</v>
      </c>
      <c r="B410" s="53">
        <v>369</v>
      </c>
      <c r="C410" s="53">
        <v>3692</v>
      </c>
      <c r="D410" s="737" t="s">
        <v>652</v>
      </c>
      <c r="E410" s="61">
        <v>19581015</v>
      </c>
      <c r="F410" s="2283">
        <v>1610216</v>
      </c>
      <c r="G410" s="61">
        <v>1800</v>
      </c>
      <c r="H410" s="643">
        <v>0</v>
      </c>
      <c r="I410" s="750"/>
      <c r="J410" s="750"/>
      <c r="K410" s="748">
        <f t="shared" si="11"/>
        <v>21189431</v>
      </c>
      <c r="L410" s="61">
        <v>20305135</v>
      </c>
      <c r="M410" s="749"/>
      <c r="N410" s="749"/>
      <c r="O410" s="749"/>
      <c r="P410" s="749"/>
      <c r="Q410" s="750"/>
      <c r="R410" s="750"/>
      <c r="S410" s="750"/>
      <c r="T410" s="750"/>
      <c r="U410" s="750"/>
      <c r="V410" s="750"/>
    </row>
    <row r="411" spans="1:22">
      <c r="A411" s="53">
        <f t="shared" si="12"/>
        <v>16</v>
      </c>
      <c r="B411" s="53">
        <v>370</v>
      </c>
      <c r="C411" s="53">
        <v>3700</v>
      </c>
      <c r="D411" s="737" t="s">
        <v>653</v>
      </c>
      <c r="E411" s="61">
        <v>4111688</v>
      </c>
      <c r="F411" s="2283">
        <v>338093</v>
      </c>
      <c r="G411" s="61">
        <v>0</v>
      </c>
      <c r="H411" s="643">
        <v>0</v>
      </c>
      <c r="I411" s="750"/>
      <c r="J411" s="749"/>
      <c r="K411" s="748">
        <f t="shared" si="11"/>
        <v>4449781</v>
      </c>
      <c r="L411" s="61">
        <v>4263919</v>
      </c>
      <c r="M411" s="749"/>
      <c r="N411" s="749"/>
      <c r="O411" s="749"/>
      <c r="P411" s="749"/>
      <c r="Q411" s="750"/>
      <c r="R411" s="750"/>
      <c r="S411" s="750"/>
      <c r="T411" s="750"/>
      <c r="U411" s="750"/>
      <c r="V411" s="750"/>
    </row>
    <row r="412" spans="1:22">
      <c r="A412" s="53">
        <f t="shared" si="12"/>
        <v>17</v>
      </c>
      <c r="B412" s="53">
        <v>370</v>
      </c>
      <c r="C412" s="1250">
        <v>3702</v>
      </c>
      <c r="D412" s="1131" t="s">
        <v>654</v>
      </c>
      <c r="E412" s="61">
        <v>30985468</v>
      </c>
      <c r="F412" s="2283">
        <v>2547850</v>
      </c>
      <c r="G412" s="61">
        <v>0</v>
      </c>
      <c r="H412" s="643">
        <v>0</v>
      </c>
      <c r="I412" s="750"/>
      <c r="J412" s="749"/>
      <c r="K412" s="748">
        <f t="shared" si="11"/>
        <v>33533318</v>
      </c>
      <c r="L412" s="61">
        <v>32132669</v>
      </c>
      <c r="M412" s="749"/>
      <c r="N412" s="749"/>
      <c r="O412" s="749"/>
      <c r="P412" s="749"/>
      <c r="Q412" s="750"/>
      <c r="R412" s="750"/>
      <c r="S412" s="750"/>
      <c r="T412" s="750"/>
      <c r="U412" s="750"/>
      <c r="V412" s="750"/>
    </row>
    <row r="413" spans="1:22">
      <c r="A413" s="53">
        <f t="shared" si="12"/>
        <v>18</v>
      </c>
      <c r="B413" s="53">
        <v>371</v>
      </c>
      <c r="C413" s="1250" t="s">
        <v>655</v>
      </c>
      <c r="D413" s="1131" t="s">
        <v>656</v>
      </c>
      <c r="E413" s="61">
        <v>1855937</v>
      </c>
      <c r="F413" s="2283">
        <v>154023</v>
      </c>
      <c r="G413" s="61">
        <v>20640</v>
      </c>
      <c r="H413" s="643">
        <v>0</v>
      </c>
      <c r="I413" s="750"/>
      <c r="J413" s="749"/>
      <c r="K413" s="748">
        <f t="shared" si="11"/>
        <v>1989320</v>
      </c>
      <c r="L413" s="61">
        <v>1914967</v>
      </c>
      <c r="M413" s="749"/>
      <c r="N413" s="749"/>
      <c r="O413" s="749"/>
      <c r="P413" s="749"/>
      <c r="Q413" s="750"/>
      <c r="R413" s="750"/>
      <c r="S413" s="750"/>
      <c r="T413" s="750"/>
      <c r="U413" s="750"/>
      <c r="V413" s="750"/>
    </row>
    <row r="414" spans="1:22">
      <c r="A414" s="53">
        <f t="shared" si="12"/>
        <v>19</v>
      </c>
      <c r="B414" s="53">
        <v>372</v>
      </c>
      <c r="C414" s="53">
        <v>3720</v>
      </c>
      <c r="D414" s="737" t="s">
        <v>657</v>
      </c>
      <c r="E414" s="61">
        <v>10518</v>
      </c>
      <c r="F414" s="2283">
        <v>865</v>
      </c>
      <c r="G414" s="61">
        <v>0</v>
      </c>
      <c r="H414" s="643">
        <v>0</v>
      </c>
      <c r="I414" s="750"/>
      <c r="J414" s="749"/>
      <c r="K414" s="748">
        <f t="shared" si="11"/>
        <v>11383</v>
      </c>
      <c r="L414" s="61">
        <v>10907</v>
      </c>
      <c r="M414" s="749"/>
      <c r="N414" s="749"/>
      <c r="O414" s="749"/>
      <c r="P414" s="749"/>
      <c r="Q414" s="750"/>
      <c r="R414" s="750"/>
      <c r="S414" s="750"/>
      <c r="T414" s="750"/>
      <c r="U414" s="750"/>
      <c r="V414" s="750"/>
    </row>
    <row r="415" spans="1:22">
      <c r="A415" s="53">
        <f t="shared" si="12"/>
        <v>20</v>
      </c>
      <c r="B415" s="53">
        <v>373</v>
      </c>
      <c r="C415" s="53">
        <v>3731</v>
      </c>
      <c r="D415" s="737" t="s">
        <v>658</v>
      </c>
      <c r="E415" s="61">
        <v>2731179</v>
      </c>
      <c r="F415" s="2283">
        <v>224618</v>
      </c>
      <c r="G415" s="61">
        <v>600</v>
      </c>
      <c r="H415" s="643">
        <v>0</v>
      </c>
      <c r="I415" s="750"/>
      <c r="J415" s="749"/>
      <c r="K415" s="748">
        <f t="shared" si="11"/>
        <v>2955197</v>
      </c>
      <c r="L415" s="61">
        <v>2832017</v>
      </c>
      <c r="M415" s="749"/>
      <c r="N415" s="749"/>
      <c r="O415" s="749"/>
      <c r="P415" s="749"/>
      <c r="Q415" s="750"/>
      <c r="R415" s="750"/>
      <c r="S415" s="750"/>
      <c r="T415" s="750"/>
      <c r="U415" s="750"/>
      <c r="V415" s="750"/>
    </row>
    <row r="416" spans="1:22">
      <c r="A416" s="53">
        <f t="shared" si="12"/>
        <v>21</v>
      </c>
      <c r="B416" s="53">
        <v>373</v>
      </c>
      <c r="C416" s="53">
        <v>3732</v>
      </c>
      <c r="D416" s="737" t="s">
        <v>659</v>
      </c>
      <c r="E416" s="61">
        <v>3741109</v>
      </c>
      <c r="F416" s="2283">
        <v>307621</v>
      </c>
      <c r="G416" s="61">
        <v>0</v>
      </c>
      <c r="H416" s="643">
        <v>0</v>
      </c>
      <c r="I416" s="750"/>
      <c r="J416" s="749"/>
      <c r="K416" s="748">
        <f t="shared" si="11"/>
        <v>4048730</v>
      </c>
      <c r="L416" s="61">
        <v>3879619</v>
      </c>
      <c r="M416" s="749"/>
      <c r="N416" s="749"/>
      <c r="O416" s="749"/>
      <c r="P416" s="749"/>
      <c r="Q416" s="750"/>
      <c r="R416" s="750"/>
      <c r="S416" s="750"/>
      <c r="T416" s="750"/>
      <c r="U416" s="750"/>
      <c r="V416" s="750"/>
    </row>
    <row r="417" spans="1:22">
      <c r="A417" s="53">
        <f t="shared" si="12"/>
        <v>22</v>
      </c>
      <c r="B417" s="53">
        <v>373</v>
      </c>
      <c r="C417" s="53">
        <v>3733</v>
      </c>
      <c r="D417" s="737" t="s">
        <v>660</v>
      </c>
      <c r="E417" s="61">
        <v>1735369</v>
      </c>
      <c r="F417" s="2283">
        <v>142695</v>
      </c>
      <c r="G417" s="61">
        <v>0</v>
      </c>
      <c r="H417" s="643">
        <v>0</v>
      </c>
      <c r="I417" s="750"/>
      <c r="J417" s="749"/>
      <c r="K417" s="748">
        <f t="shared" si="11"/>
        <v>1878064</v>
      </c>
      <c r="L417" s="61">
        <v>1799619</v>
      </c>
      <c r="M417" s="749"/>
      <c r="N417" s="749"/>
      <c r="O417" s="749"/>
      <c r="P417" s="749"/>
      <c r="Q417" s="750"/>
      <c r="R417" s="750"/>
      <c r="S417" s="750"/>
      <c r="T417" s="750"/>
      <c r="U417" s="750"/>
      <c r="V417" s="750"/>
    </row>
    <row r="418" spans="1:22">
      <c r="A418" s="53">
        <f t="shared" si="12"/>
        <v>23</v>
      </c>
      <c r="B418" s="53">
        <v>373</v>
      </c>
      <c r="C418" s="53">
        <v>3734</v>
      </c>
      <c r="D418" s="737" t="s">
        <v>661</v>
      </c>
      <c r="E418" s="61">
        <v>6350791</v>
      </c>
      <c r="F418" s="2283">
        <v>537930</v>
      </c>
      <c r="G418" s="61">
        <v>229440</v>
      </c>
      <c r="H418" s="643">
        <v>0</v>
      </c>
      <c r="I418" s="737"/>
      <c r="J418" s="2287"/>
      <c r="K418" s="748">
        <f t="shared" si="11"/>
        <v>6659281</v>
      </c>
      <c r="L418" s="61">
        <v>6478281</v>
      </c>
      <c r="M418" s="749"/>
      <c r="N418" s="749"/>
      <c r="O418" s="749"/>
      <c r="P418" s="749"/>
      <c r="Q418" s="750"/>
      <c r="R418" s="750"/>
      <c r="S418" s="750"/>
      <c r="T418" s="750"/>
      <c r="U418" s="750"/>
      <c r="V418" s="750"/>
    </row>
    <row r="419" spans="1:22">
      <c r="A419" s="53"/>
      <c r="B419" s="737"/>
      <c r="C419" s="737"/>
      <c r="D419" s="737" t="s">
        <v>617</v>
      </c>
      <c r="E419" s="61">
        <v>0</v>
      </c>
      <c r="F419" s="2283">
        <v>0</v>
      </c>
      <c r="G419" s="61">
        <v>0</v>
      </c>
      <c r="H419" s="643">
        <v>0</v>
      </c>
      <c r="I419" s="737"/>
      <c r="J419" s="2287"/>
      <c r="K419" s="748">
        <f t="shared" si="11"/>
        <v>0</v>
      </c>
      <c r="L419" s="61">
        <v>0</v>
      </c>
      <c r="M419" s="749"/>
      <c r="N419" s="749"/>
      <c r="O419" s="749"/>
      <c r="P419" s="749"/>
      <c r="Q419" s="750"/>
      <c r="R419" s="750"/>
      <c r="S419" s="750"/>
      <c r="T419" s="750"/>
      <c r="U419" s="750"/>
      <c r="V419" s="750"/>
    </row>
    <row r="420" spans="1:22">
      <c r="A420" s="750"/>
      <c r="B420" s="750"/>
      <c r="C420" s="750"/>
      <c r="D420" s="750"/>
      <c r="E420" s="748"/>
      <c r="F420" s="1163"/>
      <c r="G420" s="748"/>
      <c r="H420" s="748"/>
      <c r="I420" s="748"/>
      <c r="J420" s="748"/>
      <c r="K420" s="748"/>
      <c r="L420" s="748"/>
      <c r="M420" s="749"/>
      <c r="N420" s="749"/>
      <c r="O420" s="749"/>
      <c r="P420" s="750"/>
      <c r="Q420" s="750"/>
      <c r="R420" s="750"/>
      <c r="S420" s="750"/>
      <c r="T420" s="750"/>
      <c r="U420" s="750"/>
      <c r="V420" s="750"/>
    </row>
    <row r="421" spans="1:22">
      <c r="A421" s="2082"/>
      <c r="B421" s="2082"/>
      <c r="C421" s="2082"/>
      <c r="D421" s="2082"/>
      <c r="E421" s="2084"/>
      <c r="F421" s="2093"/>
      <c r="G421" s="2084"/>
      <c r="H421" s="2084"/>
      <c r="I421" s="2084"/>
      <c r="J421" s="2092"/>
      <c r="K421" s="2084"/>
      <c r="L421" s="2084"/>
      <c r="M421" s="749"/>
      <c r="N421" s="749"/>
      <c r="O421" s="749"/>
      <c r="P421" s="750"/>
      <c r="Q421" s="750"/>
      <c r="R421" s="750"/>
      <c r="S421" s="750"/>
      <c r="T421" s="750"/>
      <c r="U421" s="750"/>
      <c r="V421" s="750"/>
    </row>
    <row r="422" spans="1:22">
      <c r="A422" s="53">
        <f>A418+1</f>
        <v>24</v>
      </c>
      <c r="B422" s="750"/>
      <c r="C422" s="750"/>
      <c r="D422" s="737" t="s">
        <v>662</v>
      </c>
      <c r="E422" s="748">
        <f>SUM(E396:E419)</f>
        <v>779079347</v>
      </c>
      <c r="F422" s="748">
        <f>SUM(F396:F419)</f>
        <v>64135495</v>
      </c>
      <c r="G422" s="748">
        <f>SUM(G396:G419)</f>
        <v>1079040</v>
      </c>
      <c r="H422" s="748">
        <f>SUM(H396:H419)</f>
        <v>0</v>
      </c>
      <c r="I422" s="748"/>
      <c r="J422" s="749"/>
      <c r="K422" s="748">
        <f>SUM(K396:K419)</f>
        <v>842135802</v>
      </c>
      <c r="L422" s="748">
        <f>SUM(L396:L419)</f>
        <v>807417627</v>
      </c>
      <c r="M422" s="749"/>
      <c r="N422" s="749"/>
      <c r="O422" s="749"/>
      <c r="P422" s="750"/>
      <c r="Q422" s="750"/>
      <c r="R422" s="750"/>
      <c r="S422" s="750"/>
      <c r="T422" s="750"/>
      <c r="U422" s="750"/>
      <c r="V422" s="750"/>
    </row>
    <row r="423" spans="1:22">
      <c r="A423" s="750"/>
      <c r="B423" s="750"/>
      <c r="C423" s="750"/>
      <c r="D423" s="750"/>
      <c r="E423" s="748"/>
      <c r="F423" s="1163"/>
      <c r="G423" s="748"/>
      <c r="H423" s="748"/>
      <c r="I423" s="748"/>
      <c r="J423" s="748"/>
      <c r="K423" s="748"/>
      <c r="L423" s="748"/>
      <c r="M423" s="749"/>
      <c r="N423" s="749"/>
      <c r="O423" s="749"/>
      <c r="P423" s="750"/>
      <c r="Q423" s="750"/>
      <c r="R423" s="750"/>
      <c r="S423" s="750"/>
      <c r="T423" s="750"/>
      <c r="U423" s="750"/>
      <c r="V423" s="750"/>
    </row>
    <row r="424" spans="1:22">
      <c r="A424" s="2082"/>
      <c r="B424" s="2082"/>
      <c r="C424" s="2082"/>
      <c r="D424" s="2082"/>
      <c r="E424" s="2084"/>
      <c r="F424" s="2084"/>
      <c r="G424" s="2084"/>
      <c r="H424" s="2084"/>
      <c r="I424" s="2092"/>
      <c r="J424" s="2092"/>
      <c r="K424" s="2084"/>
      <c r="L424" s="2084"/>
      <c r="M424" s="749"/>
      <c r="N424" s="749"/>
      <c r="O424" s="749"/>
      <c r="P424" s="750"/>
      <c r="Q424" s="750"/>
      <c r="R424" s="750"/>
      <c r="S424" s="750"/>
      <c r="T424" s="750"/>
      <c r="U424" s="750"/>
      <c r="V424" s="750"/>
    </row>
    <row r="425" spans="1:22">
      <c r="A425" s="737"/>
      <c r="B425" s="750"/>
      <c r="C425" s="750"/>
      <c r="D425" s="750"/>
      <c r="E425" s="750"/>
      <c r="F425" s="750"/>
      <c r="G425" s="750"/>
      <c r="H425" s="750"/>
      <c r="I425" s="750"/>
      <c r="J425" s="750"/>
      <c r="K425" s="750"/>
      <c r="L425" s="750"/>
      <c r="M425" s="749"/>
      <c r="N425" s="749"/>
      <c r="O425" s="749"/>
      <c r="P425" s="750"/>
      <c r="Q425" s="750"/>
      <c r="R425" s="750"/>
      <c r="S425" s="750"/>
      <c r="T425" s="750"/>
      <c r="U425" s="750"/>
      <c r="V425" s="750"/>
    </row>
    <row r="426" spans="1:22">
      <c r="A426" s="59" t="str">
        <f>A258</f>
        <v>DUKE ENERGY KENTUCKY, INC.</v>
      </c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749"/>
      <c r="N426" s="749"/>
      <c r="O426" s="749"/>
      <c r="P426" s="750"/>
      <c r="Q426" s="750"/>
      <c r="R426" s="750"/>
      <c r="S426" s="750"/>
      <c r="T426" s="750"/>
      <c r="U426" s="750"/>
      <c r="V426" s="750"/>
    </row>
    <row r="427" spans="1:22">
      <c r="A427" s="59" t="str">
        <f>A259</f>
        <v>CASE NO. 2024-00354</v>
      </c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749"/>
      <c r="N427" s="749"/>
      <c r="O427" s="749"/>
      <c r="P427" s="750"/>
      <c r="Q427" s="750"/>
      <c r="R427" s="750"/>
      <c r="S427" s="750"/>
      <c r="T427" s="750"/>
      <c r="U427" s="750"/>
      <c r="V427" s="750"/>
    </row>
    <row r="428" spans="1:22">
      <c r="A428" s="59" t="str">
        <f>A260</f>
        <v>GROSS ADDITIONS, RETIREMENTS, AND TRANSFERS</v>
      </c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749"/>
      <c r="N428" s="749"/>
      <c r="O428" s="749"/>
      <c r="P428" s="750"/>
      <c r="Q428" s="750"/>
      <c r="R428" s="750"/>
      <c r="S428" s="750"/>
      <c r="T428" s="750"/>
      <c r="U428" s="750"/>
      <c r="V428" s="750"/>
    </row>
    <row r="429" spans="1:22">
      <c r="A429" s="59" t="str">
        <f>$A$261</f>
        <v>FROM JULY 1, 2025 TO JUNE 30, 2026</v>
      </c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749"/>
      <c r="N429" s="749"/>
      <c r="O429" s="749"/>
      <c r="P429" s="750"/>
      <c r="Q429" s="750"/>
      <c r="R429" s="750"/>
      <c r="S429" s="750"/>
      <c r="T429" s="750"/>
      <c r="U429" s="750"/>
      <c r="V429" s="750"/>
    </row>
    <row r="430" spans="1:22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749"/>
      <c r="N430" s="749"/>
      <c r="O430" s="749"/>
      <c r="P430" s="750"/>
      <c r="Q430" s="750"/>
      <c r="R430" s="750"/>
      <c r="S430" s="750"/>
      <c r="T430" s="750"/>
      <c r="U430" s="750"/>
      <c r="V430" s="750"/>
    </row>
    <row r="431" spans="1:22">
      <c r="A431" s="59" t="s">
        <v>663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749"/>
      <c r="N431" s="749"/>
      <c r="O431" s="749"/>
      <c r="P431" s="750"/>
      <c r="Q431" s="750"/>
      <c r="R431" s="750"/>
      <c r="S431" s="750"/>
      <c r="T431" s="750"/>
      <c r="U431" s="750"/>
      <c r="V431" s="750"/>
    </row>
    <row r="432" spans="1:22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749"/>
      <c r="N432" s="749"/>
      <c r="O432" s="749"/>
      <c r="P432" s="750"/>
      <c r="Q432" s="750"/>
      <c r="R432" s="750"/>
      <c r="S432" s="750"/>
      <c r="T432" s="750"/>
      <c r="U432" s="750"/>
      <c r="V432" s="750"/>
    </row>
    <row r="433" spans="1:22">
      <c r="A433" s="1148" t="s">
        <v>529</v>
      </c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749"/>
      <c r="N433" s="749"/>
      <c r="O433" s="749"/>
      <c r="P433" s="750"/>
      <c r="Q433" s="750"/>
      <c r="R433" s="750"/>
      <c r="S433" s="750"/>
      <c r="T433" s="750"/>
      <c r="U433" s="750"/>
      <c r="V433" s="750"/>
    </row>
    <row r="434" spans="1:22">
      <c r="A434" s="1148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749"/>
      <c r="N434" s="749"/>
      <c r="O434" s="749"/>
      <c r="P434" s="750"/>
      <c r="Q434" s="750"/>
      <c r="R434" s="750"/>
      <c r="S434" s="750"/>
      <c r="T434" s="750"/>
      <c r="U434" s="750"/>
      <c r="V434" s="750"/>
    </row>
    <row r="435" spans="1:22">
      <c r="A435" s="737" t="str">
        <f>DataF</f>
        <v>DATA:  BASE PERIOD  "X" FORECASTED PERIOD</v>
      </c>
      <c r="B435" s="750"/>
      <c r="C435" s="750"/>
      <c r="D435" s="750"/>
      <c r="E435" s="750"/>
      <c r="F435" s="750"/>
      <c r="G435" s="750"/>
      <c r="H435" s="750"/>
      <c r="I435" s="750"/>
      <c r="K435" s="737" t="str">
        <f>K267</f>
        <v>SCHEDULE B-2.3</v>
      </c>
      <c r="L435" s="750"/>
      <c r="M435" s="749"/>
      <c r="N435" s="749"/>
      <c r="O435" s="749"/>
      <c r="P435" s="750"/>
      <c r="Q435" s="750"/>
      <c r="R435" s="750"/>
      <c r="S435" s="750"/>
      <c r="T435" s="750"/>
      <c r="U435" s="750"/>
      <c r="V435" s="750"/>
    </row>
    <row r="436" spans="1:22">
      <c r="A436" s="737" t="str">
        <f>A268</f>
        <v xml:space="preserve">TYPE OF FILING:  "X" ORIGINAL   UPDATED    REVISED  </v>
      </c>
      <c r="B436" s="750"/>
      <c r="C436" s="750"/>
      <c r="D436" s="750"/>
      <c r="E436" s="750"/>
      <c r="F436" s="750"/>
      <c r="G436" s="750"/>
      <c r="H436" s="750"/>
      <c r="I436" s="750"/>
      <c r="K436" s="737" t="s">
        <v>689</v>
      </c>
      <c r="L436" s="750"/>
      <c r="M436" s="749"/>
      <c r="N436" s="749"/>
      <c r="O436" s="749"/>
      <c r="P436" s="750"/>
      <c r="Q436" s="750"/>
      <c r="R436" s="750"/>
      <c r="S436" s="750"/>
      <c r="T436" s="750"/>
      <c r="U436" s="750"/>
      <c r="V436" s="750"/>
    </row>
    <row r="437" spans="1:22">
      <c r="A437" s="737" t="str">
        <f>A269</f>
        <v xml:space="preserve">WORK PAPER REFERENCE NO(S).: </v>
      </c>
      <c r="B437" s="750"/>
      <c r="C437" s="750"/>
      <c r="D437" s="750"/>
      <c r="E437" s="750"/>
      <c r="F437" s="750"/>
      <c r="G437" s="750"/>
      <c r="H437" s="750"/>
      <c r="I437" s="750"/>
      <c r="K437" s="750" t="s">
        <v>468</v>
      </c>
      <c r="L437" s="750"/>
      <c r="M437" s="749"/>
      <c r="N437" s="749"/>
      <c r="O437" s="749"/>
      <c r="P437" s="750"/>
      <c r="Q437" s="750"/>
      <c r="R437" s="750"/>
      <c r="S437" s="750"/>
      <c r="T437" s="750"/>
      <c r="U437" s="750"/>
      <c r="V437" s="750"/>
    </row>
    <row r="438" spans="1:22">
      <c r="A438" s="750"/>
      <c r="B438" s="750"/>
      <c r="C438" s="750"/>
      <c r="D438" s="750"/>
      <c r="E438" s="750"/>
      <c r="F438" s="750"/>
      <c r="G438" s="750"/>
      <c r="H438" s="750"/>
      <c r="I438" s="750"/>
      <c r="K438" s="750" t="str">
        <f>K270</f>
        <v>G. S. CARPENTER / S. S. MITCHELL</v>
      </c>
      <c r="L438" s="750"/>
      <c r="M438" s="749"/>
      <c r="N438" s="749"/>
      <c r="O438" s="749"/>
      <c r="P438" s="750"/>
      <c r="Q438" s="750"/>
      <c r="R438" s="750"/>
      <c r="S438" s="750"/>
      <c r="T438" s="750"/>
      <c r="U438" s="750"/>
      <c r="V438" s="750"/>
    </row>
    <row r="439" spans="1:22">
      <c r="A439" s="750"/>
      <c r="B439" s="750"/>
      <c r="C439" s="750"/>
      <c r="D439" s="750"/>
      <c r="E439" s="750"/>
      <c r="F439" s="750"/>
      <c r="G439" s="750"/>
      <c r="H439" s="750"/>
      <c r="I439" s="750"/>
      <c r="J439" s="750"/>
      <c r="K439" s="750"/>
      <c r="L439" s="750"/>
      <c r="M439" s="749"/>
      <c r="N439" s="749"/>
      <c r="O439" s="749"/>
      <c r="P439" s="750"/>
      <c r="Q439" s="750"/>
      <c r="R439" s="750"/>
      <c r="S439" s="750"/>
      <c r="T439" s="750"/>
      <c r="U439" s="750"/>
      <c r="V439" s="750"/>
    </row>
    <row r="440" spans="1:22">
      <c r="A440" s="750"/>
      <c r="B440" s="750"/>
      <c r="C440" s="750"/>
      <c r="D440" s="750"/>
      <c r="E440" s="750"/>
      <c r="F440" s="750"/>
      <c r="G440" s="750"/>
      <c r="H440" s="1443"/>
      <c r="I440" s="750"/>
      <c r="J440" s="750"/>
      <c r="K440" s="750"/>
      <c r="L440" s="750"/>
      <c r="M440" s="749"/>
      <c r="N440" s="749"/>
      <c r="O440" s="749"/>
      <c r="P440" s="750"/>
      <c r="Q440" s="750"/>
      <c r="R440" s="750"/>
      <c r="S440" s="750"/>
      <c r="T440" s="750"/>
      <c r="U440" s="750"/>
      <c r="V440" s="750"/>
    </row>
    <row r="441" spans="1:22">
      <c r="A441" s="2082"/>
      <c r="B441" s="2082"/>
      <c r="C441" s="2085"/>
      <c r="D441" s="2082"/>
      <c r="E441" s="2082"/>
      <c r="F441" s="2082"/>
      <c r="G441" s="2082"/>
      <c r="H441" s="780"/>
      <c r="I441" s="2082"/>
      <c r="J441" s="2082"/>
      <c r="K441" s="2082"/>
      <c r="L441" s="2082"/>
      <c r="M441" s="749"/>
      <c r="N441" s="749"/>
      <c r="O441" s="749"/>
      <c r="P441" s="750"/>
      <c r="Q441" s="750"/>
      <c r="R441" s="750"/>
      <c r="S441" s="750"/>
      <c r="T441" s="750"/>
      <c r="U441" s="750"/>
      <c r="V441" s="750"/>
    </row>
    <row r="442" spans="1:22">
      <c r="A442" s="750"/>
      <c r="B442" s="53" t="s">
        <v>257</v>
      </c>
      <c r="C442" s="53" t="s">
        <v>605</v>
      </c>
      <c r="D442" s="750"/>
      <c r="E442" s="750"/>
      <c r="F442" s="750"/>
      <c r="G442" s="750"/>
      <c r="H442" s="1451" t="s">
        <v>708</v>
      </c>
      <c r="I442" s="1451"/>
      <c r="J442" s="1451"/>
      <c r="K442" s="750"/>
      <c r="L442" s="750"/>
      <c r="M442" s="749"/>
      <c r="N442" s="749"/>
      <c r="O442" s="749"/>
      <c r="P442" s="750"/>
      <c r="Q442" s="750"/>
      <c r="R442" s="750"/>
      <c r="S442" s="750"/>
      <c r="T442" s="750"/>
      <c r="U442" s="750"/>
      <c r="V442" s="750"/>
    </row>
    <row r="443" spans="1:22">
      <c r="A443" s="53" t="s">
        <v>573</v>
      </c>
      <c r="B443" s="53" t="s">
        <v>606</v>
      </c>
      <c r="C443" s="53" t="s">
        <v>606</v>
      </c>
      <c r="D443" s="53" t="s">
        <v>255</v>
      </c>
      <c r="E443" s="53" t="s">
        <v>709</v>
      </c>
      <c r="F443" s="750"/>
      <c r="G443" s="750"/>
      <c r="H443" s="2082"/>
      <c r="I443" s="2089" t="s">
        <v>710</v>
      </c>
      <c r="J443" s="2089" t="s">
        <v>711</v>
      </c>
      <c r="K443" s="53" t="s">
        <v>712</v>
      </c>
      <c r="L443" s="53" t="s">
        <v>591</v>
      </c>
      <c r="M443" s="749"/>
      <c r="N443" s="749"/>
      <c r="O443" s="749"/>
      <c r="P443" s="750"/>
      <c r="Q443" s="750"/>
      <c r="R443" s="750"/>
      <c r="S443" s="750"/>
      <c r="T443" s="750"/>
      <c r="U443" s="750"/>
      <c r="V443" s="750"/>
    </row>
    <row r="444" spans="1:22">
      <c r="A444" s="53" t="s">
        <v>576</v>
      </c>
      <c r="B444" s="53" t="s">
        <v>576</v>
      </c>
      <c r="C444" s="53" t="s">
        <v>576</v>
      </c>
      <c r="D444" s="53" t="s">
        <v>713</v>
      </c>
      <c r="E444" s="53" t="s">
        <v>556</v>
      </c>
      <c r="F444" s="53" t="s">
        <v>714</v>
      </c>
      <c r="G444" s="53" t="s">
        <v>715</v>
      </c>
      <c r="H444" s="53" t="s">
        <v>419</v>
      </c>
      <c r="I444" s="53" t="s">
        <v>716</v>
      </c>
      <c r="J444" s="53" t="s">
        <v>717</v>
      </c>
      <c r="K444" s="53" t="s">
        <v>556</v>
      </c>
      <c r="L444" s="53" t="s">
        <v>592</v>
      </c>
      <c r="M444" s="749"/>
      <c r="N444" s="749"/>
      <c r="O444" s="749"/>
      <c r="P444" s="750"/>
      <c r="Q444" s="750"/>
      <c r="R444" s="750"/>
      <c r="S444" s="750"/>
      <c r="T444" s="750"/>
      <c r="U444" s="750"/>
      <c r="V444" s="750"/>
    </row>
    <row r="445" spans="1:22">
      <c r="A445" s="750"/>
      <c r="B445" s="750"/>
      <c r="C445" s="750"/>
      <c r="D445" s="750"/>
      <c r="E445" s="750"/>
      <c r="F445" s="750"/>
      <c r="G445" s="750"/>
      <c r="H445" s="750"/>
      <c r="I445" s="750"/>
      <c r="J445" s="750"/>
      <c r="K445" s="750"/>
      <c r="L445" s="750"/>
      <c r="M445" s="749"/>
      <c r="N445" s="749"/>
      <c r="O445" s="749"/>
      <c r="P445" s="750"/>
      <c r="Q445" s="750"/>
      <c r="R445" s="750"/>
      <c r="S445" s="750"/>
      <c r="T445" s="750"/>
      <c r="U445" s="750"/>
      <c r="V445" s="750"/>
    </row>
    <row r="446" spans="1:22">
      <c r="A446" s="2082"/>
      <c r="B446" s="2082"/>
      <c r="C446" s="2082"/>
      <c r="D446" s="2082"/>
      <c r="E446" s="2089" t="s">
        <v>580</v>
      </c>
      <c r="F446" s="2089" t="s">
        <v>580</v>
      </c>
      <c r="G446" s="2089" t="s">
        <v>580</v>
      </c>
      <c r="H446" s="2089" t="s">
        <v>580</v>
      </c>
      <c r="I446" s="2082"/>
      <c r="J446" s="2082"/>
      <c r="K446" s="2089" t="s">
        <v>580</v>
      </c>
      <c r="L446" s="2089" t="s">
        <v>580</v>
      </c>
      <c r="M446" s="749"/>
      <c r="N446" s="749"/>
      <c r="O446" s="749"/>
      <c r="P446" s="750"/>
      <c r="Q446" s="750"/>
      <c r="R446" s="750"/>
      <c r="S446" s="750"/>
      <c r="T446" s="750"/>
      <c r="U446" s="750"/>
      <c r="V446" s="750"/>
    </row>
    <row r="447" spans="1:22">
      <c r="A447" s="52"/>
      <c r="B447" s="52"/>
      <c r="C447" s="52"/>
      <c r="D447" s="52"/>
      <c r="E447" s="56"/>
      <c r="F447" s="56"/>
      <c r="G447" s="56"/>
      <c r="H447" s="56"/>
      <c r="I447" s="52"/>
      <c r="J447" s="52"/>
      <c r="K447" s="56"/>
      <c r="L447" s="56"/>
      <c r="M447" s="749"/>
      <c r="N447" s="749"/>
      <c r="O447" s="749"/>
      <c r="P447" s="750"/>
      <c r="Q447" s="750"/>
      <c r="R447" s="750"/>
      <c r="S447" s="750"/>
      <c r="T447" s="750"/>
      <c r="U447" s="750"/>
      <c r="V447" s="750"/>
    </row>
    <row r="448" spans="1:22">
      <c r="A448" s="53">
        <v>1</v>
      </c>
      <c r="B448" s="53">
        <v>303</v>
      </c>
      <c r="C448" s="53">
        <v>3030</v>
      </c>
      <c r="D448" s="737" t="s">
        <v>665</v>
      </c>
      <c r="E448" s="61">
        <v>51993446</v>
      </c>
      <c r="F448" s="1157">
        <v>10951231</v>
      </c>
      <c r="G448" s="61">
        <v>0</v>
      </c>
      <c r="H448" s="61">
        <v>0</v>
      </c>
      <c r="I448" s="748"/>
      <c r="J448" s="748"/>
      <c r="K448" s="748">
        <f t="shared" ref="K448:K457" si="13">E448+F448-G448+H448</f>
        <v>62944677</v>
      </c>
      <c r="L448" s="2288">
        <v>57142504</v>
      </c>
      <c r="M448" s="749"/>
      <c r="N448" s="749"/>
      <c r="O448" s="749"/>
      <c r="P448" s="749"/>
      <c r="Q448" s="750"/>
      <c r="R448" s="750"/>
      <c r="S448" s="750"/>
      <c r="T448" s="750"/>
      <c r="U448" s="750"/>
      <c r="V448" s="750"/>
    </row>
    <row r="449" spans="1:22">
      <c r="A449" s="53">
        <v>2</v>
      </c>
      <c r="B449" s="53">
        <v>390</v>
      </c>
      <c r="C449" s="53">
        <v>3900</v>
      </c>
      <c r="D449" s="737" t="s">
        <v>609</v>
      </c>
      <c r="E449" s="61">
        <v>237155</v>
      </c>
      <c r="F449" s="61">
        <v>49846</v>
      </c>
      <c r="G449" s="61">
        <v>-600</v>
      </c>
      <c r="H449" s="61">
        <v>0</v>
      </c>
      <c r="I449" s="1165"/>
      <c r="J449" s="1165"/>
      <c r="K449" s="748">
        <f t="shared" si="13"/>
        <v>287601</v>
      </c>
      <c r="L449" s="2288">
        <v>260891</v>
      </c>
      <c r="M449" s="749"/>
      <c r="N449" s="749"/>
      <c r="O449" s="749"/>
      <c r="P449" s="749"/>
      <c r="Q449" s="750"/>
      <c r="R449" s="750"/>
      <c r="S449" s="750"/>
      <c r="T449" s="750"/>
      <c r="U449" s="750"/>
      <c r="V449" s="750"/>
    </row>
    <row r="450" spans="1:22">
      <c r="A450" s="53">
        <v>3</v>
      </c>
      <c r="B450" s="53">
        <v>391</v>
      </c>
      <c r="C450" s="53">
        <v>3910</v>
      </c>
      <c r="D450" s="737" t="s">
        <v>666</v>
      </c>
      <c r="E450" s="61">
        <v>532383</v>
      </c>
      <c r="F450" s="61">
        <v>112134</v>
      </c>
      <c r="G450" s="61">
        <v>0</v>
      </c>
      <c r="H450" s="61">
        <v>0</v>
      </c>
      <c r="I450" s="1165"/>
      <c r="J450" s="1165"/>
      <c r="K450" s="748">
        <f t="shared" si="13"/>
        <v>644517</v>
      </c>
      <c r="L450" s="2288">
        <v>585107</v>
      </c>
      <c r="M450" s="749"/>
      <c r="N450" s="749"/>
      <c r="O450" s="749"/>
      <c r="P450" s="749"/>
      <c r="Q450" s="750"/>
      <c r="R450" s="750"/>
      <c r="S450" s="750"/>
      <c r="T450" s="750"/>
      <c r="U450" s="750"/>
      <c r="V450" s="750"/>
    </row>
    <row r="451" spans="1:22">
      <c r="A451" s="53">
        <v>4</v>
      </c>
      <c r="B451" s="53">
        <v>391</v>
      </c>
      <c r="C451" s="53">
        <v>3911</v>
      </c>
      <c r="D451" s="737" t="s">
        <v>667</v>
      </c>
      <c r="E451" s="61">
        <v>7114065</v>
      </c>
      <c r="F451" s="61">
        <v>1612175</v>
      </c>
      <c r="G451" s="61">
        <v>648120</v>
      </c>
      <c r="H451" s="61">
        <v>0</v>
      </c>
      <c r="I451" s="748"/>
      <c r="J451" s="748"/>
      <c r="K451" s="748">
        <f t="shared" si="13"/>
        <v>8078120</v>
      </c>
      <c r="L451" s="2288">
        <v>7548018</v>
      </c>
      <c r="M451" s="749"/>
      <c r="N451" s="749"/>
      <c r="O451" s="749"/>
      <c r="P451" s="749"/>
      <c r="Q451" s="750"/>
      <c r="R451" s="750"/>
      <c r="S451" s="750"/>
      <c r="T451" s="750"/>
      <c r="U451" s="750"/>
      <c r="V451" s="750"/>
    </row>
    <row r="452" spans="1:22">
      <c r="A452" s="53">
        <v>5</v>
      </c>
      <c r="B452" s="53">
        <v>392</v>
      </c>
      <c r="C452" s="53">
        <v>3920</v>
      </c>
      <c r="D452" s="737" t="s">
        <v>668</v>
      </c>
      <c r="E452" s="61">
        <v>1322943</v>
      </c>
      <c r="F452" s="61">
        <v>278648</v>
      </c>
      <c r="G452" s="61">
        <v>0</v>
      </c>
      <c r="H452" s="61">
        <v>0</v>
      </c>
      <c r="I452" s="748"/>
      <c r="J452" s="748"/>
      <c r="K452" s="748">
        <f t="shared" si="13"/>
        <v>1601591</v>
      </c>
      <c r="L452" s="2288">
        <v>1453958</v>
      </c>
      <c r="M452" s="749"/>
      <c r="N452" s="749"/>
      <c r="O452" s="749"/>
      <c r="P452" s="749"/>
      <c r="Q452" s="750"/>
      <c r="R452" s="750"/>
      <c r="S452" s="750"/>
      <c r="T452" s="750"/>
      <c r="U452" s="750"/>
      <c r="V452" s="750"/>
    </row>
    <row r="453" spans="1:22">
      <c r="A453" s="53">
        <v>6</v>
      </c>
      <c r="B453" s="53">
        <v>392</v>
      </c>
      <c r="C453" s="53">
        <v>3921</v>
      </c>
      <c r="D453" s="737" t="s">
        <v>669</v>
      </c>
      <c r="E453" s="61">
        <v>389411</v>
      </c>
      <c r="F453" s="61">
        <v>82020</v>
      </c>
      <c r="G453" s="61">
        <v>0</v>
      </c>
      <c r="H453" s="61">
        <v>0</v>
      </c>
      <c r="I453" s="1165"/>
      <c r="J453" s="1165"/>
      <c r="K453" s="748">
        <f t="shared" si="13"/>
        <v>471431</v>
      </c>
      <c r="L453" s="2288">
        <v>427975</v>
      </c>
      <c r="M453" s="749"/>
      <c r="N453" s="749"/>
      <c r="O453" s="749"/>
      <c r="P453" s="749"/>
      <c r="Q453" s="750"/>
      <c r="R453" s="750"/>
      <c r="S453" s="750"/>
      <c r="T453" s="750"/>
      <c r="U453" s="750"/>
      <c r="V453" s="750"/>
    </row>
    <row r="454" spans="1:22">
      <c r="A454" s="53">
        <v>7</v>
      </c>
      <c r="B454" s="53">
        <v>394</v>
      </c>
      <c r="C454" s="53">
        <v>3940</v>
      </c>
      <c r="D454" s="737" t="s">
        <v>670</v>
      </c>
      <c r="E454" s="61">
        <v>5870865</v>
      </c>
      <c r="F454" s="61">
        <v>1237911</v>
      </c>
      <c r="G454" s="61">
        <v>7680</v>
      </c>
      <c r="H454" s="61">
        <v>0</v>
      </c>
      <c r="I454" s="748"/>
      <c r="J454" s="748"/>
      <c r="K454" s="748">
        <f t="shared" si="13"/>
        <v>7101096</v>
      </c>
      <c r="L454" s="2288">
        <v>6449067</v>
      </c>
      <c r="M454" s="749"/>
      <c r="N454" s="749"/>
      <c r="O454" s="749"/>
      <c r="P454" s="749"/>
      <c r="Q454" s="750"/>
      <c r="R454" s="750"/>
      <c r="S454" s="750"/>
      <c r="T454" s="750"/>
      <c r="U454" s="750"/>
      <c r="V454" s="750"/>
    </row>
    <row r="455" spans="1:22">
      <c r="A455" s="53">
        <v>8</v>
      </c>
      <c r="B455" s="53">
        <v>396</v>
      </c>
      <c r="C455" s="53">
        <v>3960</v>
      </c>
      <c r="D455" s="737" t="s">
        <v>671</v>
      </c>
      <c r="E455" s="61">
        <v>16846</v>
      </c>
      <c r="F455" s="61">
        <v>3548</v>
      </c>
      <c r="G455" s="61">
        <v>0</v>
      </c>
      <c r="H455" s="61">
        <v>0</v>
      </c>
      <c r="I455" s="748"/>
      <c r="J455" s="748"/>
      <c r="K455" s="748">
        <f t="shared" si="13"/>
        <v>20394</v>
      </c>
      <c r="L455" s="2288">
        <v>18515</v>
      </c>
      <c r="M455" s="749"/>
      <c r="N455" s="749"/>
      <c r="O455" s="749"/>
      <c r="P455" s="749"/>
      <c r="Q455" s="750"/>
      <c r="R455" s="750"/>
      <c r="S455" s="750"/>
      <c r="T455" s="750"/>
      <c r="U455" s="750"/>
      <c r="V455" s="750"/>
    </row>
    <row r="456" spans="1:22">
      <c r="A456" s="53">
        <v>9</v>
      </c>
      <c r="B456" s="53">
        <v>397</v>
      </c>
      <c r="C456" s="53">
        <v>3970</v>
      </c>
      <c r="D456" s="737" t="s">
        <v>672</v>
      </c>
      <c r="E456" s="61">
        <v>30795505</v>
      </c>
      <c r="F456" s="61">
        <v>6505199</v>
      </c>
      <c r="G456" s="61">
        <v>107280</v>
      </c>
      <c r="H456" s="61">
        <v>0</v>
      </c>
      <c r="I456" s="748"/>
      <c r="J456" s="748"/>
      <c r="K456" s="748">
        <f t="shared" si="13"/>
        <v>37193424</v>
      </c>
      <c r="L456" s="2288">
        <v>33800485</v>
      </c>
      <c r="M456" s="749"/>
      <c r="N456" s="749"/>
      <c r="O456" s="749"/>
      <c r="P456" s="749"/>
      <c r="Q456" s="750"/>
      <c r="R456" s="750"/>
      <c r="S456" s="750"/>
      <c r="T456" s="750"/>
      <c r="U456" s="750"/>
      <c r="V456" s="750"/>
    </row>
    <row r="457" spans="1:22">
      <c r="A457" s="53">
        <v>10</v>
      </c>
      <c r="B457" s="737"/>
      <c r="C457" s="737"/>
      <c r="D457" s="737" t="s">
        <v>617</v>
      </c>
      <c r="E457" s="61">
        <v>0</v>
      </c>
      <c r="F457" s="1157">
        <v>0</v>
      </c>
      <c r="G457" s="1157">
        <v>0</v>
      </c>
      <c r="H457" s="1157">
        <v>0</v>
      </c>
      <c r="I457" s="748"/>
      <c r="J457" s="748"/>
      <c r="K457" s="748">
        <f t="shared" si="13"/>
        <v>0</v>
      </c>
      <c r="L457" s="2288">
        <v>0</v>
      </c>
      <c r="M457" s="749"/>
      <c r="N457" s="749"/>
      <c r="O457" s="749"/>
      <c r="P457" s="749"/>
      <c r="Q457" s="750"/>
      <c r="R457" s="750"/>
      <c r="S457" s="750"/>
      <c r="T457" s="750"/>
      <c r="U457" s="750"/>
      <c r="V457" s="750"/>
    </row>
    <row r="458" spans="1:22">
      <c r="A458" s="750"/>
      <c r="B458" s="750"/>
      <c r="C458" s="750"/>
      <c r="D458" s="750"/>
      <c r="E458" s="748"/>
      <c r="F458" s="748"/>
      <c r="G458" s="748"/>
      <c r="H458" s="748"/>
      <c r="I458" s="748"/>
      <c r="J458" s="748"/>
      <c r="K458" s="748"/>
      <c r="L458" s="748"/>
      <c r="M458" s="749"/>
      <c r="N458" s="749"/>
      <c r="O458" s="749"/>
      <c r="P458" s="750"/>
      <c r="Q458" s="750"/>
      <c r="R458" s="750"/>
      <c r="S458" s="750"/>
      <c r="T458" s="750"/>
      <c r="U458" s="750"/>
      <c r="V458" s="750"/>
    </row>
    <row r="459" spans="1:22">
      <c r="A459" s="750"/>
      <c r="B459" s="750"/>
      <c r="C459" s="750"/>
      <c r="D459" s="750"/>
      <c r="E459" s="750"/>
      <c r="F459" s="750"/>
      <c r="G459" s="750"/>
      <c r="H459" s="750"/>
      <c r="I459" s="750"/>
      <c r="J459" s="750"/>
      <c r="K459" s="748"/>
      <c r="L459" s="748"/>
      <c r="M459" s="749"/>
      <c r="N459" s="749"/>
      <c r="O459" s="749"/>
      <c r="P459" s="750"/>
      <c r="Q459" s="750"/>
      <c r="R459" s="750"/>
      <c r="S459" s="750"/>
      <c r="T459" s="750"/>
      <c r="U459" s="750"/>
      <c r="V459" s="750"/>
    </row>
    <row r="460" spans="1:22">
      <c r="A460" s="2082"/>
      <c r="B460" s="2082"/>
      <c r="C460" s="2082"/>
      <c r="D460" s="2082"/>
      <c r="E460" s="2084"/>
      <c r="F460" s="2084"/>
      <c r="G460" s="2084"/>
      <c r="H460" s="2084"/>
      <c r="I460" s="2092"/>
      <c r="J460" s="2092"/>
      <c r="K460" s="2084"/>
      <c r="L460" s="2084"/>
      <c r="M460" s="749"/>
      <c r="N460" s="749"/>
      <c r="O460" s="749"/>
      <c r="P460" s="750"/>
      <c r="Q460" s="750"/>
      <c r="R460" s="750"/>
      <c r="S460" s="750"/>
      <c r="T460" s="750"/>
      <c r="U460" s="750"/>
      <c r="V460" s="750"/>
    </row>
    <row r="461" spans="1:22">
      <c r="A461" s="53">
        <v>11</v>
      </c>
      <c r="B461" s="750"/>
      <c r="C461" s="750"/>
      <c r="D461" s="737" t="s">
        <v>673</v>
      </c>
      <c r="E461" s="748">
        <f>SUM(E448:E457)</f>
        <v>98272619</v>
      </c>
      <c r="F461" s="748">
        <f>SUM(F448:F457)</f>
        <v>20832712</v>
      </c>
      <c r="G461" s="748">
        <f>SUM(G448:G457)</f>
        <v>762480</v>
      </c>
      <c r="H461" s="748">
        <f>SUM(H448:H457)</f>
        <v>0</v>
      </c>
      <c r="I461" s="749"/>
      <c r="J461" s="749"/>
      <c r="K461" s="748">
        <f>SUM(K448:K457)</f>
        <v>118342851</v>
      </c>
      <c r="L461" s="748">
        <f>SUM(L448:L457)</f>
        <v>107686520</v>
      </c>
      <c r="M461" s="749"/>
      <c r="N461" s="749"/>
      <c r="O461" s="749"/>
      <c r="P461" s="750"/>
      <c r="Q461" s="750"/>
      <c r="R461" s="750"/>
      <c r="S461" s="750"/>
      <c r="T461" s="750"/>
      <c r="U461" s="750"/>
      <c r="V461" s="750"/>
    </row>
    <row r="462" spans="1:22">
      <c r="A462" s="750"/>
      <c r="B462" s="750"/>
      <c r="C462" s="750"/>
      <c r="D462" s="750"/>
      <c r="E462" s="750"/>
      <c r="F462" s="750"/>
      <c r="G462" s="750"/>
      <c r="H462" s="750"/>
      <c r="I462" s="750"/>
      <c r="J462" s="750"/>
      <c r="K462" s="748"/>
      <c r="L462" s="748"/>
      <c r="M462" s="749"/>
      <c r="N462" s="749"/>
      <c r="O462" s="749"/>
      <c r="P462" s="750"/>
      <c r="Q462" s="750"/>
      <c r="R462" s="750"/>
      <c r="S462" s="750"/>
      <c r="T462" s="750"/>
      <c r="U462" s="750"/>
      <c r="V462" s="750"/>
    </row>
    <row r="463" spans="1:22">
      <c r="A463" s="2082"/>
      <c r="B463" s="2082"/>
      <c r="C463" s="2082"/>
      <c r="D463" s="2082"/>
      <c r="E463" s="2084"/>
      <c r="F463" s="2084"/>
      <c r="G463" s="2084"/>
      <c r="H463" s="2084"/>
      <c r="I463" s="2092"/>
      <c r="J463" s="2092"/>
      <c r="K463" s="2084"/>
      <c r="L463" s="2084"/>
      <c r="M463" s="749"/>
      <c r="N463" s="749"/>
      <c r="O463" s="749"/>
      <c r="P463" s="750"/>
      <c r="Q463" s="750"/>
      <c r="R463" s="750"/>
      <c r="S463" s="750"/>
      <c r="T463" s="750"/>
      <c r="U463" s="750"/>
      <c r="V463" s="750"/>
    </row>
    <row r="464" spans="1:22">
      <c r="A464" s="53">
        <v>12</v>
      </c>
      <c r="B464" s="750"/>
      <c r="C464" s="750"/>
      <c r="D464" s="737" t="s">
        <v>674</v>
      </c>
      <c r="E464" s="748">
        <f>E292+E332+E371+E422+E461</f>
        <v>2473211987</v>
      </c>
      <c r="F464" s="748">
        <f>F292+F332+F371+F422+F461</f>
        <v>174261544</v>
      </c>
      <c r="G464" s="748">
        <f>G292+G332+G371+G422+G461</f>
        <v>14130480</v>
      </c>
      <c r="H464" s="748">
        <f>H292+H332+H371+H422+H461</f>
        <v>0</v>
      </c>
      <c r="I464" s="750"/>
      <c r="J464" s="750"/>
      <c r="K464" s="748">
        <f>K292+K332+K371+K422+K461</f>
        <v>2633343051</v>
      </c>
      <c r="L464" s="748">
        <f>L292+L332+L371+L422+L461</f>
        <v>2551528713</v>
      </c>
      <c r="M464" s="749"/>
      <c r="N464" s="749"/>
      <c r="O464" s="749"/>
      <c r="P464" s="750"/>
      <c r="Q464" s="750"/>
      <c r="R464" s="750"/>
      <c r="S464" s="750"/>
      <c r="T464" s="750"/>
      <c r="U464" s="750"/>
      <c r="V464" s="750"/>
    </row>
    <row r="465" spans="1:22">
      <c r="A465" s="750"/>
      <c r="B465" s="750"/>
      <c r="C465" s="750"/>
      <c r="D465" s="750"/>
      <c r="E465" s="750"/>
      <c r="F465" s="750"/>
      <c r="G465" s="750"/>
      <c r="H465" s="750"/>
      <c r="I465" s="750"/>
      <c r="J465" s="750"/>
      <c r="K465" s="750"/>
      <c r="L465" s="750"/>
      <c r="M465" s="749"/>
      <c r="N465" s="749"/>
      <c r="O465" s="749"/>
      <c r="P465" s="750"/>
      <c r="Q465" s="750"/>
      <c r="R465" s="750"/>
      <c r="S465" s="750"/>
      <c r="T465" s="750"/>
      <c r="U465" s="750"/>
      <c r="V465" s="750"/>
    </row>
    <row r="466" spans="1:22">
      <c r="A466" s="2082"/>
      <c r="B466" s="2082"/>
      <c r="C466" s="2082"/>
      <c r="D466" s="2082"/>
      <c r="E466" s="2082"/>
      <c r="F466" s="2082"/>
      <c r="G466" s="2082"/>
      <c r="H466" s="2082"/>
      <c r="I466" s="2082"/>
      <c r="J466" s="2082"/>
      <c r="K466" s="2082"/>
      <c r="L466" s="2082"/>
      <c r="M466" s="749"/>
      <c r="N466" s="749"/>
      <c r="O466" s="749"/>
      <c r="P466" s="750"/>
      <c r="Q466" s="750"/>
      <c r="R466" s="750"/>
      <c r="S466" s="750"/>
      <c r="T466" s="750"/>
      <c r="U466" s="750"/>
      <c r="V466" s="750"/>
    </row>
    <row r="467" spans="1:22">
      <c r="A467" s="750"/>
      <c r="B467" s="750"/>
      <c r="C467" s="750"/>
      <c r="D467" s="750"/>
      <c r="E467" s="750"/>
      <c r="F467" s="750"/>
      <c r="G467" s="750"/>
      <c r="H467" s="750"/>
      <c r="I467" s="750"/>
      <c r="J467" s="750"/>
      <c r="K467" s="750"/>
      <c r="L467" s="750"/>
      <c r="M467" s="749"/>
      <c r="N467" s="749"/>
      <c r="O467" s="749"/>
      <c r="P467" s="750"/>
      <c r="Q467" s="750"/>
      <c r="R467" s="750"/>
      <c r="S467" s="750"/>
      <c r="T467" s="750"/>
      <c r="U467" s="750"/>
      <c r="V467" s="750"/>
    </row>
    <row r="468" spans="1:22">
      <c r="A468" s="59" t="str">
        <f>A258</f>
        <v>DUKE ENERGY KENTUCKY, INC.</v>
      </c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749"/>
      <c r="N468" s="749"/>
      <c r="O468" s="749"/>
      <c r="P468" s="750"/>
      <c r="Q468" s="750"/>
      <c r="R468" s="750"/>
      <c r="S468" s="750"/>
      <c r="T468" s="750"/>
      <c r="U468" s="750"/>
      <c r="V468" s="750"/>
    </row>
    <row r="469" spans="1:22">
      <c r="A469" s="59" t="str">
        <f>A259</f>
        <v>CASE NO. 2024-00354</v>
      </c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749"/>
      <c r="N469" s="749"/>
      <c r="O469" s="749"/>
      <c r="P469" s="750"/>
      <c r="Q469" s="750"/>
      <c r="R469" s="750"/>
      <c r="S469" s="750"/>
      <c r="T469" s="750"/>
      <c r="U469" s="750"/>
      <c r="V469" s="750"/>
    </row>
    <row r="470" spans="1:22">
      <c r="A470" s="59" t="str">
        <f>A260</f>
        <v>GROSS ADDITIONS, RETIREMENTS, AND TRANSFERS</v>
      </c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749"/>
      <c r="N470" s="749"/>
      <c r="O470" s="749"/>
      <c r="P470" s="750"/>
      <c r="Q470" s="750"/>
      <c r="R470" s="750"/>
      <c r="S470" s="750"/>
      <c r="T470" s="750"/>
      <c r="U470" s="750"/>
      <c r="V470" s="750"/>
    </row>
    <row r="471" spans="1:22">
      <c r="A471" s="59" t="str">
        <f>$A$261</f>
        <v>FROM JULY 1, 2025 TO JUNE 30, 2026</v>
      </c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749"/>
      <c r="N471" s="749"/>
      <c r="O471" s="749"/>
      <c r="P471" s="750"/>
      <c r="Q471" s="750"/>
      <c r="R471" s="750"/>
      <c r="S471" s="750"/>
      <c r="T471" s="750"/>
      <c r="U471" s="750"/>
      <c r="V471" s="750"/>
    </row>
    <row r="472" spans="1:22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749"/>
      <c r="N472" s="749"/>
      <c r="O472" s="749"/>
      <c r="P472" s="750"/>
      <c r="Q472" s="750"/>
      <c r="R472" s="750"/>
      <c r="S472" s="750"/>
      <c r="T472" s="750"/>
      <c r="U472" s="750"/>
      <c r="V472" s="750"/>
    </row>
    <row r="473" spans="1:22">
      <c r="A473" s="59" t="s">
        <v>675</v>
      </c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749"/>
      <c r="N473" s="749"/>
      <c r="O473" s="749"/>
      <c r="P473" s="750"/>
      <c r="Q473" s="750"/>
      <c r="R473" s="750"/>
      <c r="S473" s="750"/>
      <c r="T473" s="750"/>
      <c r="U473" s="750"/>
      <c r="V473" s="750"/>
    </row>
    <row r="474" spans="1:22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749"/>
      <c r="N474" s="749"/>
      <c r="O474" s="749"/>
      <c r="P474" s="750"/>
      <c r="Q474" s="750"/>
      <c r="R474" s="750"/>
      <c r="S474" s="750"/>
      <c r="T474" s="750"/>
      <c r="U474" s="750"/>
      <c r="V474" s="750"/>
    </row>
    <row r="475" spans="1:22">
      <c r="A475" s="1148" t="s">
        <v>529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749"/>
      <c r="N475" s="749"/>
      <c r="O475" s="749"/>
      <c r="P475" s="750"/>
      <c r="Q475" s="750"/>
      <c r="R475" s="750"/>
      <c r="S475" s="750"/>
      <c r="T475" s="750"/>
      <c r="U475" s="750"/>
      <c r="V475" s="750"/>
    </row>
    <row r="476" spans="1:22">
      <c r="A476" s="1148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749"/>
      <c r="N476" s="749"/>
      <c r="O476" s="749"/>
      <c r="P476" s="750"/>
      <c r="Q476" s="750"/>
      <c r="R476" s="750"/>
      <c r="S476" s="750"/>
      <c r="T476" s="750"/>
      <c r="U476" s="750"/>
      <c r="V476" s="750"/>
    </row>
    <row r="477" spans="1:22">
      <c r="A477" s="737" t="str">
        <f>DataF</f>
        <v>DATA:  BASE PERIOD  "X" FORECASTED PERIOD</v>
      </c>
      <c r="B477" s="750"/>
      <c r="C477" s="750"/>
      <c r="D477" s="750"/>
      <c r="E477" s="750"/>
      <c r="F477" s="750"/>
      <c r="G477" s="750"/>
      <c r="H477" s="750"/>
      <c r="I477" s="750"/>
      <c r="K477" s="737" t="str">
        <f>K267</f>
        <v>SCHEDULE B-2.3</v>
      </c>
      <c r="L477" s="750"/>
      <c r="M477" s="749"/>
      <c r="N477" s="749"/>
      <c r="O477" s="749"/>
      <c r="P477" s="750"/>
      <c r="Q477" s="750"/>
      <c r="R477" s="750"/>
      <c r="S477" s="750"/>
      <c r="T477" s="750"/>
      <c r="U477" s="750"/>
      <c r="V477" s="750"/>
    </row>
    <row r="478" spans="1:22">
      <c r="A478" s="737" t="str">
        <f>A268</f>
        <v xml:space="preserve">TYPE OF FILING:  "X" ORIGINAL   UPDATED    REVISED  </v>
      </c>
      <c r="B478" s="750"/>
      <c r="C478" s="750"/>
      <c r="D478" s="750"/>
      <c r="E478" s="750"/>
      <c r="F478" s="750"/>
      <c r="G478" s="750"/>
      <c r="H478" s="750"/>
      <c r="I478" s="750"/>
      <c r="K478" s="737" t="s">
        <v>691</v>
      </c>
      <c r="L478" s="750"/>
      <c r="M478" s="749"/>
      <c r="N478" s="749"/>
      <c r="O478" s="749"/>
      <c r="P478" s="750"/>
      <c r="Q478" s="750"/>
      <c r="R478" s="750"/>
      <c r="S478" s="750"/>
      <c r="T478" s="750"/>
      <c r="U478" s="750"/>
      <c r="V478" s="750"/>
    </row>
    <row r="479" spans="1:22">
      <c r="A479" s="737" t="str">
        <f>A269</f>
        <v xml:space="preserve">WORK PAPER REFERENCE NO(S).: </v>
      </c>
      <c r="B479" s="750"/>
      <c r="C479" s="750"/>
      <c r="D479" s="750"/>
      <c r="E479" s="750"/>
      <c r="F479" s="750"/>
      <c r="G479" s="750"/>
      <c r="H479" s="750"/>
      <c r="I479" s="750"/>
      <c r="K479" s="750" t="s">
        <v>468</v>
      </c>
      <c r="L479" s="750"/>
      <c r="M479" s="749"/>
      <c r="N479" s="749"/>
      <c r="O479" s="749"/>
      <c r="P479" s="750"/>
      <c r="Q479" s="750"/>
      <c r="R479" s="750"/>
      <c r="S479" s="750"/>
      <c r="T479" s="750"/>
      <c r="U479" s="750"/>
      <c r="V479" s="750"/>
    </row>
    <row r="480" spans="1:22">
      <c r="A480" s="750"/>
      <c r="B480" s="750"/>
      <c r="C480" s="750"/>
      <c r="D480" s="750"/>
      <c r="E480" s="750"/>
      <c r="F480" s="750"/>
      <c r="G480" s="750"/>
      <c r="H480" s="750"/>
      <c r="I480" s="750"/>
      <c r="K480" s="750" t="str">
        <f>K270</f>
        <v>G. S. CARPENTER / S. S. MITCHELL</v>
      </c>
      <c r="L480" s="750"/>
      <c r="M480" s="749"/>
      <c r="N480" s="749"/>
      <c r="O480" s="749"/>
      <c r="P480" s="750"/>
      <c r="Q480" s="750"/>
      <c r="R480" s="750"/>
      <c r="S480" s="750"/>
      <c r="T480" s="750"/>
      <c r="U480" s="750"/>
      <c r="V480" s="750"/>
    </row>
    <row r="481" spans="1:22">
      <c r="A481" s="750"/>
      <c r="B481" s="750"/>
      <c r="C481" s="750"/>
      <c r="D481" s="750"/>
      <c r="E481" s="750"/>
      <c r="F481" s="750"/>
      <c r="G481" s="750"/>
      <c r="H481" s="750"/>
      <c r="I481" s="750"/>
      <c r="J481" s="750"/>
      <c r="K481" s="750"/>
      <c r="L481" s="750"/>
      <c r="M481" s="749"/>
      <c r="N481" s="749"/>
      <c r="O481" s="749"/>
      <c r="P481" s="750"/>
      <c r="Q481" s="750"/>
      <c r="R481" s="750"/>
      <c r="S481" s="750"/>
      <c r="T481" s="750"/>
      <c r="U481" s="750"/>
      <c r="V481" s="750"/>
    </row>
    <row r="482" spans="1:22">
      <c r="A482" s="750"/>
      <c r="B482" s="750"/>
      <c r="C482" s="750"/>
      <c r="D482" s="750"/>
      <c r="E482" s="750"/>
      <c r="F482" s="750"/>
      <c r="G482" s="750"/>
      <c r="H482" s="1443"/>
      <c r="I482" s="750"/>
      <c r="J482" s="750"/>
      <c r="K482" s="750"/>
      <c r="L482" s="750"/>
      <c r="M482" s="749"/>
      <c r="N482" s="749"/>
      <c r="O482" s="749"/>
      <c r="P482" s="750"/>
      <c r="Q482" s="750"/>
      <c r="R482" s="750"/>
      <c r="S482" s="750"/>
      <c r="T482" s="750"/>
      <c r="U482" s="750"/>
      <c r="V482" s="750"/>
    </row>
    <row r="483" spans="1:22">
      <c r="A483" s="2082"/>
      <c r="B483" s="2082"/>
      <c r="C483" s="2085"/>
      <c r="D483" s="2082"/>
      <c r="E483" s="2082"/>
      <c r="F483" s="2082"/>
      <c r="G483" s="2082"/>
      <c r="H483" s="780"/>
      <c r="I483" s="2082"/>
      <c r="J483" s="2082"/>
      <c r="K483" s="2082"/>
      <c r="L483" s="2082"/>
      <c r="M483" s="749"/>
      <c r="N483" s="749"/>
      <c r="O483" s="749"/>
      <c r="P483" s="750"/>
      <c r="Q483" s="750"/>
      <c r="R483" s="750"/>
      <c r="S483" s="750"/>
      <c r="T483" s="750"/>
      <c r="U483" s="750"/>
      <c r="V483" s="750"/>
    </row>
    <row r="484" spans="1:22">
      <c r="A484" s="750"/>
      <c r="B484" s="53" t="s">
        <v>257</v>
      </c>
      <c r="C484" s="53" t="s">
        <v>605</v>
      </c>
      <c r="D484" s="750"/>
      <c r="E484" s="750"/>
      <c r="F484" s="750"/>
      <c r="G484" s="750"/>
      <c r="H484" s="1451" t="s">
        <v>708</v>
      </c>
      <c r="I484" s="1451"/>
      <c r="J484" s="1451"/>
      <c r="K484" s="750"/>
      <c r="L484" s="750"/>
      <c r="M484" s="749"/>
      <c r="N484" s="749"/>
      <c r="O484" s="749"/>
      <c r="P484" s="750"/>
      <c r="Q484" s="750"/>
      <c r="R484" s="750"/>
      <c r="S484" s="750"/>
      <c r="T484" s="750"/>
      <c r="U484" s="750"/>
      <c r="V484" s="750"/>
    </row>
    <row r="485" spans="1:22">
      <c r="A485" s="53" t="s">
        <v>573</v>
      </c>
      <c r="B485" s="53" t="s">
        <v>606</v>
      </c>
      <c r="C485" s="53" t="s">
        <v>606</v>
      </c>
      <c r="D485" s="53" t="s">
        <v>255</v>
      </c>
      <c r="E485" s="53" t="s">
        <v>709</v>
      </c>
      <c r="F485" s="750"/>
      <c r="G485" s="750"/>
      <c r="H485" s="2082"/>
      <c r="I485" s="2089" t="s">
        <v>710</v>
      </c>
      <c r="J485" s="2089" t="s">
        <v>711</v>
      </c>
      <c r="K485" s="53" t="s">
        <v>712</v>
      </c>
      <c r="L485" s="53" t="s">
        <v>734</v>
      </c>
      <c r="M485" s="749"/>
      <c r="N485" s="749"/>
      <c r="O485" s="749"/>
      <c r="P485" s="750"/>
      <c r="Q485" s="750"/>
      <c r="R485" s="750"/>
      <c r="S485" s="750"/>
      <c r="T485" s="750"/>
      <c r="U485" s="750"/>
      <c r="V485" s="750"/>
    </row>
    <row r="486" spans="1:22">
      <c r="A486" s="53" t="s">
        <v>576</v>
      </c>
      <c r="B486" s="53" t="s">
        <v>576</v>
      </c>
      <c r="C486" s="53" t="s">
        <v>576</v>
      </c>
      <c r="D486" s="53" t="s">
        <v>713</v>
      </c>
      <c r="E486" s="53" t="s">
        <v>556</v>
      </c>
      <c r="F486" s="53" t="s">
        <v>714</v>
      </c>
      <c r="G486" s="53" t="s">
        <v>715</v>
      </c>
      <c r="H486" s="53" t="s">
        <v>419</v>
      </c>
      <c r="I486" s="53" t="s">
        <v>716</v>
      </c>
      <c r="J486" s="53" t="s">
        <v>717</v>
      </c>
      <c r="K486" s="53" t="s">
        <v>556</v>
      </c>
      <c r="L486" s="53" t="s">
        <v>592</v>
      </c>
      <c r="M486" s="749"/>
      <c r="N486" s="749"/>
      <c r="O486" s="749"/>
      <c r="P486" s="750"/>
      <c r="Q486" s="750"/>
      <c r="R486" s="750"/>
      <c r="S486" s="750"/>
      <c r="T486" s="750"/>
      <c r="U486" s="750"/>
      <c r="V486" s="750"/>
    </row>
    <row r="487" spans="1:22">
      <c r="A487" s="750"/>
      <c r="B487" s="750"/>
      <c r="C487" s="750"/>
      <c r="D487" s="750"/>
      <c r="E487" s="750"/>
      <c r="F487" s="750"/>
      <c r="G487" s="750"/>
      <c r="H487" s="750"/>
      <c r="I487" s="750"/>
      <c r="J487" s="750"/>
      <c r="K487" s="750"/>
      <c r="L487" s="750"/>
      <c r="M487" s="749"/>
      <c r="N487" s="749"/>
      <c r="O487" s="749"/>
      <c r="P487" s="750"/>
      <c r="Q487" s="750"/>
      <c r="R487" s="750"/>
      <c r="S487" s="750"/>
      <c r="T487" s="750"/>
      <c r="U487" s="750"/>
      <c r="V487" s="750"/>
    </row>
    <row r="488" spans="1:22">
      <c r="A488" s="2082"/>
      <c r="B488" s="2082"/>
      <c r="C488" s="2082"/>
      <c r="D488" s="2082"/>
      <c r="E488" s="2089" t="s">
        <v>580</v>
      </c>
      <c r="F488" s="2089" t="s">
        <v>580</v>
      </c>
      <c r="G488" s="2089" t="s">
        <v>580</v>
      </c>
      <c r="H488" s="2089" t="s">
        <v>580</v>
      </c>
      <c r="I488" s="2082"/>
      <c r="J488" s="2082"/>
      <c r="K488" s="2089" t="s">
        <v>580</v>
      </c>
      <c r="L488" s="2089" t="s">
        <v>580</v>
      </c>
      <c r="M488" s="749"/>
      <c r="N488" s="749"/>
      <c r="O488" s="749"/>
      <c r="P488" s="750"/>
      <c r="Q488" s="750"/>
      <c r="R488" s="750"/>
      <c r="S488" s="750"/>
      <c r="T488" s="750"/>
      <c r="U488" s="750"/>
      <c r="V488" s="750"/>
    </row>
    <row r="489" spans="1:22">
      <c r="A489" s="750"/>
      <c r="B489" s="750"/>
      <c r="C489" s="750"/>
      <c r="D489" s="750"/>
      <c r="E489" s="750"/>
      <c r="F489" s="750"/>
      <c r="G489" s="750"/>
      <c r="H489" s="750"/>
      <c r="I489" s="750"/>
      <c r="J489" s="750"/>
      <c r="K489" s="750"/>
      <c r="L489" s="750"/>
      <c r="M489" s="749"/>
      <c r="N489" s="749"/>
      <c r="O489" s="749"/>
      <c r="P489" s="750"/>
      <c r="Q489" s="750"/>
      <c r="R489" s="750"/>
      <c r="S489" s="750"/>
      <c r="T489" s="750"/>
      <c r="U489" s="750"/>
      <c r="V489" s="750"/>
    </row>
    <row r="490" spans="1:22">
      <c r="A490" s="53" t="s">
        <v>621</v>
      </c>
      <c r="B490" s="750"/>
      <c r="C490" s="53">
        <v>1030</v>
      </c>
      <c r="D490" s="737" t="s">
        <v>665</v>
      </c>
      <c r="E490" s="61">
        <v>22442698</v>
      </c>
      <c r="F490" s="61">
        <v>0</v>
      </c>
      <c r="G490" s="61">
        <v>0</v>
      </c>
      <c r="H490" s="61">
        <v>0</v>
      </c>
      <c r="I490" s="737"/>
      <c r="J490" s="737"/>
      <c r="K490" s="748">
        <f t="shared" ref="K490:K499" si="14">E490+F490-G490+H490</f>
        <v>22442698</v>
      </c>
      <c r="L490" s="643">
        <v>22442698</v>
      </c>
      <c r="M490" s="749"/>
      <c r="N490" s="749"/>
      <c r="O490" s="749"/>
      <c r="P490" s="749"/>
      <c r="Q490" s="750"/>
      <c r="R490" s="750"/>
      <c r="S490" s="750"/>
      <c r="T490" s="750"/>
      <c r="U490" s="750"/>
      <c r="V490" s="750"/>
    </row>
    <row r="491" spans="1:22">
      <c r="A491" s="53">
        <v>2</v>
      </c>
      <c r="B491" s="750"/>
      <c r="C491" s="53">
        <v>1890</v>
      </c>
      <c r="D491" s="737" t="s">
        <v>608</v>
      </c>
      <c r="E491" s="61">
        <v>1041678</v>
      </c>
      <c r="F491" s="61">
        <v>0</v>
      </c>
      <c r="G491" s="61">
        <v>0</v>
      </c>
      <c r="H491" s="61">
        <v>0</v>
      </c>
      <c r="I491" s="2287"/>
      <c r="J491" s="2287"/>
      <c r="K491" s="748">
        <f t="shared" si="14"/>
        <v>1041678</v>
      </c>
      <c r="L491" s="643">
        <v>1041678</v>
      </c>
      <c r="M491" s="749"/>
      <c r="N491" s="749"/>
      <c r="O491" s="749"/>
      <c r="P491" s="749"/>
      <c r="Q491" s="750"/>
      <c r="R491" s="750"/>
      <c r="S491" s="750"/>
      <c r="T491" s="750"/>
      <c r="U491" s="750"/>
      <c r="V491" s="750"/>
    </row>
    <row r="492" spans="1:22">
      <c r="A492" s="53">
        <v>3</v>
      </c>
      <c r="B492" s="750"/>
      <c r="C492" s="53">
        <v>1900</v>
      </c>
      <c r="D492" s="737" t="s">
        <v>609</v>
      </c>
      <c r="E492" s="61">
        <v>21712551</v>
      </c>
      <c r="F492" s="61">
        <v>0</v>
      </c>
      <c r="G492" s="61">
        <v>-486720</v>
      </c>
      <c r="H492" s="61">
        <v>0</v>
      </c>
      <c r="I492" s="2287"/>
      <c r="J492" s="2287"/>
      <c r="K492" s="748">
        <f t="shared" si="14"/>
        <v>22199271</v>
      </c>
      <c r="L492" s="643">
        <v>21955911</v>
      </c>
      <c r="M492" s="749"/>
      <c r="N492" s="749"/>
      <c r="O492" s="749"/>
      <c r="P492" s="749"/>
      <c r="Q492" s="750"/>
      <c r="R492" s="750"/>
      <c r="S492" s="750"/>
      <c r="T492" s="750"/>
      <c r="U492" s="750"/>
      <c r="V492" s="750"/>
    </row>
    <row r="493" spans="1:22">
      <c r="A493" s="53">
        <v>4</v>
      </c>
      <c r="B493" s="750"/>
      <c r="C493" s="53">
        <v>1910</v>
      </c>
      <c r="D493" s="737" t="s">
        <v>666</v>
      </c>
      <c r="E493" s="61">
        <v>1560369</v>
      </c>
      <c r="F493" s="61">
        <v>0</v>
      </c>
      <c r="G493" s="61">
        <v>0</v>
      </c>
      <c r="H493" s="61">
        <v>0</v>
      </c>
      <c r="I493" s="2287"/>
      <c r="J493" s="737"/>
      <c r="K493" s="748">
        <f t="shared" si="14"/>
        <v>1560369</v>
      </c>
      <c r="L493" s="643">
        <v>1560369</v>
      </c>
      <c r="M493" s="749"/>
      <c r="N493" s="749"/>
      <c r="O493" s="749"/>
      <c r="P493" s="749"/>
      <c r="Q493" s="750"/>
      <c r="R493" s="750"/>
      <c r="S493" s="750"/>
      <c r="T493" s="750"/>
      <c r="U493" s="750"/>
      <c r="V493" s="750"/>
    </row>
    <row r="494" spans="1:22">
      <c r="A494" s="53">
        <v>5</v>
      </c>
      <c r="B494" s="750"/>
      <c r="C494" s="53">
        <v>1911</v>
      </c>
      <c r="D494" s="737" t="s">
        <v>677</v>
      </c>
      <c r="E494" s="61">
        <v>-1502</v>
      </c>
      <c r="F494" s="61">
        <v>0</v>
      </c>
      <c r="G494" s="61">
        <v>13560</v>
      </c>
      <c r="H494" s="61">
        <v>0</v>
      </c>
      <c r="I494" s="2287"/>
      <c r="J494" s="2287"/>
      <c r="K494" s="748">
        <f t="shared" si="14"/>
        <v>-15062</v>
      </c>
      <c r="L494" s="643">
        <v>-8282</v>
      </c>
      <c r="M494" s="749"/>
      <c r="N494" s="749"/>
      <c r="O494" s="749"/>
      <c r="P494" s="749"/>
      <c r="Q494" s="750"/>
      <c r="R494" s="750"/>
      <c r="S494" s="750"/>
      <c r="T494" s="750"/>
      <c r="U494" s="750"/>
      <c r="V494" s="750"/>
    </row>
    <row r="495" spans="1:22">
      <c r="A495" s="53">
        <v>6</v>
      </c>
      <c r="B495" s="750"/>
      <c r="C495" s="53">
        <v>1940</v>
      </c>
      <c r="D495" s="737" t="s">
        <v>670</v>
      </c>
      <c r="E495" s="61">
        <v>107678</v>
      </c>
      <c r="F495" s="61">
        <v>0</v>
      </c>
      <c r="G495" s="61">
        <v>960</v>
      </c>
      <c r="H495" s="61">
        <v>0</v>
      </c>
      <c r="I495" s="2287"/>
      <c r="J495" s="737"/>
      <c r="K495" s="748">
        <f t="shared" si="14"/>
        <v>106718</v>
      </c>
      <c r="L495" s="643">
        <v>107198</v>
      </c>
      <c r="M495" s="749"/>
      <c r="N495" s="749"/>
      <c r="O495" s="749"/>
      <c r="P495" s="749"/>
      <c r="Q495" s="750"/>
      <c r="R495" s="750"/>
      <c r="S495" s="750"/>
      <c r="T495" s="750"/>
      <c r="U495" s="750"/>
      <c r="V495" s="750"/>
    </row>
    <row r="496" spans="1:22">
      <c r="A496" s="53">
        <v>7</v>
      </c>
      <c r="B496" s="750"/>
      <c r="C496" s="53">
        <v>1970</v>
      </c>
      <c r="D496" s="737" t="s">
        <v>672</v>
      </c>
      <c r="E496" s="61">
        <v>4685722</v>
      </c>
      <c r="F496" s="61">
        <v>0</v>
      </c>
      <c r="G496" s="61">
        <v>1627320</v>
      </c>
      <c r="H496" s="61">
        <v>0</v>
      </c>
      <c r="I496" s="2287"/>
      <c r="J496" s="2287"/>
      <c r="K496" s="748">
        <f t="shared" si="14"/>
        <v>3058402</v>
      </c>
      <c r="L496" s="643">
        <v>3872062</v>
      </c>
      <c r="M496" s="749"/>
      <c r="N496" s="749"/>
      <c r="O496" s="749"/>
      <c r="P496" s="749"/>
      <c r="Q496" s="750"/>
      <c r="R496" s="750"/>
      <c r="S496" s="750"/>
      <c r="T496" s="750"/>
      <c r="U496" s="750"/>
      <c r="V496" s="750"/>
    </row>
    <row r="497" spans="1:22">
      <c r="A497" s="53">
        <v>8</v>
      </c>
      <c r="B497" s="750"/>
      <c r="C497" s="53">
        <v>1980</v>
      </c>
      <c r="D497" s="737" t="s">
        <v>678</v>
      </c>
      <c r="E497" s="61">
        <v>95301</v>
      </c>
      <c r="F497" s="61">
        <v>0</v>
      </c>
      <c r="G497" s="61">
        <v>0</v>
      </c>
      <c r="H497" s="61">
        <v>0</v>
      </c>
      <c r="I497" s="2287"/>
      <c r="J497" s="2287"/>
      <c r="K497" s="748">
        <f t="shared" si="14"/>
        <v>95301</v>
      </c>
      <c r="L497" s="643">
        <v>95301</v>
      </c>
      <c r="M497" s="749"/>
      <c r="N497" s="749"/>
      <c r="O497" s="749"/>
      <c r="P497" s="749"/>
      <c r="Q497" s="750"/>
      <c r="R497" s="750"/>
      <c r="S497" s="750"/>
      <c r="T497" s="750"/>
      <c r="U497" s="750"/>
      <c r="V497" s="750"/>
    </row>
    <row r="498" spans="1:22">
      <c r="A498" s="53">
        <v>9</v>
      </c>
      <c r="B498" s="750"/>
      <c r="C498" s="53">
        <v>1990</v>
      </c>
      <c r="D498" s="737" t="s">
        <v>679</v>
      </c>
      <c r="E498" s="61">
        <v>1486982</v>
      </c>
      <c r="F498" s="61">
        <v>0</v>
      </c>
      <c r="G498" s="61">
        <v>0</v>
      </c>
      <c r="H498" s="61">
        <v>0</v>
      </c>
      <c r="I498" s="749"/>
      <c r="J498" s="749"/>
      <c r="K498" s="748">
        <f t="shared" si="14"/>
        <v>1486982</v>
      </c>
      <c r="L498" s="643">
        <v>1486982</v>
      </c>
      <c r="M498" s="749"/>
      <c r="N498" s="749"/>
      <c r="O498" s="749"/>
      <c r="P498" s="749"/>
      <c r="Q498" s="750"/>
      <c r="R498" s="750"/>
      <c r="S498" s="750"/>
      <c r="T498" s="750"/>
      <c r="U498" s="750"/>
      <c r="V498" s="750"/>
    </row>
    <row r="499" spans="1:22">
      <c r="A499" s="53">
        <v>10</v>
      </c>
      <c r="B499" s="750"/>
      <c r="C499" s="737"/>
      <c r="D499" s="737" t="s">
        <v>617</v>
      </c>
      <c r="E499" s="61">
        <v>0</v>
      </c>
      <c r="F499" s="61">
        <v>0</v>
      </c>
      <c r="G499" s="61">
        <v>0</v>
      </c>
      <c r="H499" s="61">
        <v>0</v>
      </c>
      <c r="I499" s="750"/>
      <c r="J499" s="750"/>
      <c r="K499" s="748">
        <f t="shared" si="14"/>
        <v>0</v>
      </c>
      <c r="L499" s="643">
        <v>0</v>
      </c>
      <c r="M499" s="749"/>
      <c r="N499" s="749"/>
      <c r="O499" s="749"/>
      <c r="P499" s="749"/>
      <c r="Q499" s="750"/>
      <c r="R499" s="750"/>
      <c r="S499" s="750"/>
      <c r="T499" s="750"/>
      <c r="U499" s="750"/>
      <c r="V499" s="750"/>
    </row>
    <row r="500" spans="1:22">
      <c r="A500" s="53"/>
      <c r="B500" s="750"/>
      <c r="C500" s="737"/>
      <c r="D500" s="737"/>
      <c r="E500" s="61"/>
      <c r="F500" s="2283"/>
      <c r="G500" s="61"/>
      <c r="H500" s="61"/>
      <c r="I500" s="750"/>
      <c r="J500" s="750"/>
      <c r="K500" s="748"/>
      <c r="L500" s="30"/>
      <c r="M500" s="749"/>
      <c r="N500" s="749"/>
      <c r="O500" s="749"/>
      <c r="P500" s="750"/>
      <c r="Q500" s="750"/>
      <c r="R500" s="750"/>
      <c r="S500" s="750"/>
      <c r="T500" s="750"/>
      <c r="U500" s="750"/>
      <c r="V500" s="750"/>
    </row>
    <row r="501" spans="1:22">
      <c r="A501" s="750"/>
      <c r="B501" s="750"/>
      <c r="C501" s="750"/>
      <c r="D501" s="750"/>
      <c r="E501" s="750"/>
      <c r="F501" s="750"/>
      <c r="G501" s="750"/>
      <c r="H501" s="750"/>
      <c r="I501" s="750"/>
      <c r="J501" s="750"/>
      <c r="K501" s="748"/>
      <c r="L501" s="748"/>
      <c r="M501" s="749"/>
      <c r="N501" s="749"/>
      <c r="O501" s="749"/>
      <c r="P501" s="750"/>
      <c r="Q501" s="750"/>
      <c r="R501" s="750"/>
      <c r="S501" s="750"/>
      <c r="T501" s="750"/>
      <c r="U501" s="750"/>
      <c r="V501" s="750"/>
    </row>
    <row r="502" spans="1:22">
      <c r="A502" s="2082"/>
      <c r="B502" s="2082"/>
      <c r="C502" s="2082"/>
      <c r="D502" s="2082"/>
      <c r="E502" s="2084"/>
      <c r="F502" s="2084"/>
      <c r="G502" s="2084"/>
      <c r="H502" s="2084"/>
      <c r="I502" s="2092"/>
      <c r="J502" s="2092"/>
      <c r="K502" s="2084"/>
      <c r="L502" s="2084"/>
      <c r="M502" s="749"/>
      <c r="N502" s="749"/>
      <c r="O502" s="749"/>
      <c r="P502" s="750"/>
      <c r="Q502" s="750"/>
      <c r="R502" s="750"/>
      <c r="S502" s="750"/>
      <c r="T502" s="750"/>
      <c r="U502" s="750"/>
      <c r="V502" s="750"/>
    </row>
    <row r="503" spans="1:22">
      <c r="A503" s="53">
        <v>11</v>
      </c>
      <c r="B503" s="750"/>
      <c r="C503" s="750"/>
      <c r="D503" s="737" t="s">
        <v>680</v>
      </c>
      <c r="E503" s="748">
        <f>SUM(E490:E499)</f>
        <v>53131477</v>
      </c>
      <c r="F503" s="748">
        <f>SUM(F490:F499)</f>
        <v>0</v>
      </c>
      <c r="G503" s="748">
        <f>SUM(G490:G499)</f>
        <v>1155120</v>
      </c>
      <c r="H503" s="748">
        <f>SUM(H490:H499)</f>
        <v>0</v>
      </c>
      <c r="I503" s="749"/>
      <c r="J503" s="749"/>
      <c r="K503" s="748">
        <f>SUM(K490:K499)</f>
        <v>51976357</v>
      </c>
      <c r="L503" s="748">
        <f>SUM(L490:L499)</f>
        <v>52553917</v>
      </c>
      <c r="M503" s="749"/>
      <c r="N503" s="749"/>
      <c r="O503" s="749"/>
      <c r="P503" s="750"/>
      <c r="Q503" s="750"/>
      <c r="R503" s="750"/>
      <c r="S503" s="750"/>
      <c r="T503" s="750"/>
      <c r="U503" s="750"/>
      <c r="V503" s="750"/>
    </row>
    <row r="504" spans="1:22">
      <c r="A504" s="750"/>
      <c r="B504" s="750"/>
      <c r="C504" s="750"/>
      <c r="D504" s="750"/>
      <c r="E504" s="750"/>
      <c r="F504" s="750"/>
      <c r="G504" s="750"/>
      <c r="H504" s="750"/>
      <c r="I504" s="750"/>
      <c r="J504" s="750"/>
      <c r="K504" s="748"/>
      <c r="L504" s="748"/>
      <c r="M504" s="749"/>
      <c r="N504" s="749"/>
      <c r="O504" s="749"/>
      <c r="P504" s="750"/>
      <c r="Q504" s="750"/>
      <c r="R504" s="750"/>
      <c r="S504" s="750"/>
      <c r="T504" s="750"/>
      <c r="U504" s="750"/>
      <c r="V504" s="750"/>
    </row>
    <row r="505" spans="1:22">
      <c r="A505" s="2082"/>
      <c r="B505" s="2082"/>
      <c r="C505" s="2082"/>
      <c r="D505" s="2082"/>
      <c r="E505" s="2084"/>
      <c r="F505" s="2084"/>
      <c r="G505" s="2084"/>
      <c r="H505" s="2084"/>
      <c r="I505" s="2092"/>
      <c r="J505" s="2092"/>
      <c r="K505" s="2084"/>
      <c r="L505" s="2084"/>
      <c r="M505" s="749"/>
      <c r="N505" s="749"/>
      <c r="O505" s="749"/>
      <c r="P505" s="750"/>
      <c r="Q505" s="750"/>
      <c r="R505" s="750"/>
      <c r="S505" s="750"/>
      <c r="T505" s="750"/>
      <c r="U505" s="750"/>
      <c r="V505" s="750"/>
    </row>
    <row r="506" spans="1:22">
      <c r="A506" s="53">
        <v>12</v>
      </c>
      <c r="B506" s="750"/>
      <c r="C506" s="747">
        <f>CommonE</f>
        <v>0.70750000000000002</v>
      </c>
      <c r="D506" s="737" t="s">
        <v>681</v>
      </c>
      <c r="E506" s="748">
        <f>ROUND(E503*$C$251,0)</f>
        <v>37590520</v>
      </c>
      <c r="F506" s="748">
        <f>(F503*$C$251)</f>
        <v>0</v>
      </c>
      <c r="G506" s="748">
        <f>G503*$C$251</f>
        <v>817247.4</v>
      </c>
      <c r="H506" s="748">
        <f>H503*$C$251</f>
        <v>0</v>
      </c>
      <c r="I506" s="749"/>
      <c r="J506" s="749"/>
      <c r="K506" s="748">
        <f>E506+F506-G506+H506</f>
        <v>36773272.600000001</v>
      </c>
      <c r="L506" s="748">
        <f>ROUND(L503*$C$251,0)</f>
        <v>37181896</v>
      </c>
      <c r="M506" s="749"/>
      <c r="N506" s="749"/>
      <c r="O506" s="749"/>
      <c r="P506" s="750"/>
      <c r="Q506" s="750"/>
      <c r="R506" s="750"/>
      <c r="S506" s="750"/>
      <c r="T506" s="750"/>
      <c r="U506" s="750"/>
      <c r="V506" s="750"/>
    </row>
    <row r="507" spans="1:22">
      <c r="A507" s="750"/>
      <c r="B507" s="750"/>
      <c r="C507" s="750"/>
      <c r="D507" s="750"/>
      <c r="E507" s="750"/>
      <c r="F507" s="750"/>
      <c r="G507" s="750"/>
      <c r="H507" s="750"/>
      <c r="I507" s="750"/>
      <c r="J507" s="750"/>
      <c r="K507" s="748"/>
      <c r="L507" s="748"/>
      <c r="M507" s="749"/>
      <c r="N507" s="749"/>
      <c r="O507" s="749"/>
      <c r="P507" s="750"/>
      <c r="Q507" s="750"/>
      <c r="R507" s="750"/>
      <c r="S507" s="750"/>
      <c r="T507" s="750"/>
      <c r="U507" s="750"/>
      <c r="V507" s="750"/>
    </row>
    <row r="508" spans="1:22">
      <c r="A508" s="2082"/>
      <c r="B508" s="2082"/>
      <c r="C508" s="2082"/>
      <c r="D508" s="2082"/>
      <c r="E508" s="2084"/>
      <c r="F508" s="2084"/>
      <c r="G508" s="2084"/>
      <c r="H508" s="2084"/>
      <c r="I508" s="2092"/>
      <c r="J508" s="2092"/>
      <c r="K508" s="2084"/>
      <c r="L508" s="2084"/>
      <c r="M508" s="749"/>
      <c r="N508" s="749"/>
      <c r="O508" s="749"/>
      <c r="P508" s="750"/>
      <c r="Q508" s="750"/>
      <c r="R508" s="750"/>
      <c r="S508" s="750"/>
      <c r="T508" s="750"/>
      <c r="U508" s="750"/>
      <c r="V508" s="750"/>
    </row>
    <row r="509" spans="1:22">
      <c r="A509" s="53">
        <v>13</v>
      </c>
      <c r="B509" s="750"/>
      <c r="C509" s="750"/>
      <c r="D509" s="737" t="s">
        <v>682</v>
      </c>
      <c r="E509" s="748">
        <f>E506+E464</f>
        <v>2510802507</v>
      </c>
      <c r="F509" s="748">
        <f>F506+F464</f>
        <v>174261544</v>
      </c>
      <c r="G509" s="748">
        <f>G506+G464</f>
        <v>14947727.4</v>
      </c>
      <c r="H509" s="748">
        <f>H506+H464</f>
        <v>0</v>
      </c>
      <c r="I509" s="749"/>
      <c r="J509" s="749"/>
      <c r="K509" s="748">
        <f>K506+K464</f>
        <v>2670116323.5999999</v>
      </c>
      <c r="L509" s="748">
        <f>L506+L464</f>
        <v>2588710609</v>
      </c>
      <c r="M509" s="749"/>
      <c r="N509" s="749"/>
      <c r="O509" s="749"/>
      <c r="P509" s="750"/>
      <c r="Q509" s="750"/>
      <c r="R509" s="750"/>
      <c r="S509" s="750"/>
      <c r="T509" s="750"/>
      <c r="U509" s="750"/>
      <c r="V509" s="750"/>
    </row>
    <row r="510" spans="1:22">
      <c r="A510" s="750"/>
      <c r="B510" s="750"/>
      <c r="C510" s="750"/>
      <c r="D510" s="750"/>
      <c r="E510" s="750"/>
      <c r="F510" s="750"/>
      <c r="G510" s="750"/>
      <c r="H510" s="750"/>
      <c r="I510" s="750"/>
      <c r="J510" s="750"/>
      <c r="K510" s="750"/>
      <c r="L510" s="1443"/>
      <c r="M510" s="749"/>
      <c r="N510" s="749"/>
      <c r="O510" s="749"/>
      <c r="P510" s="750"/>
      <c r="Q510" s="750"/>
      <c r="R510" s="750"/>
      <c r="S510" s="750"/>
      <c r="T510" s="750"/>
      <c r="U510" s="750"/>
      <c r="V510" s="750"/>
    </row>
    <row r="511" spans="1:22">
      <c r="A511" s="2082"/>
      <c r="B511" s="2082"/>
      <c r="C511" s="2082"/>
      <c r="D511" s="2082"/>
      <c r="E511" s="2084"/>
      <c r="F511" s="2084"/>
      <c r="G511" s="2084"/>
      <c r="H511" s="2084"/>
      <c r="I511" s="2092"/>
      <c r="J511" s="2092"/>
      <c r="K511" s="2084"/>
      <c r="L511" s="750"/>
      <c r="M511" s="749"/>
      <c r="N511" s="750"/>
      <c r="O511" s="750"/>
      <c r="P511" s="750"/>
      <c r="Q511" s="750"/>
      <c r="R511" s="750"/>
      <c r="S511" s="750"/>
      <c r="T511" s="750"/>
      <c r="U511" s="750"/>
      <c r="V511" s="750"/>
    </row>
    <row r="512" spans="1:22">
      <c r="A512" s="737"/>
      <c r="B512" s="750"/>
      <c r="C512" s="750"/>
      <c r="D512" s="750"/>
      <c r="E512" s="748"/>
      <c r="F512" s="748"/>
      <c r="G512" s="748"/>
      <c r="H512" s="748"/>
      <c r="I512" s="749"/>
      <c r="J512" s="749"/>
      <c r="K512" s="748"/>
      <c r="L512" s="750"/>
      <c r="M512" s="749"/>
      <c r="N512" s="750"/>
      <c r="O512" s="750"/>
      <c r="P512" s="750"/>
      <c r="Q512" s="750"/>
      <c r="R512" s="750"/>
      <c r="S512" s="750"/>
      <c r="T512" s="750"/>
      <c r="U512" s="750"/>
      <c r="V512" s="750"/>
    </row>
    <row r="513" spans="1:22">
      <c r="A513" s="737"/>
      <c r="B513" s="750"/>
      <c r="C513" s="750"/>
      <c r="D513" s="750"/>
      <c r="E513" s="748"/>
      <c r="F513" s="748"/>
      <c r="G513" s="748"/>
      <c r="H513" s="748"/>
      <c r="I513" s="749"/>
      <c r="J513" s="749"/>
      <c r="K513" s="748"/>
      <c r="L513" s="750"/>
      <c r="M513" s="749"/>
      <c r="N513" s="750"/>
      <c r="O513" s="750"/>
      <c r="P513" s="750"/>
      <c r="Q513" s="750"/>
      <c r="R513" s="750"/>
      <c r="S513" s="750"/>
      <c r="T513" s="750"/>
      <c r="U513" s="750"/>
      <c r="V513" s="750"/>
    </row>
    <row r="514" spans="1:22">
      <c r="A514" s="750"/>
      <c r="B514" s="750"/>
      <c r="C514" s="750"/>
      <c r="D514" s="750"/>
      <c r="E514" s="750"/>
      <c r="F514" s="750"/>
      <c r="G514" s="750"/>
      <c r="H514" s="750"/>
      <c r="I514" s="750"/>
      <c r="J514" s="750"/>
      <c r="K514" s="750"/>
      <c r="L514" s="750"/>
      <c r="M514" s="749"/>
      <c r="N514" s="750"/>
      <c r="O514" s="750"/>
      <c r="P514" s="750"/>
      <c r="Q514" s="750"/>
      <c r="R514" s="750"/>
      <c r="S514" s="750"/>
      <c r="T514" s="750"/>
      <c r="U514" s="750"/>
      <c r="V514" s="750"/>
    </row>
  </sheetData>
  <phoneticPr fontId="39" type="noConversion"/>
  <hyperlinks>
    <hyperlink ref="A5" location="Sch_A" display="." xr:uid="{00000000-0004-0000-1100-000000000000}"/>
  </hyperlinks>
  <pageMargins left="1" right="0.75" top="1" bottom="1" header="0.5" footer="0.5"/>
  <pageSetup scale="57" orientation="landscape" horizontalDpi="300" r:id="rId1"/>
  <headerFooter alignWithMargins="0"/>
  <rowBreaks count="3" manualBreakCount="3">
    <brk id="41" max="65535" man="1"/>
    <brk id="170" max="11" man="1"/>
    <brk id="212" max="1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9">
    <tabColor theme="4" tint="0.39997558519241921"/>
    <pageSetUpPr fitToPage="1"/>
  </sheetPr>
  <dimension ref="A1:L45"/>
  <sheetViews>
    <sheetView zoomScale="90" zoomScaleNormal="90" workbookViewId="0"/>
  </sheetViews>
  <sheetFormatPr defaultColWidth="11.44140625" defaultRowHeight="13.2"/>
  <cols>
    <col min="1" max="3" width="11.44140625" customWidth="1"/>
    <col min="4" max="4" width="45.5546875" customWidth="1"/>
    <col min="5" max="5" width="18.44140625" customWidth="1"/>
    <col min="6" max="6" width="17.44140625" customWidth="1"/>
    <col min="7" max="7" width="13" customWidth="1"/>
    <col min="8" max="8" width="24.5546875" customWidth="1"/>
    <col min="9" max="9" width="12.44140625" customWidth="1"/>
    <col min="10" max="10" width="30.5546875" customWidth="1"/>
  </cols>
  <sheetData>
    <row r="1" spans="1:12" ht="15">
      <c r="A1" s="1193" t="str">
        <f>COMPANY</f>
        <v>DUKE ENERGY KENTUCKY, INC.</v>
      </c>
      <c r="B1" s="1193"/>
      <c r="C1" s="1193"/>
      <c r="D1" s="1193"/>
      <c r="E1" s="1193"/>
      <c r="F1" s="1193"/>
      <c r="G1" s="1193"/>
      <c r="H1" s="1193"/>
      <c r="I1" s="1193"/>
      <c r="J1" s="1193"/>
      <c r="K1" s="1186"/>
    </row>
    <row r="2" spans="1:12" ht="15">
      <c r="A2" s="1193" t="str">
        <f>CASE</f>
        <v>CASE NO. 2024-00354</v>
      </c>
      <c r="B2" s="1193"/>
      <c r="C2" s="1193"/>
      <c r="D2" s="1193"/>
      <c r="E2" s="1193"/>
      <c r="F2" s="1193"/>
      <c r="G2" s="1193"/>
      <c r="H2" s="1193"/>
      <c r="I2" s="1193"/>
      <c r="J2" s="1193"/>
      <c r="K2" s="1186"/>
    </row>
    <row r="3" spans="1:12" ht="15">
      <c r="A3" s="1193" t="s">
        <v>735</v>
      </c>
      <c r="B3" s="1193"/>
      <c r="C3" s="1193"/>
      <c r="D3" s="1193"/>
      <c r="E3" s="1193"/>
      <c r="F3" s="1193"/>
      <c r="G3" s="1193"/>
      <c r="H3" s="1193"/>
      <c r="I3" s="1193"/>
      <c r="J3" s="1193"/>
      <c r="K3" s="1186"/>
    </row>
    <row r="4" spans="1:12" ht="15">
      <c r="A4" s="1156" t="str">
        <f>"FROM MARCH 1, 2024 TO "&amp;RIGHT(TESTYR,(LEN(TESTYR)-16))</f>
        <v>FROM MARCH 1, 2024 TO FEBRUARY 28, 2025</v>
      </c>
      <c r="B4" s="1193"/>
      <c r="C4" s="1193"/>
      <c r="D4" s="1193"/>
      <c r="E4" s="1193"/>
      <c r="F4" s="1193"/>
      <c r="G4" s="1193"/>
      <c r="H4" s="1193"/>
      <c r="I4" s="1193"/>
      <c r="J4" s="1193"/>
      <c r="K4" s="1186"/>
    </row>
    <row r="5" spans="1:12" ht="15">
      <c r="A5" s="1393" t="s">
        <v>55</v>
      </c>
      <c r="B5" s="1186"/>
      <c r="C5" s="1186"/>
      <c r="D5" s="1186"/>
      <c r="E5" s="1186"/>
      <c r="F5" s="1186"/>
      <c r="G5" s="1186"/>
      <c r="H5" s="1186"/>
      <c r="I5" s="1186"/>
      <c r="J5" s="1186"/>
      <c r="K5" s="1186"/>
    </row>
    <row r="6" spans="1:12" ht="15">
      <c r="A6" s="1186"/>
      <c r="B6" s="1186"/>
      <c r="C6" s="1186"/>
      <c r="D6" s="1186"/>
      <c r="E6" s="1186"/>
      <c r="F6" s="1186"/>
      <c r="G6" s="1186"/>
      <c r="H6" s="1186"/>
      <c r="I6" s="1186"/>
      <c r="J6" s="1186"/>
      <c r="K6" s="1186"/>
      <c r="L6" s="29"/>
    </row>
    <row r="7" spans="1:12" ht="15">
      <c r="A7" s="1186"/>
      <c r="B7" s="1186"/>
      <c r="C7" s="1186"/>
      <c r="D7" s="1186"/>
      <c r="E7" s="1186"/>
      <c r="F7" s="1186"/>
      <c r="G7" s="1186"/>
      <c r="H7" s="1186"/>
      <c r="I7" s="1186"/>
      <c r="J7" s="1186"/>
      <c r="K7" s="1186"/>
    </row>
    <row r="8" spans="1:12" ht="15">
      <c r="A8" s="1189" t="str">
        <f>Data</f>
        <v>DATA: "X" BASE PERIOD   FORECASTED PERIOD</v>
      </c>
      <c r="B8" s="1186"/>
      <c r="C8" s="1186"/>
      <c r="D8" s="1186"/>
      <c r="E8" s="1186"/>
      <c r="F8" s="1186"/>
      <c r="G8" s="1186"/>
      <c r="H8" s="1186"/>
      <c r="I8" s="1189" t="s">
        <v>736</v>
      </c>
      <c r="J8" s="1186"/>
      <c r="K8" s="1186"/>
    </row>
    <row r="9" spans="1:12" ht="15">
      <c r="A9" s="1189" t="str">
        <f>Type</f>
        <v xml:space="preserve">TYPE OF FILING:  "X" ORIGINAL   UPDATED    REVISED  </v>
      </c>
      <c r="B9" s="1186"/>
      <c r="C9" s="1186"/>
      <c r="D9" s="1186"/>
      <c r="E9" s="1186"/>
      <c r="F9" s="1186"/>
      <c r="G9" s="1186"/>
      <c r="H9" s="1186"/>
      <c r="I9" s="1189" t="s">
        <v>571</v>
      </c>
      <c r="J9" s="1186"/>
      <c r="K9" s="1186"/>
    </row>
    <row r="10" spans="1:12" ht="15">
      <c r="A10" s="1189" t="s">
        <v>694</v>
      </c>
      <c r="B10" s="1186"/>
      <c r="C10" s="1186"/>
      <c r="D10" s="1186"/>
      <c r="E10" s="1186"/>
      <c r="F10" s="1186"/>
      <c r="G10" s="1186"/>
      <c r="H10" s="1186"/>
      <c r="I10" s="1186" t="s">
        <v>468</v>
      </c>
      <c r="J10" s="1186"/>
      <c r="K10" s="1186"/>
    </row>
    <row r="11" spans="1:12" ht="15">
      <c r="A11" s="1186"/>
      <c r="B11" s="1186"/>
      <c r="C11" s="1186"/>
      <c r="D11" s="1186"/>
      <c r="E11" s="1186"/>
      <c r="F11" s="1186"/>
      <c r="G11" s="1186"/>
      <c r="H11" s="1186"/>
      <c r="I11" s="1186" t="str">
        <f>_WIT7</f>
        <v>G. S. CARPENTER / S. S. MITCHELL</v>
      </c>
      <c r="J11" s="1186"/>
      <c r="K11" s="1186"/>
    </row>
    <row r="12" spans="1:12" ht="15">
      <c r="A12" s="1186"/>
      <c r="B12" s="1186"/>
      <c r="C12" s="1186"/>
      <c r="D12" s="1186"/>
      <c r="E12" s="1186"/>
      <c r="F12" s="1186"/>
      <c r="G12" s="1186"/>
      <c r="H12" s="1186"/>
      <c r="I12" s="1186"/>
      <c r="J12" s="1186"/>
      <c r="K12" s="1186"/>
    </row>
    <row r="13" spans="1:12" ht="15">
      <c r="A13" s="1186"/>
      <c r="B13" s="1186"/>
      <c r="C13" s="1186"/>
      <c r="D13" s="1186"/>
      <c r="E13" s="1186"/>
      <c r="F13" s="1186"/>
      <c r="G13" s="1186"/>
      <c r="H13" s="1186"/>
      <c r="I13" s="1186"/>
      <c r="J13" s="1453"/>
      <c r="K13" s="1186"/>
    </row>
    <row r="14" spans="1:12" ht="15">
      <c r="A14" s="2094"/>
      <c r="B14" s="2094"/>
      <c r="C14" s="2094"/>
      <c r="D14" s="2094"/>
      <c r="E14" s="2094"/>
      <c r="F14" s="2094"/>
      <c r="G14" s="2094"/>
      <c r="H14" s="2094"/>
      <c r="I14" s="2094"/>
      <c r="J14" s="1186"/>
      <c r="K14" s="1186"/>
    </row>
    <row r="15" spans="1:12" ht="15">
      <c r="A15" s="1186"/>
      <c r="B15" s="1187" t="s">
        <v>257</v>
      </c>
      <c r="C15" s="1186" t="s">
        <v>605</v>
      </c>
      <c r="D15" s="1189"/>
      <c r="E15" s="1189"/>
      <c r="F15" s="1189"/>
      <c r="G15" s="1189"/>
      <c r="H15" s="1187" t="s">
        <v>737</v>
      </c>
      <c r="I15" s="1189"/>
      <c r="J15" s="1187" t="s">
        <v>710</v>
      </c>
      <c r="K15" s="1186"/>
    </row>
    <row r="16" spans="1:12" ht="15">
      <c r="A16" s="1187" t="s">
        <v>573</v>
      </c>
      <c r="B16" s="1187" t="s">
        <v>606</v>
      </c>
      <c r="C16" s="1187" t="s">
        <v>606</v>
      </c>
      <c r="D16" s="1187" t="s">
        <v>2</v>
      </c>
      <c r="E16" s="1187" t="s">
        <v>738</v>
      </c>
      <c r="F16" s="1187" t="s">
        <v>739</v>
      </c>
      <c r="G16" s="1187" t="s">
        <v>738</v>
      </c>
      <c r="H16" s="1187" t="s">
        <v>740</v>
      </c>
      <c r="I16" s="1187" t="s">
        <v>741</v>
      </c>
      <c r="J16" s="1187" t="s">
        <v>742</v>
      </c>
      <c r="K16" s="1186"/>
    </row>
    <row r="17" spans="1:11" ht="15">
      <c r="A17" s="1187" t="s">
        <v>576</v>
      </c>
      <c r="B17" s="1187" t="s">
        <v>576</v>
      </c>
      <c r="C17" s="1187" t="s">
        <v>576</v>
      </c>
      <c r="D17" s="1187" t="s">
        <v>743</v>
      </c>
      <c r="E17" s="1187" t="s">
        <v>739</v>
      </c>
      <c r="F17" s="1187" t="s">
        <v>744</v>
      </c>
      <c r="G17" s="1187" t="s">
        <v>698</v>
      </c>
      <c r="H17" s="1192" t="s">
        <v>745</v>
      </c>
      <c r="I17" s="1187" t="s">
        <v>738</v>
      </c>
      <c r="J17" s="1187" t="s">
        <v>746</v>
      </c>
      <c r="K17" s="1186"/>
    </row>
    <row r="18" spans="1:11" ht="15">
      <c r="A18" s="1186"/>
      <c r="B18" s="1186"/>
      <c r="C18" s="1186"/>
      <c r="D18" s="1186"/>
      <c r="E18" s="1186"/>
      <c r="F18" s="1186"/>
      <c r="G18" s="1186"/>
      <c r="H18" s="1186"/>
      <c r="I18" s="1186"/>
      <c r="J18" s="1453"/>
      <c r="K18" s="1186"/>
    </row>
    <row r="19" spans="1:11" ht="15">
      <c r="A19" s="2094"/>
      <c r="B19" s="2094"/>
      <c r="C19" s="2094"/>
      <c r="D19" s="2094"/>
      <c r="E19" s="2094"/>
      <c r="F19" s="2094"/>
      <c r="G19" s="2094"/>
      <c r="H19" s="2094"/>
      <c r="I19" s="2094"/>
      <c r="J19" s="1186"/>
      <c r="K19" s="1186"/>
    </row>
    <row r="20" spans="1:11" ht="15.6">
      <c r="A20" s="1186" t="s">
        <v>747</v>
      </c>
      <c r="B20" s="2289"/>
      <c r="C20" s="1186"/>
      <c r="D20" s="1186"/>
      <c r="E20" s="1186"/>
      <c r="F20" s="1186"/>
      <c r="G20" s="1186"/>
      <c r="H20" s="1186"/>
      <c r="I20" s="1186"/>
      <c r="J20" s="1186"/>
      <c r="K20" s="1186"/>
    </row>
    <row r="21" spans="1:11" ht="15">
      <c r="A21" s="1186"/>
      <c r="B21" s="1186"/>
      <c r="C21" s="1186"/>
      <c r="D21" s="1186"/>
      <c r="E21" s="1188"/>
      <c r="F21" s="1186"/>
      <c r="G21" s="1186"/>
      <c r="H21" s="1186"/>
      <c r="I21" s="1186"/>
      <c r="J21" s="1186"/>
      <c r="K21" s="1186"/>
    </row>
    <row r="22" spans="1:11" ht="15">
      <c r="A22" s="1189"/>
      <c r="B22" s="1186"/>
      <c r="C22" s="1186"/>
      <c r="D22" s="1186"/>
      <c r="E22" s="1188"/>
      <c r="F22" s="1188"/>
      <c r="G22" s="1188"/>
      <c r="H22" s="1188"/>
      <c r="I22" s="1194"/>
      <c r="J22" s="1194"/>
      <c r="K22" s="1186"/>
    </row>
    <row r="23" spans="1:11" ht="15">
      <c r="A23" s="1193" t="str">
        <f>COMPANY</f>
        <v>DUKE ENERGY KENTUCKY, INC.</v>
      </c>
      <c r="B23" s="1193"/>
      <c r="C23" s="1193"/>
      <c r="D23" s="1193"/>
      <c r="E23" s="1193"/>
      <c r="F23" s="1193"/>
      <c r="G23" s="1193"/>
      <c r="H23" s="1193"/>
      <c r="I23" s="1193"/>
      <c r="J23" s="1193"/>
      <c r="K23" s="1186"/>
    </row>
    <row r="24" spans="1:11" ht="15">
      <c r="A24" s="1193" t="str">
        <f>CASE</f>
        <v>CASE NO. 2024-00354</v>
      </c>
      <c r="B24" s="1193"/>
      <c r="C24" s="1193"/>
      <c r="D24" s="1193"/>
      <c r="E24" s="1193"/>
      <c r="F24" s="1193"/>
      <c r="G24" s="1193"/>
      <c r="H24" s="1193"/>
      <c r="I24" s="1193"/>
      <c r="J24" s="1193"/>
      <c r="K24" s="1186"/>
    </row>
    <row r="25" spans="1:11" ht="15">
      <c r="A25" s="1193" t="s">
        <v>735</v>
      </c>
      <c r="B25" s="1193"/>
      <c r="C25" s="1193"/>
      <c r="D25" s="1193"/>
      <c r="E25" s="1193"/>
      <c r="F25" s="1193"/>
      <c r="G25" s="1193"/>
      <c r="H25" s="1193"/>
      <c r="I25" s="1193"/>
      <c r="J25" s="1193"/>
      <c r="K25" s="1186"/>
    </row>
    <row r="26" spans="1:11" ht="15">
      <c r="A26" s="2290" t="str">
        <f>"FROM JULY 1, 2025"&amp;" TO "&amp;RIGHT(Forecast,(LEN(Forecast)-16))</f>
        <v>FROM JULY 1, 2025 TO JUNE 30, 2026</v>
      </c>
      <c r="B26" s="1193"/>
      <c r="C26" s="1193"/>
      <c r="D26" s="1193"/>
      <c r="E26" s="1193"/>
      <c r="F26" s="1193"/>
      <c r="G26" s="1193"/>
      <c r="H26" s="1193"/>
      <c r="I26" s="1193"/>
      <c r="J26" s="1193"/>
      <c r="K26" s="1186"/>
    </row>
    <row r="27" spans="1:11" ht="15">
      <c r="A27" s="1186"/>
      <c r="B27" s="1186"/>
      <c r="C27" s="1186"/>
      <c r="D27" s="1186"/>
      <c r="E27" s="1186"/>
      <c r="F27" s="1186"/>
      <c r="G27" s="1186"/>
      <c r="H27" s="1186"/>
      <c r="I27" s="1186"/>
      <c r="J27" s="1186"/>
      <c r="K27" s="1186"/>
    </row>
    <row r="28" spans="1:11" ht="15">
      <c r="A28" s="1186"/>
      <c r="B28" s="1186"/>
      <c r="C28" s="1186"/>
      <c r="D28" s="1186"/>
      <c r="E28" s="1186"/>
      <c r="F28" s="1186"/>
      <c r="G28" s="1186"/>
      <c r="H28" s="1186"/>
      <c r="I28" s="1186"/>
      <c r="J28" s="1186"/>
      <c r="K28" s="1186"/>
    </row>
    <row r="29" spans="1:11" ht="15">
      <c r="A29" s="1186"/>
      <c r="B29" s="1186"/>
      <c r="C29" s="1186"/>
      <c r="D29" s="1186"/>
      <c r="E29" s="1186"/>
      <c r="F29" s="1186"/>
      <c r="G29" s="1186"/>
      <c r="H29" s="1186"/>
      <c r="I29" s="1186"/>
      <c r="J29" s="1186"/>
      <c r="K29" s="1186"/>
    </row>
    <row r="30" spans="1:11" ht="15">
      <c r="A30" s="1189" t="str">
        <f>DataF</f>
        <v>DATA:  BASE PERIOD  "X" FORECASTED PERIOD</v>
      </c>
      <c r="B30" s="1186"/>
      <c r="C30" s="1186"/>
      <c r="D30" s="1186"/>
      <c r="E30" s="1186"/>
      <c r="F30" s="1186"/>
      <c r="G30" s="1186"/>
      <c r="H30" s="1186"/>
      <c r="I30" s="1189" t="s">
        <v>736</v>
      </c>
      <c r="J30" s="1186"/>
      <c r="K30" s="1186"/>
    </row>
    <row r="31" spans="1:11" ht="15">
      <c r="A31" s="1189" t="str">
        <f>Type</f>
        <v xml:space="preserve">TYPE OF FILING:  "X" ORIGINAL   UPDATED    REVISED  </v>
      </c>
      <c r="B31" s="1186"/>
      <c r="C31" s="1186"/>
      <c r="D31" s="1186"/>
      <c r="E31" s="1186"/>
      <c r="F31" s="1186"/>
      <c r="G31" s="1186"/>
      <c r="H31" s="1186"/>
      <c r="I31" s="1189" t="s">
        <v>590</v>
      </c>
      <c r="J31" s="1186"/>
      <c r="K31" s="1186"/>
    </row>
    <row r="32" spans="1:11" ht="15">
      <c r="A32" s="1189" t="s">
        <v>694</v>
      </c>
      <c r="B32" s="1186"/>
      <c r="C32" s="1186"/>
      <c r="D32" s="1186"/>
      <c r="E32" s="1186"/>
      <c r="F32" s="1186"/>
      <c r="G32" s="1186"/>
      <c r="H32" s="1186"/>
      <c r="I32" s="1186" t="s">
        <v>468</v>
      </c>
      <c r="J32" s="1186"/>
      <c r="K32" s="1186"/>
    </row>
    <row r="33" spans="1:11" ht="15">
      <c r="A33" s="1186"/>
      <c r="B33" s="1186"/>
      <c r="C33" s="1186"/>
      <c r="D33" s="1186"/>
      <c r="E33" s="1186"/>
      <c r="F33" s="1186"/>
      <c r="G33" s="1186"/>
      <c r="H33" s="1186"/>
      <c r="I33" s="1186" t="str">
        <f>_WIT7</f>
        <v>G. S. CARPENTER / S. S. MITCHELL</v>
      </c>
      <c r="J33" s="1186"/>
      <c r="K33" s="1186"/>
    </row>
    <row r="34" spans="1:11" ht="15">
      <c r="A34" s="1186"/>
      <c r="B34" s="1186"/>
      <c r="C34" s="1186"/>
      <c r="D34" s="1186"/>
      <c r="E34" s="1186"/>
      <c r="F34" s="1186"/>
      <c r="G34" s="1186"/>
      <c r="H34" s="1186"/>
      <c r="I34" s="1186"/>
      <c r="J34" s="1186"/>
      <c r="K34" s="1186"/>
    </row>
    <row r="35" spans="1:11" ht="15">
      <c r="A35" s="1186"/>
      <c r="B35" s="1186"/>
      <c r="C35" s="1186"/>
      <c r="D35" s="1186"/>
      <c r="E35" s="1186"/>
      <c r="F35" s="1186"/>
      <c r="G35" s="1186"/>
      <c r="H35" s="1186"/>
      <c r="I35" s="1186"/>
      <c r="J35" s="1453"/>
      <c r="K35" s="1186"/>
    </row>
    <row r="36" spans="1:11" ht="15">
      <c r="A36" s="2094"/>
      <c r="B36" s="2094"/>
      <c r="C36" s="2094"/>
      <c r="D36" s="2094"/>
      <c r="E36" s="2094"/>
      <c r="F36" s="2094"/>
      <c r="G36" s="2094"/>
      <c r="H36" s="2094"/>
      <c r="I36" s="2094"/>
      <c r="J36" s="1186"/>
      <c r="K36" s="1186"/>
    </row>
    <row r="37" spans="1:11" ht="15">
      <c r="A37" s="1186"/>
      <c r="B37" s="1187" t="s">
        <v>257</v>
      </c>
      <c r="C37" s="1186" t="s">
        <v>605</v>
      </c>
      <c r="D37" s="1189"/>
      <c r="E37" s="1189"/>
      <c r="F37" s="1189"/>
      <c r="G37" s="1189"/>
      <c r="H37" s="1187" t="s">
        <v>737</v>
      </c>
      <c r="I37" s="1189"/>
      <c r="J37" s="1187" t="s">
        <v>710</v>
      </c>
      <c r="K37" s="1186"/>
    </row>
    <row r="38" spans="1:11" ht="15">
      <c r="A38" s="1187" t="s">
        <v>573</v>
      </c>
      <c r="B38" s="1187" t="s">
        <v>606</v>
      </c>
      <c r="C38" s="1187" t="s">
        <v>606</v>
      </c>
      <c r="D38" s="1187" t="s">
        <v>2</v>
      </c>
      <c r="E38" s="1187" t="s">
        <v>738</v>
      </c>
      <c r="F38" s="1187" t="s">
        <v>739</v>
      </c>
      <c r="G38" s="1187" t="s">
        <v>738</v>
      </c>
      <c r="H38" s="1187" t="s">
        <v>740</v>
      </c>
      <c r="I38" s="1187" t="s">
        <v>741</v>
      </c>
      <c r="J38" s="1187" t="s">
        <v>742</v>
      </c>
      <c r="K38" s="1186"/>
    </row>
    <row r="39" spans="1:11" ht="15">
      <c r="A39" s="1187" t="s">
        <v>576</v>
      </c>
      <c r="B39" s="1187" t="s">
        <v>576</v>
      </c>
      <c r="C39" s="1187" t="s">
        <v>576</v>
      </c>
      <c r="D39" s="1187" t="s">
        <v>743</v>
      </c>
      <c r="E39" s="1187" t="s">
        <v>739</v>
      </c>
      <c r="F39" s="1187" t="s">
        <v>744</v>
      </c>
      <c r="G39" s="1187" t="s">
        <v>698</v>
      </c>
      <c r="H39" s="1192" t="s">
        <v>745</v>
      </c>
      <c r="I39" s="1187" t="s">
        <v>738</v>
      </c>
      <c r="J39" s="1187" t="s">
        <v>746</v>
      </c>
      <c r="K39" s="1186"/>
    </row>
    <row r="40" spans="1:11" ht="15">
      <c r="A40" s="1186"/>
      <c r="B40" s="1186"/>
      <c r="C40" s="1186"/>
      <c r="D40" s="1186"/>
      <c r="E40" s="1186"/>
      <c r="F40" s="1186"/>
      <c r="G40" s="1186"/>
      <c r="H40" s="1186"/>
      <c r="I40" s="1186"/>
      <c r="J40" s="1453"/>
      <c r="K40" s="1186"/>
    </row>
    <row r="41" spans="1:11" ht="15">
      <c r="A41" s="2094"/>
      <c r="B41" s="2094"/>
      <c r="C41" s="2094"/>
      <c r="D41" s="2094"/>
      <c r="E41" s="2094"/>
      <c r="F41" s="2094"/>
      <c r="G41" s="2094"/>
      <c r="H41" s="2094"/>
      <c r="I41" s="2094"/>
      <c r="J41" s="1186"/>
      <c r="K41" s="1186"/>
    </row>
    <row r="42" spans="1:11" ht="15">
      <c r="A42" s="1186" t="s">
        <v>747</v>
      </c>
      <c r="B42" s="1189"/>
      <c r="C42" s="1186"/>
      <c r="D42" s="1186"/>
      <c r="E42" s="1186"/>
      <c r="F42" s="1186"/>
      <c r="G42" s="1186"/>
      <c r="H42" s="1186"/>
      <c r="I42" s="1186"/>
      <c r="J42" s="1186"/>
      <c r="K42" s="1186"/>
    </row>
    <row r="43" spans="1:11" ht="15">
      <c r="A43" s="1187"/>
      <c r="B43" s="1187"/>
      <c r="C43" s="1187"/>
      <c r="D43" s="1189"/>
      <c r="E43" s="1188"/>
      <c r="F43" s="1188"/>
      <c r="G43" s="1188"/>
      <c r="H43" s="1191"/>
      <c r="I43" s="1190"/>
      <c r="J43" s="1186"/>
      <c r="K43" s="1186"/>
    </row>
    <row r="44" spans="1:11" ht="15">
      <c r="A44" s="1187"/>
      <c r="B44" s="1187"/>
      <c r="C44" s="1187"/>
      <c r="D44" s="1189"/>
      <c r="E44" s="1188"/>
      <c r="F44" s="1188"/>
      <c r="G44" s="1188"/>
      <c r="H44" s="1187"/>
      <c r="I44" s="1187"/>
      <c r="J44" s="1186"/>
      <c r="K44" s="1186"/>
    </row>
    <row r="45" spans="1:11" ht="15">
      <c r="A45" s="1187"/>
      <c r="B45" s="1187"/>
      <c r="C45" s="1187"/>
      <c r="D45" s="1189"/>
      <c r="E45" s="1188"/>
      <c r="F45" s="1188"/>
      <c r="G45" s="1188"/>
      <c r="H45" s="1187"/>
      <c r="I45" s="1187"/>
      <c r="J45" s="1186"/>
      <c r="K45" s="1186"/>
    </row>
  </sheetData>
  <hyperlinks>
    <hyperlink ref="A5" location="Sch_A" display="." xr:uid="{00000000-0004-0000-1200-000000000000}"/>
  </hyperlinks>
  <printOptions horizontalCentered="1"/>
  <pageMargins left="1" right="0.75" top="1" bottom="1" header="0.5" footer="0.5"/>
  <pageSetup scale="61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0">
    <tabColor theme="4" tint="0.39997558519241921"/>
    <pageSetUpPr fitToPage="1"/>
  </sheetPr>
  <dimension ref="A1:H60"/>
  <sheetViews>
    <sheetView workbookViewId="0"/>
  </sheetViews>
  <sheetFormatPr defaultColWidth="11.44140625" defaultRowHeight="13.2"/>
  <cols>
    <col min="1" max="1" width="16.5546875" customWidth="1"/>
    <col min="2" max="2" width="27.5546875" customWidth="1"/>
    <col min="3" max="3" width="24.5546875" customWidth="1"/>
    <col min="4" max="4" width="13.5546875" customWidth="1"/>
    <col min="5" max="5" width="18.44140625" customWidth="1"/>
    <col min="6" max="6" width="13.5546875" customWidth="1"/>
    <col min="7" max="7" width="22.44140625" customWidth="1"/>
  </cols>
  <sheetData>
    <row r="1" spans="1:8">
      <c r="A1" s="59" t="str">
        <f>COMPANY</f>
        <v>DUKE ENERGY KENTUCKY, INC.</v>
      </c>
      <c r="B1" s="59"/>
      <c r="C1" s="1155"/>
      <c r="D1" s="59"/>
      <c r="E1" s="59"/>
      <c r="F1" s="59"/>
      <c r="G1" s="59"/>
      <c r="H1" s="780"/>
    </row>
    <row r="2" spans="1:8">
      <c r="A2" s="59" t="str">
        <f>CASE</f>
        <v>CASE NO. 2024-00354</v>
      </c>
      <c r="B2" s="59"/>
      <c r="C2" s="1155"/>
      <c r="D2" s="59"/>
      <c r="E2" s="59"/>
      <c r="F2" s="59"/>
      <c r="G2" s="59"/>
      <c r="H2" s="780"/>
    </row>
    <row r="3" spans="1:8">
      <c r="A3" s="59" t="s">
        <v>748</v>
      </c>
      <c r="B3" s="59"/>
      <c r="C3" s="1155"/>
      <c r="D3" s="59"/>
      <c r="E3" s="59"/>
      <c r="F3" s="59"/>
      <c r="G3" s="59"/>
      <c r="H3" s="780"/>
    </row>
    <row r="4" spans="1:8">
      <c r="A4" s="59" t="s">
        <v>749</v>
      </c>
      <c r="B4" s="59"/>
      <c r="C4" s="1155"/>
      <c r="D4" s="59"/>
      <c r="E4" s="59"/>
      <c r="F4" s="59"/>
      <c r="G4" s="59"/>
      <c r="H4" s="780"/>
    </row>
    <row r="5" spans="1:8">
      <c r="A5" s="47" t="str">
        <f>"AS OF " &amp;RIGHT(TESTYR,(LEN(TESTYR)-16))</f>
        <v>AS OF FEBRUARY 28, 2025</v>
      </c>
      <c r="B5" s="59"/>
      <c r="C5" s="1155"/>
      <c r="D5" s="59"/>
      <c r="E5" s="59"/>
      <c r="F5" s="59"/>
      <c r="G5" s="59"/>
      <c r="H5" s="780"/>
    </row>
    <row r="6" spans="1:8">
      <c r="A6" s="1393" t="s">
        <v>55</v>
      </c>
      <c r="B6" s="750"/>
      <c r="C6" s="750"/>
      <c r="D6" s="750"/>
      <c r="E6" s="750"/>
      <c r="F6" s="750"/>
      <c r="G6" s="750"/>
      <c r="H6" s="780"/>
    </row>
    <row r="7" spans="1:8">
      <c r="A7" s="750"/>
      <c r="B7" s="750"/>
      <c r="C7" s="750"/>
      <c r="D7" s="750"/>
      <c r="E7" s="750"/>
      <c r="F7" s="750"/>
      <c r="G7" s="750"/>
      <c r="H7" s="780"/>
    </row>
    <row r="8" spans="1:8">
      <c r="A8" s="750"/>
      <c r="B8" s="750"/>
      <c r="C8" s="750"/>
      <c r="D8" s="750"/>
      <c r="E8" s="750"/>
      <c r="F8" s="750"/>
      <c r="G8" s="750"/>
      <c r="H8" s="780"/>
    </row>
    <row r="9" spans="1:8">
      <c r="A9" s="737" t="str">
        <f>Data</f>
        <v>DATA: "X" BASE PERIOD   FORECASTED PERIOD</v>
      </c>
      <c r="B9" s="750"/>
      <c r="C9" s="750"/>
      <c r="D9" s="750"/>
      <c r="E9" s="750"/>
      <c r="F9" s="737" t="s">
        <v>750</v>
      </c>
      <c r="G9" s="780"/>
      <c r="H9" s="780"/>
    </row>
    <row r="10" spans="1:8">
      <c r="A10" s="737" t="str">
        <f>Type</f>
        <v xml:space="preserve">TYPE OF FILING:  "X" ORIGINAL   UPDATED    REVISED  </v>
      </c>
      <c r="B10" s="750"/>
      <c r="C10" s="750"/>
      <c r="D10" s="750"/>
      <c r="E10" s="750"/>
      <c r="F10" s="737" t="s">
        <v>571</v>
      </c>
      <c r="G10" s="780"/>
      <c r="H10" s="780"/>
    </row>
    <row r="11" spans="1:8">
      <c r="A11" s="737" t="s">
        <v>694</v>
      </c>
      <c r="B11" s="750"/>
      <c r="C11" s="750"/>
      <c r="D11" s="750"/>
      <c r="E11" s="750"/>
      <c r="F11" s="750" t="s">
        <v>468</v>
      </c>
      <c r="G11" s="780"/>
      <c r="H11" s="780"/>
    </row>
    <row r="12" spans="1:8">
      <c r="A12" s="750"/>
      <c r="B12" s="750"/>
      <c r="C12" s="750"/>
      <c r="D12" s="750"/>
      <c r="E12" s="750"/>
      <c r="F12" s="750" t="str">
        <f>_WIT7</f>
        <v>G. S. CARPENTER / S. S. MITCHELL</v>
      </c>
      <c r="G12" s="780"/>
      <c r="H12" s="780"/>
    </row>
    <row r="13" spans="1:8">
      <c r="A13" s="750"/>
      <c r="B13" s="750"/>
      <c r="C13" s="750"/>
      <c r="D13" s="750"/>
      <c r="E13" s="750"/>
      <c r="F13" s="750"/>
      <c r="G13" s="750"/>
      <c r="H13" s="780"/>
    </row>
    <row r="14" spans="1:8">
      <c r="A14" s="750"/>
      <c r="B14" s="750"/>
      <c r="C14" s="750"/>
      <c r="D14" s="750"/>
      <c r="E14" s="750"/>
      <c r="F14" s="750"/>
      <c r="G14" s="750"/>
      <c r="H14" s="780"/>
    </row>
    <row r="15" spans="1:8">
      <c r="A15" s="2082"/>
      <c r="B15" s="2082"/>
      <c r="C15" s="2082"/>
      <c r="D15" s="2082"/>
      <c r="E15" s="2082"/>
      <c r="F15" s="2089" t="s">
        <v>751</v>
      </c>
      <c r="G15" s="2082"/>
      <c r="H15" s="780"/>
    </row>
    <row r="16" spans="1:8">
      <c r="A16" s="53" t="s">
        <v>752</v>
      </c>
      <c r="B16" s="750"/>
      <c r="C16" s="750"/>
      <c r="D16" s="780"/>
      <c r="E16" s="780"/>
      <c r="F16" s="53" t="s">
        <v>753</v>
      </c>
      <c r="G16" s="750"/>
      <c r="H16" s="780"/>
    </row>
    <row r="17" spans="1:8">
      <c r="A17" s="53" t="s">
        <v>754</v>
      </c>
      <c r="B17" s="53" t="s">
        <v>755</v>
      </c>
      <c r="C17" s="53" t="s">
        <v>756</v>
      </c>
      <c r="D17" s="53" t="s">
        <v>757</v>
      </c>
      <c r="E17" s="53" t="s">
        <v>758</v>
      </c>
      <c r="F17" s="53" t="s">
        <v>759</v>
      </c>
      <c r="G17" s="53" t="s">
        <v>760</v>
      </c>
      <c r="H17" s="780"/>
    </row>
    <row r="18" spans="1:8">
      <c r="A18" s="53" t="s">
        <v>761</v>
      </c>
      <c r="B18" s="53" t="s">
        <v>762</v>
      </c>
      <c r="C18" s="53" t="s">
        <v>763</v>
      </c>
      <c r="D18" s="53" t="s">
        <v>764</v>
      </c>
      <c r="E18" s="53" t="s">
        <v>765</v>
      </c>
      <c r="F18" s="53" t="s">
        <v>717</v>
      </c>
      <c r="G18" s="53" t="s">
        <v>449</v>
      </c>
      <c r="H18" s="780"/>
    </row>
    <row r="19" spans="1:8">
      <c r="A19" s="750"/>
      <c r="B19" s="750"/>
      <c r="C19" s="750"/>
      <c r="D19" s="750"/>
      <c r="E19" s="750"/>
      <c r="F19" s="750"/>
      <c r="G19" s="750"/>
      <c r="H19" s="780"/>
    </row>
    <row r="20" spans="1:8">
      <c r="A20" s="2082"/>
      <c r="B20" s="2082"/>
      <c r="C20" s="2082"/>
      <c r="D20" s="2082"/>
      <c r="E20" s="2082"/>
      <c r="F20" s="2082"/>
      <c r="G20" s="2082"/>
      <c r="H20" s="780"/>
    </row>
    <row r="21" spans="1:8">
      <c r="A21" s="750"/>
      <c r="B21" s="2291"/>
      <c r="C21" s="728"/>
      <c r="D21" s="806"/>
      <c r="E21" s="781"/>
      <c r="F21" s="781"/>
      <c r="G21" s="728"/>
      <c r="H21" s="780"/>
    </row>
    <row r="22" spans="1:8">
      <c r="B22" s="750" t="s">
        <v>3163</v>
      </c>
      <c r="C22" s="728"/>
      <c r="D22" s="806"/>
      <c r="E22" s="781"/>
      <c r="F22" s="781"/>
      <c r="G22" s="728"/>
      <c r="H22" s="780"/>
    </row>
    <row r="23" spans="1:8">
      <c r="A23" s="780"/>
      <c r="B23" s="870"/>
      <c r="C23" s="870"/>
      <c r="D23" s="2292"/>
      <c r="E23" s="781"/>
      <c r="F23" s="781"/>
      <c r="G23" s="870"/>
      <c r="H23" s="780"/>
    </row>
    <row r="24" spans="1:8">
      <c r="A24" s="780"/>
      <c r="B24" s="2291"/>
      <c r="C24" s="728"/>
      <c r="D24" s="806"/>
      <c r="E24" s="781"/>
      <c r="F24" s="781"/>
      <c r="G24" s="728"/>
      <c r="H24" s="780"/>
    </row>
    <row r="25" spans="1:8">
      <c r="A25" s="780"/>
      <c r="B25" s="2291"/>
      <c r="C25" s="2291"/>
      <c r="D25" s="2291"/>
      <c r="E25" s="1286"/>
      <c r="F25" s="1286"/>
      <c r="G25" s="728"/>
      <c r="H25" s="780"/>
    </row>
    <row r="26" spans="1:8">
      <c r="A26" s="780"/>
      <c r="B26" s="780"/>
      <c r="C26" s="780"/>
      <c r="D26" s="780"/>
      <c r="E26" s="1287"/>
      <c r="F26" s="1287"/>
      <c r="G26" s="780"/>
      <c r="H26" s="780"/>
    </row>
    <row r="27" spans="1:8">
      <c r="A27" s="780"/>
      <c r="B27" s="750"/>
      <c r="C27" s="780"/>
      <c r="D27" s="780"/>
      <c r="E27" s="1288"/>
      <c r="F27" s="1288"/>
      <c r="G27" s="780"/>
      <c r="H27" s="780"/>
    </row>
    <row r="28" spans="1:8">
      <c r="A28" s="780"/>
      <c r="B28" s="780"/>
      <c r="C28" s="780"/>
      <c r="D28" s="780"/>
      <c r="E28" s="780"/>
      <c r="F28" s="780"/>
      <c r="G28" s="780"/>
      <c r="H28" s="780"/>
    </row>
    <row r="29" spans="1:8">
      <c r="A29" s="780"/>
      <c r="B29" s="780"/>
      <c r="C29" s="780"/>
      <c r="D29" s="780"/>
      <c r="E29" s="780"/>
      <c r="F29" s="780"/>
      <c r="G29" s="780"/>
      <c r="H29" s="780"/>
    </row>
    <row r="30" spans="1:8">
      <c r="A30" s="780"/>
      <c r="B30" s="780"/>
      <c r="C30" s="780"/>
      <c r="D30" s="780"/>
      <c r="E30" s="780"/>
      <c r="F30" s="780"/>
      <c r="G30" s="780"/>
      <c r="H30" s="780"/>
    </row>
    <row r="31" spans="1:8">
      <c r="A31" s="780"/>
      <c r="B31" s="780"/>
      <c r="C31" s="780"/>
      <c r="D31" s="780"/>
      <c r="E31" s="780"/>
      <c r="F31" s="780"/>
      <c r="G31" s="780"/>
      <c r="H31" s="780"/>
    </row>
    <row r="32" spans="1:8">
      <c r="A32" s="59" t="str">
        <f>COMPANY</f>
        <v>DUKE ENERGY KENTUCKY, INC.</v>
      </c>
      <c r="B32" s="59"/>
      <c r="C32" s="1155"/>
      <c r="D32" s="59"/>
      <c r="E32" s="59"/>
      <c r="F32" s="59"/>
      <c r="G32" s="59"/>
      <c r="H32" s="780"/>
    </row>
    <row r="33" spans="1:8">
      <c r="A33" s="59" t="str">
        <f>CASE</f>
        <v>CASE NO. 2024-00354</v>
      </c>
      <c r="B33" s="59"/>
      <c r="C33" s="1155"/>
      <c r="D33" s="59"/>
      <c r="E33" s="59"/>
      <c r="F33" s="59"/>
      <c r="G33" s="59"/>
      <c r="H33" s="780"/>
    </row>
    <row r="34" spans="1:8">
      <c r="A34" s="59" t="s">
        <v>748</v>
      </c>
      <c r="B34" s="59"/>
      <c r="C34" s="1155"/>
      <c r="D34" s="59"/>
      <c r="E34" s="59"/>
      <c r="F34" s="59"/>
      <c r="G34" s="59"/>
      <c r="H34" s="780"/>
    </row>
    <row r="35" spans="1:8">
      <c r="A35" s="59" t="s">
        <v>749</v>
      </c>
      <c r="B35" s="59"/>
      <c r="C35" s="1155"/>
      <c r="D35" s="59"/>
      <c r="E35" s="59"/>
      <c r="F35" s="59"/>
      <c r="G35" s="59"/>
      <c r="H35" s="780"/>
    </row>
    <row r="36" spans="1:8">
      <c r="A36" s="47" t="str">
        <f>"AS OF " &amp;RIGHT(Forecast,(LEN(Forecast)-16))</f>
        <v>AS OF JUNE 30, 2026</v>
      </c>
      <c r="B36" s="59"/>
      <c r="C36" s="1155"/>
      <c r="D36" s="59"/>
      <c r="E36" s="59"/>
      <c r="F36" s="59"/>
      <c r="G36" s="59"/>
      <c r="H36" s="780"/>
    </row>
    <row r="37" spans="1:8">
      <c r="A37" s="750"/>
      <c r="B37" s="750"/>
      <c r="C37" s="750"/>
      <c r="D37" s="750"/>
      <c r="E37" s="750"/>
      <c r="F37" s="750"/>
      <c r="G37" s="750"/>
      <c r="H37" s="780"/>
    </row>
    <row r="38" spans="1:8">
      <c r="A38" s="750"/>
      <c r="B38" s="750"/>
      <c r="C38" s="750"/>
      <c r="D38" s="750"/>
      <c r="E38" s="750"/>
      <c r="F38" s="750"/>
      <c r="G38" s="750"/>
      <c r="H38" s="780"/>
    </row>
    <row r="39" spans="1:8">
      <c r="A39" s="750"/>
      <c r="B39" s="750"/>
      <c r="C39" s="750"/>
      <c r="D39" s="750"/>
      <c r="E39" s="750"/>
      <c r="F39" s="750"/>
      <c r="G39" s="750"/>
      <c r="H39" s="780"/>
    </row>
    <row r="40" spans="1:8">
      <c r="A40" s="737" t="str">
        <f>DataF</f>
        <v>DATA:  BASE PERIOD  "X" FORECASTED PERIOD</v>
      </c>
      <c r="B40" s="750"/>
      <c r="C40" s="750"/>
      <c r="D40" s="750"/>
      <c r="E40" s="750"/>
      <c r="F40" s="737" t="s">
        <v>750</v>
      </c>
      <c r="G40" s="780"/>
      <c r="H40" s="780"/>
    </row>
    <row r="41" spans="1:8">
      <c r="A41" s="737" t="str">
        <f>Type</f>
        <v xml:space="preserve">TYPE OF FILING:  "X" ORIGINAL   UPDATED    REVISED  </v>
      </c>
      <c r="B41" s="750"/>
      <c r="C41" s="750"/>
      <c r="D41" s="750"/>
      <c r="E41" s="750"/>
      <c r="F41" s="737" t="s">
        <v>590</v>
      </c>
      <c r="G41" s="780"/>
      <c r="H41" s="780"/>
    </row>
    <row r="42" spans="1:8">
      <c r="A42" s="737" t="s">
        <v>694</v>
      </c>
      <c r="B42" s="750"/>
      <c r="C42" s="750"/>
      <c r="D42" s="750"/>
      <c r="E42" s="750"/>
      <c r="F42" s="750" t="s">
        <v>468</v>
      </c>
      <c r="G42" s="780"/>
      <c r="H42" s="780"/>
    </row>
    <row r="43" spans="1:8">
      <c r="A43" s="750"/>
      <c r="B43" s="750"/>
      <c r="C43" s="750"/>
      <c r="D43" s="750"/>
      <c r="E43" s="750"/>
      <c r="F43" s="750" t="str">
        <f>_WIT7</f>
        <v>G. S. CARPENTER / S. S. MITCHELL</v>
      </c>
      <c r="G43" s="780"/>
      <c r="H43" s="780"/>
    </row>
    <row r="44" spans="1:8">
      <c r="A44" s="750"/>
      <c r="B44" s="750"/>
      <c r="C44" s="750"/>
      <c r="D44" s="750"/>
      <c r="E44" s="750"/>
      <c r="F44" s="750"/>
      <c r="G44" s="750"/>
      <c r="H44" s="780"/>
    </row>
    <row r="45" spans="1:8">
      <c r="A45" s="750"/>
      <c r="B45" s="750"/>
      <c r="C45" s="750"/>
      <c r="D45" s="750"/>
      <c r="E45" s="750"/>
      <c r="F45" s="750"/>
      <c r="G45" s="750"/>
      <c r="H45" s="780"/>
    </row>
    <row r="46" spans="1:8">
      <c r="A46" s="2082"/>
      <c r="B46" s="2082"/>
      <c r="C46" s="2082"/>
      <c r="D46" s="2082"/>
      <c r="E46" s="2082"/>
      <c r="F46" s="2089" t="s">
        <v>751</v>
      </c>
      <c r="G46" s="2082"/>
      <c r="H46" s="780"/>
    </row>
    <row r="47" spans="1:8">
      <c r="A47" s="53" t="s">
        <v>752</v>
      </c>
      <c r="B47" s="750"/>
      <c r="C47" s="750"/>
      <c r="D47" s="780"/>
      <c r="E47" s="780"/>
      <c r="F47" s="53" t="s">
        <v>753</v>
      </c>
      <c r="G47" s="750"/>
      <c r="H47" s="780"/>
    </row>
    <row r="48" spans="1:8">
      <c r="A48" s="53" t="s">
        <v>754</v>
      </c>
      <c r="B48" s="53" t="s">
        <v>755</v>
      </c>
      <c r="C48" s="53" t="s">
        <v>756</v>
      </c>
      <c r="D48" s="53" t="s">
        <v>757</v>
      </c>
      <c r="E48" s="53" t="s">
        <v>758</v>
      </c>
      <c r="F48" s="53" t="s">
        <v>759</v>
      </c>
      <c r="G48" s="53" t="s">
        <v>760</v>
      </c>
      <c r="H48" s="780"/>
    </row>
    <row r="49" spans="1:8">
      <c r="A49" s="53" t="s">
        <v>761</v>
      </c>
      <c r="B49" s="53" t="s">
        <v>762</v>
      </c>
      <c r="C49" s="53" t="s">
        <v>763</v>
      </c>
      <c r="D49" s="53" t="s">
        <v>764</v>
      </c>
      <c r="E49" s="53" t="s">
        <v>765</v>
      </c>
      <c r="F49" s="53" t="s">
        <v>717</v>
      </c>
      <c r="G49" s="53" t="s">
        <v>449</v>
      </c>
      <c r="H49" s="780"/>
    </row>
    <row r="50" spans="1:8">
      <c r="A50" s="750"/>
      <c r="B50" s="750"/>
      <c r="C50" s="750"/>
      <c r="D50" s="750"/>
      <c r="E50" s="750"/>
      <c r="F50" s="750"/>
      <c r="G50" s="750"/>
      <c r="H50" s="780"/>
    </row>
    <row r="51" spans="1:8">
      <c r="A51" s="2082"/>
      <c r="B51" s="2082"/>
      <c r="C51" s="2082"/>
      <c r="D51" s="2082"/>
      <c r="E51" s="2082"/>
      <c r="F51" s="2082"/>
      <c r="G51" s="2082"/>
      <c r="H51" s="780"/>
    </row>
    <row r="52" spans="1:8">
      <c r="A52" s="750"/>
      <c r="B52" s="2291"/>
      <c r="C52" s="728"/>
      <c r="D52" s="806"/>
      <c r="E52" s="781"/>
      <c r="F52" s="781"/>
      <c r="G52" s="728"/>
      <c r="H52" s="780"/>
    </row>
    <row r="53" spans="1:8">
      <c r="B53" s="750" t="s">
        <v>766</v>
      </c>
      <c r="C53" s="728"/>
      <c r="D53" s="806"/>
      <c r="E53" s="781"/>
      <c r="F53" s="781"/>
      <c r="G53" s="728"/>
      <c r="H53" s="780"/>
    </row>
    <row r="54" spans="1:8">
      <c r="A54" s="780"/>
      <c r="B54" s="870"/>
      <c r="C54" s="870"/>
      <c r="D54" s="2292"/>
      <c r="E54" s="781"/>
      <c r="F54" s="781"/>
      <c r="G54" s="870"/>
      <c r="H54" s="780"/>
    </row>
    <row r="55" spans="1:8">
      <c r="A55" s="780"/>
      <c r="B55" s="2291"/>
      <c r="C55" s="728"/>
      <c r="D55" s="806"/>
      <c r="E55" s="781"/>
      <c r="F55" s="781"/>
      <c r="G55" s="728"/>
      <c r="H55" s="780"/>
    </row>
    <row r="56" spans="1:8">
      <c r="A56" s="780"/>
      <c r="B56" s="2291"/>
      <c r="C56" s="2291"/>
      <c r="D56" s="2291"/>
      <c r="E56" s="1286"/>
      <c r="F56" s="1286"/>
      <c r="G56" s="728"/>
      <c r="H56" s="780"/>
    </row>
    <row r="57" spans="1:8">
      <c r="A57" s="780"/>
      <c r="B57" s="780"/>
      <c r="C57" s="780"/>
      <c r="D57" s="780"/>
      <c r="E57" s="1287"/>
      <c r="F57" s="1287"/>
      <c r="G57" s="780"/>
      <c r="H57" s="780"/>
    </row>
    <row r="58" spans="1:8">
      <c r="A58" s="780"/>
      <c r="B58" s="750"/>
      <c r="C58" s="780"/>
      <c r="D58" s="780"/>
      <c r="E58" s="1288"/>
      <c r="F58" s="1288"/>
      <c r="G58" s="780"/>
      <c r="H58" s="780"/>
    </row>
    <row r="59" spans="1:8">
      <c r="A59" s="780"/>
      <c r="B59" s="780"/>
      <c r="C59" s="780"/>
      <c r="D59" s="780"/>
      <c r="E59" s="780"/>
      <c r="F59" s="780"/>
      <c r="G59" s="780"/>
      <c r="H59" s="780"/>
    </row>
    <row r="60" spans="1:8">
      <c r="A60" s="780"/>
      <c r="B60" s="780"/>
      <c r="C60" s="780"/>
      <c r="D60" s="780"/>
      <c r="E60" s="780"/>
      <c r="F60" s="780"/>
      <c r="G60" s="780"/>
      <c r="H60" s="780"/>
    </row>
  </sheetData>
  <hyperlinks>
    <hyperlink ref="A6" location="Sch_A" display="." xr:uid="{00000000-0004-0000-1300-000000000000}"/>
  </hyperlinks>
  <printOptions horizontalCentered="1"/>
  <pageMargins left="1" right="0.75" top="1" bottom="1" header="0.5" footer="0.5"/>
  <pageSetup scale="88" orientation="landscape" horizont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91">
    <tabColor theme="4" tint="0.39997558519241921"/>
    <pageSetUpPr fitToPage="1"/>
  </sheetPr>
  <dimension ref="A1:M45"/>
  <sheetViews>
    <sheetView workbookViewId="0"/>
  </sheetViews>
  <sheetFormatPr defaultColWidth="11.44140625" defaultRowHeight="13.2"/>
  <cols>
    <col min="1" max="1" width="11.44140625" customWidth="1"/>
    <col min="2" max="2" width="14.44140625" customWidth="1"/>
    <col min="3" max="3" width="12.44140625" customWidth="1"/>
    <col min="4" max="4" width="11.44140625" customWidth="1"/>
    <col min="5" max="5" width="14.44140625" customWidth="1"/>
    <col min="6" max="8" width="11.44140625" customWidth="1"/>
    <col min="9" max="9" width="12.5546875" customWidth="1"/>
    <col min="10" max="10" width="2.44140625" customWidth="1"/>
    <col min="11" max="12" width="11.44140625" customWidth="1"/>
    <col min="13" max="13" width="14.44140625" customWidth="1"/>
  </cols>
  <sheetData>
    <row r="1" spans="1:13" s="750" customFormat="1">
      <c r="A1" s="59" t="str">
        <f>COMPANY</f>
        <v>DUKE ENERGY KENTUCKY, INC.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</row>
    <row r="2" spans="1:13" s="750" customFormat="1">
      <c r="A2" s="59" t="str">
        <f>CASE</f>
        <v>CASE NO. 2024-00354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</row>
    <row r="3" spans="1:13" s="750" customFormat="1">
      <c r="A3" s="59" t="s">
        <v>767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</row>
    <row r="4" spans="1:13" s="750" customFormat="1">
      <c r="A4" s="47" t="str">
        <f>"AS OF " &amp;RIGHT(TESTYR,(LEN(TESTYR)-16))</f>
        <v>AS OF FEBRUARY 28, 2025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</row>
    <row r="5" spans="1:13" s="750" customFormat="1">
      <c r="A5" s="1393" t="s">
        <v>55</v>
      </c>
      <c r="B5" s="59"/>
      <c r="C5" s="59"/>
      <c r="D5" s="59"/>
      <c r="E5" s="59"/>
      <c r="F5" s="59"/>
      <c r="G5" s="59"/>
      <c r="H5" s="59"/>
      <c r="I5" s="59"/>
      <c r="J5" s="59"/>
      <c r="K5" s="59"/>
    </row>
    <row r="6" spans="1:13" s="750" customFormat="1"/>
    <row r="7" spans="1:13" s="750" customFormat="1"/>
    <row r="8" spans="1:13" s="750" customFormat="1">
      <c r="A8" s="737" t="str">
        <f>Data</f>
        <v>DATA: "X" BASE PERIOD   FORECASTED PERIOD</v>
      </c>
      <c r="K8" s="737" t="s">
        <v>768</v>
      </c>
    </row>
    <row r="9" spans="1:13" s="750" customFormat="1">
      <c r="A9" s="737" t="str">
        <f>Type</f>
        <v xml:space="preserve">TYPE OF FILING:  "X" ORIGINAL   UPDATED    REVISED  </v>
      </c>
      <c r="K9" s="737" t="s">
        <v>571</v>
      </c>
    </row>
    <row r="10" spans="1:13" s="750" customFormat="1">
      <c r="A10" s="737" t="s">
        <v>694</v>
      </c>
      <c r="K10" s="750" t="str">
        <f>'SCH B-2'!F11</f>
        <v>WITNESS RESPONSIBLE:</v>
      </c>
    </row>
    <row r="11" spans="1:13" s="750" customFormat="1">
      <c r="K11" s="750" t="str">
        <f>_WIT7</f>
        <v>G. S. CARPENTER / S. S. MITCHELL</v>
      </c>
    </row>
    <row r="12" spans="1:13" s="750" customFormat="1"/>
    <row r="13" spans="1:13" s="750" customFormat="1"/>
    <row r="14" spans="1:13" s="750" customFormat="1">
      <c r="J14" s="1443"/>
      <c r="L14" s="1443"/>
      <c r="M14" s="1443"/>
    </row>
    <row r="15" spans="1:13" s="750" customFormat="1">
      <c r="A15" s="2082"/>
      <c r="B15" s="2082"/>
      <c r="C15" s="2082"/>
      <c r="D15" s="2082"/>
      <c r="E15" s="2082"/>
      <c r="F15" s="2082"/>
      <c r="G15" s="2082"/>
      <c r="H15" s="2082"/>
      <c r="I15" s="2082"/>
      <c r="J15" s="52"/>
      <c r="K15" s="2082"/>
    </row>
    <row r="16" spans="1:13" s="750" customFormat="1">
      <c r="B16" s="53" t="s">
        <v>2</v>
      </c>
      <c r="F16" s="53" t="s">
        <v>769</v>
      </c>
      <c r="G16" s="1450" t="s">
        <v>770</v>
      </c>
      <c r="H16" s="1450"/>
      <c r="I16" s="1450"/>
      <c r="J16" s="53"/>
      <c r="K16" s="1450" t="s">
        <v>771</v>
      </c>
      <c r="L16" s="1450"/>
      <c r="M16" s="1450"/>
    </row>
    <row r="17" spans="1:13" s="750" customFormat="1">
      <c r="A17" s="53" t="s">
        <v>573</v>
      </c>
      <c r="B17" s="53" t="s">
        <v>772</v>
      </c>
      <c r="C17" s="53" t="s">
        <v>738</v>
      </c>
      <c r="D17" s="53" t="s">
        <v>773</v>
      </c>
      <c r="E17" s="53" t="s">
        <v>774</v>
      </c>
      <c r="F17" s="53" t="s">
        <v>773</v>
      </c>
      <c r="H17" s="53" t="s">
        <v>606</v>
      </c>
      <c r="L17" s="53" t="s">
        <v>606</v>
      </c>
    </row>
    <row r="18" spans="1:13" s="750" customFormat="1">
      <c r="A18" s="53" t="s">
        <v>576</v>
      </c>
      <c r="B18" s="53" t="s">
        <v>743</v>
      </c>
      <c r="C18" s="53" t="s">
        <v>542</v>
      </c>
      <c r="D18" s="53" t="s">
        <v>739</v>
      </c>
      <c r="E18" s="53" t="s">
        <v>494</v>
      </c>
      <c r="F18" s="53" t="s">
        <v>739</v>
      </c>
      <c r="G18" s="53" t="s">
        <v>419</v>
      </c>
      <c r="H18" s="53" t="s">
        <v>576</v>
      </c>
      <c r="I18" s="737" t="s">
        <v>2</v>
      </c>
      <c r="J18" s="737"/>
      <c r="K18" s="53" t="s">
        <v>419</v>
      </c>
      <c r="L18" s="53" t="s">
        <v>576</v>
      </c>
      <c r="M18" s="53" t="s">
        <v>2</v>
      </c>
    </row>
    <row r="19" spans="1:13" s="750" customFormat="1">
      <c r="J19" s="1443"/>
      <c r="L19" s="1443"/>
      <c r="M19" s="1443"/>
    </row>
    <row r="20" spans="1:13" s="750" customFormat="1">
      <c r="A20" s="2082"/>
      <c r="B20" s="2082"/>
      <c r="C20" s="2082"/>
      <c r="D20" s="2082"/>
      <c r="E20" s="2082"/>
      <c r="F20" s="2082"/>
      <c r="G20" s="2082"/>
      <c r="H20" s="2082"/>
      <c r="I20" s="2082"/>
      <c r="J20" s="52"/>
      <c r="K20" s="2082"/>
    </row>
    <row r="21" spans="1:13" s="750" customFormat="1">
      <c r="C21" s="750" t="s">
        <v>775</v>
      </c>
    </row>
    <row r="22" spans="1:13" s="750" customFormat="1"/>
    <row r="23" spans="1:13" s="750" customFormat="1"/>
    <row r="24" spans="1:13">
      <c r="A24" s="780"/>
      <c r="B24" s="780"/>
      <c r="C24" s="780"/>
      <c r="D24" s="780"/>
      <c r="E24" s="780"/>
      <c r="F24" s="780"/>
      <c r="G24" s="780"/>
      <c r="H24" s="780"/>
      <c r="I24" s="780"/>
      <c r="J24" s="780"/>
      <c r="K24" s="780"/>
      <c r="L24" s="780"/>
      <c r="M24" s="780"/>
    </row>
    <row r="25" spans="1:13">
      <c r="A25" s="59" t="str">
        <f>COMPANY</f>
        <v>DUKE ENERGY KENTUCKY, INC.</v>
      </c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</row>
    <row r="26" spans="1:13">
      <c r="A26" s="59" t="str">
        <f>CASE</f>
        <v>CASE NO. 2024-00354</v>
      </c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</row>
    <row r="27" spans="1:13">
      <c r="A27" s="59" t="s">
        <v>767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</row>
    <row r="28" spans="1:13">
      <c r="A28" s="47" t="str">
        <f>"AS OF " &amp;RIGHT(Forecast,(LEN(Forecast)-16))</f>
        <v>AS OF JUNE 30, 2026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</row>
    <row r="29" spans="1:13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750"/>
      <c r="M29" s="750"/>
    </row>
    <row r="30" spans="1:13">
      <c r="A30" s="750"/>
      <c r="B30" s="750"/>
      <c r="C30" s="750"/>
      <c r="D30" s="750"/>
      <c r="E30" s="750"/>
      <c r="F30" s="750"/>
      <c r="G30" s="750"/>
      <c r="H30" s="750"/>
      <c r="I30" s="750"/>
      <c r="J30" s="750"/>
      <c r="K30" s="750"/>
      <c r="L30" s="750"/>
      <c r="M30" s="750"/>
    </row>
    <row r="31" spans="1:13">
      <c r="A31" s="750"/>
      <c r="B31" s="750"/>
      <c r="C31" s="750"/>
      <c r="D31" s="750"/>
      <c r="E31" s="750"/>
      <c r="F31" s="750"/>
      <c r="G31" s="750"/>
      <c r="H31" s="750"/>
      <c r="I31" s="750"/>
      <c r="J31" s="750"/>
      <c r="K31" s="750"/>
      <c r="L31" s="750"/>
      <c r="M31" s="750"/>
    </row>
    <row r="32" spans="1:13">
      <c r="A32" s="737" t="str">
        <f>DataF</f>
        <v>DATA:  BASE PERIOD  "X" FORECASTED PERIOD</v>
      </c>
      <c r="B32" s="750"/>
      <c r="C32" s="750"/>
      <c r="D32" s="750"/>
      <c r="E32" s="750"/>
      <c r="F32" s="750"/>
      <c r="G32" s="750"/>
      <c r="H32" s="750"/>
      <c r="I32" s="750"/>
      <c r="J32" s="750"/>
      <c r="K32" s="737" t="s">
        <v>768</v>
      </c>
      <c r="L32" s="750"/>
      <c r="M32" s="750"/>
    </row>
    <row r="33" spans="1:13">
      <c r="A33" s="737" t="str">
        <f>Type</f>
        <v xml:space="preserve">TYPE OF FILING:  "X" ORIGINAL   UPDATED    REVISED  </v>
      </c>
      <c r="B33" s="750"/>
      <c r="C33" s="750"/>
      <c r="D33" s="750"/>
      <c r="E33" s="750"/>
      <c r="F33" s="750"/>
      <c r="G33" s="750"/>
      <c r="H33" s="750"/>
      <c r="I33" s="750"/>
      <c r="J33" s="750"/>
      <c r="K33" s="737" t="s">
        <v>590</v>
      </c>
      <c r="L33" s="750"/>
      <c r="M33" s="750"/>
    </row>
    <row r="34" spans="1:13">
      <c r="A34" s="737" t="s">
        <v>694</v>
      </c>
      <c r="B34" s="750"/>
      <c r="C34" s="750"/>
      <c r="D34" s="750"/>
      <c r="E34" s="750"/>
      <c r="F34" s="750"/>
      <c r="G34" s="750"/>
      <c r="H34" s="750"/>
      <c r="I34" s="750"/>
      <c r="J34" s="750"/>
      <c r="K34" s="750" t="str">
        <f>K10</f>
        <v>WITNESS RESPONSIBLE:</v>
      </c>
      <c r="L34" s="750"/>
      <c r="M34" s="750"/>
    </row>
    <row r="35" spans="1:13">
      <c r="A35" s="750"/>
      <c r="B35" s="750"/>
      <c r="C35" s="750"/>
      <c r="D35" s="750"/>
      <c r="E35" s="750"/>
      <c r="F35" s="750"/>
      <c r="G35" s="750"/>
      <c r="H35" s="750"/>
      <c r="I35" s="750"/>
      <c r="J35" s="750"/>
      <c r="K35" s="750" t="str">
        <f>_WIT7</f>
        <v>G. S. CARPENTER / S. S. MITCHELL</v>
      </c>
      <c r="L35" s="750"/>
      <c r="M35" s="750"/>
    </row>
    <row r="36" spans="1:13">
      <c r="A36" s="750"/>
      <c r="B36" s="750"/>
      <c r="C36" s="750"/>
      <c r="D36" s="750"/>
      <c r="E36" s="750"/>
      <c r="F36" s="750"/>
      <c r="G36" s="750"/>
      <c r="H36" s="750"/>
      <c r="I36" s="750"/>
      <c r="J36" s="750"/>
      <c r="K36" s="750"/>
      <c r="L36" s="750"/>
      <c r="M36" s="750"/>
    </row>
    <row r="37" spans="1:13">
      <c r="A37" s="750"/>
      <c r="B37" s="750"/>
      <c r="C37" s="750"/>
      <c r="D37" s="750"/>
      <c r="E37" s="750"/>
      <c r="F37" s="750"/>
      <c r="G37" s="750"/>
      <c r="H37" s="750"/>
      <c r="I37" s="750"/>
      <c r="J37" s="750"/>
      <c r="K37" s="750"/>
      <c r="L37" s="750"/>
      <c r="M37" s="750"/>
    </row>
    <row r="38" spans="1:13">
      <c r="A38" s="750"/>
      <c r="B38" s="750"/>
      <c r="C38" s="750"/>
      <c r="D38" s="750"/>
      <c r="E38" s="750"/>
      <c r="F38" s="750"/>
      <c r="G38" s="750"/>
      <c r="H38" s="750"/>
      <c r="I38" s="750"/>
      <c r="J38" s="1443"/>
      <c r="K38" s="750"/>
      <c r="L38" s="1443"/>
      <c r="M38" s="1443"/>
    </row>
    <row r="39" spans="1:13">
      <c r="A39" s="2082"/>
      <c r="B39" s="2082"/>
      <c r="C39" s="2082"/>
      <c r="D39" s="2082"/>
      <c r="E39" s="2082"/>
      <c r="F39" s="2082"/>
      <c r="G39" s="2082"/>
      <c r="H39" s="2082"/>
      <c r="I39" s="2082"/>
      <c r="J39" s="52"/>
      <c r="K39" s="2082"/>
      <c r="L39" s="750"/>
      <c r="M39" s="750"/>
    </row>
    <row r="40" spans="1:13">
      <c r="A40" s="750"/>
      <c r="B40" s="53" t="s">
        <v>2</v>
      </c>
      <c r="C40" s="750"/>
      <c r="D40" s="750"/>
      <c r="E40" s="750"/>
      <c r="F40" s="53" t="s">
        <v>769</v>
      </c>
      <c r="G40" s="1450" t="s">
        <v>770</v>
      </c>
      <c r="H40" s="1450"/>
      <c r="I40" s="1450"/>
      <c r="J40" s="53"/>
      <c r="K40" s="1450" t="s">
        <v>771</v>
      </c>
      <c r="L40" s="1450"/>
      <c r="M40" s="1450"/>
    </row>
    <row r="41" spans="1:13">
      <c r="A41" s="53" t="s">
        <v>573</v>
      </c>
      <c r="B41" s="53" t="s">
        <v>772</v>
      </c>
      <c r="C41" s="53" t="s">
        <v>738</v>
      </c>
      <c r="D41" s="53" t="s">
        <v>773</v>
      </c>
      <c r="E41" s="53" t="s">
        <v>774</v>
      </c>
      <c r="F41" s="53" t="s">
        <v>773</v>
      </c>
      <c r="G41" s="750"/>
      <c r="H41" s="53" t="s">
        <v>606</v>
      </c>
      <c r="I41" s="750"/>
      <c r="J41" s="750"/>
      <c r="K41" s="750"/>
      <c r="L41" s="53" t="s">
        <v>606</v>
      </c>
      <c r="M41" s="750"/>
    </row>
    <row r="42" spans="1:13">
      <c r="A42" s="53" t="s">
        <v>576</v>
      </c>
      <c r="B42" s="53" t="s">
        <v>743</v>
      </c>
      <c r="C42" s="53" t="s">
        <v>542</v>
      </c>
      <c r="D42" s="53" t="s">
        <v>739</v>
      </c>
      <c r="E42" s="53" t="s">
        <v>494</v>
      </c>
      <c r="F42" s="53" t="s">
        <v>739</v>
      </c>
      <c r="G42" s="53" t="s">
        <v>419</v>
      </c>
      <c r="H42" s="53" t="s">
        <v>576</v>
      </c>
      <c r="I42" s="737" t="s">
        <v>2</v>
      </c>
      <c r="J42" s="737"/>
      <c r="K42" s="53" t="s">
        <v>419</v>
      </c>
      <c r="L42" s="53" t="s">
        <v>576</v>
      </c>
      <c r="M42" s="53" t="s">
        <v>2</v>
      </c>
    </row>
    <row r="43" spans="1:13">
      <c r="A43" s="750"/>
      <c r="B43" s="750"/>
      <c r="C43" s="750"/>
      <c r="D43" s="750"/>
      <c r="E43" s="750"/>
      <c r="F43" s="750"/>
      <c r="G43" s="750"/>
      <c r="H43" s="750"/>
      <c r="I43" s="750"/>
      <c r="J43" s="1443"/>
      <c r="K43" s="750"/>
      <c r="L43" s="1443"/>
      <c r="M43" s="1443"/>
    </row>
    <row r="44" spans="1:13">
      <c r="A44" s="2082"/>
      <c r="B44" s="2082"/>
      <c r="C44" s="2082"/>
      <c r="D44" s="2082"/>
      <c r="E44" s="2082"/>
      <c r="F44" s="2082"/>
      <c r="G44" s="2082"/>
      <c r="H44" s="2082"/>
      <c r="I44" s="2082"/>
      <c r="J44" s="52"/>
      <c r="K44" s="2082"/>
      <c r="L44" s="750"/>
      <c r="M44" s="750"/>
    </row>
    <row r="45" spans="1:13">
      <c r="A45" s="750"/>
      <c r="B45" s="750"/>
      <c r="C45" s="750" t="s">
        <v>775</v>
      </c>
      <c r="D45" s="750"/>
      <c r="E45" s="750"/>
      <c r="F45" s="750"/>
      <c r="G45" s="750"/>
      <c r="H45" s="750"/>
      <c r="I45" s="750"/>
      <c r="J45" s="750"/>
      <c r="K45" s="750"/>
      <c r="L45" s="750"/>
      <c r="M45" s="750"/>
    </row>
  </sheetData>
  <hyperlinks>
    <hyperlink ref="A5" location="Sch_A" display="." xr:uid="{00000000-0004-0000-1400-000000000000}"/>
  </hyperlinks>
  <printOptions horizontalCentered="1"/>
  <pageMargins left="1" right="0.75" top="1" bottom="1" header="0.5" footer="0.5"/>
  <pageSetup scale="79" orientation="landscape" horizont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92">
    <tabColor theme="4" tint="0.39997558519241921"/>
    <pageSetUpPr fitToPage="1"/>
  </sheetPr>
  <dimension ref="A1:K51"/>
  <sheetViews>
    <sheetView workbookViewId="0"/>
  </sheetViews>
  <sheetFormatPr defaultColWidth="11.44140625" defaultRowHeight="13.2"/>
  <cols>
    <col min="1" max="1" width="7.44140625" customWidth="1"/>
    <col min="2" max="2" width="11.44140625" customWidth="1"/>
    <col min="3" max="3" width="20.44140625" customWidth="1"/>
    <col min="4" max="9" width="11.44140625" customWidth="1"/>
    <col min="10" max="10" width="13.5546875" customWidth="1"/>
    <col min="11" max="11" width="24.5546875" customWidth="1"/>
  </cols>
  <sheetData>
    <row r="1" spans="1:11" s="1195" customFormat="1" ht="15">
      <c r="A1" s="1145" t="str">
        <f>COMPANY</f>
        <v>DUKE ENERGY KENTUCKY, INC.</v>
      </c>
      <c r="B1" s="1145"/>
      <c r="C1" s="1145"/>
      <c r="D1" s="1145"/>
      <c r="E1" s="1145"/>
      <c r="F1" s="1145"/>
      <c r="G1" s="1145"/>
      <c r="H1" s="1146"/>
      <c r="I1" s="1147"/>
      <c r="J1" s="1145"/>
      <c r="K1" s="1145"/>
    </row>
    <row r="2" spans="1:11" s="1195" customFormat="1" ht="15">
      <c r="A2" s="1145" t="str">
        <f>CASE</f>
        <v>CASE NO. 2024-00354</v>
      </c>
      <c r="B2" s="1145"/>
      <c r="C2" s="1145"/>
      <c r="D2" s="1145"/>
      <c r="E2" s="1145"/>
      <c r="F2" s="1145"/>
      <c r="G2" s="1145"/>
      <c r="H2" s="1146"/>
      <c r="I2" s="1147"/>
      <c r="J2" s="1145"/>
      <c r="K2" s="1145"/>
    </row>
    <row r="3" spans="1:11" s="1195" customFormat="1" ht="15">
      <c r="A3" s="1145" t="s">
        <v>776</v>
      </c>
      <c r="B3" s="1145"/>
      <c r="C3" s="1145"/>
      <c r="D3" s="1145"/>
      <c r="E3" s="1145"/>
      <c r="F3" s="1145"/>
      <c r="G3" s="1145"/>
      <c r="H3" s="1146"/>
      <c r="I3" s="1147"/>
      <c r="J3" s="1145"/>
      <c r="K3" s="1145"/>
    </row>
    <row r="4" spans="1:11" s="1195" customFormat="1" ht="15">
      <c r="A4" s="1145" t="s">
        <v>777</v>
      </c>
      <c r="B4" s="1145"/>
      <c r="C4" s="1145"/>
      <c r="D4" s="1145"/>
      <c r="E4" s="1145"/>
      <c r="F4" s="1145"/>
      <c r="G4" s="1145"/>
      <c r="H4" s="1146"/>
      <c r="I4" s="1147"/>
      <c r="J4" s="1145"/>
      <c r="K4" s="1145"/>
    </row>
    <row r="5" spans="1:11" s="1195" customFormat="1" ht="15">
      <c r="A5" s="47" t="str">
        <f>"AS OF " &amp;RIGHT(TESTYR,(LEN(TESTYR)-16))</f>
        <v>AS OF FEBRUARY 28, 2025</v>
      </c>
      <c r="B5" s="1145"/>
      <c r="C5" s="1145"/>
      <c r="D5" s="1145"/>
      <c r="E5" s="1145"/>
      <c r="F5" s="1145"/>
      <c r="G5" s="1145"/>
      <c r="H5" s="1146"/>
      <c r="I5" s="1147"/>
      <c r="J5" s="1145"/>
      <c r="K5" s="1145"/>
    </row>
    <row r="6" spans="1:11" s="1195" customFormat="1" ht="15">
      <c r="A6" s="1393" t="s">
        <v>55</v>
      </c>
      <c r="B6" s="1145"/>
      <c r="C6" s="1145"/>
      <c r="D6" s="1145"/>
      <c r="E6" s="1145"/>
      <c r="F6" s="1145"/>
      <c r="G6" s="1145"/>
      <c r="H6" s="1146"/>
      <c r="I6" s="1147"/>
      <c r="J6" s="1145"/>
      <c r="K6" s="1145"/>
    </row>
    <row r="7" spans="1:11" s="1195" customFormat="1" ht="15">
      <c r="A7" s="1148" t="s">
        <v>529</v>
      </c>
      <c r="B7" s="1145"/>
      <c r="C7" s="1145"/>
      <c r="D7" s="1145"/>
      <c r="E7" s="1145"/>
      <c r="F7" s="1145"/>
      <c r="G7" s="1145"/>
      <c r="H7" s="1146"/>
      <c r="I7" s="1147"/>
      <c r="J7" s="1145"/>
      <c r="K7" s="1145"/>
    </row>
    <row r="8" spans="1:11" s="1195" customFormat="1" ht="15">
      <c r="A8" s="1149"/>
      <c r="B8" s="1149"/>
      <c r="C8" s="1149"/>
      <c r="D8" s="1149"/>
      <c r="E8" s="1149"/>
      <c r="F8" s="1149"/>
      <c r="G8" s="1149"/>
      <c r="H8" s="748"/>
      <c r="I8" s="1150"/>
      <c r="J8" s="1149"/>
      <c r="K8" s="1149"/>
    </row>
    <row r="9" spans="1:11" s="1195" customFormat="1" ht="15">
      <c r="A9" s="1149"/>
      <c r="B9" s="1149"/>
      <c r="C9" s="1149"/>
      <c r="D9" s="1149"/>
      <c r="E9" s="1149"/>
      <c r="F9" s="1149"/>
      <c r="G9" s="1149"/>
      <c r="H9" s="748"/>
      <c r="I9" s="1150"/>
      <c r="J9" s="1149"/>
      <c r="K9" s="1149"/>
    </row>
    <row r="10" spans="1:11" s="1195" customFormat="1" ht="15">
      <c r="A10" s="1151" t="str">
        <f>Data</f>
        <v>DATA: "X" BASE PERIOD   FORECASTED PERIOD</v>
      </c>
      <c r="B10" s="1149"/>
      <c r="C10" s="1149"/>
      <c r="D10" s="1149"/>
      <c r="E10" s="1149"/>
      <c r="F10" s="1149"/>
      <c r="G10" s="1149"/>
      <c r="H10" s="748"/>
      <c r="I10" s="1150"/>
      <c r="J10" s="1151" t="s">
        <v>778</v>
      </c>
      <c r="K10" s="1149"/>
    </row>
    <row r="11" spans="1:11" s="1195" customFormat="1" ht="15">
      <c r="A11" s="1151" t="str">
        <f>Type</f>
        <v xml:space="preserve">TYPE OF FILING:  "X" ORIGINAL   UPDATED    REVISED  </v>
      </c>
      <c r="B11" s="1149"/>
      <c r="C11" s="1149"/>
      <c r="D11" s="1149"/>
      <c r="E11" s="1149"/>
      <c r="F11" s="1149"/>
      <c r="G11" s="1149"/>
      <c r="H11" s="748"/>
      <c r="I11" s="1150"/>
      <c r="J11" s="1151" t="s">
        <v>571</v>
      </c>
      <c r="K11" s="1149"/>
    </row>
    <row r="12" spans="1:11" s="1195" customFormat="1" ht="15">
      <c r="A12" s="1151" t="s">
        <v>723</v>
      </c>
      <c r="B12" s="1149"/>
      <c r="C12" s="1149"/>
      <c r="D12" s="1149"/>
      <c r="E12" s="1149"/>
      <c r="F12" s="1149"/>
      <c r="G12" s="1149"/>
      <c r="H12" s="748"/>
      <c r="I12" s="1150"/>
      <c r="J12" s="1149" t="s">
        <v>468</v>
      </c>
      <c r="K12" s="1149"/>
    </row>
    <row r="13" spans="1:11" s="1195" customFormat="1" ht="15">
      <c r="A13" s="1149"/>
      <c r="B13" s="1149"/>
      <c r="C13" s="1149"/>
      <c r="D13" s="1149"/>
      <c r="E13" s="1149"/>
      <c r="F13" s="1149"/>
      <c r="G13" s="1149"/>
      <c r="H13" s="748"/>
      <c r="I13" s="1150"/>
      <c r="J13" s="1149" t="str">
        <f>_WIT7</f>
        <v>G. S. CARPENTER / S. S. MITCHELL</v>
      </c>
      <c r="K13" s="1149"/>
    </row>
    <row r="14" spans="1:11" s="1195" customFormat="1" ht="15">
      <c r="A14" s="1149"/>
      <c r="B14" s="1149"/>
      <c r="C14" s="1149"/>
      <c r="D14" s="1149"/>
      <c r="E14" s="1149"/>
      <c r="F14" s="1149"/>
      <c r="G14" s="1149"/>
      <c r="H14" s="748"/>
      <c r="I14" s="1150"/>
      <c r="J14" s="1149"/>
      <c r="K14" s="1149"/>
    </row>
    <row r="15" spans="1:11" s="1195" customFormat="1" ht="15">
      <c r="A15" s="1149"/>
      <c r="B15" s="1149"/>
      <c r="C15" s="1149"/>
      <c r="D15" s="1149"/>
      <c r="E15" s="1149"/>
      <c r="F15" s="1149"/>
      <c r="G15" s="1149"/>
      <c r="H15" s="748"/>
      <c r="I15" s="1150"/>
      <c r="J15" s="1149"/>
      <c r="K15" s="1149"/>
    </row>
    <row r="16" spans="1:11" s="1195" customFormat="1" ht="15">
      <c r="A16" s="1149"/>
      <c r="B16" s="1149"/>
      <c r="C16" s="1149"/>
      <c r="D16" s="1149"/>
      <c r="E16" s="1149"/>
      <c r="F16" s="1454"/>
      <c r="G16" s="1149"/>
      <c r="H16" s="748"/>
      <c r="I16" s="1150"/>
      <c r="J16" s="1149"/>
      <c r="K16" s="1149"/>
    </row>
    <row r="17" spans="1:11" s="1195" customFormat="1" ht="15">
      <c r="A17" s="2095"/>
      <c r="B17" s="2095"/>
      <c r="C17" s="2095"/>
      <c r="D17" s="2095"/>
      <c r="E17" s="2095"/>
      <c r="F17" s="1152" t="s">
        <v>779</v>
      </c>
      <c r="G17" s="2095"/>
      <c r="H17" s="2096" t="s">
        <v>780</v>
      </c>
      <c r="I17" s="2097"/>
      <c r="J17" s="2098"/>
      <c r="K17" s="2095"/>
    </row>
    <row r="18" spans="1:11" s="1195" customFormat="1" ht="15">
      <c r="A18" s="1149"/>
      <c r="B18" s="1152" t="s">
        <v>605</v>
      </c>
      <c r="C18" s="1149"/>
      <c r="D18" s="1149"/>
      <c r="E18" s="1149"/>
      <c r="F18" s="1152" t="s">
        <v>781</v>
      </c>
      <c r="G18" s="1152" t="s">
        <v>769</v>
      </c>
      <c r="H18" s="1455" t="s">
        <v>782</v>
      </c>
      <c r="I18" s="1456"/>
      <c r="J18" s="1457"/>
      <c r="K18" s="1149"/>
    </row>
    <row r="19" spans="1:11" s="1195" customFormat="1" ht="15">
      <c r="A19" s="1152" t="s">
        <v>573</v>
      </c>
      <c r="B19" s="1152" t="s">
        <v>606</v>
      </c>
      <c r="C19" s="1152" t="s">
        <v>783</v>
      </c>
      <c r="D19" s="1152" t="s">
        <v>784</v>
      </c>
      <c r="E19" s="1152" t="s">
        <v>773</v>
      </c>
      <c r="F19" s="1152" t="s">
        <v>785</v>
      </c>
      <c r="G19" s="1152" t="s">
        <v>773</v>
      </c>
      <c r="H19" s="748"/>
      <c r="I19" s="1153" t="s">
        <v>606</v>
      </c>
      <c r="J19" s="1149"/>
      <c r="K19" s="1152" t="s">
        <v>786</v>
      </c>
    </row>
    <row r="20" spans="1:11" s="1195" customFormat="1" ht="15">
      <c r="A20" s="1152" t="s">
        <v>576</v>
      </c>
      <c r="B20" s="1152" t="s">
        <v>576</v>
      </c>
      <c r="C20" s="1152" t="s">
        <v>787</v>
      </c>
      <c r="D20" s="1152" t="s">
        <v>542</v>
      </c>
      <c r="E20" s="1152" t="s">
        <v>739</v>
      </c>
      <c r="F20" s="1152" t="s">
        <v>788</v>
      </c>
      <c r="G20" s="1152" t="s">
        <v>739</v>
      </c>
      <c r="H20" s="1154" t="s">
        <v>419</v>
      </c>
      <c r="I20" s="1153" t="s">
        <v>576</v>
      </c>
      <c r="J20" s="1151" t="s">
        <v>2</v>
      </c>
      <c r="K20" s="1152" t="s">
        <v>789</v>
      </c>
    </row>
    <row r="21" spans="1:11" s="1195" customFormat="1" ht="15">
      <c r="A21" s="1149"/>
      <c r="B21" s="1149"/>
      <c r="C21" s="1149"/>
      <c r="D21" s="1149"/>
      <c r="E21" s="1149"/>
      <c r="F21" s="1149"/>
      <c r="G21" s="1149"/>
      <c r="H21" s="748"/>
      <c r="I21" s="1150"/>
      <c r="J21" s="1149"/>
      <c r="K21" s="1149"/>
    </row>
    <row r="22" spans="1:11" s="1195" customFormat="1" ht="15">
      <c r="A22" s="2095"/>
      <c r="B22" s="2095"/>
      <c r="C22" s="2095"/>
      <c r="D22" s="2095"/>
      <c r="E22" s="2095"/>
      <c r="F22" s="2095"/>
      <c r="G22" s="2095"/>
      <c r="H22" s="2084"/>
      <c r="I22" s="2293"/>
      <c r="J22" s="2095"/>
      <c r="K22" s="2095"/>
    </row>
    <row r="23" spans="1:11" s="1195" customFormat="1" ht="15">
      <c r="A23" s="1153"/>
      <c r="B23" s="1153"/>
      <c r="C23" s="1149"/>
      <c r="D23" s="2294"/>
      <c r="E23" s="2295"/>
      <c r="F23" s="2295"/>
      <c r="G23" s="2295"/>
      <c r="H23" s="748"/>
      <c r="I23" s="1153"/>
      <c r="J23" s="1149"/>
      <c r="K23" s="1149"/>
    </row>
    <row r="24" spans="1:11" s="1195" customFormat="1" ht="15">
      <c r="A24" s="1150"/>
      <c r="B24" s="1149"/>
      <c r="C24" s="1149" t="s">
        <v>790</v>
      </c>
      <c r="D24" s="1150"/>
      <c r="E24" s="2295"/>
      <c r="F24" s="2295"/>
      <c r="G24" s="2295"/>
      <c r="H24" s="748"/>
      <c r="I24" s="1153"/>
      <c r="J24" s="1149"/>
      <c r="K24" s="1149"/>
    </row>
    <row r="25" spans="1:11" s="1195" customFormat="1" ht="15">
      <c r="A25" s="1197"/>
      <c r="D25" s="1197"/>
      <c r="E25" s="2296"/>
      <c r="F25" s="2296"/>
      <c r="G25" s="2296"/>
      <c r="H25" s="1188"/>
      <c r="I25" s="1196"/>
    </row>
    <row r="26" spans="1:11" s="1195" customFormat="1" ht="15">
      <c r="A26" s="1196"/>
      <c r="B26" s="1196"/>
      <c r="D26" s="2297"/>
      <c r="E26" s="2296"/>
      <c r="F26" s="2296"/>
      <c r="G26" s="2296"/>
      <c r="H26" s="1188"/>
      <c r="I26" s="1196"/>
    </row>
    <row r="27" spans="1:11" s="1195" customFormat="1" ht="15">
      <c r="A27" s="780"/>
      <c r="B27" s="780"/>
      <c r="C27" s="780"/>
      <c r="D27" s="780"/>
      <c r="E27" s="780"/>
      <c r="F27" s="780"/>
      <c r="G27" s="780"/>
      <c r="H27" s="780"/>
      <c r="I27" s="780"/>
      <c r="J27" s="780"/>
      <c r="K27" s="780"/>
    </row>
    <row r="28" spans="1:11" s="1195" customFormat="1" ht="15">
      <c r="A28" s="1145" t="str">
        <f>COMPANY</f>
        <v>DUKE ENERGY KENTUCKY, INC.</v>
      </c>
      <c r="B28" s="1145"/>
      <c r="C28" s="1145"/>
      <c r="D28" s="1145"/>
      <c r="E28" s="1145"/>
      <c r="F28" s="1145"/>
      <c r="G28" s="1145"/>
      <c r="H28" s="1146"/>
      <c r="I28" s="1147"/>
      <c r="J28" s="1145"/>
      <c r="K28" s="1145"/>
    </row>
    <row r="29" spans="1:11">
      <c r="A29" s="1145" t="str">
        <f>CASE</f>
        <v>CASE NO. 2024-00354</v>
      </c>
      <c r="B29" s="1145"/>
      <c r="C29" s="1145"/>
      <c r="D29" s="1145"/>
      <c r="E29" s="1145"/>
      <c r="F29" s="1145"/>
      <c r="G29" s="1145"/>
      <c r="H29" s="1146"/>
      <c r="I29" s="1147"/>
      <c r="J29" s="1145"/>
      <c r="K29" s="1145"/>
    </row>
    <row r="30" spans="1:11">
      <c r="A30" s="1145" t="s">
        <v>776</v>
      </c>
      <c r="B30" s="1145"/>
      <c r="C30" s="1145"/>
      <c r="D30" s="1145"/>
      <c r="E30" s="1145"/>
      <c r="F30" s="1145"/>
      <c r="G30" s="1145"/>
      <c r="H30" s="1146"/>
      <c r="I30" s="1147"/>
      <c r="J30" s="1145"/>
      <c r="K30" s="1145"/>
    </row>
    <row r="31" spans="1:11">
      <c r="A31" s="1145" t="s">
        <v>777</v>
      </c>
      <c r="B31" s="1145"/>
      <c r="C31" s="1145"/>
      <c r="D31" s="1145"/>
      <c r="E31" s="1145"/>
      <c r="F31" s="1145"/>
      <c r="G31" s="1145"/>
      <c r="H31" s="1146"/>
      <c r="I31" s="1147"/>
      <c r="J31" s="1145"/>
      <c r="K31" s="1145"/>
    </row>
    <row r="32" spans="1:11">
      <c r="A32" s="47" t="str">
        <f>"AS OF " &amp;RIGHT(Forecast,(LEN(Forecast)-16))</f>
        <v>AS OF JUNE 30, 2026</v>
      </c>
      <c r="B32" s="1145"/>
      <c r="C32" s="1145"/>
      <c r="D32" s="1145"/>
      <c r="E32" s="1145"/>
      <c r="F32" s="1145"/>
      <c r="G32" s="1145"/>
      <c r="H32" s="1146"/>
      <c r="I32" s="1147"/>
      <c r="J32" s="1145"/>
      <c r="K32" s="1145"/>
    </row>
    <row r="33" spans="1:11">
      <c r="A33" s="1145"/>
      <c r="B33" s="1145"/>
      <c r="C33" s="1145"/>
      <c r="D33" s="1145"/>
      <c r="E33" s="1145"/>
      <c r="F33" s="1145"/>
      <c r="G33" s="1145"/>
      <c r="H33" s="1146"/>
      <c r="I33" s="1147"/>
      <c r="J33" s="1145"/>
      <c r="K33" s="1145"/>
    </row>
    <row r="34" spans="1:11">
      <c r="A34" s="1148" t="s">
        <v>529</v>
      </c>
      <c r="B34" s="1145"/>
      <c r="C34" s="1145"/>
      <c r="D34" s="1145"/>
      <c r="E34" s="1145"/>
      <c r="F34" s="1145"/>
      <c r="G34" s="1145"/>
      <c r="H34" s="1146"/>
      <c r="I34" s="1147"/>
      <c r="J34" s="1145"/>
      <c r="K34" s="1145"/>
    </row>
    <row r="35" spans="1:11">
      <c r="A35" s="1149"/>
      <c r="B35" s="1149"/>
      <c r="C35" s="1149"/>
      <c r="D35" s="1149"/>
      <c r="E35" s="1149"/>
      <c r="F35" s="1149"/>
      <c r="G35" s="1149"/>
      <c r="H35" s="748"/>
      <c r="I35" s="1150"/>
      <c r="J35" s="1149"/>
      <c r="K35" s="1149"/>
    </row>
    <row r="36" spans="1:11">
      <c r="A36" s="1149"/>
      <c r="B36" s="1149"/>
      <c r="C36" s="1149"/>
      <c r="D36" s="1149"/>
      <c r="E36" s="1149"/>
      <c r="F36" s="1149"/>
      <c r="G36" s="1149"/>
      <c r="H36" s="748"/>
      <c r="I36" s="1150"/>
      <c r="J36" s="1149"/>
      <c r="K36" s="1149"/>
    </row>
    <row r="37" spans="1:11">
      <c r="A37" s="1151" t="str">
        <f>DataF</f>
        <v>DATA:  BASE PERIOD  "X" FORECASTED PERIOD</v>
      </c>
      <c r="B37" s="1149"/>
      <c r="C37" s="1149"/>
      <c r="D37" s="1149"/>
      <c r="E37" s="1149"/>
      <c r="F37" s="1149"/>
      <c r="G37" s="1149"/>
      <c r="H37" s="748"/>
      <c r="I37" s="1150"/>
      <c r="J37" s="1151" t="s">
        <v>778</v>
      </c>
      <c r="K37" s="1149"/>
    </row>
    <row r="38" spans="1:11">
      <c r="A38" s="1151" t="str">
        <f>Type</f>
        <v xml:space="preserve">TYPE OF FILING:  "X" ORIGINAL   UPDATED    REVISED  </v>
      </c>
      <c r="B38" s="1149"/>
      <c r="C38" s="1149"/>
      <c r="D38" s="1149"/>
      <c r="E38" s="1149"/>
      <c r="F38" s="1149"/>
      <c r="G38" s="1149"/>
      <c r="H38" s="748"/>
      <c r="I38" s="1150"/>
      <c r="J38" s="1151" t="s">
        <v>590</v>
      </c>
      <c r="K38" s="1149"/>
    </row>
    <row r="39" spans="1:11">
      <c r="A39" s="1151" t="s">
        <v>723</v>
      </c>
      <c r="B39" s="1149"/>
      <c r="C39" s="1149"/>
      <c r="D39" s="1149"/>
      <c r="E39" s="1149"/>
      <c r="F39" s="1149"/>
      <c r="G39" s="1149"/>
      <c r="H39" s="748"/>
      <c r="I39" s="1150"/>
      <c r="J39" s="1149" t="s">
        <v>468</v>
      </c>
      <c r="K39" s="1149"/>
    </row>
    <row r="40" spans="1:11">
      <c r="A40" s="1149"/>
      <c r="B40" s="1149"/>
      <c r="C40" s="1149"/>
      <c r="D40" s="1149"/>
      <c r="E40" s="1149"/>
      <c r="F40" s="1149"/>
      <c r="G40" s="1149"/>
      <c r="H40" s="748"/>
      <c r="I40" s="1150"/>
      <c r="J40" s="1149" t="str">
        <f>_WIT7</f>
        <v>G. S. CARPENTER / S. S. MITCHELL</v>
      </c>
      <c r="K40" s="1149"/>
    </row>
    <row r="41" spans="1:11">
      <c r="A41" s="1149"/>
      <c r="B41" s="1149"/>
      <c r="C41" s="1149"/>
      <c r="D41" s="1149"/>
      <c r="E41" s="1149"/>
      <c r="F41" s="1149"/>
      <c r="G41" s="1149"/>
      <c r="H41" s="748"/>
      <c r="I41" s="1150"/>
      <c r="J41" s="1149"/>
      <c r="K41" s="1149"/>
    </row>
    <row r="42" spans="1:11">
      <c r="A42" s="1149"/>
      <c r="B42" s="1149"/>
      <c r="C42" s="1149"/>
      <c r="D42" s="1149"/>
      <c r="E42" s="1149"/>
      <c r="F42" s="1149"/>
      <c r="G42" s="1149"/>
      <c r="H42" s="748"/>
      <c r="I42" s="1150"/>
      <c r="J42" s="1149"/>
      <c r="K42" s="1149"/>
    </row>
    <row r="43" spans="1:11">
      <c r="A43" s="1149"/>
      <c r="B43" s="1149"/>
      <c r="C43" s="1149"/>
      <c r="D43" s="1149"/>
      <c r="E43" s="1149"/>
      <c r="F43" s="1454"/>
      <c r="G43" s="1149"/>
      <c r="H43" s="748"/>
      <c r="I43" s="1150"/>
      <c r="J43" s="1149"/>
      <c r="K43" s="1149"/>
    </row>
    <row r="44" spans="1:11">
      <c r="A44" s="2095"/>
      <c r="B44" s="2095"/>
      <c r="C44" s="2095"/>
      <c r="D44" s="2095"/>
      <c r="E44" s="2095"/>
      <c r="F44" s="1152" t="s">
        <v>779</v>
      </c>
      <c r="G44" s="2095"/>
      <c r="H44" s="2096" t="s">
        <v>780</v>
      </c>
      <c r="I44" s="2097"/>
      <c r="J44" s="2098"/>
      <c r="K44" s="2095"/>
    </row>
    <row r="45" spans="1:11">
      <c r="A45" s="1149"/>
      <c r="B45" s="1152" t="s">
        <v>605</v>
      </c>
      <c r="C45" s="1149"/>
      <c r="D45" s="1149"/>
      <c r="E45" s="1149"/>
      <c r="F45" s="1152" t="s">
        <v>781</v>
      </c>
      <c r="G45" s="1152" t="s">
        <v>769</v>
      </c>
      <c r="H45" s="1455" t="s">
        <v>782</v>
      </c>
      <c r="I45" s="1456"/>
      <c r="J45" s="1457"/>
      <c r="K45" s="1149"/>
    </row>
    <row r="46" spans="1:11">
      <c r="A46" s="1152" t="s">
        <v>573</v>
      </c>
      <c r="B46" s="1152" t="s">
        <v>606</v>
      </c>
      <c r="C46" s="1152" t="s">
        <v>783</v>
      </c>
      <c r="D46" s="1152" t="s">
        <v>784</v>
      </c>
      <c r="E46" s="1152" t="s">
        <v>773</v>
      </c>
      <c r="F46" s="1152" t="s">
        <v>785</v>
      </c>
      <c r="G46" s="1152" t="s">
        <v>773</v>
      </c>
      <c r="H46" s="748"/>
      <c r="I46" s="1153" t="s">
        <v>606</v>
      </c>
      <c r="J46" s="1149"/>
      <c r="K46" s="1152" t="s">
        <v>786</v>
      </c>
    </row>
    <row r="47" spans="1:11">
      <c r="A47" s="1152" t="s">
        <v>576</v>
      </c>
      <c r="B47" s="1152" t="s">
        <v>576</v>
      </c>
      <c r="C47" s="1152" t="s">
        <v>787</v>
      </c>
      <c r="D47" s="1152" t="s">
        <v>542</v>
      </c>
      <c r="E47" s="1152" t="s">
        <v>739</v>
      </c>
      <c r="F47" s="1152" t="s">
        <v>788</v>
      </c>
      <c r="G47" s="1152" t="s">
        <v>739</v>
      </c>
      <c r="H47" s="1154" t="s">
        <v>419</v>
      </c>
      <c r="I47" s="1153" t="s">
        <v>576</v>
      </c>
      <c r="J47" s="1151" t="s">
        <v>2</v>
      </c>
      <c r="K47" s="1152" t="s">
        <v>789</v>
      </c>
    </row>
    <row r="48" spans="1:11">
      <c r="A48" s="1149"/>
      <c r="B48" s="1149"/>
      <c r="C48" s="1149"/>
      <c r="D48" s="1149"/>
      <c r="E48" s="1149"/>
      <c r="F48" s="1149"/>
      <c r="G48" s="1149"/>
      <c r="H48" s="748"/>
      <c r="I48" s="1150"/>
      <c r="J48" s="1149"/>
      <c r="K48" s="1149"/>
    </row>
    <row r="49" spans="1:11">
      <c r="A49" s="2095"/>
      <c r="B49" s="2095"/>
      <c r="C49" s="2095"/>
      <c r="D49" s="2095"/>
      <c r="E49" s="2095"/>
      <c r="F49" s="2095"/>
      <c r="G49" s="2095"/>
      <c r="H49" s="2084"/>
      <c r="I49" s="2293"/>
      <c r="J49" s="2095"/>
      <c r="K49" s="2095"/>
    </row>
    <row r="50" spans="1:11">
      <c r="A50" s="1153"/>
      <c r="B50" s="1153"/>
      <c r="C50" s="1149"/>
      <c r="D50" s="2294"/>
      <c r="E50" s="2295"/>
      <c r="F50" s="2295"/>
      <c r="G50" s="2295"/>
      <c r="H50" s="748"/>
      <c r="I50" s="1153"/>
      <c r="J50" s="1149"/>
      <c r="K50" s="1149"/>
    </row>
    <row r="51" spans="1:11">
      <c r="A51" s="1150"/>
      <c r="B51" s="1149"/>
      <c r="C51" s="1149" t="s">
        <v>790</v>
      </c>
      <c r="D51" s="1150"/>
      <c r="E51" s="2295"/>
      <c r="F51" s="2295"/>
      <c r="G51" s="2295"/>
      <c r="H51" s="748"/>
      <c r="I51" s="1153"/>
      <c r="J51" s="1149"/>
      <c r="K51" s="1149"/>
    </row>
  </sheetData>
  <hyperlinks>
    <hyperlink ref="A6" location="Sch_A" display="." xr:uid="{00000000-0004-0000-1500-000000000000}"/>
  </hyperlinks>
  <printOptions horizontalCentered="1"/>
  <pageMargins left="1" right="0.75" top="1" bottom="1" header="0.5" footer="0.5"/>
  <pageSetup scale="82" orientation="landscape" horizont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D16"/>
  <sheetViews>
    <sheetView workbookViewId="0">
      <selection activeCell="D13" sqref="D13"/>
    </sheetView>
  </sheetViews>
  <sheetFormatPr defaultColWidth="8" defaultRowHeight="13.2"/>
  <cols>
    <col min="1" max="1" width="9.5546875" customWidth="1"/>
    <col min="2" max="2" width="8.5546875" customWidth="1"/>
    <col min="3" max="3" width="1.5546875" customWidth="1"/>
    <col min="4" max="4" width="42.5546875" customWidth="1"/>
  </cols>
  <sheetData>
    <row r="1" spans="1:4">
      <c r="A1" s="670" t="s">
        <v>421</v>
      </c>
    </row>
    <row r="3" spans="1:4">
      <c r="A3" t="s">
        <v>422</v>
      </c>
      <c r="B3">
        <v>100</v>
      </c>
      <c r="D3" t="s">
        <v>423</v>
      </c>
    </row>
    <row r="4" spans="1:4">
      <c r="A4" t="s">
        <v>424</v>
      </c>
      <c r="B4">
        <v>100</v>
      </c>
      <c r="D4" t="s">
        <v>425</v>
      </c>
    </row>
    <row r="5" spans="1:4">
      <c r="A5" t="s">
        <v>426</v>
      </c>
      <c r="B5">
        <v>100</v>
      </c>
      <c r="D5" t="s">
        <v>427</v>
      </c>
    </row>
    <row r="6" spans="1:4">
      <c r="A6" t="s">
        <v>428</v>
      </c>
      <c r="B6">
        <v>100</v>
      </c>
      <c r="D6" t="s">
        <v>429</v>
      </c>
    </row>
    <row r="7" spans="1:4">
      <c r="A7" t="s">
        <v>430</v>
      </c>
      <c r="B7">
        <v>100</v>
      </c>
      <c r="D7" t="s">
        <v>431</v>
      </c>
    </row>
    <row r="8" spans="1:4">
      <c r="A8" t="s">
        <v>432</v>
      </c>
      <c r="B8">
        <v>100</v>
      </c>
      <c r="D8" t="s">
        <v>433</v>
      </c>
    </row>
    <row r="9" spans="1:4">
      <c r="A9" t="s">
        <v>434</v>
      </c>
      <c r="B9">
        <v>0</v>
      </c>
      <c r="D9" t="s">
        <v>429</v>
      </c>
    </row>
    <row r="10" spans="1:4">
      <c r="A10" t="s">
        <v>435</v>
      </c>
      <c r="B10">
        <v>100</v>
      </c>
      <c r="D10" t="s">
        <v>436</v>
      </c>
    </row>
    <row r="11" spans="1:4">
      <c r="A11" t="s">
        <v>437</v>
      </c>
      <c r="B11">
        <v>100</v>
      </c>
      <c r="D11" t="s">
        <v>438</v>
      </c>
    </row>
    <row r="12" spans="1:4">
      <c r="A12" t="s">
        <v>439</v>
      </c>
      <c r="B12">
        <v>100</v>
      </c>
      <c r="D12" t="s">
        <v>440</v>
      </c>
    </row>
    <row r="13" spans="1:4">
      <c r="A13" t="s">
        <v>441</v>
      </c>
      <c r="B13">
        <v>100</v>
      </c>
      <c r="D13" t="s">
        <v>442</v>
      </c>
    </row>
    <row r="14" spans="1:4">
      <c r="A14" t="s">
        <v>443</v>
      </c>
      <c r="B14">
        <v>100</v>
      </c>
      <c r="D14" t="s">
        <v>444</v>
      </c>
    </row>
    <row r="15" spans="1:4">
      <c r="A15" t="s">
        <v>445</v>
      </c>
      <c r="B15">
        <v>100</v>
      </c>
      <c r="D15" t="s">
        <v>446</v>
      </c>
    </row>
    <row r="16" spans="1:4">
      <c r="A16" t="s">
        <v>447</v>
      </c>
      <c r="B16">
        <v>100</v>
      </c>
      <c r="D16" t="s">
        <v>448</v>
      </c>
    </row>
  </sheetData>
  <phoneticPr fontId="19" type="noConversion"/>
  <pageMargins left="0.75" right="0.75" top="1" bottom="1" header="0.5" footer="0.5"/>
  <headerFooter alignWithMargins="0">
    <oddHeader>&amp;A</oddHeader>
    <oddFooter>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93">
    <tabColor theme="4" tint="0.39997558519241921"/>
    <pageSetUpPr fitToPage="1"/>
  </sheetPr>
  <dimension ref="A1:P614"/>
  <sheetViews>
    <sheetView workbookViewId="0"/>
  </sheetViews>
  <sheetFormatPr defaultColWidth="11.44140625" defaultRowHeight="13.2"/>
  <cols>
    <col min="1" max="1" width="8.5546875" customWidth="1"/>
    <col min="2" max="2" width="11.44140625" customWidth="1"/>
    <col min="3" max="3" width="12.44140625" customWidth="1"/>
    <col min="4" max="4" width="53.5546875" customWidth="1"/>
    <col min="5" max="5" width="17.44140625" customWidth="1"/>
    <col min="6" max="6" width="4" customWidth="1"/>
    <col min="7" max="7" width="16.44140625" customWidth="1"/>
    <col min="8" max="8" width="15.44140625" customWidth="1"/>
    <col min="9" max="9" width="18.44140625" customWidth="1"/>
    <col min="10" max="10" width="17.44140625" customWidth="1"/>
    <col min="11" max="11" width="16.44140625" customWidth="1"/>
    <col min="12" max="12" width="14.5546875" bestFit="1" customWidth="1"/>
    <col min="13" max="13" width="14" customWidth="1"/>
    <col min="14" max="14" width="13.5546875" customWidth="1"/>
  </cols>
  <sheetData>
    <row r="1" spans="1:15">
      <c r="A1" s="785" t="str">
        <f>COMPANY</f>
        <v>DUKE ENERGY KENTUCKY, INC.</v>
      </c>
      <c r="B1" s="785"/>
      <c r="C1" s="785"/>
      <c r="D1" s="1134"/>
      <c r="E1" s="1134"/>
      <c r="F1" s="1134"/>
      <c r="G1" s="785"/>
      <c r="H1" s="1135"/>
      <c r="I1" s="1136"/>
      <c r="J1" s="1136"/>
      <c r="K1" s="1136"/>
      <c r="L1" s="1137"/>
      <c r="M1" s="1137"/>
      <c r="N1" s="1137"/>
      <c r="O1" s="1137"/>
    </row>
    <row r="2" spans="1:15">
      <c r="A2" s="785" t="str">
        <f>CASE</f>
        <v>CASE NO. 2024-00354</v>
      </c>
      <c r="B2" s="785"/>
      <c r="C2" s="785"/>
      <c r="D2" s="1134"/>
      <c r="E2" s="1134"/>
      <c r="F2" s="1134"/>
      <c r="G2" s="785"/>
      <c r="H2" s="1135"/>
      <c r="I2" s="1136"/>
      <c r="J2" s="1136"/>
      <c r="K2" s="1136"/>
      <c r="L2" s="1137"/>
      <c r="M2" s="1137"/>
      <c r="N2" s="1137"/>
      <c r="O2" s="1137"/>
    </row>
    <row r="3" spans="1:15">
      <c r="A3" s="785" t="s">
        <v>791</v>
      </c>
      <c r="B3" s="785"/>
      <c r="C3" s="785"/>
      <c r="D3" s="1134"/>
      <c r="E3" s="1134"/>
      <c r="F3" s="1134"/>
      <c r="G3" s="785"/>
      <c r="H3" s="1135"/>
      <c r="I3" s="1136"/>
      <c r="J3" s="1136"/>
      <c r="K3" s="1136"/>
      <c r="L3" s="1137"/>
      <c r="M3" s="1137"/>
      <c r="N3" s="1137"/>
      <c r="O3" s="1137"/>
    </row>
    <row r="4" spans="1:15">
      <c r="A4" s="47" t="str">
        <f>"AS OF " &amp;RIGHT(TESTYR,(LEN(TESTYR)-16))</f>
        <v>AS OF FEBRUARY 28, 2025</v>
      </c>
      <c r="B4" s="785"/>
      <c r="C4" s="785"/>
      <c r="D4" s="1134"/>
      <c r="E4" s="1134"/>
      <c r="F4" s="1134"/>
      <c r="G4" s="785"/>
      <c r="H4" s="1135"/>
      <c r="I4" s="1136"/>
      <c r="J4" s="1136"/>
      <c r="K4" s="1136"/>
      <c r="L4" s="1137"/>
      <c r="M4" s="1137"/>
      <c r="N4" s="1137"/>
      <c r="O4" s="1137"/>
    </row>
    <row r="5" spans="1:15">
      <c r="A5" s="1393" t="s">
        <v>55</v>
      </c>
      <c r="B5" s="785"/>
      <c r="C5" s="785"/>
      <c r="D5" s="1134"/>
      <c r="E5" s="1134"/>
      <c r="F5" s="1134"/>
      <c r="G5" s="785"/>
      <c r="H5" s="1135"/>
      <c r="I5" s="1136"/>
      <c r="J5" s="1136"/>
      <c r="K5" s="1136"/>
      <c r="L5" s="1137"/>
      <c r="M5" s="1137"/>
      <c r="N5" s="1137"/>
      <c r="O5" s="1137"/>
    </row>
    <row r="6" spans="1:15">
      <c r="A6" s="785" t="s">
        <v>601</v>
      </c>
      <c r="B6" s="785"/>
      <c r="C6" s="785"/>
      <c r="D6" s="1134"/>
      <c r="E6" s="1134"/>
      <c r="F6" s="1134"/>
      <c r="G6" s="785"/>
      <c r="H6" s="1135"/>
      <c r="I6" s="1136"/>
      <c r="J6" s="1136"/>
      <c r="K6" s="1136"/>
      <c r="L6" s="1137"/>
      <c r="M6" s="1137"/>
      <c r="N6" s="1137"/>
      <c r="O6" s="1137"/>
    </row>
    <row r="7" spans="1:15">
      <c r="A7" s="786" t="s">
        <v>529</v>
      </c>
      <c r="B7" s="785"/>
      <c r="C7" s="785"/>
      <c r="D7" s="1134"/>
      <c r="E7" s="1134"/>
      <c r="F7" s="1134"/>
      <c r="G7" s="785"/>
      <c r="H7" s="1135"/>
      <c r="I7" s="1136"/>
      <c r="J7" s="1136"/>
      <c r="K7" s="1136"/>
      <c r="L7" s="1137"/>
      <c r="M7" s="1137"/>
      <c r="N7" s="1137"/>
      <c r="O7" s="1137"/>
    </row>
    <row r="8" spans="1:15">
      <c r="A8" s="65"/>
      <c r="B8" s="65"/>
      <c r="C8" s="65"/>
      <c r="D8" s="65"/>
      <c r="E8" s="68"/>
      <c r="F8" s="65"/>
      <c r="G8" s="65"/>
      <c r="H8" s="791"/>
      <c r="I8" s="68"/>
      <c r="J8" s="68"/>
      <c r="K8" s="68"/>
      <c r="L8" s="1137"/>
      <c r="M8" s="1137"/>
      <c r="N8" s="1137"/>
      <c r="O8" s="1137"/>
    </row>
    <row r="9" spans="1:15">
      <c r="A9" s="65"/>
      <c r="B9" s="65"/>
      <c r="C9" s="65"/>
      <c r="D9" s="65"/>
      <c r="E9" s="68"/>
      <c r="F9" s="65"/>
      <c r="G9" s="65"/>
      <c r="H9" s="791"/>
      <c r="I9" s="65"/>
      <c r="J9" s="65"/>
      <c r="K9" s="65"/>
      <c r="L9" s="1137"/>
      <c r="M9" s="1137"/>
      <c r="N9" s="1137"/>
      <c r="O9" s="1137"/>
    </row>
    <row r="10" spans="1:15">
      <c r="A10" s="67" t="str">
        <f>Data</f>
        <v>DATA: "X" BASE PERIOD   FORECASTED PERIOD</v>
      </c>
      <c r="B10" s="65"/>
      <c r="C10" s="65"/>
      <c r="D10" s="65"/>
      <c r="E10" s="65"/>
      <c r="F10" s="65"/>
      <c r="G10" s="68"/>
      <c r="H10" s="791"/>
      <c r="I10" s="68"/>
      <c r="J10" s="787" t="s">
        <v>792</v>
      </c>
      <c r="K10" s="68"/>
      <c r="L10" s="1137"/>
      <c r="M10" s="1137"/>
      <c r="N10" s="1137"/>
      <c r="O10" s="1137"/>
    </row>
    <row r="11" spans="1:15">
      <c r="A11" s="67" t="str">
        <f>Type</f>
        <v xml:space="preserve">TYPE OF FILING:  "X" ORIGINAL   UPDATED    REVISED  </v>
      </c>
      <c r="B11" s="65"/>
      <c r="C11" s="65"/>
      <c r="D11" s="65"/>
      <c r="E11" s="65"/>
      <c r="F11" s="65"/>
      <c r="G11" s="68"/>
      <c r="H11" s="791"/>
      <c r="I11" s="68"/>
      <c r="J11" s="787" t="s">
        <v>603</v>
      </c>
      <c r="K11" s="68"/>
      <c r="L11" s="1137"/>
      <c r="M11" s="1137"/>
      <c r="N11" s="1137"/>
      <c r="O11" s="1137"/>
    </row>
    <row r="12" spans="1:15">
      <c r="A12" s="67" t="s">
        <v>793</v>
      </c>
      <c r="B12" s="65"/>
      <c r="C12" s="65"/>
      <c r="D12" s="65"/>
      <c r="E12" s="65"/>
      <c r="F12" s="65"/>
      <c r="G12" s="68"/>
      <c r="H12" s="791"/>
      <c r="I12" s="68"/>
      <c r="J12" s="787" t="s">
        <v>468</v>
      </c>
      <c r="K12" s="68"/>
      <c r="L12" s="1137"/>
      <c r="M12" s="1137"/>
      <c r="N12" s="1137"/>
      <c r="O12" s="1137"/>
    </row>
    <row r="13" spans="1:15">
      <c r="A13" s="65"/>
      <c r="B13" s="65"/>
      <c r="C13" s="65"/>
      <c r="D13" s="65"/>
      <c r="E13" s="65"/>
      <c r="F13" s="65"/>
      <c r="G13" s="68"/>
      <c r="H13" s="791"/>
      <c r="I13" s="68"/>
      <c r="J13" s="65" t="str">
        <f>_WIT7</f>
        <v>G. S. CARPENTER / S. S. MITCHELL</v>
      </c>
      <c r="K13" s="68"/>
      <c r="L13" s="1137"/>
      <c r="M13" s="1137"/>
      <c r="N13" s="1137"/>
      <c r="O13" s="1137"/>
    </row>
    <row r="14" spans="1:15">
      <c r="A14" s="65"/>
      <c r="B14" s="65"/>
      <c r="C14" s="65"/>
      <c r="D14" s="65"/>
      <c r="E14" s="65"/>
      <c r="F14" s="65"/>
      <c r="G14" s="68"/>
      <c r="H14" s="791"/>
      <c r="I14" s="68"/>
      <c r="J14" s="68"/>
      <c r="K14" s="68"/>
      <c r="L14" s="1137"/>
      <c r="M14" s="1137"/>
      <c r="N14" s="1137"/>
      <c r="O14" s="1137"/>
    </row>
    <row r="15" spans="1:15">
      <c r="A15" s="65"/>
      <c r="B15" s="65"/>
      <c r="C15" s="65"/>
      <c r="D15" s="65"/>
      <c r="E15" s="65"/>
      <c r="F15" s="1458"/>
      <c r="G15" s="68"/>
      <c r="H15" s="791"/>
      <c r="I15" s="68"/>
      <c r="J15" s="68"/>
      <c r="K15" s="68"/>
      <c r="L15" s="1137"/>
      <c r="M15" s="1137"/>
      <c r="N15" s="1137"/>
      <c r="O15" s="1137"/>
    </row>
    <row r="16" spans="1:15">
      <c r="A16" s="2099"/>
      <c r="B16" s="2100"/>
      <c r="C16" s="2101"/>
      <c r="D16" s="2099"/>
      <c r="E16" s="2100" t="s">
        <v>13</v>
      </c>
      <c r="F16" s="62"/>
      <c r="G16" s="2102"/>
      <c r="H16" s="2103"/>
      <c r="I16" s="2102"/>
      <c r="J16" s="2102"/>
      <c r="K16" s="2102"/>
      <c r="L16" s="1137"/>
      <c r="M16" s="1137"/>
      <c r="N16" s="1137"/>
      <c r="O16" s="1137"/>
    </row>
    <row r="17" spans="1:15">
      <c r="A17" s="63"/>
      <c r="B17" s="64" t="s">
        <v>257</v>
      </c>
      <c r="C17" s="64" t="s">
        <v>605</v>
      </c>
      <c r="D17" s="63"/>
      <c r="E17" s="64" t="s">
        <v>418</v>
      </c>
      <c r="F17" s="62"/>
      <c r="G17" s="1459" t="s">
        <v>794</v>
      </c>
      <c r="H17" s="1460"/>
      <c r="I17" s="1460"/>
      <c r="J17" s="1460"/>
      <c r="K17" s="1460"/>
      <c r="L17" s="1137"/>
      <c r="M17" s="1137"/>
      <c r="N17" s="1137"/>
      <c r="O17" s="1137"/>
    </row>
    <row r="18" spans="1:15">
      <c r="A18" s="64" t="s">
        <v>573</v>
      </c>
      <c r="B18" s="64" t="s">
        <v>606</v>
      </c>
      <c r="C18" s="64" t="s">
        <v>606</v>
      </c>
      <c r="D18" s="65"/>
      <c r="E18" s="784" t="s">
        <v>258</v>
      </c>
      <c r="F18" s="64"/>
      <c r="G18" s="784" t="s">
        <v>258</v>
      </c>
      <c r="H18" s="1138" t="s">
        <v>574</v>
      </c>
      <c r="I18" s="784" t="s">
        <v>574</v>
      </c>
      <c r="J18" s="68"/>
      <c r="K18" s="784" t="s">
        <v>575</v>
      </c>
      <c r="L18" s="1137"/>
      <c r="M18" s="1137"/>
      <c r="N18" s="1137"/>
      <c r="O18" s="1137"/>
    </row>
    <row r="19" spans="1:15">
      <c r="A19" s="1461" t="s">
        <v>576</v>
      </c>
      <c r="B19" s="1461" t="s">
        <v>576</v>
      </c>
      <c r="C19" s="1461" t="s">
        <v>576</v>
      </c>
      <c r="D19" s="1461" t="s">
        <v>607</v>
      </c>
      <c r="E19" s="1462" t="s">
        <v>795</v>
      </c>
      <c r="F19" s="1461"/>
      <c r="G19" s="1462" t="s">
        <v>605</v>
      </c>
      <c r="H19" s="1463" t="s">
        <v>420</v>
      </c>
      <c r="I19" s="1462" t="s">
        <v>258</v>
      </c>
      <c r="J19" s="1462" t="s">
        <v>578</v>
      </c>
      <c r="K19" s="1462" t="s">
        <v>579</v>
      </c>
      <c r="L19" s="1137"/>
      <c r="M19" s="1137"/>
      <c r="N19" s="1137"/>
      <c r="O19" s="1137"/>
    </row>
    <row r="20" spans="1:15">
      <c r="A20" s="64" t="s">
        <v>382</v>
      </c>
      <c r="B20" s="65"/>
      <c r="C20" s="65"/>
      <c r="D20" s="65"/>
      <c r="E20" s="784" t="s">
        <v>580</v>
      </c>
      <c r="F20" s="784"/>
      <c r="G20" s="784" t="s">
        <v>580</v>
      </c>
      <c r="H20" s="791"/>
      <c r="I20" s="784" t="s">
        <v>580</v>
      </c>
      <c r="J20" s="784" t="s">
        <v>580</v>
      </c>
      <c r="K20" s="784" t="s">
        <v>580</v>
      </c>
      <c r="L20" s="1137"/>
      <c r="M20" s="1137"/>
      <c r="N20" s="1137"/>
      <c r="O20" s="1137"/>
    </row>
    <row r="21" spans="1:15">
      <c r="A21" s="65"/>
      <c r="B21" s="65"/>
      <c r="C21" s="65"/>
      <c r="D21" s="65"/>
      <c r="E21" s="65"/>
      <c r="F21" s="65"/>
      <c r="G21" s="68"/>
      <c r="H21" s="791"/>
      <c r="I21" s="68"/>
      <c r="J21" s="68"/>
      <c r="K21" s="68"/>
      <c r="L21" s="1137"/>
      <c r="M21" s="1137"/>
      <c r="N21" s="1137"/>
      <c r="O21" s="1137"/>
    </row>
    <row r="22" spans="1:15">
      <c r="A22" s="64">
        <v>1</v>
      </c>
      <c r="B22" s="53">
        <v>310</v>
      </c>
      <c r="C22" s="53">
        <v>3100</v>
      </c>
      <c r="D22" s="737" t="s">
        <v>608</v>
      </c>
      <c r="E22" s="740">
        <f>'SCH B-2.1'!I23</f>
        <v>7156805</v>
      </c>
      <c r="F22" s="67"/>
      <c r="G22" s="2298">
        <v>102414</v>
      </c>
      <c r="H22" s="1139">
        <v>1</v>
      </c>
      <c r="I22" s="68">
        <f t="shared" ref="I22:I32" si="0">ROUND((G22*H22),0)</f>
        <v>102414</v>
      </c>
      <c r="J22" s="2299"/>
      <c r="K22" s="68">
        <f t="shared" ref="K22:K32" si="1">I22+J22</f>
        <v>102414</v>
      </c>
      <c r="L22" s="1144"/>
      <c r="M22" s="1137"/>
      <c r="N22" s="1137"/>
      <c r="O22" s="1137"/>
    </row>
    <row r="23" spans="1:15">
      <c r="A23" s="64">
        <f>A22+1</f>
        <v>2</v>
      </c>
      <c r="B23" s="53">
        <v>311</v>
      </c>
      <c r="C23" s="53">
        <v>3110</v>
      </c>
      <c r="D23" s="737" t="s">
        <v>609</v>
      </c>
      <c r="E23" s="740">
        <f>'SCH B-2.1'!I24</f>
        <v>126586707</v>
      </c>
      <c r="F23" s="67"/>
      <c r="G23" s="2298">
        <v>68468249</v>
      </c>
      <c r="H23" s="1139">
        <v>1</v>
      </c>
      <c r="I23" s="68">
        <f t="shared" si="0"/>
        <v>68468249</v>
      </c>
      <c r="J23" s="68">
        <f>'SCH B-3.1'!G23</f>
        <v>-10296534</v>
      </c>
      <c r="K23" s="68">
        <f t="shared" si="1"/>
        <v>58171715</v>
      </c>
      <c r="L23" s="1144"/>
      <c r="M23" s="1137"/>
      <c r="N23" s="1137"/>
      <c r="O23" s="1137"/>
    </row>
    <row r="24" spans="1:15">
      <c r="A24" s="64">
        <f t="shared" ref="A24:A32" si="2">A23+1</f>
        <v>3</v>
      </c>
      <c r="B24" s="53">
        <v>312</v>
      </c>
      <c r="C24" s="53">
        <v>3120</v>
      </c>
      <c r="D24" s="737" t="s">
        <v>610</v>
      </c>
      <c r="E24" s="740">
        <f>'SCH B-2.1'!I25</f>
        <v>574616186</v>
      </c>
      <c r="F24" s="772"/>
      <c r="G24" s="2298">
        <v>326405167</v>
      </c>
      <c r="H24" s="1139">
        <v>1</v>
      </c>
      <c r="I24" s="68">
        <f t="shared" si="0"/>
        <v>326405167</v>
      </c>
      <c r="J24" s="68"/>
      <c r="K24" s="68">
        <f t="shared" si="1"/>
        <v>326405167</v>
      </c>
      <c r="L24" s="1144"/>
      <c r="M24" s="1137"/>
      <c r="N24" s="1137"/>
      <c r="O24" s="1137"/>
    </row>
    <row r="25" spans="1:15">
      <c r="A25" s="64">
        <f t="shared" si="2"/>
        <v>4</v>
      </c>
      <c r="B25" s="53">
        <v>312</v>
      </c>
      <c r="C25" s="53">
        <v>3123</v>
      </c>
      <c r="D25" s="737" t="s">
        <v>611</v>
      </c>
      <c r="E25" s="740">
        <f>'SCH B-2.1'!I26</f>
        <v>8411575</v>
      </c>
      <c r="F25" s="772"/>
      <c r="G25" s="2298">
        <v>5900773</v>
      </c>
      <c r="H25" s="1139">
        <v>1</v>
      </c>
      <c r="I25" s="68">
        <f t="shared" si="0"/>
        <v>5900773</v>
      </c>
      <c r="J25" s="68"/>
      <c r="K25" s="68">
        <f t="shared" si="1"/>
        <v>5900773</v>
      </c>
      <c r="L25" s="1144"/>
      <c r="M25" s="1137"/>
      <c r="N25" s="1137"/>
      <c r="O25" s="1137"/>
    </row>
    <row r="26" spans="1:15">
      <c r="A26" s="64">
        <f t="shared" si="2"/>
        <v>5</v>
      </c>
      <c r="B26" s="53">
        <v>314</v>
      </c>
      <c r="C26" s="53">
        <v>3140</v>
      </c>
      <c r="D26" s="737" t="s">
        <v>612</v>
      </c>
      <c r="E26" s="740">
        <f>'SCH B-2.1'!I27</f>
        <v>123666102</v>
      </c>
      <c r="F26" s="67"/>
      <c r="G26" s="2298">
        <v>50977756</v>
      </c>
      <c r="H26" s="1139">
        <v>1</v>
      </c>
      <c r="I26" s="68">
        <f t="shared" si="0"/>
        <v>50977756</v>
      </c>
      <c r="J26" s="68"/>
      <c r="K26" s="68">
        <f t="shared" si="1"/>
        <v>50977756</v>
      </c>
      <c r="L26" s="1144"/>
      <c r="M26" s="1137"/>
      <c r="N26" s="1137"/>
      <c r="O26" s="1137"/>
    </row>
    <row r="27" spans="1:15">
      <c r="A27" s="64">
        <f t="shared" si="2"/>
        <v>6</v>
      </c>
      <c r="B27" s="53">
        <v>315</v>
      </c>
      <c r="C27" s="53">
        <v>3150</v>
      </c>
      <c r="D27" s="737" t="s">
        <v>613</v>
      </c>
      <c r="E27" s="740">
        <f>'SCH B-2.1'!I28</f>
        <v>50023755</v>
      </c>
      <c r="F27" s="67"/>
      <c r="G27" s="2298">
        <v>32509029</v>
      </c>
      <c r="H27" s="1139">
        <v>1</v>
      </c>
      <c r="I27" s="68">
        <f t="shared" si="0"/>
        <v>32509029</v>
      </c>
      <c r="J27" s="68"/>
      <c r="K27" s="68">
        <f t="shared" si="1"/>
        <v>32509029</v>
      </c>
      <c r="L27" s="1144"/>
      <c r="M27" s="1137"/>
      <c r="N27" s="1137"/>
      <c r="O27" s="1137"/>
    </row>
    <row r="28" spans="1:15">
      <c r="A28" s="64">
        <f t="shared" si="2"/>
        <v>7</v>
      </c>
      <c r="B28" s="53">
        <v>316</v>
      </c>
      <c r="C28" s="53">
        <v>3160</v>
      </c>
      <c r="D28" s="737" t="s">
        <v>614</v>
      </c>
      <c r="E28" s="740">
        <f>'SCH B-2.1'!I29</f>
        <v>25602233</v>
      </c>
      <c r="F28" s="67"/>
      <c r="G28" s="2298">
        <v>13514360</v>
      </c>
      <c r="H28" s="1139">
        <v>1</v>
      </c>
      <c r="I28" s="68">
        <f t="shared" si="0"/>
        <v>13514360</v>
      </c>
      <c r="J28" s="68"/>
      <c r="K28" s="68">
        <f t="shared" si="1"/>
        <v>13514360</v>
      </c>
      <c r="L28" s="1144"/>
      <c r="M28" s="1137"/>
      <c r="N28" s="1137"/>
      <c r="O28" s="1137"/>
    </row>
    <row r="29" spans="1:15">
      <c r="A29" s="64">
        <f t="shared" si="2"/>
        <v>8</v>
      </c>
      <c r="B29" s="53">
        <v>317</v>
      </c>
      <c r="C29" s="1249">
        <v>3170</v>
      </c>
      <c r="D29" s="737" t="s">
        <v>615</v>
      </c>
      <c r="E29" s="740">
        <f>'SCH B-2.1'!I30</f>
        <v>0</v>
      </c>
      <c r="F29" s="67"/>
      <c r="G29" s="2298">
        <v>26020795</v>
      </c>
      <c r="H29" s="1139">
        <v>1</v>
      </c>
      <c r="I29" s="68">
        <f t="shared" si="0"/>
        <v>26020795</v>
      </c>
      <c r="J29" s="68">
        <f>-G29</f>
        <v>-26020795</v>
      </c>
      <c r="K29" s="68">
        <f t="shared" si="1"/>
        <v>0</v>
      </c>
      <c r="L29" s="1144"/>
      <c r="M29" s="1137"/>
      <c r="N29" s="1137"/>
      <c r="O29" s="1137"/>
    </row>
    <row r="30" spans="1:15">
      <c r="A30" s="64">
        <f t="shared" si="2"/>
        <v>9</v>
      </c>
      <c r="B30" s="53"/>
      <c r="C30" s="1249"/>
      <c r="D30" s="1131" t="s">
        <v>616</v>
      </c>
      <c r="E30" s="740">
        <f>'SCH B-2.1'!I31</f>
        <v>8154644</v>
      </c>
      <c r="F30" s="67"/>
      <c r="G30" s="2298">
        <v>0</v>
      </c>
      <c r="H30" s="1139">
        <v>1</v>
      </c>
      <c r="I30" s="68">
        <f t="shared" si="0"/>
        <v>0</v>
      </c>
      <c r="J30" s="2298"/>
      <c r="K30" s="68">
        <f t="shared" si="1"/>
        <v>0</v>
      </c>
      <c r="L30" s="1144"/>
      <c r="M30" s="1137"/>
      <c r="N30" s="1137"/>
      <c r="O30" s="1137"/>
    </row>
    <row r="31" spans="1:15">
      <c r="A31" s="64">
        <f t="shared" si="2"/>
        <v>10</v>
      </c>
      <c r="B31" s="737"/>
      <c r="C31" s="737"/>
      <c r="D31" s="737" t="s">
        <v>617</v>
      </c>
      <c r="E31" s="740">
        <f>'SCH B-2.1'!I32</f>
        <v>0</v>
      </c>
      <c r="F31" s="67"/>
      <c r="G31" s="2298">
        <v>0</v>
      </c>
      <c r="H31" s="1139">
        <v>1</v>
      </c>
      <c r="I31" s="68">
        <f t="shared" si="0"/>
        <v>0</v>
      </c>
      <c r="J31" s="68"/>
      <c r="K31" s="68">
        <f t="shared" si="1"/>
        <v>0</v>
      </c>
      <c r="L31" s="1144"/>
      <c r="M31" s="1137"/>
      <c r="N31" s="1137"/>
      <c r="O31" s="1137"/>
    </row>
    <row r="32" spans="1:15">
      <c r="A32" s="64">
        <f t="shared" si="2"/>
        <v>11</v>
      </c>
      <c r="B32" s="65"/>
      <c r="C32" s="64">
        <v>108</v>
      </c>
      <c r="D32" s="737" t="s">
        <v>796</v>
      </c>
      <c r="E32" s="740">
        <f>'SCH B-2.1'!I33</f>
        <v>0</v>
      </c>
      <c r="F32" s="67"/>
      <c r="G32" s="2298">
        <v>-26600894</v>
      </c>
      <c r="H32" s="1139">
        <v>1</v>
      </c>
      <c r="I32" s="68">
        <f t="shared" si="0"/>
        <v>-26600894</v>
      </c>
      <c r="J32" s="68"/>
      <c r="K32" s="68">
        <f t="shared" si="1"/>
        <v>-26600894</v>
      </c>
      <c r="L32" s="1144"/>
      <c r="M32" s="1137"/>
      <c r="N32" s="1137"/>
      <c r="O32" s="1137"/>
    </row>
    <row r="33" spans="1:15">
      <c r="A33" s="65"/>
      <c r="B33" s="65"/>
      <c r="C33" s="65"/>
      <c r="D33" s="65"/>
      <c r="E33" s="65"/>
      <c r="F33" s="65"/>
      <c r="G33" s="1140"/>
      <c r="H33" s="1139"/>
      <c r="I33" s="68"/>
      <c r="J33" s="68"/>
      <c r="K33" s="68"/>
      <c r="L33" s="1144"/>
      <c r="M33" s="1137"/>
      <c r="N33" s="1137"/>
      <c r="O33" s="1137"/>
    </row>
    <row r="34" spans="1:15">
      <c r="A34" s="65"/>
      <c r="B34" s="65"/>
      <c r="C34" s="65"/>
      <c r="D34" s="65"/>
      <c r="E34" s="65"/>
      <c r="F34" s="1458"/>
      <c r="G34" s="65"/>
      <c r="H34" s="791"/>
      <c r="I34" s="65"/>
      <c r="J34" s="65"/>
      <c r="K34" s="65"/>
      <c r="L34" s="1144"/>
      <c r="M34" s="1137"/>
      <c r="N34" s="1137"/>
      <c r="O34" s="1137"/>
    </row>
    <row r="35" spans="1:15">
      <c r="A35" s="2099"/>
      <c r="B35" s="2099"/>
      <c r="C35" s="2099"/>
      <c r="D35" s="2099"/>
      <c r="E35" s="2099"/>
      <c r="F35" s="63"/>
      <c r="G35" s="2099"/>
      <c r="H35" s="2103"/>
      <c r="I35" s="2099"/>
      <c r="J35" s="2099"/>
      <c r="K35" s="2099"/>
      <c r="L35" s="1144"/>
      <c r="M35" s="1137"/>
      <c r="N35" s="1137"/>
      <c r="O35" s="1137"/>
    </row>
    <row r="36" spans="1:15">
      <c r="A36" s="1251">
        <f>+A32+1</f>
        <v>12</v>
      </c>
      <c r="B36" s="65"/>
      <c r="C36" s="65"/>
      <c r="D36" s="67" t="s">
        <v>618</v>
      </c>
      <c r="E36" s="740">
        <f>SUM(E22:E35)</f>
        <v>924218007</v>
      </c>
      <c r="F36" s="67"/>
      <c r="G36" s="740">
        <f>SUM(G22:G35)</f>
        <v>497297649</v>
      </c>
      <c r="H36" s="791"/>
      <c r="I36" s="740">
        <f>SUM(I22:I35)</f>
        <v>497297649</v>
      </c>
      <c r="J36" s="740">
        <f>SUM(J22:J35)</f>
        <v>-36317329</v>
      </c>
      <c r="K36" s="740">
        <f>SUM(K22:K35)</f>
        <v>460980320</v>
      </c>
      <c r="L36" s="1144"/>
      <c r="M36" s="1137"/>
      <c r="N36" s="2088" t="str">
        <f>IF(E36='SCH B-2.1'!I36,"BALANCED","ERROR")</f>
        <v>BALANCED</v>
      </c>
      <c r="O36" s="1137"/>
    </row>
    <row r="37" spans="1:15">
      <c r="A37" s="65"/>
      <c r="B37" s="65"/>
      <c r="C37" s="65"/>
      <c r="D37" s="65"/>
      <c r="E37" s="65"/>
      <c r="F37" s="1458"/>
      <c r="G37" s="68"/>
      <c r="H37" s="791"/>
      <c r="I37" s="68"/>
      <c r="J37" s="68"/>
      <c r="K37" s="68"/>
      <c r="L37" s="1144"/>
      <c r="M37" s="1137"/>
      <c r="N37" s="1137"/>
      <c r="O37" s="1137"/>
    </row>
    <row r="38" spans="1:15">
      <c r="A38" s="2099"/>
      <c r="B38" s="2099"/>
      <c r="C38" s="2099"/>
      <c r="D38" s="2099"/>
      <c r="E38" s="2099"/>
      <c r="F38" s="63"/>
      <c r="G38" s="2099"/>
      <c r="H38" s="2103"/>
      <c r="I38" s="2099"/>
      <c r="J38" s="2099"/>
      <c r="K38" s="2099"/>
      <c r="L38" s="1144"/>
      <c r="M38" s="1137"/>
      <c r="N38" s="1137"/>
      <c r="O38" s="1137"/>
    </row>
    <row r="39" spans="1:15">
      <c r="A39" s="783" t="s">
        <v>797</v>
      </c>
      <c r="B39" s="65"/>
      <c r="C39" s="65"/>
      <c r="D39" s="65"/>
      <c r="E39" s="65"/>
      <c r="F39" s="65"/>
      <c r="G39" s="65"/>
      <c r="H39" s="791"/>
      <c r="I39" s="65"/>
      <c r="J39" s="65"/>
      <c r="K39" s="65"/>
      <c r="L39" s="1144"/>
      <c r="M39" s="1137"/>
      <c r="N39" s="1137"/>
      <c r="O39" s="1137"/>
    </row>
    <row r="40" spans="1:15">
      <c r="A40" s="783"/>
      <c r="B40" s="65"/>
      <c r="C40" s="65"/>
      <c r="D40" s="65"/>
      <c r="E40" s="65"/>
      <c r="F40" s="65"/>
      <c r="G40" s="65"/>
      <c r="H40" s="791"/>
      <c r="I40" s="65"/>
      <c r="J40" s="65"/>
      <c r="K40" s="65"/>
      <c r="L40" s="1144"/>
      <c r="M40" s="1137"/>
      <c r="N40" s="1137"/>
      <c r="O40" s="1137"/>
    </row>
    <row r="41" spans="1:15">
      <c r="A41" s="785" t="str">
        <f>COMPANY</f>
        <v>DUKE ENERGY KENTUCKY, INC.</v>
      </c>
      <c r="B41" s="785"/>
      <c r="C41" s="785"/>
      <c r="D41" s="1134"/>
      <c r="E41" s="1134"/>
      <c r="F41" s="1134"/>
      <c r="G41" s="785"/>
      <c r="H41" s="1135"/>
      <c r="I41" s="1136"/>
      <c r="J41" s="1136"/>
      <c r="K41" s="1136"/>
      <c r="L41" s="1144"/>
      <c r="M41" s="1137"/>
      <c r="N41" s="1137"/>
      <c r="O41" s="1137"/>
    </row>
    <row r="42" spans="1:15">
      <c r="A42" s="785" t="str">
        <f>CASE</f>
        <v>CASE NO. 2024-00354</v>
      </c>
      <c r="B42" s="785"/>
      <c r="C42" s="785"/>
      <c r="D42" s="1134"/>
      <c r="E42" s="1134"/>
      <c r="F42" s="1134"/>
      <c r="G42" s="785"/>
      <c r="H42" s="1135"/>
      <c r="I42" s="1136"/>
      <c r="J42" s="1136"/>
      <c r="K42" s="1136"/>
      <c r="L42" s="1144"/>
      <c r="M42" s="1137"/>
      <c r="N42" s="1137"/>
      <c r="O42" s="1137"/>
    </row>
    <row r="43" spans="1:15">
      <c r="A43" s="785" t="s">
        <v>791</v>
      </c>
      <c r="B43" s="785"/>
      <c r="C43" s="785"/>
      <c r="D43" s="1134"/>
      <c r="E43" s="1134"/>
      <c r="F43" s="1134"/>
      <c r="G43" s="785"/>
      <c r="H43" s="1135"/>
      <c r="I43" s="1136"/>
      <c r="J43" s="1136"/>
      <c r="K43" s="1136"/>
      <c r="L43" s="1144"/>
      <c r="M43" s="1137"/>
      <c r="N43" s="1137"/>
      <c r="O43" s="1137"/>
    </row>
    <row r="44" spans="1:15">
      <c r="A44" s="47" t="str">
        <f>"AS OF " &amp;RIGHT(TESTYR,(LEN(TESTYR)-16))</f>
        <v>AS OF FEBRUARY 28, 2025</v>
      </c>
      <c r="B44" s="785"/>
      <c r="C44" s="785"/>
      <c r="D44" s="1134"/>
      <c r="E44" s="1134"/>
      <c r="F44" s="1134"/>
      <c r="G44" s="785"/>
      <c r="H44" s="1135"/>
      <c r="I44" s="1136"/>
      <c r="J44" s="1136"/>
      <c r="K44" s="1136"/>
      <c r="L44" s="1144"/>
      <c r="M44" s="1137"/>
      <c r="N44" s="1137"/>
      <c r="O44" s="1137"/>
    </row>
    <row r="45" spans="1:15">
      <c r="A45" s="785"/>
      <c r="B45" s="785"/>
      <c r="C45" s="785"/>
      <c r="D45" s="1134"/>
      <c r="E45" s="1134"/>
      <c r="F45" s="1134"/>
      <c r="G45" s="785"/>
      <c r="H45" s="1135"/>
      <c r="I45" s="1136"/>
      <c r="J45" s="1136"/>
      <c r="K45" s="1136"/>
      <c r="L45" s="1144"/>
      <c r="M45" s="1137"/>
      <c r="N45" s="1137"/>
      <c r="O45" s="1137"/>
    </row>
    <row r="46" spans="1:15">
      <c r="A46" s="785" t="s">
        <v>619</v>
      </c>
      <c r="B46" s="785"/>
      <c r="C46" s="785"/>
      <c r="D46" s="1134"/>
      <c r="E46" s="1134"/>
      <c r="F46" s="1134"/>
      <c r="G46" s="785"/>
      <c r="H46" s="1135"/>
      <c r="I46" s="1136"/>
      <c r="J46" s="1136"/>
      <c r="K46" s="1136"/>
      <c r="L46" s="1144"/>
      <c r="M46" s="1137"/>
      <c r="N46" s="1137"/>
      <c r="O46" s="1137"/>
    </row>
    <row r="47" spans="1:15">
      <c r="A47" s="786" t="s">
        <v>529</v>
      </c>
      <c r="B47" s="785"/>
      <c r="C47" s="785"/>
      <c r="D47" s="1134"/>
      <c r="E47" s="1134"/>
      <c r="F47" s="1134"/>
      <c r="G47" s="785"/>
      <c r="H47" s="1135"/>
      <c r="I47" s="1136"/>
      <c r="J47" s="1136"/>
      <c r="K47" s="1136"/>
      <c r="L47" s="1144"/>
      <c r="M47" s="1137"/>
      <c r="N47" s="1137"/>
      <c r="O47" s="1137"/>
    </row>
    <row r="48" spans="1:15">
      <c r="A48" s="65"/>
      <c r="B48" s="65"/>
      <c r="C48" s="65"/>
      <c r="D48" s="65"/>
      <c r="E48" s="65"/>
      <c r="F48" s="65"/>
      <c r="G48" s="65"/>
      <c r="H48" s="791"/>
      <c r="I48" s="68"/>
      <c r="J48" s="68"/>
      <c r="K48" s="68"/>
      <c r="L48" s="1144"/>
      <c r="M48" s="1137"/>
      <c r="N48" s="1137"/>
      <c r="O48" s="1137"/>
    </row>
    <row r="49" spans="1:15">
      <c r="A49" s="65"/>
      <c r="B49" s="65"/>
      <c r="C49" s="65"/>
      <c r="D49" s="65"/>
      <c r="E49" s="65"/>
      <c r="F49" s="65"/>
      <c r="G49" s="65"/>
      <c r="H49" s="791"/>
      <c r="I49" s="65"/>
      <c r="J49" s="65"/>
      <c r="K49" s="65"/>
      <c r="L49" s="1144"/>
      <c r="M49" s="1137"/>
      <c r="N49" s="1137"/>
      <c r="O49" s="1137"/>
    </row>
    <row r="50" spans="1:15">
      <c r="A50" s="67" t="str">
        <f>Data</f>
        <v>DATA: "X" BASE PERIOD   FORECASTED PERIOD</v>
      </c>
      <c r="B50" s="65"/>
      <c r="C50" s="65"/>
      <c r="D50" s="65"/>
      <c r="E50" s="65"/>
      <c r="F50" s="65"/>
      <c r="G50" s="68"/>
      <c r="H50" s="791"/>
      <c r="I50" s="68"/>
      <c r="J50" s="787" t="s">
        <v>792</v>
      </c>
      <c r="K50" s="68"/>
      <c r="L50" s="1144"/>
      <c r="M50" s="1137"/>
      <c r="N50" s="1137"/>
      <c r="O50" s="1137"/>
    </row>
    <row r="51" spans="1:15">
      <c r="A51" s="67" t="str">
        <f>Type</f>
        <v xml:space="preserve">TYPE OF FILING:  "X" ORIGINAL   UPDATED    REVISED  </v>
      </c>
      <c r="B51" s="65"/>
      <c r="C51" s="65"/>
      <c r="D51" s="65"/>
      <c r="E51" s="65"/>
      <c r="F51" s="65"/>
      <c r="G51" s="68"/>
      <c r="H51" s="791"/>
      <c r="I51" s="68"/>
      <c r="J51" s="787" t="s">
        <v>620</v>
      </c>
      <c r="K51" s="68"/>
      <c r="L51" s="1144"/>
      <c r="M51" s="1137"/>
      <c r="N51" s="1137"/>
      <c r="O51" s="1137"/>
    </row>
    <row r="52" spans="1:15">
      <c r="A52" s="67" t="s">
        <v>793</v>
      </c>
      <c r="B52" s="65"/>
      <c r="C52" s="65"/>
      <c r="D52" s="65"/>
      <c r="E52" s="65"/>
      <c r="F52" s="65"/>
      <c r="G52" s="68"/>
      <c r="H52" s="791"/>
      <c r="I52" s="68"/>
      <c r="J52" s="787" t="s">
        <v>468</v>
      </c>
      <c r="K52" s="68"/>
      <c r="L52" s="1144"/>
      <c r="M52" s="1137"/>
      <c r="N52" s="1137"/>
      <c r="O52" s="1137"/>
    </row>
    <row r="53" spans="1:15">
      <c r="A53" s="65"/>
      <c r="B53" s="65"/>
      <c r="C53" s="65"/>
      <c r="D53" s="65"/>
      <c r="E53" s="65"/>
      <c r="F53" s="65"/>
      <c r="G53" s="68"/>
      <c r="H53" s="791"/>
      <c r="I53" s="68"/>
      <c r="J53" s="65" t="str">
        <f>_WIT7</f>
        <v>G. S. CARPENTER / S. S. MITCHELL</v>
      </c>
      <c r="K53" s="68"/>
      <c r="L53" s="1144"/>
      <c r="M53" s="1137"/>
      <c r="N53" s="1137"/>
      <c r="O53" s="1137"/>
    </row>
    <row r="54" spans="1:15">
      <c r="A54" s="65"/>
      <c r="B54" s="65"/>
      <c r="C54" s="65"/>
      <c r="D54" s="65"/>
      <c r="E54" s="65"/>
      <c r="F54" s="65"/>
      <c r="G54" s="68"/>
      <c r="H54" s="791"/>
      <c r="I54" s="68"/>
      <c r="J54" s="68"/>
      <c r="K54" s="68"/>
      <c r="L54" s="1144"/>
      <c r="M54" s="1137"/>
      <c r="N54" s="1137"/>
      <c r="O54" s="1137"/>
    </row>
    <row r="55" spans="1:15">
      <c r="A55" s="65"/>
      <c r="B55" s="65"/>
      <c r="C55" s="65"/>
      <c r="D55" s="65"/>
      <c r="E55" s="65"/>
      <c r="F55" s="1458"/>
      <c r="G55" s="68"/>
      <c r="H55" s="791"/>
      <c r="I55" s="68"/>
      <c r="J55" s="68"/>
      <c r="K55" s="68"/>
      <c r="L55" s="1144"/>
      <c r="M55" s="1137"/>
      <c r="N55" s="1137"/>
      <c r="O55" s="1137"/>
    </row>
    <row r="56" spans="1:15">
      <c r="A56" s="2099"/>
      <c r="B56" s="2100"/>
      <c r="C56" s="2101"/>
      <c r="D56" s="2099"/>
      <c r="E56" s="2100" t="s">
        <v>13</v>
      </c>
      <c r="F56" s="62"/>
      <c r="G56" s="2102"/>
      <c r="H56" s="2103"/>
      <c r="I56" s="2102"/>
      <c r="J56" s="2102"/>
      <c r="K56" s="2102"/>
      <c r="L56" s="1144"/>
      <c r="M56" s="1137"/>
      <c r="N56" s="1137"/>
      <c r="O56" s="1137"/>
    </row>
    <row r="57" spans="1:15">
      <c r="A57" s="63"/>
      <c r="B57" s="64" t="s">
        <v>257</v>
      </c>
      <c r="C57" s="64" t="s">
        <v>605</v>
      </c>
      <c r="D57" s="63"/>
      <c r="E57" s="64" t="s">
        <v>418</v>
      </c>
      <c r="F57" s="62"/>
      <c r="G57" s="1459" t="s">
        <v>794</v>
      </c>
      <c r="H57" s="1460"/>
      <c r="I57" s="1460"/>
      <c r="J57" s="1460"/>
      <c r="K57" s="1460"/>
      <c r="L57" s="1144"/>
      <c r="M57" s="1137"/>
      <c r="N57" s="1137"/>
      <c r="O57" s="1137"/>
    </row>
    <row r="58" spans="1:15">
      <c r="A58" s="64" t="s">
        <v>573</v>
      </c>
      <c r="B58" s="64" t="s">
        <v>606</v>
      </c>
      <c r="C58" s="64" t="s">
        <v>606</v>
      </c>
      <c r="D58" s="65"/>
      <c r="E58" s="784" t="s">
        <v>258</v>
      </c>
      <c r="F58" s="64"/>
      <c r="G58" s="784" t="s">
        <v>258</v>
      </c>
      <c r="H58" s="1138" t="s">
        <v>574</v>
      </c>
      <c r="I58" s="784" t="s">
        <v>574</v>
      </c>
      <c r="J58" s="68"/>
      <c r="K58" s="784" t="s">
        <v>575</v>
      </c>
      <c r="L58" s="1144"/>
      <c r="M58" s="1137"/>
      <c r="N58" s="1137"/>
      <c r="O58" s="1137"/>
    </row>
    <row r="59" spans="1:15">
      <c r="A59" s="1461" t="s">
        <v>576</v>
      </c>
      <c r="B59" s="1461" t="s">
        <v>576</v>
      </c>
      <c r="C59" s="1461" t="s">
        <v>576</v>
      </c>
      <c r="D59" s="1461" t="s">
        <v>607</v>
      </c>
      <c r="E59" s="1462" t="s">
        <v>795</v>
      </c>
      <c r="F59" s="1461"/>
      <c r="G59" s="1462" t="s">
        <v>605</v>
      </c>
      <c r="H59" s="1463" t="s">
        <v>420</v>
      </c>
      <c r="I59" s="1462" t="s">
        <v>258</v>
      </c>
      <c r="J59" s="1462" t="s">
        <v>578</v>
      </c>
      <c r="K59" s="1462" t="s">
        <v>579</v>
      </c>
      <c r="L59" s="1144"/>
      <c r="M59" s="1137"/>
      <c r="N59" s="1137"/>
      <c r="O59" s="1137"/>
    </row>
    <row r="60" spans="1:15">
      <c r="A60" s="64" t="s">
        <v>382</v>
      </c>
      <c r="B60" s="65"/>
      <c r="C60" s="65"/>
      <c r="D60" s="65"/>
      <c r="E60" s="784" t="s">
        <v>580</v>
      </c>
      <c r="F60" s="784"/>
      <c r="G60" s="784" t="s">
        <v>580</v>
      </c>
      <c r="H60" s="791"/>
      <c r="I60" s="784" t="s">
        <v>580</v>
      </c>
      <c r="J60" s="784" t="s">
        <v>580</v>
      </c>
      <c r="K60" s="784" t="s">
        <v>580</v>
      </c>
      <c r="L60" s="1144"/>
      <c r="M60" s="1137"/>
      <c r="N60" s="1137"/>
      <c r="O60" s="1137"/>
    </row>
    <row r="61" spans="1:15">
      <c r="A61" s="65"/>
      <c r="B61" s="65"/>
      <c r="C61" s="65"/>
      <c r="D61" s="65"/>
      <c r="E61" s="65"/>
      <c r="F61" s="65"/>
      <c r="G61" s="68"/>
      <c r="H61" s="791"/>
      <c r="I61" s="68"/>
      <c r="J61" s="68"/>
      <c r="K61" s="68"/>
      <c r="L61" s="1144"/>
      <c r="M61" s="1137"/>
      <c r="N61" s="1137"/>
      <c r="O61" s="1137"/>
    </row>
    <row r="62" spans="1:15">
      <c r="A62" s="64" t="s">
        <v>621</v>
      </c>
      <c r="B62" s="53">
        <v>340</v>
      </c>
      <c r="C62" s="53">
        <v>3400</v>
      </c>
      <c r="D62" s="737" t="s">
        <v>608</v>
      </c>
      <c r="E62" s="740">
        <f>'SCH B-2.1'!I61</f>
        <v>2318703</v>
      </c>
      <c r="F62" s="67"/>
      <c r="G62" s="2298">
        <v>3902</v>
      </c>
      <c r="H62" s="1139">
        <v>1</v>
      </c>
      <c r="I62" s="68">
        <f t="shared" ref="I62:I74" si="3">ROUND((G62*H62),0)</f>
        <v>3902</v>
      </c>
      <c r="J62" s="2299"/>
      <c r="K62" s="68">
        <f t="shared" ref="K62:K74" si="4">I62+J62</f>
        <v>3902</v>
      </c>
      <c r="L62" s="1144"/>
      <c r="M62" s="1137"/>
      <c r="N62" s="1137"/>
      <c r="O62" s="1137"/>
    </row>
    <row r="63" spans="1:15">
      <c r="A63" s="64">
        <f t="shared" ref="A63:A71" si="5">A62+1</f>
        <v>2</v>
      </c>
      <c r="B63" s="53">
        <v>340</v>
      </c>
      <c r="C63" s="53">
        <v>3401</v>
      </c>
      <c r="D63" s="737" t="s">
        <v>622</v>
      </c>
      <c r="E63" s="740">
        <f>'SCH B-2.1'!I62</f>
        <v>0</v>
      </c>
      <c r="F63" s="67"/>
      <c r="G63" s="2298">
        <v>0</v>
      </c>
      <c r="H63" s="1139">
        <v>1</v>
      </c>
      <c r="I63" s="68">
        <f t="shared" si="3"/>
        <v>0</v>
      </c>
      <c r="J63" s="68"/>
      <c r="K63" s="68">
        <f t="shared" si="4"/>
        <v>0</v>
      </c>
      <c r="L63" s="1144"/>
      <c r="M63" s="1137"/>
      <c r="N63" s="1137"/>
      <c r="O63" s="1137"/>
    </row>
    <row r="64" spans="1:15">
      <c r="A64" s="64">
        <f t="shared" si="5"/>
        <v>3</v>
      </c>
      <c r="B64" s="53">
        <v>341</v>
      </c>
      <c r="C64" s="53">
        <v>3410</v>
      </c>
      <c r="D64" s="737" t="s">
        <v>609</v>
      </c>
      <c r="E64" s="740">
        <f>'SCH B-2.1'!I63</f>
        <v>37650167</v>
      </c>
      <c r="F64" s="67"/>
      <c r="G64" s="2298">
        <v>30182692</v>
      </c>
      <c r="H64" s="1139">
        <v>1</v>
      </c>
      <c r="I64" s="68">
        <f t="shared" si="3"/>
        <v>30182692</v>
      </c>
      <c r="J64" s="68"/>
      <c r="K64" s="68">
        <f t="shared" si="4"/>
        <v>30182692</v>
      </c>
      <c r="L64" s="1144"/>
      <c r="M64" s="1137"/>
      <c r="N64" s="1137"/>
      <c r="O64" s="1137"/>
    </row>
    <row r="65" spans="1:15">
      <c r="A65" s="64">
        <f t="shared" si="5"/>
        <v>4</v>
      </c>
      <c r="B65" s="53">
        <v>342</v>
      </c>
      <c r="C65" s="53">
        <v>3420</v>
      </c>
      <c r="D65" s="737" t="s">
        <v>623</v>
      </c>
      <c r="E65" s="740">
        <f>'SCH B-2.1'!I64</f>
        <v>63351603</v>
      </c>
      <c r="F65" s="772"/>
      <c r="G65" s="2298">
        <v>13202496</v>
      </c>
      <c r="H65" s="1139">
        <v>1</v>
      </c>
      <c r="I65" s="68">
        <f t="shared" si="3"/>
        <v>13202496</v>
      </c>
      <c r="J65" s="68"/>
      <c r="K65" s="68">
        <f t="shared" si="4"/>
        <v>13202496</v>
      </c>
      <c r="L65" s="1144"/>
      <c r="M65" s="1137"/>
      <c r="N65" s="1137"/>
      <c r="O65" s="1137"/>
    </row>
    <row r="66" spans="1:15">
      <c r="A66" s="64">
        <f t="shared" si="5"/>
        <v>5</v>
      </c>
      <c r="B66" s="53">
        <v>343</v>
      </c>
      <c r="C66" s="53">
        <v>3430</v>
      </c>
      <c r="D66" s="737" t="s">
        <v>625</v>
      </c>
      <c r="E66" s="740">
        <f>'SCH B-2.1'!I65</f>
        <v>10198421</v>
      </c>
      <c r="F66" s="772"/>
      <c r="G66" s="2298">
        <v>-1921039</v>
      </c>
      <c r="H66" s="1139">
        <v>1</v>
      </c>
      <c r="I66" s="68">
        <f t="shared" si="3"/>
        <v>-1921039</v>
      </c>
      <c r="J66" s="68"/>
      <c r="K66" s="68">
        <f t="shared" si="4"/>
        <v>-1921039</v>
      </c>
      <c r="L66" s="1144"/>
      <c r="M66" s="1137"/>
      <c r="N66" s="1137"/>
      <c r="O66" s="1137"/>
    </row>
    <row r="67" spans="1:15">
      <c r="A67" s="64">
        <f t="shared" si="5"/>
        <v>6</v>
      </c>
      <c r="B67" s="53">
        <v>344</v>
      </c>
      <c r="C67" s="53">
        <v>3440</v>
      </c>
      <c r="D67" s="737" t="s">
        <v>626</v>
      </c>
      <c r="E67" s="740">
        <f>'SCH B-2.1'!I66</f>
        <v>222318873</v>
      </c>
      <c r="F67" s="67"/>
      <c r="G67" s="2298">
        <v>155719952</v>
      </c>
      <c r="H67" s="1139">
        <v>1</v>
      </c>
      <c r="I67" s="68">
        <f t="shared" si="3"/>
        <v>155719952</v>
      </c>
      <c r="J67" s="68"/>
      <c r="K67" s="68">
        <f t="shared" si="4"/>
        <v>155719952</v>
      </c>
      <c r="L67" s="1144"/>
      <c r="M67" s="1137"/>
      <c r="N67" s="1137"/>
      <c r="O67" s="1137"/>
    </row>
    <row r="68" spans="1:15">
      <c r="A68" s="64">
        <f>A67+1</f>
        <v>7</v>
      </c>
      <c r="B68" s="53">
        <v>344</v>
      </c>
      <c r="C68" s="53">
        <v>3446</v>
      </c>
      <c r="D68" s="737" t="s">
        <v>721</v>
      </c>
      <c r="E68" s="740">
        <f>'SCH B-2.1'!I67</f>
        <v>15506692</v>
      </c>
      <c r="F68" s="67"/>
      <c r="G68" s="2298">
        <v>3560429</v>
      </c>
      <c r="H68" s="1139">
        <v>1</v>
      </c>
      <c r="I68" s="68">
        <f t="shared" si="3"/>
        <v>3560429</v>
      </c>
      <c r="J68" s="68"/>
      <c r="K68" s="68">
        <f t="shared" si="4"/>
        <v>3560429</v>
      </c>
      <c r="L68" s="1144"/>
      <c r="M68" s="1137"/>
      <c r="N68" s="1137"/>
      <c r="O68" s="1137"/>
    </row>
    <row r="69" spans="1:15">
      <c r="A69" s="64">
        <f t="shared" si="5"/>
        <v>8</v>
      </c>
      <c r="B69" s="53">
        <v>345</v>
      </c>
      <c r="C69" s="53">
        <v>3450</v>
      </c>
      <c r="D69" s="737" t="s">
        <v>613</v>
      </c>
      <c r="E69" s="740">
        <f>'SCH B-2.1'!I68</f>
        <v>20519859</v>
      </c>
      <c r="F69" s="67"/>
      <c r="G69" s="2298">
        <v>14403392</v>
      </c>
      <c r="H69" s="1139">
        <v>1</v>
      </c>
      <c r="I69" s="68">
        <f t="shared" si="3"/>
        <v>14403392</v>
      </c>
      <c r="J69" s="68"/>
      <c r="K69" s="68">
        <f t="shared" si="4"/>
        <v>14403392</v>
      </c>
      <c r="L69" s="1144"/>
      <c r="M69" s="1137"/>
      <c r="N69" s="1137"/>
      <c r="O69" s="1137"/>
    </row>
    <row r="70" spans="1:15">
      <c r="A70" s="64">
        <f>A69+1</f>
        <v>9</v>
      </c>
      <c r="B70" s="53">
        <v>345</v>
      </c>
      <c r="C70" s="53">
        <v>3456</v>
      </c>
      <c r="D70" s="737" t="s">
        <v>628</v>
      </c>
      <c r="E70" s="740">
        <f>'SCH B-2.1'!I69</f>
        <v>3537314</v>
      </c>
      <c r="F70" s="67"/>
      <c r="G70" s="2298">
        <v>629540</v>
      </c>
      <c r="H70" s="1139">
        <v>1</v>
      </c>
      <c r="I70" s="68">
        <f t="shared" si="3"/>
        <v>629540</v>
      </c>
      <c r="J70" s="68"/>
      <c r="K70" s="68">
        <f t="shared" si="4"/>
        <v>629540</v>
      </c>
      <c r="L70" s="1144"/>
      <c r="M70" s="1137"/>
      <c r="N70" s="1137"/>
      <c r="O70" s="1137"/>
    </row>
    <row r="71" spans="1:15">
      <c r="A71" s="64">
        <f t="shared" si="5"/>
        <v>10</v>
      </c>
      <c r="B71" s="53">
        <v>346</v>
      </c>
      <c r="C71" s="53">
        <v>3460</v>
      </c>
      <c r="D71" s="737" t="s">
        <v>629</v>
      </c>
      <c r="E71" s="740">
        <f>'SCH B-2.1'!I70</f>
        <v>5700085</v>
      </c>
      <c r="F71" s="67"/>
      <c r="G71" s="2298">
        <v>3847294</v>
      </c>
      <c r="H71" s="1139">
        <v>1</v>
      </c>
      <c r="I71" s="68">
        <f t="shared" si="3"/>
        <v>3847294</v>
      </c>
      <c r="J71" s="68"/>
      <c r="K71" s="68">
        <f t="shared" si="4"/>
        <v>3847294</v>
      </c>
      <c r="L71" s="1144"/>
      <c r="M71" s="1137"/>
      <c r="N71" s="1137"/>
      <c r="O71" s="1137"/>
    </row>
    <row r="72" spans="1:15">
      <c r="A72" s="64">
        <v>11</v>
      </c>
      <c r="B72" s="53">
        <v>347</v>
      </c>
      <c r="C72" s="53">
        <v>3476</v>
      </c>
      <c r="D72" s="737" t="s">
        <v>798</v>
      </c>
      <c r="E72" s="740">
        <f>'SCH B-2.1'!I71</f>
        <v>0</v>
      </c>
      <c r="F72" s="67"/>
      <c r="G72" s="2298">
        <v>13743</v>
      </c>
      <c r="H72" s="1139">
        <v>1</v>
      </c>
      <c r="I72" s="68">
        <f t="shared" si="3"/>
        <v>13743</v>
      </c>
      <c r="J72" s="68">
        <f>-I72</f>
        <v>-13743</v>
      </c>
      <c r="K72" s="68">
        <f t="shared" si="4"/>
        <v>0</v>
      </c>
      <c r="L72" s="1144"/>
      <c r="M72" s="1137"/>
      <c r="N72" s="1137"/>
      <c r="O72" s="1137"/>
    </row>
    <row r="73" spans="1:15">
      <c r="A73" s="64">
        <v>12</v>
      </c>
      <c r="B73" s="53"/>
      <c r="C73" s="53"/>
      <c r="D73" s="737" t="s">
        <v>617</v>
      </c>
      <c r="E73" s="740">
        <f>'SCH B-2.1'!I72</f>
        <v>0</v>
      </c>
      <c r="F73" s="67"/>
      <c r="G73" s="2298">
        <v>0</v>
      </c>
      <c r="H73" s="1139">
        <v>1</v>
      </c>
      <c r="I73" s="68">
        <f t="shared" si="3"/>
        <v>0</v>
      </c>
      <c r="J73" s="68"/>
      <c r="K73" s="68">
        <f t="shared" si="4"/>
        <v>0</v>
      </c>
      <c r="L73" s="1144"/>
      <c r="M73" s="1137"/>
      <c r="N73" s="1137"/>
      <c r="O73" s="1137"/>
    </row>
    <row r="74" spans="1:15">
      <c r="A74" s="64">
        <v>13</v>
      </c>
      <c r="B74" s="65"/>
      <c r="C74" s="64">
        <v>108</v>
      </c>
      <c r="D74" s="737" t="s">
        <v>796</v>
      </c>
      <c r="E74" s="740"/>
      <c r="F74" s="67"/>
      <c r="G74" s="2298">
        <v>-125215</v>
      </c>
      <c r="H74" s="1139">
        <v>1</v>
      </c>
      <c r="I74" s="68">
        <f t="shared" si="3"/>
        <v>-125215</v>
      </c>
      <c r="J74" s="68"/>
      <c r="K74" s="68">
        <f t="shared" si="4"/>
        <v>-125215</v>
      </c>
      <c r="L74" s="1144"/>
      <c r="M74" s="1137"/>
      <c r="N74" s="1137"/>
      <c r="O74" s="1137"/>
    </row>
    <row r="75" spans="1:15">
      <c r="A75" s="65"/>
      <c r="B75" s="65"/>
      <c r="C75" s="65"/>
      <c r="D75" s="65"/>
      <c r="E75" s="65"/>
      <c r="F75" s="65"/>
      <c r="G75" s="1140"/>
      <c r="H75" s="791"/>
      <c r="I75" s="68"/>
      <c r="J75" s="68"/>
      <c r="K75" s="68"/>
      <c r="L75" s="1144"/>
      <c r="M75" s="1137"/>
      <c r="N75" s="1137"/>
      <c r="O75" s="1137"/>
    </row>
    <row r="76" spans="1:15">
      <c r="A76" s="65"/>
      <c r="B76" s="65"/>
      <c r="C76" s="65"/>
      <c r="D76" s="65"/>
      <c r="E76" s="65"/>
      <c r="F76" s="1458"/>
      <c r="G76" s="65"/>
      <c r="H76" s="791"/>
      <c r="I76" s="65"/>
      <c r="J76" s="65"/>
      <c r="K76" s="65"/>
      <c r="L76" s="1144"/>
      <c r="M76" s="1137"/>
      <c r="N76" s="1137"/>
      <c r="O76" s="1137"/>
    </row>
    <row r="77" spans="1:15">
      <c r="A77" s="2099"/>
      <c r="B77" s="2099"/>
      <c r="C77" s="2099"/>
      <c r="D77" s="2099"/>
      <c r="E77" s="2099"/>
      <c r="F77" s="63"/>
      <c r="G77" s="2099"/>
      <c r="H77" s="2103"/>
      <c r="I77" s="2099"/>
      <c r="J77" s="2099"/>
      <c r="K77" s="2099"/>
      <c r="L77" s="1144"/>
      <c r="M77" s="1137"/>
      <c r="N77" s="1137"/>
      <c r="O77" s="1137"/>
    </row>
    <row r="78" spans="1:15">
      <c r="A78" s="64">
        <f>A74+1</f>
        <v>14</v>
      </c>
      <c r="B78" s="65"/>
      <c r="C78" s="65"/>
      <c r="D78" s="67" t="s">
        <v>631</v>
      </c>
      <c r="E78" s="740">
        <f>SUM(E62:E77)</f>
        <v>381101717</v>
      </c>
      <c r="F78" s="67"/>
      <c r="G78" s="740">
        <f>SUM(G62:G77)</f>
        <v>219517186</v>
      </c>
      <c r="H78" s="791"/>
      <c r="I78" s="740">
        <f>SUM(I62:I77)</f>
        <v>219517186</v>
      </c>
      <c r="J78" s="740">
        <f>SUM(J62:J77)</f>
        <v>-13743</v>
      </c>
      <c r="K78" s="740">
        <f>SUM(K62:K77)</f>
        <v>219503443</v>
      </c>
      <c r="L78" s="1144"/>
      <c r="M78" s="1137"/>
      <c r="N78" s="2088" t="str">
        <f>IF(E78='SCH B-2.1'!I76,"BALANCED","ERROR")</f>
        <v>BALANCED</v>
      </c>
      <c r="O78" s="1137"/>
    </row>
    <row r="79" spans="1:15">
      <c r="A79" s="65"/>
      <c r="B79" s="65"/>
      <c r="C79" s="65"/>
      <c r="D79" s="65"/>
      <c r="E79" s="65"/>
      <c r="F79" s="1458"/>
      <c r="G79" s="68"/>
      <c r="H79" s="791"/>
      <c r="I79" s="68"/>
      <c r="J79" s="68"/>
      <c r="K79" s="68"/>
      <c r="L79" s="1144"/>
      <c r="M79" s="1137"/>
      <c r="N79" s="1137"/>
      <c r="O79" s="1137"/>
    </row>
    <row r="80" spans="1:15">
      <c r="A80" s="2099"/>
      <c r="B80" s="2099"/>
      <c r="C80" s="2099"/>
      <c r="D80" s="2099"/>
      <c r="E80" s="2099"/>
      <c r="F80" s="63"/>
      <c r="G80" s="2099"/>
      <c r="H80" s="2103"/>
      <c r="I80" s="2099"/>
      <c r="J80" s="2099"/>
      <c r="K80" s="2099"/>
      <c r="L80" s="1144"/>
      <c r="M80" s="1137"/>
      <c r="N80" s="1137"/>
      <c r="O80" s="1137"/>
    </row>
    <row r="81" spans="1:15">
      <c r="A81" s="783" t="s">
        <v>797</v>
      </c>
      <c r="B81" s="63"/>
      <c r="C81" s="63"/>
      <c r="D81" s="63"/>
      <c r="E81" s="63"/>
      <c r="F81" s="63"/>
      <c r="G81" s="63"/>
      <c r="H81" s="676"/>
      <c r="I81" s="63"/>
      <c r="J81" s="63"/>
      <c r="K81" s="63"/>
      <c r="L81" s="1144"/>
      <c r="M81" s="1137"/>
      <c r="N81" s="1137"/>
      <c r="O81" s="1137"/>
    </row>
    <row r="82" spans="1:15">
      <c r="A82" s="63"/>
      <c r="B82" s="63"/>
      <c r="C82" s="63"/>
      <c r="D82" s="63"/>
      <c r="E82" s="63"/>
      <c r="F82" s="63"/>
      <c r="G82" s="63"/>
      <c r="H82" s="676"/>
      <c r="I82" s="63"/>
      <c r="J82" s="63"/>
      <c r="K82" s="63"/>
      <c r="L82" s="1144"/>
      <c r="M82" s="1137"/>
      <c r="N82" s="1137"/>
      <c r="O82" s="1137"/>
    </row>
    <row r="83" spans="1:15">
      <c r="A83" s="785" t="str">
        <f>A1</f>
        <v>DUKE ENERGY KENTUCKY, INC.</v>
      </c>
      <c r="B83" s="66"/>
      <c r="C83" s="66"/>
      <c r="D83" s="66"/>
      <c r="E83" s="66"/>
      <c r="F83" s="66"/>
      <c r="G83" s="66"/>
      <c r="H83" s="677"/>
      <c r="I83" s="66"/>
      <c r="J83" s="66"/>
      <c r="K83" s="66"/>
      <c r="L83" s="1144"/>
      <c r="M83" s="1137"/>
      <c r="N83" s="1137"/>
      <c r="O83" s="1137"/>
    </row>
    <row r="84" spans="1:15">
      <c r="A84" s="785" t="str">
        <f>A2</f>
        <v>CASE NO. 2024-00354</v>
      </c>
      <c r="B84" s="66"/>
      <c r="C84" s="66"/>
      <c r="D84" s="66"/>
      <c r="E84" s="66"/>
      <c r="F84" s="66"/>
      <c r="G84" s="66"/>
      <c r="H84" s="677"/>
      <c r="I84" s="66"/>
      <c r="J84" s="66"/>
      <c r="K84" s="66"/>
      <c r="L84" s="1144"/>
      <c r="M84" s="1137"/>
      <c r="N84" s="1137"/>
      <c r="O84" s="1137"/>
    </row>
    <row r="85" spans="1:15">
      <c r="A85" s="785" t="str">
        <f>A3</f>
        <v>ACCUMULATED DEPRECIATION AND AMORTIZATION</v>
      </c>
      <c r="B85" s="785"/>
      <c r="C85" s="785"/>
      <c r="D85" s="785"/>
      <c r="E85" s="785"/>
      <c r="F85" s="785"/>
      <c r="G85" s="785"/>
      <c r="H85" s="1135"/>
      <c r="I85" s="785"/>
      <c r="J85" s="785"/>
      <c r="K85" s="785"/>
      <c r="L85" s="1144"/>
      <c r="M85" s="1137"/>
      <c r="N85" s="1137"/>
      <c r="O85" s="1137"/>
    </row>
    <row r="86" spans="1:15">
      <c r="A86" s="47" t="str">
        <f>"AS OF " &amp;RIGHT(TESTYR,(LEN(TESTYR)-16))</f>
        <v>AS OF FEBRUARY 28, 2025</v>
      </c>
      <c r="B86" s="785"/>
      <c r="C86" s="785"/>
      <c r="D86" s="785"/>
      <c r="E86" s="785"/>
      <c r="F86" s="785"/>
      <c r="G86" s="785"/>
      <c r="H86" s="1135"/>
      <c r="I86" s="785"/>
      <c r="J86" s="785"/>
      <c r="K86" s="785"/>
      <c r="L86" s="1144"/>
      <c r="M86" s="1137"/>
      <c r="N86" s="1137"/>
      <c r="O86" s="1137"/>
    </row>
    <row r="87" spans="1:15">
      <c r="A87" s="785"/>
      <c r="B87" s="785"/>
      <c r="C87" s="785"/>
      <c r="D87" s="785"/>
      <c r="E87" s="785"/>
      <c r="F87" s="785"/>
      <c r="G87" s="785"/>
      <c r="H87" s="1135"/>
      <c r="I87" s="785"/>
      <c r="J87" s="785"/>
      <c r="K87" s="785"/>
      <c r="L87" s="1144"/>
      <c r="M87" s="1137"/>
      <c r="N87" s="1137"/>
      <c r="O87" s="1137"/>
    </row>
    <row r="88" spans="1:15">
      <c r="A88" s="785" t="s">
        <v>632</v>
      </c>
      <c r="B88" s="785"/>
      <c r="C88" s="785"/>
      <c r="D88" s="785"/>
      <c r="E88" s="785"/>
      <c r="F88" s="785"/>
      <c r="G88" s="785"/>
      <c r="H88" s="1135"/>
      <c r="I88" s="785"/>
      <c r="J88" s="785"/>
      <c r="K88" s="785"/>
      <c r="L88" s="1144"/>
      <c r="M88" s="1137"/>
      <c r="N88" s="1137"/>
      <c r="O88" s="1137"/>
    </row>
    <row r="89" spans="1:15">
      <c r="A89" s="786" t="s">
        <v>529</v>
      </c>
      <c r="B89" s="785"/>
      <c r="C89" s="785"/>
      <c r="D89" s="785"/>
      <c r="E89" s="785"/>
      <c r="F89" s="785"/>
      <c r="G89" s="785"/>
      <c r="H89" s="1135"/>
      <c r="I89" s="785"/>
      <c r="J89" s="785"/>
      <c r="K89" s="785"/>
      <c r="L89" s="1144"/>
      <c r="M89" s="1137"/>
      <c r="N89" s="1137"/>
      <c r="O89" s="1137"/>
    </row>
    <row r="90" spans="1:15">
      <c r="A90" s="65"/>
      <c r="B90" s="65"/>
      <c r="C90" s="65"/>
      <c r="D90" s="65"/>
      <c r="E90" s="65"/>
      <c r="F90" s="65"/>
      <c r="G90" s="65"/>
      <c r="H90" s="791"/>
      <c r="I90" s="65"/>
      <c r="J90" s="65"/>
      <c r="K90" s="65"/>
      <c r="L90" s="1144"/>
      <c r="M90" s="1137"/>
      <c r="N90" s="1137"/>
      <c r="O90" s="1137"/>
    </row>
    <row r="91" spans="1:15">
      <c r="A91" s="65"/>
      <c r="B91" s="65"/>
      <c r="C91" s="65"/>
      <c r="D91" s="65"/>
      <c r="E91" s="65"/>
      <c r="F91" s="65"/>
      <c r="G91" s="65"/>
      <c r="H91" s="791"/>
      <c r="I91" s="65"/>
      <c r="J91" s="67"/>
      <c r="K91" s="65"/>
      <c r="L91" s="1144"/>
      <c r="M91" s="1137"/>
      <c r="N91" s="1137"/>
      <c r="O91" s="1137"/>
    </row>
    <row r="92" spans="1:15">
      <c r="A92" s="67" t="str">
        <f>Data</f>
        <v>DATA: "X" BASE PERIOD   FORECASTED PERIOD</v>
      </c>
      <c r="B92" s="65"/>
      <c r="C92" s="65"/>
      <c r="D92" s="65"/>
      <c r="E92" s="65"/>
      <c r="F92" s="65"/>
      <c r="G92" s="65"/>
      <c r="H92" s="791"/>
      <c r="I92" s="65"/>
      <c r="J92" s="787" t="s">
        <v>792</v>
      </c>
      <c r="K92" s="65"/>
      <c r="L92" s="1144"/>
      <c r="M92" s="1137"/>
      <c r="N92" s="1137"/>
      <c r="O92" s="1137"/>
    </row>
    <row r="93" spans="1:15">
      <c r="A93" s="67" t="str">
        <f>Type</f>
        <v xml:space="preserve">TYPE OF FILING:  "X" ORIGINAL   UPDATED    REVISED  </v>
      </c>
      <c r="B93" s="65"/>
      <c r="C93" s="65"/>
      <c r="D93" s="65"/>
      <c r="E93" s="65"/>
      <c r="F93" s="65"/>
      <c r="G93" s="65"/>
      <c r="H93" s="791"/>
      <c r="I93" s="65"/>
      <c r="J93" s="787" t="s">
        <v>633</v>
      </c>
      <c r="K93" s="65"/>
      <c r="L93" s="1144"/>
      <c r="M93" s="1137"/>
      <c r="N93" s="1137"/>
      <c r="O93" s="1137"/>
    </row>
    <row r="94" spans="1:15">
      <c r="A94" s="67" t="str">
        <f>A12</f>
        <v>WORK PAPER REFERENCE NO(S).: SCHEDULE B-2.1, SCHEDULE B-3.1</v>
      </c>
      <c r="B94" s="65"/>
      <c r="C94" s="65"/>
      <c r="D94" s="65"/>
      <c r="E94" s="65"/>
      <c r="F94" s="65"/>
      <c r="G94" s="65"/>
      <c r="H94" s="791"/>
      <c r="I94" s="65"/>
      <c r="J94" s="787" t="s">
        <v>468</v>
      </c>
      <c r="K94" s="65"/>
      <c r="L94" s="1144"/>
      <c r="M94" s="1137"/>
      <c r="N94" s="1137"/>
      <c r="O94" s="1137"/>
    </row>
    <row r="95" spans="1:15">
      <c r="A95" s="65"/>
      <c r="B95" s="65"/>
      <c r="C95" s="65"/>
      <c r="D95" s="65"/>
      <c r="E95" s="65"/>
      <c r="F95" s="65"/>
      <c r="G95" s="65"/>
      <c r="H95" s="791"/>
      <c r="I95" s="65"/>
      <c r="J95" s="65" t="str">
        <f>_WIT7</f>
        <v>G. S. CARPENTER / S. S. MITCHELL</v>
      </c>
      <c r="K95" s="65"/>
      <c r="L95" s="1144"/>
      <c r="M95" s="1137"/>
      <c r="N95" s="1137"/>
      <c r="O95" s="1137"/>
    </row>
    <row r="96" spans="1:15">
      <c r="A96" s="65"/>
      <c r="B96" s="65"/>
      <c r="C96" s="65"/>
      <c r="D96" s="65"/>
      <c r="E96" s="65"/>
      <c r="F96" s="65"/>
      <c r="G96" s="65"/>
      <c r="H96" s="791"/>
      <c r="I96" s="65"/>
      <c r="J96" s="65"/>
      <c r="K96" s="65"/>
      <c r="L96" s="1144"/>
      <c r="M96" s="1137"/>
      <c r="N96" s="1137"/>
      <c r="O96" s="1137"/>
    </row>
    <row r="97" spans="1:15">
      <c r="A97" s="65"/>
      <c r="B97" s="65"/>
      <c r="C97" s="65"/>
      <c r="D97" s="65"/>
      <c r="E97" s="65"/>
      <c r="F97" s="1458"/>
      <c r="G97" s="65"/>
      <c r="H97" s="791"/>
      <c r="I97" s="65"/>
      <c r="J97" s="65"/>
      <c r="K97" s="65"/>
      <c r="L97" s="1144"/>
      <c r="M97" s="1137"/>
      <c r="N97" s="1137"/>
      <c r="O97" s="1137"/>
    </row>
    <row r="98" spans="1:15">
      <c r="A98" s="2104"/>
      <c r="B98" s="2100"/>
      <c r="C98" s="2101" t="s">
        <v>529</v>
      </c>
      <c r="D98" s="2104"/>
      <c r="E98" s="2100" t="str">
        <f>E16</f>
        <v>Base</v>
      </c>
      <c r="F98" s="64"/>
      <c r="G98" s="2104"/>
      <c r="H98" s="2105"/>
      <c r="I98" s="2104"/>
      <c r="J98" s="2104"/>
      <c r="K98" s="2104"/>
      <c r="L98" s="1144"/>
      <c r="M98" s="1137"/>
      <c r="N98" s="1137"/>
      <c r="O98" s="1137"/>
    </row>
    <row r="99" spans="1:15">
      <c r="A99" s="65"/>
      <c r="B99" s="64" t="s">
        <v>257</v>
      </c>
      <c r="C99" s="64" t="s">
        <v>605</v>
      </c>
      <c r="D99" s="65"/>
      <c r="E99" s="64" t="str">
        <f>E17</f>
        <v>Period</v>
      </c>
      <c r="F99" s="64"/>
      <c r="G99" s="1459" t="str">
        <f>G17</f>
        <v>Base Period Accumulated Balances</v>
      </c>
      <c r="H99" s="1464"/>
      <c r="I99" s="1464"/>
      <c r="J99" s="1464"/>
      <c r="K99" s="1464"/>
      <c r="L99" s="1144"/>
      <c r="M99" s="1137"/>
      <c r="N99" s="1137"/>
      <c r="O99" s="1137"/>
    </row>
    <row r="100" spans="1:15">
      <c r="A100" s="64" t="s">
        <v>573</v>
      </c>
      <c r="B100" s="64" t="s">
        <v>606</v>
      </c>
      <c r="C100" s="64" t="s">
        <v>606</v>
      </c>
      <c r="D100" s="65"/>
      <c r="E100" s="784" t="str">
        <f>E18</f>
        <v>Total</v>
      </c>
      <c r="F100" s="64"/>
      <c r="G100" s="64" t="s">
        <v>258</v>
      </c>
      <c r="H100" s="1138" t="s">
        <v>799</v>
      </c>
      <c r="I100" s="64" t="s">
        <v>800</v>
      </c>
      <c r="J100" s="65"/>
      <c r="K100" s="64" t="s">
        <v>575</v>
      </c>
      <c r="L100" s="1144"/>
      <c r="M100" s="1137"/>
      <c r="N100" s="1137"/>
      <c r="O100" s="1137"/>
    </row>
    <row r="101" spans="1:15">
      <c r="A101" s="64" t="s">
        <v>576</v>
      </c>
      <c r="B101" s="64" t="s">
        <v>576</v>
      </c>
      <c r="C101" s="64" t="s">
        <v>576</v>
      </c>
      <c r="D101" s="64" t="s">
        <v>607</v>
      </c>
      <c r="E101" s="1462" t="str">
        <f>E19</f>
        <v>Company (1)</v>
      </c>
      <c r="F101" s="1461"/>
      <c r="G101" s="1461" t="s">
        <v>605</v>
      </c>
      <c r="H101" s="1463" t="s">
        <v>420</v>
      </c>
      <c r="I101" s="1461" t="s">
        <v>258</v>
      </c>
      <c r="J101" s="1461" t="s">
        <v>578</v>
      </c>
      <c r="K101" s="1461" t="s">
        <v>579</v>
      </c>
      <c r="L101" s="1144"/>
      <c r="M101" s="1137"/>
      <c r="N101" s="1137"/>
      <c r="O101" s="1137"/>
    </row>
    <row r="102" spans="1:15">
      <c r="A102" s="2099"/>
      <c r="B102" s="2099"/>
      <c r="C102" s="2099"/>
      <c r="D102" s="2099"/>
      <c r="E102" s="2099"/>
      <c r="F102" s="63"/>
      <c r="G102" s="64" t="s">
        <v>580</v>
      </c>
      <c r="H102" s="791"/>
      <c r="I102" s="64" t="s">
        <v>580</v>
      </c>
      <c r="J102" s="64" t="s">
        <v>580</v>
      </c>
      <c r="K102" s="64" t="s">
        <v>580</v>
      </c>
      <c r="L102" s="1144"/>
      <c r="M102" s="1137"/>
      <c r="N102" s="1137"/>
      <c r="O102" s="1137"/>
    </row>
    <row r="103" spans="1:15">
      <c r="A103" s="64" t="s">
        <v>382</v>
      </c>
      <c r="B103" s="65"/>
      <c r="C103" s="65"/>
      <c r="D103" s="65"/>
      <c r="E103" s="65"/>
      <c r="F103" s="65"/>
      <c r="G103" s="1137"/>
      <c r="H103" s="1141"/>
      <c r="I103" s="1137"/>
      <c r="J103" s="1137"/>
      <c r="K103" s="1137"/>
      <c r="L103" s="1144"/>
      <c r="M103" s="1137"/>
      <c r="N103" s="1137"/>
      <c r="O103" s="1137"/>
    </row>
    <row r="104" spans="1:15">
      <c r="A104" s="64">
        <v>1</v>
      </c>
      <c r="B104" s="33">
        <v>350</v>
      </c>
      <c r="C104" s="33">
        <v>3500</v>
      </c>
      <c r="D104" s="32" t="s">
        <v>634</v>
      </c>
      <c r="E104" s="740">
        <f>'SCH B-2.1'!I101</f>
        <v>314145</v>
      </c>
      <c r="F104" s="67"/>
      <c r="G104" s="2298">
        <v>27</v>
      </c>
      <c r="H104" s="1139">
        <v>1</v>
      </c>
      <c r="I104" s="740">
        <f t="shared" ref="I104:I115" si="6">ROUND((G104*H104),0)</f>
        <v>27</v>
      </c>
      <c r="J104" s="740"/>
      <c r="K104" s="740">
        <f t="shared" ref="K104:K115" si="7">I104+J104</f>
        <v>27</v>
      </c>
      <c r="L104" s="1144"/>
      <c r="M104" s="1137"/>
      <c r="N104" s="1137"/>
      <c r="O104" s="1137"/>
    </row>
    <row r="105" spans="1:15">
      <c r="A105" s="64">
        <f t="shared" ref="A105:A115" si="8">A104+1</f>
        <v>2</v>
      </c>
      <c r="B105" s="33">
        <v>350</v>
      </c>
      <c r="C105" s="33">
        <v>3501</v>
      </c>
      <c r="D105" s="32" t="s">
        <v>622</v>
      </c>
      <c r="E105" s="740">
        <f>'SCH B-2.1'!I102</f>
        <v>9374493</v>
      </c>
      <c r="F105" s="67"/>
      <c r="G105" s="2298">
        <v>945214</v>
      </c>
      <c r="H105" s="1139">
        <v>1</v>
      </c>
      <c r="I105" s="740">
        <f t="shared" si="6"/>
        <v>945214</v>
      </c>
      <c r="J105" s="740"/>
      <c r="K105" s="740">
        <f t="shared" si="7"/>
        <v>945214</v>
      </c>
      <c r="L105" s="1144"/>
      <c r="M105" s="1137"/>
      <c r="N105" s="1137"/>
      <c r="O105" s="1137"/>
    </row>
    <row r="106" spans="1:15">
      <c r="A106" s="64">
        <f t="shared" si="8"/>
        <v>3</v>
      </c>
      <c r="B106" s="33">
        <v>352</v>
      </c>
      <c r="C106" s="33">
        <v>3520</v>
      </c>
      <c r="D106" s="32" t="s">
        <v>609</v>
      </c>
      <c r="E106" s="740">
        <f>'SCH B-2.1'!I103</f>
        <v>6147168</v>
      </c>
      <c r="F106" s="772"/>
      <c r="G106" s="2298">
        <v>791100</v>
      </c>
      <c r="H106" s="1139">
        <v>1</v>
      </c>
      <c r="I106" s="740">
        <f t="shared" si="6"/>
        <v>791100</v>
      </c>
      <c r="J106" s="740"/>
      <c r="K106" s="740">
        <f t="shared" si="7"/>
        <v>791100</v>
      </c>
      <c r="L106" s="1144"/>
      <c r="M106" s="1137"/>
      <c r="N106" s="1137"/>
      <c r="O106" s="1137"/>
    </row>
    <row r="107" spans="1:15" s="1143" customFormat="1">
      <c r="A107" s="64">
        <f t="shared" si="8"/>
        <v>4</v>
      </c>
      <c r="B107" s="33">
        <v>353</v>
      </c>
      <c r="C107" s="1252">
        <v>3530</v>
      </c>
      <c r="D107" s="40" t="s">
        <v>635</v>
      </c>
      <c r="E107" s="740">
        <f>'SCH B-2.1'!I104</f>
        <v>33219269</v>
      </c>
      <c r="F107" s="2300"/>
      <c r="G107" s="2298">
        <v>4203089</v>
      </c>
      <c r="H107" s="2301">
        <v>1</v>
      </c>
      <c r="I107" s="740">
        <f t="shared" si="6"/>
        <v>4203089</v>
      </c>
      <c r="J107" s="2302"/>
      <c r="K107" s="740">
        <f t="shared" si="7"/>
        <v>4203089</v>
      </c>
      <c r="L107" s="1144"/>
      <c r="M107" s="1142"/>
      <c r="N107" s="1142"/>
      <c r="O107" s="1142"/>
    </row>
    <row r="108" spans="1:15" s="1143" customFormat="1">
      <c r="A108" s="64">
        <f t="shared" si="8"/>
        <v>5</v>
      </c>
      <c r="B108" s="33">
        <v>353</v>
      </c>
      <c r="C108" s="33">
        <v>3531</v>
      </c>
      <c r="D108" s="40" t="s">
        <v>636</v>
      </c>
      <c r="E108" s="740">
        <f>'SCH B-2.1'!I105</f>
        <v>9541207</v>
      </c>
      <c r="F108" s="2300"/>
      <c r="G108" s="2298">
        <v>5395513</v>
      </c>
      <c r="H108" s="1139">
        <v>1</v>
      </c>
      <c r="I108" s="740">
        <f t="shared" si="6"/>
        <v>5395513</v>
      </c>
      <c r="J108" s="2302"/>
      <c r="K108" s="740">
        <f t="shared" si="7"/>
        <v>5395513</v>
      </c>
      <c r="L108" s="1144"/>
      <c r="M108" s="1142"/>
      <c r="N108" s="1142"/>
      <c r="O108" s="1142"/>
    </row>
    <row r="109" spans="1:15" s="1143" customFormat="1">
      <c r="A109" s="64">
        <f t="shared" si="8"/>
        <v>6</v>
      </c>
      <c r="B109" s="33">
        <v>353</v>
      </c>
      <c r="C109" s="33">
        <v>3532</v>
      </c>
      <c r="D109" s="40" t="s">
        <v>637</v>
      </c>
      <c r="E109" s="740">
        <f>'SCH B-2.1'!I106</f>
        <v>11653302</v>
      </c>
      <c r="F109" s="2300"/>
      <c r="G109" s="2298">
        <v>2931916</v>
      </c>
      <c r="H109" s="1139">
        <v>1</v>
      </c>
      <c r="I109" s="740">
        <f t="shared" si="6"/>
        <v>2931916</v>
      </c>
      <c r="J109" s="2302"/>
      <c r="K109" s="740">
        <f t="shared" si="7"/>
        <v>2931916</v>
      </c>
      <c r="L109" s="1144"/>
      <c r="M109" s="1142"/>
      <c r="N109" s="1142"/>
      <c r="O109" s="1142"/>
    </row>
    <row r="110" spans="1:15" s="1143" customFormat="1">
      <c r="A110" s="64">
        <f t="shared" si="8"/>
        <v>7</v>
      </c>
      <c r="B110" s="33">
        <v>353</v>
      </c>
      <c r="C110" s="33">
        <v>3534</v>
      </c>
      <c r="D110" s="40" t="s">
        <v>638</v>
      </c>
      <c r="E110" s="740">
        <f>'SCH B-2.1'!I107</f>
        <v>7806178</v>
      </c>
      <c r="F110" s="2300"/>
      <c r="G110" s="2298">
        <v>2890132</v>
      </c>
      <c r="H110" s="1139">
        <v>1</v>
      </c>
      <c r="I110" s="740">
        <f t="shared" si="6"/>
        <v>2890132</v>
      </c>
      <c r="J110" s="2302"/>
      <c r="K110" s="740">
        <f t="shared" si="7"/>
        <v>2890132</v>
      </c>
      <c r="L110" s="1144"/>
      <c r="M110" s="1142"/>
      <c r="N110" s="1142"/>
      <c r="O110" s="1142"/>
    </row>
    <row r="111" spans="1:15">
      <c r="A111" s="64">
        <f t="shared" si="8"/>
        <v>8</v>
      </c>
      <c r="B111" s="33">
        <v>355</v>
      </c>
      <c r="C111" s="33">
        <v>3550</v>
      </c>
      <c r="D111" s="32" t="s">
        <v>639</v>
      </c>
      <c r="E111" s="740">
        <f>'SCH B-2.1'!I108</f>
        <v>41484390</v>
      </c>
      <c r="F111" s="772"/>
      <c r="G111" s="2298">
        <v>-3815939</v>
      </c>
      <c r="H111" s="1139">
        <v>1</v>
      </c>
      <c r="I111" s="740">
        <f t="shared" si="6"/>
        <v>-3815939</v>
      </c>
      <c r="J111" s="2303"/>
      <c r="K111" s="740">
        <f t="shared" si="7"/>
        <v>-3815939</v>
      </c>
      <c r="L111" s="1144"/>
      <c r="M111" s="1137"/>
      <c r="N111" s="1137"/>
      <c r="O111" s="1137"/>
    </row>
    <row r="112" spans="1:15">
      <c r="A112" s="64">
        <f t="shared" si="8"/>
        <v>9</v>
      </c>
      <c r="B112" s="33">
        <v>356</v>
      </c>
      <c r="C112" s="33">
        <v>3560</v>
      </c>
      <c r="D112" s="32" t="s">
        <v>640</v>
      </c>
      <c r="E112" s="740">
        <f>'SCH B-2.1'!I109</f>
        <v>19926570</v>
      </c>
      <c r="F112" s="772"/>
      <c r="G112" s="2298">
        <v>2953057</v>
      </c>
      <c r="H112" s="1139">
        <v>1</v>
      </c>
      <c r="I112" s="740">
        <f t="shared" si="6"/>
        <v>2953057</v>
      </c>
      <c r="J112" s="740"/>
      <c r="K112" s="740">
        <f t="shared" si="7"/>
        <v>2953057</v>
      </c>
      <c r="L112" s="1144"/>
      <c r="M112" s="1137"/>
      <c r="N112" s="1137"/>
      <c r="O112" s="1137"/>
    </row>
    <row r="113" spans="1:15">
      <c r="A113" s="64">
        <f t="shared" si="8"/>
        <v>10</v>
      </c>
      <c r="B113" s="33">
        <v>356</v>
      </c>
      <c r="C113" s="33">
        <v>3561</v>
      </c>
      <c r="D113" s="32" t="s">
        <v>641</v>
      </c>
      <c r="E113" s="740">
        <f>'SCH B-2.1'!I110</f>
        <v>2906699</v>
      </c>
      <c r="F113" s="772"/>
      <c r="G113" s="2298">
        <v>215337</v>
      </c>
      <c r="H113" s="1139">
        <v>1</v>
      </c>
      <c r="I113" s="740">
        <f t="shared" si="6"/>
        <v>215337</v>
      </c>
      <c r="J113" s="740"/>
      <c r="K113" s="740">
        <f t="shared" si="7"/>
        <v>215337</v>
      </c>
      <c r="L113" s="1144"/>
      <c r="M113" s="1137"/>
      <c r="N113" s="1137"/>
      <c r="O113" s="1137"/>
    </row>
    <row r="114" spans="1:15">
      <c r="A114" s="64">
        <f t="shared" si="8"/>
        <v>11</v>
      </c>
      <c r="B114" s="33"/>
      <c r="C114" s="33"/>
      <c r="D114" s="32" t="s">
        <v>617</v>
      </c>
      <c r="E114" s="740">
        <f>'SCH B-2.1'!I111</f>
        <v>0</v>
      </c>
      <c r="F114" s="772"/>
      <c r="G114" s="2298">
        <v>0</v>
      </c>
      <c r="H114" s="1139">
        <v>1</v>
      </c>
      <c r="I114" s="740">
        <f t="shared" si="6"/>
        <v>0</v>
      </c>
      <c r="J114" s="740"/>
      <c r="K114" s="740">
        <f t="shared" si="7"/>
        <v>0</v>
      </c>
      <c r="L114" s="1144"/>
      <c r="M114" s="1137"/>
      <c r="N114" s="1137"/>
      <c r="O114" s="1137"/>
    </row>
    <row r="115" spans="1:15">
      <c r="A115" s="64">
        <f t="shared" si="8"/>
        <v>12</v>
      </c>
      <c r="B115" s="65"/>
      <c r="C115" s="64">
        <v>108</v>
      </c>
      <c r="D115" s="67" t="s">
        <v>796</v>
      </c>
      <c r="E115" s="740">
        <v>0</v>
      </c>
      <c r="F115" s="67"/>
      <c r="G115" s="2298">
        <v>-2948003</v>
      </c>
      <c r="H115" s="1139">
        <v>1</v>
      </c>
      <c r="I115" s="68">
        <f t="shared" si="6"/>
        <v>-2948003</v>
      </c>
      <c r="J115" s="2304"/>
      <c r="K115" s="68">
        <f t="shared" si="7"/>
        <v>-2948003</v>
      </c>
      <c r="L115" s="1144"/>
      <c r="M115" s="1137"/>
      <c r="N115" s="1137"/>
      <c r="O115" s="1137"/>
    </row>
    <row r="116" spans="1:15">
      <c r="A116" s="64"/>
      <c r="B116" s="65"/>
      <c r="C116" s="64"/>
      <c r="D116" s="67"/>
      <c r="E116" s="740"/>
      <c r="F116" s="67"/>
      <c r="G116" s="740"/>
      <c r="H116" s="1139"/>
      <c r="I116" s="68"/>
      <c r="J116" s="2304"/>
      <c r="K116" s="68"/>
      <c r="L116" s="1144"/>
      <c r="M116" s="1137"/>
      <c r="N116" s="1137"/>
      <c r="O116" s="1137"/>
    </row>
    <row r="117" spans="1:15">
      <c r="A117" s="65"/>
      <c r="B117" s="65"/>
      <c r="C117" s="65"/>
      <c r="D117" s="65"/>
      <c r="E117" s="65"/>
      <c r="F117" s="1458"/>
      <c r="G117" s="68"/>
      <c r="H117" s="791"/>
      <c r="I117" s="68"/>
      <c r="J117" s="68"/>
      <c r="K117" s="68"/>
      <c r="L117" s="1144"/>
      <c r="M117" s="1137"/>
      <c r="N117" s="1137"/>
      <c r="O117" s="1137"/>
    </row>
    <row r="118" spans="1:15">
      <c r="A118" s="2099"/>
      <c r="B118" s="2099"/>
      <c r="C118" s="2099"/>
      <c r="D118" s="2099"/>
      <c r="E118" s="2099"/>
      <c r="F118" s="63"/>
      <c r="G118" s="2102"/>
      <c r="H118" s="2103"/>
      <c r="I118" s="2102"/>
      <c r="J118" s="2102"/>
      <c r="K118" s="2102"/>
      <c r="L118" s="1144"/>
      <c r="M118" s="1137"/>
      <c r="N118" s="1137"/>
      <c r="O118" s="1137"/>
    </row>
    <row r="119" spans="1:15">
      <c r="A119" s="64">
        <v>13</v>
      </c>
      <c r="B119" s="65"/>
      <c r="C119" s="65"/>
      <c r="D119" s="67" t="s">
        <v>642</v>
      </c>
      <c r="E119" s="68">
        <f>SUM(E104:E115)</f>
        <v>142373421</v>
      </c>
      <c r="F119" s="67"/>
      <c r="G119" s="68">
        <f>SUM(G104:G115)</f>
        <v>13561443</v>
      </c>
      <c r="H119" s="791"/>
      <c r="I119" s="68">
        <f>SUM(I104:I115)</f>
        <v>13561443</v>
      </c>
      <c r="J119" s="68">
        <f>SUM(J104:J115)</f>
        <v>0</v>
      </c>
      <c r="K119" s="68">
        <f>SUM(K104:K115)</f>
        <v>13561443</v>
      </c>
      <c r="L119" s="1144"/>
      <c r="M119" s="1137"/>
      <c r="N119" s="2088" t="str">
        <f>IF(E119='SCH B-2.1'!I115,"BALANCED","ERROR")</f>
        <v>BALANCED</v>
      </c>
      <c r="O119" s="1137"/>
    </row>
    <row r="120" spans="1:15">
      <c r="A120" s="65"/>
      <c r="B120" s="65"/>
      <c r="C120" s="65"/>
      <c r="D120" s="65"/>
      <c r="E120" s="65"/>
      <c r="F120" s="1458"/>
      <c r="G120" s="68"/>
      <c r="H120" s="791"/>
      <c r="I120" s="68"/>
      <c r="J120" s="68"/>
      <c r="K120" s="68"/>
      <c r="L120" s="1144"/>
      <c r="M120" s="1137"/>
      <c r="N120" s="1137"/>
      <c r="O120" s="1137"/>
    </row>
    <row r="121" spans="1:15">
      <c r="A121" s="2099"/>
      <c r="B121" s="2099"/>
      <c r="C121" s="2099"/>
      <c r="D121" s="2099"/>
      <c r="E121" s="2099"/>
      <c r="F121" s="63"/>
      <c r="G121" s="2102"/>
      <c r="H121" s="2103"/>
      <c r="I121" s="2102"/>
      <c r="J121" s="2102"/>
      <c r="K121" s="2102"/>
      <c r="L121" s="1144"/>
      <c r="M121" s="1137"/>
      <c r="N121" s="1137"/>
      <c r="O121" s="1137"/>
    </row>
    <row r="122" spans="1:15">
      <c r="A122" s="783" t="s">
        <v>797</v>
      </c>
      <c r="B122" s="65"/>
      <c r="C122" s="65"/>
      <c r="D122" s="65"/>
      <c r="E122" s="65"/>
      <c r="F122" s="65"/>
      <c r="G122" s="68"/>
      <c r="H122" s="791"/>
      <c r="I122" s="68"/>
      <c r="J122" s="68"/>
      <c r="K122" s="68"/>
      <c r="L122" s="1144"/>
      <c r="M122" s="1137"/>
      <c r="N122" s="1137"/>
      <c r="O122" s="1137"/>
    </row>
    <row r="123" spans="1:15">
      <c r="A123" s="65"/>
      <c r="B123" s="65"/>
      <c r="C123" s="65"/>
      <c r="D123" s="65"/>
      <c r="E123" s="65"/>
      <c r="F123" s="65"/>
      <c r="G123" s="68"/>
      <c r="H123" s="791"/>
      <c r="I123" s="68"/>
      <c r="J123" s="68"/>
      <c r="K123" s="68"/>
      <c r="L123" s="1144"/>
      <c r="M123" s="1137"/>
      <c r="N123" s="1137"/>
      <c r="O123" s="1137"/>
    </row>
    <row r="124" spans="1:15">
      <c r="A124" s="785" t="str">
        <f>COMPANY</f>
        <v>DUKE ENERGY KENTUCKY, INC.</v>
      </c>
      <c r="B124" s="785"/>
      <c r="C124" s="785"/>
      <c r="D124" s="785"/>
      <c r="E124" s="785"/>
      <c r="F124" s="785"/>
      <c r="G124" s="785"/>
      <c r="H124" s="1135"/>
      <c r="I124" s="785"/>
      <c r="J124" s="785"/>
      <c r="K124" s="785"/>
      <c r="L124" s="1144"/>
      <c r="M124" s="1137"/>
      <c r="N124" s="1137"/>
      <c r="O124" s="1137"/>
    </row>
    <row r="125" spans="1:15">
      <c r="A125" s="785" t="str">
        <f>CASE</f>
        <v>CASE NO. 2024-00354</v>
      </c>
      <c r="B125" s="785"/>
      <c r="C125" s="785"/>
      <c r="D125" s="785"/>
      <c r="E125" s="785"/>
      <c r="F125" s="785"/>
      <c r="G125" s="785"/>
      <c r="H125" s="1135"/>
      <c r="I125" s="785"/>
      <c r="J125" s="785"/>
      <c r="K125" s="785"/>
      <c r="L125" s="1144"/>
      <c r="M125" s="1137"/>
      <c r="N125" s="1137"/>
      <c r="O125" s="1137"/>
    </row>
    <row r="126" spans="1:15">
      <c r="A126" s="785" t="str">
        <f>A3</f>
        <v>ACCUMULATED DEPRECIATION AND AMORTIZATION</v>
      </c>
      <c r="B126" s="785"/>
      <c r="C126" s="785"/>
      <c r="D126" s="785"/>
      <c r="E126" s="785"/>
      <c r="F126" s="785"/>
      <c r="G126" s="785"/>
      <c r="H126" s="1135"/>
      <c r="I126" s="785"/>
      <c r="J126" s="785"/>
      <c r="K126" s="785"/>
      <c r="L126" s="1144"/>
      <c r="M126" s="1137"/>
      <c r="N126" s="1137"/>
      <c r="O126" s="1137"/>
    </row>
    <row r="127" spans="1:15">
      <c r="A127" s="47" t="str">
        <f>"AS OF " &amp;RIGHT(TESTYR,(LEN(TESTYR)-16))</f>
        <v>AS OF FEBRUARY 28, 2025</v>
      </c>
      <c r="B127" s="785"/>
      <c r="C127" s="785"/>
      <c r="D127" s="785"/>
      <c r="E127" s="785"/>
      <c r="F127" s="785"/>
      <c r="G127" s="785"/>
      <c r="H127" s="1135"/>
      <c r="I127" s="785"/>
      <c r="J127" s="785"/>
      <c r="K127" s="785"/>
      <c r="L127" s="1144"/>
      <c r="M127" s="1137"/>
      <c r="N127" s="1137"/>
      <c r="O127" s="1137"/>
    </row>
    <row r="128" spans="1:15">
      <c r="A128" s="785"/>
      <c r="B128" s="785"/>
      <c r="C128" s="785"/>
      <c r="D128" s="785"/>
      <c r="E128" s="785"/>
      <c r="F128" s="785"/>
      <c r="G128" s="785"/>
      <c r="H128" s="1135"/>
      <c r="I128" s="785"/>
      <c r="J128" s="785"/>
      <c r="K128" s="785"/>
      <c r="L128" s="1144"/>
      <c r="M128" s="1137"/>
      <c r="N128" s="1137"/>
      <c r="O128" s="1137"/>
    </row>
    <row r="129" spans="1:15">
      <c r="A129" s="785" t="s">
        <v>643</v>
      </c>
      <c r="B129" s="785"/>
      <c r="C129" s="785"/>
      <c r="D129" s="785"/>
      <c r="E129" s="785"/>
      <c r="F129" s="785"/>
      <c r="G129" s="785"/>
      <c r="H129" s="1135"/>
      <c r="I129" s="785"/>
      <c r="J129" s="785"/>
      <c r="K129" s="785"/>
      <c r="L129" s="1144"/>
      <c r="M129" s="1137"/>
      <c r="N129" s="1137"/>
      <c r="O129" s="1137"/>
    </row>
    <row r="130" spans="1:15">
      <c r="A130" s="786" t="s">
        <v>529</v>
      </c>
      <c r="B130" s="785"/>
      <c r="C130" s="785"/>
      <c r="D130" s="785"/>
      <c r="E130" s="785"/>
      <c r="F130" s="785"/>
      <c r="G130" s="785"/>
      <c r="H130" s="1135"/>
      <c r="I130" s="785"/>
      <c r="J130" s="785"/>
      <c r="K130" s="785"/>
      <c r="L130" s="1144"/>
      <c r="M130" s="1137"/>
      <c r="N130" s="1137"/>
      <c r="O130" s="1137"/>
    </row>
    <row r="131" spans="1:15">
      <c r="A131" s="65"/>
      <c r="B131" s="65"/>
      <c r="C131" s="65"/>
      <c r="D131" s="65"/>
      <c r="E131" s="65"/>
      <c r="F131" s="65"/>
      <c r="G131" s="65"/>
      <c r="H131" s="791"/>
      <c r="I131" s="65"/>
      <c r="J131" s="65"/>
      <c r="K131" s="65"/>
      <c r="L131" s="1144"/>
      <c r="M131" s="1137"/>
      <c r="N131" s="1137"/>
      <c r="O131" s="1137"/>
    </row>
    <row r="132" spans="1:15">
      <c r="A132" s="65"/>
      <c r="B132" s="65"/>
      <c r="C132" s="65"/>
      <c r="D132" s="65"/>
      <c r="E132" s="65"/>
      <c r="F132" s="65"/>
      <c r="G132" s="65"/>
      <c r="H132" s="791"/>
      <c r="I132" s="65"/>
      <c r="J132" s="67"/>
      <c r="K132" s="65"/>
      <c r="L132" s="1144"/>
      <c r="M132" s="1137"/>
      <c r="N132" s="1137"/>
      <c r="O132" s="1137"/>
    </row>
    <row r="133" spans="1:15">
      <c r="A133" s="67" t="str">
        <f>Data</f>
        <v>DATA: "X" BASE PERIOD   FORECASTED PERIOD</v>
      </c>
      <c r="B133" s="65"/>
      <c r="C133" s="65"/>
      <c r="D133" s="65"/>
      <c r="E133" s="65"/>
      <c r="F133" s="65"/>
      <c r="G133" s="65"/>
      <c r="H133" s="791"/>
      <c r="I133" s="65"/>
      <c r="J133" s="787" t="str">
        <f>J10</f>
        <v>SCHEDULE B-3</v>
      </c>
      <c r="K133" s="65"/>
      <c r="L133" s="1144"/>
      <c r="M133" s="1137"/>
      <c r="N133" s="1137"/>
      <c r="O133" s="1137"/>
    </row>
    <row r="134" spans="1:15">
      <c r="A134" s="67" t="str">
        <f>Type</f>
        <v xml:space="preserve">TYPE OF FILING:  "X" ORIGINAL   UPDATED    REVISED  </v>
      </c>
      <c r="B134" s="65"/>
      <c r="C134" s="65"/>
      <c r="D134" s="65"/>
      <c r="E134" s="65"/>
      <c r="F134" s="65"/>
      <c r="G134" s="65"/>
      <c r="H134" s="791"/>
      <c r="I134" s="65"/>
      <c r="J134" s="787" t="s">
        <v>644</v>
      </c>
      <c r="K134" s="65"/>
      <c r="L134" s="1144"/>
      <c r="M134" s="1137"/>
      <c r="N134" s="1137"/>
      <c r="O134" s="1137"/>
    </row>
    <row r="135" spans="1:15">
      <c r="A135" s="67" t="str">
        <f>A12</f>
        <v>WORK PAPER REFERENCE NO(S).: SCHEDULE B-2.1, SCHEDULE B-3.1</v>
      </c>
      <c r="B135" s="65"/>
      <c r="C135" s="65"/>
      <c r="D135" s="65"/>
      <c r="E135" s="65"/>
      <c r="F135" s="65"/>
      <c r="G135" s="65"/>
      <c r="H135" s="791"/>
      <c r="I135" s="65"/>
      <c r="J135" s="68" t="str">
        <f>J12</f>
        <v>WITNESS RESPONSIBLE:</v>
      </c>
      <c r="K135" s="65"/>
      <c r="L135" s="1144"/>
      <c r="M135" s="1137"/>
      <c r="N135" s="1137"/>
      <c r="O135" s="1137"/>
    </row>
    <row r="136" spans="1:15">
      <c r="A136" s="65"/>
      <c r="B136" s="65"/>
      <c r="C136" s="65"/>
      <c r="D136" s="65"/>
      <c r="E136" s="65"/>
      <c r="F136" s="65"/>
      <c r="G136" s="65"/>
      <c r="H136" s="791"/>
      <c r="I136" s="65"/>
      <c r="J136" s="65" t="str">
        <f>J13</f>
        <v>G. S. CARPENTER / S. S. MITCHELL</v>
      </c>
      <c r="K136" s="65"/>
      <c r="L136" s="1144"/>
      <c r="M136" s="1137"/>
      <c r="N136" s="1137"/>
      <c r="O136" s="1137"/>
    </row>
    <row r="137" spans="1:15">
      <c r="A137" s="65"/>
      <c r="B137" s="65"/>
      <c r="C137" s="65"/>
      <c r="D137" s="65"/>
      <c r="E137" s="65"/>
      <c r="F137" s="65"/>
      <c r="G137" s="65"/>
      <c r="H137" s="791"/>
      <c r="I137" s="65"/>
      <c r="J137" s="65"/>
      <c r="K137" s="65"/>
      <c r="L137" s="1144"/>
      <c r="M137" s="1137"/>
      <c r="N137" s="1137"/>
      <c r="O137" s="1137"/>
    </row>
    <row r="138" spans="1:15">
      <c r="A138" s="65"/>
      <c r="B138" s="65"/>
      <c r="C138" s="65"/>
      <c r="D138" s="65"/>
      <c r="E138" s="65"/>
      <c r="F138" s="1458"/>
      <c r="G138" s="65"/>
      <c r="H138" s="791"/>
      <c r="I138" s="65"/>
      <c r="J138" s="65"/>
      <c r="K138" s="65"/>
      <c r="L138" s="1144"/>
      <c r="M138" s="1137"/>
      <c r="N138" s="1137"/>
      <c r="O138" s="1137"/>
    </row>
    <row r="139" spans="1:15">
      <c r="A139" s="2104"/>
      <c r="B139" s="2100"/>
      <c r="C139" s="2101" t="s">
        <v>529</v>
      </c>
      <c r="D139" s="2104"/>
      <c r="E139" s="2100" t="str">
        <f>E16</f>
        <v>Base</v>
      </c>
      <c r="F139" s="64"/>
      <c r="G139" s="2104"/>
      <c r="H139" s="2105"/>
      <c r="I139" s="2104"/>
      <c r="J139" s="2104"/>
      <c r="K139" s="2104"/>
      <c r="L139" s="1144"/>
      <c r="M139" s="1137"/>
      <c r="N139" s="1137"/>
      <c r="O139" s="1137"/>
    </row>
    <row r="140" spans="1:15">
      <c r="A140" s="65"/>
      <c r="B140" s="64" t="s">
        <v>257</v>
      </c>
      <c r="C140" s="64" t="s">
        <v>605</v>
      </c>
      <c r="D140" s="65"/>
      <c r="E140" s="64" t="str">
        <f>E17</f>
        <v>Period</v>
      </c>
      <c r="F140" s="64"/>
      <c r="G140" s="1459" t="str">
        <f>G17</f>
        <v>Base Period Accumulated Balances</v>
      </c>
      <c r="H140" s="1464"/>
      <c r="I140" s="1464"/>
      <c r="J140" s="1464"/>
      <c r="K140" s="1464"/>
      <c r="L140" s="1144"/>
      <c r="M140" s="1137"/>
      <c r="N140" s="1137"/>
      <c r="O140" s="1137"/>
    </row>
    <row r="141" spans="1:15">
      <c r="A141" s="64" t="s">
        <v>573</v>
      </c>
      <c r="B141" s="64" t="s">
        <v>606</v>
      </c>
      <c r="C141" s="64" t="s">
        <v>606</v>
      </c>
      <c r="D141" s="65"/>
      <c r="E141" s="784" t="str">
        <f>E18</f>
        <v>Total</v>
      </c>
      <c r="F141" s="64"/>
      <c r="G141" s="64" t="s">
        <v>258</v>
      </c>
      <c r="H141" s="1138" t="s">
        <v>799</v>
      </c>
      <c r="I141" s="64" t="s">
        <v>800</v>
      </c>
      <c r="J141" s="65"/>
      <c r="K141" s="64" t="s">
        <v>575</v>
      </c>
      <c r="L141" s="1144"/>
      <c r="M141" s="1137"/>
      <c r="N141" s="1137"/>
      <c r="O141" s="1137"/>
    </row>
    <row r="142" spans="1:15">
      <c r="A142" s="64" t="s">
        <v>576</v>
      </c>
      <c r="B142" s="64" t="s">
        <v>576</v>
      </c>
      <c r="C142" s="64" t="s">
        <v>576</v>
      </c>
      <c r="D142" s="64" t="s">
        <v>607</v>
      </c>
      <c r="E142" s="784" t="str">
        <f>E19</f>
        <v>Company (1)</v>
      </c>
      <c r="F142" s="1461"/>
      <c r="G142" s="1461" t="s">
        <v>605</v>
      </c>
      <c r="H142" s="1463" t="s">
        <v>420</v>
      </c>
      <c r="I142" s="1461" t="s">
        <v>258</v>
      </c>
      <c r="J142" s="1461" t="s">
        <v>578</v>
      </c>
      <c r="K142" s="1461" t="s">
        <v>579</v>
      </c>
      <c r="L142" s="1144"/>
      <c r="M142" s="1137"/>
      <c r="N142" s="1137"/>
      <c r="O142" s="1137"/>
    </row>
    <row r="143" spans="1:15">
      <c r="A143" s="2099"/>
      <c r="B143" s="2099"/>
      <c r="C143" s="2099"/>
      <c r="D143" s="2099"/>
      <c r="E143" s="2099"/>
      <c r="F143" s="63"/>
      <c r="G143" s="64" t="s">
        <v>580</v>
      </c>
      <c r="H143" s="791"/>
      <c r="I143" s="64" t="s">
        <v>580</v>
      </c>
      <c r="J143" s="64" t="s">
        <v>580</v>
      </c>
      <c r="K143" s="64" t="s">
        <v>580</v>
      </c>
      <c r="L143" s="1144"/>
      <c r="M143" s="1137"/>
      <c r="N143" s="1137"/>
      <c r="O143" s="1137"/>
    </row>
    <row r="144" spans="1:15">
      <c r="A144" s="64" t="s">
        <v>382</v>
      </c>
      <c r="B144" s="65"/>
      <c r="C144" s="65"/>
      <c r="D144" s="65"/>
      <c r="E144" s="65"/>
      <c r="F144" s="65"/>
      <c r="G144" s="1137"/>
      <c r="H144" s="1141"/>
      <c r="I144" s="1137"/>
      <c r="J144" s="1137"/>
      <c r="K144" s="68"/>
      <c r="L144" s="1144"/>
      <c r="M144" s="1137"/>
      <c r="N144" s="1137"/>
      <c r="O144" s="1137"/>
    </row>
    <row r="145" spans="1:16">
      <c r="A145" s="64">
        <v>1</v>
      </c>
      <c r="B145" s="53">
        <v>360</v>
      </c>
      <c r="C145" s="53">
        <v>3600</v>
      </c>
      <c r="D145" s="737" t="s">
        <v>608</v>
      </c>
      <c r="E145" s="740">
        <f>'SCH B-2.1'!I140</f>
        <v>17351770</v>
      </c>
      <c r="F145" s="67"/>
      <c r="G145" s="2298">
        <v>7629</v>
      </c>
      <c r="H145" s="1139">
        <v>1</v>
      </c>
      <c r="I145" s="68">
        <f t="shared" ref="I145:I169" si="9">ROUND((G145*H145),0)</f>
        <v>7629</v>
      </c>
      <c r="J145" s="740"/>
      <c r="K145" s="68">
        <f>I145+J145</f>
        <v>7629</v>
      </c>
      <c r="L145" s="1144"/>
      <c r="M145" s="1144"/>
      <c r="N145" s="1137"/>
      <c r="O145" s="1137"/>
      <c r="P145" s="28"/>
    </row>
    <row r="146" spans="1:16">
      <c r="A146" s="64">
        <f t="shared" ref="A146:A169" si="10">A145+1</f>
        <v>2</v>
      </c>
      <c r="B146" s="53">
        <v>360</v>
      </c>
      <c r="C146" s="53">
        <v>3601</v>
      </c>
      <c r="D146" s="737" t="s">
        <v>622</v>
      </c>
      <c r="E146" s="740">
        <f>'SCH B-2.1'!I141</f>
        <v>5686385</v>
      </c>
      <c r="F146" s="67"/>
      <c r="G146" s="2298">
        <v>3325978</v>
      </c>
      <c r="H146" s="1139">
        <v>1</v>
      </c>
      <c r="I146" s="68">
        <f t="shared" si="9"/>
        <v>3325978</v>
      </c>
      <c r="J146" s="740"/>
      <c r="K146" s="68">
        <f t="shared" ref="K146:K169" si="11">I146+J146</f>
        <v>3325978</v>
      </c>
      <c r="L146" s="1144"/>
      <c r="M146" s="1144"/>
      <c r="N146" s="1137"/>
      <c r="O146" s="1137"/>
      <c r="P146" s="28"/>
    </row>
    <row r="147" spans="1:16">
      <c r="A147" s="64">
        <f t="shared" si="10"/>
        <v>3</v>
      </c>
      <c r="B147" s="53">
        <v>361</v>
      </c>
      <c r="C147" s="53">
        <v>3610</v>
      </c>
      <c r="D147" s="737" t="s">
        <v>609</v>
      </c>
      <c r="E147" s="740">
        <f>'SCH B-2.1'!I142</f>
        <v>3243052</v>
      </c>
      <c r="F147" s="772"/>
      <c r="G147" s="2298">
        <v>61653</v>
      </c>
      <c r="H147" s="1139">
        <v>1</v>
      </c>
      <c r="I147" s="68">
        <f t="shared" si="9"/>
        <v>61653</v>
      </c>
      <c r="J147" s="740"/>
      <c r="K147" s="68">
        <f t="shared" si="11"/>
        <v>61653</v>
      </c>
      <c r="L147" s="1144"/>
      <c r="M147" s="1144"/>
      <c r="N147" s="1137"/>
      <c r="O147" s="1137"/>
      <c r="P147" s="28"/>
    </row>
    <row r="148" spans="1:16">
      <c r="A148" s="64">
        <f t="shared" si="10"/>
        <v>4</v>
      </c>
      <c r="B148" s="53">
        <v>362</v>
      </c>
      <c r="C148" s="53">
        <v>3620</v>
      </c>
      <c r="D148" s="737" t="s">
        <v>635</v>
      </c>
      <c r="E148" s="740">
        <f>'SCH B-2.1'!I143</f>
        <v>96312838</v>
      </c>
      <c r="F148" s="772"/>
      <c r="G148" s="2298">
        <v>16400702</v>
      </c>
      <c r="H148" s="1139">
        <v>1</v>
      </c>
      <c r="I148" s="68">
        <f t="shared" si="9"/>
        <v>16400702</v>
      </c>
      <c r="J148" s="2303"/>
      <c r="K148" s="68">
        <f t="shared" si="11"/>
        <v>16400702</v>
      </c>
      <c r="L148" s="1144"/>
      <c r="M148" s="1144"/>
      <c r="N148" s="1137"/>
      <c r="O148" s="1137"/>
      <c r="P148" s="28"/>
    </row>
    <row r="149" spans="1:16">
      <c r="A149" s="64">
        <f t="shared" si="10"/>
        <v>5</v>
      </c>
      <c r="B149" s="53">
        <v>362</v>
      </c>
      <c r="C149" s="53">
        <v>3622</v>
      </c>
      <c r="D149" s="1131" t="s">
        <v>637</v>
      </c>
      <c r="E149" s="740">
        <f>'SCH B-2.1'!I144</f>
        <v>51263838</v>
      </c>
      <c r="F149" s="772"/>
      <c r="G149" s="2298">
        <v>11749210</v>
      </c>
      <c r="H149" s="1139">
        <v>1</v>
      </c>
      <c r="I149" s="68">
        <f t="shared" si="9"/>
        <v>11749210</v>
      </c>
      <c r="J149" s="2303"/>
      <c r="K149" s="68">
        <f t="shared" si="11"/>
        <v>11749210</v>
      </c>
      <c r="L149" s="1144"/>
      <c r="M149" s="1144"/>
      <c r="N149" s="1137"/>
      <c r="O149" s="1137"/>
      <c r="P149" s="28"/>
    </row>
    <row r="150" spans="1:16">
      <c r="A150" s="64">
        <f t="shared" si="10"/>
        <v>6</v>
      </c>
      <c r="B150" s="53">
        <v>363</v>
      </c>
      <c r="C150" s="53">
        <v>3630</v>
      </c>
      <c r="D150" s="1131" t="s">
        <v>645</v>
      </c>
      <c r="E150" s="740">
        <f>'SCH B-2.1'!I145</f>
        <v>0</v>
      </c>
      <c r="F150" s="772"/>
      <c r="G150" s="2298">
        <v>0</v>
      </c>
      <c r="H150" s="1139">
        <v>1</v>
      </c>
      <c r="I150" s="68">
        <f t="shared" si="9"/>
        <v>0</v>
      </c>
      <c r="J150" s="2303"/>
      <c r="K150" s="68">
        <f t="shared" si="11"/>
        <v>0</v>
      </c>
      <c r="L150" s="1144"/>
      <c r="M150" s="1144"/>
      <c r="N150" s="1137"/>
      <c r="O150" s="1137"/>
      <c r="P150" s="28"/>
    </row>
    <row r="151" spans="1:16">
      <c r="A151" s="64">
        <f t="shared" si="10"/>
        <v>7</v>
      </c>
      <c r="B151" s="53">
        <v>364</v>
      </c>
      <c r="C151" s="53">
        <v>3640</v>
      </c>
      <c r="D151" s="737" t="s">
        <v>646</v>
      </c>
      <c r="E151" s="740">
        <f>'SCH B-2.1'!I146</f>
        <v>84690174</v>
      </c>
      <c r="F151" s="772"/>
      <c r="G151" s="2298">
        <v>29560367</v>
      </c>
      <c r="H151" s="1139">
        <v>1</v>
      </c>
      <c r="I151" s="68">
        <f t="shared" si="9"/>
        <v>29560367</v>
      </c>
      <c r="J151" s="2303"/>
      <c r="K151" s="68">
        <f t="shared" si="11"/>
        <v>29560367</v>
      </c>
      <c r="L151" s="1144"/>
      <c r="M151" s="1144"/>
      <c r="N151" s="1137"/>
      <c r="O151" s="1137"/>
      <c r="P151" s="28"/>
    </row>
    <row r="152" spans="1:16">
      <c r="A152" s="64">
        <f t="shared" si="10"/>
        <v>8</v>
      </c>
      <c r="B152" s="53">
        <v>365</v>
      </c>
      <c r="C152" s="53">
        <v>3650</v>
      </c>
      <c r="D152" s="737" t="s">
        <v>640</v>
      </c>
      <c r="E152" s="740">
        <f>'SCH B-2.1'!I147</f>
        <v>163758868</v>
      </c>
      <c r="F152" s="772"/>
      <c r="G152" s="2298">
        <v>35611120</v>
      </c>
      <c r="H152" s="1139">
        <v>1</v>
      </c>
      <c r="I152" s="68">
        <f t="shared" si="9"/>
        <v>35611120</v>
      </c>
      <c r="J152" s="2303"/>
      <c r="K152" s="68">
        <f t="shared" si="11"/>
        <v>35611120</v>
      </c>
      <c r="L152" s="1144"/>
      <c r="M152" s="1144"/>
      <c r="N152" s="1137"/>
      <c r="O152" s="1137"/>
      <c r="P152" s="28"/>
    </row>
    <row r="153" spans="1:16">
      <c r="A153" s="64">
        <f t="shared" si="10"/>
        <v>9</v>
      </c>
      <c r="B153" s="53">
        <v>365</v>
      </c>
      <c r="C153" s="53">
        <v>3651</v>
      </c>
      <c r="D153" s="737" t="s">
        <v>641</v>
      </c>
      <c r="E153" s="740">
        <f>'SCH B-2.1'!I148</f>
        <v>9200646</v>
      </c>
      <c r="F153" s="772"/>
      <c r="G153" s="2298">
        <v>928126</v>
      </c>
      <c r="H153" s="1139">
        <v>1</v>
      </c>
      <c r="I153" s="68">
        <f t="shared" si="9"/>
        <v>928126</v>
      </c>
      <c r="J153" s="2303"/>
      <c r="K153" s="68">
        <f t="shared" si="11"/>
        <v>928126</v>
      </c>
      <c r="L153" s="1144"/>
      <c r="M153" s="1144"/>
      <c r="N153" s="1137"/>
      <c r="O153" s="1137"/>
      <c r="P153" s="28"/>
    </row>
    <row r="154" spans="1:16">
      <c r="A154" s="64">
        <f t="shared" si="10"/>
        <v>10</v>
      </c>
      <c r="B154" s="53">
        <v>366</v>
      </c>
      <c r="C154" s="53">
        <v>3660</v>
      </c>
      <c r="D154" s="737" t="s">
        <v>647</v>
      </c>
      <c r="E154" s="740">
        <f>'SCH B-2.1'!I149</f>
        <v>52587086</v>
      </c>
      <c r="F154" s="772"/>
      <c r="G154" s="2298">
        <v>11097178</v>
      </c>
      <c r="H154" s="1139">
        <v>1</v>
      </c>
      <c r="I154" s="68">
        <f t="shared" si="9"/>
        <v>11097178</v>
      </c>
      <c r="J154" s="2303"/>
      <c r="K154" s="68">
        <f t="shared" si="11"/>
        <v>11097178</v>
      </c>
      <c r="L154" s="1144"/>
      <c r="M154" s="1144"/>
      <c r="N154" s="1137"/>
      <c r="O154" s="1137"/>
      <c r="P154" s="28"/>
    </row>
    <row r="155" spans="1:16">
      <c r="A155" s="64">
        <f t="shared" si="10"/>
        <v>11</v>
      </c>
      <c r="B155" s="53">
        <v>367</v>
      </c>
      <c r="C155" s="53">
        <v>3670</v>
      </c>
      <c r="D155" s="737" t="s">
        <v>648</v>
      </c>
      <c r="E155" s="740">
        <f>'SCH B-2.1'!I150</f>
        <v>107077723</v>
      </c>
      <c r="F155" s="772"/>
      <c r="G155" s="2298">
        <v>25845892</v>
      </c>
      <c r="H155" s="1139">
        <v>1</v>
      </c>
      <c r="I155" s="68">
        <f t="shared" si="9"/>
        <v>25845892</v>
      </c>
      <c r="J155" s="2303"/>
      <c r="K155" s="68">
        <f t="shared" si="11"/>
        <v>25845892</v>
      </c>
      <c r="L155" s="1144"/>
      <c r="M155" s="1144"/>
      <c r="N155" s="1137"/>
      <c r="O155" s="1137"/>
      <c r="P155" s="28"/>
    </row>
    <row r="156" spans="1:16">
      <c r="A156" s="64">
        <f t="shared" si="10"/>
        <v>12</v>
      </c>
      <c r="B156" s="53">
        <v>368</v>
      </c>
      <c r="C156" s="53">
        <v>3680</v>
      </c>
      <c r="D156" s="737" t="s">
        <v>649</v>
      </c>
      <c r="E156" s="740">
        <f>'SCH B-2.1'!I151</f>
        <v>92945182</v>
      </c>
      <c r="F156" s="772"/>
      <c r="G156" s="2298">
        <v>27919274</v>
      </c>
      <c r="H156" s="1139">
        <v>1</v>
      </c>
      <c r="I156" s="68">
        <f t="shared" si="9"/>
        <v>27919274</v>
      </c>
      <c r="J156" s="2303"/>
      <c r="K156" s="68">
        <f t="shared" si="11"/>
        <v>27919274</v>
      </c>
      <c r="L156" s="1144"/>
      <c r="M156" s="1144"/>
      <c r="N156" s="1137"/>
      <c r="O156" s="1137"/>
      <c r="P156" s="28"/>
    </row>
    <row r="157" spans="1:16">
      <c r="A157" s="64">
        <f t="shared" si="10"/>
        <v>13</v>
      </c>
      <c r="B157" s="53">
        <v>368</v>
      </c>
      <c r="C157" s="53">
        <v>3682</v>
      </c>
      <c r="D157" s="737" t="s">
        <v>650</v>
      </c>
      <c r="E157" s="740">
        <f>'SCH B-2.1'!I152</f>
        <v>289579</v>
      </c>
      <c r="F157" s="772"/>
      <c r="G157" s="2298">
        <v>280318</v>
      </c>
      <c r="H157" s="1139">
        <v>1</v>
      </c>
      <c r="I157" s="68">
        <f t="shared" si="9"/>
        <v>280318</v>
      </c>
      <c r="J157" s="2303"/>
      <c r="K157" s="68">
        <f t="shared" si="11"/>
        <v>280318</v>
      </c>
      <c r="L157" s="1144"/>
      <c r="M157" s="1144"/>
      <c r="N157" s="1137"/>
      <c r="O157" s="1137"/>
      <c r="P157" s="28"/>
    </row>
    <row r="158" spans="1:16">
      <c r="A158" s="64">
        <f t="shared" si="10"/>
        <v>14</v>
      </c>
      <c r="B158" s="53">
        <v>369</v>
      </c>
      <c r="C158" s="53">
        <v>3691</v>
      </c>
      <c r="D158" s="737" t="s">
        <v>651</v>
      </c>
      <c r="E158" s="740">
        <f>'SCH B-2.1'!I153</f>
        <v>3013618</v>
      </c>
      <c r="F158" s="67"/>
      <c r="G158" s="2298">
        <v>948329</v>
      </c>
      <c r="H158" s="1139">
        <v>1</v>
      </c>
      <c r="I158" s="68">
        <f t="shared" si="9"/>
        <v>948329</v>
      </c>
      <c r="J158" s="2303"/>
      <c r="K158" s="68">
        <f t="shared" si="11"/>
        <v>948329</v>
      </c>
      <c r="L158" s="1144"/>
      <c r="M158" s="1144"/>
      <c r="N158" s="1137"/>
      <c r="O158" s="1137"/>
      <c r="P158" s="28"/>
    </row>
    <row r="159" spans="1:16">
      <c r="A159" s="64">
        <f t="shared" si="10"/>
        <v>15</v>
      </c>
      <c r="B159" s="53">
        <v>369</v>
      </c>
      <c r="C159" s="53">
        <v>3692</v>
      </c>
      <c r="D159" s="737" t="s">
        <v>652</v>
      </c>
      <c r="E159" s="740">
        <f>'SCH B-2.1'!I154</f>
        <v>19005991</v>
      </c>
      <c r="F159" s="67"/>
      <c r="G159" s="2298">
        <v>10990580</v>
      </c>
      <c r="H159" s="1139">
        <v>1</v>
      </c>
      <c r="I159" s="68">
        <f t="shared" si="9"/>
        <v>10990580</v>
      </c>
      <c r="J159" s="2303"/>
      <c r="K159" s="68">
        <f t="shared" si="11"/>
        <v>10990580</v>
      </c>
      <c r="L159" s="1144"/>
      <c r="M159" s="1144"/>
      <c r="N159" s="1137"/>
      <c r="O159" s="1137"/>
      <c r="P159" s="28"/>
    </row>
    <row r="160" spans="1:16">
      <c r="A160" s="64">
        <f t="shared" si="10"/>
        <v>16</v>
      </c>
      <c r="B160" s="53">
        <v>370</v>
      </c>
      <c r="C160" s="1250">
        <v>3700</v>
      </c>
      <c r="D160" s="1131" t="s">
        <v>653</v>
      </c>
      <c r="E160" s="740">
        <f>'SCH B-2.1'!I155</f>
        <v>3990827</v>
      </c>
      <c r="F160" s="772"/>
      <c r="G160" s="2298">
        <v>1451859</v>
      </c>
      <c r="H160" s="1139">
        <v>1</v>
      </c>
      <c r="I160" s="68">
        <f t="shared" si="9"/>
        <v>1451859</v>
      </c>
      <c r="J160" s="2303"/>
      <c r="K160" s="68">
        <f t="shared" si="11"/>
        <v>1451859</v>
      </c>
      <c r="L160" s="1144"/>
      <c r="M160" s="1144"/>
      <c r="N160" s="1137"/>
      <c r="O160" s="1137"/>
      <c r="P160" s="28"/>
    </row>
    <row r="161" spans="1:16">
      <c r="A161" s="64">
        <f t="shared" si="10"/>
        <v>17</v>
      </c>
      <c r="B161" s="53">
        <v>370</v>
      </c>
      <c r="C161" s="1250">
        <v>3702</v>
      </c>
      <c r="D161" s="1131" t="s">
        <v>654</v>
      </c>
      <c r="E161" s="740">
        <f>'SCH B-2.1'!I156</f>
        <v>30074658</v>
      </c>
      <c r="F161" s="772"/>
      <c r="G161" s="2298">
        <v>11116326</v>
      </c>
      <c r="H161" s="1139">
        <v>1</v>
      </c>
      <c r="I161" s="68">
        <f t="shared" si="9"/>
        <v>11116326</v>
      </c>
      <c r="J161" s="2303"/>
      <c r="K161" s="68">
        <f t="shared" si="11"/>
        <v>11116326</v>
      </c>
      <c r="L161" s="1144"/>
      <c r="M161" s="1144"/>
      <c r="N161" s="1137"/>
      <c r="O161" s="1137"/>
      <c r="P161" s="28"/>
    </row>
    <row r="162" spans="1:16">
      <c r="A162" s="64">
        <f t="shared" si="10"/>
        <v>18</v>
      </c>
      <c r="B162" s="53">
        <v>371</v>
      </c>
      <c r="C162" s="1250" t="s">
        <v>655</v>
      </c>
      <c r="D162" s="1131" t="s">
        <v>656</v>
      </c>
      <c r="E162" s="740">
        <f>'SCH B-2.1'!I157</f>
        <v>1807757</v>
      </c>
      <c r="F162" s="772"/>
      <c r="G162" s="2298">
        <v>202749</v>
      </c>
      <c r="H162" s="1139">
        <v>1</v>
      </c>
      <c r="I162" s="68">
        <f t="shared" si="9"/>
        <v>202749</v>
      </c>
      <c r="J162" s="2303"/>
      <c r="K162" s="68">
        <f t="shared" si="11"/>
        <v>202749</v>
      </c>
      <c r="L162" s="1144"/>
      <c r="M162" s="1144"/>
      <c r="N162" s="1137"/>
      <c r="O162" s="1137"/>
      <c r="P162" s="28"/>
    </row>
    <row r="163" spans="1:16">
      <c r="A163" s="64">
        <f t="shared" si="10"/>
        <v>19</v>
      </c>
      <c r="B163" s="53">
        <v>372</v>
      </c>
      <c r="C163" s="53">
        <v>3720</v>
      </c>
      <c r="D163" s="737" t="s">
        <v>657</v>
      </c>
      <c r="E163" s="740">
        <f>'SCH B-2.1'!I158</f>
        <v>10208</v>
      </c>
      <c r="F163" s="772"/>
      <c r="G163" s="2298">
        <v>9652</v>
      </c>
      <c r="H163" s="1139">
        <v>1</v>
      </c>
      <c r="I163" s="68">
        <f t="shared" si="9"/>
        <v>9652</v>
      </c>
      <c r="J163" s="2303"/>
      <c r="K163" s="68">
        <f t="shared" si="11"/>
        <v>9652</v>
      </c>
      <c r="L163" s="1144"/>
      <c r="M163" s="1144"/>
      <c r="N163" s="1137"/>
      <c r="O163" s="1137"/>
      <c r="P163" s="28"/>
    </row>
    <row r="164" spans="1:16">
      <c r="A164" s="64">
        <f t="shared" si="10"/>
        <v>20</v>
      </c>
      <c r="B164" s="53">
        <v>373</v>
      </c>
      <c r="C164" s="53">
        <v>3731</v>
      </c>
      <c r="D164" s="737" t="s">
        <v>658</v>
      </c>
      <c r="E164" s="740">
        <f>'SCH B-2.1'!I159</f>
        <v>2651082</v>
      </c>
      <c r="F164" s="772"/>
      <c r="G164" s="2298">
        <v>2272597</v>
      </c>
      <c r="H164" s="1139">
        <v>1</v>
      </c>
      <c r="I164" s="68">
        <f t="shared" si="9"/>
        <v>2272597</v>
      </c>
      <c r="J164" s="2303"/>
      <c r="K164" s="68">
        <f t="shared" si="11"/>
        <v>2272597</v>
      </c>
      <c r="L164" s="1144"/>
      <c r="M164" s="1144"/>
      <c r="N164" s="1137"/>
      <c r="O164" s="1137"/>
      <c r="P164" s="28"/>
    </row>
    <row r="165" spans="1:16">
      <c r="A165" s="64">
        <f t="shared" si="10"/>
        <v>21</v>
      </c>
      <c r="B165" s="53">
        <v>373</v>
      </c>
      <c r="C165" s="53">
        <v>3732</v>
      </c>
      <c r="D165" s="737" t="s">
        <v>659</v>
      </c>
      <c r="E165" s="740">
        <f>'SCH B-2.1'!I160</f>
        <v>3631140</v>
      </c>
      <c r="F165" s="772"/>
      <c r="G165" s="2298">
        <v>2791253</v>
      </c>
      <c r="H165" s="1139">
        <v>1</v>
      </c>
      <c r="I165" s="68">
        <f>ROUND((G165*H165),0)</f>
        <v>2791253</v>
      </c>
      <c r="J165" s="2303"/>
      <c r="K165" s="68">
        <f t="shared" si="11"/>
        <v>2791253</v>
      </c>
      <c r="L165" s="1144"/>
      <c r="M165" s="1144"/>
      <c r="N165" s="1137"/>
      <c r="O165" s="1137"/>
      <c r="P165" s="28"/>
    </row>
    <row r="166" spans="1:16">
      <c r="A166" s="64">
        <f t="shared" si="10"/>
        <v>22</v>
      </c>
      <c r="B166" s="53">
        <v>373</v>
      </c>
      <c r="C166" s="53">
        <v>3733</v>
      </c>
      <c r="D166" s="737" t="s">
        <v>660</v>
      </c>
      <c r="E166" s="740">
        <f>'SCH B-2.1'!I161</f>
        <v>0</v>
      </c>
      <c r="F166" s="772"/>
      <c r="G166" s="2298">
        <v>1913243</v>
      </c>
      <c r="H166" s="1139">
        <v>1</v>
      </c>
      <c r="I166" s="68">
        <f t="shared" si="9"/>
        <v>1913243</v>
      </c>
      <c r="J166" s="2303">
        <f>-I166</f>
        <v>-1913243</v>
      </c>
      <c r="K166" s="68">
        <f t="shared" si="11"/>
        <v>0</v>
      </c>
      <c r="L166" s="1144"/>
      <c r="M166" s="1144"/>
      <c r="N166" s="1137"/>
      <c r="O166" s="1137"/>
      <c r="P166" s="28"/>
    </row>
    <row r="167" spans="1:16">
      <c r="A167" s="64">
        <f t="shared" si="10"/>
        <v>23</v>
      </c>
      <c r="B167" s="53">
        <v>373</v>
      </c>
      <c r="C167" s="53">
        <v>3734</v>
      </c>
      <c r="D167" s="737" t="s">
        <v>661</v>
      </c>
      <c r="E167" s="740">
        <f>'SCH B-2.1'!I162</f>
        <v>0</v>
      </c>
      <c r="F167" s="772"/>
      <c r="G167" s="2298">
        <v>-1181057</v>
      </c>
      <c r="H167" s="1139">
        <v>1</v>
      </c>
      <c r="I167" s="68">
        <f t="shared" si="9"/>
        <v>-1181057</v>
      </c>
      <c r="J167" s="2303">
        <f>-I167</f>
        <v>1181057</v>
      </c>
      <c r="K167" s="68">
        <f t="shared" si="11"/>
        <v>0</v>
      </c>
      <c r="L167" s="1144"/>
      <c r="M167" s="1144"/>
      <c r="N167" s="1137"/>
      <c r="O167" s="1137"/>
      <c r="P167" s="28"/>
    </row>
    <row r="168" spans="1:16">
      <c r="A168" s="64">
        <f t="shared" si="10"/>
        <v>24</v>
      </c>
      <c r="B168" s="737"/>
      <c r="C168" s="737"/>
      <c r="D168" s="737" t="s">
        <v>617</v>
      </c>
      <c r="E168" s="740">
        <f>'SCH B-2.1'!I163</f>
        <v>0</v>
      </c>
      <c r="F168" s="772"/>
      <c r="G168" s="2298">
        <v>0</v>
      </c>
      <c r="H168" s="1139">
        <v>1</v>
      </c>
      <c r="I168" s="68">
        <f t="shared" si="9"/>
        <v>0</v>
      </c>
      <c r="J168" s="2303"/>
      <c r="K168" s="68">
        <f t="shared" si="11"/>
        <v>0</v>
      </c>
      <c r="L168" s="1144"/>
      <c r="M168" s="1144"/>
      <c r="N168" s="1137"/>
      <c r="O168" s="1137"/>
      <c r="P168" s="28"/>
    </row>
    <row r="169" spans="1:16">
      <c r="A169" s="64">
        <f t="shared" si="10"/>
        <v>25</v>
      </c>
      <c r="B169" s="53"/>
      <c r="C169" s="53">
        <v>108</v>
      </c>
      <c r="D169" s="737" t="s">
        <v>796</v>
      </c>
      <c r="E169" s="740">
        <f>'SCH B-2.1'!I164</f>
        <v>0</v>
      </c>
      <c r="F169" s="772"/>
      <c r="G169" s="2298">
        <v>-23464615</v>
      </c>
      <c r="H169" s="1139">
        <v>1</v>
      </c>
      <c r="I169" s="68">
        <f t="shared" si="9"/>
        <v>-23464615</v>
      </c>
      <c r="J169" s="2303"/>
      <c r="K169" s="68">
        <f t="shared" si="11"/>
        <v>-23464615</v>
      </c>
      <c r="L169" s="1144"/>
      <c r="M169" s="1144"/>
      <c r="N169" s="1137"/>
      <c r="O169" s="1137"/>
      <c r="P169" s="28"/>
    </row>
    <row r="170" spans="1:16">
      <c r="A170" s="64"/>
      <c r="B170" s="65"/>
      <c r="C170" s="64"/>
      <c r="D170" s="67"/>
      <c r="E170" s="740"/>
      <c r="F170" s="67"/>
      <c r="G170" s="2298"/>
      <c r="H170" s="1139"/>
      <c r="I170" s="68"/>
      <c r="J170" s="2303"/>
      <c r="K170" s="68"/>
      <c r="L170" s="1144"/>
      <c r="M170" s="1144"/>
      <c r="N170" s="1137"/>
      <c r="O170" s="1137"/>
    </row>
    <row r="171" spans="1:16">
      <c r="A171" s="64"/>
      <c r="B171" s="65"/>
      <c r="C171" s="64"/>
      <c r="E171" s="740"/>
      <c r="F171" s="2305"/>
      <c r="G171" s="740"/>
      <c r="H171" s="791"/>
      <c r="I171" s="68"/>
      <c r="J171" s="2304"/>
      <c r="K171" s="68"/>
      <c r="L171" s="1144"/>
      <c r="M171" s="1144"/>
      <c r="N171" s="1137"/>
      <c r="O171" s="1137"/>
    </row>
    <row r="172" spans="1:16">
      <c r="A172" s="2099"/>
      <c r="B172" s="2099"/>
      <c r="C172" s="2099"/>
      <c r="D172" s="2102"/>
      <c r="E172" s="2099"/>
      <c r="F172" s="63"/>
      <c r="G172" s="2102"/>
      <c r="H172" s="2103"/>
      <c r="I172" s="2102"/>
      <c r="J172" s="2102"/>
      <c r="K172" s="2102"/>
      <c r="L172" s="1144"/>
      <c r="M172" s="1137"/>
      <c r="N172" s="1137"/>
      <c r="O172" s="1137"/>
    </row>
    <row r="173" spans="1:16">
      <c r="A173" s="64">
        <f>A169+1</f>
        <v>26</v>
      </c>
      <c r="B173" s="65"/>
      <c r="C173" s="65"/>
      <c r="D173" s="67" t="s">
        <v>662</v>
      </c>
      <c r="E173" s="68">
        <f>SUM(E145:E170)</f>
        <v>748592422</v>
      </c>
      <c r="F173" s="67"/>
      <c r="G173" s="68">
        <f>SUM(G145:G170)</f>
        <v>169838363</v>
      </c>
      <c r="H173" s="791"/>
      <c r="I173" s="68">
        <f>SUM(I145:I170)</f>
        <v>169838363</v>
      </c>
      <c r="J173" s="68">
        <f>SUM(J145:J170)</f>
        <v>-732186</v>
      </c>
      <c r="K173" s="68">
        <f>SUM(K144:K170)</f>
        <v>169106177</v>
      </c>
      <c r="L173" s="1144"/>
      <c r="M173" s="1137"/>
      <c r="N173" s="2088" t="str">
        <f>IF(E173='SCH B-2.1'!I167,"BALANCED","ERROR")</f>
        <v>BALANCED</v>
      </c>
      <c r="O173" s="1137"/>
    </row>
    <row r="174" spans="1:16">
      <c r="A174" s="65"/>
      <c r="B174" s="65"/>
      <c r="C174" s="65"/>
      <c r="D174" s="65"/>
      <c r="E174" s="65"/>
      <c r="F174" s="1458"/>
      <c r="G174" s="68"/>
      <c r="H174" s="791"/>
      <c r="I174" s="68"/>
      <c r="J174" s="68"/>
      <c r="K174" s="68"/>
      <c r="L174" s="1144"/>
      <c r="M174" s="1137"/>
      <c r="N174" s="1137"/>
      <c r="O174" s="1137"/>
    </row>
    <row r="175" spans="1:16">
      <c r="A175" s="2099"/>
      <c r="B175" s="2099"/>
      <c r="C175" s="2099"/>
      <c r="D175" s="2099"/>
      <c r="E175" s="2099"/>
      <c r="F175" s="63"/>
      <c r="G175" s="2102"/>
      <c r="H175" s="2103"/>
      <c r="I175" s="2102"/>
      <c r="J175" s="2102"/>
      <c r="K175" s="2102"/>
      <c r="L175" s="1144"/>
      <c r="M175" s="1137"/>
      <c r="N175" s="1137"/>
      <c r="O175" s="1137"/>
    </row>
    <row r="176" spans="1:16">
      <c r="A176" s="783" t="s">
        <v>797</v>
      </c>
      <c r="B176" s="65"/>
      <c r="C176" s="65"/>
      <c r="D176" s="65"/>
      <c r="E176" s="65"/>
      <c r="F176" s="65"/>
      <c r="G176" s="68"/>
      <c r="H176" s="791"/>
      <c r="I176" s="68"/>
      <c r="J176" s="68"/>
      <c r="K176" s="68"/>
      <c r="L176" s="1144"/>
      <c r="M176" s="1137"/>
      <c r="N176" s="1137"/>
      <c r="O176" s="1137"/>
    </row>
    <row r="177" spans="1:15">
      <c r="A177" s="65"/>
      <c r="B177" s="65"/>
      <c r="C177" s="65"/>
      <c r="D177" s="65"/>
      <c r="E177" s="65"/>
      <c r="F177" s="65"/>
      <c r="G177" s="68"/>
      <c r="H177" s="791"/>
      <c r="I177" s="68"/>
      <c r="J177" s="68"/>
      <c r="K177" s="68"/>
      <c r="L177" s="1144"/>
      <c r="M177" s="1137"/>
      <c r="N177" s="1137"/>
      <c r="O177" s="1137"/>
    </row>
    <row r="178" spans="1:15">
      <c r="A178" s="785" t="str">
        <f>COMPANY</f>
        <v>DUKE ENERGY KENTUCKY, INC.</v>
      </c>
      <c r="B178" s="785"/>
      <c r="C178" s="785"/>
      <c r="D178" s="785"/>
      <c r="E178" s="785"/>
      <c r="F178" s="785"/>
      <c r="G178" s="785"/>
      <c r="H178" s="1135"/>
      <c r="I178" s="785"/>
      <c r="J178" s="785"/>
      <c r="K178" s="785"/>
      <c r="L178" s="1144"/>
      <c r="M178" s="1137"/>
      <c r="N178" s="1137"/>
      <c r="O178" s="1137"/>
    </row>
    <row r="179" spans="1:15">
      <c r="A179" s="785" t="str">
        <f>CASE</f>
        <v>CASE NO. 2024-00354</v>
      </c>
      <c r="B179" s="785"/>
      <c r="C179" s="785"/>
      <c r="D179" s="785"/>
      <c r="E179" s="785"/>
      <c r="F179" s="785"/>
      <c r="G179" s="785"/>
      <c r="H179" s="1135"/>
      <c r="I179" s="785"/>
      <c r="J179" s="785"/>
      <c r="K179" s="785"/>
      <c r="L179" s="1144"/>
      <c r="M179" s="1137"/>
      <c r="N179" s="1137"/>
      <c r="O179" s="1137"/>
    </row>
    <row r="180" spans="1:15">
      <c r="A180" s="785" t="str">
        <f>A3</f>
        <v>ACCUMULATED DEPRECIATION AND AMORTIZATION</v>
      </c>
      <c r="B180" s="785"/>
      <c r="C180" s="785"/>
      <c r="D180" s="785"/>
      <c r="E180" s="785"/>
      <c r="F180" s="785"/>
      <c r="G180" s="785"/>
      <c r="H180" s="1135"/>
      <c r="I180" s="785"/>
      <c r="J180" s="785"/>
      <c r="K180" s="785"/>
      <c r="L180" s="1144"/>
      <c r="M180" s="1137"/>
      <c r="N180" s="1137"/>
      <c r="O180" s="1137"/>
    </row>
    <row r="181" spans="1:15">
      <c r="A181" s="47" t="str">
        <f>"AS OF " &amp;RIGHT(TESTYR,(LEN(TESTYR)-16))</f>
        <v>AS OF FEBRUARY 28, 2025</v>
      </c>
      <c r="B181" s="785"/>
      <c r="C181" s="785"/>
      <c r="D181" s="785"/>
      <c r="E181" s="785"/>
      <c r="F181" s="785"/>
      <c r="G181" s="785"/>
      <c r="H181" s="1135"/>
      <c r="I181" s="785"/>
      <c r="J181" s="785"/>
      <c r="K181" s="785"/>
      <c r="L181" s="1144"/>
      <c r="M181" s="1137"/>
      <c r="N181" s="1137"/>
      <c r="O181" s="1137"/>
    </row>
    <row r="182" spans="1:15">
      <c r="A182" s="785"/>
      <c r="B182" s="785"/>
      <c r="C182" s="785"/>
      <c r="D182" s="785"/>
      <c r="E182" s="785"/>
      <c r="F182" s="785"/>
      <c r="G182" s="785"/>
      <c r="H182" s="1135"/>
      <c r="I182" s="785"/>
      <c r="J182" s="785"/>
      <c r="K182" s="785"/>
      <c r="L182" s="1144"/>
      <c r="M182" s="1137"/>
      <c r="N182" s="1137"/>
      <c r="O182" s="1137"/>
    </row>
    <row r="183" spans="1:15">
      <c r="A183" s="785" t="s">
        <v>663</v>
      </c>
      <c r="B183" s="785"/>
      <c r="C183" s="785"/>
      <c r="D183" s="785"/>
      <c r="E183" s="785"/>
      <c r="F183" s="785"/>
      <c r="G183" s="785"/>
      <c r="H183" s="1135"/>
      <c r="I183" s="785"/>
      <c r="J183" s="785"/>
      <c r="K183" s="785"/>
      <c r="L183" s="1144"/>
      <c r="M183" s="1137"/>
      <c r="N183" s="1137"/>
      <c r="O183" s="1137"/>
    </row>
    <row r="184" spans="1:15">
      <c r="A184" s="786" t="s">
        <v>529</v>
      </c>
      <c r="B184" s="785"/>
      <c r="C184" s="785"/>
      <c r="D184" s="785"/>
      <c r="E184" s="785"/>
      <c r="F184" s="785"/>
      <c r="G184" s="785"/>
      <c r="H184" s="1135"/>
      <c r="I184" s="785"/>
      <c r="J184" s="785"/>
      <c r="K184" s="785"/>
      <c r="L184" s="1144"/>
      <c r="M184" s="1137"/>
      <c r="N184" s="1137"/>
      <c r="O184" s="1137"/>
    </row>
    <row r="185" spans="1:15">
      <c r="A185" s="65"/>
      <c r="B185" s="65"/>
      <c r="C185" s="65"/>
      <c r="D185" s="65"/>
      <c r="E185" s="65"/>
      <c r="F185" s="65"/>
      <c r="G185" s="65"/>
      <c r="H185" s="791"/>
      <c r="I185" s="65"/>
      <c r="J185" s="65"/>
      <c r="K185" s="65"/>
      <c r="L185" s="1144"/>
      <c r="M185" s="1137"/>
      <c r="N185" s="1137"/>
      <c r="O185" s="1137"/>
    </row>
    <row r="186" spans="1:15">
      <c r="A186" s="1137"/>
      <c r="B186" s="65"/>
      <c r="C186" s="65"/>
      <c r="D186" s="65"/>
      <c r="E186" s="65"/>
      <c r="F186" s="65"/>
      <c r="G186" s="65"/>
      <c r="H186" s="791"/>
      <c r="I186" s="65"/>
      <c r="J186" s="67"/>
      <c r="K186" s="65"/>
      <c r="L186" s="1144"/>
      <c r="M186" s="1137"/>
      <c r="N186" s="1137"/>
      <c r="O186" s="1137"/>
    </row>
    <row r="187" spans="1:15">
      <c r="A187" s="67" t="str">
        <f>Data</f>
        <v>DATA: "X" BASE PERIOD   FORECASTED PERIOD</v>
      </c>
      <c r="B187" s="65"/>
      <c r="C187" s="65"/>
      <c r="D187" s="65"/>
      <c r="E187" s="65"/>
      <c r="F187" s="65"/>
      <c r="G187" s="65"/>
      <c r="H187" s="791"/>
      <c r="I187" s="65"/>
      <c r="J187" s="787" t="str">
        <f>J10</f>
        <v>SCHEDULE B-3</v>
      </c>
      <c r="K187" s="65"/>
      <c r="L187" s="1144"/>
      <c r="M187" s="1137"/>
      <c r="N187" s="1137"/>
      <c r="O187" s="1137"/>
    </row>
    <row r="188" spans="1:15">
      <c r="A188" s="67" t="str">
        <f>Type</f>
        <v xml:space="preserve">TYPE OF FILING:  "X" ORIGINAL   UPDATED    REVISED  </v>
      </c>
      <c r="B188" s="65"/>
      <c r="C188" s="65"/>
      <c r="D188" s="65"/>
      <c r="E188" s="65"/>
      <c r="F188" s="65"/>
      <c r="G188" s="65"/>
      <c r="H188" s="791"/>
      <c r="I188" s="65"/>
      <c r="J188" s="787" t="s">
        <v>664</v>
      </c>
      <c r="K188" s="65"/>
      <c r="L188" s="1144"/>
      <c r="M188" s="1137"/>
      <c r="N188" s="1137"/>
      <c r="O188" s="1137"/>
    </row>
    <row r="189" spans="1:15">
      <c r="A189" s="67" t="str">
        <f>A12</f>
        <v>WORK PAPER REFERENCE NO(S).: SCHEDULE B-2.1, SCHEDULE B-3.1</v>
      </c>
      <c r="B189" s="65"/>
      <c r="C189" s="65"/>
      <c r="D189" s="65"/>
      <c r="E189" s="65"/>
      <c r="F189" s="65"/>
      <c r="G189" s="65"/>
      <c r="H189" s="791"/>
      <c r="I189" s="65"/>
      <c r="J189" s="68" t="str">
        <f>J12</f>
        <v>WITNESS RESPONSIBLE:</v>
      </c>
      <c r="K189" s="65"/>
      <c r="L189" s="1144"/>
      <c r="M189" s="1137"/>
      <c r="N189" s="1137"/>
      <c r="O189" s="1137"/>
    </row>
    <row r="190" spans="1:15">
      <c r="A190" s="65"/>
      <c r="B190" s="65"/>
      <c r="C190" s="65"/>
      <c r="D190" s="65"/>
      <c r="E190" s="65"/>
      <c r="F190" s="65"/>
      <c r="G190" s="65"/>
      <c r="H190" s="791"/>
      <c r="I190" s="65"/>
      <c r="J190" s="65" t="str">
        <f>J13</f>
        <v>G. S. CARPENTER / S. S. MITCHELL</v>
      </c>
      <c r="K190" s="65"/>
      <c r="L190" s="1144"/>
      <c r="M190" s="1137"/>
      <c r="N190" s="1137"/>
      <c r="O190" s="1137"/>
    </row>
    <row r="191" spans="1:15">
      <c r="A191" s="65"/>
      <c r="B191" s="65"/>
      <c r="C191" s="65"/>
      <c r="D191" s="65"/>
      <c r="E191" s="65"/>
      <c r="F191" s="65"/>
      <c r="G191" s="65"/>
      <c r="H191" s="791"/>
      <c r="I191" s="65"/>
      <c r="J191" s="65"/>
      <c r="K191" s="65"/>
      <c r="L191" s="1144"/>
      <c r="M191" s="1137"/>
      <c r="N191" s="1137"/>
      <c r="O191" s="1137"/>
    </row>
    <row r="192" spans="1:15">
      <c r="A192" s="65"/>
      <c r="B192" s="1458"/>
      <c r="C192" s="65"/>
      <c r="D192" s="65"/>
      <c r="E192" s="65"/>
      <c r="F192" s="1458"/>
      <c r="G192" s="65"/>
      <c r="H192" s="791"/>
      <c r="I192" s="65"/>
      <c r="J192" s="65"/>
      <c r="K192" s="65"/>
      <c r="L192" s="1144"/>
      <c r="M192" s="1137"/>
      <c r="N192" s="1137"/>
      <c r="O192" s="1137"/>
    </row>
    <row r="193" spans="1:15">
      <c r="A193" s="2099"/>
      <c r="B193" s="62"/>
      <c r="C193" s="2106" t="s">
        <v>529</v>
      </c>
      <c r="D193" s="2099"/>
      <c r="E193" s="2107" t="str">
        <f>E16</f>
        <v>Base</v>
      </c>
      <c r="F193" s="62"/>
      <c r="G193" s="2099"/>
      <c r="H193" s="2103"/>
      <c r="I193" s="2099"/>
      <c r="J193" s="2099"/>
      <c r="K193" s="2099"/>
      <c r="L193" s="1144"/>
      <c r="M193" s="1137"/>
      <c r="N193" s="1137"/>
      <c r="O193" s="1137"/>
    </row>
    <row r="194" spans="1:15">
      <c r="A194" s="63"/>
      <c r="B194" s="62" t="s">
        <v>257</v>
      </c>
      <c r="C194" s="62" t="s">
        <v>605</v>
      </c>
      <c r="D194" s="63"/>
      <c r="E194" s="62" t="str">
        <f>E17</f>
        <v>Period</v>
      </c>
      <c r="F194" s="62"/>
      <c r="G194" s="1460" t="str">
        <f>G17</f>
        <v>Base Period Accumulated Balances</v>
      </c>
      <c r="H194" s="1465"/>
      <c r="I194" s="1465"/>
      <c r="J194" s="1465"/>
      <c r="K194" s="1465"/>
      <c r="L194" s="1144"/>
      <c r="M194" s="1137"/>
      <c r="N194" s="1137"/>
      <c r="O194" s="1137"/>
    </row>
    <row r="195" spans="1:15">
      <c r="A195" s="64" t="s">
        <v>573</v>
      </c>
      <c r="B195" s="64" t="s">
        <v>606</v>
      </c>
      <c r="C195" s="64" t="s">
        <v>606</v>
      </c>
      <c r="D195" s="65"/>
      <c r="E195" s="784" t="str">
        <f>E18</f>
        <v>Total</v>
      </c>
      <c r="F195" s="64"/>
      <c r="G195" s="64" t="s">
        <v>801</v>
      </c>
      <c r="H195" s="1138" t="s">
        <v>799</v>
      </c>
      <c r="I195" s="64" t="s">
        <v>800</v>
      </c>
      <c r="J195" s="65"/>
      <c r="K195" s="64" t="s">
        <v>575</v>
      </c>
      <c r="L195" s="1144"/>
      <c r="M195" s="1137"/>
      <c r="N195" s="1137"/>
      <c r="O195" s="1137"/>
    </row>
    <row r="196" spans="1:15">
      <c r="A196" s="64" t="s">
        <v>576</v>
      </c>
      <c r="B196" s="64" t="s">
        <v>576</v>
      </c>
      <c r="C196" s="64" t="s">
        <v>576</v>
      </c>
      <c r="D196" s="64" t="s">
        <v>607</v>
      </c>
      <c r="E196" s="784" t="str">
        <f>E19</f>
        <v>Company (1)</v>
      </c>
      <c r="F196" s="1461"/>
      <c r="G196" s="1461" t="s">
        <v>605</v>
      </c>
      <c r="H196" s="1463" t="s">
        <v>420</v>
      </c>
      <c r="I196" s="1461" t="s">
        <v>258</v>
      </c>
      <c r="J196" s="1461" t="s">
        <v>578</v>
      </c>
      <c r="K196" s="1461" t="s">
        <v>579</v>
      </c>
      <c r="L196" s="1144"/>
      <c r="M196" s="1137"/>
      <c r="N196" s="1137"/>
      <c r="O196" s="1137"/>
    </row>
    <row r="197" spans="1:15">
      <c r="A197" s="2099"/>
      <c r="B197" s="2099"/>
      <c r="C197" s="2099"/>
      <c r="D197" s="2099"/>
      <c r="E197" s="2099"/>
      <c r="F197" s="63"/>
      <c r="G197" s="64" t="s">
        <v>580</v>
      </c>
      <c r="H197" s="791"/>
      <c r="I197" s="64" t="s">
        <v>580</v>
      </c>
      <c r="J197" s="64" t="s">
        <v>580</v>
      </c>
      <c r="K197" s="64" t="s">
        <v>580</v>
      </c>
      <c r="L197" s="1144"/>
      <c r="M197" s="1137"/>
      <c r="N197" s="1137"/>
      <c r="O197" s="1137"/>
    </row>
    <row r="198" spans="1:15">
      <c r="A198" s="65"/>
      <c r="B198" s="65"/>
      <c r="C198" s="65"/>
      <c r="D198" s="65"/>
      <c r="E198" s="65"/>
      <c r="F198" s="65"/>
      <c r="G198" s="1137"/>
      <c r="H198" s="1141"/>
      <c r="I198" s="1137"/>
      <c r="J198" s="1137"/>
      <c r="K198" s="1137"/>
      <c r="L198" s="1144"/>
      <c r="M198" s="1137"/>
      <c r="N198" s="1137"/>
      <c r="O198" s="1137"/>
    </row>
    <row r="199" spans="1:15">
      <c r="A199" s="64">
        <v>1</v>
      </c>
      <c r="B199" s="53">
        <v>303</v>
      </c>
      <c r="C199" s="53">
        <v>3030</v>
      </c>
      <c r="D199" s="737" t="s">
        <v>665</v>
      </c>
      <c r="E199" s="740">
        <f>'SCH B-2.1'!I193</f>
        <v>49081896</v>
      </c>
      <c r="F199" s="65"/>
      <c r="G199" s="2298">
        <v>22498926</v>
      </c>
      <c r="H199" s="1139">
        <v>1</v>
      </c>
      <c r="I199" s="68">
        <f t="shared" ref="I199:I213" si="12">ROUND(G199*H199,0)</f>
        <v>22498926</v>
      </c>
      <c r="J199" s="64"/>
      <c r="K199" s="68">
        <f t="shared" ref="K199:K213" si="13">I199+J199</f>
        <v>22498926</v>
      </c>
      <c r="L199" s="1144"/>
      <c r="M199" s="1137"/>
      <c r="N199" s="1137"/>
      <c r="O199" s="1137"/>
    </row>
    <row r="200" spans="1:15">
      <c r="A200" s="64">
        <f t="shared" ref="A200:A213" si="14">A199+1</f>
        <v>2</v>
      </c>
      <c r="B200" s="53">
        <v>390</v>
      </c>
      <c r="C200" s="53">
        <v>3900</v>
      </c>
      <c r="D200" s="737" t="s">
        <v>609</v>
      </c>
      <c r="E200" s="740">
        <f>'SCH B-2.1'!I194</f>
        <v>223703</v>
      </c>
      <c r="F200" s="67"/>
      <c r="G200" s="2298">
        <v>70551</v>
      </c>
      <c r="H200" s="1139">
        <v>1</v>
      </c>
      <c r="I200" s="68">
        <f t="shared" si="12"/>
        <v>70551</v>
      </c>
      <c r="J200" s="68"/>
      <c r="K200" s="68">
        <f t="shared" si="13"/>
        <v>70551</v>
      </c>
      <c r="L200" s="1144"/>
      <c r="M200" s="1137"/>
      <c r="N200" s="1137"/>
      <c r="O200" s="1137"/>
    </row>
    <row r="201" spans="1:15">
      <c r="A201" s="64">
        <f t="shared" si="14"/>
        <v>3</v>
      </c>
      <c r="B201" s="53">
        <v>391</v>
      </c>
      <c r="C201" s="53">
        <v>3910</v>
      </c>
      <c r="D201" s="737" t="s">
        <v>666</v>
      </c>
      <c r="E201" s="740">
        <f>'SCH B-2.1'!I195</f>
        <v>502571</v>
      </c>
      <c r="F201" s="67"/>
      <c r="G201" s="2298">
        <v>43313</v>
      </c>
      <c r="H201" s="1139">
        <v>1</v>
      </c>
      <c r="I201" s="68">
        <f t="shared" si="12"/>
        <v>43313</v>
      </c>
      <c r="J201" s="787"/>
      <c r="K201" s="68">
        <f t="shared" si="13"/>
        <v>43313</v>
      </c>
      <c r="L201" s="1144"/>
      <c r="M201" s="1137"/>
      <c r="N201" s="1137"/>
      <c r="O201" s="1137"/>
    </row>
    <row r="202" spans="1:15">
      <c r="A202" s="64">
        <f t="shared" si="14"/>
        <v>4</v>
      </c>
      <c r="B202" s="53">
        <v>391</v>
      </c>
      <c r="C202" s="1250" t="s">
        <v>802</v>
      </c>
      <c r="D202" s="1131" t="s">
        <v>803</v>
      </c>
      <c r="E202">
        <v>0</v>
      </c>
      <c r="F202" s="772"/>
      <c r="G202" s="2298">
        <v>0</v>
      </c>
      <c r="H202" s="1139">
        <v>1</v>
      </c>
      <c r="I202" s="68">
        <f t="shared" si="12"/>
        <v>0</v>
      </c>
      <c r="J202" s="787"/>
      <c r="K202" s="68">
        <f t="shared" si="13"/>
        <v>0</v>
      </c>
      <c r="L202" s="1144"/>
      <c r="M202" s="1137"/>
      <c r="N202" s="1137"/>
      <c r="O202" s="1137"/>
    </row>
    <row r="203" spans="1:15">
      <c r="A203" s="64">
        <f t="shared" si="14"/>
        <v>5</v>
      </c>
      <c r="B203" s="53">
        <v>391</v>
      </c>
      <c r="C203" s="53">
        <v>3911</v>
      </c>
      <c r="D203" s="737" t="s">
        <v>667</v>
      </c>
      <c r="E203" s="740">
        <f>'SCH B-2.1'!I196</f>
        <v>6901483</v>
      </c>
      <c r="F203" s="772"/>
      <c r="G203" s="2298">
        <v>2369884</v>
      </c>
      <c r="H203" s="1139">
        <v>1</v>
      </c>
      <c r="I203" s="68">
        <f t="shared" si="12"/>
        <v>2369884</v>
      </c>
      <c r="J203" s="68"/>
      <c r="K203" s="68">
        <f t="shared" si="13"/>
        <v>2369884</v>
      </c>
      <c r="L203" s="1144"/>
      <c r="M203" s="1137"/>
      <c r="N203" s="1137"/>
      <c r="O203" s="1137"/>
    </row>
    <row r="204" spans="1:15">
      <c r="A204" s="64">
        <f t="shared" si="14"/>
        <v>6</v>
      </c>
      <c r="B204" s="53">
        <v>391</v>
      </c>
      <c r="C204" s="1250" t="s">
        <v>804</v>
      </c>
      <c r="D204" s="1131" t="s">
        <v>805</v>
      </c>
      <c r="E204">
        <v>0</v>
      </c>
      <c r="F204" s="772"/>
      <c r="G204" s="2298">
        <v>0</v>
      </c>
      <c r="H204" s="1139">
        <v>1</v>
      </c>
      <c r="I204" s="68">
        <f t="shared" si="12"/>
        <v>0</v>
      </c>
      <c r="J204" s="68"/>
      <c r="K204" s="68">
        <f t="shared" si="13"/>
        <v>0</v>
      </c>
      <c r="L204" s="1144"/>
      <c r="M204" s="1137"/>
      <c r="N204" s="1137"/>
      <c r="O204" s="1137"/>
    </row>
    <row r="205" spans="1:15">
      <c r="A205" s="64">
        <f t="shared" si="14"/>
        <v>7</v>
      </c>
      <c r="B205" s="53">
        <v>392</v>
      </c>
      <c r="C205" s="53">
        <v>3920</v>
      </c>
      <c r="D205" s="1131" t="s">
        <v>668</v>
      </c>
      <c r="E205" s="740">
        <f>'SCH B-2.1'!I197</f>
        <v>1248861</v>
      </c>
      <c r="F205" s="67"/>
      <c r="G205" s="2298">
        <v>516977</v>
      </c>
      <c r="H205" s="1139">
        <v>1</v>
      </c>
      <c r="I205" s="68">
        <f t="shared" si="12"/>
        <v>516977</v>
      </c>
      <c r="J205" s="787"/>
      <c r="K205" s="68">
        <f t="shared" si="13"/>
        <v>516977</v>
      </c>
      <c r="L205" s="1144"/>
      <c r="M205" s="1137"/>
      <c r="N205" s="1137"/>
      <c r="O205" s="1137"/>
    </row>
    <row r="206" spans="1:15">
      <c r="A206" s="64">
        <f t="shared" si="14"/>
        <v>8</v>
      </c>
      <c r="B206" s="53">
        <v>392</v>
      </c>
      <c r="C206" s="53">
        <v>3921</v>
      </c>
      <c r="D206" s="737" t="s">
        <v>669</v>
      </c>
      <c r="E206" s="740">
        <f>'SCH B-2.1'!I198</f>
        <v>367604</v>
      </c>
      <c r="F206" s="67"/>
      <c r="G206" s="2298">
        <v>218164</v>
      </c>
      <c r="H206" s="1139">
        <v>1</v>
      </c>
      <c r="I206" s="68">
        <f t="shared" si="12"/>
        <v>218164</v>
      </c>
      <c r="J206" s="68"/>
      <c r="K206" s="68">
        <f t="shared" si="13"/>
        <v>218164</v>
      </c>
      <c r="L206" s="1144"/>
      <c r="M206" s="1137"/>
      <c r="N206" s="1137"/>
      <c r="O206" s="1137"/>
    </row>
    <row r="207" spans="1:15">
      <c r="A207" s="64">
        <f t="shared" si="14"/>
        <v>9</v>
      </c>
      <c r="B207" s="53">
        <v>394</v>
      </c>
      <c r="C207" s="53">
        <v>3940</v>
      </c>
      <c r="D207" s="737" t="s">
        <v>670</v>
      </c>
      <c r="E207" s="740">
        <f>'SCH B-2.1'!I199</f>
        <v>5544308</v>
      </c>
      <c r="F207" s="67"/>
      <c r="G207" s="2298">
        <v>1426075</v>
      </c>
      <c r="H207" s="1139">
        <v>1</v>
      </c>
      <c r="I207" s="68">
        <f t="shared" si="12"/>
        <v>1426075</v>
      </c>
      <c r="J207" s="68"/>
      <c r="K207" s="68">
        <f t="shared" si="13"/>
        <v>1426075</v>
      </c>
      <c r="L207" s="1144"/>
      <c r="M207" s="1137"/>
      <c r="N207" s="1137"/>
      <c r="O207" s="1137"/>
    </row>
    <row r="208" spans="1:15">
      <c r="A208" s="64">
        <f t="shared" si="14"/>
        <v>10</v>
      </c>
      <c r="B208" s="53">
        <v>394</v>
      </c>
      <c r="C208" s="1250" t="s">
        <v>806</v>
      </c>
      <c r="D208" s="737" t="s">
        <v>807</v>
      </c>
      <c r="E208">
        <v>0</v>
      </c>
      <c r="F208" s="67"/>
      <c r="G208" s="2298">
        <v>0</v>
      </c>
      <c r="H208" s="1139">
        <v>1</v>
      </c>
      <c r="I208" s="68">
        <f t="shared" si="12"/>
        <v>0</v>
      </c>
      <c r="J208" s="68"/>
      <c r="K208" s="68">
        <f t="shared" si="13"/>
        <v>0</v>
      </c>
      <c r="L208" s="1144"/>
      <c r="M208" s="1137"/>
      <c r="N208" s="1137"/>
      <c r="O208" s="1137"/>
    </row>
    <row r="209" spans="1:15">
      <c r="A209" s="64">
        <f t="shared" si="14"/>
        <v>11</v>
      </c>
      <c r="B209" s="53">
        <v>396</v>
      </c>
      <c r="C209" s="53">
        <v>3960</v>
      </c>
      <c r="D209" s="737" t="s">
        <v>671</v>
      </c>
      <c r="E209" s="740">
        <f>'SCH B-2.1'!I200</f>
        <v>15903</v>
      </c>
      <c r="F209" s="67"/>
      <c r="G209" s="2298">
        <v>10548</v>
      </c>
      <c r="H209" s="1139">
        <v>1</v>
      </c>
      <c r="I209" s="68">
        <f t="shared" si="12"/>
        <v>10548</v>
      </c>
      <c r="J209" s="68"/>
      <c r="K209" s="68">
        <f t="shared" si="13"/>
        <v>10548</v>
      </c>
      <c r="L209" s="1144"/>
      <c r="M209" s="1137"/>
      <c r="N209" s="1137"/>
      <c r="O209" s="1137"/>
    </row>
    <row r="210" spans="1:15">
      <c r="A210" s="64">
        <f t="shared" si="14"/>
        <v>12</v>
      </c>
      <c r="B210" s="53">
        <v>397</v>
      </c>
      <c r="C210" s="53">
        <v>3970</v>
      </c>
      <c r="D210" s="737" t="s">
        <v>672</v>
      </c>
      <c r="E210" s="740">
        <f>'SCH B-2.1'!I201</f>
        <v>29101760</v>
      </c>
      <c r="F210" s="67"/>
      <c r="G210" s="2298">
        <v>5951764</v>
      </c>
      <c r="H210" s="1139">
        <v>1</v>
      </c>
      <c r="I210" s="68">
        <f t="shared" si="12"/>
        <v>5951764</v>
      </c>
      <c r="J210" s="68"/>
      <c r="K210" s="68">
        <f t="shared" si="13"/>
        <v>5951764</v>
      </c>
      <c r="L210" s="1144"/>
      <c r="M210" s="1137"/>
      <c r="N210" s="1137"/>
      <c r="O210" s="1137"/>
    </row>
    <row r="211" spans="1:15">
      <c r="A211" s="64">
        <f t="shared" si="14"/>
        <v>13</v>
      </c>
      <c r="B211" s="53">
        <v>397</v>
      </c>
      <c r="C211" s="1250" t="s">
        <v>808</v>
      </c>
      <c r="D211" s="1131" t="s">
        <v>809</v>
      </c>
      <c r="E211" s="740">
        <v>0</v>
      </c>
      <c r="F211" s="67"/>
      <c r="G211" s="2298">
        <v>0</v>
      </c>
      <c r="H211" s="1139">
        <v>1</v>
      </c>
      <c r="I211" s="68">
        <f t="shared" si="12"/>
        <v>0</v>
      </c>
      <c r="J211" s="68"/>
      <c r="K211" s="68">
        <f t="shared" si="13"/>
        <v>0</v>
      </c>
      <c r="L211" s="1144"/>
      <c r="M211" s="1137"/>
      <c r="N211" s="1137"/>
      <c r="O211" s="1137"/>
    </row>
    <row r="212" spans="1:15">
      <c r="A212" s="64">
        <f t="shared" si="14"/>
        <v>14</v>
      </c>
      <c r="B212" s="53"/>
      <c r="C212" s="53"/>
      <c r="D212" s="737" t="s">
        <v>617</v>
      </c>
      <c r="E212" s="740">
        <f>'SCH B-2.1'!I202</f>
        <v>0</v>
      </c>
      <c r="F212" s="67"/>
      <c r="G212" s="2298">
        <v>0</v>
      </c>
      <c r="H212" s="1139">
        <v>1</v>
      </c>
      <c r="I212" s="68">
        <f t="shared" si="12"/>
        <v>0</v>
      </c>
      <c r="J212" s="68"/>
      <c r="K212" s="68">
        <f t="shared" si="13"/>
        <v>0</v>
      </c>
      <c r="L212" s="1144"/>
      <c r="M212" s="1137"/>
      <c r="N212" s="1137"/>
      <c r="O212" s="1137"/>
    </row>
    <row r="213" spans="1:15">
      <c r="A213" s="64">
        <f t="shared" si="14"/>
        <v>15</v>
      </c>
      <c r="B213" s="737"/>
      <c r="C213" s="64">
        <v>108</v>
      </c>
      <c r="D213" s="67" t="s">
        <v>796</v>
      </c>
      <c r="E213" s="740">
        <f>'SCH B-2.1'!I204</f>
        <v>0</v>
      </c>
      <c r="F213" s="67"/>
      <c r="G213" s="2298">
        <v>11104</v>
      </c>
      <c r="H213" s="1139">
        <v>1</v>
      </c>
      <c r="I213" s="68">
        <f t="shared" si="12"/>
        <v>11104</v>
      </c>
      <c r="J213" s="68"/>
      <c r="K213" s="68">
        <f t="shared" si="13"/>
        <v>11104</v>
      </c>
      <c r="L213" s="1144"/>
      <c r="M213" s="1137"/>
      <c r="N213" s="1137"/>
      <c r="O213" s="1137"/>
    </row>
    <row r="214" spans="1:15">
      <c r="A214" s="65"/>
      <c r="B214" s="65"/>
      <c r="C214" s="67"/>
      <c r="D214" s="65"/>
      <c r="E214" s="65"/>
      <c r="F214" s="65"/>
      <c r="G214" s="2306" t="s">
        <v>382</v>
      </c>
      <c r="H214" s="1139"/>
      <c r="I214" s="787" t="s">
        <v>382</v>
      </c>
      <c r="J214" s="68"/>
      <c r="K214" s="68"/>
      <c r="L214" s="1144"/>
      <c r="M214" s="1137"/>
      <c r="N214" s="1137"/>
      <c r="O214" s="1137"/>
    </row>
    <row r="215" spans="1:15">
      <c r="A215" s="65"/>
      <c r="B215" s="65"/>
      <c r="C215" s="65"/>
      <c r="D215" s="65"/>
      <c r="E215" s="65"/>
      <c r="F215" s="1458"/>
      <c r="G215" s="68"/>
      <c r="H215" s="791"/>
      <c r="I215" s="68"/>
      <c r="J215" s="68"/>
      <c r="K215" s="68"/>
      <c r="L215" s="1144"/>
      <c r="M215" s="1137"/>
      <c r="N215" s="1137"/>
      <c r="O215" s="1137"/>
    </row>
    <row r="216" spans="1:15">
      <c r="A216" s="2099"/>
      <c r="B216" s="2099"/>
      <c r="C216" s="2099"/>
      <c r="D216" s="2099"/>
      <c r="E216" s="2099"/>
      <c r="F216" s="63"/>
      <c r="G216" s="2102"/>
      <c r="H216" s="2103"/>
      <c r="I216" s="2102"/>
      <c r="J216" s="2102"/>
      <c r="K216" s="2102"/>
      <c r="L216" s="1144"/>
      <c r="M216" s="1137"/>
      <c r="N216" s="1137"/>
      <c r="O216" s="1137"/>
    </row>
    <row r="217" spans="1:15">
      <c r="A217" s="64">
        <v>16</v>
      </c>
      <c r="B217" s="65"/>
      <c r="C217" s="65"/>
      <c r="D217" s="67" t="s">
        <v>673</v>
      </c>
      <c r="E217" s="740">
        <f>SUM(E199:E216)</f>
        <v>92988089</v>
      </c>
      <c r="F217" s="67"/>
      <c r="G217" s="68">
        <f>SUM(G199:G216)</f>
        <v>33117306</v>
      </c>
      <c r="H217" s="791"/>
      <c r="I217" s="68">
        <f>SUM(I199:I216)</f>
        <v>33117306</v>
      </c>
      <c r="J217" s="68">
        <f>SUM(J200:J216)</f>
        <v>0</v>
      </c>
      <c r="K217" s="68">
        <f>SUM(K199:K216)</f>
        <v>33117306</v>
      </c>
      <c r="L217" s="1144"/>
      <c r="M217" s="1137"/>
      <c r="N217" s="2088" t="str">
        <f>IF(E217='SCH B-2.1'!I206,"BALANCED","ERROR")</f>
        <v>BALANCED</v>
      </c>
      <c r="O217" s="1137"/>
    </row>
    <row r="218" spans="1:15">
      <c r="A218" s="65"/>
      <c r="B218" s="65"/>
      <c r="C218" s="65"/>
      <c r="D218" s="65"/>
      <c r="E218" s="65"/>
      <c r="F218" s="1458"/>
      <c r="G218" s="68"/>
      <c r="H218" s="791"/>
      <c r="I218" s="68"/>
      <c r="J218" s="68"/>
      <c r="K218" s="68"/>
      <c r="L218" s="1144"/>
      <c r="M218" s="1137"/>
      <c r="N218" s="1137"/>
      <c r="O218" s="1137"/>
    </row>
    <row r="219" spans="1:15">
      <c r="A219" s="2099"/>
      <c r="B219" s="2099"/>
      <c r="C219" s="2099"/>
      <c r="D219" s="2099"/>
      <c r="E219" s="2099"/>
      <c r="F219" s="63"/>
      <c r="G219" s="2102"/>
      <c r="H219" s="2103"/>
      <c r="I219" s="2102"/>
      <c r="J219" s="2102"/>
      <c r="K219" s="2102"/>
      <c r="L219" s="1144"/>
      <c r="M219" s="1137"/>
      <c r="N219" s="1137"/>
      <c r="O219" s="1137"/>
    </row>
    <row r="220" spans="1:15">
      <c r="A220" s="64">
        <v>17</v>
      </c>
      <c r="B220" s="65"/>
      <c r="C220" s="65"/>
      <c r="D220" s="67" t="s">
        <v>690</v>
      </c>
      <c r="E220" s="68">
        <f>E36+E78+E119+E173+E217</f>
        <v>2289273656</v>
      </c>
      <c r="F220" s="67"/>
      <c r="G220" s="68">
        <f>G36+G78+G119+G173+G217</f>
        <v>933331947</v>
      </c>
      <c r="H220" s="791"/>
      <c r="I220" s="68">
        <f>I36+I78+I119+I173+I217</f>
        <v>933331947</v>
      </c>
      <c r="J220" s="68">
        <f>J36+J78+J119+J173+J217</f>
        <v>-37063258</v>
      </c>
      <c r="K220" s="68">
        <f>K36+K78+K119+K173+K217</f>
        <v>896268689</v>
      </c>
      <c r="L220" s="1144"/>
      <c r="M220" s="1137"/>
      <c r="N220" s="2088" t="str">
        <f>IF(E220='SCH B-2.1'!I209,"BALANCED","ERROR")</f>
        <v>BALANCED</v>
      </c>
      <c r="O220" s="1137"/>
    </row>
    <row r="221" spans="1:15">
      <c r="A221" s="65"/>
      <c r="B221" s="65"/>
      <c r="C221" s="65"/>
      <c r="D221" s="65"/>
      <c r="E221" s="65"/>
      <c r="F221" s="1458"/>
      <c r="G221" s="65"/>
      <c r="H221" s="791"/>
      <c r="I221" s="65"/>
      <c r="J221" s="65"/>
      <c r="K221" s="65"/>
      <c r="L221" s="1144"/>
      <c r="M221" s="1137"/>
      <c r="N221" s="1137"/>
      <c r="O221" s="1137"/>
    </row>
    <row r="222" spans="1:15">
      <c r="A222" s="2099"/>
      <c r="B222" s="2099"/>
      <c r="C222" s="2099"/>
      <c r="D222" s="2099"/>
      <c r="E222" s="2099"/>
      <c r="F222" s="63"/>
      <c r="G222" s="2099"/>
      <c r="H222" s="2103"/>
      <c r="I222" s="2099"/>
      <c r="J222" s="2099"/>
      <c r="K222" s="2099"/>
      <c r="L222" s="1144"/>
      <c r="M222" s="1137"/>
      <c r="N222" s="1137"/>
      <c r="O222" s="1137"/>
    </row>
    <row r="223" spans="1:15">
      <c r="A223" s="783" t="s">
        <v>797</v>
      </c>
      <c r="B223" s="65"/>
      <c r="C223" s="65"/>
      <c r="D223" s="65"/>
      <c r="E223" s="65"/>
      <c r="F223" s="65"/>
      <c r="G223" s="65"/>
      <c r="H223" s="791"/>
      <c r="I223" s="65"/>
      <c r="J223" s="65"/>
      <c r="K223" s="65"/>
      <c r="L223" s="1144"/>
      <c r="M223" s="1137"/>
      <c r="N223" s="1137"/>
      <c r="O223" s="1137"/>
    </row>
    <row r="224" spans="1:15">
      <c r="A224" s="65"/>
      <c r="B224" s="65"/>
      <c r="C224" s="65"/>
      <c r="D224" s="65"/>
      <c r="E224" s="65"/>
      <c r="F224" s="65"/>
      <c r="G224" s="68"/>
      <c r="H224" s="791"/>
      <c r="I224" s="68"/>
      <c r="J224" s="68"/>
      <c r="K224" s="68"/>
      <c r="L224" s="1144"/>
      <c r="M224" s="1137"/>
      <c r="N224" s="1137"/>
      <c r="O224" s="1137"/>
    </row>
    <row r="225" spans="1:15">
      <c r="A225" s="785" t="str">
        <f>COMPANY</f>
        <v>DUKE ENERGY KENTUCKY, INC.</v>
      </c>
      <c r="B225" s="785"/>
      <c r="C225" s="785"/>
      <c r="D225" s="785"/>
      <c r="E225" s="785"/>
      <c r="F225" s="785"/>
      <c r="G225" s="785"/>
      <c r="H225" s="1135"/>
      <c r="I225" s="785"/>
      <c r="J225" s="785"/>
      <c r="K225" s="785"/>
      <c r="L225" s="1144"/>
      <c r="M225" s="1137"/>
      <c r="N225" s="1137"/>
      <c r="O225" s="1137"/>
    </row>
    <row r="226" spans="1:15">
      <c r="A226" s="785" t="str">
        <f>CASE</f>
        <v>CASE NO. 2024-00354</v>
      </c>
      <c r="B226" s="785"/>
      <c r="C226" s="785"/>
      <c r="D226" s="785"/>
      <c r="E226" s="785"/>
      <c r="F226" s="785"/>
      <c r="G226" s="785"/>
      <c r="H226" s="1135"/>
      <c r="I226" s="785"/>
      <c r="J226" s="785"/>
      <c r="K226" s="785"/>
      <c r="L226" s="1144"/>
      <c r="M226" s="1137"/>
      <c r="N226" s="1137"/>
      <c r="O226" s="1137"/>
    </row>
    <row r="227" spans="1:15">
      <c r="A227" s="785" t="str">
        <f>A3</f>
        <v>ACCUMULATED DEPRECIATION AND AMORTIZATION</v>
      </c>
      <c r="B227" s="785"/>
      <c r="C227" s="785"/>
      <c r="D227" s="785"/>
      <c r="E227" s="785"/>
      <c r="F227" s="785"/>
      <c r="G227" s="785"/>
      <c r="H227" s="1135"/>
      <c r="I227" s="785"/>
      <c r="J227" s="785"/>
      <c r="K227" s="785"/>
      <c r="L227" s="1144"/>
      <c r="M227" s="1137"/>
      <c r="N227" s="1137"/>
      <c r="O227" s="1137"/>
    </row>
    <row r="228" spans="1:15">
      <c r="A228" s="47" t="str">
        <f>"AS OF " &amp;RIGHT(TESTYR,(LEN(TESTYR)-16))</f>
        <v>AS OF FEBRUARY 28, 2025</v>
      </c>
      <c r="B228" s="785"/>
      <c r="C228" s="785"/>
      <c r="D228" s="785"/>
      <c r="E228" s="785"/>
      <c r="F228" s="785"/>
      <c r="G228" s="785"/>
      <c r="H228" s="1135"/>
      <c r="I228" s="785"/>
      <c r="J228" s="785"/>
      <c r="K228" s="785"/>
      <c r="L228" s="1144"/>
      <c r="M228" s="1137"/>
      <c r="N228" s="1137"/>
      <c r="O228" s="1137"/>
    </row>
    <row r="229" spans="1:15">
      <c r="A229" s="785"/>
      <c r="B229" s="785"/>
      <c r="C229" s="785"/>
      <c r="D229" s="785"/>
      <c r="E229" s="785"/>
      <c r="F229" s="785"/>
      <c r="G229" s="785"/>
      <c r="H229" s="1135"/>
      <c r="I229" s="785"/>
      <c r="J229" s="785"/>
      <c r="K229" s="785"/>
      <c r="L229" s="1144"/>
      <c r="M229" s="1137"/>
      <c r="N229" s="1137"/>
      <c r="O229" s="1137"/>
    </row>
    <row r="230" spans="1:15">
      <c r="A230" s="785" t="s">
        <v>675</v>
      </c>
      <c r="B230" s="785"/>
      <c r="C230" s="785"/>
      <c r="D230" s="785"/>
      <c r="E230" s="785"/>
      <c r="F230" s="785"/>
      <c r="G230" s="785"/>
      <c r="H230" s="1135"/>
      <c r="I230" s="785"/>
      <c r="J230" s="785"/>
      <c r="K230" s="785"/>
      <c r="L230" s="1144"/>
      <c r="M230" s="1137"/>
      <c r="N230" s="1137"/>
      <c r="O230" s="1137"/>
    </row>
    <row r="231" spans="1:15">
      <c r="A231" s="786" t="s">
        <v>529</v>
      </c>
      <c r="B231" s="785"/>
      <c r="C231" s="785"/>
      <c r="D231" s="785"/>
      <c r="E231" s="785"/>
      <c r="F231" s="785"/>
      <c r="G231" s="785"/>
      <c r="H231" s="1135"/>
      <c r="I231" s="785"/>
      <c r="J231" s="785"/>
      <c r="K231" s="785"/>
      <c r="L231" s="1144"/>
      <c r="M231" s="1137"/>
      <c r="N231" s="1137"/>
      <c r="O231" s="1137"/>
    </row>
    <row r="232" spans="1:15">
      <c r="A232" s="65"/>
      <c r="B232" s="65"/>
      <c r="C232" s="65"/>
      <c r="D232" s="65"/>
      <c r="E232" s="65"/>
      <c r="F232" s="65"/>
      <c r="G232" s="65"/>
      <c r="H232" s="791"/>
      <c r="I232" s="65"/>
      <c r="J232" s="65"/>
      <c r="K232" s="65"/>
      <c r="L232" s="1144"/>
      <c r="M232" s="1137"/>
      <c r="N232" s="1137"/>
      <c r="O232" s="1137"/>
    </row>
    <row r="233" spans="1:15">
      <c r="A233" s="67"/>
      <c r="B233" s="65"/>
      <c r="C233" s="65"/>
      <c r="D233" s="65"/>
      <c r="E233" s="65"/>
      <c r="F233" s="65"/>
      <c r="G233" s="65"/>
      <c r="H233" s="791"/>
      <c r="I233" s="65"/>
      <c r="J233" s="67"/>
      <c r="K233" s="65"/>
      <c r="L233" s="1144"/>
      <c r="M233" s="1137"/>
      <c r="N233" s="1137"/>
      <c r="O233" s="1137"/>
    </row>
    <row r="234" spans="1:15">
      <c r="A234" s="67" t="str">
        <f>Data</f>
        <v>DATA: "X" BASE PERIOD   FORECASTED PERIOD</v>
      </c>
      <c r="B234" s="65"/>
      <c r="C234" s="65"/>
      <c r="D234" s="65"/>
      <c r="E234" s="65"/>
      <c r="F234" s="65"/>
      <c r="G234" s="65"/>
      <c r="H234" s="791"/>
      <c r="I234" s="65"/>
      <c r="J234" s="787" t="str">
        <f>J10</f>
        <v>SCHEDULE B-3</v>
      </c>
      <c r="K234" s="65"/>
      <c r="L234" s="1144"/>
      <c r="M234" s="1137"/>
      <c r="N234" s="1137"/>
      <c r="O234" s="1137"/>
    </row>
    <row r="235" spans="1:15">
      <c r="A235" s="67" t="str">
        <f>Type</f>
        <v xml:space="preserve">TYPE OF FILING:  "X" ORIGINAL   UPDATED    REVISED  </v>
      </c>
      <c r="B235" s="65"/>
      <c r="C235" s="65"/>
      <c r="D235" s="65"/>
      <c r="E235" s="65"/>
      <c r="F235" s="65"/>
      <c r="G235" s="65"/>
      <c r="H235" s="791"/>
      <c r="I235" s="65"/>
      <c r="J235" s="787" t="s">
        <v>676</v>
      </c>
      <c r="K235" s="65"/>
      <c r="L235" s="1144"/>
      <c r="M235" s="1137"/>
      <c r="N235" s="1137"/>
      <c r="O235" s="1137"/>
    </row>
    <row r="236" spans="1:15">
      <c r="A236" s="65" t="s">
        <v>793</v>
      </c>
      <c r="B236" s="65"/>
      <c r="C236" s="65"/>
      <c r="D236" s="65"/>
      <c r="E236" s="65"/>
      <c r="F236" s="65"/>
      <c r="G236" s="65"/>
      <c r="H236" s="791"/>
      <c r="I236" s="65"/>
      <c r="J236" s="68" t="str">
        <f>J12</f>
        <v>WITNESS RESPONSIBLE:</v>
      </c>
      <c r="K236" s="65"/>
      <c r="L236" s="1144"/>
      <c r="M236" s="1137"/>
      <c r="N236" s="1137"/>
      <c r="O236" s="1137"/>
    </row>
    <row r="237" spans="1:15">
      <c r="A237" s="65"/>
      <c r="B237" s="65"/>
      <c r="C237" s="65"/>
      <c r="D237" s="65"/>
      <c r="E237" s="65"/>
      <c r="F237" s="65"/>
      <c r="G237" s="65"/>
      <c r="H237" s="791"/>
      <c r="I237" s="65"/>
      <c r="J237" s="65" t="str">
        <f>J13</f>
        <v>G. S. CARPENTER / S. S. MITCHELL</v>
      </c>
      <c r="K237" s="65"/>
      <c r="L237" s="1144"/>
      <c r="M237" s="1137"/>
      <c r="N237" s="1137"/>
      <c r="O237" s="1137"/>
    </row>
    <row r="238" spans="1:15">
      <c r="A238" s="65"/>
      <c r="B238" s="65"/>
      <c r="C238" s="65"/>
      <c r="D238" s="65"/>
      <c r="E238" s="65"/>
      <c r="F238" s="65"/>
      <c r="G238" s="65"/>
      <c r="H238" s="791"/>
      <c r="I238" s="65"/>
      <c r="J238" s="65"/>
      <c r="K238" s="65"/>
      <c r="L238" s="1144"/>
      <c r="M238" s="1137"/>
      <c r="N238" s="1137"/>
      <c r="O238" s="1137"/>
    </row>
    <row r="239" spans="1:15">
      <c r="A239" s="65"/>
      <c r="B239" s="65"/>
      <c r="C239" s="65"/>
      <c r="D239" s="65"/>
      <c r="E239" s="65"/>
      <c r="F239" s="1458"/>
      <c r="G239" s="65"/>
      <c r="H239" s="791"/>
      <c r="I239" s="65"/>
      <c r="J239" s="65"/>
      <c r="K239" s="65"/>
      <c r="L239" s="1144"/>
      <c r="M239" s="1137"/>
      <c r="N239" s="1137"/>
      <c r="O239" s="1137"/>
    </row>
    <row r="240" spans="1:15">
      <c r="A240" s="2099"/>
      <c r="B240" s="2107"/>
      <c r="C240" s="2106" t="s">
        <v>529</v>
      </c>
      <c r="D240" s="2099"/>
      <c r="E240" s="2107" t="str">
        <f>E16</f>
        <v>Base</v>
      </c>
      <c r="F240" s="62"/>
      <c r="G240" s="2099"/>
      <c r="H240" s="2103"/>
      <c r="I240" s="2099"/>
      <c r="J240" s="2099"/>
      <c r="K240" s="2099"/>
      <c r="L240" s="1144"/>
      <c r="M240" s="1137"/>
      <c r="N240" s="1137"/>
      <c r="O240" s="1137"/>
    </row>
    <row r="241" spans="1:15">
      <c r="A241" s="63"/>
      <c r="B241" s="62" t="s">
        <v>257</v>
      </c>
      <c r="C241" s="62" t="s">
        <v>605</v>
      </c>
      <c r="D241" s="63"/>
      <c r="E241" s="62" t="str">
        <f>E17</f>
        <v>Period</v>
      </c>
      <c r="F241" s="62"/>
      <c r="G241" s="1460" t="str">
        <f>G17</f>
        <v>Base Period Accumulated Balances</v>
      </c>
      <c r="H241" s="1465"/>
      <c r="I241" s="1465"/>
      <c r="J241" s="1465"/>
      <c r="K241" s="1465"/>
      <c r="L241" s="1144"/>
      <c r="M241" s="1137"/>
      <c r="N241" s="1137"/>
      <c r="O241" s="1137"/>
    </row>
    <row r="242" spans="1:15">
      <c r="A242" s="64" t="s">
        <v>573</v>
      </c>
      <c r="B242" s="64" t="s">
        <v>606</v>
      </c>
      <c r="C242" s="64" t="s">
        <v>606</v>
      </c>
      <c r="D242" s="65"/>
      <c r="E242" s="784" t="str">
        <f>E18</f>
        <v>Total</v>
      </c>
      <c r="F242" s="64"/>
      <c r="G242" s="64" t="s">
        <v>258</v>
      </c>
      <c r="H242" s="1138" t="s">
        <v>799</v>
      </c>
      <c r="I242" s="64" t="s">
        <v>800</v>
      </c>
      <c r="J242" s="65"/>
      <c r="K242" s="64" t="s">
        <v>575</v>
      </c>
      <c r="L242" s="1144"/>
      <c r="M242" s="1137"/>
      <c r="N242" s="1137"/>
      <c r="O242" s="1137"/>
    </row>
    <row r="243" spans="1:15">
      <c r="A243" s="64" t="s">
        <v>576</v>
      </c>
      <c r="B243" s="64" t="s">
        <v>576</v>
      </c>
      <c r="C243" s="64" t="s">
        <v>576</v>
      </c>
      <c r="D243" s="64" t="s">
        <v>607</v>
      </c>
      <c r="E243" s="784" t="str">
        <f>E19</f>
        <v>Company (1)</v>
      </c>
      <c r="F243" s="1461"/>
      <c r="G243" s="1461" t="s">
        <v>605</v>
      </c>
      <c r="H243" s="1463" t="s">
        <v>420</v>
      </c>
      <c r="I243" s="1461" t="s">
        <v>258</v>
      </c>
      <c r="J243" s="1461" t="s">
        <v>578</v>
      </c>
      <c r="K243" s="1461" t="s">
        <v>579</v>
      </c>
      <c r="L243" s="1144"/>
      <c r="M243" s="1137"/>
      <c r="N243" s="1137"/>
      <c r="O243" s="1137"/>
    </row>
    <row r="244" spans="1:15">
      <c r="A244" s="2099"/>
      <c r="B244" s="2099"/>
      <c r="C244" s="2099"/>
      <c r="D244" s="2099"/>
      <c r="E244" s="2099"/>
      <c r="F244" s="63"/>
      <c r="G244" s="64" t="s">
        <v>580</v>
      </c>
      <c r="H244" s="791"/>
      <c r="I244" s="64" t="s">
        <v>580</v>
      </c>
      <c r="J244" s="64" t="s">
        <v>580</v>
      </c>
      <c r="K244" s="64" t="s">
        <v>580</v>
      </c>
      <c r="L244" s="1144"/>
      <c r="M244" s="1137"/>
      <c r="N244" s="1137"/>
      <c r="O244" s="1137"/>
    </row>
    <row r="245" spans="1:15">
      <c r="A245" s="65"/>
      <c r="B245" s="65"/>
      <c r="C245" s="65"/>
      <c r="D245" s="65"/>
      <c r="E245" s="65"/>
      <c r="F245" s="65"/>
      <c r="G245" s="1137"/>
      <c r="H245" s="1141"/>
      <c r="I245" s="1137"/>
      <c r="J245" s="1137"/>
      <c r="K245" s="1137"/>
      <c r="L245" s="1144"/>
      <c r="M245" s="1137"/>
      <c r="N245" s="1137"/>
      <c r="O245" s="1137"/>
    </row>
    <row r="246" spans="1:15">
      <c r="A246" s="64" t="s">
        <v>621</v>
      </c>
      <c r="B246" s="64"/>
      <c r="C246" s="53">
        <v>1030</v>
      </c>
      <c r="D246" s="737" t="s">
        <v>665</v>
      </c>
      <c r="E246" s="740">
        <f>'SCH B-2.1'!I235</f>
        <v>22442698</v>
      </c>
      <c r="F246" s="67"/>
      <c r="G246" s="2298">
        <v>22397810</v>
      </c>
      <c r="H246" s="1139">
        <v>1</v>
      </c>
      <c r="I246" s="68">
        <f t="shared" ref="I246:I261" si="15">ROUND(G246*H246,0)</f>
        <v>22397810</v>
      </c>
      <c r="J246" s="65"/>
      <c r="K246" s="68">
        <f t="shared" ref="K246:K261" si="16">I246+J246</f>
        <v>22397810</v>
      </c>
      <c r="L246" s="1144"/>
      <c r="M246" s="1137"/>
      <c r="N246" s="1137"/>
      <c r="O246" s="1137"/>
    </row>
    <row r="247" spans="1:15">
      <c r="A247" s="64">
        <f t="shared" ref="A247:A261" si="17">A246+1</f>
        <v>2</v>
      </c>
      <c r="B247" s="64"/>
      <c r="C247" s="53">
        <v>1890</v>
      </c>
      <c r="D247" s="737" t="s">
        <v>608</v>
      </c>
      <c r="E247" s="740">
        <f>'SCH B-2.1'!I236</f>
        <v>1041678</v>
      </c>
      <c r="F247" s="67"/>
      <c r="G247" s="2298">
        <v>0</v>
      </c>
      <c r="H247" s="1139">
        <v>1</v>
      </c>
      <c r="I247" s="68">
        <f t="shared" si="15"/>
        <v>0</v>
      </c>
      <c r="J247" s="68"/>
      <c r="K247" s="68">
        <f t="shared" si="16"/>
        <v>0</v>
      </c>
      <c r="L247" s="1144"/>
      <c r="M247" s="1137"/>
      <c r="N247" s="1137"/>
      <c r="O247" s="1137"/>
    </row>
    <row r="248" spans="1:15">
      <c r="A248" s="64">
        <f t="shared" si="17"/>
        <v>3</v>
      </c>
      <c r="B248" s="64"/>
      <c r="C248" s="53">
        <v>1900</v>
      </c>
      <c r="D248" s="737" t="s">
        <v>609</v>
      </c>
      <c r="E248" s="740">
        <f>'SCH B-2.1'!I237</f>
        <v>21550311</v>
      </c>
      <c r="F248" s="772"/>
      <c r="G248" s="2298">
        <v>2363467</v>
      </c>
      <c r="H248" s="1139">
        <v>1</v>
      </c>
      <c r="I248" s="68">
        <f t="shared" si="15"/>
        <v>2363467</v>
      </c>
      <c r="J248" s="68"/>
      <c r="K248" s="68">
        <f t="shared" si="16"/>
        <v>2363467</v>
      </c>
      <c r="L248" s="1144"/>
      <c r="M248" s="1137"/>
      <c r="N248" s="1137"/>
      <c r="O248" s="1137"/>
    </row>
    <row r="249" spans="1:15">
      <c r="A249" s="64">
        <f t="shared" si="17"/>
        <v>4</v>
      </c>
      <c r="B249" s="64"/>
      <c r="C249" s="53">
        <v>1910</v>
      </c>
      <c r="D249" s="737" t="s">
        <v>666</v>
      </c>
      <c r="E249" s="740">
        <f>'SCH B-2.1'!I238</f>
        <v>1560369</v>
      </c>
      <c r="F249" s="67"/>
      <c r="G249" s="2298">
        <v>424777</v>
      </c>
      <c r="H249" s="1139">
        <v>1</v>
      </c>
      <c r="I249" s="68">
        <f t="shared" si="15"/>
        <v>424777</v>
      </c>
      <c r="J249" s="68"/>
      <c r="K249" s="68">
        <f t="shared" si="16"/>
        <v>424777</v>
      </c>
      <c r="L249" s="1144"/>
      <c r="M249" s="1137"/>
      <c r="N249" s="1137"/>
      <c r="O249" s="1137"/>
    </row>
    <row r="250" spans="1:15">
      <c r="A250" s="64">
        <f t="shared" si="17"/>
        <v>5</v>
      </c>
      <c r="B250" s="64"/>
      <c r="C250" s="1250" t="s">
        <v>810</v>
      </c>
      <c r="D250" s="1131" t="s">
        <v>803</v>
      </c>
      <c r="E250">
        <v>0</v>
      </c>
      <c r="F250" s="67"/>
      <c r="G250" s="2298">
        <v>0</v>
      </c>
      <c r="H250" s="1139">
        <v>2</v>
      </c>
      <c r="I250" s="68">
        <f t="shared" si="15"/>
        <v>0</v>
      </c>
      <c r="J250" s="68"/>
      <c r="K250" s="68">
        <f t="shared" si="16"/>
        <v>0</v>
      </c>
      <c r="L250" s="1144"/>
      <c r="M250" s="1137"/>
      <c r="N250" s="1137"/>
      <c r="O250" s="1137"/>
    </row>
    <row r="251" spans="1:15">
      <c r="A251" s="64">
        <f t="shared" si="17"/>
        <v>6</v>
      </c>
      <c r="B251" s="64"/>
      <c r="C251" s="53">
        <v>1911</v>
      </c>
      <c r="D251" s="737" t="s">
        <v>677</v>
      </c>
      <c r="E251" s="740">
        <f>'SCH B-2.1'!I239</f>
        <v>3018</v>
      </c>
      <c r="F251" s="67"/>
      <c r="G251" s="2298">
        <v>-2646</v>
      </c>
      <c r="H251" s="1139">
        <v>1</v>
      </c>
      <c r="I251" s="68">
        <f t="shared" si="15"/>
        <v>-2646</v>
      </c>
      <c r="J251" s="68"/>
      <c r="K251" s="68">
        <f t="shared" si="16"/>
        <v>-2646</v>
      </c>
      <c r="L251" s="1144"/>
      <c r="M251" s="1137"/>
      <c r="N251" s="1137"/>
      <c r="O251" s="1137"/>
    </row>
    <row r="252" spans="1:15">
      <c r="A252" s="64">
        <f t="shared" si="17"/>
        <v>7</v>
      </c>
      <c r="B252" s="64"/>
      <c r="C252" s="1250" t="s">
        <v>811</v>
      </c>
      <c r="D252" s="1131" t="s">
        <v>812</v>
      </c>
      <c r="E252">
        <v>0</v>
      </c>
      <c r="F252" s="67"/>
      <c r="G252" s="2298">
        <v>0</v>
      </c>
      <c r="H252" s="1139">
        <v>1</v>
      </c>
      <c r="I252" s="68">
        <f t="shared" si="15"/>
        <v>0</v>
      </c>
      <c r="J252" s="68"/>
      <c r="K252" s="68">
        <f t="shared" si="16"/>
        <v>0</v>
      </c>
      <c r="L252" s="1144"/>
      <c r="M252" s="1137"/>
      <c r="N252" s="1137"/>
      <c r="O252" s="1137"/>
    </row>
    <row r="253" spans="1:15">
      <c r="A253" s="64">
        <f t="shared" si="17"/>
        <v>8</v>
      </c>
      <c r="B253" s="64"/>
      <c r="C253" s="53">
        <v>1940</v>
      </c>
      <c r="D253" s="737" t="s">
        <v>670</v>
      </c>
      <c r="E253" s="740">
        <f>'SCH B-2.1'!I240</f>
        <v>107999</v>
      </c>
      <c r="F253" s="67"/>
      <c r="G253" s="2298">
        <v>72713</v>
      </c>
      <c r="H253" s="1139">
        <v>1</v>
      </c>
      <c r="I253" s="68">
        <f t="shared" si="15"/>
        <v>72713</v>
      </c>
      <c r="J253" s="68"/>
      <c r="K253" s="68">
        <f t="shared" si="16"/>
        <v>72713</v>
      </c>
      <c r="L253" s="1144"/>
      <c r="M253" s="1137"/>
      <c r="N253" s="1137"/>
      <c r="O253" s="1137"/>
    </row>
    <row r="254" spans="1:15">
      <c r="A254" s="64">
        <f t="shared" si="17"/>
        <v>9</v>
      </c>
      <c r="B254" s="64"/>
      <c r="C254" s="1250" t="s">
        <v>813</v>
      </c>
      <c r="D254" s="1131" t="s">
        <v>807</v>
      </c>
      <c r="E254">
        <v>0</v>
      </c>
      <c r="F254" s="67"/>
      <c r="G254" s="2298">
        <v>0</v>
      </c>
      <c r="H254" s="1139">
        <v>1</v>
      </c>
      <c r="I254" s="68">
        <f t="shared" si="15"/>
        <v>0</v>
      </c>
      <c r="J254" s="68"/>
      <c r="K254" s="68">
        <f t="shared" si="16"/>
        <v>0</v>
      </c>
      <c r="L254" s="1144"/>
      <c r="M254" s="1137"/>
      <c r="N254" s="1137"/>
      <c r="O254" s="1137"/>
    </row>
    <row r="255" spans="1:15">
      <c r="A255" s="64">
        <f t="shared" si="17"/>
        <v>10</v>
      </c>
      <c r="B255" s="64"/>
      <c r="C255" s="53">
        <v>1970</v>
      </c>
      <c r="D255" s="737" t="s">
        <v>672</v>
      </c>
      <c r="E255" s="740">
        <f>'SCH B-2.1'!I241</f>
        <v>5228162</v>
      </c>
      <c r="F255" s="67"/>
      <c r="G255" s="2298">
        <v>1605104</v>
      </c>
      <c r="H255" s="1139">
        <v>1</v>
      </c>
      <c r="I255" s="68">
        <f t="shared" si="15"/>
        <v>1605104</v>
      </c>
      <c r="J255" s="68"/>
      <c r="K255" s="68">
        <f t="shared" si="16"/>
        <v>1605104</v>
      </c>
      <c r="L255" s="1144"/>
      <c r="M255" s="1137"/>
      <c r="N255" s="1137"/>
      <c r="O255" s="1137"/>
    </row>
    <row r="256" spans="1:15">
      <c r="A256" s="64">
        <f t="shared" si="17"/>
        <v>11</v>
      </c>
      <c r="B256" s="64"/>
      <c r="C256" s="1250" t="s">
        <v>814</v>
      </c>
      <c r="D256" s="1131" t="s">
        <v>815</v>
      </c>
      <c r="E256">
        <v>0</v>
      </c>
      <c r="F256" s="67"/>
      <c r="G256" s="2298">
        <v>0</v>
      </c>
      <c r="H256" s="1139">
        <v>1</v>
      </c>
      <c r="I256" s="68">
        <f t="shared" si="15"/>
        <v>0</v>
      </c>
      <c r="J256" s="68"/>
      <c r="K256" s="68">
        <f t="shared" si="16"/>
        <v>0</v>
      </c>
      <c r="L256" s="1144"/>
      <c r="M256" s="1137"/>
      <c r="N256" s="1137"/>
      <c r="O256" s="1137"/>
    </row>
    <row r="257" spans="1:15">
      <c r="A257" s="64">
        <f t="shared" si="17"/>
        <v>12</v>
      </c>
      <c r="B257" s="64"/>
      <c r="C257" s="53">
        <v>1980</v>
      </c>
      <c r="D257" s="737" t="s">
        <v>678</v>
      </c>
      <c r="E257" s="740">
        <f>'SCH B-2.1'!I242</f>
        <v>95301</v>
      </c>
      <c r="F257" s="67"/>
      <c r="G257" s="2298">
        <v>52748</v>
      </c>
      <c r="H257" s="1139">
        <v>1</v>
      </c>
      <c r="I257" s="68">
        <f t="shared" si="15"/>
        <v>52748</v>
      </c>
      <c r="J257" s="68"/>
      <c r="K257" s="68">
        <f t="shared" si="16"/>
        <v>52748</v>
      </c>
      <c r="L257" s="1144"/>
      <c r="M257" s="1137"/>
      <c r="N257" s="1137"/>
      <c r="O257" s="1137"/>
    </row>
    <row r="258" spans="1:15">
      <c r="A258" s="64">
        <f t="shared" si="17"/>
        <v>13</v>
      </c>
      <c r="B258" s="64"/>
      <c r="C258" s="1250" t="s">
        <v>816</v>
      </c>
      <c r="D258" s="1131" t="s">
        <v>817</v>
      </c>
      <c r="E258" s="740">
        <f>'SCH B-2.1'!I243</f>
        <v>0</v>
      </c>
      <c r="F258" s="67"/>
      <c r="G258" s="2298">
        <v>0</v>
      </c>
      <c r="H258" s="1139">
        <v>1</v>
      </c>
      <c r="I258" s="68">
        <f t="shared" si="15"/>
        <v>0</v>
      </c>
      <c r="J258" s="68"/>
      <c r="K258" s="68">
        <f t="shared" si="16"/>
        <v>0</v>
      </c>
      <c r="L258" s="1144"/>
      <c r="M258" s="1137"/>
      <c r="N258" s="1137"/>
      <c r="O258" s="1137"/>
    </row>
    <row r="259" spans="1:15">
      <c r="A259" s="64">
        <f t="shared" si="17"/>
        <v>14</v>
      </c>
      <c r="B259" s="64"/>
      <c r="C259" s="1250">
        <v>1990</v>
      </c>
      <c r="D259" s="1131" t="s">
        <v>679</v>
      </c>
      <c r="E259" s="740">
        <f>'SCH B-2.1'!I244</f>
        <v>0</v>
      </c>
      <c r="F259" s="67"/>
      <c r="G259" s="2298">
        <v>953167</v>
      </c>
      <c r="H259" s="1139">
        <v>1</v>
      </c>
      <c r="I259" s="68">
        <f t="shared" si="15"/>
        <v>953167</v>
      </c>
      <c r="J259" s="68">
        <f>-I259</f>
        <v>-953167</v>
      </c>
      <c r="K259" s="68">
        <f t="shared" si="16"/>
        <v>0</v>
      </c>
      <c r="L259" s="1144"/>
      <c r="M259" s="1137"/>
      <c r="N259" s="1137"/>
      <c r="O259" s="1137"/>
    </row>
    <row r="260" spans="1:15">
      <c r="A260" s="64">
        <f t="shared" si="17"/>
        <v>15</v>
      </c>
      <c r="B260" s="64"/>
      <c r="C260" s="53"/>
      <c r="D260" s="737" t="s">
        <v>617</v>
      </c>
      <c r="E260" s="740">
        <v>0</v>
      </c>
      <c r="F260" s="67"/>
      <c r="G260" s="2298">
        <v>0</v>
      </c>
      <c r="H260" s="1139">
        <v>1</v>
      </c>
      <c r="I260" s="68">
        <f t="shared" si="15"/>
        <v>0</v>
      </c>
      <c r="J260" s="68"/>
      <c r="K260" s="68">
        <f t="shared" si="16"/>
        <v>0</v>
      </c>
      <c r="L260" s="1144"/>
      <c r="M260" s="1137"/>
      <c r="N260" s="1137"/>
      <c r="O260" s="1137"/>
    </row>
    <row r="261" spans="1:15">
      <c r="A261" s="64">
        <f t="shared" si="17"/>
        <v>16</v>
      </c>
      <c r="B261" s="65"/>
      <c r="C261" s="64">
        <v>108</v>
      </c>
      <c r="D261" s="67" t="s">
        <v>796</v>
      </c>
      <c r="E261" s="740">
        <v>0</v>
      </c>
      <c r="F261" s="67"/>
      <c r="G261" s="2298">
        <v>4011</v>
      </c>
      <c r="H261" s="1139">
        <v>1</v>
      </c>
      <c r="I261" s="68">
        <f t="shared" si="15"/>
        <v>4011</v>
      </c>
      <c r="J261" s="68"/>
      <c r="K261" s="68">
        <f t="shared" si="16"/>
        <v>4011</v>
      </c>
      <c r="L261" s="1144"/>
      <c r="M261" s="1137"/>
      <c r="N261" s="1137"/>
      <c r="O261" s="1137"/>
    </row>
    <row r="262" spans="1:15">
      <c r="A262" s="64"/>
      <c r="B262" s="65"/>
      <c r="C262" s="64"/>
      <c r="D262" s="67"/>
      <c r="E262" s="740"/>
      <c r="F262" s="67"/>
      <c r="G262" s="740"/>
      <c r="H262" s="791"/>
      <c r="I262" s="68"/>
      <c r="J262" s="68"/>
      <c r="K262" s="68"/>
      <c r="L262" s="1144"/>
      <c r="M262" s="1137"/>
      <c r="N262" s="1137"/>
      <c r="O262" s="1137"/>
    </row>
    <row r="263" spans="1:15">
      <c r="A263" s="65"/>
      <c r="B263" s="65"/>
      <c r="C263" s="65"/>
      <c r="D263" s="65"/>
      <c r="E263" s="65"/>
      <c r="F263" s="1458"/>
      <c r="G263" s="65"/>
      <c r="H263" s="791"/>
      <c r="I263" s="65"/>
      <c r="J263" s="65"/>
      <c r="K263" s="65"/>
      <c r="L263" s="1144"/>
      <c r="M263" s="1137"/>
      <c r="N263" s="1137"/>
      <c r="O263" s="1137"/>
    </row>
    <row r="264" spans="1:15">
      <c r="A264" s="2099"/>
      <c r="B264" s="2099"/>
      <c r="C264" s="2099"/>
      <c r="D264" s="2099"/>
      <c r="E264" s="2099"/>
      <c r="F264" s="63"/>
      <c r="G264" s="2102"/>
      <c r="H264" s="2103"/>
      <c r="I264" s="2102"/>
      <c r="J264" s="2102"/>
      <c r="K264" s="2102"/>
      <c r="L264" s="1144"/>
      <c r="M264" s="1137"/>
      <c r="N264" s="1137"/>
      <c r="O264" s="1137"/>
    </row>
    <row r="265" spans="1:15">
      <c r="A265" s="64">
        <f>A261+1</f>
        <v>17</v>
      </c>
      <c r="B265" s="65"/>
      <c r="C265" s="65"/>
      <c r="D265" s="67" t="s">
        <v>680</v>
      </c>
      <c r="E265" s="68">
        <f>SUM(E246:E263)</f>
        <v>52029536</v>
      </c>
      <c r="F265" s="67"/>
      <c r="G265" s="68">
        <f>SUM(G246:G263)</f>
        <v>27871151</v>
      </c>
      <c r="H265" s="791"/>
      <c r="I265" s="68">
        <f>SUM(I246:I263)</f>
        <v>27871151</v>
      </c>
      <c r="J265" s="68">
        <f>SUM(J246:J263)</f>
        <v>-953167</v>
      </c>
      <c r="K265" s="68">
        <f>SUM(K246:K263)</f>
        <v>26917984</v>
      </c>
      <c r="L265" s="1144"/>
      <c r="M265" s="1137"/>
      <c r="N265" s="2088" t="str">
        <f>IF(E265='SCH B-2.1'!I248,"BALANCED","ERROR")</f>
        <v>BALANCED</v>
      </c>
      <c r="O265" s="1137"/>
    </row>
    <row r="266" spans="1:15">
      <c r="A266" s="65"/>
      <c r="B266" s="65"/>
      <c r="C266" s="65"/>
      <c r="D266" s="65"/>
      <c r="E266" s="65"/>
      <c r="F266" s="1458"/>
      <c r="G266" s="65"/>
      <c r="H266" s="791"/>
      <c r="I266" s="65"/>
      <c r="J266" s="65"/>
      <c r="K266" s="65"/>
      <c r="L266" s="1144"/>
      <c r="M266" s="1137"/>
      <c r="N266" s="1137"/>
      <c r="O266" s="1137"/>
    </row>
    <row r="267" spans="1:15">
      <c r="A267" s="2099"/>
      <c r="B267" s="2099"/>
      <c r="C267" s="2099"/>
      <c r="D267" s="2099"/>
      <c r="E267" s="2099"/>
      <c r="F267" s="63"/>
      <c r="G267" s="2102"/>
      <c r="H267" s="2103"/>
      <c r="I267" s="2102"/>
      <c r="J267" s="2102"/>
      <c r="K267" s="2102"/>
      <c r="L267" s="1144"/>
      <c r="M267" s="1137"/>
      <c r="N267" s="1137"/>
      <c r="O267" s="1137"/>
    </row>
    <row r="268" spans="1:15">
      <c r="A268" s="1137"/>
      <c r="B268" s="65"/>
      <c r="C268" s="791"/>
      <c r="D268" s="67" t="s">
        <v>681</v>
      </c>
      <c r="E268" s="1137"/>
      <c r="F268" s="67"/>
      <c r="G268" s="1137"/>
      <c r="H268" s="791"/>
      <c r="I268" s="1137"/>
      <c r="J268" s="1137"/>
      <c r="K268" s="1137"/>
      <c r="L268" s="1144"/>
      <c r="M268" s="1137"/>
      <c r="N268" s="1137"/>
      <c r="O268" s="1137"/>
    </row>
    <row r="269" spans="1:15">
      <c r="A269" s="64">
        <f>A265+1</f>
        <v>18</v>
      </c>
      <c r="B269" s="65"/>
      <c r="C269" s="791">
        <f>CommonE</f>
        <v>0.70750000000000002</v>
      </c>
      <c r="D269" s="67" t="s">
        <v>818</v>
      </c>
      <c r="E269" s="68">
        <f>ROUND(E265*CommonE,0)-1</f>
        <v>36810896</v>
      </c>
      <c r="F269" s="67"/>
      <c r="G269" s="68"/>
      <c r="H269" s="791"/>
      <c r="I269" s="68"/>
      <c r="J269" s="68"/>
      <c r="K269" s="68"/>
      <c r="L269" s="1144"/>
      <c r="M269" s="1137"/>
      <c r="N269" s="1137"/>
      <c r="O269" s="1137"/>
    </row>
    <row r="270" spans="1:15">
      <c r="A270" s="64">
        <f>A269+1</f>
        <v>19</v>
      </c>
      <c r="B270" s="65"/>
      <c r="C270" s="791">
        <f>C269</f>
        <v>0.70750000000000002</v>
      </c>
      <c r="D270" s="67" t="s">
        <v>819</v>
      </c>
      <c r="E270" s="68"/>
      <c r="F270" s="67"/>
      <c r="G270" s="68">
        <f>ROUND(G265*CommonE,0)</f>
        <v>19718839</v>
      </c>
      <c r="H270" s="791"/>
      <c r="I270" s="68">
        <f>G270</f>
        <v>19718839</v>
      </c>
      <c r="J270" s="68">
        <f>ROUND(J265*CommonE,0)</f>
        <v>-674366</v>
      </c>
      <c r="K270" s="68">
        <f>I270+J270</f>
        <v>19044473</v>
      </c>
      <c r="L270" s="1144"/>
      <c r="M270" s="1137"/>
      <c r="N270" s="2088" t="str">
        <f>IF(E269='SCH B-2.1'!I251,"BALANCED","ERROR")</f>
        <v>BALANCED</v>
      </c>
      <c r="O270" s="1137"/>
    </row>
    <row r="271" spans="1:15">
      <c r="A271" s="65"/>
      <c r="B271" s="65"/>
      <c r="C271" s="65"/>
      <c r="D271" s="65"/>
      <c r="E271" s="65"/>
      <c r="F271" s="1458"/>
      <c r="G271" s="65"/>
      <c r="H271" s="791"/>
      <c r="I271" s="65"/>
      <c r="J271" s="65"/>
      <c r="K271" s="65"/>
      <c r="L271" s="1144"/>
      <c r="M271" s="1137"/>
      <c r="N271" s="1137"/>
      <c r="O271" s="1137"/>
    </row>
    <row r="272" spans="1:15">
      <c r="A272" s="2099"/>
      <c r="B272" s="2099"/>
      <c r="C272" s="2099"/>
      <c r="D272" s="2099"/>
      <c r="E272" s="2099"/>
      <c r="F272" s="63"/>
      <c r="G272" s="2102"/>
      <c r="H272" s="2103"/>
      <c r="I272" s="2102"/>
      <c r="J272" s="2102"/>
      <c r="K272" s="2102"/>
      <c r="L272" s="1144"/>
      <c r="M272" s="1137"/>
      <c r="N272" s="1137"/>
      <c r="O272" s="1137"/>
    </row>
    <row r="273" spans="1:15">
      <c r="A273" s="64">
        <f>A270+1</f>
        <v>20</v>
      </c>
      <c r="B273" s="65"/>
      <c r="C273" s="65"/>
      <c r="D273" s="67" t="s">
        <v>682</v>
      </c>
      <c r="E273" s="68">
        <f>E220+E269</f>
        <v>2326084552</v>
      </c>
      <c r="F273" s="67"/>
      <c r="G273" s="68">
        <f>G220+G270</f>
        <v>953050786</v>
      </c>
      <c r="H273" s="791"/>
      <c r="I273" s="68">
        <f>I220+I270</f>
        <v>953050786</v>
      </c>
      <c r="J273" s="68">
        <f>J220+J270</f>
        <v>-37737624</v>
      </c>
      <c r="K273" s="68">
        <f>K220+K270</f>
        <v>915313162</v>
      </c>
      <c r="L273" s="1144"/>
      <c r="M273" s="1137"/>
      <c r="N273" s="2088" t="str">
        <f>IF(E273='SCH B-2.1'!I254,"BALANCED","ERROR")</f>
        <v>BALANCED</v>
      </c>
      <c r="O273" s="1137"/>
    </row>
    <row r="274" spans="1:15">
      <c r="A274" s="65"/>
      <c r="B274" s="65"/>
      <c r="C274" s="65"/>
      <c r="D274" s="65"/>
      <c r="E274" s="65"/>
      <c r="F274" s="1458"/>
      <c r="G274" s="65"/>
      <c r="H274" s="791"/>
      <c r="I274" s="65"/>
      <c r="J274" s="65"/>
      <c r="K274" s="65"/>
      <c r="L274" s="1144"/>
      <c r="M274" s="1137"/>
      <c r="N274" s="1137"/>
      <c r="O274" s="1137"/>
    </row>
    <row r="275" spans="1:15">
      <c r="A275" s="2099"/>
      <c r="B275" s="2099"/>
      <c r="C275" s="2099"/>
      <c r="D275" s="2099"/>
      <c r="E275" s="2102"/>
      <c r="F275" s="63"/>
      <c r="G275" s="2102"/>
      <c r="H275" s="2103"/>
      <c r="I275" s="2102"/>
      <c r="J275" s="2102"/>
      <c r="K275" s="2102"/>
      <c r="L275" s="1144"/>
      <c r="M275" s="1137"/>
      <c r="N275" s="1137"/>
      <c r="O275" s="1137"/>
    </row>
    <row r="276" spans="1:15">
      <c r="A276" s="783" t="s">
        <v>797</v>
      </c>
      <c r="B276" s="65"/>
      <c r="C276" s="65"/>
      <c r="D276" s="65"/>
      <c r="E276" s="65"/>
      <c r="F276" s="65"/>
      <c r="G276" s="68"/>
      <c r="H276" s="791"/>
      <c r="I276" s="68"/>
      <c r="J276" s="68"/>
      <c r="K276" s="68"/>
      <c r="L276" s="1144"/>
      <c r="M276" s="1137"/>
      <c r="N276" s="1137"/>
      <c r="O276" s="1137"/>
    </row>
    <row r="277" spans="1:15">
      <c r="A277" s="65"/>
      <c r="B277" s="65"/>
      <c r="C277" s="65"/>
      <c r="D277" s="65"/>
      <c r="E277" s="65"/>
      <c r="F277" s="65"/>
      <c r="G277" s="68"/>
      <c r="H277" s="791"/>
      <c r="I277" s="68"/>
      <c r="J277" s="68"/>
      <c r="K277" s="68"/>
      <c r="L277" s="1144"/>
      <c r="M277" s="1137"/>
      <c r="N277" s="1137"/>
      <c r="O277" s="1137"/>
    </row>
    <row r="278" spans="1:15">
      <c r="A278" s="1137"/>
      <c r="B278" s="1137"/>
      <c r="C278" s="1137"/>
      <c r="D278" s="1137"/>
      <c r="E278" s="1137"/>
      <c r="F278" s="1137"/>
      <c r="G278" s="1137"/>
      <c r="H278" s="1141"/>
      <c r="I278" s="1137"/>
      <c r="J278" s="1137"/>
      <c r="K278" s="1137"/>
      <c r="L278" s="1144"/>
      <c r="M278" s="1137"/>
      <c r="N278" s="1137"/>
      <c r="O278" s="1137"/>
    </row>
    <row r="279" spans="1:15">
      <c r="A279" s="785" t="str">
        <f>COMPANY</f>
        <v>DUKE ENERGY KENTUCKY, INC.</v>
      </c>
      <c r="B279" s="785"/>
      <c r="C279" s="785"/>
      <c r="D279" s="1134"/>
      <c r="E279" s="1134"/>
      <c r="F279" s="1134"/>
      <c r="G279" s="785"/>
      <c r="H279" s="1135"/>
      <c r="I279" s="1136"/>
      <c r="J279" s="1136"/>
      <c r="K279" s="1136"/>
      <c r="L279" s="1144"/>
      <c r="M279" s="1137"/>
      <c r="N279" s="1137"/>
      <c r="O279" s="1137"/>
    </row>
    <row r="280" spans="1:15">
      <c r="A280" s="785" t="str">
        <f>CASE</f>
        <v>CASE NO. 2024-00354</v>
      </c>
      <c r="B280" s="785"/>
      <c r="C280" s="785"/>
      <c r="D280" s="1134"/>
      <c r="E280" s="1134"/>
      <c r="F280" s="1134"/>
      <c r="G280" s="785"/>
      <c r="H280" s="1135"/>
      <c r="I280" s="1136"/>
      <c r="J280" s="1136"/>
      <c r="K280" s="1136"/>
      <c r="L280" s="1144"/>
      <c r="M280" s="1137"/>
      <c r="N280" s="1137"/>
      <c r="O280" s="1137"/>
    </row>
    <row r="281" spans="1:15">
      <c r="A281" s="785" t="s">
        <v>791</v>
      </c>
      <c r="B281" s="785"/>
      <c r="C281" s="785"/>
      <c r="D281" s="1134"/>
      <c r="E281" s="1134"/>
      <c r="F281" s="1134"/>
      <c r="G281" s="785"/>
      <c r="H281" s="1135"/>
      <c r="I281" s="1136"/>
      <c r="J281" s="1136"/>
      <c r="K281" s="1136"/>
      <c r="L281" s="1144"/>
      <c r="M281" s="1137"/>
      <c r="N281" s="1137"/>
      <c r="O281" s="1137"/>
    </row>
    <row r="282" spans="1:15">
      <c r="A282" s="47" t="str">
        <f>"AS OF " &amp;RIGHT(Forecast,(LEN(Forecast)-16))</f>
        <v>AS OF JUNE 30, 2026</v>
      </c>
      <c r="B282" s="785"/>
      <c r="C282" s="785"/>
      <c r="D282" s="1134"/>
      <c r="E282" s="1134"/>
      <c r="F282" s="1134"/>
      <c r="G282" s="785"/>
      <c r="H282" s="1135"/>
      <c r="I282" s="1136"/>
      <c r="J282" s="1136"/>
      <c r="K282" s="1136"/>
      <c r="L282" s="1144"/>
      <c r="M282" s="1137"/>
      <c r="N282" s="1137"/>
      <c r="O282" s="1137"/>
    </row>
    <row r="283" spans="1:15">
      <c r="A283" s="785"/>
      <c r="B283" s="785"/>
      <c r="C283" s="785"/>
      <c r="D283" s="1134"/>
      <c r="E283" s="1134"/>
      <c r="F283" s="1134"/>
      <c r="G283" s="785"/>
      <c r="H283" s="1135"/>
      <c r="I283" s="1136"/>
      <c r="J283" s="1136"/>
      <c r="K283" s="1136"/>
      <c r="L283" s="1144"/>
      <c r="M283" s="1137"/>
      <c r="N283" s="1137"/>
      <c r="O283" s="1137"/>
    </row>
    <row r="284" spans="1:15">
      <c r="A284" s="785" t="s">
        <v>601</v>
      </c>
      <c r="B284" s="785"/>
      <c r="C284" s="785"/>
      <c r="D284" s="1134"/>
      <c r="E284" s="1134"/>
      <c r="F284" s="1134"/>
      <c r="G284" s="785"/>
      <c r="H284" s="1135"/>
      <c r="I284" s="1136"/>
      <c r="J284" s="1136"/>
      <c r="K284" s="1136"/>
      <c r="L284" s="1144"/>
      <c r="M284" s="1137"/>
      <c r="N284" s="1137"/>
      <c r="O284" s="1137"/>
    </row>
    <row r="285" spans="1:15">
      <c r="A285" s="786" t="s">
        <v>529</v>
      </c>
      <c r="B285" s="785"/>
      <c r="C285" s="785"/>
      <c r="D285" s="1134"/>
      <c r="E285" s="1134"/>
      <c r="F285" s="1134"/>
      <c r="G285" s="785"/>
      <c r="H285" s="1135"/>
      <c r="I285" s="1136"/>
      <c r="J285" s="1136"/>
      <c r="K285" s="1136"/>
      <c r="L285" s="1144"/>
      <c r="M285" s="1137"/>
      <c r="N285" s="1137"/>
      <c r="O285" s="1137"/>
    </row>
    <row r="286" spans="1:15">
      <c r="A286" s="65"/>
      <c r="B286" s="65"/>
      <c r="C286" s="65"/>
      <c r="D286" s="65"/>
      <c r="E286" s="65"/>
      <c r="F286" s="65"/>
      <c r="G286" s="65"/>
      <c r="H286" s="791"/>
      <c r="I286" s="68"/>
      <c r="J286" s="68"/>
      <c r="K286" s="68"/>
      <c r="L286" s="1144"/>
      <c r="M286" s="1137"/>
      <c r="N286" s="1137"/>
      <c r="O286" s="1137"/>
    </row>
    <row r="287" spans="1:15">
      <c r="A287" s="65"/>
      <c r="B287" s="65"/>
      <c r="C287" s="65"/>
      <c r="D287" s="65"/>
      <c r="E287" s="65"/>
      <c r="F287" s="65"/>
      <c r="G287" s="65"/>
      <c r="H287" s="791"/>
      <c r="I287" s="65"/>
      <c r="J287" s="65"/>
      <c r="K287" s="65"/>
      <c r="L287" s="1144"/>
      <c r="M287" s="1137"/>
      <c r="N287" s="1137"/>
      <c r="O287" s="1137"/>
    </row>
    <row r="288" spans="1:15">
      <c r="A288" s="67" t="str">
        <f>DataF</f>
        <v>DATA:  BASE PERIOD  "X" FORECASTED PERIOD</v>
      </c>
      <c r="B288" s="65"/>
      <c r="C288" s="65"/>
      <c r="D288" s="65"/>
      <c r="E288" s="65"/>
      <c r="F288" s="65"/>
      <c r="G288" s="68"/>
      <c r="H288" s="791"/>
      <c r="I288" s="68"/>
      <c r="J288" s="787" t="s">
        <v>792</v>
      </c>
      <c r="K288" s="68"/>
      <c r="L288" s="1144"/>
      <c r="M288" s="1137"/>
      <c r="N288" s="1137"/>
      <c r="O288" s="1137"/>
    </row>
    <row r="289" spans="1:15">
      <c r="A289" s="67" t="str">
        <f>Type</f>
        <v xml:space="preserve">TYPE OF FILING:  "X" ORIGINAL   UPDATED    REVISED  </v>
      </c>
      <c r="B289" s="65"/>
      <c r="C289" s="65"/>
      <c r="D289" s="65"/>
      <c r="E289" s="65"/>
      <c r="F289" s="65"/>
      <c r="G289" s="68"/>
      <c r="H289" s="791"/>
      <c r="I289" s="68"/>
      <c r="J289" s="787" t="s">
        <v>683</v>
      </c>
      <c r="K289" s="68"/>
      <c r="L289" s="1144"/>
      <c r="M289" s="1137"/>
      <c r="N289" s="1137"/>
      <c r="O289" s="1137"/>
    </row>
    <row r="290" spans="1:15">
      <c r="A290" s="67" t="s">
        <v>793</v>
      </c>
      <c r="B290" s="65"/>
      <c r="C290" s="65"/>
      <c r="D290" s="65"/>
      <c r="E290" s="65"/>
      <c r="F290" s="65"/>
      <c r="G290" s="68"/>
      <c r="H290" s="791"/>
      <c r="I290" s="68"/>
      <c r="J290" s="787" t="s">
        <v>468</v>
      </c>
      <c r="K290" s="68"/>
      <c r="L290" s="1144"/>
      <c r="M290" s="1137"/>
      <c r="N290" s="1137"/>
      <c r="O290" s="1137"/>
    </row>
    <row r="291" spans="1:15">
      <c r="A291" s="65"/>
      <c r="B291" s="65"/>
      <c r="C291" s="65"/>
      <c r="D291" s="65"/>
      <c r="E291" s="65"/>
      <c r="F291" s="65"/>
      <c r="G291" s="68"/>
      <c r="H291" s="791"/>
      <c r="I291" s="68"/>
      <c r="J291" s="65" t="str">
        <f>_WIT7</f>
        <v>G. S. CARPENTER / S. S. MITCHELL</v>
      </c>
      <c r="K291" s="68"/>
      <c r="L291" s="1144"/>
      <c r="M291" s="1137"/>
      <c r="N291" s="1137"/>
      <c r="O291" s="1137"/>
    </row>
    <row r="292" spans="1:15">
      <c r="A292" s="65"/>
      <c r="B292" s="65"/>
      <c r="C292" s="65"/>
      <c r="D292" s="65"/>
      <c r="E292" s="65"/>
      <c r="F292" s="65"/>
      <c r="G292" s="68"/>
      <c r="H292" s="791"/>
      <c r="I292" s="68"/>
      <c r="J292" s="68"/>
      <c r="K292" s="68"/>
      <c r="L292" s="1144"/>
      <c r="M292" s="1137"/>
      <c r="N292" s="1137"/>
      <c r="O292" s="1137"/>
    </row>
    <row r="293" spans="1:15">
      <c r="A293" s="65"/>
      <c r="B293" s="65"/>
      <c r="C293" s="65"/>
      <c r="D293" s="65"/>
      <c r="E293" s="65"/>
      <c r="F293" s="1458"/>
      <c r="G293" s="68"/>
      <c r="H293" s="791"/>
      <c r="I293" s="68"/>
      <c r="J293" s="68"/>
      <c r="K293" s="68"/>
      <c r="L293" s="1144"/>
      <c r="M293" s="1137"/>
      <c r="N293" s="1137"/>
      <c r="O293" s="1137"/>
    </row>
    <row r="294" spans="1:15">
      <c r="A294" s="2099"/>
      <c r="B294" s="2100"/>
      <c r="C294" s="2101"/>
      <c r="D294" s="2099"/>
      <c r="E294" s="2100" t="s">
        <v>591</v>
      </c>
      <c r="F294" s="62"/>
      <c r="G294" s="2102"/>
      <c r="H294" s="2103"/>
      <c r="I294" s="2102"/>
      <c r="J294" s="2102"/>
      <c r="K294" s="2102"/>
      <c r="L294" s="1144"/>
      <c r="M294" s="1137"/>
      <c r="N294" s="1137"/>
      <c r="O294" s="1137"/>
    </row>
    <row r="295" spans="1:15">
      <c r="A295" s="63"/>
      <c r="B295" s="64" t="s">
        <v>257</v>
      </c>
      <c r="C295" s="64" t="s">
        <v>605</v>
      </c>
      <c r="D295" s="63"/>
      <c r="E295" s="64" t="s">
        <v>592</v>
      </c>
      <c r="F295" s="62"/>
      <c r="G295" s="1459" t="s">
        <v>820</v>
      </c>
      <c r="H295" s="1460"/>
      <c r="I295" s="1460"/>
      <c r="J295" s="1460"/>
      <c r="K295" s="1460"/>
      <c r="L295" s="1144"/>
      <c r="M295" s="1137"/>
      <c r="N295" s="1137"/>
      <c r="O295" s="1137"/>
    </row>
    <row r="296" spans="1:15">
      <c r="A296" s="64" t="s">
        <v>573</v>
      </c>
      <c r="B296" s="64" t="s">
        <v>606</v>
      </c>
      <c r="C296" s="64" t="s">
        <v>606</v>
      </c>
      <c r="D296" s="65"/>
      <c r="E296" s="784" t="s">
        <v>417</v>
      </c>
      <c r="F296" s="64"/>
      <c r="G296" s="784" t="s">
        <v>258</v>
      </c>
      <c r="H296" s="1138" t="s">
        <v>574</v>
      </c>
      <c r="I296" s="784" t="s">
        <v>574</v>
      </c>
      <c r="J296" s="68"/>
      <c r="K296" s="784" t="s">
        <v>575</v>
      </c>
      <c r="L296" s="1144"/>
      <c r="M296" s="1137"/>
      <c r="N296" s="1137"/>
      <c r="O296" s="1137"/>
    </row>
    <row r="297" spans="1:15">
      <c r="A297" s="1461" t="s">
        <v>576</v>
      </c>
      <c r="B297" s="1461" t="s">
        <v>576</v>
      </c>
      <c r="C297" s="1461" t="s">
        <v>576</v>
      </c>
      <c r="D297" s="1461" t="s">
        <v>607</v>
      </c>
      <c r="E297" s="1462" t="s">
        <v>821</v>
      </c>
      <c r="F297" s="1461"/>
      <c r="G297" s="1462" t="s">
        <v>605</v>
      </c>
      <c r="H297" s="1463" t="s">
        <v>420</v>
      </c>
      <c r="I297" s="1462" t="s">
        <v>258</v>
      </c>
      <c r="J297" s="1462" t="s">
        <v>578</v>
      </c>
      <c r="K297" s="1462" t="s">
        <v>579</v>
      </c>
      <c r="L297" s="1144"/>
      <c r="M297" s="1137"/>
      <c r="N297" s="1137"/>
      <c r="O297" s="1137"/>
    </row>
    <row r="298" spans="1:15">
      <c r="A298" s="64" t="s">
        <v>382</v>
      </c>
      <c r="B298" s="65"/>
      <c r="C298" s="65"/>
      <c r="D298" s="65"/>
      <c r="E298" s="784" t="s">
        <v>580</v>
      </c>
      <c r="F298" s="784"/>
      <c r="G298" s="784" t="s">
        <v>580</v>
      </c>
      <c r="H298" s="791"/>
      <c r="I298" s="784" t="s">
        <v>580</v>
      </c>
      <c r="J298" s="784" t="s">
        <v>580</v>
      </c>
      <c r="K298" s="784" t="s">
        <v>580</v>
      </c>
      <c r="L298" s="1144"/>
      <c r="M298" s="1137"/>
      <c r="N298" s="1137"/>
      <c r="O298" s="1137"/>
    </row>
    <row r="299" spans="1:15">
      <c r="A299" s="65"/>
      <c r="B299" s="65"/>
      <c r="C299" s="65"/>
      <c r="D299" s="65"/>
      <c r="E299" s="65"/>
      <c r="F299" s="65"/>
      <c r="G299" s="68"/>
      <c r="H299" s="791"/>
      <c r="I299" s="68"/>
      <c r="J299" s="68"/>
      <c r="K299" s="68"/>
      <c r="L299" s="1144"/>
      <c r="M299" s="1137"/>
      <c r="N299" s="1137"/>
      <c r="O299" s="1137"/>
    </row>
    <row r="300" spans="1:15">
      <c r="A300" s="64">
        <f>A299+1</f>
        <v>1</v>
      </c>
      <c r="B300" s="53">
        <v>310</v>
      </c>
      <c r="C300" s="53">
        <v>3100</v>
      </c>
      <c r="D300" s="737" t="s">
        <v>608</v>
      </c>
      <c r="E300" s="740">
        <f>'SCH B-2.1'!I280</f>
        <v>7270233</v>
      </c>
      <c r="F300" s="67"/>
      <c r="G300" s="61">
        <v>105677</v>
      </c>
      <c r="H300" s="1139">
        <v>1</v>
      </c>
      <c r="I300" s="68">
        <f t="shared" ref="I300:I310" si="18">ROUND((G300*H300),0)</f>
        <v>105677</v>
      </c>
      <c r="J300" s="1140"/>
      <c r="K300" s="68">
        <f t="shared" ref="K300:K310" si="19">I300+J300</f>
        <v>105677</v>
      </c>
      <c r="L300" s="1144"/>
      <c r="M300" s="1137"/>
      <c r="N300" s="1137"/>
      <c r="O300" s="1137"/>
    </row>
    <row r="301" spans="1:15">
      <c r="A301" s="64">
        <f t="shared" ref="A301:A310" si="20">A300+1</f>
        <v>2</v>
      </c>
      <c r="B301" s="53">
        <v>311</v>
      </c>
      <c r="C301" s="53">
        <v>3110</v>
      </c>
      <c r="D301" s="737" t="s">
        <v>609</v>
      </c>
      <c r="E301" s="740">
        <f>'SCH B-2.1'!I281</f>
        <v>130360214</v>
      </c>
      <c r="F301" s="67"/>
      <c r="G301" s="61">
        <v>75422147</v>
      </c>
      <c r="H301" s="1139">
        <v>1</v>
      </c>
      <c r="I301" s="68">
        <f t="shared" si="18"/>
        <v>75422147</v>
      </c>
      <c r="J301" s="1140">
        <f>'SCH B-3.1'!G60</f>
        <v>-12555504</v>
      </c>
      <c r="K301" s="68">
        <f t="shared" si="19"/>
        <v>62866643</v>
      </c>
      <c r="L301" s="1144"/>
      <c r="M301" s="1137"/>
      <c r="N301" s="1137"/>
      <c r="O301" s="1137"/>
    </row>
    <row r="302" spans="1:15">
      <c r="A302" s="64">
        <f t="shared" si="20"/>
        <v>3</v>
      </c>
      <c r="B302" s="53">
        <v>312</v>
      </c>
      <c r="C302" s="53">
        <v>3120</v>
      </c>
      <c r="D302" s="737" t="s">
        <v>610</v>
      </c>
      <c r="E302" s="740">
        <f>'SCH B-2.1'!I282</f>
        <v>580229539</v>
      </c>
      <c r="F302" s="772"/>
      <c r="G302" s="61">
        <v>334171765</v>
      </c>
      <c r="H302" s="1139">
        <v>1</v>
      </c>
      <c r="I302" s="68">
        <f t="shared" si="18"/>
        <v>334171765</v>
      </c>
      <c r="J302" s="1140"/>
      <c r="K302" s="68">
        <f t="shared" si="19"/>
        <v>334171765</v>
      </c>
      <c r="L302" s="1144"/>
      <c r="M302" s="1137"/>
      <c r="N302" s="1137"/>
      <c r="O302" s="1137"/>
    </row>
    <row r="303" spans="1:15">
      <c r="A303" s="64">
        <f t="shared" si="20"/>
        <v>4</v>
      </c>
      <c r="B303" s="53">
        <v>312</v>
      </c>
      <c r="C303" s="53">
        <v>3123</v>
      </c>
      <c r="D303" s="737" t="s">
        <v>611</v>
      </c>
      <c r="E303" s="740">
        <f>'SCH B-2.1'!I283</f>
        <v>8054003</v>
      </c>
      <c r="F303" s="772"/>
      <c r="G303" s="61">
        <v>6967253</v>
      </c>
      <c r="H303" s="1139">
        <v>1</v>
      </c>
      <c r="I303" s="68">
        <f t="shared" si="18"/>
        <v>6967253</v>
      </c>
      <c r="J303" s="1140"/>
      <c r="K303" s="68">
        <f t="shared" si="19"/>
        <v>6967253</v>
      </c>
      <c r="L303" s="1144"/>
      <c r="M303" s="1137"/>
      <c r="N303" s="1137"/>
      <c r="O303" s="1137"/>
    </row>
    <row r="304" spans="1:15">
      <c r="A304" s="64">
        <f t="shared" si="20"/>
        <v>5</v>
      </c>
      <c r="B304" s="53">
        <v>314</v>
      </c>
      <c r="C304" s="53">
        <v>3140</v>
      </c>
      <c r="D304" s="737" t="s">
        <v>612</v>
      </c>
      <c r="E304" s="740">
        <f>'SCH B-2.1'!I284</f>
        <v>122525657</v>
      </c>
      <c r="F304" s="772"/>
      <c r="G304" s="61">
        <v>50650221</v>
      </c>
      <c r="H304" s="1139">
        <v>1</v>
      </c>
      <c r="I304" s="68">
        <f t="shared" si="18"/>
        <v>50650221</v>
      </c>
      <c r="J304" s="1140"/>
      <c r="K304" s="68">
        <f t="shared" si="19"/>
        <v>50650221</v>
      </c>
      <c r="L304" s="1144"/>
      <c r="M304" s="1137"/>
      <c r="N304" s="1137"/>
      <c r="O304" s="1137"/>
    </row>
    <row r="305" spans="1:15">
      <c r="A305" s="64">
        <f t="shared" si="20"/>
        <v>6</v>
      </c>
      <c r="B305" s="53">
        <v>315</v>
      </c>
      <c r="C305" s="53">
        <v>3150</v>
      </c>
      <c r="D305" s="737" t="s">
        <v>613</v>
      </c>
      <c r="E305" s="740">
        <f>'SCH B-2.1'!I285</f>
        <v>49741207</v>
      </c>
      <c r="F305" s="67"/>
      <c r="G305" s="61">
        <v>32120886</v>
      </c>
      <c r="H305" s="1139">
        <v>1</v>
      </c>
      <c r="I305" s="68">
        <f t="shared" si="18"/>
        <v>32120886</v>
      </c>
      <c r="J305" s="1140"/>
      <c r="K305" s="68">
        <f t="shared" si="19"/>
        <v>32120886</v>
      </c>
      <c r="L305" s="1144"/>
      <c r="M305" s="1137"/>
      <c r="N305" s="1137"/>
      <c r="O305" s="1137"/>
    </row>
    <row r="306" spans="1:15">
      <c r="A306" s="64">
        <f t="shared" si="20"/>
        <v>7</v>
      </c>
      <c r="B306" s="53">
        <v>316</v>
      </c>
      <c r="C306" s="53">
        <v>3160</v>
      </c>
      <c r="D306" s="737" t="s">
        <v>614</v>
      </c>
      <c r="E306" s="740">
        <f>'SCH B-2.1'!I286</f>
        <v>25942235</v>
      </c>
      <c r="F306" s="67"/>
      <c r="G306" s="61">
        <v>14087996</v>
      </c>
      <c r="H306" s="1139">
        <v>1</v>
      </c>
      <c r="I306" s="68">
        <f t="shared" si="18"/>
        <v>14087996</v>
      </c>
      <c r="J306" s="1140"/>
      <c r="K306" s="68">
        <f t="shared" si="19"/>
        <v>14087996</v>
      </c>
      <c r="L306" s="1144"/>
      <c r="M306" s="1137"/>
      <c r="N306" s="1137"/>
      <c r="O306" s="1137"/>
    </row>
    <row r="307" spans="1:15">
      <c r="A307" s="64">
        <f t="shared" si="20"/>
        <v>8</v>
      </c>
      <c r="B307" s="53">
        <v>317</v>
      </c>
      <c r="C307" s="1249">
        <v>3170</v>
      </c>
      <c r="D307" s="737" t="s">
        <v>615</v>
      </c>
      <c r="E307" s="740">
        <f>'SCH B-2.1'!I287</f>
        <v>0</v>
      </c>
      <c r="F307" s="67"/>
      <c r="G307" s="61">
        <v>29235436</v>
      </c>
      <c r="H307" s="1139">
        <v>1</v>
      </c>
      <c r="I307" s="68">
        <f t="shared" si="18"/>
        <v>29235436</v>
      </c>
      <c r="J307" s="1140">
        <f>-I307</f>
        <v>-29235436</v>
      </c>
      <c r="K307" s="68">
        <f t="shared" si="19"/>
        <v>0</v>
      </c>
      <c r="L307" s="1144"/>
      <c r="M307" s="1137"/>
      <c r="N307" s="1137"/>
      <c r="O307" s="1137"/>
    </row>
    <row r="308" spans="1:15">
      <c r="A308" s="64">
        <f t="shared" si="20"/>
        <v>9</v>
      </c>
      <c r="B308" s="53"/>
      <c r="C308" s="1249"/>
      <c r="D308" s="1131" t="s">
        <v>616</v>
      </c>
      <c r="E308" s="740">
        <f>'SCH B-2.1'!I288</f>
        <v>7695137</v>
      </c>
      <c r="F308" s="67"/>
      <c r="G308" s="61">
        <v>0</v>
      </c>
      <c r="H308" s="1139">
        <v>1</v>
      </c>
      <c r="I308" s="68">
        <f t="shared" si="18"/>
        <v>0</v>
      </c>
      <c r="J308" s="68"/>
      <c r="K308" s="68">
        <f t="shared" si="19"/>
        <v>0</v>
      </c>
      <c r="L308" s="1144"/>
      <c r="M308" s="1137"/>
      <c r="N308" s="1137"/>
      <c r="O308" s="1137"/>
    </row>
    <row r="309" spans="1:15">
      <c r="A309" s="64">
        <f t="shared" si="20"/>
        <v>10</v>
      </c>
      <c r="B309" s="737"/>
      <c r="C309" s="737"/>
      <c r="D309" s="737" t="s">
        <v>617</v>
      </c>
      <c r="E309" s="740">
        <f>'SCH B-2.1'!I289</f>
        <v>0</v>
      </c>
      <c r="F309" s="67"/>
      <c r="G309" s="61">
        <v>0</v>
      </c>
      <c r="H309" s="1139">
        <v>1</v>
      </c>
      <c r="I309" s="68">
        <f t="shared" si="18"/>
        <v>0</v>
      </c>
      <c r="J309" s="1140"/>
      <c r="K309" s="68">
        <f t="shared" si="19"/>
        <v>0</v>
      </c>
      <c r="L309" s="1144"/>
      <c r="M309" s="1137"/>
      <c r="N309" s="1137"/>
      <c r="O309" s="1137"/>
    </row>
    <row r="310" spans="1:15">
      <c r="A310" s="64">
        <f t="shared" si="20"/>
        <v>11</v>
      </c>
      <c r="B310" s="65"/>
      <c r="C310" s="64">
        <v>108</v>
      </c>
      <c r="D310" s="737" t="s">
        <v>796</v>
      </c>
      <c r="E310" s="740">
        <f>'SCH B-2.1'!I290</f>
        <v>0</v>
      </c>
      <c r="F310" s="67"/>
      <c r="G310" s="61">
        <v>-29021875</v>
      </c>
      <c r="H310" s="1139">
        <v>1</v>
      </c>
      <c r="I310" s="68">
        <f t="shared" si="18"/>
        <v>-29021875</v>
      </c>
      <c r="J310" s="1140"/>
      <c r="K310" s="68">
        <f t="shared" si="19"/>
        <v>-29021875</v>
      </c>
      <c r="L310" s="1144"/>
      <c r="M310" s="1137"/>
      <c r="N310" s="1137"/>
      <c r="O310" s="1137"/>
    </row>
    <row r="311" spans="1:15">
      <c r="A311" s="64"/>
      <c r="B311" s="65"/>
      <c r="C311" s="64"/>
      <c r="D311" s="67"/>
      <c r="E311" s="740"/>
      <c r="F311" s="67"/>
      <c r="G311" s="61"/>
      <c r="H311" s="1139"/>
      <c r="I311" s="68"/>
      <c r="J311" s="1140"/>
      <c r="K311" s="68"/>
      <c r="L311" s="1144"/>
      <c r="M311" s="1137"/>
      <c r="N311" s="1137"/>
      <c r="O311" s="1137"/>
    </row>
    <row r="312" spans="1:15">
      <c r="A312" s="65"/>
      <c r="B312" s="65"/>
      <c r="C312" s="65"/>
      <c r="D312" s="65"/>
      <c r="E312" s="65"/>
      <c r="F312" s="1458"/>
      <c r="G312" s="65"/>
      <c r="H312" s="1139"/>
      <c r="I312" s="65"/>
      <c r="J312" s="65"/>
      <c r="K312" s="65"/>
      <c r="L312" s="1144"/>
      <c r="M312" s="1137"/>
      <c r="N312" s="1137"/>
      <c r="O312" s="1137"/>
    </row>
    <row r="313" spans="1:15">
      <c r="A313" s="2099"/>
      <c r="B313" s="2099"/>
      <c r="C313" s="2099"/>
      <c r="D313" s="2099"/>
      <c r="E313" s="2099"/>
      <c r="F313" s="63"/>
      <c r="G313" s="2099"/>
      <c r="H313" s="2103"/>
      <c r="I313" s="2099"/>
      <c r="J313" s="2099"/>
      <c r="K313" s="2099"/>
      <c r="L313" s="1144"/>
      <c r="M313" s="1137"/>
      <c r="N313" s="1137"/>
      <c r="O313" s="1137"/>
    </row>
    <row r="314" spans="1:15">
      <c r="A314" s="64">
        <f>A310+1</f>
        <v>12</v>
      </c>
      <c r="B314" s="65"/>
      <c r="C314" s="65"/>
      <c r="D314" s="67" t="s">
        <v>618</v>
      </c>
      <c r="E314" s="740">
        <f>SUM(E300:E313)</f>
        <v>931818225</v>
      </c>
      <c r="F314" s="67"/>
      <c r="G314" s="740">
        <f>SUM(G300:G313)</f>
        <v>513739506</v>
      </c>
      <c r="H314" s="791"/>
      <c r="I314" s="740">
        <f>SUM(I300:I313)</f>
        <v>513739506</v>
      </c>
      <c r="J314" s="740">
        <f>SUM(J300:J313)</f>
        <v>-41790940</v>
      </c>
      <c r="K314" s="740">
        <f>SUM(K300:K313)</f>
        <v>471948566</v>
      </c>
      <c r="L314" s="1144"/>
      <c r="M314" s="1137"/>
      <c r="N314" s="2088" t="str">
        <f>IF(E314='SCH B-2.1'!I293,"BALANCED","ERROR")</f>
        <v>BALANCED</v>
      </c>
      <c r="O314" s="1137"/>
    </row>
    <row r="315" spans="1:15">
      <c r="A315" s="65"/>
      <c r="B315" s="65"/>
      <c r="C315" s="65"/>
      <c r="D315" s="65"/>
      <c r="E315" s="65"/>
      <c r="F315" s="1458"/>
      <c r="G315" s="68"/>
      <c r="H315" s="791"/>
      <c r="I315" s="68"/>
      <c r="J315" s="68"/>
      <c r="K315" s="68"/>
      <c r="L315" s="1144"/>
      <c r="M315" s="1137"/>
      <c r="N315" s="1137"/>
      <c r="O315" s="1137"/>
    </row>
    <row r="316" spans="1:15">
      <c r="A316" s="2099"/>
      <c r="B316" s="2099"/>
      <c r="C316" s="2099"/>
      <c r="D316" s="2099"/>
      <c r="E316" s="2099"/>
      <c r="F316" s="63"/>
      <c r="G316" s="2099"/>
      <c r="H316" s="2103"/>
      <c r="I316" s="2099"/>
      <c r="J316" s="2099"/>
      <c r="K316" s="2099"/>
      <c r="L316" s="1144"/>
      <c r="M316" s="1137"/>
      <c r="N316" s="1137"/>
      <c r="O316" s="1137"/>
    </row>
    <row r="317" spans="1:15">
      <c r="A317" s="783" t="s">
        <v>797</v>
      </c>
      <c r="B317" s="65"/>
      <c r="C317" s="65"/>
      <c r="D317" s="65"/>
      <c r="E317" s="65"/>
      <c r="F317" s="65"/>
      <c r="G317" s="65"/>
      <c r="H317" s="791"/>
      <c r="I317" s="65"/>
      <c r="J317" s="65"/>
      <c r="K317" s="65"/>
      <c r="L317" s="1144"/>
      <c r="M317" s="1137"/>
      <c r="N317" s="1137"/>
      <c r="O317" s="1137"/>
    </row>
    <row r="318" spans="1:15">
      <c r="A318" s="783"/>
      <c r="B318" s="65"/>
      <c r="C318" s="65"/>
      <c r="D318" s="65"/>
      <c r="E318" s="65"/>
      <c r="F318" s="65"/>
      <c r="G318" s="65"/>
      <c r="H318" s="791"/>
      <c r="I318" s="65"/>
      <c r="J318" s="65"/>
      <c r="K318" s="65"/>
      <c r="L318" s="1144"/>
      <c r="M318" s="1137"/>
      <c r="N318" s="1137"/>
      <c r="O318" s="1137"/>
    </row>
    <row r="319" spans="1:15">
      <c r="A319" s="785" t="str">
        <f>COMPANY</f>
        <v>DUKE ENERGY KENTUCKY, INC.</v>
      </c>
      <c r="B319" s="785"/>
      <c r="C319" s="785"/>
      <c r="D319" s="1134"/>
      <c r="E319" s="1134"/>
      <c r="F319" s="1134"/>
      <c r="G319" s="785"/>
      <c r="H319" s="1135"/>
      <c r="I319" s="1136"/>
      <c r="J319" s="1136"/>
      <c r="K319" s="1136"/>
      <c r="L319" s="1144"/>
      <c r="M319" s="1137"/>
      <c r="N319" s="1137"/>
      <c r="O319" s="1137"/>
    </row>
    <row r="320" spans="1:15">
      <c r="A320" s="785" t="str">
        <f>CASE</f>
        <v>CASE NO. 2024-00354</v>
      </c>
      <c r="B320" s="785"/>
      <c r="C320" s="785"/>
      <c r="D320" s="1134"/>
      <c r="E320" s="1134"/>
      <c r="F320" s="1134"/>
      <c r="G320" s="785"/>
      <c r="H320" s="1135"/>
      <c r="I320" s="1136"/>
      <c r="J320" s="1136"/>
      <c r="K320" s="1136"/>
      <c r="L320" s="1144"/>
      <c r="M320" s="1137"/>
      <c r="N320" s="1137"/>
      <c r="O320" s="1137"/>
    </row>
    <row r="321" spans="1:15">
      <c r="A321" s="785" t="s">
        <v>791</v>
      </c>
      <c r="B321" s="785"/>
      <c r="C321" s="785"/>
      <c r="D321" s="1134"/>
      <c r="E321" s="1134"/>
      <c r="F321" s="1134"/>
      <c r="G321" s="785"/>
      <c r="H321" s="1135"/>
      <c r="I321" s="1136"/>
      <c r="J321" s="1136"/>
      <c r="K321" s="1136"/>
      <c r="L321" s="1144"/>
      <c r="M321" s="1137"/>
      <c r="N321" s="1137"/>
      <c r="O321" s="1137"/>
    </row>
    <row r="322" spans="1:15">
      <c r="A322" s="47" t="str">
        <f>"AS OF " &amp;RIGHT(Forecast,(LEN(Forecast)-16))</f>
        <v>AS OF JUNE 30, 2026</v>
      </c>
      <c r="B322" s="785"/>
      <c r="C322" s="785"/>
      <c r="D322" s="1134"/>
      <c r="E322" s="1134"/>
      <c r="F322" s="1134"/>
      <c r="G322" s="785"/>
      <c r="H322" s="1135"/>
      <c r="I322" s="1136"/>
      <c r="J322" s="1136"/>
      <c r="K322" s="1136"/>
      <c r="L322" s="1144"/>
      <c r="M322" s="1137"/>
      <c r="N322" s="1137"/>
      <c r="O322" s="1137"/>
    </row>
    <row r="323" spans="1:15">
      <c r="A323" s="785"/>
      <c r="B323" s="785"/>
      <c r="C323" s="785"/>
      <c r="D323" s="1134"/>
      <c r="E323" s="1134"/>
      <c r="F323" s="1134"/>
      <c r="G323" s="785"/>
      <c r="H323" s="1135"/>
      <c r="I323" s="1136"/>
      <c r="J323" s="1136"/>
      <c r="K323" s="1136"/>
      <c r="L323" s="1144"/>
      <c r="M323" s="1137"/>
      <c r="N323" s="1137"/>
      <c r="O323" s="1137"/>
    </row>
    <row r="324" spans="1:15">
      <c r="A324" s="785" t="s">
        <v>619</v>
      </c>
      <c r="B324" s="785"/>
      <c r="C324" s="785"/>
      <c r="D324" s="1134"/>
      <c r="E324" s="1134"/>
      <c r="F324" s="1134"/>
      <c r="G324" s="785"/>
      <c r="H324" s="1135"/>
      <c r="I324" s="1136"/>
      <c r="J324" s="1136"/>
      <c r="K324" s="1136"/>
      <c r="L324" s="1144"/>
      <c r="M324" s="1137"/>
      <c r="N324" s="1137"/>
      <c r="O324" s="1137"/>
    </row>
    <row r="325" spans="1:15">
      <c r="A325" s="786" t="s">
        <v>529</v>
      </c>
      <c r="B325" s="785"/>
      <c r="C325" s="785"/>
      <c r="D325" s="1134"/>
      <c r="E325" s="1134"/>
      <c r="F325" s="1134"/>
      <c r="G325" s="785"/>
      <c r="H325" s="1135"/>
      <c r="I325" s="1136"/>
      <c r="J325" s="1136"/>
      <c r="K325" s="1136"/>
      <c r="L325" s="1144"/>
      <c r="M325" s="1137"/>
      <c r="N325" s="1137"/>
      <c r="O325" s="1137"/>
    </row>
    <row r="326" spans="1:15">
      <c r="A326" s="65"/>
      <c r="B326" s="65"/>
      <c r="C326" s="65"/>
      <c r="D326" s="65"/>
      <c r="E326" s="65"/>
      <c r="F326" s="65"/>
      <c r="G326" s="65"/>
      <c r="H326" s="791"/>
      <c r="I326" s="68"/>
      <c r="J326" s="68"/>
      <c r="K326" s="68"/>
      <c r="L326" s="1144"/>
      <c r="M326" s="1137"/>
      <c r="N326" s="1137"/>
      <c r="O326" s="1137"/>
    </row>
    <row r="327" spans="1:15">
      <c r="A327" s="65"/>
      <c r="B327" s="65"/>
      <c r="C327" s="65"/>
      <c r="D327" s="65"/>
      <c r="E327" s="65"/>
      <c r="F327" s="65"/>
      <c r="G327" s="65"/>
      <c r="H327" s="791"/>
      <c r="I327" s="65"/>
      <c r="J327" s="65"/>
      <c r="K327" s="65"/>
      <c r="L327" s="1144"/>
      <c r="M327" s="1137"/>
      <c r="N327" s="1137"/>
      <c r="O327" s="1137"/>
    </row>
    <row r="328" spans="1:15">
      <c r="A328" s="67" t="str">
        <f>DataF</f>
        <v>DATA:  BASE PERIOD  "X" FORECASTED PERIOD</v>
      </c>
      <c r="B328" s="65"/>
      <c r="C328" s="65"/>
      <c r="D328" s="65"/>
      <c r="E328" s="65"/>
      <c r="F328" s="65"/>
      <c r="G328" s="68"/>
      <c r="H328" s="791"/>
      <c r="I328" s="68"/>
      <c r="J328" s="787" t="s">
        <v>792</v>
      </c>
      <c r="K328" s="68"/>
      <c r="L328" s="1144"/>
      <c r="M328" s="1137"/>
      <c r="N328" s="1137"/>
      <c r="O328" s="1137"/>
    </row>
    <row r="329" spans="1:15">
      <c r="A329" s="67" t="str">
        <f>Type</f>
        <v xml:space="preserve">TYPE OF FILING:  "X" ORIGINAL   UPDATED    REVISED  </v>
      </c>
      <c r="B329" s="65"/>
      <c r="C329" s="65"/>
      <c r="D329" s="65"/>
      <c r="E329" s="65"/>
      <c r="F329" s="65"/>
      <c r="G329" s="68"/>
      <c r="H329" s="791"/>
      <c r="I329" s="68"/>
      <c r="J329" s="787" t="s">
        <v>685</v>
      </c>
      <c r="K329" s="68"/>
      <c r="L329" s="1144"/>
      <c r="M329" s="1137"/>
      <c r="N329" s="1137"/>
      <c r="O329" s="1137"/>
    </row>
    <row r="330" spans="1:15">
      <c r="A330" s="67" t="s">
        <v>793</v>
      </c>
      <c r="B330" s="65"/>
      <c r="C330" s="65"/>
      <c r="D330" s="65"/>
      <c r="E330" s="65"/>
      <c r="F330" s="65"/>
      <c r="G330" s="68"/>
      <c r="H330" s="791"/>
      <c r="I330" s="68"/>
      <c r="J330" s="787" t="s">
        <v>468</v>
      </c>
      <c r="K330" s="68"/>
      <c r="L330" s="1144"/>
      <c r="M330" s="1137"/>
      <c r="N330" s="1137"/>
      <c r="O330" s="1137"/>
    </row>
    <row r="331" spans="1:15">
      <c r="A331" s="65"/>
      <c r="B331" s="65"/>
      <c r="C331" s="65"/>
      <c r="D331" s="65"/>
      <c r="E331" s="65"/>
      <c r="F331" s="65"/>
      <c r="G331" s="68"/>
      <c r="H331" s="791"/>
      <c r="I331" s="68"/>
      <c r="J331" s="65" t="str">
        <f>_WIT7</f>
        <v>G. S. CARPENTER / S. S. MITCHELL</v>
      </c>
      <c r="K331" s="68"/>
      <c r="L331" s="1144"/>
      <c r="M331" s="1137"/>
      <c r="N331" s="1137"/>
      <c r="O331" s="1137"/>
    </row>
    <row r="332" spans="1:15">
      <c r="A332" s="65"/>
      <c r="B332" s="65"/>
      <c r="C332" s="65"/>
      <c r="D332" s="65"/>
      <c r="E332" s="65"/>
      <c r="F332" s="65"/>
      <c r="G332" s="68"/>
      <c r="H332" s="791"/>
      <c r="I332" s="68"/>
      <c r="J332" s="68"/>
      <c r="K332" s="68"/>
      <c r="L332" s="1144"/>
      <c r="M332" s="1137"/>
      <c r="N332" s="1137"/>
      <c r="O332" s="1137"/>
    </row>
    <row r="333" spans="1:15">
      <c r="A333" s="65"/>
      <c r="B333" s="65"/>
      <c r="C333" s="65"/>
      <c r="D333" s="65"/>
      <c r="E333" s="65"/>
      <c r="F333" s="1458"/>
      <c r="G333" s="68"/>
      <c r="H333" s="791"/>
      <c r="I333" s="68"/>
      <c r="J333" s="68"/>
      <c r="K333" s="68"/>
      <c r="L333" s="1144"/>
      <c r="M333" s="1137"/>
      <c r="N333" s="1137"/>
      <c r="O333" s="1137"/>
    </row>
    <row r="334" spans="1:15">
      <c r="A334" s="2099"/>
      <c r="B334" s="2100"/>
      <c r="C334" s="2101"/>
      <c r="D334" s="2099"/>
      <c r="E334" s="2100" t="s">
        <v>591</v>
      </c>
      <c r="F334" s="62"/>
      <c r="G334" s="2102"/>
      <c r="H334" s="2103"/>
      <c r="I334" s="2102"/>
      <c r="J334" s="2102"/>
      <c r="K334" s="2102"/>
      <c r="L334" s="1144"/>
      <c r="M334" s="1137"/>
      <c r="N334" s="1137"/>
      <c r="O334" s="1137"/>
    </row>
    <row r="335" spans="1:15">
      <c r="A335" s="63"/>
      <c r="B335" s="64" t="s">
        <v>257</v>
      </c>
      <c r="C335" s="64" t="s">
        <v>605</v>
      </c>
      <c r="D335" s="63"/>
      <c r="E335" s="64" t="s">
        <v>592</v>
      </c>
      <c r="F335" s="62"/>
      <c r="G335" s="1459" t="s">
        <v>822</v>
      </c>
      <c r="H335" s="1460"/>
      <c r="I335" s="1460"/>
      <c r="J335" s="1460"/>
      <c r="K335" s="1460"/>
      <c r="L335" s="1144"/>
      <c r="M335" s="1137"/>
      <c r="N335" s="1137"/>
      <c r="O335" s="1137"/>
    </row>
    <row r="336" spans="1:15">
      <c r="A336" s="64" t="s">
        <v>573</v>
      </c>
      <c r="B336" s="64" t="s">
        <v>606</v>
      </c>
      <c r="C336" s="64" t="s">
        <v>606</v>
      </c>
      <c r="D336" s="65"/>
      <c r="E336" s="784" t="s">
        <v>417</v>
      </c>
      <c r="F336" s="64"/>
      <c r="G336" s="784" t="s">
        <v>258</v>
      </c>
      <c r="H336" s="1138" t="s">
        <v>574</v>
      </c>
      <c r="I336" s="784" t="s">
        <v>574</v>
      </c>
      <c r="J336" s="68"/>
      <c r="K336" s="784" t="s">
        <v>575</v>
      </c>
      <c r="L336" s="1144"/>
      <c r="M336" s="1137"/>
      <c r="N336" s="1137"/>
      <c r="O336" s="1137"/>
    </row>
    <row r="337" spans="1:15">
      <c r="A337" s="1461" t="s">
        <v>576</v>
      </c>
      <c r="B337" s="1461" t="s">
        <v>576</v>
      </c>
      <c r="C337" s="1461" t="s">
        <v>576</v>
      </c>
      <c r="D337" s="1461" t="s">
        <v>607</v>
      </c>
      <c r="E337" s="1462" t="s">
        <v>821</v>
      </c>
      <c r="F337" s="1461"/>
      <c r="G337" s="1462" t="s">
        <v>605</v>
      </c>
      <c r="H337" s="1463" t="s">
        <v>420</v>
      </c>
      <c r="I337" s="1462" t="s">
        <v>258</v>
      </c>
      <c r="J337" s="1462" t="s">
        <v>578</v>
      </c>
      <c r="K337" s="1462" t="s">
        <v>579</v>
      </c>
      <c r="L337" s="1144"/>
      <c r="M337" s="1137"/>
      <c r="N337" s="1137"/>
      <c r="O337" s="1137"/>
    </row>
    <row r="338" spans="1:15">
      <c r="A338" s="64" t="s">
        <v>382</v>
      </c>
      <c r="B338" s="65"/>
      <c r="C338" s="65"/>
      <c r="D338" s="65"/>
      <c r="E338" s="784" t="s">
        <v>580</v>
      </c>
      <c r="F338" s="784"/>
      <c r="G338" s="784" t="s">
        <v>580</v>
      </c>
      <c r="H338" s="791"/>
      <c r="I338" s="784" t="s">
        <v>580</v>
      </c>
      <c r="J338" s="784" t="s">
        <v>580</v>
      </c>
      <c r="K338" s="784" t="s">
        <v>580</v>
      </c>
      <c r="L338" s="1144"/>
      <c r="M338" s="1137"/>
      <c r="N338" s="1137"/>
      <c r="O338" s="1137"/>
    </row>
    <row r="339" spans="1:15">
      <c r="A339" s="65"/>
      <c r="B339" s="65"/>
      <c r="C339" s="65"/>
      <c r="D339" s="65"/>
      <c r="E339" s="65"/>
      <c r="F339" s="65"/>
      <c r="G339" s="68"/>
      <c r="H339" s="791"/>
      <c r="I339" s="68"/>
      <c r="J339" s="68"/>
      <c r="K339" s="68"/>
      <c r="L339" s="1144"/>
      <c r="M339" s="1137"/>
      <c r="N339" s="1137"/>
      <c r="O339" s="1137"/>
    </row>
    <row r="340" spans="1:15">
      <c r="A340" s="64" t="s">
        <v>621</v>
      </c>
      <c r="B340" s="53">
        <v>340</v>
      </c>
      <c r="C340" s="53">
        <v>3400</v>
      </c>
      <c r="D340" s="737" t="s">
        <v>608</v>
      </c>
      <c r="E340" s="740">
        <f>'SCH B-2.1'!I318</f>
        <v>2409908</v>
      </c>
      <c r="F340" s="67"/>
      <c r="G340" s="2298">
        <v>5123</v>
      </c>
      <c r="H340" s="1139">
        <v>1</v>
      </c>
      <c r="I340" s="68">
        <f t="shared" ref="I340:I352" si="21">ROUND((G340*H340),0)</f>
        <v>5123</v>
      </c>
      <c r="J340" s="2299"/>
      <c r="K340" s="68">
        <f t="shared" ref="K340:K352" si="22">I340+J340</f>
        <v>5123</v>
      </c>
      <c r="L340" s="1144"/>
      <c r="M340" s="1137"/>
      <c r="N340" s="1137"/>
      <c r="O340" s="1137"/>
    </row>
    <row r="341" spans="1:15">
      <c r="A341" s="64" t="s">
        <v>724</v>
      </c>
      <c r="B341" s="53">
        <v>340</v>
      </c>
      <c r="C341" s="53">
        <v>3401</v>
      </c>
      <c r="D341" s="737" t="s">
        <v>622</v>
      </c>
      <c r="E341" s="740">
        <f>'SCH B-2.1'!I319</f>
        <v>0</v>
      </c>
      <c r="F341" s="67"/>
      <c r="G341" s="2298">
        <v>0</v>
      </c>
      <c r="H341" s="1139">
        <v>1</v>
      </c>
      <c r="I341" s="68">
        <f t="shared" si="21"/>
        <v>0</v>
      </c>
      <c r="J341" s="68"/>
      <c r="K341" s="68">
        <f t="shared" si="22"/>
        <v>0</v>
      </c>
      <c r="L341" s="1144"/>
      <c r="M341" s="1137"/>
      <c r="N341" s="1137"/>
      <c r="O341" s="1137"/>
    </row>
    <row r="342" spans="1:15">
      <c r="A342" s="64" t="s">
        <v>725</v>
      </c>
      <c r="B342" s="53">
        <v>341</v>
      </c>
      <c r="C342" s="53">
        <v>3410</v>
      </c>
      <c r="D342" s="737" t="s">
        <v>609</v>
      </c>
      <c r="E342" s="740">
        <f>'SCH B-2.1'!I320</f>
        <v>39105237</v>
      </c>
      <c r="F342" s="772"/>
      <c r="G342" s="2298">
        <v>30603674</v>
      </c>
      <c r="H342" s="1139">
        <v>1</v>
      </c>
      <c r="I342" s="68">
        <f t="shared" si="21"/>
        <v>30603674</v>
      </c>
      <c r="J342" s="68"/>
      <c r="K342" s="68">
        <f t="shared" si="22"/>
        <v>30603674</v>
      </c>
      <c r="L342" s="1144"/>
      <c r="M342" s="1137"/>
      <c r="N342" s="1137"/>
      <c r="O342" s="1137"/>
    </row>
    <row r="343" spans="1:15">
      <c r="A343" s="64" t="s">
        <v>726</v>
      </c>
      <c r="B343" s="53">
        <v>342</v>
      </c>
      <c r="C343" s="53">
        <v>3420</v>
      </c>
      <c r="D343" s="737" t="s">
        <v>623</v>
      </c>
      <c r="E343" s="740">
        <f>'SCH B-2.1'!I321</f>
        <v>65797312</v>
      </c>
      <c r="F343" s="772"/>
      <c r="G343" s="2298">
        <v>15797254</v>
      </c>
      <c r="H343" s="1139">
        <v>1</v>
      </c>
      <c r="I343" s="68">
        <f t="shared" si="21"/>
        <v>15797254</v>
      </c>
      <c r="J343" s="68"/>
      <c r="K343" s="68">
        <f t="shared" si="22"/>
        <v>15797254</v>
      </c>
      <c r="L343" s="1144"/>
      <c r="M343" s="1137"/>
      <c r="N343" s="1137"/>
      <c r="O343" s="1137"/>
    </row>
    <row r="344" spans="1:15">
      <c r="A344" s="64" t="s">
        <v>727</v>
      </c>
      <c r="B344" s="53">
        <v>343</v>
      </c>
      <c r="C344" s="53">
        <v>3430</v>
      </c>
      <c r="D344" s="737" t="s">
        <v>625</v>
      </c>
      <c r="E344" s="740">
        <f>'SCH B-2.1'!I322</f>
        <v>9412658</v>
      </c>
      <c r="F344" s="772"/>
      <c r="G344" s="2298">
        <v>-2760370</v>
      </c>
      <c r="H344" s="1139">
        <v>1</v>
      </c>
      <c r="I344" s="68">
        <f t="shared" si="21"/>
        <v>-2760370</v>
      </c>
      <c r="J344" s="68"/>
      <c r="K344" s="68">
        <f t="shared" si="22"/>
        <v>-2760370</v>
      </c>
      <c r="L344" s="1144"/>
      <c r="M344" s="1137"/>
      <c r="N344" s="1137"/>
      <c r="O344" s="1137"/>
    </row>
    <row r="345" spans="1:15">
      <c r="A345" s="64" t="s">
        <v>728</v>
      </c>
      <c r="B345" s="53">
        <v>344</v>
      </c>
      <c r="C345" s="53">
        <v>3440</v>
      </c>
      <c r="D345" s="737" t="s">
        <v>626</v>
      </c>
      <c r="E345" s="740">
        <f>'SCH B-2.1'!I323</f>
        <v>230946272</v>
      </c>
      <c r="F345" s="67"/>
      <c r="G345" s="2298">
        <v>159949585</v>
      </c>
      <c r="H345" s="1139">
        <v>1</v>
      </c>
      <c r="I345" s="68">
        <f t="shared" si="21"/>
        <v>159949585</v>
      </c>
      <c r="J345" s="68"/>
      <c r="K345" s="68">
        <f t="shared" si="22"/>
        <v>159949585</v>
      </c>
      <c r="L345" s="1144"/>
      <c r="M345" s="1137"/>
      <c r="N345" s="1137"/>
      <c r="O345" s="1137"/>
    </row>
    <row r="346" spans="1:15">
      <c r="A346" s="64" t="s">
        <v>729</v>
      </c>
      <c r="B346" s="53">
        <v>344</v>
      </c>
      <c r="C346" s="53">
        <v>3446</v>
      </c>
      <c r="D346" s="737" t="s">
        <v>721</v>
      </c>
      <c r="E346" s="740">
        <f>'SCH B-2.1'!I324</f>
        <v>16116637</v>
      </c>
      <c r="F346" s="67"/>
      <c r="G346" s="2298">
        <v>4094745</v>
      </c>
      <c r="H346" s="1139">
        <v>1</v>
      </c>
      <c r="I346" s="68">
        <f t="shared" si="21"/>
        <v>4094745</v>
      </c>
      <c r="J346" s="68"/>
      <c r="K346" s="68">
        <f t="shared" si="22"/>
        <v>4094745</v>
      </c>
      <c r="L346" s="1144"/>
      <c r="M346" s="1137"/>
      <c r="N346" s="1137"/>
      <c r="O346" s="1137"/>
    </row>
    <row r="347" spans="1:15">
      <c r="A347" s="64" t="s">
        <v>731</v>
      </c>
      <c r="B347" s="53">
        <v>345</v>
      </c>
      <c r="C347" s="53">
        <v>3450</v>
      </c>
      <c r="D347" s="737" t="s">
        <v>613</v>
      </c>
      <c r="E347" s="740">
        <f>'SCH B-2.1'!I325</f>
        <v>21311175</v>
      </c>
      <c r="F347" s="67"/>
      <c r="G347" s="2298">
        <v>14919616</v>
      </c>
      <c r="H347" s="1139">
        <v>1</v>
      </c>
      <c r="I347" s="68">
        <f t="shared" si="21"/>
        <v>14919616</v>
      </c>
      <c r="J347" s="68"/>
      <c r="K347" s="68">
        <f t="shared" si="22"/>
        <v>14919616</v>
      </c>
      <c r="L347" s="1144"/>
      <c r="M347" s="1137"/>
      <c r="N347" s="1137"/>
      <c r="O347" s="1137"/>
    </row>
    <row r="348" spans="1:15">
      <c r="A348" s="64" t="s">
        <v>733</v>
      </c>
      <c r="B348" s="53">
        <v>345</v>
      </c>
      <c r="C348" s="53">
        <v>3456</v>
      </c>
      <c r="D348" s="737" t="s">
        <v>732</v>
      </c>
      <c r="E348" s="740">
        <f>'SCH B-2.1'!I326</f>
        <v>3676452</v>
      </c>
      <c r="F348" s="67"/>
      <c r="G348" s="2298">
        <v>695640</v>
      </c>
      <c r="H348" s="1139">
        <v>1</v>
      </c>
      <c r="I348" s="68">
        <f t="shared" si="21"/>
        <v>695640</v>
      </c>
      <c r="J348" s="68"/>
      <c r="K348" s="68">
        <f t="shared" si="22"/>
        <v>695640</v>
      </c>
      <c r="L348" s="1144"/>
      <c r="M348" s="1137"/>
      <c r="N348" s="1137"/>
      <c r="O348" s="1137"/>
    </row>
    <row r="349" spans="1:15">
      <c r="A349" s="64" t="s">
        <v>823</v>
      </c>
      <c r="B349" s="53">
        <v>346</v>
      </c>
      <c r="C349" s="53">
        <v>3460</v>
      </c>
      <c r="D349" s="737" t="s">
        <v>629</v>
      </c>
      <c r="E349" s="740">
        <f>'SCH B-2.1'!I327</f>
        <v>5919120</v>
      </c>
      <c r="F349" s="67"/>
      <c r="G349" s="2298">
        <v>3947050</v>
      </c>
      <c r="H349" s="1139">
        <v>1</v>
      </c>
      <c r="I349" s="68">
        <f t="shared" si="21"/>
        <v>3947050</v>
      </c>
      <c r="J349" s="68"/>
      <c r="K349" s="68">
        <f t="shared" si="22"/>
        <v>3947050</v>
      </c>
      <c r="L349" s="1144"/>
      <c r="M349" s="1137"/>
      <c r="N349" s="1137"/>
      <c r="O349" s="1137"/>
    </row>
    <row r="350" spans="1:15">
      <c r="A350" s="64">
        <v>12</v>
      </c>
      <c r="B350" s="53">
        <v>347</v>
      </c>
      <c r="C350" s="53">
        <v>3476</v>
      </c>
      <c r="D350" s="737" t="s">
        <v>798</v>
      </c>
      <c r="E350" s="740">
        <f>'SCH B-2.1'!I328</f>
        <v>0</v>
      </c>
      <c r="F350" s="67"/>
      <c r="G350" s="2298">
        <v>13743</v>
      </c>
      <c r="H350" s="1139">
        <v>1</v>
      </c>
      <c r="I350" s="68">
        <f t="shared" si="21"/>
        <v>13743</v>
      </c>
      <c r="J350" s="68">
        <f>-I350</f>
        <v>-13743</v>
      </c>
      <c r="K350" s="68">
        <f t="shared" si="22"/>
        <v>0</v>
      </c>
      <c r="L350" s="1144"/>
      <c r="M350" s="1137"/>
      <c r="N350" s="1137"/>
      <c r="O350" s="1137"/>
    </row>
    <row r="351" spans="1:15">
      <c r="A351" s="64">
        <v>13</v>
      </c>
      <c r="B351" s="53"/>
      <c r="C351" s="53"/>
      <c r="D351" s="737" t="s">
        <v>617</v>
      </c>
      <c r="E351" s="740">
        <f>'SCH B-2.1'!I329</f>
        <v>0</v>
      </c>
      <c r="F351" s="67"/>
      <c r="G351" s="2298">
        <v>0</v>
      </c>
      <c r="H351" s="1139">
        <v>1</v>
      </c>
      <c r="I351" s="68">
        <f t="shared" si="21"/>
        <v>0</v>
      </c>
      <c r="J351" s="68"/>
      <c r="K351" s="68">
        <f t="shared" si="22"/>
        <v>0</v>
      </c>
      <c r="L351" s="1144"/>
      <c r="M351" s="1137"/>
      <c r="N351" s="1137"/>
      <c r="O351" s="1137"/>
    </row>
    <row r="352" spans="1:15">
      <c r="A352" s="64">
        <v>14</v>
      </c>
      <c r="B352" s="65"/>
      <c r="C352" s="64">
        <v>108</v>
      </c>
      <c r="D352" s="737" t="s">
        <v>796</v>
      </c>
      <c r="E352" s="740">
        <f>'SCH B-2.1'!I330</f>
        <v>0</v>
      </c>
      <c r="F352" s="67"/>
      <c r="G352" s="2298">
        <v>-125215</v>
      </c>
      <c r="H352" s="1139">
        <v>1</v>
      </c>
      <c r="I352" s="68">
        <f t="shared" si="21"/>
        <v>-125215</v>
      </c>
      <c r="J352" s="68"/>
      <c r="K352" s="68">
        <f t="shared" si="22"/>
        <v>-125215</v>
      </c>
      <c r="L352" s="1144"/>
      <c r="M352" s="1137"/>
      <c r="N352" s="1137"/>
      <c r="O352" s="1137"/>
    </row>
    <row r="353" spans="1:15">
      <c r="A353" s="65"/>
      <c r="B353" s="65"/>
      <c r="C353" s="65"/>
      <c r="D353" s="65"/>
      <c r="E353" s="65"/>
      <c r="F353" s="65"/>
      <c r="G353" s="68"/>
      <c r="H353" s="791"/>
      <c r="I353" s="68"/>
      <c r="J353" s="68"/>
      <c r="K353" s="68"/>
      <c r="L353" s="1144"/>
      <c r="M353" s="1137"/>
      <c r="N353" s="1137"/>
      <c r="O353" s="1137"/>
    </row>
    <row r="354" spans="1:15">
      <c r="A354" s="65"/>
      <c r="B354" s="65"/>
      <c r="C354" s="65"/>
      <c r="D354" s="65"/>
      <c r="E354" s="65"/>
      <c r="F354" s="1458"/>
      <c r="G354" s="65"/>
      <c r="H354" s="791"/>
      <c r="I354" s="65"/>
      <c r="J354" s="65"/>
      <c r="K354" s="65"/>
      <c r="L354" s="1144"/>
      <c r="M354" s="1137"/>
      <c r="N354" s="1137"/>
      <c r="O354" s="1137"/>
    </row>
    <row r="355" spans="1:15">
      <c r="A355" s="2099"/>
      <c r="B355" s="2099"/>
      <c r="C355" s="2099"/>
      <c r="D355" s="2099"/>
      <c r="E355" s="2099"/>
      <c r="F355" s="63"/>
      <c r="G355" s="2099"/>
      <c r="H355" s="2103"/>
      <c r="I355" s="2099"/>
      <c r="J355" s="2099"/>
      <c r="K355" s="2099"/>
      <c r="L355" s="1144"/>
      <c r="M355" s="1137"/>
      <c r="N355" s="1137"/>
      <c r="O355" s="1137"/>
    </row>
    <row r="356" spans="1:15">
      <c r="A356" s="64">
        <v>15</v>
      </c>
      <c r="B356" s="65"/>
      <c r="C356" s="65"/>
      <c r="D356" s="67" t="s">
        <v>631</v>
      </c>
      <c r="E356" s="740">
        <f>SUM(E340:E355)</f>
        <v>394694771</v>
      </c>
      <c r="F356" s="67"/>
      <c r="G356" s="740">
        <f>SUM(G340:G355)</f>
        <v>227140845</v>
      </c>
      <c r="H356" s="791"/>
      <c r="I356" s="740">
        <f>SUM(I340:I355)</f>
        <v>227140845</v>
      </c>
      <c r="J356" s="740">
        <f>SUM(J340:J355)</f>
        <v>-13743</v>
      </c>
      <c r="K356" s="740">
        <f>SUM(K340:K355)</f>
        <v>227127102</v>
      </c>
      <c r="L356" s="1144"/>
      <c r="M356" s="1137"/>
      <c r="N356" s="2088" t="str">
        <f>IF(E356='SCH B-2.1'!I333,"BALANCED","ERROR")</f>
        <v>BALANCED</v>
      </c>
      <c r="O356" s="1137"/>
    </row>
    <row r="357" spans="1:15">
      <c r="A357" s="1458"/>
      <c r="B357" s="1458"/>
      <c r="C357" s="1458"/>
      <c r="D357" s="1458"/>
      <c r="E357" s="1458"/>
      <c r="F357" s="1458"/>
      <c r="G357" s="1466"/>
      <c r="H357" s="1467"/>
      <c r="I357" s="1466"/>
      <c r="J357" s="1466"/>
      <c r="K357" s="1466"/>
      <c r="L357" s="1144"/>
      <c r="M357" s="1137"/>
      <c r="N357" s="1137"/>
      <c r="O357" s="1137"/>
    </row>
    <row r="358" spans="1:15">
      <c r="A358" s="783"/>
      <c r="B358" s="65"/>
      <c r="C358" s="65"/>
      <c r="D358" s="65"/>
      <c r="E358" s="65"/>
      <c r="F358" s="65"/>
      <c r="G358" s="65"/>
      <c r="H358" s="791"/>
      <c r="I358" s="65"/>
      <c r="J358" s="65"/>
      <c r="K358" s="65"/>
      <c r="L358" s="1144"/>
      <c r="M358" s="1137"/>
      <c r="N358" s="1137"/>
      <c r="O358" s="1137"/>
    </row>
    <row r="359" spans="1:15">
      <c r="A359" s="785" t="str">
        <f>COMPANY</f>
        <v>DUKE ENERGY KENTUCKY, INC.</v>
      </c>
      <c r="B359" s="785"/>
      <c r="C359" s="785"/>
      <c r="D359" s="785"/>
      <c r="E359" s="785"/>
      <c r="F359" s="785"/>
      <c r="G359" s="785"/>
      <c r="H359" s="1135"/>
      <c r="I359" s="785"/>
      <c r="J359" s="785"/>
      <c r="K359" s="785"/>
      <c r="L359" s="1144"/>
      <c r="M359" s="1137"/>
      <c r="N359" s="1137"/>
      <c r="O359" s="1137"/>
    </row>
    <row r="360" spans="1:15">
      <c r="A360" s="785" t="str">
        <f>CASE</f>
        <v>CASE NO. 2024-00354</v>
      </c>
      <c r="B360" s="785"/>
      <c r="C360" s="785"/>
      <c r="D360" s="785"/>
      <c r="E360" s="785"/>
      <c r="F360" s="785"/>
      <c r="G360" s="785"/>
      <c r="H360" s="1135"/>
      <c r="I360" s="785"/>
      <c r="J360" s="785"/>
      <c r="K360" s="785"/>
      <c r="L360" s="1144"/>
      <c r="M360" s="1137"/>
      <c r="N360" s="1137"/>
      <c r="O360" s="1137"/>
    </row>
    <row r="361" spans="1:15">
      <c r="A361" s="785" t="str">
        <f>A3</f>
        <v>ACCUMULATED DEPRECIATION AND AMORTIZATION</v>
      </c>
      <c r="B361" s="785"/>
      <c r="C361" s="785"/>
      <c r="D361" s="785"/>
      <c r="E361" s="785"/>
      <c r="F361" s="785"/>
      <c r="G361" s="785"/>
      <c r="H361" s="1135"/>
      <c r="I361" s="785"/>
      <c r="J361" s="785"/>
      <c r="K361" s="785"/>
      <c r="L361" s="1144"/>
      <c r="M361" s="1137"/>
      <c r="N361" s="1137"/>
      <c r="O361" s="1137"/>
    </row>
    <row r="362" spans="1:15">
      <c r="A362" s="47" t="str">
        <f>"AS OF " &amp;RIGHT(Forecast,(LEN(Forecast)-16))</f>
        <v>AS OF JUNE 30, 2026</v>
      </c>
      <c r="B362" s="785"/>
      <c r="C362" s="785"/>
      <c r="D362" s="785"/>
      <c r="E362" s="785"/>
      <c r="F362" s="785"/>
      <c r="G362" s="785"/>
      <c r="H362" s="1135"/>
      <c r="I362" s="785"/>
      <c r="J362" s="785"/>
      <c r="K362" s="785"/>
      <c r="L362" s="1144"/>
      <c r="M362" s="1137"/>
      <c r="N362" s="1137"/>
      <c r="O362" s="1137"/>
    </row>
    <row r="363" spans="1:15">
      <c r="A363" s="785"/>
      <c r="B363" s="785"/>
      <c r="C363" s="785"/>
      <c r="D363" s="785"/>
      <c r="E363" s="785"/>
      <c r="F363" s="785"/>
      <c r="G363" s="785"/>
      <c r="H363" s="1135"/>
      <c r="I363" s="785"/>
      <c r="J363" s="785"/>
      <c r="K363" s="785"/>
      <c r="L363" s="1144"/>
      <c r="M363" s="1137"/>
      <c r="N363" s="1137"/>
      <c r="O363" s="1137"/>
    </row>
    <row r="364" spans="1:15">
      <c r="A364" s="785" t="s">
        <v>632</v>
      </c>
      <c r="B364" s="785"/>
      <c r="C364" s="785"/>
      <c r="D364" s="785"/>
      <c r="E364" s="785"/>
      <c r="F364" s="785"/>
      <c r="G364" s="785"/>
      <c r="H364" s="1135"/>
      <c r="I364" s="785"/>
      <c r="J364" s="785"/>
      <c r="K364" s="785"/>
      <c r="L364" s="1144"/>
      <c r="M364" s="1137"/>
      <c r="N364" s="1137"/>
      <c r="O364" s="1137"/>
    </row>
    <row r="365" spans="1:15">
      <c r="A365" s="786" t="s">
        <v>529</v>
      </c>
      <c r="B365" s="785"/>
      <c r="C365" s="785"/>
      <c r="D365" s="785"/>
      <c r="E365" s="785"/>
      <c r="F365" s="785"/>
      <c r="G365" s="785"/>
      <c r="H365" s="1135"/>
      <c r="I365" s="785"/>
      <c r="J365" s="785"/>
      <c r="K365" s="785"/>
      <c r="L365" s="1144"/>
      <c r="M365" s="1137"/>
      <c r="N365" s="1137"/>
      <c r="O365" s="1137"/>
    </row>
    <row r="366" spans="1:15">
      <c r="A366" s="65"/>
      <c r="B366" s="65"/>
      <c r="C366" s="65"/>
      <c r="D366" s="65"/>
      <c r="E366" s="65"/>
      <c r="F366" s="65"/>
      <c r="G366" s="65"/>
      <c r="H366" s="791"/>
      <c r="I366" s="65"/>
      <c r="J366" s="65"/>
      <c r="K366" s="65"/>
      <c r="L366" s="1144"/>
      <c r="M366" s="1137"/>
      <c r="N366" s="1137"/>
      <c r="O366" s="1137"/>
    </row>
    <row r="367" spans="1:15">
      <c r="A367" s="65"/>
      <c r="B367" s="65"/>
      <c r="C367" s="65"/>
      <c r="D367" s="65"/>
      <c r="E367" s="65"/>
      <c r="F367" s="65"/>
      <c r="G367" s="65"/>
      <c r="H367" s="791"/>
      <c r="I367" s="65"/>
      <c r="J367" s="67"/>
      <c r="K367" s="65"/>
      <c r="L367" s="1144"/>
      <c r="M367" s="1137"/>
      <c r="N367" s="1137"/>
      <c r="O367" s="1137"/>
    </row>
    <row r="368" spans="1:15">
      <c r="A368" s="67" t="str">
        <f>DataF</f>
        <v>DATA:  BASE PERIOD  "X" FORECASTED PERIOD</v>
      </c>
      <c r="B368" s="65"/>
      <c r="C368" s="65"/>
      <c r="D368" s="65"/>
      <c r="E368" s="65"/>
      <c r="F368" s="65"/>
      <c r="G368" s="65"/>
      <c r="H368" s="791"/>
      <c r="I368" s="65"/>
      <c r="J368" s="787" t="str">
        <f>J288</f>
        <v>SCHEDULE B-3</v>
      </c>
      <c r="K368" s="65"/>
      <c r="L368" s="1144"/>
      <c r="M368" s="1137"/>
      <c r="N368" s="1137"/>
      <c r="O368" s="1137"/>
    </row>
    <row r="369" spans="1:15">
      <c r="A369" s="67" t="str">
        <f>Type</f>
        <v xml:space="preserve">TYPE OF FILING:  "X" ORIGINAL   UPDATED    REVISED  </v>
      </c>
      <c r="B369" s="65"/>
      <c r="C369" s="65"/>
      <c r="D369" s="65"/>
      <c r="E369" s="65"/>
      <c r="F369" s="65"/>
      <c r="G369" s="65"/>
      <c r="H369" s="791"/>
      <c r="I369" s="65"/>
      <c r="J369" s="787" t="s">
        <v>686</v>
      </c>
      <c r="K369" s="65"/>
      <c r="L369" s="1144"/>
      <c r="M369" s="1137"/>
      <c r="N369" s="1137"/>
      <c r="O369" s="1137"/>
    </row>
    <row r="370" spans="1:15">
      <c r="A370" s="67" t="str">
        <f>A12</f>
        <v>WORK PAPER REFERENCE NO(S).: SCHEDULE B-2.1, SCHEDULE B-3.1</v>
      </c>
      <c r="B370" s="65"/>
      <c r="C370" s="65"/>
      <c r="D370" s="65"/>
      <c r="E370" s="65"/>
      <c r="F370" s="65"/>
      <c r="G370" s="65"/>
      <c r="H370" s="791"/>
      <c r="I370" s="65"/>
      <c r="J370" s="787" t="str">
        <f>J290</f>
        <v>WITNESS RESPONSIBLE:</v>
      </c>
      <c r="K370" s="65"/>
      <c r="L370" s="1144"/>
      <c r="M370" s="1137"/>
      <c r="N370" s="1137"/>
      <c r="O370" s="1137"/>
    </row>
    <row r="371" spans="1:15">
      <c r="A371" s="65"/>
      <c r="B371" s="65"/>
      <c r="C371" s="65"/>
      <c r="D371" s="65"/>
      <c r="E371" s="65"/>
      <c r="F371" s="65"/>
      <c r="G371" s="65"/>
      <c r="H371" s="791"/>
      <c r="I371" s="65"/>
      <c r="J371" s="65" t="str">
        <f>_WIT7</f>
        <v>G. S. CARPENTER / S. S. MITCHELL</v>
      </c>
      <c r="K371" s="65"/>
      <c r="L371" s="1144"/>
      <c r="M371" s="1137"/>
      <c r="N371" s="1137"/>
      <c r="O371" s="1137"/>
    </row>
    <row r="372" spans="1:15">
      <c r="A372" s="65"/>
      <c r="B372" s="65"/>
      <c r="C372" s="65"/>
      <c r="D372" s="65"/>
      <c r="E372" s="65"/>
      <c r="F372" s="65"/>
      <c r="G372" s="65"/>
      <c r="H372" s="791"/>
      <c r="I372" s="65"/>
      <c r="J372" s="65"/>
      <c r="K372" s="65"/>
      <c r="L372" s="1144"/>
      <c r="M372" s="1137"/>
      <c r="N372" s="1137"/>
      <c r="O372" s="1137"/>
    </row>
    <row r="373" spans="1:15">
      <c r="A373" s="65"/>
      <c r="B373" s="65"/>
      <c r="C373" s="65"/>
      <c r="D373" s="65"/>
      <c r="E373" s="65"/>
      <c r="F373" s="1458"/>
      <c r="G373" s="65"/>
      <c r="H373" s="791"/>
      <c r="I373" s="65"/>
      <c r="J373" s="65"/>
      <c r="K373" s="65"/>
      <c r="L373" s="1144"/>
      <c r="M373" s="1137"/>
      <c r="N373" s="1137"/>
      <c r="O373" s="1137"/>
    </row>
    <row r="374" spans="1:15">
      <c r="A374" s="2099"/>
      <c r="B374" s="2107"/>
      <c r="C374" s="2106" t="s">
        <v>529</v>
      </c>
      <c r="D374" s="2099"/>
      <c r="E374" s="2100" t="str">
        <f>E294</f>
        <v>13 Month</v>
      </c>
      <c r="F374" s="62"/>
      <c r="G374" s="2099"/>
      <c r="H374" s="2103"/>
      <c r="I374" s="2099"/>
      <c r="J374" s="2099"/>
      <c r="K374" s="2099"/>
      <c r="L374" s="1144"/>
      <c r="M374" s="1137"/>
      <c r="N374" s="1137"/>
      <c r="O374" s="1137"/>
    </row>
    <row r="375" spans="1:15">
      <c r="A375" s="63"/>
      <c r="B375" s="62" t="s">
        <v>257</v>
      </c>
      <c r="C375" s="62" t="s">
        <v>605</v>
      </c>
      <c r="D375" s="63"/>
      <c r="E375" s="64" t="str">
        <f>E295</f>
        <v>Average</v>
      </c>
      <c r="F375" s="62"/>
      <c r="G375" s="1460" t="str">
        <f>G295</f>
        <v>13 Month Average Forecasted Period Accumulated Balances</v>
      </c>
      <c r="H375" s="1465"/>
      <c r="I375" s="1465"/>
      <c r="J375" s="1465"/>
      <c r="K375" s="1465"/>
      <c r="L375" s="1144"/>
      <c r="M375" s="1137"/>
      <c r="N375" s="1137"/>
      <c r="O375" s="1137"/>
    </row>
    <row r="376" spans="1:15">
      <c r="A376" s="64" t="s">
        <v>573</v>
      </c>
      <c r="B376" s="64" t="s">
        <v>606</v>
      </c>
      <c r="C376" s="64" t="s">
        <v>606</v>
      </c>
      <c r="D376" s="65"/>
      <c r="E376" s="784" t="str">
        <f>E296</f>
        <v>Forecasted</v>
      </c>
      <c r="F376" s="64"/>
      <c r="G376" s="64" t="s">
        <v>258</v>
      </c>
      <c r="H376" s="1138" t="s">
        <v>799</v>
      </c>
      <c r="I376" s="64" t="s">
        <v>800</v>
      </c>
      <c r="J376" s="65"/>
      <c r="K376" s="64" t="s">
        <v>575</v>
      </c>
      <c r="L376" s="1144"/>
      <c r="M376" s="1137"/>
      <c r="N376" s="1137"/>
      <c r="O376" s="1137"/>
    </row>
    <row r="377" spans="1:15">
      <c r="A377" s="64" t="s">
        <v>576</v>
      </c>
      <c r="B377" s="64" t="s">
        <v>576</v>
      </c>
      <c r="C377" s="64" t="s">
        <v>576</v>
      </c>
      <c r="D377" s="64" t="s">
        <v>607</v>
      </c>
      <c r="E377" s="1462" t="str">
        <f>E297</f>
        <v>Period (1)</v>
      </c>
      <c r="F377" s="1461"/>
      <c r="G377" s="1461" t="s">
        <v>605</v>
      </c>
      <c r="H377" s="1463" t="s">
        <v>420</v>
      </c>
      <c r="I377" s="1461" t="s">
        <v>258</v>
      </c>
      <c r="J377" s="1461" t="s">
        <v>578</v>
      </c>
      <c r="K377" s="1461" t="s">
        <v>579</v>
      </c>
      <c r="L377" s="1144"/>
      <c r="M377" s="1137"/>
      <c r="N377" s="1137"/>
      <c r="O377" s="1137"/>
    </row>
    <row r="378" spans="1:15">
      <c r="A378" s="2099"/>
      <c r="B378" s="2099"/>
      <c r="C378" s="2099"/>
      <c r="D378" s="2099"/>
      <c r="E378" s="2099"/>
      <c r="F378" s="63"/>
      <c r="G378" s="64" t="s">
        <v>580</v>
      </c>
      <c r="H378" s="791"/>
      <c r="I378" s="64" t="s">
        <v>580</v>
      </c>
      <c r="J378" s="64" t="s">
        <v>580</v>
      </c>
      <c r="K378" s="64" t="s">
        <v>580</v>
      </c>
      <c r="L378" s="1144"/>
      <c r="M378" s="1137"/>
      <c r="N378" s="1137"/>
      <c r="O378" s="1137"/>
    </row>
    <row r="379" spans="1:15">
      <c r="A379" s="64" t="s">
        <v>382</v>
      </c>
      <c r="B379" s="65"/>
      <c r="C379" s="65"/>
      <c r="D379" s="65"/>
      <c r="E379" s="65"/>
      <c r="F379" s="65"/>
      <c r="G379" s="1137"/>
      <c r="H379" s="1141"/>
      <c r="I379" s="1137"/>
      <c r="J379" s="1137"/>
      <c r="K379" s="1137"/>
      <c r="L379" s="1144"/>
      <c r="M379" s="1137"/>
      <c r="N379" s="1137"/>
      <c r="O379" s="1137"/>
    </row>
    <row r="380" spans="1:15">
      <c r="A380" s="64">
        <v>1</v>
      </c>
      <c r="B380" s="33">
        <v>350</v>
      </c>
      <c r="C380" s="33">
        <v>3500</v>
      </c>
      <c r="D380" s="32" t="s">
        <v>634</v>
      </c>
      <c r="E380" s="740">
        <f>'SCH B-2.1'!I358</f>
        <v>357042</v>
      </c>
      <c r="F380" s="67"/>
      <c r="G380" s="61">
        <v>324</v>
      </c>
      <c r="H380" s="1139">
        <v>1</v>
      </c>
      <c r="I380" s="68">
        <f t="shared" ref="I380:I391" si="23">ROUND((G380*H380),0)</f>
        <v>324</v>
      </c>
      <c r="J380" s="740"/>
      <c r="K380" s="68">
        <f t="shared" ref="K380:K391" si="24">I380+J380</f>
        <v>324</v>
      </c>
      <c r="L380" s="1144"/>
      <c r="M380" s="1137"/>
      <c r="N380" s="1137"/>
      <c r="O380" s="1137"/>
    </row>
    <row r="381" spans="1:15">
      <c r="A381" s="64">
        <v>2</v>
      </c>
      <c r="B381" s="33">
        <v>350</v>
      </c>
      <c r="C381" s="33">
        <v>3501</v>
      </c>
      <c r="D381" s="32" t="s">
        <v>622</v>
      </c>
      <c r="E381" s="740">
        <f>'SCH B-2.1'!I359</f>
        <v>10654574</v>
      </c>
      <c r="F381" s="67"/>
      <c r="G381" s="61">
        <v>1025454</v>
      </c>
      <c r="H381" s="1139">
        <v>1</v>
      </c>
      <c r="I381" s="68">
        <f t="shared" si="23"/>
        <v>1025454</v>
      </c>
      <c r="J381" s="740"/>
      <c r="K381" s="68">
        <f t="shared" si="24"/>
        <v>1025454</v>
      </c>
      <c r="L381" s="1144"/>
      <c r="M381" s="1137"/>
      <c r="N381" s="1137"/>
      <c r="O381" s="1137"/>
    </row>
    <row r="382" spans="1:15">
      <c r="A382" s="64">
        <v>3</v>
      </c>
      <c r="B382" s="33">
        <v>352</v>
      </c>
      <c r="C382" s="33">
        <v>3520</v>
      </c>
      <c r="D382" s="32" t="s">
        <v>609</v>
      </c>
      <c r="E382" s="740">
        <f>'SCH B-2.1'!I360</f>
        <v>6986560</v>
      </c>
      <c r="F382" s="772"/>
      <c r="G382" s="61">
        <v>870892</v>
      </c>
      <c r="H382" s="1139">
        <v>1</v>
      </c>
      <c r="I382" s="68">
        <f t="shared" si="23"/>
        <v>870892</v>
      </c>
      <c r="J382" s="740"/>
      <c r="K382" s="68">
        <f t="shared" si="24"/>
        <v>870892</v>
      </c>
      <c r="L382" s="1144"/>
      <c r="M382" s="1137"/>
      <c r="N382" s="1137"/>
      <c r="O382" s="1137"/>
    </row>
    <row r="383" spans="1:15">
      <c r="A383" s="64">
        <v>4</v>
      </c>
      <c r="B383" s="33">
        <v>353</v>
      </c>
      <c r="C383" s="33">
        <v>3530</v>
      </c>
      <c r="D383" s="32" t="s">
        <v>635</v>
      </c>
      <c r="E383" s="740">
        <f>'SCH B-2.1'!I361</f>
        <v>37723393</v>
      </c>
      <c r="F383" s="772"/>
      <c r="G383" s="61">
        <v>4770018</v>
      </c>
      <c r="H383" s="1139">
        <v>1</v>
      </c>
      <c r="I383" s="68">
        <f t="shared" si="23"/>
        <v>4770018</v>
      </c>
      <c r="J383" s="740"/>
      <c r="K383" s="68">
        <f t="shared" si="24"/>
        <v>4770018</v>
      </c>
      <c r="L383" s="1144"/>
      <c r="M383" s="1137"/>
      <c r="N383" s="1137"/>
      <c r="O383" s="1137"/>
    </row>
    <row r="384" spans="1:15">
      <c r="A384" s="64">
        <v>5</v>
      </c>
      <c r="B384" s="33">
        <v>353</v>
      </c>
      <c r="C384" s="33">
        <v>3531</v>
      </c>
      <c r="D384" s="32" t="s">
        <v>636</v>
      </c>
      <c r="E384" s="740">
        <f>'SCH B-2.1'!I362</f>
        <v>10844053</v>
      </c>
      <c r="F384" s="772"/>
      <c r="G384" s="61">
        <v>5583415</v>
      </c>
      <c r="H384" s="1139">
        <v>1</v>
      </c>
      <c r="I384" s="68">
        <f t="shared" si="23"/>
        <v>5583415</v>
      </c>
      <c r="J384" s="740"/>
      <c r="K384" s="68">
        <f t="shared" si="24"/>
        <v>5583415</v>
      </c>
      <c r="L384" s="1144"/>
      <c r="M384" s="1137"/>
      <c r="N384" s="1137"/>
      <c r="O384" s="1137"/>
    </row>
    <row r="385" spans="1:15">
      <c r="A385" s="64">
        <v>6</v>
      </c>
      <c r="B385" s="33">
        <v>353</v>
      </c>
      <c r="C385" s="33">
        <v>3532</v>
      </c>
      <c r="D385" s="32" t="s">
        <v>637</v>
      </c>
      <c r="E385" s="740">
        <f>'SCH B-2.1'!I363</f>
        <v>13244554</v>
      </c>
      <c r="F385" s="772"/>
      <c r="G385" s="61">
        <v>3097491</v>
      </c>
      <c r="H385" s="1139">
        <v>1</v>
      </c>
      <c r="I385" s="68">
        <f t="shared" si="23"/>
        <v>3097491</v>
      </c>
      <c r="J385" s="740"/>
      <c r="K385" s="68">
        <f t="shared" si="24"/>
        <v>3097491</v>
      </c>
      <c r="L385" s="1144"/>
      <c r="M385" s="1137"/>
      <c r="N385" s="1137"/>
      <c r="O385" s="1137"/>
    </row>
    <row r="386" spans="1:15">
      <c r="A386" s="64">
        <v>7</v>
      </c>
      <c r="B386" s="33">
        <v>353</v>
      </c>
      <c r="C386" s="33">
        <v>3534</v>
      </c>
      <c r="D386" s="32" t="s">
        <v>638</v>
      </c>
      <c r="E386" s="740">
        <f>'SCH B-2.1'!I364</f>
        <v>8872106</v>
      </c>
      <c r="F386" s="772"/>
      <c r="G386" s="61">
        <v>3064316</v>
      </c>
      <c r="H386" s="1139">
        <v>1</v>
      </c>
      <c r="I386" s="68">
        <f t="shared" si="23"/>
        <v>3064316</v>
      </c>
      <c r="J386" s="740"/>
      <c r="K386" s="68">
        <f t="shared" si="24"/>
        <v>3064316</v>
      </c>
      <c r="L386" s="1144"/>
      <c r="M386" s="1137"/>
      <c r="N386" s="1137"/>
      <c r="O386" s="1137"/>
    </row>
    <row r="387" spans="1:15">
      <c r="A387" s="64">
        <v>8</v>
      </c>
      <c r="B387" s="33">
        <v>355</v>
      </c>
      <c r="C387" s="33">
        <v>3550</v>
      </c>
      <c r="D387" s="32" t="s">
        <v>639</v>
      </c>
      <c r="E387" s="740">
        <f>'SCH B-2.1'!I365</f>
        <v>46250360</v>
      </c>
      <c r="F387" s="772"/>
      <c r="G387" s="61">
        <v>-4105066</v>
      </c>
      <c r="H387" s="1139">
        <v>1</v>
      </c>
      <c r="I387" s="68">
        <f t="shared" si="23"/>
        <v>-4105066</v>
      </c>
      <c r="J387" s="740"/>
      <c r="K387" s="68">
        <f t="shared" si="24"/>
        <v>-4105066</v>
      </c>
      <c r="L387" s="1144"/>
      <c r="M387" s="1137"/>
      <c r="N387" s="1137"/>
      <c r="O387" s="1137"/>
    </row>
    <row r="388" spans="1:15">
      <c r="A388" s="64">
        <v>9</v>
      </c>
      <c r="B388" s="33">
        <v>356</v>
      </c>
      <c r="C388" s="33">
        <v>3560</v>
      </c>
      <c r="D388" s="32" t="s">
        <v>640</v>
      </c>
      <c r="E388" s="740">
        <f>'SCH B-2.1'!I366</f>
        <v>22467590</v>
      </c>
      <c r="F388" s="772"/>
      <c r="G388" s="61">
        <v>3024749</v>
      </c>
      <c r="H388" s="1139">
        <v>1</v>
      </c>
      <c r="I388" s="68">
        <f t="shared" si="23"/>
        <v>3024749</v>
      </c>
      <c r="J388" s="740"/>
      <c r="K388" s="68">
        <f t="shared" si="24"/>
        <v>3024749</v>
      </c>
      <c r="L388" s="1144"/>
      <c r="M388" s="1137"/>
      <c r="N388" s="1137"/>
      <c r="O388" s="1137"/>
    </row>
    <row r="389" spans="1:15">
      <c r="A389" s="64">
        <v>10</v>
      </c>
      <c r="B389" s="33">
        <v>356</v>
      </c>
      <c r="C389" s="33">
        <v>3561</v>
      </c>
      <c r="D389" s="32" t="s">
        <v>641</v>
      </c>
      <c r="E389" s="740">
        <f>'SCH B-2.1'!I367</f>
        <v>3303607</v>
      </c>
      <c r="F389" s="772"/>
      <c r="G389" s="61">
        <v>254768</v>
      </c>
      <c r="H389" s="1139">
        <v>1</v>
      </c>
      <c r="I389" s="68">
        <f t="shared" si="23"/>
        <v>254768</v>
      </c>
      <c r="J389" s="740"/>
      <c r="K389" s="68">
        <f t="shared" si="24"/>
        <v>254768</v>
      </c>
      <c r="L389" s="1144"/>
      <c r="M389" s="1137"/>
      <c r="N389" s="1137"/>
      <c r="O389" s="1137"/>
    </row>
    <row r="390" spans="1:15">
      <c r="A390" s="64">
        <v>11</v>
      </c>
      <c r="B390" s="33"/>
      <c r="C390" s="33"/>
      <c r="D390" s="32" t="s">
        <v>617</v>
      </c>
      <c r="E390" s="740">
        <f>'SCH B-2.1'!I368</f>
        <v>0</v>
      </c>
      <c r="F390" s="772"/>
      <c r="G390" s="61">
        <v>0</v>
      </c>
      <c r="H390" s="1139">
        <v>1</v>
      </c>
      <c r="I390" s="68">
        <f t="shared" si="23"/>
        <v>0</v>
      </c>
      <c r="J390" s="740"/>
      <c r="K390" s="68">
        <f t="shared" si="24"/>
        <v>0</v>
      </c>
      <c r="L390" s="1144"/>
      <c r="M390" s="1137"/>
      <c r="N390" s="1137"/>
      <c r="O390" s="1137"/>
    </row>
    <row r="391" spans="1:15">
      <c r="A391" s="64">
        <v>12</v>
      </c>
      <c r="B391" s="33"/>
      <c r="C391" s="33">
        <v>108</v>
      </c>
      <c r="D391" s="32" t="s">
        <v>796</v>
      </c>
      <c r="E391" s="740">
        <f>'SCH B-2.1'!I369</f>
        <v>0</v>
      </c>
      <c r="F391" s="772"/>
      <c r="G391" s="61">
        <v>-4842092</v>
      </c>
      <c r="H391" s="1139">
        <v>1</v>
      </c>
      <c r="I391" s="68">
        <f t="shared" si="23"/>
        <v>-4842092</v>
      </c>
      <c r="J391" s="740"/>
      <c r="K391" s="68">
        <f t="shared" si="24"/>
        <v>-4842092</v>
      </c>
      <c r="L391" s="1144"/>
      <c r="M391" s="1137"/>
      <c r="N391" s="1137"/>
      <c r="O391" s="1137"/>
    </row>
    <row r="392" spans="1:15">
      <c r="A392" s="64"/>
      <c r="B392" s="65"/>
      <c r="C392" s="64"/>
      <c r="D392" s="67"/>
      <c r="E392" s="740"/>
      <c r="F392" s="772"/>
      <c r="G392" s="61"/>
      <c r="H392" s="791"/>
      <c r="I392" s="68"/>
      <c r="J392" s="740"/>
      <c r="K392" s="68"/>
      <c r="L392" s="1144"/>
      <c r="M392" s="1137"/>
      <c r="N392" s="1137"/>
      <c r="O392" s="1137"/>
    </row>
    <row r="393" spans="1:15">
      <c r="A393" s="64"/>
      <c r="B393" s="65"/>
      <c r="C393" s="64"/>
      <c r="D393" s="67"/>
      <c r="E393" s="740"/>
      <c r="F393" s="772"/>
      <c r="G393" s="61"/>
      <c r="H393" s="791"/>
      <c r="I393" s="68"/>
      <c r="J393" s="740"/>
      <c r="K393" s="68"/>
      <c r="L393" s="1144"/>
      <c r="M393" s="1137"/>
      <c r="N393" s="1137"/>
      <c r="O393" s="1137"/>
    </row>
    <row r="394" spans="1:15">
      <c r="A394" s="65"/>
      <c r="B394" s="65"/>
      <c r="C394" s="65"/>
      <c r="D394" s="65"/>
      <c r="E394" s="65"/>
      <c r="F394" s="1458"/>
      <c r="G394" s="68"/>
      <c r="H394" s="791"/>
      <c r="I394" s="68"/>
      <c r="J394" s="68"/>
      <c r="K394" s="68"/>
      <c r="L394" s="1144"/>
      <c r="M394" s="1137"/>
      <c r="N394" s="1137"/>
      <c r="O394" s="1137"/>
    </row>
    <row r="395" spans="1:15">
      <c r="A395" s="2099"/>
      <c r="B395" s="2099"/>
      <c r="C395" s="2099"/>
      <c r="D395" s="2099"/>
      <c r="E395" s="2099"/>
      <c r="F395" s="63"/>
      <c r="G395" s="2102"/>
      <c r="H395" s="2103"/>
      <c r="I395" s="2102"/>
      <c r="J395" s="2102"/>
      <c r="K395" s="2102"/>
      <c r="L395" s="1144"/>
      <c r="M395" s="1137"/>
      <c r="N395" s="1137"/>
      <c r="O395" s="1137"/>
    </row>
    <row r="396" spans="1:15">
      <c r="A396" s="64">
        <v>13</v>
      </c>
      <c r="B396" s="65"/>
      <c r="C396" s="65"/>
      <c r="D396" s="67" t="s">
        <v>642</v>
      </c>
      <c r="E396" s="68">
        <f>SUM(E380:E392)</f>
        <v>160703839</v>
      </c>
      <c r="F396" s="67"/>
      <c r="G396" s="68">
        <f>SUM(G380:G392)</f>
        <v>12744269</v>
      </c>
      <c r="H396" s="791"/>
      <c r="I396" s="68">
        <f>SUM(I380:I392)</f>
        <v>12744269</v>
      </c>
      <c r="J396" s="68">
        <f>SUM(J380:J392)</f>
        <v>0</v>
      </c>
      <c r="K396" s="68">
        <f>SUM(K380:K392)</f>
        <v>12744269</v>
      </c>
      <c r="L396" s="1144"/>
      <c r="M396" s="1137"/>
      <c r="N396" s="2088" t="str">
        <f>IF(E396='SCH B-2.1'!I372,"BALANCED","ERROR")</f>
        <v>BALANCED</v>
      </c>
      <c r="O396" s="1137"/>
    </row>
    <row r="397" spans="1:15">
      <c r="A397" s="65"/>
      <c r="B397" s="65"/>
      <c r="C397" s="65"/>
      <c r="D397" s="65"/>
      <c r="E397" s="65"/>
      <c r="F397" s="1458"/>
      <c r="G397" s="68"/>
      <c r="H397" s="791"/>
      <c r="I397" s="68"/>
      <c r="J397" s="68"/>
      <c r="K397" s="68"/>
      <c r="L397" s="1144"/>
      <c r="M397" s="1137"/>
      <c r="N397" s="1137"/>
      <c r="O397" s="1137"/>
    </row>
    <row r="398" spans="1:15">
      <c r="A398" s="2099"/>
      <c r="B398" s="2099"/>
      <c r="C398" s="2099"/>
      <c r="D398" s="2099"/>
      <c r="E398" s="2099"/>
      <c r="F398" s="63"/>
      <c r="G398" s="2102"/>
      <c r="H398" s="2103"/>
      <c r="I398" s="2102"/>
      <c r="J398" s="2102"/>
      <c r="K398" s="2102"/>
      <c r="L398" s="1144"/>
      <c r="M398" s="1137"/>
      <c r="N398" s="1137"/>
      <c r="O398" s="1137"/>
    </row>
    <row r="399" spans="1:15">
      <c r="A399" s="783" t="s">
        <v>797</v>
      </c>
      <c r="B399" s="65"/>
      <c r="C399" s="65"/>
      <c r="D399" s="65"/>
      <c r="E399" s="65"/>
      <c r="F399" s="65"/>
      <c r="G399" s="68"/>
      <c r="H399" s="791"/>
      <c r="I399" s="68"/>
      <c r="J399" s="68"/>
      <c r="K399" s="68"/>
      <c r="L399" s="1144"/>
      <c r="M399" s="1137"/>
      <c r="N399" s="1137"/>
      <c r="O399" s="1137"/>
    </row>
    <row r="400" spans="1:15">
      <c r="A400" s="65"/>
      <c r="B400" s="65"/>
      <c r="C400" s="65"/>
      <c r="D400" s="65"/>
      <c r="E400" s="65"/>
      <c r="F400" s="65"/>
      <c r="G400" s="68"/>
      <c r="H400" s="791"/>
      <c r="I400" s="68"/>
      <c r="J400" s="68"/>
      <c r="K400" s="68"/>
      <c r="L400" s="1144"/>
      <c r="M400" s="1137"/>
      <c r="N400" s="1137"/>
      <c r="O400" s="1137"/>
    </row>
    <row r="401" spans="1:15">
      <c r="A401" s="785" t="str">
        <f>COMPANY</f>
        <v>DUKE ENERGY KENTUCKY, INC.</v>
      </c>
      <c r="B401" s="785"/>
      <c r="C401" s="785"/>
      <c r="D401" s="785"/>
      <c r="E401" s="785"/>
      <c r="F401" s="785"/>
      <c r="G401" s="785"/>
      <c r="H401" s="1135"/>
      <c r="I401" s="785"/>
      <c r="J401" s="785"/>
      <c r="K401" s="785"/>
      <c r="L401" s="1144"/>
      <c r="M401" s="1137"/>
      <c r="N401" s="1137"/>
      <c r="O401" s="1137"/>
    </row>
    <row r="402" spans="1:15">
      <c r="A402" s="785" t="str">
        <f>CASE</f>
        <v>CASE NO. 2024-00354</v>
      </c>
      <c r="B402" s="785"/>
      <c r="C402" s="785"/>
      <c r="D402" s="785"/>
      <c r="E402" s="785"/>
      <c r="F402" s="785"/>
      <c r="G402" s="785"/>
      <c r="H402" s="1135"/>
      <c r="I402" s="785"/>
      <c r="J402" s="785"/>
      <c r="K402" s="785"/>
      <c r="L402" s="1144"/>
      <c r="M402" s="1137"/>
      <c r="N402" s="1137"/>
      <c r="O402" s="1137"/>
    </row>
    <row r="403" spans="1:15">
      <c r="A403" s="785" t="str">
        <f>A281</f>
        <v>ACCUMULATED DEPRECIATION AND AMORTIZATION</v>
      </c>
      <c r="B403" s="785"/>
      <c r="C403" s="785"/>
      <c r="D403" s="785"/>
      <c r="E403" s="785"/>
      <c r="F403" s="785"/>
      <c r="G403" s="785"/>
      <c r="H403" s="1135"/>
      <c r="I403" s="785"/>
      <c r="J403" s="785"/>
      <c r="K403" s="785"/>
      <c r="L403" s="1144"/>
      <c r="M403" s="1137"/>
      <c r="N403" s="1137"/>
      <c r="O403" s="1137"/>
    </row>
    <row r="404" spans="1:15">
      <c r="A404" s="47" t="str">
        <f>"AS OF " &amp;RIGHT(Forecast,(LEN(Forecast)-16))</f>
        <v>AS OF JUNE 30, 2026</v>
      </c>
      <c r="B404" s="785"/>
      <c r="C404" s="785"/>
      <c r="D404" s="785"/>
      <c r="E404" s="785"/>
      <c r="F404" s="785"/>
      <c r="G404" s="785"/>
      <c r="H404" s="1135"/>
      <c r="I404" s="785"/>
      <c r="J404" s="785"/>
      <c r="K404" s="785"/>
      <c r="L404" s="1144"/>
      <c r="M404" s="1137"/>
      <c r="N404" s="1137"/>
      <c r="O404" s="1137"/>
    </row>
    <row r="405" spans="1:15">
      <c r="A405" s="785"/>
      <c r="B405" s="785"/>
      <c r="C405" s="785"/>
      <c r="D405" s="785"/>
      <c r="E405" s="785"/>
      <c r="F405" s="785"/>
      <c r="G405" s="785"/>
      <c r="H405" s="1135"/>
      <c r="I405" s="785"/>
      <c r="J405" s="785"/>
      <c r="K405" s="785"/>
      <c r="L405" s="1144"/>
      <c r="M405" s="1137"/>
      <c r="N405" s="1137"/>
      <c r="O405" s="1137"/>
    </row>
    <row r="406" spans="1:15">
      <c r="A406" s="785" t="s">
        <v>643</v>
      </c>
      <c r="B406" s="785"/>
      <c r="C406" s="785"/>
      <c r="D406" s="785"/>
      <c r="E406" s="785"/>
      <c r="F406" s="785"/>
      <c r="G406" s="785"/>
      <c r="H406" s="1135"/>
      <c r="I406" s="785"/>
      <c r="J406" s="785"/>
      <c r="K406" s="785"/>
      <c r="L406" s="1144"/>
      <c r="M406" s="1137"/>
      <c r="N406" s="1137"/>
      <c r="O406" s="1137"/>
    </row>
    <row r="407" spans="1:15">
      <c r="A407" s="786" t="s">
        <v>529</v>
      </c>
      <c r="B407" s="785"/>
      <c r="C407" s="785"/>
      <c r="D407" s="785"/>
      <c r="E407" s="785"/>
      <c r="F407" s="785"/>
      <c r="G407" s="785"/>
      <c r="H407" s="1135"/>
      <c r="I407" s="785"/>
      <c r="J407" s="785"/>
      <c r="K407" s="785"/>
      <c r="L407" s="1144"/>
      <c r="M407" s="1137"/>
      <c r="N407" s="1137"/>
      <c r="O407" s="1137"/>
    </row>
    <row r="408" spans="1:15">
      <c r="A408" s="65"/>
      <c r="B408" s="65"/>
      <c r="C408" s="65"/>
      <c r="D408" s="65"/>
      <c r="E408" s="65"/>
      <c r="F408" s="65"/>
      <c r="G408" s="65"/>
      <c r="H408" s="791"/>
      <c r="I408" s="65"/>
      <c r="J408" s="65"/>
      <c r="K408" s="65"/>
      <c r="L408" s="1144"/>
      <c r="M408" s="1137"/>
      <c r="N408" s="1137"/>
      <c r="O408" s="1137"/>
    </row>
    <row r="409" spans="1:15">
      <c r="A409" s="65"/>
      <c r="B409" s="65"/>
      <c r="C409" s="65"/>
      <c r="D409" s="65"/>
      <c r="E409" s="65"/>
      <c r="F409" s="65"/>
      <c r="G409" s="65"/>
      <c r="H409" s="791"/>
      <c r="I409" s="65"/>
      <c r="J409" s="67"/>
      <c r="K409" s="65"/>
      <c r="L409" s="1144"/>
      <c r="M409" s="1137"/>
      <c r="N409" s="1137"/>
      <c r="O409" s="1137"/>
    </row>
    <row r="410" spans="1:15">
      <c r="A410" s="67" t="str">
        <f>DataF</f>
        <v>DATA:  BASE PERIOD  "X" FORECASTED PERIOD</v>
      </c>
      <c r="B410" s="65"/>
      <c r="C410" s="65"/>
      <c r="D410" s="65"/>
      <c r="E410" s="65"/>
      <c r="F410" s="65"/>
      <c r="G410" s="65"/>
      <c r="H410" s="791"/>
      <c r="I410" s="65"/>
      <c r="J410" s="787" t="str">
        <f>J288</f>
        <v>SCHEDULE B-3</v>
      </c>
      <c r="K410" s="65"/>
      <c r="L410" s="1144"/>
      <c r="M410" s="1137"/>
      <c r="N410" s="1137"/>
      <c r="O410" s="1137"/>
    </row>
    <row r="411" spans="1:15">
      <c r="A411" s="67" t="str">
        <f>Type</f>
        <v xml:space="preserve">TYPE OF FILING:  "X" ORIGINAL   UPDATED    REVISED  </v>
      </c>
      <c r="B411" s="65"/>
      <c r="C411" s="65"/>
      <c r="D411" s="65"/>
      <c r="E411" s="65"/>
      <c r="F411" s="65"/>
      <c r="G411" s="65"/>
      <c r="H411" s="791"/>
      <c r="I411" s="65"/>
      <c r="J411" s="787" t="s">
        <v>687</v>
      </c>
      <c r="K411" s="65"/>
      <c r="L411" s="1144"/>
      <c r="M411" s="1137"/>
      <c r="N411" s="1137"/>
      <c r="O411" s="1137"/>
    </row>
    <row r="412" spans="1:15">
      <c r="A412" s="67" t="str">
        <f>A290</f>
        <v>WORK PAPER REFERENCE NO(S).: SCHEDULE B-2.1, SCHEDULE B-3.1</v>
      </c>
      <c r="B412" s="65"/>
      <c r="C412" s="65"/>
      <c r="D412" s="65"/>
      <c r="E412" s="65"/>
      <c r="F412" s="65"/>
      <c r="G412" s="65"/>
      <c r="H412" s="791"/>
      <c r="I412" s="65"/>
      <c r="J412" s="68" t="str">
        <f>J290</f>
        <v>WITNESS RESPONSIBLE:</v>
      </c>
      <c r="K412" s="65"/>
      <c r="L412" s="1144"/>
      <c r="M412" s="1137"/>
      <c r="N412" s="1137"/>
      <c r="O412" s="1137"/>
    </row>
    <row r="413" spans="1:15">
      <c r="A413" s="65"/>
      <c r="B413" s="65"/>
      <c r="C413" s="65"/>
      <c r="D413" s="65"/>
      <c r="E413" s="65"/>
      <c r="F413" s="65"/>
      <c r="G413" s="65"/>
      <c r="H413" s="791"/>
      <c r="I413" s="65"/>
      <c r="J413" s="65" t="str">
        <f>J291</f>
        <v>G. S. CARPENTER / S. S. MITCHELL</v>
      </c>
      <c r="K413" s="65"/>
      <c r="L413" s="1144"/>
      <c r="M413" s="1137"/>
      <c r="N413" s="1137"/>
      <c r="O413" s="1137"/>
    </row>
    <row r="414" spans="1:15">
      <c r="A414" s="65"/>
      <c r="B414" s="65"/>
      <c r="C414" s="65"/>
      <c r="D414" s="65"/>
      <c r="E414" s="65"/>
      <c r="F414" s="65"/>
      <c r="G414" s="65"/>
      <c r="H414" s="791"/>
      <c r="I414" s="65"/>
      <c r="J414" s="65"/>
      <c r="K414" s="65"/>
      <c r="L414" s="1144"/>
      <c r="M414" s="1137"/>
      <c r="N414" s="1137"/>
      <c r="O414" s="1137"/>
    </row>
    <row r="415" spans="1:15">
      <c r="A415" s="65"/>
      <c r="B415" s="65"/>
      <c r="C415" s="65"/>
      <c r="D415" s="65"/>
      <c r="E415" s="65"/>
      <c r="F415" s="1458"/>
      <c r="G415" s="65"/>
      <c r="H415" s="791"/>
      <c r="I415" s="65"/>
      <c r="J415" s="65"/>
      <c r="K415" s="65"/>
      <c r="L415" s="1144"/>
      <c r="M415" s="1137"/>
      <c r="N415" s="1137"/>
      <c r="O415" s="1137"/>
    </row>
    <row r="416" spans="1:15">
      <c r="A416" s="2099"/>
      <c r="B416" s="2107"/>
      <c r="C416" s="2106" t="s">
        <v>529</v>
      </c>
      <c r="D416" s="2099"/>
      <c r="E416" s="2100" t="str">
        <f>E294</f>
        <v>13 Month</v>
      </c>
      <c r="F416" s="62"/>
      <c r="G416" s="2099"/>
      <c r="H416" s="2103"/>
      <c r="I416" s="2099"/>
      <c r="J416" s="2099"/>
      <c r="K416" s="2099"/>
      <c r="L416" s="1144"/>
      <c r="M416" s="1137"/>
      <c r="N416" s="1137"/>
      <c r="O416" s="1137"/>
    </row>
    <row r="417" spans="1:15">
      <c r="A417" s="63"/>
      <c r="B417" s="62" t="s">
        <v>257</v>
      </c>
      <c r="C417" s="62" t="s">
        <v>605</v>
      </c>
      <c r="D417" s="63"/>
      <c r="E417" s="64" t="str">
        <f>E295</f>
        <v>Average</v>
      </c>
      <c r="F417" s="62"/>
      <c r="G417" s="1460" t="str">
        <f>G295</f>
        <v>13 Month Average Forecasted Period Accumulated Balances</v>
      </c>
      <c r="H417" s="1465"/>
      <c r="I417" s="1465"/>
      <c r="J417" s="1465"/>
      <c r="K417" s="1465"/>
      <c r="L417" s="1144"/>
      <c r="M417" s="1137"/>
      <c r="N417" s="1137"/>
      <c r="O417" s="1137"/>
    </row>
    <row r="418" spans="1:15">
      <c r="A418" s="64" t="s">
        <v>573</v>
      </c>
      <c r="B418" s="64" t="s">
        <v>606</v>
      </c>
      <c r="C418" s="64" t="s">
        <v>606</v>
      </c>
      <c r="D418" s="65"/>
      <c r="E418" s="784" t="str">
        <f>E296</f>
        <v>Forecasted</v>
      </c>
      <c r="F418" s="64"/>
      <c r="G418" s="64" t="s">
        <v>258</v>
      </c>
      <c r="H418" s="1138" t="s">
        <v>799</v>
      </c>
      <c r="I418" s="64" t="s">
        <v>800</v>
      </c>
      <c r="J418" s="65"/>
      <c r="K418" s="64" t="s">
        <v>575</v>
      </c>
      <c r="L418" s="1144"/>
      <c r="M418" s="1137"/>
      <c r="N418" s="1137"/>
      <c r="O418" s="1137"/>
    </row>
    <row r="419" spans="1:15">
      <c r="A419" s="64" t="s">
        <v>576</v>
      </c>
      <c r="B419" s="64" t="s">
        <v>576</v>
      </c>
      <c r="C419" s="64" t="s">
        <v>576</v>
      </c>
      <c r="D419" s="64" t="s">
        <v>607</v>
      </c>
      <c r="E419" s="784" t="str">
        <f>E297</f>
        <v>Period (1)</v>
      </c>
      <c r="F419" s="1461"/>
      <c r="G419" s="1461" t="s">
        <v>605</v>
      </c>
      <c r="H419" s="1463" t="s">
        <v>420</v>
      </c>
      <c r="I419" s="1461" t="s">
        <v>258</v>
      </c>
      <c r="J419" s="1461" t="s">
        <v>578</v>
      </c>
      <c r="K419" s="1461" t="s">
        <v>579</v>
      </c>
      <c r="L419" s="1144"/>
      <c r="M419" s="1137"/>
      <c r="N419" s="1137"/>
      <c r="O419" s="1137"/>
    </row>
    <row r="420" spans="1:15">
      <c r="A420" s="2099"/>
      <c r="B420" s="2099"/>
      <c r="C420" s="2099"/>
      <c r="D420" s="2099"/>
      <c r="E420" s="2099"/>
      <c r="F420" s="63"/>
      <c r="G420" s="64" t="s">
        <v>580</v>
      </c>
      <c r="H420" s="791"/>
      <c r="I420" s="64" t="s">
        <v>580</v>
      </c>
      <c r="J420" s="64" t="s">
        <v>580</v>
      </c>
      <c r="K420" s="64" t="s">
        <v>580</v>
      </c>
      <c r="L420" s="1144"/>
      <c r="M420" s="1137"/>
      <c r="N420" s="1137"/>
      <c r="O420" s="1137"/>
    </row>
    <row r="421" spans="1:15">
      <c r="A421" s="64" t="s">
        <v>382</v>
      </c>
      <c r="B421" s="65"/>
      <c r="C421" s="65"/>
      <c r="D421" s="65"/>
      <c r="E421" s="65"/>
      <c r="F421" s="65"/>
      <c r="G421" s="1137"/>
      <c r="H421" s="1141"/>
      <c r="I421" s="1137"/>
      <c r="J421" s="1137"/>
      <c r="K421" s="1137"/>
      <c r="L421" s="1144"/>
      <c r="M421" s="1137"/>
      <c r="N421" s="1137"/>
      <c r="O421" s="1137"/>
    </row>
    <row r="422" spans="1:15">
      <c r="A422" s="64">
        <v>1</v>
      </c>
      <c r="B422" s="53">
        <v>360</v>
      </c>
      <c r="C422" s="53">
        <v>3600</v>
      </c>
      <c r="D422" s="737" t="s">
        <v>608</v>
      </c>
      <c r="E422" s="740">
        <f>'SCH B-2.1'!I397</f>
        <v>18539153</v>
      </c>
      <c r="F422" s="67"/>
      <c r="G422" s="61">
        <v>35448</v>
      </c>
      <c r="H422" s="1139">
        <v>1</v>
      </c>
      <c r="I422" s="68">
        <f t="shared" ref="I422:I446" si="25">ROUND((G422*H422),0)</f>
        <v>35448</v>
      </c>
      <c r="J422" s="740"/>
      <c r="K422" s="68">
        <f t="shared" ref="K422:K446" si="26">I422+J422</f>
        <v>35448</v>
      </c>
      <c r="L422" s="1144"/>
      <c r="M422" s="1137"/>
      <c r="N422" s="1144"/>
      <c r="O422" s="1137"/>
    </row>
    <row r="423" spans="1:15">
      <c r="A423" s="64">
        <v>2</v>
      </c>
      <c r="B423" s="53">
        <v>360</v>
      </c>
      <c r="C423" s="53">
        <v>3601</v>
      </c>
      <c r="D423" s="737" t="s">
        <v>622</v>
      </c>
      <c r="E423" s="740">
        <f>'SCH B-2.1'!I398</f>
        <v>6075504</v>
      </c>
      <c r="F423" s="67"/>
      <c r="G423" s="61">
        <v>3366108</v>
      </c>
      <c r="H423" s="1139">
        <v>1</v>
      </c>
      <c r="I423" s="68">
        <f t="shared" si="25"/>
        <v>3366108</v>
      </c>
      <c r="J423" s="740"/>
      <c r="K423" s="68">
        <f t="shared" si="26"/>
        <v>3366108</v>
      </c>
      <c r="L423" s="1144"/>
      <c r="M423" s="1137"/>
      <c r="N423" s="1144"/>
      <c r="O423" s="1137"/>
    </row>
    <row r="424" spans="1:15">
      <c r="A424" s="64">
        <v>3</v>
      </c>
      <c r="B424" s="53">
        <v>361</v>
      </c>
      <c r="C424" s="53">
        <v>3610</v>
      </c>
      <c r="D424" s="737" t="s">
        <v>609</v>
      </c>
      <c r="E424" s="740">
        <f>'SCH B-2.1'!I399</f>
        <v>3462289</v>
      </c>
      <c r="F424" s="772"/>
      <c r="G424" s="61">
        <v>105148</v>
      </c>
      <c r="H424" s="1139">
        <v>1</v>
      </c>
      <c r="I424" s="68">
        <f t="shared" si="25"/>
        <v>105148</v>
      </c>
      <c r="J424" s="740"/>
      <c r="K424" s="68">
        <f t="shared" si="26"/>
        <v>105148</v>
      </c>
      <c r="L424" s="1144"/>
      <c r="M424" s="1137"/>
      <c r="N424" s="1144"/>
      <c r="O424" s="1137"/>
    </row>
    <row r="425" spans="1:15">
      <c r="A425" s="64">
        <v>4</v>
      </c>
      <c r="B425" s="53">
        <v>362</v>
      </c>
      <c r="C425" s="53">
        <v>3620</v>
      </c>
      <c r="D425" s="737" t="s">
        <v>635</v>
      </c>
      <c r="E425" s="740">
        <f>'SCH B-2.1'!I400</f>
        <v>104578229</v>
      </c>
      <c r="F425" s="772"/>
      <c r="G425" s="61">
        <v>20947546</v>
      </c>
      <c r="H425" s="1139">
        <v>1</v>
      </c>
      <c r="I425" s="68">
        <f t="shared" si="25"/>
        <v>20947546</v>
      </c>
      <c r="J425" s="740"/>
      <c r="K425" s="68">
        <f t="shared" si="26"/>
        <v>20947546</v>
      </c>
      <c r="L425" s="1144"/>
      <c r="M425" s="1137"/>
      <c r="N425" s="1144"/>
      <c r="O425" s="1137"/>
    </row>
    <row r="426" spans="1:15">
      <c r="A426" s="64">
        <f>A425+1</f>
        <v>5</v>
      </c>
      <c r="B426" s="53">
        <v>362</v>
      </c>
      <c r="C426" s="53">
        <v>3622</v>
      </c>
      <c r="D426" s="737" t="s">
        <v>637</v>
      </c>
      <c r="E426" s="740">
        <f>'SCH B-2.1'!I401</f>
        <v>54712564</v>
      </c>
      <c r="F426" s="772"/>
      <c r="G426" s="61">
        <v>12381127</v>
      </c>
      <c r="H426" s="1139">
        <v>1</v>
      </c>
      <c r="I426" s="68">
        <f t="shared" si="25"/>
        <v>12381127</v>
      </c>
      <c r="J426" s="740"/>
      <c r="K426" s="68">
        <f t="shared" si="26"/>
        <v>12381127</v>
      </c>
      <c r="L426" s="1144"/>
      <c r="M426" s="1137"/>
      <c r="N426" s="1144"/>
      <c r="O426" s="1137"/>
    </row>
    <row r="427" spans="1:15">
      <c r="A427" s="64">
        <f t="shared" ref="A427:A446" si="27">A426+1</f>
        <v>6</v>
      </c>
      <c r="B427" s="53">
        <v>363</v>
      </c>
      <c r="C427" s="53">
        <v>3630</v>
      </c>
      <c r="D427" s="737" t="s">
        <v>645</v>
      </c>
      <c r="E427" s="740">
        <f>'SCH B-2.1'!I402</f>
        <v>0</v>
      </c>
      <c r="F427" s="772"/>
      <c r="G427" s="61">
        <v>0</v>
      </c>
      <c r="H427" s="1139">
        <v>1</v>
      </c>
      <c r="I427" s="68">
        <f t="shared" si="25"/>
        <v>0</v>
      </c>
      <c r="J427" s="740"/>
      <c r="K427" s="68">
        <f t="shared" si="26"/>
        <v>0</v>
      </c>
      <c r="L427" s="1144"/>
      <c r="M427" s="1137"/>
      <c r="N427" s="1144"/>
      <c r="O427" s="1137"/>
    </row>
    <row r="428" spans="1:15">
      <c r="A428" s="64">
        <f t="shared" si="27"/>
        <v>7</v>
      </c>
      <c r="B428" s="53">
        <v>364</v>
      </c>
      <c r="C428" s="53">
        <v>3640</v>
      </c>
      <c r="D428" s="737" t="s">
        <v>646</v>
      </c>
      <c r="E428" s="740">
        <f>'SCH B-2.1'!I403</f>
        <v>89912849</v>
      </c>
      <c r="F428" s="772"/>
      <c r="G428" s="61">
        <v>30115243</v>
      </c>
      <c r="H428" s="1139">
        <v>1</v>
      </c>
      <c r="I428" s="68">
        <f t="shared" si="25"/>
        <v>30115243</v>
      </c>
      <c r="J428" s="740"/>
      <c r="K428" s="68">
        <f t="shared" si="26"/>
        <v>30115243</v>
      </c>
      <c r="L428" s="1144"/>
      <c r="M428" s="1137"/>
      <c r="N428" s="1144"/>
      <c r="O428" s="1137"/>
    </row>
    <row r="429" spans="1:15">
      <c r="A429" s="64">
        <f t="shared" si="27"/>
        <v>8</v>
      </c>
      <c r="B429" s="53">
        <v>365</v>
      </c>
      <c r="C429" s="53">
        <v>3650</v>
      </c>
      <c r="D429" s="737" t="s">
        <v>640</v>
      </c>
      <c r="E429" s="740">
        <f>'SCH B-2.1'!I404</f>
        <v>173850609</v>
      </c>
      <c r="F429" s="772"/>
      <c r="G429" s="61">
        <v>36966481</v>
      </c>
      <c r="H429" s="1139">
        <v>1</v>
      </c>
      <c r="I429" s="68">
        <f t="shared" si="25"/>
        <v>36966481</v>
      </c>
      <c r="J429" s="740"/>
      <c r="K429" s="68">
        <f t="shared" si="26"/>
        <v>36966481</v>
      </c>
      <c r="L429" s="1144"/>
      <c r="M429" s="1137"/>
      <c r="N429" s="1144"/>
      <c r="O429" s="1137"/>
    </row>
    <row r="430" spans="1:15">
      <c r="A430" s="64">
        <f t="shared" si="27"/>
        <v>9</v>
      </c>
      <c r="B430" s="53">
        <v>365</v>
      </c>
      <c r="C430" s="53">
        <v>3651</v>
      </c>
      <c r="D430" s="737" t="s">
        <v>641</v>
      </c>
      <c r="E430" s="740">
        <f>'SCH B-2.1'!I405</f>
        <v>9830247</v>
      </c>
      <c r="F430" s="772"/>
      <c r="G430" s="61">
        <v>1049899</v>
      </c>
      <c r="H430" s="1139">
        <v>1</v>
      </c>
      <c r="I430" s="68">
        <f t="shared" si="25"/>
        <v>1049899</v>
      </c>
      <c r="J430" s="740"/>
      <c r="K430" s="68">
        <f t="shared" si="26"/>
        <v>1049899</v>
      </c>
      <c r="L430" s="1144"/>
      <c r="M430" s="1137"/>
      <c r="N430" s="1144"/>
      <c r="O430" s="1137"/>
    </row>
    <row r="431" spans="1:15">
      <c r="A431" s="64">
        <f t="shared" si="27"/>
        <v>10</v>
      </c>
      <c r="B431" s="53">
        <v>366</v>
      </c>
      <c r="C431" s="53">
        <v>3660</v>
      </c>
      <c r="D431" s="737" t="s">
        <v>647</v>
      </c>
      <c r="E431" s="740">
        <f>'SCH B-2.1'!I406</f>
        <v>56165678</v>
      </c>
      <c r="F431" s="772"/>
      <c r="G431" s="61">
        <v>11686738</v>
      </c>
      <c r="H431" s="1139">
        <v>1</v>
      </c>
      <c r="I431" s="68">
        <f t="shared" si="25"/>
        <v>11686738</v>
      </c>
      <c r="J431" s="740"/>
      <c r="K431" s="68">
        <f t="shared" si="26"/>
        <v>11686738</v>
      </c>
      <c r="L431" s="1144"/>
      <c r="M431" s="1137"/>
      <c r="N431" s="1144"/>
      <c r="O431" s="1137"/>
    </row>
    <row r="432" spans="1:15">
      <c r="A432" s="64">
        <f t="shared" si="27"/>
        <v>11</v>
      </c>
      <c r="B432" s="53">
        <v>367</v>
      </c>
      <c r="C432" s="53">
        <v>3670</v>
      </c>
      <c r="D432" s="737" t="s">
        <v>648</v>
      </c>
      <c r="E432" s="740">
        <f>'SCH B-2.1'!I407</f>
        <v>114333811</v>
      </c>
      <c r="F432" s="772"/>
      <c r="G432" s="61">
        <v>27493586</v>
      </c>
      <c r="H432" s="1139">
        <v>1</v>
      </c>
      <c r="I432" s="68">
        <f t="shared" si="25"/>
        <v>27493586</v>
      </c>
      <c r="J432" s="740"/>
      <c r="K432" s="68">
        <f t="shared" si="26"/>
        <v>27493586</v>
      </c>
      <c r="L432" s="1144"/>
      <c r="M432" s="1137"/>
      <c r="N432" s="1144"/>
      <c r="O432" s="1137"/>
    </row>
    <row r="433" spans="1:15">
      <c r="A433" s="64">
        <f t="shared" si="27"/>
        <v>12</v>
      </c>
      <c r="B433" s="53">
        <v>368</v>
      </c>
      <c r="C433" s="53">
        <v>3680</v>
      </c>
      <c r="D433" s="737" t="s">
        <v>649</v>
      </c>
      <c r="E433" s="740">
        <f>'SCH B-2.1'!I408</f>
        <v>98810327</v>
      </c>
      <c r="F433" s="772"/>
      <c r="G433" s="61">
        <v>28786456</v>
      </c>
      <c r="H433" s="1139">
        <v>1</v>
      </c>
      <c r="I433" s="68">
        <f t="shared" si="25"/>
        <v>28786456</v>
      </c>
      <c r="J433" s="740"/>
      <c r="K433" s="68">
        <f t="shared" si="26"/>
        <v>28786456</v>
      </c>
      <c r="L433" s="1144"/>
      <c r="M433" s="1137"/>
      <c r="N433" s="1144"/>
      <c r="O433" s="1137"/>
    </row>
    <row r="434" spans="1:15">
      <c r="A434" s="64">
        <f t="shared" si="27"/>
        <v>13</v>
      </c>
      <c r="B434" s="53">
        <v>368</v>
      </c>
      <c r="C434" s="53">
        <v>3682</v>
      </c>
      <c r="D434" s="737" t="s">
        <v>650</v>
      </c>
      <c r="E434" s="740">
        <f>'SCH B-2.1'!I409</f>
        <v>309394</v>
      </c>
      <c r="F434" s="772"/>
      <c r="G434" s="61">
        <v>280782</v>
      </c>
      <c r="H434" s="1139">
        <v>1</v>
      </c>
      <c r="I434" s="68">
        <f t="shared" si="25"/>
        <v>280782</v>
      </c>
      <c r="J434" s="740"/>
      <c r="K434" s="68">
        <f t="shared" si="26"/>
        <v>280782</v>
      </c>
      <c r="L434" s="1144"/>
      <c r="M434" s="1137"/>
      <c r="N434" s="1144"/>
      <c r="O434" s="1137"/>
    </row>
    <row r="435" spans="1:15">
      <c r="A435" s="64">
        <f t="shared" si="27"/>
        <v>14</v>
      </c>
      <c r="B435" s="53">
        <v>369</v>
      </c>
      <c r="C435" s="53">
        <v>3691</v>
      </c>
      <c r="D435" s="737" t="s">
        <v>651</v>
      </c>
      <c r="E435" s="740">
        <f>'SCH B-2.1'!I410</f>
        <v>3219840</v>
      </c>
      <c r="F435" s="67"/>
      <c r="G435" s="61">
        <v>989964</v>
      </c>
      <c r="H435" s="1139">
        <v>1</v>
      </c>
      <c r="I435" s="68">
        <f t="shared" si="25"/>
        <v>989964</v>
      </c>
      <c r="J435" s="740"/>
      <c r="K435" s="68">
        <f t="shared" si="26"/>
        <v>989964</v>
      </c>
      <c r="L435" s="1144"/>
      <c r="M435" s="1137"/>
      <c r="N435" s="1144"/>
      <c r="O435" s="1137"/>
    </row>
    <row r="436" spans="1:15">
      <c r="A436" s="64">
        <f t="shared" si="27"/>
        <v>15</v>
      </c>
      <c r="B436" s="53">
        <v>369</v>
      </c>
      <c r="C436" s="53">
        <v>3692</v>
      </c>
      <c r="D436" s="737" t="s">
        <v>652</v>
      </c>
      <c r="E436" s="740">
        <f>'SCH B-2.1'!I411</f>
        <v>20305135</v>
      </c>
      <c r="F436" s="67"/>
      <c r="G436" s="61">
        <v>11210754</v>
      </c>
      <c r="H436" s="1139">
        <v>1</v>
      </c>
      <c r="I436" s="68">
        <f t="shared" si="25"/>
        <v>11210754</v>
      </c>
      <c r="J436" s="740"/>
      <c r="K436" s="68">
        <f t="shared" si="26"/>
        <v>11210754</v>
      </c>
      <c r="L436" s="1144"/>
      <c r="M436" s="1137"/>
      <c r="N436" s="1144"/>
      <c r="O436" s="1137"/>
    </row>
    <row r="437" spans="1:15">
      <c r="A437" s="64">
        <f>A436+1</f>
        <v>16</v>
      </c>
      <c r="B437" s="53">
        <v>370</v>
      </c>
      <c r="C437" s="53">
        <v>3700</v>
      </c>
      <c r="D437" s="737" t="s">
        <v>653</v>
      </c>
      <c r="E437" s="740">
        <f>'SCH B-2.1'!I412</f>
        <v>4263919</v>
      </c>
      <c r="F437" s="772"/>
      <c r="G437" s="61">
        <v>1595703</v>
      </c>
      <c r="H437" s="1139">
        <v>1</v>
      </c>
      <c r="I437" s="68">
        <f t="shared" si="25"/>
        <v>1595703</v>
      </c>
      <c r="J437" s="68"/>
      <c r="K437" s="68">
        <f t="shared" si="26"/>
        <v>1595703</v>
      </c>
      <c r="L437" s="1144"/>
      <c r="M437" s="1137"/>
      <c r="N437" s="1144"/>
      <c r="O437" s="1137"/>
    </row>
    <row r="438" spans="1:15">
      <c r="A438" s="64">
        <v>18</v>
      </c>
      <c r="B438" s="53">
        <v>370</v>
      </c>
      <c r="C438" s="1250">
        <v>3702</v>
      </c>
      <c r="D438" s="1131" t="s">
        <v>654</v>
      </c>
      <c r="E438" s="740">
        <f>'SCH B-2.1'!I413</f>
        <v>32132669</v>
      </c>
      <c r="F438" s="772"/>
      <c r="G438" s="61">
        <v>12610555</v>
      </c>
      <c r="H438" s="1139">
        <v>1</v>
      </c>
      <c r="I438" s="68">
        <f t="shared" si="25"/>
        <v>12610555</v>
      </c>
      <c r="J438" s="68"/>
      <c r="K438" s="68">
        <f t="shared" si="26"/>
        <v>12610555</v>
      </c>
      <c r="L438" s="1144"/>
      <c r="M438" s="1137"/>
      <c r="N438" s="1144"/>
      <c r="O438" s="1137"/>
    </row>
    <row r="439" spans="1:15">
      <c r="A439" s="64">
        <v>19</v>
      </c>
      <c r="B439" s="53">
        <v>371</v>
      </c>
      <c r="C439" s="1250" t="s">
        <v>655</v>
      </c>
      <c r="D439" s="1131" t="s">
        <v>656</v>
      </c>
      <c r="E439" s="740">
        <f>'SCH B-2.1'!I414</f>
        <v>1914967</v>
      </c>
      <c r="F439" s="772"/>
      <c r="G439" s="61">
        <v>329217</v>
      </c>
      <c r="H439" s="1139">
        <v>1</v>
      </c>
      <c r="I439" s="68">
        <f t="shared" si="25"/>
        <v>329217</v>
      </c>
      <c r="J439" s="740"/>
      <c r="K439" s="68">
        <f t="shared" si="26"/>
        <v>329217</v>
      </c>
      <c r="L439" s="1144"/>
      <c r="M439" s="1137"/>
      <c r="N439" s="1144"/>
      <c r="O439" s="1137"/>
    </row>
    <row r="440" spans="1:15">
      <c r="A440" s="64">
        <f t="shared" si="27"/>
        <v>20</v>
      </c>
      <c r="B440" s="53">
        <v>372</v>
      </c>
      <c r="C440" s="53">
        <v>3720</v>
      </c>
      <c r="D440" s="737" t="s">
        <v>657</v>
      </c>
      <c r="E440" s="740">
        <f>'SCH B-2.1'!I415</f>
        <v>10907</v>
      </c>
      <c r="F440" s="772"/>
      <c r="G440" s="61">
        <v>9668</v>
      </c>
      <c r="H440" s="1139">
        <v>1</v>
      </c>
      <c r="I440" s="68">
        <f t="shared" si="25"/>
        <v>9668</v>
      </c>
      <c r="J440" s="740"/>
      <c r="K440" s="68">
        <f t="shared" si="26"/>
        <v>9668</v>
      </c>
      <c r="L440" s="1144"/>
      <c r="M440" s="1137"/>
      <c r="N440" s="1144"/>
      <c r="O440" s="1137"/>
    </row>
    <row r="441" spans="1:15">
      <c r="A441" s="64">
        <f t="shared" si="27"/>
        <v>21</v>
      </c>
      <c r="B441" s="53">
        <v>373</v>
      </c>
      <c r="C441" s="53">
        <v>3731</v>
      </c>
      <c r="D441" s="737" t="s">
        <v>658</v>
      </c>
      <c r="E441" s="740">
        <f>'SCH B-2.1'!I416</f>
        <v>2832017</v>
      </c>
      <c r="F441" s="772"/>
      <c r="G441" s="61">
        <v>2299101</v>
      </c>
      <c r="H441" s="1139">
        <v>1</v>
      </c>
      <c r="I441" s="68">
        <f t="shared" si="25"/>
        <v>2299101</v>
      </c>
      <c r="J441" s="740"/>
      <c r="K441" s="68">
        <f t="shared" si="26"/>
        <v>2299101</v>
      </c>
      <c r="L441" s="1144"/>
      <c r="M441" s="1137"/>
      <c r="N441" s="1144"/>
      <c r="O441" s="1137"/>
    </row>
    <row r="442" spans="1:15">
      <c r="A442" s="64">
        <f t="shared" si="27"/>
        <v>22</v>
      </c>
      <c r="B442" s="53">
        <v>373</v>
      </c>
      <c r="C442" s="53">
        <v>3732</v>
      </c>
      <c r="D442" s="737" t="s">
        <v>659</v>
      </c>
      <c r="E442" s="740">
        <f>'SCH B-2.1'!I417</f>
        <v>3879619</v>
      </c>
      <c r="F442" s="772"/>
      <c r="G442" s="61">
        <v>2823180</v>
      </c>
      <c r="H442" s="1139">
        <v>1</v>
      </c>
      <c r="I442" s="68">
        <f t="shared" si="25"/>
        <v>2823180</v>
      </c>
      <c r="J442" s="68"/>
      <c r="K442" s="68">
        <f t="shared" si="26"/>
        <v>2823180</v>
      </c>
      <c r="L442" s="1144"/>
      <c r="M442" s="1137"/>
      <c r="N442" s="1144"/>
      <c r="O442" s="1137"/>
    </row>
    <row r="443" spans="1:15">
      <c r="A443" s="64">
        <f t="shared" si="27"/>
        <v>23</v>
      </c>
      <c r="B443" s="53">
        <v>373</v>
      </c>
      <c r="C443" s="53">
        <v>3733</v>
      </c>
      <c r="D443" s="737" t="s">
        <v>660</v>
      </c>
      <c r="E443" s="740">
        <f>'SCH B-2.1'!I418</f>
        <v>0</v>
      </c>
      <c r="F443" s="772"/>
      <c r="G443" s="61">
        <v>1915943</v>
      </c>
      <c r="H443" s="1139">
        <v>1</v>
      </c>
      <c r="I443" s="68">
        <f t="shared" si="25"/>
        <v>1915943</v>
      </c>
      <c r="J443" s="68">
        <f>-I443</f>
        <v>-1915943</v>
      </c>
      <c r="K443" s="68">
        <f t="shared" si="26"/>
        <v>0</v>
      </c>
      <c r="L443" s="1144"/>
      <c r="M443" s="1137"/>
      <c r="N443" s="1144"/>
      <c r="O443" s="1137"/>
    </row>
    <row r="444" spans="1:15">
      <c r="A444" s="64">
        <f t="shared" si="27"/>
        <v>24</v>
      </c>
      <c r="B444" s="53">
        <v>373</v>
      </c>
      <c r="C444" s="53">
        <v>3734</v>
      </c>
      <c r="D444" s="737" t="s">
        <v>661</v>
      </c>
      <c r="E444" s="740">
        <f>'SCH B-2.1'!I419</f>
        <v>0</v>
      </c>
      <c r="F444" s="772"/>
      <c r="G444" s="61">
        <v>-1195712</v>
      </c>
      <c r="H444" s="1139">
        <v>1</v>
      </c>
      <c r="I444" s="68">
        <f t="shared" si="25"/>
        <v>-1195712</v>
      </c>
      <c r="J444" s="68">
        <f>-I444</f>
        <v>1195712</v>
      </c>
      <c r="K444" s="68">
        <f t="shared" si="26"/>
        <v>0</v>
      </c>
      <c r="L444" s="1144"/>
      <c r="M444" s="1137"/>
      <c r="N444" s="1144"/>
      <c r="O444" s="1137"/>
    </row>
    <row r="445" spans="1:15">
      <c r="A445" s="64">
        <f t="shared" si="27"/>
        <v>25</v>
      </c>
      <c r="B445" s="737"/>
      <c r="C445" s="737"/>
      <c r="D445" s="737" t="s">
        <v>617</v>
      </c>
      <c r="E445" s="740">
        <f>'SCH B-2.1'!I420</f>
        <v>0</v>
      </c>
      <c r="F445" s="772"/>
      <c r="G445" s="61">
        <v>0</v>
      </c>
      <c r="H445" s="1139">
        <v>1</v>
      </c>
      <c r="I445" s="68">
        <f t="shared" si="25"/>
        <v>0</v>
      </c>
      <c r="J445" s="68"/>
      <c r="K445" s="68">
        <f t="shared" si="26"/>
        <v>0</v>
      </c>
      <c r="L445" s="1144"/>
      <c r="M445" s="1137"/>
      <c r="N445" s="1144"/>
      <c r="O445" s="1137"/>
    </row>
    <row r="446" spans="1:15">
      <c r="A446" s="64">
        <f t="shared" si="27"/>
        <v>26</v>
      </c>
      <c r="B446" s="65"/>
      <c r="C446" s="64">
        <v>108</v>
      </c>
      <c r="D446" s="67" t="s">
        <v>796</v>
      </c>
      <c r="E446" s="740">
        <f>'SCH B-2.1'!I421</f>
        <v>0</v>
      </c>
      <c r="F446" s="772"/>
      <c r="G446" s="61">
        <v>-25130677</v>
      </c>
      <c r="H446" s="1139">
        <v>1</v>
      </c>
      <c r="I446" s="68">
        <f t="shared" si="25"/>
        <v>-25130677</v>
      </c>
      <c r="J446" s="787"/>
      <c r="K446" s="68">
        <f t="shared" si="26"/>
        <v>-25130677</v>
      </c>
      <c r="L446" s="1144"/>
      <c r="M446" s="1137"/>
      <c r="N446" s="1144"/>
      <c r="O446" s="1137"/>
    </row>
    <row r="447" spans="1:15">
      <c r="A447" s="64"/>
      <c r="B447" s="65"/>
      <c r="C447" s="33"/>
      <c r="D447" s="32"/>
      <c r="E447" s="740"/>
      <c r="F447" s="772"/>
      <c r="G447" s="61"/>
      <c r="H447" s="1139"/>
      <c r="I447" s="68"/>
      <c r="J447" s="787"/>
      <c r="K447" s="68"/>
      <c r="L447" s="1144"/>
      <c r="M447" s="1137"/>
      <c r="N447" s="1144"/>
      <c r="O447" s="1137"/>
    </row>
    <row r="448" spans="1:15">
      <c r="A448" s="65"/>
      <c r="B448" s="65"/>
      <c r="C448" s="65"/>
      <c r="D448" s="65"/>
      <c r="E448" s="65"/>
      <c r="F448" s="1458"/>
      <c r="G448" s="68"/>
      <c r="H448" s="1139"/>
      <c r="I448" s="68"/>
      <c r="J448" s="68"/>
      <c r="K448" s="68"/>
      <c r="L448" s="1144"/>
      <c r="N448" s="1137"/>
      <c r="O448" s="1137"/>
    </row>
    <row r="449" spans="1:15">
      <c r="A449" s="2099"/>
      <c r="B449" s="2099"/>
      <c r="C449" s="2099"/>
      <c r="D449" s="2099"/>
      <c r="E449" s="2099"/>
      <c r="F449" s="63"/>
      <c r="G449" s="2102"/>
      <c r="H449" s="2103"/>
      <c r="I449" s="2102"/>
      <c r="J449" s="2102"/>
      <c r="K449" s="2102"/>
      <c r="L449" s="1144"/>
      <c r="M449" s="1137"/>
      <c r="N449" s="1137"/>
      <c r="O449" s="1137"/>
    </row>
    <row r="450" spans="1:15">
      <c r="A450" s="64">
        <f>A446+1</f>
        <v>27</v>
      </c>
      <c r="B450" s="65"/>
      <c r="C450" s="65"/>
      <c r="D450" s="67" t="s">
        <v>662</v>
      </c>
      <c r="E450" s="68">
        <f>SUM(E422:E446)</f>
        <v>799139727</v>
      </c>
      <c r="F450" s="67"/>
      <c r="G450" s="68">
        <f>SUM(G422:G447)</f>
        <v>180672258</v>
      </c>
      <c r="H450" s="791"/>
      <c r="I450" s="68">
        <f>SUM(I422:I447)</f>
        <v>180672258</v>
      </c>
      <c r="J450" s="68">
        <f>SUM(J422:J447)</f>
        <v>-720231</v>
      </c>
      <c r="K450" s="68">
        <f>SUM(K422:K447)</f>
        <v>179952027</v>
      </c>
      <c r="L450" s="1144"/>
      <c r="M450" s="1137"/>
      <c r="N450" s="2088" t="str">
        <f>IF(E450='SCH B-2.1'!I425,"BALANCED","ERROR")</f>
        <v>BALANCED</v>
      </c>
      <c r="O450" s="1137"/>
    </row>
    <row r="451" spans="1:15">
      <c r="A451" s="65"/>
      <c r="B451" s="65"/>
      <c r="C451" s="65"/>
      <c r="D451" s="65"/>
      <c r="E451" s="65"/>
      <c r="F451" s="1458"/>
      <c r="G451" s="68"/>
      <c r="H451" s="791"/>
      <c r="I451" s="68"/>
      <c r="J451" s="68"/>
      <c r="K451" s="68"/>
      <c r="L451" s="1144"/>
      <c r="M451" s="1137"/>
      <c r="N451" s="1137"/>
      <c r="O451" s="1137"/>
    </row>
    <row r="452" spans="1:15">
      <c r="A452" s="2099"/>
      <c r="B452" s="2099"/>
      <c r="C452" s="2099"/>
      <c r="D452" s="2099"/>
      <c r="E452" s="2099"/>
      <c r="F452" s="63"/>
      <c r="G452" s="2102"/>
      <c r="H452" s="2103"/>
      <c r="I452" s="2102"/>
      <c r="J452" s="2102"/>
      <c r="K452" s="2102"/>
      <c r="L452" s="1144"/>
      <c r="M452" s="1137"/>
      <c r="N452" s="1137"/>
      <c r="O452" s="1137"/>
    </row>
    <row r="453" spans="1:15">
      <c r="A453" s="783" t="s">
        <v>797</v>
      </c>
      <c r="B453" s="65"/>
      <c r="C453" s="65"/>
      <c r="D453" s="65"/>
      <c r="E453" s="65"/>
      <c r="F453" s="65"/>
      <c r="G453" s="68"/>
      <c r="H453" s="791"/>
      <c r="I453" s="68"/>
      <c r="J453" s="68"/>
      <c r="K453" s="68"/>
      <c r="L453" s="1144"/>
      <c r="M453" s="1137"/>
      <c r="N453" s="1137"/>
      <c r="O453" s="1137"/>
    </row>
    <row r="454" spans="1:15">
      <c r="A454" s="65"/>
      <c r="B454" s="65"/>
      <c r="C454" s="65"/>
      <c r="D454" s="65"/>
      <c r="E454" s="65"/>
      <c r="F454" s="65"/>
      <c r="G454" s="68"/>
      <c r="H454" s="791"/>
      <c r="I454" s="68"/>
      <c r="J454" s="68"/>
      <c r="K454" s="68"/>
      <c r="L454" s="1144"/>
      <c r="M454" s="1137"/>
      <c r="N454" s="1137"/>
      <c r="O454" s="1137"/>
    </row>
    <row r="455" spans="1:15">
      <c r="A455" s="785" t="str">
        <f>COMPANY</f>
        <v>DUKE ENERGY KENTUCKY, INC.</v>
      </c>
      <c r="B455" s="785"/>
      <c r="C455" s="785"/>
      <c r="D455" s="785"/>
      <c r="E455" s="785"/>
      <c r="F455" s="785"/>
      <c r="G455" s="785"/>
      <c r="H455" s="1135"/>
      <c r="I455" s="785"/>
      <c r="J455" s="785"/>
      <c r="K455" s="785"/>
      <c r="L455" s="1144"/>
      <c r="M455" s="1137"/>
      <c r="N455" s="1137"/>
      <c r="O455" s="1137"/>
    </row>
    <row r="456" spans="1:15">
      <c r="A456" s="785" t="str">
        <f>CASE</f>
        <v>CASE NO. 2024-00354</v>
      </c>
      <c r="B456" s="785"/>
      <c r="C456" s="785"/>
      <c r="D456" s="785"/>
      <c r="E456" s="785"/>
      <c r="F456" s="785"/>
      <c r="G456" s="785"/>
      <c r="H456" s="1135"/>
      <c r="I456" s="785"/>
      <c r="J456" s="785"/>
      <c r="K456" s="785"/>
      <c r="L456" s="1144"/>
      <c r="M456" s="1137"/>
      <c r="N456" s="1137"/>
      <c r="O456" s="1137"/>
    </row>
    <row r="457" spans="1:15">
      <c r="A457" s="785" t="str">
        <f>A281</f>
        <v>ACCUMULATED DEPRECIATION AND AMORTIZATION</v>
      </c>
      <c r="B457" s="785"/>
      <c r="C457" s="785"/>
      <c r="D457" s="785"/>
      <c r="E457" s="785"/>
      <c r="F457" s="785"/>
      <c r="G457" s="785"/>
      <c r="H457" s="1135"/>
      <c r="I457" s="785"/>
      <c r="J457" s="785"/>
      <c r="K457" s="785"/>
      <c r="L457" s="1144"/>
      <c r="M457" s="1137"/>
      <c r="N457" s="1137"/>
      <c r="O457" s="1137"/>
    </row>
    <row r="458" spans="1:15">
      <c r="A458" s="47" t="str">
        <f>"AS OF " &amp;RIGHT(Forecast,(LEN(Forecast)-16))</f>
        <v>AS OF JUNE 30, 2026</v>
      </c>
      <c r="B458" s="785"/>
      <c r="C458" s="785"/>
      <c r="D458" s="785"/>
      <c r="E458" s="785"/>
      <c r="F458" s="785"/>
      <c r="G458" s="785"/>
      <c r="H458" s="1135"/>
      <c r="I458" s="785"/>
      <c r="J458" s="785"/>
      <c r="K458" s="785"/>
      <c r="L458" s="1144"/>
      <c r="M458" s="1137"/>
      <c r="N458" s="1137"/>
      <c r="O458" s="1137"/>
    </row>
    <row r="459" spans="1:15">
      <c r="A459" s="785"/>
      <c r="B459" s="785"/>
      <c r="C459" s="785"/>
      <c r="D459" s="785"/>
      <c r="E459" s="785"/>
      <c r="F459" s="785"/>
      <c r="G459" s="785"/>
      <c r="H459" s="1135"/>
      <c r="I459" s="785"/>
      <c r="J459" s="785"/>
      <c r="K459" s="785"/>
      <c r="L459" s="1144"/>
      <c r="M459" s="1137"/>
      <c r="N459" s="1137"/>
      <c r="O459" s="1137"/>
    </row>
    <row r="460" spans="1:15">
      <c r="A460" s="785" t="s">
        <v>663</v>
      </c>
      <c r="B460" s="785"/>
      <c r="C460" s="785"/>
      <c r="D460" s="785"/>
      <c r="E460" s="785"/>
      <c r="F460" s="785"/>
      <c r="G460" s="785"/>
      <c r="H460" s="1135"/>
      <c r="I460" s="785"/>
      <c r="J460" s="785"/>
      <c r="K460" s="785"/>
      <c r="L460" s="1144"/>
      <c r="M460" s="1137"/>
      <c r="N460" s="1137"/>
      <c r="O460" s="1137"/>
    </row>
    <row r="461" spans="1:15">
      <c r="A461" s="786" t="s">
        <v>529</v>
      </c>
      <c r="B461" s="785"/>
      <c r="C461" s="785"/>
      <c r="D461" s="785"/>
      <c r="E461" s="785"/>
      <c r="F461" s="785"/>
      <c r="G461" s="785"/>
      <c r="H461" s="1135"/>
      <c r="I461" s="785"/>
      <c r="J461" s="785"/>
      <c r="K461" s="785"/>
      <c r="L461" s="1144"/>
      <c r="M461" s="1137"/>
      <c r="N461" s="1137"/>
      <c r="O461" s="1137"/>
    </row>
    <row r="462" spans="1:15">
      <c r="A462" s="65"/>
      <c r="B462" s="65"/>
      <c r="C462" s="65"/>
      <c r="D462" s="65"/>
      <c r="E462" s="65"/>
      <c r="F462" s="65"/>
      <c r="G462" s="65"/>
      <c r="H462" s="791"/>
      <c r="I462" s="65"/>
      <c r="J462" s="65"/>
      <c r="K462" s="65"/>
      <c r="L462" s="1144"/>
      <c r="M462" s="1137"/>
      <c r="N462" s="1137"/>
      <c r="O462" s="1137"/>
    </row>
    <row r="463" spans="1:15">
      <c r="A463" s="1137"/>
      <c r="B463" s="65"/>
      <c r="C463" s="65"/>
      <c r="D463" s="65"/>
      <c r="E463" s="65"/>
      <c r="F463" s="65"/>
      <c r="G463" s="65"/>
      <c r="H463" s="791"/>
      <c r="I463" s="65"/>
      <c r="J463" s="67"/>
      <c r="K463" s="65"/>
      <c r="L463" s="1144"/>
      <c r="M463" s="1137"/>
      <c r="N463" s="1137"/>
      <c r="O463" s="1137"/>
    </row>
    <row r="464" spans="1:15">
      <c r="A464" s="67" t="str">
        <f>DataF</f>
        <v>DATA:  BASE PERIOD  "X" FORECASTED PERIOD</v>
      </c>
      <c r="B464" s="65"/>
      <c r="C464" s="65"/>
      <c r="D464" s="65"/>
      <c r="E464" s="65"/>
      <c r="F464" s="65"/>
      <c r="G464" s="65"/>
      <c r="H464" s="791"/>
      <c r="I464" s="65"/>
      <c r="J464" s="787" t="str">
        <f>J288</f>
        <v>SCHEDULE B-3</v>
      </c>
      <c r="K464" s="65"/>
      <c r="L464" s="1144"/>
      <c r="M464" s="1137"/>
      <c r="N464" s="1137"/>
      <c r="O464" s="1137"/>
    </row>
    <row r="465" spans="1:15">
      <c r="A465" s="67" t="str">
        <f>Type</f>
        <v xml:space="preserve">TYPE OF FILING:  "X" ORIGINAL   UPDATED    REVISED  </v>
      </c>
      <c r="B465" s="65"/>
      <c r="C465" s="65"/>
      <c r="D465" s="65"/>
      <c r="E465" s="65"/>
      <c r="F465" s="65"/>
      <c r="G465" s="65"/>
      <c r="H465" s="791"/>
      <c r="I465" s="65"/>
      <c r="J465" s="787" t="s">
        <v>689</v>
      </c>
      <c r="K465" s="65"/>
      <c r="L465" s="1144"/>
      <c r="M465" s="1137"/>
      <c r="N465" s="1137"/>
      <c r="O465" s="1137"/>
    </row>
    <row r="466" spans="1:15">
      <c r="A466" s="67" t="str">
        <f>A290</f>
        <v>WORK PAPER REFERENCE NO(S).: SCHEDULE B-2.1, SCHEDULE B-3.1</v>
      </c>
      <c r="B466" s="65"/>
      <c r="C466" s="65"/>
      <c r="D466" s="65"/>
      <c r="E466" s="65"/>
      <c r="F466" s="65"/>
      <c r="G466" s="65"/>
      <c r="H466" s="791"/>
      <c r="I466" s="65"/>
      <c r="J466" s="68" t="str">
        <f>J290</f>
        <v>WITNESS RESPONSIBLE:</v>
      </c>
      <c r="K466" s="65"/>
      <c r="L466" s="1144"/>
      <c r="M466" s="1137"/>
      <c r="N466" s="1137"/>
      <c r="O466" s="1137"/>
    </row>
    <row r="467" spans="1:15">
      <c r="A467" s="65"/>
      <c r="B467" s="65"/>
      <c r="C467" s="65"/>
      <c r="D467" s="65"/>
      <c r="E467" s="65"/>
      <c r="F467" s="65"/>
      <c r="G467" s="65"/>
      <c r="H467" s="791"/>
      <c r="I467" s="65"/>
      <c r="J467" s="65" t="str">
        <f>J291</f>
        <v>G. S. CARPENTER / S. S. MITCHELL</v>
      </c>
      <c r="K467" s="65"/>
      <c r="L467" s="1144"/>
      <c r="M467" s="1137"/>
      <c r="N467" s="1137"/>
      <c r="O467" s="1137"/>
    </row>
    <row r="468" spans="1:15">
      <c r="A468" s="65"/>
      <c r="B468" s="65"/>
      <c r="C468" s="65"/>
      <c r="D468" s="65"/>
      <c r="E468" s="65"/>
      <c r="F468" s="65"/>
      <c r="G468" s="65"/>
      <c r="H468" s="791"/>
      <c r="I468" s="65"/>
      <c r="J468" s="65"/>
      <c r="K468" s="65"/>
      <c r="L468" s="1144"/>
      <c r="M468" s="1137"/>
      <c r="N468" s="1137"/>
      <c r="O468" s="1137"/>
    </row>
    <row r="469" spans="1:15">
      <c r="A469" s="65"/>
      <c r="B469" s="1458"/>
      <c r="C469" s="65"/>
      <c r="D469" s="65"/>
      <c r="E469" s="65"/>
      <c r="F469" s="1458"/>
      <c r="G469" s="65"/>
      <c r="H469" s="791"/>
      <c r="I469" s="65"/>
      <c r="J469" s="65"/>
      <c r="K469" s="65"/>
      <c r="L469" s="1144"/>
      <c r="M469" s="1137"/>
      <c r="N469" s="1137"/>
      <c r="O469" s="1137"/>
    </row>
    <row r="470" spans="1:15">
      <c r="A470" s="2099"/>
      <c r="B470" s="62"/>
      <c r="C470" s="2106" t="s">
        <v>529</v>
      </c>
      <c r="D470" s="2099"/>
      <c r="E470" s="2100" t="str">
        <f>E294</f>
        <v>13 Month</v>
      </c>
      <c r="F470" s="62"/>
      <c r="G470" s="2099"/>
      <c r="H470" s="2103"/>
      <c r="I470" s="2099"/>
      <c r="J470" s="2099"/>
      <c r="K470" s="2099"/>
      <c r="L470" s="1144"/>
      <c r="M470" s="1137"/>
      <c r="N470" s="1137"/>
      <c r="O470" s="1137"/>
    </row>
    <row r="471" spans="1:15">
      <c r="A471" s="63"/>
      <c r="B471" s="62" t="s">
        <v>257</v>
      </c>
      <c r="C471" s="62" t="s">
        <v>605</v>
      </c>
      <c r="D471" s="63"/>
      <c r="E471" s="64" t="str">
        <f>E295</f>
        <v>Average</v>
      </c>
      <c r="F471" s="62"/>
      <c r="G471" s="1460" t="str">
        <f>G295</f>
        <v>13 Month Average Forecasted Period Accumulated Balances</v>
      </c>
      <c r="H471" s="1465"/>
      <c r="I471" s="1465"/>
      <c r="J471" s="1465"/>
      <c r="K471" s="1465"/>
      <c r="L471" s="1144"/>
      <c r="M471" s="1137"/>
      <c r="N471" s="1137"/>
      <c r="O471" s="1137"/>
    </row>
    <row r="472" spans="1:15">
      <c r="A472" s="64" t="s">
        <v>573</v>
      </c>
      <c r="B472" s="64" t="s">
        <v>606</v>
      </c>
      <c r="C472" s="64" t="s">
        <v>606</v>
      </c>
      <c r="D472" s="65"/>
      <c r="E472" s="784" t="str">
        <f>E296</f>
        <v>Forecasted</v>
      </c>
      <c r="F472" s="64"/>
      <c r="G472" s="64" t="s">
        <v>801</v>
      </c>
      <c r="H472" s="1138" t="s">
        <v>799</v>
      </c>
      <c r="I472" s="64" t="s">
        <v>800</v>
      </c>
      <c r="J472" s="65"/>
      <c r="K472" s="64" t="s">
        <v>575</v>
      </c>
      <c r="L472" s="1144"/>
      <c r="M472" s="1137"/>
      <c r="N472" s="1137"/>
      <c r="O472" s="1137"/>
    </row>
    <row r="473" spans="1:15">
      <c r="A473" s="64" t="s">
        <v>576</v>
      </c>
      <c r="B473" s="64" t="s">
        <v>576</v>
      </c>
      <c r="C473" s="64" t="s">
        <v>576</v>
      </c>
      <c r="D473" s="64" t="s">
        <v>607</v>
      </c>
      <c r="E473" s="784" t="str">
        <f>E297</f>
        <v>Period (1)</v>
      </c>
      <c r="F473" s="1461"/>
      <c r="G473" s="1461" t="s">
        <v>605</v>
      </c>
      <c r="H473" s="1463" t="s">
        <v>420</v>
      </c>
      <c r="I473" s="1461" t="s">
        <v>258</v>
      </c>
      <c r="J473" s="1461" t="s">
        <v>578</v>
      </c>
      <c r="K473" s="1461" t="s">
        <v>579</v>
      </c>
      <c r="L473" s="1144"/>
      <c r="M473" s="1137"/>
      <c r="N473" s="1137"/>
      <c r="O473" s="1137"/>
    </row>
    <row r="474" spans="1:15">
      <c r="A474" s="2099"/>
      <c r="B474" s="2099"/>
      <c r="C474" s="2099"/>
      <c r="D474" s="2099"/>
      <c r="E474" s="2099"/>
      <c r="F474" s="63"/>
      <c r="G474" s="64" t="s">
        <v>580</v>
      </c>
      <c r="H474" s="791"/>
      <c r="I474" s="64" t="s">
        <v>580</v>
      </c>
      <c r="J474" s="64" t="s">
        <v>580</v>
      </c>
      <c r="K474" s="64" t="s">
        <v>580</v>
      </c>
      <c r="L474" s="1144"/>
      <c r="M474" s="1137"/>
      <c r="N474" s="1137"/>
      <c r="O474" s="1137"/>
    </row>
    <row r="475" spans="1:15">
      <c r="A475" s="65"/>
      <c r="B475" s="65"/>
      <c r="C475" s="65"/>
      <c r="D475" s="65"/>
      <c r="E475" s="65"/>
      <c r="F475" s="65"/>
      <c r="G475" s="1137"/>
      <c r="H475" s="1141"/>
      <c r="I475" s="1137"/>
      <c r="J475" s="1137"/>
      <c r="K475" s="1137"/>
      <c r="L475" s="1144"/>
      <c r="M475" s="1137"/>
      <c r="N475" s="1137"/>
      <c r="O475" s="1137"/>
    </row>
    <row r="476" spans="1:15">
      <c r="A476" s="64">
        <f>A475+1</f>
        <v>1</v>
      </c>
      <c r="B476" s="53">
        <v>303</v>
      </c>
      <c r="C476" s="53">
        <v>3030</v>
      </c>
      <c r="D476" s="737" t="s">
        <v>665</v>
      </c>
      <c r="E476" s="740">
        <f>'SCH B-2.1'!I451</f>
        <v>57142504</v>
      </c>
      <c r="F476" s="65"/>
      <c r="G476" s="61">
        <v>23532655</v>
      </c>
      <c r="H476" s="1139">
        <v>1</v>
      </c>
      <c r="I476" s="68">
        <f t="shared" ref="I476:I490" si="28">ROUND(G476*H476,0)</f>
        <v>23532655</v>
      </c>
      <c r="J476" s="61"/>
      <c r="K476" s="68">
        <f t="shared" ref="K476:K490" si="29">I476+J476</f>
        <v>23532655</v>
      </c>
      <c r="L476" s="1144"/>
      <c r="M476" s="1137"/>
      <c r="N476" s="1137"/>
      <c r="O476" s="1137"/>
    </row>
    <row r="477" spans="1:15">
      <c r="A477" s="64">
        <f t="shared" ref="A477:A490" si="30">A476+1</f>
        <v>2</v>
      </c>
      <c r="B477" s="53">
        <v>390</v>
      </c>
      <c r="C477" s="53">
        <v>3900</v>
      </c>
      <c r="D477" s="737" t="s">
        <v>609</v>
      </c>
      <c r="E477" s="740">
        <f>'SCH B-2.1'!I452</f>
        <v>260891</v>
      </c>
      <c r="F477" s="67"/>
      <c r="G477" s="61">
        <v>79947</v>
      </c>
      <c r="H477" s="1139">
        <v>1</v>
      </c>
      <c r="I477" s="68">
        <f t="shared" si="28"/>
        <v>79947</v>
      </c>
      <c r="J477" s="68"/>
      <c r="K477" s="68">
        <f t="shared" si="29"/>
        <v>79947</v>
      </c>
      <c r="L477" s="1144"/>
      <c r="M477" s="1137"/>
      <c r="N477" s="1137"/>
      <c r="O477" s="1137"/>
    </row>
    <row r="478" spans="1:15">
      <c r="A478" s="64">
        <f t="shared" si="30"/>
        <v>3</v>
      </c>
      <c r="B478" s="53">
        <v>391</v>
      </c>
      <c r="C478" s="53">
        <v>3910</v>
      </c>
      <c r="D478" s="737" t="s">
        <v>666</v>
      </c>
      <c r="E478" s="740">
        <f>'SCH B-2.1'!I453</f>
        <v>585107</v>
      </c>
      <c r="F478" s="67"/>
      <c r="G478" s="61">
        <v>69298</v>
      </c>
      <c r="H478" s="1139">
        <v>1</v>
      </c>
      <c r="I478" s="68">
        <f t="shared" si="28"/>
        <v>69298</v>
      </c>
      <c r="J478" s="787"/>
      <c r="K478" s="68">
        <f t="shared" si="29"/>
        <v>69298</v>
      </c>
      <c r="L478" s="1144"/>
      <c r="M478" s="1137"/>
      <c r="N478" s="1137"/>
      <c r="O478" s="1137"/>
    </row>
    <row r="479" spans="1:15">
      <c r="A479" s="64">
        <f t="shared" si="30"/>
        <v>4</v>
      </c>
      <c r="B479" s="53">
        <v>391</v>
      </c>
      <c r="C479" s="53" t="s">
        <v>802</v>
      </c>
      <c r="D479" s="737" t="s">
        <v>803</v>
      </c>
      <c r="E479" s="740">
        <v>0</v>
      </c>
      <c r="F479" s="772"/>
      <c r="G479" s="61">
        <v>0</v>
      </c>
      <c r="H479" s="1139">
        <v>1</v>
      </c>
      <c r="I479" s="68">
        <f t="shared" si="28"/>
        <v>0</v>
      </c>
      <c r="J479" s="787"/>
      <c r="K479" s="68">
        <f t="shared" si="29"/>
        <v>0</v>
      </c>
      <c r="L479" s="1144"/>
      <c r="M479" s="1137"/>
      <c r="N479" s="1137"/>
      <c r="O479" s="1137"/>
    </row>
    <row r="480" spans="1:15">
      <c r="A480" s="64">
        <f t="shared" si="30"/>
        <v>5</v>
      </c>
      <c r="B480" s="53">
        <v>391</v>
      </c>
      <c r="C480" s="53">
        <v>3911</v>
      </c>
      <c r="D480" s="737" t="s">
        <v>667</v>
      </c>
      <c r="E480" s="740">
        <f>'SCH B-2.1'!I454</f>
        <v>7548018</v>
      </c>
      <c r="F480" s="772"/>
      <c r="G480" s="61">
        <v>2841630</v>
      </c>
      <c r="H480" s="1139">
        <v>1</v>
      </c>
      <c r="I480" s="68">
        <f t="shared" si="28"/>
        <v>2841630</v>
      </c>
      <c r="J480" s="787"/>
      <c r="K480" s="68">
        <f t="shared" si="29"/>
        <v>2841630</v>
      </c>
      <c r="L480" s="1144"/>
      <c r="M480" s="1137"/>
      <c r="N480" s="1137"/>
      <c r="O480" s="1137"/>
    </row>
    <row r="481" spans="1:15">
      <c r="A481" s="64">
        <f t="shared" si="30"/>
        <v>6</v>
      </c>
      <c r="B481" s="53">
        <v>391</v>
      </c>
      <c r="C481" s="53" t="s">
        <v>804</v>
      </c>
      <c r="D481" s="737" t="s">
        <v>805</v>
      </c>
      <c r="E481" s="740">
        <v>0</v>
      </c>
      <c r="F481" s="772"/>
      <c r="G481" s="61">
        <v>0</v>
      </c>
      <c r="H481" s="1139">
        <v>1</v>
      </c>
      <c r="I481" s="68">
        <f t="shared" si="28"/>
        <v>0</v>
      </c>
      <c r="J481" s="787"/>
      <c r="K481" s="68">
        <f t="shared" si="29"/>
        <v>0</v>
      </c>
      <c r="L481" s="1144"/>
      <c r="M481" s="1137"/>
      <c r="N481" s="1137"/>
      <c r="O481" s="1137"/>
    </row>
    <row r="482" spans="1:15">
      <c r="A482" s="64">
        <f t="shared" si="30"/>
        <v>7</v>
      </c>
      <c r="B482" s="53">
        <v>392</v>
      </c>
      <c r="C482" s="53">
        <v>3920</v>
      </c>
      <c r="D482" s="737" t="s">
        <v>668</v>
      </c>
      <c r="E482" s="740">
        <f>'SCH B-2.1'!I455</f>
        <v>1453958</v>
      </c>
      <c r="F482" s="772"/>
      <c r="G482" s="61">
        <v>591035</v>
      </c>
      <c r="H482" s="1139">
        <v>1</v>
      </c>
      <c r="I482" s="68">
        <f t="shared" si="28"/>
        <v>591035</v>
      </c>
      <c r="J482" s="787"/>
      <c r="K482" s="68">
        <f t="shared" si="29"/>
        <v>591035</v>
      </c>
      <c r="L482" s="1144"/>
      <c r="M482" s="1137"/>
      <c r="N482" s="1137"/>
      <c r="O482" s="1137"/>
    </row>
    <row r="483" spans="1:15">
      <c r="A483" s="64">
        <f t="shared" si="30"/>
        <v>8</v>
      </c>
      <c r="B483" s="53">
        <v>392</v>
      </c>
      <c r="C483" s="53">
        <v>3921</v>
      </c>
      <c r="D483" s="737" t="s">
        <v>669</v>
      </c>
      <c r="E483" s="740">
        <f>'SCH B-2.1'!I456</f>
        <v>427975</v>
      </c>
      <c r="F483" s="772"/>
      <c r="G483" s="61">
        <v>230282</v>
      </c>
      <c r="H483" s="1139">
        <v>1</v>
      </c>
      <c r="I483" s="68">
        <f t="shared" si="28"/>
        <v>230282</v>
      </c>
      <c r="J483" s="787"/>
      <c r="K483" s="68">
        <f t="shared" si="29"/>
        <v>230282</v>
      </c>
      <c r="L483" s="1144"/>
      <c r="M483" s="1137"/>
      <c r="N483" s="1137"/>
      <c r="O483" s="1137"/>
    </row>
    <row r="484" spans="1:15">
      <c r="A484" s="64">
        <f t="shared" si="30"/>
        <v>9</v>
      </c>
      <c r="B484" s="53">
        <v>394</v>
      </c>
      <c r="C484" s="53">
        <v>3940</v>
      </c>
      <c r="D484" s="737" t="s">
        <v>670</v>
      </c>
      <c r="E484" s="740">
        <f>'SCH B-2.1'!I457</f>
        <v>6449067</v>
      </c>
      <c r="F484" s="772"/>
      <c r="G484" s="61">
        <v>1673008</v>
      </c>
      <c r="H484" s="1139">
        <v>1</v>
      </c>
      <c r="I484" s="68">
        <f t="shared" si="28"/>
        <v>1673008</v>
      </c>
      <c r="J484" s="787"/>
      <c r="K484" s="68">
        <f t="shared" si="29"/>
        <v>1673008</v>
      </c>
      <c r="L484" s="1144"/>
      <c r="M484" s="1137"/>
      <c r="N484" s="1137"/>
      <c r="O484" s="1137"/>
    </row>
    <row r="485" spans="1:15">
      <c r="A485" s="64">
        <f t="shared" si="30"/>
        <v>10</v>
      </c>
      <c r="B485" s="53">
        <v>394</v>
      </c>
      <c r="C485" s="53" t="s">
        <v>806</v>
      </c>
      <c r="D485" s="737" t="s">
        <v>807</v>
      </c>
      <c r="E485">
        <v>0</v>
      </c>
      <c r="F485" s="772"/>
      <c r="G485" s="61">
        <v>0</v>
      </c>
      <c r="H485" s="1139">
        <v>1</v>
      </c>
      <c r="I485" s="68">
        <f t="shared" si="28"/>
        <v>0</v>
      </c>
      <c r="J485" s="68"/>
      <c r="K485" s="68">
        <f t="shared" si="29"/>
        <v>0</v>
      </c>
      <c r="L485" s="1144"/>
      <c r="M485" s="1137"/>
      <c r="N485" s="1137"/>
      <c r="O485" s="1137"/>
    </row>
    <row r="486" spans="1:15">
      <c r="A486" s="64">
        <f t="shared" si="30"/>
        <v>11</v>
      </c>
      <c r="B486" s="53">
        <v>396</v>
      </c>
      <c r="C486" s="53">
        <v>3960</v>
      </c>
      <c r="D486" s="737" t="s">
        <v>671</v>
      </c>
      <c r="E486" s="740">
        <f>'SCH B-2.1'!I458</f>
        <v>18515</v>
      </c>
      <c r="F486" s="67"/>
      <c r="G486" s="61">
        <v>10883</v>
      </c>
      <c r="H486" s="1139">
        <v>1</v>
      </c>
      <c r="I486" s="68">
        <f t="shared" si="28"/>
        <v>10883</v>
      </c>
      <c r="J486" s="787"/>
      <c r="K486" s="68">
        <f t="shared" si="29"/>
        <v>10883</v>
      </c>
      <c r="L486" s="1144"/>
      <c r="M486" s="1137"/>
      <c r="N486" s="1137"/>
      <c r="O486" s="1137"/>
    </row>
    <row r="487" spans="1:15">
      <c r="A487" s="64">
        <f t="shared" si="30"/>
        <v>12</v>
      </c>
      <c r="B487" s="53">
        <v>397</v>
      </c>
      <c r="C487" s="53">
        <v>3970</v>
      </c>
      <c r="D487" s="737" t="s">
        <v>672</v>
      </c>
      <c r="E487" s="740">
        <f>'SCH B-2.1'!I459</f>
        <v>33800485</v>
      </c>
      <c r="F487" s="67"/>
      <c r="G487" s="61">
        <v>7666922</v>
      </c>
      <c r="H487" s="1139">
        <v>1</v>
      </c>
      <c r="I487" s="68">
        <f t="shared" si="28"/>
        <v>7666922</v>
      </c>
      <c r="J487" s="68"/>
      <c r="K487" s="68">
        <f t="shared" si="29"/>
        <v>7666922</v>
      </c>
      <c r="L487" s="1144"/>
      <c r="M487" s="1137"/>
      <c r="N487" s="1137"/>
      <c r="O487" s="1137"/>
    </row>
    <row r="488" spans="1:15">
      <c r="A488" s="64">
        <f t="shared" si="30"/>
        <v>13</v>
      </c>
      <c r="B488" s="53">
        <v>397</v>
      </c>
      <c r="C488" s="53" t="s">
        <v>808</v>
      </c>
      <c r="D488" s="737" t="s">
        <v>809</v>
      </c>
      <c r="E488">
        <v>0</v>
      </c>
      <c r="F488" s="67"/>
      <c r="G488" s="61">
        <v>0</v>
      </c>
      <c r="H488" s="1139">
        <v>1</v>
      </c>
      <c r="I488" s="68">
        <f t="shared" si="28"/>
        <v>0</v>
      </c>
      <c r="J488" s="68"/>
      <c r="K488" s="68">
        <f t="shared" si="29"/>
        <v>0</v>
      </c>
      <c r="L488" s="1144"/>
      <c r="M488" s="1137"/>
      <c r="N488" s="1137"/>
      <c r="O488" s="1137"/>
    </row>
    <row r="489" spans="1:15">
      <c r="A489" s="64">
        <f t="shared" si="30"/>
        <v>14</v>
      </c>
      <c r="B489" s="53"/>
      <c r="C489" s="53"/>
      <c r="D489" s="737" t="s">
        <v>617</v>
      </c>
      <c r="E489" s="740">
        <f>'SCH B-2.1'!I460</f>
        <v>0</v>
      </c>
      <c r="F489" s="67"/>
      <c r="G489" s="61">
        <v>0</v>
      </c>
      <c r="H489" s="1139">
        <v>1</v>
      </c>
      <c r="I489" s="68">
        <f t="shared" si="28"/>
        <v>0</v>
      </c>
      <c r="J489" s="68"/>
      <c r="K489" s="68">
        <f t="shared" si="29"/>
        <v>0</v>
      </c>
      <c r="L489" s="1144"/>
      <c r="M489" s="1137"/>
      <c r="N489" s="1137"/>
      <c r="O489" s="1137"/>
    </row>
    <row r="490" spans="1:15">
      <c r="A490" s="64">
        <f t="shared" si="30"/>
        <v>15</v>
      </c>
      <c r="B490" s="737"/>
      <c r="C490" s="64">
        <v>108</v>
      </c>
      <c r="D490" s="67" t="s">
        <v>796</v>
      </c>
      <c r="E490" s="65">
        <v>0</v>
      </c>
      <c r="F490" s="65"/>
      <c r="G490" s="61">
        <v>11104</v>
      </c>
      <c r="H490" s="1139">
        <v>1</v>
      </c>
      <c r="I490" s="68">
        <f t="shared" si="28"/>
        <v>11104</v>
      </c>
      <c r="J490" s="68"/>
      <c r="K490" s="68">
        <f t="shared" si="29"/>
        <v>11104</v>
      </c>
      <c r="L490" s="1144"/>
      <c r="M490" s="1137"/>
      <c r="N490" s="1137"/>
      <c r="O490" s="1137"/>
    </row>
    <row r="491" spans="1:15">
      <c r="A491" s="65"/>
      <c r="B491" s="737"/>
      <c r="C491" s="64"/>
      <c r="D491" s="67"/>
      <c r="E491" s="65"/>
      <c r="F491" s="65"/>
      <c r="G491" s="787"/>
      <c r="H491" s="791"/>
      <c r="I491" s="68"/>
      <c r="J491" s="68"/>
      <c r="K491" s="68"/>
      <c r="L491" s="1144"/>
      <c r="M491" s="1137"/>
      <c r="N491" s="1137"/>
      <c r="O491" s="1137"/>
    </row>
    <row r="492" spans="1:15">
      <c r="A492" s="65"/>
      <c r="B492" s="65"/>
      <c r="C492" s="65"/>
      <c r="D492" s="65"/>
      <c r="E492" s="65"/>
      <c r="F492" s="1458"/>
      <c r="G492" s="68"/>
      <c r="H492" s="791"/>
      <c r="I492" s="68"/>
      <c r="J492" s="68"/>
      <c r="K492" s="68"/>
      <c r="L492" s="1144"/>
      <c r="M492" s="1137"/>
      <c r="N492" s="1137"/>
      <c r="O492" s="1137"/>
    </row>
    <row r="493" spans="1:15">
      <c r="A493" s="2099"/>
      <c r="B493" s="2099"/>
      <c r="C493" s="2099"/>
      <c r="D493" s="2099"/>
      <c r="E493" s="2099"/>
      <c r="F493" s="63"/>
      <c r="G493" s="2102"/>
      <c r="H493" s="2103"/>
      <c r="I493" s="2102"/>
      <c r="J493" s="2102"/>
      <c r="K493" s="2102"/>
      <c r="L493" s="1144"/>
      <c r="M493" s="1137"/>
      <c r="N493" s="1137"/>
      <c r="O493" s="1137"/>
    </row>
    <row r="494" spans="1:15">
      <c r="A494" s="64">
        <f>A490+1</f>
        <v>16</v>
      </c>
      <c r="B494" s="65"/>
      <c r="C494" s="65"/>
      <c r="D494" s="67" t="s">
        <v>673</v>
      </c>
      <c r="E494" s="740">
        <f>SUM(E476:E493)</f>
        <v>107686520</v>
      </c>
      <c r="F494" s="67"/>
      <c r="G494" s="740">
        <f>SUM(G476:G493)</f>
        <v>36706764</v>
      </c>
      <c r="H494" s="791"/>
      <c r="I494" s="740">
        <f>SUM(I476:I493)</f>
        <v>36706764</v>
      </c>
      <c r="J494" s="740">
        <f>SUM(J476:J493)</f>
        <v>0</v>
      </c>
      <c r="K494" s="740">
        <f>SUM(K476:K493)</f>
        <v>36706764</v>
      </c>
      <c r="L494" s="1144"/>
      <c r="M494" s="1137"/>
      <c r="N494" s="2088" t="str">
        <f>IF(E494='SCH B-2.1'!I464,"BALANCED","ERROR")</f>
        <v>BALANCED</v>
      </c>
      <c r="O494" s="1137"/>
    </row>
    <row r="495" spans="1:15">
      <c r="A495" s="65"/>
      <c r="B495" s="65"/>
      <c r="C495" s="65"/>
      <c r="D495" s="65"/>
      <c r="E495" s="65"/>
      <c r="F495" s="1458"/>
      <c r="G495" s="68"/>
      <c r="H495" s="791"/>
      <c r="I495" s="68"/>
      <c r="J495" s="68"/>
      <c r="K495" s="68"/>
      <c r="L495" s="1144"/>
      <c r="M495" s="1137"/>
      <c r="N495" s="1137"/>
      <c r="O495" s="1137"/>
    </row>
    <row r="496" spans="1:15">
      <c r="A496" s="2099"/>
      <c r="B496" s="2099"/>
      <c r="C496" s="2099"/>
      <c r="D496" s="2099"/>
      <c r="E496" s="2099"/>
      <c r="F496" s="63"/>
      <c r="G496" s="2102"/>
      <c r="H496" s="2103"/>
      <c r="I496" s="2102"/>
      <c r="J496" s="2102"/>
      <c r="K496" s="2102"/>
      <c r="L496" s="1144"/>
      <c r="M496" s="1137"/>
      <c r="N496" s="1137"/>
      <c r="O496" s="1137"/>
    </row>
    <row r="497" spans="1:15">
      <c r="A497" s="64">
        <f>A494+1</f>
        <v>17</v>
      </c>
      <c r="B497" s="65"/>
      <c r="C497" s="65"/>
      <c r="D497" s="67" t="s">
        <v>690</v>
      </c>
      <c r="E497" s="68">
        <f>E314+E356+E396+E450+E494</f>
        <v>2394043082</v>
      </c>
      <c r="F497" s="67"/>
      <c r="G497" s="68">
        <f>G314+G356+G396+G450+G494</f>
        <v>971003642</v>
      </c>
      <c r="H497" s="791"/>
      <c r="I497" s="68">
        <f>I314+I356+I396+I450+I494</f>
        <v>971003642</v>
      </c>
      <c r="J497" s="68">
        <f>J314+J356+J396+J450+J494</f>
        <v>-42524914</v>
      </c>
      <c r="K497" s="68">
        <f>K314+K356+K396+K450+K494</f>
        <v>928478728</v>
      </c>
      <c r="L497" s="1144"/>
      <c r="M497" s="1137"/>
      <c r="N497" s="2088" t="str">
        <f>IF(E497='SCH B-2.1'!I467,"BALANCED","ERROR")</f>
        <v>BALANCED</v>
      </c>
      <c r="O497" s="1137"/>
    </row>
    <row r="498" spans="1:15">
      <c r="A498" s="65"/>
      <c r="B498" s="65"/>
      <c r="C498" s="65"/>
      <c r="D498" s="65"/>
      <c r="E498" s="65"/>
      <c r="F498" s="1458"/>
      <c r="G498" s="65"/>
      <c r="H498" s="791"/>
      <c r="I498" s="65"/>
      <c r="J498" s="65"/>
      <c r="K498" s="65"/>
      <c r="L498" s="1144"/>
      <c r="M498" s="1137"/>
      <c r="N498" s="1137"/>
      <c r="O498" s="1137"/>
    </row>
    <row r="499" spans="1:15">
      <c r="A499" s="2099"/>
      <c r="B499" s="2099"/>
      <c r="C499" s="2099"/>
      <c r="D499" s="2099"/>
      <c r="E499" s="2099"/>
      <c r="F499" s="63"/>
      <c r="G499" s="2099"/>
      <c r="H499" s="2103"/>
      <c r="I499" s="2099"/>
      <c r="J499" s="2099"/>
      <c r="K499" s="2099"/>
      <c r="L499" s="1144"/>
      <c r="M499" s="1137"/>
      <c r="N499" s="1137"/>
      <c r="O499" s="1137"/>
    </row>
    <row r="500" spans="1:15">
      <c r="A500" s="783" t="s">
        <v>797</v>
      </c>
      <c r="B500" s="65"/>
      <c r="C500" s="65"/>
      <c r="D500" s="65"/>
      <c r="E500" s="65"/>
      <c r="F500" s="65"/>
      <c r="G500" s="65"/>
      <c r="H500" s="791"/>
      <c r="I500" s="65"/>
      <c r="J500" s="65"/>
      <c r="K500" s="65"/>
      <c r="L500" s="1144"/>
      <c r="M500" s="1137"/>
      <c r="N500" s="1137"/>
      <c r="O500" s="1137"/>
    </row>
    <row r="501" spans="1:15">
      <c r="A501" s="65"/>
      <c r="B501" s="65"/>
      <c r="C501" s="65"/>
      <c r="D501" s="65"/>
      <c r="E501" s="65"/>
      <c r="F501" s="65"/>
      <c r="G501" s="68"/>
      <c r="H501" s="791"/>
      <c r="I501" s="68"/>
      <c r="J501" s="68"/>
      <c r="K501" s="68"/>
      <c r="L501" s="1144"/>
      <c r="M501" s="1137"/>
      <c r="N501" s="1137"/>
      <c r="O501" s="1137"/>
    </row>
    <row r="502" spans="1:15">
      <c r="A502" s="785" t="str">
        <f>COMPANY</f>
        <v>DUKE ENERGY KENTUCKY, INC.</v>
      </c>
      <c r="B502" s="785"/>
      <c r="C502" s="785"/>
      <c r="D502" s="785"/>
      <c r="E502" s="785"/>
      <c r="F502" s="785"/>
      <c r="G502" s="785"/>
      <c r="H502" s="1135"/>
      <c r="I502" s="785"/>
      <c r="J502" s="785"/>
      <c r="K502" s="785"/>
      <c r="L502" s="1144"/>
      <c r="M502" s="1137"/>
      <c r="N502" s="1137"/>
      <c r="O502" s="1137"/>
    </row>
    <row r="503" spans="1:15">
      <c r="A503" s="785" t="str">
        <f>CASE</f>
        <v>CASE NO. 2024-00354</v>
      </c>
      <c r="B503" s="785"/>
      <c r="C503" s="785"/>
      <c r="D503" s="785"/>
      <c r="E503" s="785"/>
      <c r="F503" s="785"/>
      <c r="G503" s="785"/>
      <c r="H503" s="1135"/>
      <c r="I503" s="785"/>
      <c r="J503" s="785"/>
      <c r="K503" s="785"/>
      <c r="L503" s="1144"/>
      <c r="M503" s="1137"/>
      <c r="N503" s="1137"/>
      <c r="O503" s="1137"/>
    </row>
    <row r="504" spans="1:15">
      <c r="A504" s="785" t="str">
        <f>A281</f>
        <v>ACCUMULATED DEPRECIATION AND AMORTIZATION</v>
      </c>
      <c r="B504" s="785"/>
      <c r="C504" s="785"/>
      <c r="D504" s="785"/>
      <c r="E504" s="785"/>
      <c r="F504" s="785"/>
      <c r="G504" s="785"/>
      <c r="H504" s="1135"/>
      <c r="I504" s="785"/>
      <c r="J504" s="785"/>
      <c r="K504" s="785"/>
      <c r="L504" s="1144"/>
      <c r="M504" s="1137"/>
      <c r="N504" s="1137"/>
      <c r="O504" s="1137"/>
    </row>
    <row r="505" spans="1:15">
      <c r="A505" s="47" t="str">
        <f>"AS OF " &amp;RIGHT(Forecast,(LEN(Forecast)-16))</f>
        <v>AS OF JUNE 30, 2026</v>
      </c>
      <c r="B505" s="785"/>
      <c r="C505" s="785"/>
      <c r="D505" s="785"/>
      <c r="E505" s="785"/>
      <c r="F505" s="785"/>
      <c r="G505" s="785"/>
      <c r="H505" s="1135"/>
      <c r="I505" s="785"/>
      <c r="J505" s="785"/>
      <c r="K505" s="785"/>
      <c r="L505" s="1144"/>
      <c r="M505" s="1137"/>
      <c r="N505" s="1137"/>
      <c r="O505" s="1137"/>
    </row>
    <row r="506" spans="1:15">
      <c r="A506" s="785"/>
      <c r="B506" s="785"/>
      <c r="C506" s="785"/>
      <c r="D506" s="785"/>
      <c r="E506" s="785"/>
      <c r="F506" s="785"/>
      <c r="G506" s="785"/>
      <c r="H506" s="1135"/>
      <c r="I506" s="785"/>
      <c r="J506" s="785"/>
      <c r="K506" s="785"/>
      <c r="L506" s="1144"/>
      <c r="M506" s="1137"/>
      <c r="N506" s="1137"/>
      <c r="O506" s="1137"/>
    </row>
    <row r="507" spans="1:15">
      <c r="A507" s="785" t="s">
        <v>675</v>
      </c>
      <c r="B507" s="785"/>
      <c r="C507" s="785"/>
      <c r="D507" s="785"/>
      <c r="E507" s="785"/>
      <c r="F507" s="785"/>
      <c r="G507" s="785"/>
      <c r="H507" s="1135"/>
      <c r="I507" s="785"/>
      <c r="J507" s="785"/>
      <c r="K507" s="785"/>
      <c r="L507" s="1144"/>
      <c r="M507" s="1137"/>
      <c r="N507" s="1137"/>
      <c r="O507" s="1137"/>
    </row>
    <row r="508" spans="1:15">
      <c r="A508" s="786" t="s">
        <v>529</v>
      </c>
      <c r="B508" s="785"/>
      <c r="C508" s="785"/>
      <c r="D508" s="785"/>
      <c r="E508" s="785"/>
      <c r="F508" s="785"/>
      <c r="G508" s="785"/>
      <c r="H508" s="1135"/>
      <c r="I508" s="785"/>
      <c r="J508" s="785"/>
      <c r="K508" s="785"/>
      <c r="L508" s="1144"/>
      <c r="M508" s="1137"/>
      <c r="N508" s="1137"/>
      <c r="O508" s="1137"/>
    </row>
    <row r="509" spans="1:15">
      <c r="A509" s="65"/>
      <c r="B509" s="65"/>
      <c r="C509" s="65"/>
      <c r="D509" s="65"/>
      <c r="E509" s="65"/>
      <c r="F509" s="65"/>
      <c r="G509" s="65"/>
      <c r="H509" s="791"/>
      <c r="I509" s="65"/>
      <c r="J509" s="65"/>
      <c r="K509" s="65"/>
      <c r="L509" s="1144"/>
      <c r="M509" s="1137"/>
      <c r="N509" s="1137"/>
      <c r="O509" s="1137"/>
    </row>
    <row r="510" spans="1:15">
      <c r="A510" s="67"/>
      <c r="B510" s="65"/>
      <c r="C510" s="65"/>
      <c r="D510" s="65"/>
      <c r="E510" s="65"/>
      <c r="F510" s="65"/>
      <c r="G510" s="65"/>
      <c r="H510" s="791"/>
      <c r="I510" s="65"/>
      <c r="J510" s="67"/>
      <c r="K510" s="65"/>
      <c r="L510" s="1144"/>
      <c r="M510" s="1137"/>
      <c r="N510" s="1137"/>
      <c r="O510" s="1137"/>
    </row>
    <row r="511" spans="1:15">
      <c r="A511" s="67" t="str">
        <f>DataF</f>
        <v>DATA:  BASE PERIOD  "X" FORECASTED PERIOD</v>
      </c>
      <c r="B511" s="65"/>
      <c r="C511" s="65"/>
      <c r="D511" s="65"/>
      <c r="E511" s="65"/>
      <c r="F511" s="65"/>
      <c r="G511" s="65"/>
      <c r="H511" s="791"/>
      <c r="I511" s="65"/>
      <c r="J511" s="787" t="str">
        <f>J288</f>
        <v>SCHEDULE B-3</v>
      </c>
      <c r="K511" s="65"/>
      <c r="L511" s="1144"/>
      <c r="M511" s="1137"/>
      <c r="N511" s="1137"/>
      <c r="O511" s="1137"/>
    </row>
    <row r="512" spans="1:15">
      <c r="A512" s="67" t="str">
        <f>Type</f>
        <v xml:space="preserve">TYPE OF FILING:  "X" ORIGINAL   UPDATED    REVISED  </v>
      </c>
      <c r="B512" s="65"/>
      <c r="C512" s="65"/>
      <c r="D512" s="65"/>
      <c r="E512" s="65"/>
      <c r="F512" s="65"/>
      <c r="G512" s="65"/>
      <c r="H512" s="791"/>
      <c r="I512" s="65"/>
      <c r="J512" s="787" t="s">
        <v>691</v>
      </c>
      <c r="K512" s="65"/>
      <c r="L512" s="1144"/>
      <c r="M512" s="1137"/>
      <c r="N512" s="1137"/>
      <c r="O512" s="1137"/>
    </row>
    <row r="513" spans="1:15">
      <c r="A513" s="65" t="s">
        <v>793</v>
      </c>
      <c r="B513" s="65"/>
      <c r="C513" s="65"/>
      <c r="D513" s="65"/>
      <c r="E513" s="65"/>
      <c r="F513" s="65"/>
      <c r="G513" s="65"/>
      <c r="H513" s="791"/>
      <c r="I513" s="65"/>
      <c r="J513" s="68" t="str">
        <f>J290</f>
        <v>WITNESS RESPONSIBLE:</v>
      </c>
      <c r="K513" s="65"/>
      <c r="L513" s="1144"/>
      <c r="M513" s="1137"/>
      <c r="N513" s="1137"/>
      <c r="O513" s="1137"/>
    </row>
    <row r="514" spans="1:15">
      <c r="A514" s="65"/>
      <c r="B514" s="65"/>
      <c r="C514" s="65"/>
      <c r="D514" s="65"/>
      <c r="E514" s="65"/>
      <c r="F514" s="65"/>
      <c r="G514" s="65"/>
      <c r="H514" s="791"/>
      <c r="I514" s="65"/>
      <c r="J514" s="65" t="str">
        <f>J291</f>
        <v>G. S. CARPENTER / S. S. MITCHELL</v>
      </c>
      <c r="K514" s="65"/>
      <c r="L514" s="1144"/>
      <c r="M514" s="1137"/>
      <c r="N514" s="1137"/>
      <c r="O514" s="1137"/>
    </row>
    <row r="515" spans="1:15">
      <c r="A515" s="65"/>
      <c r="B515" s="65"/>
      <c r="C515" s="65"/>
      <c r="D515" s="65"/>
      <c r="E515" s="65"/>
      <c r="F515" s="65"/>
      <c r="G515" s="65"/>
      <c r="H515" s="791"/>
      <c r="I515" s="65"/>
      <c r="J515" s="65"/>
      <c r="K515" s="65"/>
      <c r="L515" s="1144"/>
      <c r="M515" s="1137"/>
      <c r="N515" s="1137"/>
      <c r="O515" s="1137"/>
    </row>
    <row r="516" spans="1:15">
      <c r="A516" s="65"/>
      <c r="B516" s="65"/>
      <c r="C516" s="65"/>
      <c r="D516" s="65"/>
      <c r="E516" s="65"/>
      <c r="F516" s="1458"/>
      <c r="G516" s="65"/>
      <c r="H516" s="791"/>
      <c r="I516" s="65"/>
      <c r="J516" s="65"/>
      <c r="K516" s="65"/>
      <c r="L516" s="1144"/>
      <c r="M516" s="1137"/>
      <c r="N516" s="1137"/>
      <c r="O516" s="1137"/>
    </row>
    <row r="517" spans="1:15">
      <c r="A517" s="2099"/>
      <c r="B517" s="2107"/>
      <c r="C517" s="2106" t="s">
        <v>529</v>
      </c>
      <c r="D517" s="2099"/>
      <c r="E517" s="2100" t="str">
        <f>E294</f>
        <v>13 Month</v>
      </c>
      <c r="F517" s="62"/>
      <c r="G517" s="2099"/>
      <c r="H517" s="2103"/>
      <c r="I517" s="2099"/>
      <c r="J517" s="2099"/>
      <c r="K517" s="2099"/>
      <c r="L517" s="1144"/>
      <c r="M517" s="1137"/>
      <c r="N517" s="1137"/>
      <c r="O517" s="1137"/>
    </row>
    <row r="518" spans="1:15">
      <c r="A518" s="63"/>
      <c r="B518" s="62" t="s">
        <v>257</v>
      </c>
      <c r="C518" s="62" t="s">
        <v>605</v>
      </c>
      <c r="D518" s="63"/>
      <c r="E518" s="64" t="str">
        <f>E295</f>
        <v>Average</v>
      </c>
      <c r="F518" s="62"/>
      <c r="G518" s="1460" t="str">
        <f>G295</f>
        <v>13 Month Average Forecasted Period Accumulated Balances</v>
      </c>
      <c r="H518" s="1465"/>
      <c r="I518" s="1465"/>
      <c r="J518" s="1465"/>
      <c r="K518" s="1465"/>
      <c r="L518" s="1144"/>
      <c r="M518" s="1137"/>
      <c r="N518" s="1137"/>
      <c r="O518" s="1137"/>
    </row>
    <row r="519" spans="1:15">
      <c r="A519" s="64" t="s">
        <v>573</v>
      </c>
      <c r="B519" s="64" t="s">
        <v>606</v>
      </c>
      <c r="C519" s="64" t="s">
        <v>606</v>
      </c>
      <c r="D519" s="65"/>
      <c r="E519" s="784" t="str">
        <f>E296</f>
        <v>Forecasted</v>
      </c>
      <c r="F519" s="64"/>
      <c r="G519" s="64" t="s">
        <v>258</v>
      </c>
      <c r="H519" s="1138" t="s">
        <v>799</v>
      </c>
      <c r="I519" s="64" t="s">
        <v>800</v>
      </c>
      <c r="J519" s="65"/>
      <c r="K519" s="64" t="s">
        <v>575</v>
      </c>
      <c r="L519" s="1144"/>
      <c r="M519" s="1137"/>
      <c r="N519" s="1137"/>
      <c r="O519" s="1137"/>
    </row>
    <row r="520" spans="1:15">
      <c r="A520" s="64" t="s">
        <v>576</v>
      </c>
      <c r="B520" s="64" t="s">
        <v>576</v>
      </c>
      <c r="C520" s="64" t="s">
        <v>576</v>
      </c>
      <c r="D520" s="64" t="s">
        <v>607</v>
      </c>
      <c r="E520" s="784" t="str">
        <f>E297</f>
        <v>Period (1)</v>
      </c>
      <c r="F520" s="1461"/>
      <c r="G520" s="1461" t="s">
        <v>605</v>
      </c>
      <c r="H520" s="1463" t="s">
        <v>420</v>
      </c>
      <c r="I520" s="1461" t="s">
        <v>258</v>
      </c>
      <c r="J520" s="1461" t="s">
        <v>578</v>
      </c>
      <c r="K520" s="1461" t="s">
        <v>579</v>
      </c>
      <c r="L520" s="1144"/>
      <c r="M520" s="1137"/>
      <c r="N520" s="1137"/>
      <c r="O520" s="1137"/>
    </row>
    <row r="521" spans="1:15">
      <c r="A521" s="2099"/>
      <c r="B521" s="2099"/>
      <c r="C521" s="2099"/>
      <c r="D521" s="2099"/>
      <c r="E521" s="2099"/>
      <c r="F521" s="63"/>
      <c r="G521" s="64" t="s">
        <v>580</v>
      </c>
      <c r="H521" s="791"/>
      <c r="I521" s="64" t="s">
        <v>580</v>
      </c>
      <c r="J521" s="64" t="s">
        <v>580</v>
      </c>
      <c r="K521" s="64" t="s">
        <v>580</v>
      </c>
      <c r="L521" s="1144"/>
      <c r="M521" s="1137"/>
      <c r="N521" s="1137"/>
      <c r="O521" s="1137"/>
    </row>
    <row r="522" spans="1:15">
      <c r="A522" s="65"/>
      <c r="B522" s="65"/>
      <c r="C522" s="65"/>
      <c r="D522" s="65"/>
      <c r="E522" s="65"/>
      <c r="F522" s="65"/>
      <c r="G522" s="1137"/>
      <c r="H522" s="2307"/>
      <c r="I522" s="1137"/>
      <c r="J522" s="1137"/>
      <c r="K522" s="1137"/>
      <c r="L522" s="1144"/>
      <c r="M522" s="1137"/>
      <c r="N522" s="1137"/>
      <c r="O522" s="1137"/>
    </row>
    <row r="523" spans="1:15">
      <c r="A523" s="64">
        <f t="shared" ref="A523:A538" si="31">A522+1</f>
        <v>1</v>
      </c>
      <c r="B523" s="65"/>
      <c r="C523" s="53">
        <v>1030</v>
      </c>
      <c r="D523" s="737" t="s">
        <v>665</v>
      </c>
      <c r="E523" s="740">
        <f>'SCH B-2.1'!I493</f>
        <v>22442698</v>
      </c>
      <c r="F523" s="67"/>
      <c r="G523" s="61">
        <v>22397810</v>
      </c>
      <c r="H523" s="1139">
        <v>1</v>
      </c>
      <c r="I523" s="68">
        <f t="shared" ref="I523:I538" si="32">ROUND(G523*H523,0)</f>
        <v>22397810</v>
      </c>
      <c r="J523" s="65"/>
      <c r="K523" s="68">
        <f t="shared" ref="K523:K538" si="33">I523+J523</f>
        <v>22397810</v>
      </c>
      <c r="L523" s="1144"/>
      <c r="M523" s="1137"/>
      <c r="N523" s="1137"/>
      <c r="O523" s="1137"/>
    </row>
    <row r="524" spans="1:15">
      <c r="A524" s="64">
        <f t="shared" si="31"/>
        <v>2</v>
      </c>
      <c r="B524" s="65"/>
      <c r="C524" s="53">
        <v>1890</v>
      </c>
      <c r="D524" s="737" t="s">
        <v>608</v>
      </c>
      <c r="E524" s="740">
        <f>'SCH B-2.1'!I494</f>
        <v>1041678</v>
      </c>
      <c r="F524" s="67"/>
      <c r="G524" s="61">
        <v>0</v>
      </c>
      <c r="H524" s="1139">
        <v>1</v>
      </c>
      <c r="I524" s="68">
        <f t="shared" si="32"/>
        <v>0</v>
      </c>
      <c r="J524" s="68"/>
      <c r="K524" s="68">
        <f t="shared" si="33"/>
        <v>0</v>
      </c>
      <c r="L524" s="1144"/>
      <c r="M524" s="1137"/>
      <c r="N524" s="1137"/>
      <c r="O524" s="1137"/>
    </row>
    <row r="525" spans="1:15">
      <c r="A525" s="64">
        <f t="shared" si="31"/>
        <v>3</v>
      </c>
      <c r="B525" s="65"/>
      <c r="C525" s="53">
        <v>1900</v>
      </c>
      <c r="D525" s="737" t="s">
        <v>609</v>
      </c>
      <c r="E525" s="740">
        <f>'SCH B-2.1'!I495</f>
        <v>21955911</v>
      </c>
      <c r="F525" s="772"/>
      <c r="G525" s="61">
        <v>3418098</v>
      </c>
      <c r="H525" s="1139">
        <v>1</v>
      </c>
      <c r="I525" s="68">
        <f t="shared" si="32"/>
        <v>3418098</v>
      </c>
      <c r="J525" s="68"/>
      <c r="K525" s="68">
        <f t="shared" si="33"/>
        <v>3418098</v>
      </c>
      <c r="L525" s="1144"/>
      <c r="M525" s="1137"/>
      <c r="N525" s="1137"/>
      <c r="O525" s="1137"/>
    </row>
    <row r="526" spans="1:15">
      <c r="A526" s="64">
        <f t="shared" si="31"/>
        <v>4</v>
      </c>
      <c r="B526" s="65"/>
      <c r="C526" s="53">
        <v>1910</v>
      </c>
      <c r="D526" s="737" t="s">
        <v>666</v>
      </c>
      <c r="E526" s="740">
        <f>'SCH B-2.1'!I496</f>
        <v>1560369</v>
      </c>
      <c r="F526" s="67"/>
      <c r="G526" s="61">
        <v>489792</v>
      </c>
      <c r="H526" s="1139">
        <v>1</v>
      </c>
      <c r="I526" s="68">
        <f t="shared" si="32"/>
        <v>489792</v>
      </c>
      <c r="J526" s="68"/>
      <c r="K526" s="68">
        <f t="shared" si="33"/>
        <v>489792</v>
      </c>
      <c r="L526" s="1144"/>
      <c r="M526" s="1137"/>
      <c r="N526" s="1137"/>
      <c r="O526" s="1137"/>
    </row>
    <row r="527" spans="1:15">
      <c r="A527" s="64">
        <f t="shared" si="31"/>
        <v>5</v>
      </c>
      <c r="B527" s="65"/>
      <c r="C527" s="53" t="s">
        <v>810</v>
      </c>
      <c r="D527" s="737" t="s">
        <v>803</v>
      </c>
      <c r="F527" s="67"/>
      <c r="G527" s="61">
        <v>0</v>
      </c>
      <c r="H527" s="1139">
        <v>1</v>
      </c>
      <c r="I527" s="68">
        <f t="shared" si="32"/>
        <v>0</v>
      </c>
      <c r="J527" s="68"/>
      <c r="K527" s="68">
        <f t="shared" si="33"/>
        <v>0</v>
      </c>
      <c r="L527" s="1144"/>
      <c r="M527" s="1137"/>
      <c r="N527" s="1137"/>
      <c r="O527" s="1137"/>
    </row>
    <row r="528" spans="1:15">
      <c r="A528" s="64">
        <f t="shared" si="31"/>
        <v>6</v>
      </c>
      <c r="B528" s="65"/>
      <c r="C528" s="53">
        <v>1911</v>
      </c>
      <c r="D528" s="737" t="s">
        <v>677</v>
      </c>
      <c r="E528" s="740">
        <f>'SCH B-2.1'!I497</f>
        <v>-8282</v>
      </c>
      <c r="F528" s="67"/>
      <c r="G528" s="61">
        <v>-13946</v>
      </c>
      <c r="H528" s="1139">
        <v>1</v>
      </c>
      <c r="I528" s="68">
        <f t="shared" si="32"/>
        <v>-13946</v>
      </c>
      <c r="J528" s="68"/>
      <c r="K528" s="68">
        <f t="shared" si="33"/>
        <v>-13946</v>
      </c>
      <c r="L528" s="1144"/>
      <c r="M528" s="1137"/>
      <c r="N528" s="1137"/>
      <c r="O528" s="1137"/>
    </row>
    <row r="529" spans="1:15">
      <c r="A529" s="64">
        <f t="shared" si="31"/>
        <v>7</v>
      </c>
      <c r="B529" s="65"/>
      <c r="C529" s="53" t="s">
        <v>811</v>
      </c>
      <c r="D529" s="737" t="s">
        <v>812</v>
      </c>
      <c r="F529" s="67"/>
      <c r="G529" s="61">
        <v>0</v>
      </c>
      <c r="H529" s="1139">
        <v>1</v>
      </c>
      <c r="I529" s="68">
        <f t="shared" si="32"/>
        <v>0</v>
      </c>
      <c r="J529" s="68"/>
      <c r="K529" s="68">
        <f t="shared" si="33"/>
        <v>0</v>
      </c>
      <c r="L529" s="1144"/>
      <c r="M529" s="1137"/>
      <c r="N529" s="1137"/>
      <c r="O529" s="1137"/>
    </row>
    <row r="530" spans="1:15">
      <c r="A530" s="64">
        <f t="shared" si="31"/>
        <v>8</v>
      </c>
      <c r="B530" s="65"/>
      <c r="C530" s="53">
        <v>1940</v>
      </c>
      <c r="D530" s="737" t="s">
        <v>670</v>
      </c>
      <c r="E530" s="740">
        <f>'SCH B-2.1'!I498</f>
        <v>107198</v>
      </c>
      <c r="F530" s="67"/>
      <c r="G530" s="61">
        <v>75673</v>
      </c>
      <c r="H530" s="1139">
        <v>1</v>
      </c>
      <c r="I530" s="68">
        <f t="shared" si="32"/>
        <v>75673</v>
      </c>
      <c r="J530" s="68"/>
      <c r="K530" s="68">
        <f t="shared" si="33"/>
        <v>75673</v>
      </c>
      <c r="L530" s="1144"/>
      <c r="M530" s="1137"/>
      <c r="N530" s="1137"/>
      <c r="O530" s="1137"/>
    </row>
    <row r="531" spans="1:15">
      <c r="A531" s="64">
        <f t="shared" si="31"/>
        <v>9</v>
      </c>
      <c r="B531" s="65"/>
      <c r="C531" s="53" t="s">
        <v>813</v>
      </c>
      <c r="D531" s="737" t="s">
        <v>807</v>
      </c>
      <c r="F531" s="67"/>
      <c r="G531" s="61">
        <v>0</v>
      </c>
      <c r="H531" s="1139">
        <v>1</v>
      </c>
      <c r="I531" s="68">
        <f t="shared" si="32"/>
        <v>0</v>
      </c>
      <c r="J531" s="68"/>
      <c r="K531" s="68">
        <f t="shared" si="33"/>
        <v>0</v>
      </c>
      <c r="L531" s="1144"/>
      <c r="M531" s="1137"/>
      <c r="N531" s="1137"/>
      <c r="O531" s="1137"/>
    </row>
    <row r="532" spans="1:15">
      <c r="A532" s="64">
        <f t="shared" si="31"/>
        <v>10</v>
      </c>
      <c r="B532" s="65"/>
      <c r="C532" s="53">
        <v>1970</v>
      </c>
      <c r="D532" s="737" t="s">
        <v>672</v>
      </c>
      <c r="E532" s="740">
        <f>'SCH B-2.1'!I499</f>
        <v>3872062</v>
      </c>
      <c r="F532" s="67"/>
      <c r="G532" s="61">
        <v>509492</v>
      </c>
      <c r="H532" s="1139">
        <v>1</v>
      </c>
      <c r="I532" s="68">
        <f t="shared" si="32"/>
        <v>509492</v>
      </c>
      <c r="J532" s="68"/>
      <c r="K532" s="68">
        <f t="shared" si="33"/>
        <v>509492</v>
      </c>
      <c r="L532" s="1144"/>
      <c r="M532" s="1137"/>
      <c r="N532" s="1137"/>
      <c r="O532" s="1137"/>
    </row>
    <row r="533" spans="1:15">
      <c r="A533" s="64">
        <f t="shared" si="31"/>
        <v>11</v>
      </c>
      <c r="B533" s="65"/>
      <c r="C533" s="53" t="s">
        <v>814</v>
      </c>
      <c r="D533" s="737" t="s">
        <v>815</v>
      </c>
      <c r="F533" s="67"/>
      <c r="G533" s="61">
        <v>0</v>
      </c>
      <c r="H533" s="1139">
        <v>1</v>
      </c>
      <c r="I533" s="68">
        <f t="shared" si="32"/>
        <v>0</v>
      </c>
      <c r="J533" s="68"/>
      <c r="K533" s="68">
        <f t="shared" si="33"/>
        <v>0</v>
      </c>
      <c r="L533" s="1144"/>
      <c r="M533" s="1137"/>
      <c r="N533" s="1137"/>
      <c r="O533" s="1137"/>
    </row>
    <row r="534" spans="1:15">
      <c r="A534" s="64">
        <f t="shared" si="31"/>
        <v>12</v>
      </c>
      <c r="B534" s="65"/>
      <c r="C534" s="53">
        <v>1980</v>
      </c>
      <c r="D534" s="737" t="s">
        <v>678</v>
      </c>
      <c r="E534" s="740">
        <f>'SCH B-2.1'!I500</f>
        <v>95301</v>
      </c>
      <c r="F534" s="67"/>
      <c r="G534" s="61">
        <v>58045</v>
      </c>
      <c r="H534" s="1139">
        <v>1</v>
      </c>
      <c r="I534" s="68">
        <f t="shared" si="32"/>
        <v>58045</v>
      </c>
      <c r="J534" s="68"/>
      <c r="K534" s="68">
        <f t="shared" si="33"/>
        <v>58045</v>
      </c>
      <c r="L534" s="1144"/>
      <c r="M534" s="1137"/>
      <c r="N534" s="1137"/>
      <c r="O534" s="1137"/>
    </row>
    <row r="535" spans="1:15">
      <c r="A535" s="64">
        <f t="shared" si="31"/>
        <v>13</v>
      </c>
      <c r="B535" s="65"/>
      <c r="C535" s="53" t="s">
        <v>816</v>
      </c>
      <c r="D535" s="737" t="s">
        <v>817</v>
      </c>
      <c r="F535" s="67"/>
      <c r="G535" s="61">
        <v>0</v>
      </c>
      <c r="H535" s="1139">
        <v>1</v>
      </c>
      <c r="I535" s="68">
        <f t="shared" si="32"/>
        <v>0</v>
      </c>
      <c r="J535" s="68"/>
      <c r="K535" s="68">
        <f t="shared" si="33"/>
        <v>0</v>
      </c>
      <c r="L535" s="1144"/>
      <c r="M535" s="1137"/>
      <c r="N535" s="1137"/>
      <c r="O535" s="1137"/>
    </row>
    <row r="536" spans="1:15">
      <c r="A536" s="64">
        <f t="shared" si="31"/>
        <v>14</v>
      </c>
      <c r="B536" s="65"/>
      <c r="C536" s="53">
        <v>1990</v>
      </c>
      <c r="D536" s="737" t="s">
        <v>679</v>
      </c>
      <c r="E536" s="740"/>
      <c r="F536" s="67"/>
      <c r="G536" s="61">
        <v>953167</v>
      </c>
      <c r="H536" s="1139">
        <v>1</v>
      </c>
      <c r="I536" s="68">
        <f t="shared" si="32"/>
        <v>953167</v>
      </c>
      <c r="J536" s="68">
        <f>-I536</f>
        <v>-953167</v>
      </c>
      <c r="K536" s="68">
        <f t="shared" si="33"/>
        <v>0</v>
      </c>
      <c r="L536" s="1144"/>
      <c r="M536" s="1137"/>
      <c r="N536" s="1137"/>
      <c r="O536" s="1137"/>
    </row>
    <row r="537" spans="1:15">
      <c r="A537" s="64">
        <f t="shared" si="31"/>
        <v>15</v>
      </c>
      <c r="B537" s="65"/>
      <c r="C537" s="53"/>
      <c r="D537" s="737" t="s">
        <v>617</v>
      </c>
      <c r="E537" s="740"/>
      <c r="F537" s="67"/>
      <c r="G537" s="61">
        <v>0</v>
      </c>
      <c r="H537" s="1139">
        <v>1</v>
      </c>
      <c r="I537" s="68">
        <f t="shared" si="32"/>
        <v>0</v>
      </c>
      <c r="J537" s="68"/>
      <c r="K537" s="68">
        <f t="shared" si="33"/>
        <v>0</v>
      </c>
      <c r="L537" s="1144"/>
      <c r="M537" s="1137"/>
      <c r="N537" s="1137"/>
      <c r="O537" s="1137"/>
    </row>
    <row r="538" spans="1:15">
      <c r="A538" s="64">
        <f t="shared" si="31"/>
        <v>16</v>
      </c>
      <c r="B538" s="65"/>
      <c r="C538" s="64">
        <v>108</v>
      </c>
      <c r="D538" s="67" t="s">
        <v>796</v>
      </c>
      <c r="E538" s="740"/>
      <c r="F538" s="67"/>
      <c r="G538" s="61">
        <v>4011</v>
      </c>
      <c r="H538" s="1139">
        <v>1</v>
      </c>
      <c r="I538" s="68">
        <f t="shared" si="32"/>
        <v>4011</v>
      </c>
      <c r="J538" s="68"/>
      <c r="K538" s="68">
        <f t="shared" si="33"/>
        <v>4011</v>
      </c>
      <c r="L538" s="1144"/>
      <c r="M538" s="1137"/>
      <c r="N538" s="1137"/>
      <c r="O538" s="1137"/>
    </row>
    <row r="539" spans="1:15">
      <c r="A539" s="64"/>
      <c r="B539" s="65"/>
      <c r="C539" s="64"/>
      <c r="D539" s="67"/>
      <c r="E539" s="740"/>
      <c r="F539" s="67"/>
      <c r="G539" s="61"/>
      <c r="H539" s="1139"/>
      <c r="I539" s="68"/>
      <c r="J539" s="68"/>
      <c r="K539" s="68"/>
      <c r="L539" s="1144"/>
      <c r="M539" s="1137"/>
      <c r="N539" s="1137"/>
      <c r="O539" s="1137"/>
    </row>
    <row r="540" spans="1:15">
      <c r="A540" s="65"/>
      <c r="B540" s="65"/>
      <c r="C540" s="65"/>
      <c r="D540" s="65"/>
      <c r="E540" s="68"/>
      <c r="F540" s="1458"/>
      <c r="G540" s="65"/>
      <c r="H540" s="791"/>
      <c r="I540" s="65"/>
      <c r="J540" s="65"/>
      <c r="K540" s="68"/>
      <c r="L540" s="1144"/>
      <c r="M540" s="1137"/>
      <c r="N540" s="1137"/>
      <c r="O540" s="1137"/>
    </row>
    <row r="541" spans="1:15">
      <c r="A541" s="2099"/>
      <c r="B541" s="2099"/>
      <c r="C541" s="2099"/>
      <c r="D541" s="2099"/>
      <c r="E541" s="2102"/>
      <c r="F541" s="63"/>
      <c r="G541" s="2102"/>
      <c r="H541" s="2103"/>
      <c r="I541" s="2102"/>
      <c r="J541" s="2102"/>
      <c r="K541" s="2102"/>
      <c r="L541" s="1144"/>
      <c r="M541" s="1137"/>
      <c r="N541" s="1137"/>
      <c r="O541" s="1137"/>
    </row>
    <row r="542" spans="1:15">
      <c r="A542" s="64">
        <f>A538+1</f>
        <v>17</v>
      </c>
      <c r="B542" s="65"/>
      <c r="C542" s="65"/>
      <c r="D542" s="67" t="s">
        <v>680</v>
      </c>
      <c r="E542" s="68">
        <f>SUM(E523:E540)</f>
        <v>51066935</v>
      </c>
      <c r="F542" s="67"/>
      <c r="G542" s="68">
        <f>SUM(G523:G540)</f>
        <v>27892142</v>
      </c>
      <c r="H542" s="791"/>
      <c r="I542" s="68">
        <f>SUM(I523:I540)</f>
        <v>27892142</v>
      </c>
      <c r="J542" s="68">
        <f>SUM(J523:J540)</f>
        <v>-953167</v>
      </c>
      <c r="K542" s="68">
        <f>SUM(K523:K540)</f>
        <v>26938975</v>
      </c>
      <c r="L542" s="1144"/>
      <c r="M542" s="1137"/>
      <c r="N542" s="2088" t="str">
        <f>IF(E542='SCH B-2.1'!I506,"BALANCED","ERROR")</f>
        <v>BALANCED</v>
      </c>
      <c r="O542" s="1137"/>
    </row>
    <row r="543" spans="1:15">
      <c r="A543" s="65"/>
      <c r="B543" s="65"/>
      <c r="C543" s="65"/>
      <c r="D543" s="65"/>
      <c r="E543" s="68"/>
      <c r="F543" s="1458"/>
      <c r="G543" s="65"/>
      <c r="H543" s="791"/>
      <c r="I543" s="65"/>
      <c r="J543" s="65"/>
      <c r="K543" s="68"/>
      <c r="L543" s="1144"/>
      <c r="M543" s="1137"/>
      <c r="N543" s="1137"/>
      <c r="O543" s="1137"/>
    </row>
    <row r="544" spans="1:15">
      <c r="A544" s="2099"/>
      <c r="B544" s="2099"/>
      <c r="C544" s="2099"/>
      <c r="D544" s="2099"/>
      <c r="E544" s="2099"/>
      <c r="F544" s="63"/>
      <c r="G544" s="2102"/>
      <c r="H544" s="2103"/>
      <c r="I544" s="2102"/>
      <c r="J544" s="2102"/>
      <c r="K544" s="2102"/>
      <c r="L544" s="1144"/>
      <c r="M544" s="1137"/>
      <c r="N544" s="1137"/>
      <c r="O544" s="1137"/>
    </row>
    <row r="545" spans="1:15">
      <c r="A545" s="1137"/>
      <c r="B545" s="65"/>
      <c r="C545" s="791"/>
      <c r="D545" s="67" t="s">
        <v>681</v>
      </c>
      <c r="E545" s="1137"/>
      <c r="F545" s="67"/>
      <c r="G545" s="1137"/>
      <c r="H545" s="791"/>
      <c r="I545" s="1137"/>
      <c r="J545" s="1137"/>
      <c r="K545" s="1144"/>
      <c r="L545" s="1144"/>
      <c r="M545" s="1137"/>
      <c r="N545" s="1137"/>
      <c r="O545" s="1137"/>
    </row>
    <row r="546" spans="1:15">
      <c r="A546" s="64">
        <f>A542+1</f>
        <v>18</v>
      </c>
      <c r="B546" s="65"/>
      <c r="C546" s="791">
        <f>CommonE</f>
        <v>0.70750000000000002</v>
      </c>
      <c r="D546" s="67" t="s">
        <v>818</v>
      </c>
      <c r="E546" s="68">
        <f>ROUND(E542*C546,0)-1</f>
        <v>36129856</v>
      </c>
      <c r="F546" s="67"/>
      <c r="G546" s="68"/>
      <c r="H546" s="791"/>
      <c r="I546" s="68"/>
      <c r="J546" s="68"/>
      <c r="K546" s="68"/>
      <c r="L546" s="1144"/>
      <c r="M546" s="1137"/>
      <c r="N546" s="1137"/>
      <c r="O546" s="1137"/>
    </row>
    <row r="547" spans="1:15">
      <c r="A547" s="64">
        <f>A546+1</f>
        <v>19</v>
      </c>
      <c r="B547" s="65"/>
      <c r="C547" s="791">
        <f>C270</f>
        <v>0.70750000000000002</v>
      </c>
      <c r="D547" s="67" t="s">
        <v>819</v>
      </c>
      <c r="E547" s="68"/>
      <c r="F547" s="67"/>
      <c r="G547" s="68">
        <f>ROUND(G542*C547,0)</f>
        <v>19733690</v>
      </c>
      <c r="H547" s="791"/>
      <c r="I547" s="68">
        <f>G547</f>
        <v>19733690</v>
      </c>
      <c r="J547" s="68">
        <f>ROUND(J542*$C$270,0)</f>
        <v>-674366</v>
      </c>
      <c r="K547" s="68">
        <f>I547+J547</f>
        <v>19059324</v>
      </c>
      <c r="L547" s="1144"/>
      <c r="M547" s="1137"/>
      <c r="N547" s="2088" t="str">
        <f>IF(E546='SCH B-2.1'!I509,"BALANCED","ERROR")</f>
        <v>BALANCED</v>
      </c>
      <c r="O547" s="1137"/>
    </row>
    <row r="548" spans="1:15">
      <c r="A548" s="65"/>
      <c r="B548" s="65"/>
      <c r="C548" s="65"/>
      <c r="D548" s="65"/>
      <c r="E548" s="65"/>
      <c r="F548" s="1458"/>
      <c r="G548" s="65"/>
      <c r="H548" s="791"/>
      <c r="I548" s="65"/>
      <c r="J548" s="65"/>
      <c r="K548" s="68"/>
      <c r="L548" s="1144"/>
      <c r="M548" s="1137"/>
      <c r="N548" s="1137"/>
      <c r="O548" s="1137"/>
    </row>
    <row r="549" spans="1:15">
      <c r="A549" s="2099"/>
      <c r="B549" s="2099"/>
      <c r="C549" s="2099"/>
      <c r="D549" s="2099"/>
      <c r="E549" s="2099"/>
      <c r="F549" s="63"/>
      <c r="G549" s="2102"/>
      <c r="H549" s="2103"/>
      <c r="I549" s="2102"/>
      <c r="J549" s="2102"/>
      <c r="K549" s="2102"/>
      <c r="L549" s="1144"/>
      <c r="M549" s="1137"/>
      <c r="N549" s="1137"/>
      <c r="O549" s="1137"/>
    </row>
    <row r="550" spans="1:15">
      <c r="A550" s="64">
        <f>A547+1</f>
        <v>20</v>
      </c>
      <c r="B550" s="65"/>
      <c r="C550" s="65"/>
      <c r="D550" s="67" t="s">
        <v>682</v>
      </c>
      <c r="E550" s="68">
        <f>E497+E546</f>
        <v>2430172938</v>
      </c>
      <c r="F550" s="67"/>
      <c r="G550" s="68">
        <f>G497+G547</f>
        <v>990737332</v>
      </c>
      <c r="H550" s="791"/>
      <c r="I550" s="68">
        <f>I497+I547</f>
        <v>990737332</v>
      </c>
      <c r="J550" s="68">
        <f>J497+J547</f>
        <v>-43199280</v>
      </c>
      <c r="K550" s="68">
        <f>K497+K547</f>
        <v>947538052</v>
      </c>
      <c r="L550" s="1144"/>
      <c r="M550" s="1137"/>
      <c r="N550" s="2088" t="str">
        <f>IF(E550='SCH B-2.1'!I512,"BALANCED","ERROR")</f>
        <v>BALANCED</v>
      </c>
      <c r="O550" s="1137"/>
    </row>
    <row r="551" spans="1:15">
      <c r="A551" s="65"/>
      <c r="B551" s="65"/>
      <c r="C551" s="65"/>
      <c r="D551" s="65"/>
      <c r="E551" s="65"/>
      <c r="F551" s="1458"/>
      <c r="G551" s="65"/>
      <c r="H551" s="791"/>
      <c r="I551" s="65"/>
      <c r="J551" s="65"/>
      <c r="K551" s="65"/>
      <c r="L551" s="1144"/>
      <c r="M551" s="1137"/>
      <c r="N551" s="1137"/>
      <c r="O551" s="1137"/>
    </row>
    <row r="552" spans="1:15">
      <c r="A552" s="2099"/>
      <c r="B552" s="2099"/>
      <c r="C552" s="2099"/>
      <c r="D552" s="2099"/>
      <c r="E552" s="2099"/>
      <c r="F552" s="63"/>
      <c r="G552" s="2102"/>
      <c r="H552" s="2103"/>
      <c r="I552" s="2102"/>
      <c r="J552" s="2102"/>
      <c r="K552" s="2102"/>
      <c r="L552" s="1144"/>
      <c r="M552" s="1137"/>
      <c r="N552" s="1137"/>
      <c r="O552" s="1137"/>
    </row>
    <row r="553" spans="1:15">
      <c r="A553" s="783" t="s">
        <v>797</v>
      </c>
      <c r="B553" s="65"/>
      <c r="C553" s="65"/>
      <c r="D553" s="65"/>
      <c r="E553" s="65"/>
      <c r="F553" s="65"/>
      <c r="G553" s="68"/>
      <c r="H553" s="791"/>
      <c r="I553" s="68"/>
      <c r="J553" s="68"/>
      <c r="K553" s="68"/>
      <c r="L553" s="1144"/>
      <c r="M553" s="1137"/>
      <c r="N553" s="1137"/>
      <c r="O553" s="1137"/>
    </row>
    <row r="554" spans="1:15">
      <c r="A554" s="65"/>
      <c r="B554" s="65"/>
      <c r="C554" s="65"/>
      <c r="D554" s="65"/>
      <c r="E554" s="65"/>
      <c r="F554" s="65"/>
      <c r="G554" s="68"/>
      <c r="H554" s="791"/>
      <c r="I554" s="68"/>
      <c r="J554" s="68"/>
      <c r="K554" s="68"/>
      <c r="L554" s="1144"/>
      <c r="M554" s="1137"/>
      <c r="N554" s="1137"/>
      <c r="O554" s="1137"/>
    </row>
    <row r="555" spans="1:15">
      <c r="A555" s="65"/>
      <c r="B555" s="65"/>
      <c r="C555" s="65"/>
      <c r="D555" s="65"/>
      <c r="E555" s="65"/>
      <c r="F555" s="65"/>
      <c r="G555" s="68"/>
      <c r="H555" s="791"/>
      <c r="I555" s="68"/>
      <c r="J555" s="68"/>
      <c r="K555" s="68"/>
      <c r="L555" s="1144"/>
      <c r="M555" s="1137"/>
      <c r="N555" s="1137"/>
      <c r="O555" s="1137"/>
    </row>
    <row r="556" spans="1:15">
      <c r="A556" s="67"/>
      <c r="B556" s="65"/>
      <c r="C556" s="65"/>
      <c r="D556" s="65"/>
      <c r="E556" s="65"/>
      <c r="F556" s="65"/>
      <c r="G556" s="68"/>
      <c r="H556" s="791"/>
      <c r="I556" s="68"/>
      <c r="J556" s="68"/>
      <c r="K556" s="68"/>
      <c r="L556" s="1144"/>
      <c r="M556" s="1137"/>
      <c r="N556" s="1137"/>
      <c r="O556" s="1137"/>
    </row>
    <row r="557" spans="1:15">
      <c r="A557" s="1137"/>
      <c r="B557" s="1137"/>
      <c r="C557" s="1137"/>
      <c r="D557" s="1137"/>
      <c r="E557" s="1137"/>
      <c r="F557" s="1137"/>
      <c r="G557" s="1137"/>
      <c r="H557" s="1141"/>
      <c r="I557" s="1137"/>
      <c r="J557" s="1137"/>
      <c r="K557" s="1137"/>
      <c r="L557" s="1144"/>
      <c r="M557" s="1137"/>
      <c r="N557" s="1137"/>
      <c r="O557" s="1137"/>
    </row>
    <row r="558" spans="1:15">
      <c r="A558" s="1137"/>
      <c r="B558" s="1137"/>
      <c r="C558" s="1137"/>
      <c r="D558" s="1137"/>
      <c r="E558" s="1137"/>
      <c r="F558" s="1137"/>
      <c r="G558" s="1137"/>
      <c r="H558" s="1141"/>
      <c r="I558" s="1137"/>
      <c r="J558" s="1137"/>
      <c r="K558" s="1137"/>
      <c r="L558" s="1144"/>
      <c r="M558" s="1137"/>
      <c r="N558" s="1137"/>
      <c r="O558" s="1137"/>
    </row>
    <row r="559" spans="1:15">
      <c r="L559" s="1144"/>
    </row>
    <row r="560" spans="1:15">
      <c r="L560" s="1144"/>
    </row>
    <row r="561" spans="12:12">
      <c r="L561" s="1144"/>
    </row>
    <row r="562" spans="12:12">
      <c r="L562" s="1144"/>
    </row>
    <row r="563" spans="12:12">
      <c r="L563" s="1144"/>
    </row>
    <row r="564" spans="12:12">
      <c r="L564" s="1144"/>
    </row>
    <row r="565" spans="12:12">
      <c r="L565" s="1144"/>
    </row>
    <row r="566" spans="12:12">
      <c r="L566" s="1144"/>
    </row>
    <row r="567" spans="12:12">
      <c r="L567" s="1144"/>
    </row>
    <row r="568" spans="12:12">
      <c r="L568" s="1144"/>
    </row>
    <row r="569" spans="12:12">
      <c r="L569" s="1144"/>
    </row>
    <row r="570" spans="12:12">
      <c r="L570" s="1144"/>
    </row>
    <row r="571" spans="12:12">
      <c r="L571" s="1144"/>
    </row>
    <row r="572" spans="12:12">
      <c r="L572" s="1144"/>
    </row>
    <row r="573" spans="12:12">
      <c r="L573" s="1144"/>
    </row>
    <row r="574" spans="12:12">
      <c r="L574" s="1144"/>
    </row>
    <row r="575" spans="12:12">
      <c r="L575" s="1144"/>
    </row>
    <row r="576" spans="12:12">
      <c r="L576" s="1144"/>
    </row>
    <row r="577" spans="12:12">
      <c r="L577" s="1144"/>
    </row>
    <row r="578" spans="12:12">
      <c r="L578" s="1144"/>
    </row>
    <row r="579" spans="12:12">
      <c r="L579" s="1144"/>
    </row>
    <row r="580" spans="12:12">
      <c r="L580" s="1144"/>
    </row>
    <row r="581" spans="12:12">
      <c r="L581" s="1144"/>
    </row>
    <row r="582" spans="12:12">
      <c r="L582" s="1144"/>
    </row>
    <row r="583" spans="12:12">
      <c r="L583" s="1144"/>
    </row>
    <row r="584" spans="12:12">
      <c r="L584" s="1144"/>
    </row>
    <row r="585" spans="12:12">
      <c r="L585" s="1144"/>
    </row>
    <row r="586" spans="12:12">
      <c r="L586" s="1144"/>
    </row>
    <row r="587" spans="12:12">
      <c r="L587" s="1144"/>
    </row>
    <row r="588" spans="12:12">
      <c r="L588" s="1144"/>
    </row>
    <row r="589" spans="12:12">
      <c r="L589" s="1144"/>
    </row>
    <row r="590" spans="12:12">
      <c r="L590" s="1144"/>
    </row>
    <row r="591" spans="12:12">
      <c r="L591" s="1144"/>
    </row>
    <row r="592" spans="12:12">
      <c r="L592" s="1144"/>
    </row>
    <row r="593" spans="12:12">
      <c r="L593" s="1144"/>
    </row>
    <row r="594" spans="12:12">
      <c r="L594" s="1144"/>
    </row>
    <row r="595" spans="12:12">
      <c r="L595" s="1144"/>
    </row>
    <row r="596" spans="12:12">
      <c r="L596" s="1144"/>
    </row>
    <row r="597" spans="12:12">
      <c r="L597" s="1144"/>
    </row>
    <row r="598" spans="12:12">
      <c r="L598" s="1144"/>
    </row>
    <row r="599" spans="12:12">
      <c r="L599" s="1144"/>
    </row>
    <row r="600" spans="12:12">
      <c r="L600" s="1144"/>
    </row>
    <row r="601" spans="12:12">
      <c r="L601" s="1144"/>
    </row>
    <row r="602" spans="12:12">
      <c r="L602" s="1144"/>
    </row>
    <row r="603" spans="12:12">
      <c r="L603" s="1144"/>
    </row>
    <row r="604" spans="12:12">
      <c r="L604" s="1144"/>
    </row>
    <row r="605" spans="12:12">
      <c r="L605" s="1144"/>
    </row>
    <row r="606" spans="12:12">
      <c r="L606" s="1144"/>
    </row>
    <row r="607" spans="12:12">
      <c r="L607" s="1144"/>
    </row>
    <row r="608" spans="12:12">
      <c r="L608" s="1144"/>
    </row>
    <row r="609" spans="12:12">
      <c r="L609" s="1144"/>
    </row>
    <row r="610" spans="12:12">
      <c r="L610" s="1144"/>
    </row>
    <row r="611" spans="12:12">
      <c r="L611" s="1144"/>
    </row>
    <row r="612" spans="12:12">
      <c r="L612" s="1144"/>
    </row>
    <row r="613" spans="12:12">
      <c r="L613" s="1144"/>
    </row>
    <row r="614" spans="12:12">
      <c r="L614" s="1144"/>
    </row>
  </sheetData>
  <phoneticPr fontId="193" type="noConversion"/>
  <hyperlinks>
    <hyperlink ref="A5" location="Sch_A" display="." xr:uid="{00000000-0004-0000-1600-000000000000}"/>
  </hyperlinks>
  <printOptions horizontalCentered="1"/>
  <pageMargins left="1" right="0.75" top="1" bottom="1" header="0.5" footer="0.5"/>
  <pageSetup scale="62" orientation="landscape" horizontalDpi="300" r:id="rId1"/>
  <headerFooter alignWithMargins="0"/>
  <rowBreaks count="3" manualBreakCount="3">
    <brk id="123" max="16383" man="1"/>
    <brk id="177" max="11" man="1"/>
    <brk id="224" max="11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94">
    <tabColor theme="4" tint="0.39997558519241921"/>
    <pageSetUpPr fitToPage="1"/>
  </sheetPr>
  <dimension ref="A1:J156"/>
  <sheetViews>
    <sheetView workbookViewId="0">
      <selection activeCell="I5" sqref="I5"/>
    </sheetView>
  </sheetViews>
  <sheetFormatPr defaultColWidth="11.44140625" defaultRowHeight="13.2"/>
  <cols>
    <col min="1" max="1" width="6.44140625" customWidth="1"/>
    <col min="2" max="2" width="9.44140625" customWidth="1"/>
    <col min="3" max="3" width="11.44140625" customWidth="1"/>
    <col min="4" max="4" width="42.44140625" customWidth="1"/>
    <col min="5" max="5" width="13" customWidth="1"/>
    <col min="6" max="6" width="13.5546875" customWidth="1"/>
    <col min="7" max="7" width="15.44140625" customWidth="1"/>
    <col min="8" max="8" width="15.5546875" customWidth="1"/>
    <col min="9" max="9" width="47.5546875" customWidth="1"/>
    <col min="10" max="10" width="11.44140625" customWidth="1"/>
  </cols>
  <sheetData>
    <row r="1" spans="1:10">
      <c r="A1" s="785" t="str">
        <f>COMPANY</f>
        <v>DUKE ENERGY KENTUCKY, INC.</v>
      </c>
      <c r="B1" s="785"/>
      <c r="C1" s="785"/>
      <c r="D1" s="785"/>
      <c r="E1" s="785"/>
      <c r="F1" s="785"/>
      <c r="G1" s="785"/>
      <c r="H1" s="785"/>
      <c r="I1" s="785"/>
      <c r="J1" s="65"/>
    </row>
    <row r="2" spans="1:10">
      <c r="A2" s="785" t="str">
        <f>CASE</f>
        <v>CASE NO. 2024-00354</v>
      </c>
      <c r="B2" s="785"/>
      <c r="C2" s="785"/>
      <c r="D2" s="785"/>
      <c r="E2" s="785"/>
      <c r="F2" s="785"/>
      <c r="G2" s="785"/>
      <c r="H2" s="785"/>
      <c r="I2" s="785"/>
      <c r="J2" s="65"/>
    </row>
    <row r="3" spans="1:10">
      <c r="A3" s="785" t="s">
        <v>824</v>
      </c>
      <c r="B3" s="785"/>
      <c r="C3" s="785"/>
      <c r="D3" s="785"/>
      <c r="E3" s="785"/>
      <c r="F3" s="785"/>
      <c r="G3" s="785"/>
      <c r="H3" s="785"/>
      <c r="I3" s="785"/>
      <c r="J3" s="65"/>
    </row>
    <row r="4" spans="1:10">
      <c r="A4" s="47" t="str">
        <f>"AS OF " &amp;RIGHT(TESTYR,(LEN(TESTYR)-16))</f>
        <v>AS OF FEBRUARY 28, 2025</v>
      </c>
      <c r="B4" s="785"/>
      <c r="C4" s="785"/>
      <c r="D4" s="785"/>
      <c r="E4" s="785"/>
      <c r="F4" s="785"/>
      <c r="G4" s="785"/>
      <c r="H4" s="785"/>
      <c r="I4" s="785"/>
      <c r="J4" s="65"/>
    </row>
    <row r="5" spans="1:10">
      <c r="A5" s="1393" t="s">
        <v>55</v>
      </c>
      <c r="B5" s="785"/>
      <c r="C5" s="785"/>
      <c r="D5" s="785"/>
      <c r="E5" s="785"/>
      <c r="F5" s="785"/>
      <c r="G5" s="785"/>
      <c r="H5" s="65"/>
      <c r="I5" s="65"/>
      <c r="J5" s="65"/>
    </row>
    <row r="6" spans="1:10">
      <c r="A6" s="785"/>
      <c r="B6" s="785"/>
      <c r="C6" s="785"/>
      <c r="D6" s="785"/>
      <c r="E6" s="785"/>
      <c r="F6" s="785"/>
      <c r="G6" s="785"/>
      <c r="H6" s="785"/>
      <c r="I6" s="785"/>
      <c r="J6" s="65"/>
    </row>
    <row r="7" spans="1:10">
      <c r="A7" s="785"/>
      <c r="B7" s="785"/>
      <c r="C7" s="785"/>
      <c r="D7" s="785"/>
      <c r="E7" s="785"/>
      <c r="F7" s="785"/>
      <c r="G7" s="785"/>
      <c r="H7" s="65"/>
      <c r="I7" s="65"/>
      <c r="J7" s="65"/>
    </row>
    <row r="8" spans="1:10">
      <c r="A8" s="785"/>
      <c r="B8" s="785"/>
      <c r="C8" s="785"/>
      <c r="D8" s="785"/>
      <c r="E8" s="785"/>
      <c r="F8" s="785"/>
      <c r="G8" s="785"/>
      <c r="H8" s="65"/>
      <c r="I8" s="65"/>
      <c r="J8" s="65"/>
    </row>
    <row r="9" spans="1:10">
      <c r="A9" s="67" t="str">
        <f>Data</f>
        <v>DATA: "X" BASE PERIOD   FORECASTED PERIOD</v>
      </c>
      <c r="B9" s="65"/>
      <c r="C9" s="65"/>
      <c r="D9" s="65"/>
      <c r="E9" s="65"/>
      <c r="F9" s="65"/>
      <c r="G9" s="65"/>
      <c r="H9" s="67" t="s">
        <v>825</v>
      </c>
      <c r="I9" s="65"/>
      <c r="J9" s="65"/>
    </row>
    <row r="10" spans="1:10">
      <c r="A10" s="67" t="str">
        <f>Type</f>
        <v xml:space="preserve">TYPE OF FILING:  "X" ORIGINAL   UPDATED    REVISED  </v>
      </c>
      <c r="B10" s="65"/>
      <c r="C10" s="65"/>
      <c r="D10" s="65"/>
      <c r="E10" s="65"/>
      <c r="F10" s="65"/>
      <c r="G10" s="65"/>
      <c r="H10" s="67" t="s">
        <v>571</v>
      </c>
      <c r="I10" s="65"/>
      <c r="J10" s="65"/>
    </row>
    <row r="11" spans="1:10">
      <c r="A11" s="67" t="s">
        <v>826</v>
      </c>
      <c r="B11" s="65"/>
      <c r="C11" s="65"/>
      <c r="D11" s="65"/>
      <c r="E11" s="65"/>
      <c r="F11" s="65"/>
      <c r="G11" s="65"/>
      <c r="H11" s="787" t="s">
        <v>468</v>
      </c>
      <c r="I11" s="65"/>
      <c r="J11" s="65"/>
    </row>
    <row r="12" spans="1:10">
      <c r="A12" s="65"/>
      <c r="B12" s="65"/>
      <c r="C12" s="65"/>
      <c r="D12" s="65"/>
      <c r="E12" s="65"/>
      <c r="F12" s="65"/>
      <c r="G12" s="65"/>
      <c r="H12" s="65" t="str">
        <f>_WIT7</f>
        <v>G. S. CARPENTER / S. S. MITCHELL</v>
      </c>
      <c r="I12" s="65"/>
      <c r="J12" s="65"/>
    </row>
    <row r="13" spans="1:10">
      <c r="A13" s="65"/>
      <c r="B13" s="65"/>
      <c r="C13" s="65"/>
      <c r="D13" s="65"/>
      <c r="E13" s="65"/>
      <c r="F13" s="65"/>
      <c r="G13" s="65"/>
      <c r="H13" s="65"/>
      <c r="I13" s="65"/>
      <c r="J13" s="65"/>
    </row>
    <row r="14" spans="1:10">
      <c r="A14" s="65"/>
      <c r="B14" s="65"/>
      <c r="C14" s="65"/>
      <c r="D14" s="65"/>
      <c r="E14" s="65"/>
      <c r="F14" s="65"/>
      <c r="G14" s="65"/>
      <c r="H14" s="65"/>
      <c r="I14" s="65"/>
      <c r="J14" s="65"/>
    </row>
    <row r="15" spans="1:10">
      <c r="A15" s="65"/>
      <c r="B15" s="65"/>
      <c r="C15" s="65"/>
      <c r="D15" s="65"/>
      <c r="E15" s="65"/>
      <c r="F15" s="65"/>
      <c r="G15" s="65"/>
      <c r="H15" s="1458"/>
      <c r="I15" s="1458"/>
      <c r="J15" s="65"/>
    </row>
    <row r="16" spans="1:10">
      <c r="A16" s="2099"/>
      <c r="B16" s="2099"/>
      <c r="C16" s="2106"/>
      <c r="D16" s="2099"/>
      <c r="E16" s="2099"/>
      <c r="F16" s="2099"/>
      <c r="G16" s="2099"/>
      <c r="H16" s="65"/>
      <c r="I16" s="65"/>
      <c r="J16" s="65"/>
    </row>
    <row r="17" spans="1:10">
      <c r="A17" s="65"/>
      <c r="B17" s="64" t="s">
        <v>257</v>
      </c>
      <c r="C17" s="64" t="s">
        <v>605</v>
      </c>
      <c r="D17" s="65"/>
      <c r="E17" s="64"/>
      <c r="F17" s="65"/>
      <c r="G17" s="65"/>
      <c r="H17" s="65"/>
      <c r="I17" s="64" t="s">
        <v>695</v>
      </c>
      <c r="J17" s="65"/>
    </row>
    <row r="18" spans="1:10">
      <c r="A18" s="64" t="s">
        <v>573</v>
      </c>
      <c r="B18" s="64" t="s">
        <v>606</v>
      </c>
      <c r="C18" s="64" t="s">
        <v>606</v>
      </c>
      <c r="D18" s="67"/>
      <c r="E18" s="53" t="s">
        <v>13</v>
      </c>
      <c r="F18" s="64" t="s">
        <v>574</v>
      </c>
      <c r="G18" s="64" t="s">
        <v>574</v>
      </c>
      <c r="H18" s="64" t="s">
        <v>696</v>
      </c>
      <c r="I18" s="64" t="s">
        <v>697</v>
      </c>
      <c r="J18" s="65"/>
    </row>
    <row r="19" spans="1:10">
      <c r="A19" s="64" t="s">
        <v>576</v>
      </c>
      <c r="B19" s="64" t="s">
        <v>576</v>
      </c>
      <c r="C19" s="64" t="s">
        <v>576</v>
      </c>
      <c r="D19" s="64" t="s">
        <v>607</v>
      </c>
      <c r="E19" s="53" t="s">
        <v>418</v>
      </c>
      <c r="F19" s="64" t="s">
        <v>420</v>
      </c>
      <c r="G19" s="64" t="s">
        <v>698</v>
      </c>
      <c r="H19" s="64" t="s">
        <v>699</v>
      </c>
      <c r="I19" s="64" t="s">
        <v>698</v>
      </c>
      <c r="J19" s="65"/>
    </row>
    <row r="20" spans="1:10">
      <c r="A20" s="65"/>
      <c r="B20" s="65"/>
      <c r="C20" s="1477"/>
      <c r="D20" s="65"/>
      <c r="E20" s="65"/>
      <c r="F20" s="65"/>
      <c r="G20" s="65"/>
      <c r="H20" s="1458"/>
      <c r="I20" s="1458"/>
      <c r="J20" s="65"/>
    </row>
    <row r="21" spans="1:10">
      <c r="A21" s="2099"/>
      <c r="B21" s="2099"/>
      <c r="C21" s="63"/>
      <c r="D21" s="2099"/>
      <c r="E21" s="2099"/>
      <c r="F21" s="2099"/>
      <c r="G21" s="2099"/>
      <c r="H21" s="65"/>
      <c r="I21" s="65"/>
      <c r="J21" s="65"/>
    </row>
    <row r="22" spans="1:10">
      <c r="A22" s="33">
        <v>1</v>
      </c>
      <c r="B22" s="53">
        <v>317</v>
      </c>
      <c r="C22" s="1249" t="s">
        <v>827</v>
      </c>
      <c r="D22" s="737" t="s">
        <v>615</v>
      </c>
      <c r="E22" s="30">
        <f>'SCH B-3'!J29</f>
        <v>-26020795</v>
      </c>
      <c r="F22" s="1183">
        <v>1</v>
      </c>
      <c r="G22" s="1184">
        <f t="shared" ref="G22:G27" si="0">E22*F22</f>
        <v>-26020795</v>
      </c>
      <c r="H22" s="1184"/>
      <c r="I22" s="1282" t="s">
        <v>700</v>
      </c>
      <c r="J22" s="65"/>
    </row>
    <row r="23" spans="1:10">
      <c r="A23" s="33">
        <v>2</v>
      </c>
      <c r="B23" s="53">
        <v>311</v>
      </c>
      <c r="C23" s="1250">
        <v>3110</v>
      </c>
      <c r="D23" s="40" t="s">
        <v>702</v>
      </c>
      <c r="E23" s="2281">
        <v>-10296534</v>
      </c>
      <c r="F23" s="2308">
        <v>1</v>
      </c>
      <c r="G23" s="1184">
        <f>E23*F23</f>
        <v>-10296534</v>
      </c>
      <c r="H23" s="2309"/>
      <c r="I23" s="1130" t="s">
        <v>703</v>
      </c>
      <c r="J23" s="65"/>
    </row>
    <row r="24" spans="1:10">
      <c r="A24" s="53">
        <v>3</v>
      </c>
      <c r="B24" s="53">
        <v>373</v>
      </c>
      <c r="C24" s="53">
        <v>3733</v>
      </c>
      <c r="D24" s="737" t="s">
        <v>660</v>
      </c>
      <c r="E24" s="30">
        <f>'SCH B-3'!J166</f>
        <v>-1913243</v>
      </c>
      <c r="F24" s="1183">
        <v>1</v>
      </c>
      <c r="G24" s="748">
        <f t="shared" si="0"/>
        <v>-1913243</v>
      </c>
      <c r="H24" s="750"/>
      <c r="I24" s="1130" t="s">
        <v>701</v>
      </c>
      <c r="J24" s="65"/>
    </row>
    <row r="25" spans="1:10">
      <c r="A25" s="53">
        <v>4</v>
      </c>
      <c r="B25" s="53">
        <v>373</v>
      </c>
      <c r="C25" s="53">
        <v>3734</v>
      </c>
      <c r="D25" s="737" t="s">
        <v>661</v>
      </c>
      <c r="E25" s="30">
        <f>'SCH B-3'!J167</f>
        <v>1181057</v>
      </c>
      <c r="F25" s="1183">
        <v>1</v>
      </c>
      <c r="G25" s="748">
        <f t="shared" si="0"/>
        <v>1181057</v>
      </c>
      <c r="H25" s="750"/>
      <c r="I25" s="1130" t="s">
        <v>701</v>
      </c>
      <c r="J25" s="65"/>
    </row>
    <row r="26" spans="1:10">
      <c r="A26" s="53">
        <v>5</v>
      </c>
      <c r="B26" s="750"/>
      <c r="C26" s="53">
        <v>1990</v>
      </c>
      <c r="D26" s="1131" t="s">
        <v>679</v>
      </c>
      <c r="E26" s="748">
        <f>'SCH B-3'!J259</f>
        <v>-953167</v>
      </c>
      <c r="F26" s="1183">
        <v>1</v>
      </c>
      <c r="G26" s="748">
        <f t="shared" si="0"/>
        <v>-953167</v>
      </c>
      <c r="H26" s="750"/>
      <c r="I26" s="1282" t="s">
        <v>700</v>
      </c>
      <c r="J26" s="65"/>
    </row>
    <row r="27" spans="1:10">
      <c r="A27" s="53">
        <v>6</v>
      </c>
      <c r="B27" s="53">
        <v>347</v>
      </c>
      <c r="C27" s="53">
        <v>3476</v>
      </c>
      <c r="D27" s="1131" t="s">
        <v>828</v>
      </c>
      <c r="E27" s="748">
        <f>'SCH B-3'!J72</f>
        <v>-13743</v>
      </c>
      <c r="F27" s="1183">
        <v>1</v>
      </c>
      <c r="G27" s="748">
        <f t="shared" si="0"/>
        <v>-13743</v>
      </c>
      <c r="H27" s="750"/>
      <c r="I27" s="1282" t="s">
        <v>700</v>
      </c>
      <c r="J27" s="65"/>
    </row>
    <row r="28" spans="1:10">
      <c r="A28" s="53"/>
      <c r="B28" s="750"/>
      <c r="C28" s="53"/>
      <c r="D28" s="1131"/>
      <c r="E28" s="748"/>
      <c r="F28" s="1183"/>
      <c r="G28" s="748"/>
      <c r="H28" s="750"/>
      <c r="I28" s="1282"/>
      <c r="J28" s="65"/>
    </row>
    <row r="29" spans="1:10">
      <c r="A29" s="750"/>
      <c r="B29" s="750"/>
      <c r="C29" s="750"/>
      <c r="D29" s="750"/>
      <c r="E29" s="748"/>
      <c r="F29" s="747"/>
      <c r="G29" s="748"/>
      <c r="H29" s="748"/>
      <c r="I29" s="748"/>
      <c r="J29" s="65"/>
    </row>
    <row r="30" spans="1:10">
      <c r="A30" s="2082"/>
      <c r="B30" s="2082"/>
      <c r="C30" s="2082"/>
      <c r="D30" s="2082"/>
      <c r="E30" s="2084"/>
      <c r="F30" s="2087"/>
      <c r="G30" s="2084"/>
      <c r="H30" s="2084"/>
      <c r="I30" s="2084"/>
      <c r="J30" s="65"/>
    </row>
    <row r="31" spans="1:10">
      <c r="A31" s="53">
        <v>7</v>
      </c>
      <c r="B31" s="750"/>
      <c r="C31" s="750"/>
      <c r="D31" s="1131" t="s">
        <v>705</v>
      </c>
      <c r="E31" s="748">
        <f>SUM(E22:E28)</f>
        <v>-38016425</v>
      </c>
      <c r="F31" s="1183">
        <v>1</v>
      </c>
      <c r="G31" s="748">
        <f>SUM(G22:G26)</f>
        <v>-38002682</v>
      </c>
      <c r="H31" s="748"/>
      <c r="I31" s="748"/>
      <c r="J31" s="65"/>
    </row>
    <row r="32" spans="1:10">
      <c r="A32" s="750"/>
      <c r="B32" s="750"/>
      <c r="C32" s="750"/>
      <c r="D32" s="750"/>
      <c r="E32" s="748"/>
      <c r="F32" s="747"/>
      <c r="G32" s="748"/>
      <c r="H32" s="748"/>
      <c r="I32" s="748"/>
      <c r="J32" s="65"/>
    </row>
    <row r="33" spans="1:10">
      <c r="A33" s="2100"/>
      <c r="B33" s="2100"/>
      <c r="C33" s="2104"/>
      <c r="D33" s="2104"/>
      <c r="E33" s="2108"/>
      <c r="F33" s="2109"/>
      <c r="G33" s="2110"/>
      <c r="H33" s="2104"/>
      <c r="I33" s="2104"/>
      <c r="J33" s="65"/>
    </row>
    <row r="34" spans="1:10">
      <c r="A34" s="64"/>
      <c r="B34" s="64"/>
      <c r="C34" s="65"/>
      <c r="D34" s="67"/>
      <c r="E34" s="30"/>
      <c r="F34" s="1132"/>
      <c r="G34" s="68"/>
      <c r="H34" s="65"/>
      <c r="I34" s="65"/>
      <c r="J34" s="65"/>
    </row>
    <row r="35" spans="1:10">
      <c r="A35" s="64"/>
      <c r="B35" s="64"/>
      <c r="C35" s="65"/>
      <c r="D35" s="65"/>
      <c r="E35" s="30"/>
      <c r="F35" s="1132"/>
      <c r="G35" s="68"/>
      <c r="H35" s="65"/>
      <c r="I35" s="65"/>
      <c r="J35" s="65"/>
    </row>
    <row r="36" spans="1:10">
      <c r="A36" s="65"/>
      <c r="B36" s="65"/>
      <c r="C36" s="65"/>
      <c r="D36" s="65"/>
      <c r="E36" s="65"/>
      <c r="F36" s="65"/>
      <c r="G36" s="65"/>
      <c r="H36" s="65"/>
      <c r="I36" s="65"/>
      <c r="J36" s="65"/>
    </row>
    <row r="37" spans="1:10">
      <c r="A37" s="65"/>
      <c r="B37" s="65"/>
      <c r="C37" s="65"/>
      <c r="D37" s="65"/>
      <c r="E37" s="65"/>
      <c r="F37" s="65"/>
      <c r="G37" s="65"/>
      <c r="H37" s="65"/>
      <c r="I37" s="65"/>
      <c r="J37" s="65"/>
    </row>
    <row r="38" spans="1:10">
      <c r="A38" s="785" t="str">
        <f>COMPANY</f>
        <v>DUKE ENERGY KENTUCKY, INC.</v>
      </c>
      <c r="B38" s="785"/>
      <c r="C38" s="785"/>
      <c r="D38" s="785"/>
      <c r="E38" s="785"/>
      <c r="F38" s="785"/>
      <c r="G38" s="785"/>
      <c r="H38" s="785"/>
      <c r="I38" s="785"/>
      <c r="J38" s="65"/>
    </row>
    <row r="39" spans="1:10">
      <c r="A39" s="785" t="str">
        <f>CASE</f>
        <v>CASE NO. 2024-00354</v>
      </c>
      <c r="B39" s="785"/>
      <c r="C39" s="785"/>
      <c r="D39" s="785"/>
      <c r="E39" s="785"/>
      <c r="F39" s="785"/>
      <c r="G39" s="785"/>
      <c r="H39" s="785"/>
      <c r="I39" s="785"/>
      <c r="J39" s="65"/>
    </row>
    <row r="40" spans="1:10">
      <c r="A40" s="785" t="s">
        <v>824</v>
      </c>
      <c r="B40" s="785"/>
      <c r="C40" s="785"/>
      <c r="D40" s="785"/>
      <c r="E40" s="785"/>
      <c r="F40" s="785"/>
      <c r="G40" s="785"/>
      <c r="H40" s="785"/>
      <c r="I40" s="785"/>
      <c r="J40" s="65"/>
    </row>
    <row r="41" spans="1:10">
      <c r="A41" s="47" t="str">
        <f>"AS OF " &amp;RIGHT(Forecast,(LEN(Forecast)-16))</f>
        <v>AS OF JUNE 30, 2026</v>
      </c>
      <c r="B41" s="785"/>
      <c r="C41" s="785"/>
      <c r="D41" s="785"/>
      <c r="E41" s="785"/>
      <c r="F41" s="785"/>
      <c r="G41" s="785"/>
      <c r="H41" s="785"/>
      <c r="I41" s="785"/>
      <c r="J41" s="65"/>
    </row>
    <row r="42" spans="1:10">
      <c r="A42" s="785"/>
      <c r="B42" s="785"/>
      <c r="C42" s="785"/>
      <c r="D42" s="785"/>
      <c r="E42" s="785"/>
      <c r="F42" s="785"/>
      <c r="G42" s="785"/>
      <c r="H42" s="65"/>
      <c r="I42" s="65"/>
      <c r="J42" s="65"/>
    </row>
    <row r="43" spans="1:10">
      <c r="A43" s="785"/>
      <c r="B43" s="785"/>
      <c r="C43" s="785"/>
      <c r="D43" s="785"/>
      <c r="E43" s="785"/>
      <c r="F43" s="785"/>
      <c r="G43" s="785"/>
      <c r="H43" s="785"/>
      <c r="I43" s="785"/>
      <c r="J43" s="65"/>
    </row>
    <row r="44" spans="1:10">
      <c r="A44" s="785"/>
      <c r="B44" s="785"/>
      <c r="C44" s="785"/>
      <c r="D44" s="785"/>
      <c r="E44" s="785"/>
      <c r="F44" s="785"/>
      <c r="G44" s="785"/>
      <c r="H44" s="65"/>
      <c r="I44" s="65"/>
      <c r="J44" s="65"/>
    </row>
    <row r="45" spans="1:10">
      <c r="A45" s="785"/>
      <c r="B45" s="785"/>
      <c r="C45" s="785"/>
      <c r="D45" s="785"/>
      <c r="E45" s="785"/>
      <c r="F45" s="785"/>
      <c r="G45" s="785"/>
      <c r="H45" s="65"/>
      <c r="I45" s="65"/>
      <c r="J45" s="65"/>
    </row>
    <row r="46" spans="1:10">
      <c r="A46" s="67" t="str">
        <f>DataF</f>
        <v>DATA:  BASE PERIOD  "X" FORECASTED PERIOD</v>
      </c>
      <c r="B46" s="65"/>
      <c r="C46" s="65"/>
      <c r="D46" s="65"/>
      <c r="E46" s="65"/>
      <c r="F46" s="65"/>
      <c r="G46" s="65"/>
      <c r="H46" s="67" t="s">
        <v>825</v>
      </c>
      <c r="I46" s="65"/>
      <c r="J46" s="65"/>
    </row>
    <row r="47" spans="1:10">
      <c r="A47" s="67" t="str">
        <f>Type</f>
        <v xml:space="preserve">TYPE OF FILING:  "X" ORIGINAL   UPDATED    REVISED  </v>
      </c>
      <c r="B47" s="65"/>
      <c r="C47" s="65"/>
      <c r="D47" s="65"/>
      <c r="E47" s="65"/>
      <c r="F47" s="65"/>
      <c r="G47" s="65"/>
      <c r="H47" s="67" t="s">
        <v>590</v>
      </c>
      <c r="I47" s="65"/>
      <c r="J47" s="65"/>
    </row>
    <row r="48" spans="1:10">
      <c r="A48" s="67" t="s">
        <v>826</v>
      </c>
      <c r="B48" s="65"/>
      <c r="C48" s="65"/>
      <c r="D48" s="65"/>
      <c r="E48" s="65"/>
      <c r="F48" s="65"/>
      <c r="G48" s="65"/>
      <c r="H48" s="787" t="s">
        <v>468</v>
      </c>
      <c r="I48" s="65"/>
      <c r="J48" s="65"/>
    </row>
    <row r="49" spans="1:10">
      <c r="A49" s="65"/>
      <c r="B49" s="65"/>
      <c r="C49" s="65"/>
      <c r="D49" s="65"/>
      <c r="E49" s="65"/>
      <c r="F49" s="65"/>
      <c r="G49" s="65"/>
      <c r="H49" s="65" t="str">
        <f>_WIT7</f>
        <v>G. S. CARPENTER / S. S. MITCHELL</v>
      </c>
      <c r="I49" s="65"/>
      <c r="J49" s="65"/>
    </row>
    <row r="50" spans="1:10">
      <c r="A50" s="65"/>
      <c r="B50" s="65"/>
      <c r="C50" s="65"/>
      <c r="D50" s="65"/>
      <c r="E50" s="65"/>
      <c r="F50" s="65"/>
      <c r="G50" s="65"/>
      <c r="H50" s="65"/>
      <c r="I50" s="65"/>
      <c r="J50" s="65"/>
    </row>
    <row r="51" spans="1:10">
      <c r="A51" s="65"/>
      <c r="B51" s="65"/>
      <c r="C51" s="65"/>
      <c r="D51" s="65"/>
      <c r="E51" s="65"/>
      <c r="F51" s="65"/>
      <c r="G51" s="65"/>
      <c r="H51" s="65"/>
      <c r="I51" s="65"/>
      <c r="J51" s="65"/>
    </row>
    <row r="52" spans="1:10">
      <c r="A52" s="65"/>
      <c r="B52" s="65"/>
      <c r="C52" s="65"/>
      <c r="D52" s="65"/>
      <c r="E52" s="65"/>
      <c r="F52" s="65"/>
      <c r="G52" s="65"/>
      <c r="H52" s="1458"/>
      <c r="I52" s="1458"/>
      <c r="J52" s="65"/>
    </row>
    <row r="53" spans="1:10">
      <c r="A53" s="2099"/>
      <c r="B53" s="2099"/>
      <c r="C53" s="2106"/>
      <c r="D53" s="2099"/>
      <c r="E53" s="2086" t="s">
        <v>591</v>
      </c>
      <c r="F53" s="2099"/>
      <c r="G53" s="2099"/>
      <c r="H53" s="65"/>
      <c r="I53" s="65"/>
      <c r="J53" s="65"/>
    </row>
    <row r="54" spans="1:10">
      <c r="A54" s="65"/>
      <c r="B54" s="64" t="s">
        <v>257</v>
      </c>
      <c r="C54" s="64" t="s">
        <v>605</v>
      </c>
      <c r="D54" s="65"/>
      <c r="E54" s="53" t="s">
        <v>592</v>
      </c>
      <c r="F54" s="65"/>
      <c r="G54" s="65"/>
      <c r="H54" s="65"/>
      <c r="I54" s="64" t="s">
        <v>695</v>
      </c>
      <c r="J54" s="65"/>
    </row>
    <row r="55" spans="1:10">
      <c r="A55" s="64" t="s">
        <v>573</v>
      </c>
      <c r="B55" s="64" t="s">
        <v>606</v>
      </c>
      <c r="C55" s="64" t="s">
        <v>606</v>
      </c>
      <c r="D55" s="67"/>
      <c r="E55" s="53" t="s">
        <v>417</v>
      </c>
      <c r="F55" s="64" t="s">
        <v>574</v>
      </c>
      <c r="G55" s="64" t="s">
        <v>574</v>
      </c>
      <c r="H55" s="64" t="s">
        <v>696</v>
      </c>
      <c r="I55" s="64" t="s">
        <v>697</v>
      </c>
      <c r="J55" s="65"/>
    </row>
    <row r="56" spans="1:10">
      <c r="A56" s="64" t="s">
        <v>576</v>
      </c>
      <c r="B56" s="64" t="s">
        <v>576</v>
      </c>
      <c r="C56" s="64" t="s">
        <v>576</v>
      </c>
      <c r="D56" s="64" t="s">
        <v>607</v>
      </c>
      <c r="E56" s="53" t="s">
        <v>418</v>
      </c>
      <c r="F56" s="64" t="s">
        <v>420</v>
      </c>
      <c r="G56" s="64" t="s">
        <v>698</v>
      </c>
      <c r="H56" s="64" t="s">
        <v>699</v>
      </c>
      <c r="I56" s="64" t="s">
        <v>698</v>
      </c>
      <c r="J56" s="65"/>
    </row>
    <row r="57" spans="1:10">
      <c r="A57" s="65"/>
      <c r="B57" s="65"/>
      <c r="C57" s="1477"/>
      <c r="D57" s="65"/>
      <c r="E57" s="65"/>
      <c r="F57" s="65"/>
      <c r="G57" s="65"/>
      <c r="H57" s="1458"/>
      <c r="I57" s="1458"/>
      <c r="J57" s="65"/>
    </row>
    <row r="58" spans="1:10">
      <c r="A58" s="2099"/>
      <c r="B58" s="2099"/>
      <c r="C58" s="63"/>
      <c r="D58" s="2099"/>
      <c r="E58" s="2099"/>
      <c r="F58" s="2099"/>
      <c r="G58" s="2099"/>
      <c r="H58" s="65"/>
      <c r="I58" s="65"/>
      <c r="J58" s="65"/>
    </row>
    <row r="59" spans="1:10">
      <c r="A59" s="33">
        <v>1</v>
      </c>
      <c r="B59" s="53">
        <v>317</v>
      </c>
      <c r="C59" s="1249" t="s">
        <v>827</v>
      </c>
      <c r="D59" s="737" t="s">
        <v>615</v>
      </c>
      <c r="E59" s="1185">
        <f>'SCH B-3'!J307</f>
        <v>-29235436</v>
      </c>
      <c r="F59" s="1183">
        <v>1</v>
      </c>
      <c r="G59" s="1184">
        <f t="shared" ref="G59:G63" si="1">E59*F59</f>
        <v>-29235436</v>
      </c>
      <c r="H59" s="1184"/>
      <c r="I59" s="1282" t="s">
        <v>700</v>
      </c>
      <c r="J59" s="65"/>
    </row>
    <row r="60" spans="1:10">
      <c r="A60" s="33">
        <v>2</v>
      </c>
      <c r="B60" s="53">
        <v>311</v>
      </c>
      <c r="C60" s="1250">
        <v>3110</v>
      </c>
      <c r="D60" s="40" t="s">
        <v>702</v>
      </c>
      <c r="E60" s="2281">
        <v>-12555504</v>
      </c>
      <c r="F60" s="1183">
        <v>1</v>
      </c>
      <c r="G60" s="1184">
        <f>E60*F60</f>
        <v>-12555504</v>
      </c>
      <c r="H60" s="1184"/>
      <c r="I60" s="1130" t="s">
        <v>703</v>
      </c>
      <c r="J60" s="65"/>
    </row>
    <row r="61" spans="1:10">
      <c r="A61" s="33">
        <v>3</v>
      </c>
      <c r="B61" s="53">
        <v>373</v>
      </c>
      <c r="C61" s="53">
        <v>3733</v>
      </c>
      <c r="D61" s="737" t="s">
        <v>660</v>
      </c>
      <c r="E61" s="30">
        <f>'SCH B-3'!J443</f>
        <v>-1915943</v>
      </c>
      <c r="F61" s="1183">
        <v>1</v>
      </c>
      <c r="G61" s="1184">
        <f t="shared" si="1"/>
        <v>-1915943</v>
      </c>
      <c r="H61" s="750"/>
      <c r="I61" s="1130" t="s">
        <v>701</v>
      </c>
      <c r="J61" s="65"/>
    </row>
    <row r="62" spans="1:10">
      <c r="A62" s="33">
        <v>4</v>
      </c>
      <c r="B62" s="53">
        <v>373</v>
      </c>
      <c r="C62" s="53">
        <v>3734</v>
      </c>
      <c r="D62" s="737" t="s">
        <v>661</v>
      </c>
      <c r="E62" s="30">
        <f>'SCH B-3'!J444</f>
        <v>1195712</v>
      </c>
      <c r="F62" s="1183">
        <v>1</v>
      </c>
      <c r="G62" s="1184">
        <f t="shared" si="1"/>
        <v>1195712</v>
      </c>
      <c r="H62" s="750"/>
      <c r="I62" s="1130" t="s">
        <v>701</v>
      </c>
      <c r="J62" s="65"/>
    </row>
    <row r="63" spans="1:10">
      <c r="A63" s="33">
        <v>5</v>
      </c>
      <c r="B63" s="750"/>
      <c r="C63" s="53">
        <v>1990</v>
      </c>
      <c r="D63" s="1131" t="s">
        <v>679</v>
      </c>
      <c r="E63" s="30">
        <f>'SCH B-3'!J536</f>
        <v>-953167</v>
      </c>
      <c r="F63" s="1183">
        <v>1</v>
      </c>
      <c r="G63" s="1184">
        <f t="shared" si="1"/>
        <v>-953167</v>
      </c>
      <c r="H63" s="750"/>
      <c r="I63" s="1282" t="s">
        <v>700</v>
      </c>
      <c r="J63" s="65"/>
    </row>
    <row r="64" spans="1:10">
      <c r="A64" s="33">
        <v>6</v>
      </c>
      <c r="B64" s="53">
        <v>347</v>
      </c>
      <c r="C64" s="53">
        <v>3476</v>
      </c>
      <c r="D64" s="1131" t="s">
        <v>828</v>
      </c>
      <c r="E64" s="30">
        <f>+'SCH B-3'!J350</f>
        <v>-13743</v>
      </c>
      <c r="F64" s="1183">
        <v>1</v>
      </c>
      <c r="G64" s="1184">
        <f t="shared" ref="G64" si="2">E64*F64</f>
        <v>-13743</v>
      </c>
      <c r="H64" s="750"/>
      <c r="I64" s="1282" t="s">
        <v>700</v>
      </c>
      <c r="J64" s="65"/>
    </row>
    <row r="65" spans="1:10">
      <c r="A65" s="53"/>
      <c r="B65" s="750"/>
      <c r="C65" s="53"/>
      <c r="D65" s="1131"/>
      <c r="E65" s="748"/>
      <c r="F65" s="1183"/>
      <c r="G65" s="748"/>
      <c r="H65" s="750"/>
      <c r="I65" s="1282"/>
      <c r="J65" s="65"/>
    </row>
    <row r="66" spans="1:10">
      <c r="A66" s="750"/>
      <c r="B66" s="750"/>
      <c r="C66" s="750"/>
      <c r="D66" s="750"/>
      <c r="E66" s="748"/>
      <c r="F66" s="747"/>
      <c r="G66" s="748"/>
      <c r="H66" s="748"/>
      <c r="I66" s="748"/>
      <c r="J66" s="65"/>
    </row>
    <row r="67" spans="1:10">
      <c r="A67" s="2082"/>
      <c r="B67" s="2082"/>
      <c r="C67" s="2082"/>
      <c r="D67" s="2082"/>
      <c r="E67" s="2084"/>
      <c r="F67" s="2087"/>
      <c r="G67" s="2084"/>
      <c r="H67" s="2084"/>
      <c r="I67" s="2084"/>
      <c r="J67" s="65"/>
    </row>
    <row r="68" spans="1:10">
      <c r="A68" s="53">
        <v>7</v>
      </c>
      <c r="B68" s="750"/>
      <c r="C68" s="750"/>
      <c r="D68" s="1131" t="s">
        <v>705</v>
      </c>
      <c r="E68" s="748">
        <f>SUM(E59:E65)</f>
        <v>-43478081</v>
      </c>
      <c r="F68" s="1183">
        <v>1</v>
      </c>
      <c r="G68" s="748">
        <f>SUM(G59:G65)</f>
        <v>-43478081</v>
      </c>
      <c r="H68" s="748"/>
      <c r="I68" s="748"/>
      <c r="J68" s="65"/>
    </row>
    <row r="69" spans="1:10">
      <c r="A69" s="750"/>
      <c r="B69" s="750"/>
      <c r="C69" s="750"/>
      <c r="D69" s="750"/>
      <c r="E69" s="748"/>
      <c r="F69" s="747"/>
      <c r="G69" s="748"/>
      <c r="H69" s="748"/>
      <c r="I69" s="748"/>
      <c r="J69" s="65"/>
    </row>
    <row r="70" spans="1:10">
      <c r="A70" s="2100"/>
      <c r="B70" s="2100"/>
      <c r="C70" s="2104"/>
      <c r="D70" s="2104"/>
      <c r="E70" s="2108"/>
      <c r="F70" s="2109"/>
      <c r="G70" s="2110"/>
      <c r="H70" s="2104"/>
      <c r="I70" s="2104"/>
      <c r="J70" s="65"/>
    </row>
    <row r="71" spans="1:10">
      <c r="A71" s="64"/>
      <c r="B71" s="64"/>
      <c r="C71" s="65"/>
      <c r="D71" s="65"/>
      <c r="E71" s="30"/>
      <c r="F71" s="1132"/>
      <c r="G71" s="68"/>
      <c r="H71" s="65"/>
      <c r="I71" s="65"/>
      <c r="J71" s="65"/>
    </row>
    <row r="72" spans="1:10">
      <c r="A72" s="64"/>
      <c r="B72" s="64"/>
      <c r="C72" s="65"/>
      <c r="D72" s="67"/>
      <c r="E72" s="30"/>
      <c r="F72" s="1132"/>
      <c r="G72" s="68"/>
      <c r="H72" s="65"/>
      <c r="I72" s="65"/>
      <c r="J72" s="65"/>
    </row>
    <row r="73" spans="1:10">
      <c r="A73" s="64"/>
      <c r="B73" s="64"/>
      <c r="C73" s="65"/>
      <c r="D73" s="65"/>
      <c r="E73" s="30"/>
      <c r="F73" s="1132"/>
      <c r="G73" s="68"/>
      <c r="H73" s="65"/>
      <c r="I73" s="65"/>
      <c r="J73" s="65"/>
    </row>
    <row r="74" spans="1:10">
      <c r="A74" s="64"/>
      <c r="B74" s="64"/>
      <c r="C74" s="65"/>
      <c r="D74" s="65"/>
      <c r="E74" s="30"/>
      <c r="F74" s="1132"/>
      <c r="G74" s="68"/>
      <c r="H74" s="65"/>
      <c r="I74" s="65"/>
      <c r="J74" s="65"/>
    </row>
    <row r="75" spans="1:10">
      <c r="A75" s="64"/>
      <c r="B75" s="64"/>
      <c r="C75" s="65"/>
      <c r="D75" s="65"/>
      <c r="E75" s="30"/>
      <c r="F75" s="1132"/>
      <c r="G75" s="68"/>
      <c r="H75" s="65"/>
      <c r="I75" s="65"/>
      <c r="J75" s="65"/>
    </row>
    <row r="76" spans="1:10">
      <c r="A76" s="65"/>
      <c r="B76" s="65"/>
      <c r="C76" s="65"/>
      <c r="D76" s="65"/>
      <c r="E76" s="65"/>
      <c r="F76" s="65"/>
      <c r="G76" s="65"/>
      <c r="H76" s="65"/>
      <c r="I76" s="65"/>
      <c r="J76" s="65"/>
    </row>
    <row r="77" spans="1:10">
      <c r="A77" s="65"/>
      <c r="B77" s="65"/>
      <c r="C77" s="65"/>
      <c r="D77" s="65"/>
      <c r="E77" s="65"/>
      <c r="F77" s="65"/>
      <c r="G77" s="65"/>
      <c r="H77" s="65"/>
      <c r="I77" s="65"/>
      <c r="J77" s="65"/>
    </row>
    <row r="78" spans="1:10">
      <c r="A78" s="64"/>
      <c r="B78" s="65"/>
      <c r="C78" s="65"/>
      <c r="D78" s="65"/>
      <c r="E78" s="68"/>
      <c r="F78" s="65"/>
      <c r="G78" s="68"/>
      <c r="H78" s="65"/>
      <c r="I78" s="65"/>
      <c r="J78" s="65"/>
    </row>
    <row r="79" spans="1:10">
      <c r="A79" s="65"/>
      <c r="B79" s="65"/>
      <c r="C79" s="65"/>
      <c r="D79" s="65"/>
      <c r="E79" s="65"/>
      <c r="F79" s="65"/>
      <c r="G79" s="65"/>
      <c r="H79" s="65"/>
      <c r="I79" s="65"/>
      <c r="J79" s="65"/>
    </row>
    <row r="80" spans="1:10">
      <c r="A80" s="65"/>
      <c r="B80" s="1133"/>
      <c r="C80" s="65"/>
      <c r="D80" s="65"/>
      <c r="E80" s="65"/>
      <c r="F80" s="65"/>
      <c r="G80" s="65"/>
      <c r="H80" s="65"/>
      <c r="I80" s="65"/>
      <c r="J80" s="65"/>
    </row>
    <row r="81" spans="1:10">
      <c r="A81" s="64"/>
      <c r="B81" s="64"/>
      <c r="C81" s="64"/>
      <c r="D81" s="65"/>
      <c r="E81" s="30"/>
      <c r="F81" s="1132"/>
      <c r="G81" s="68"/>
      <c r="H81" s="65"/>
      <c r="I81" s="65"/>
      <c r="J81" s="65"/>
    </row>
    <row r="82" spans="1:10">
      <c r="A82" s="64"/>
      <c r="B82" s="64"/>
      <c r="C82" s="64"/>
      <c r="D82" s="65"/>
      <c r="E82" s="30"/>
      <c r="F82" s="1132"/>
      <c r="G82" s="68"/>
      <c r="H82" s="65"/>
      <c r="I82" s="65"/>
      <c r="J82" s="65"/>
    </row>
    <row r="83" spans="1:10">
      <c r="A83" s="64"/>
      <c r="B83" s="64"/>
      <c r="C83" s="64"/>
      <c r="D83" s="65"/>
      <c r="E83" s="30"/>
      <c r="F83" s="1132"/>
      <c r="G83" s="68"/>
      <c r="H83" s="65"/>
      <c r="I83" s="65"/>
      <c r="J83" s="65"/>
    </row>
    <row r="84" spans="1:10">
      <c r="A84" s="65"/>
      <c r="B84" s="64"/>
      <c r="C84" s="65"/>
      <c r="D84" s="65"/>
      <c r="E84" s="65"/>
      <c r="F84" s="65"/>
      <c r="G84" s="65"/>
      <c r="H84" s="65"/>
      <c r="I84" s="65"/>
      <c r="J84" s="65"/>
    </row>
    <row r="85" spans="1:10">
      <c r="A85" s="64"/>
      <c r="B85" s="65"/>
      <c r="C85" s="65"/>
      <c r="D85" s="65"/>
      <c r="E85" s="68"/>
      <c r="F85" s="65"/>
      <c r="G85" s="68"/>
      <c r="H85" s="65"/>
      <c r="I85" s="65"/>
      <c r="J85" s="65"/>
    </row>
    <row r="86" spans="1:10">
      <c r="A86" s="65"/>
      <c r="B86" s="65"/>
      <c r="C86" s="65"/>
      <c r="D86" s="65"/>
      <c r="E86" s="65"/>
      <c r="F86" s="65"/>
      <c r="G86" s="65"/>
      <c r="H86" s="65"/>
      <c r="I86" s="65"/>
      <c r="J86" s="65"/>
    </row>
    <row r="87" spans="1:10">
      <c r="A87" s="64"/>
      <c r="B87" s="65"/>
      <c r="C87" s="65"/>
      <c r="D87" s="65"/>
      <c r="E87" s="68"/>
      <c r="F87" s="65"/>
      <c r="G87" s="68"/>
      <c r="H87" s="65"/>
      <c r="I87" s="65"/>
      <c r="J87" s="65"/>
    </row>
    <row r="88" spans="1:10">
      <c r="A88" s="64"/>
      <c r="B88" s="65"/>
      <c r="C88" s="65"/>
      <c r="D88" s="65"/>
      <c r="E88" s="68"/>
      <c r="F88" s="65"/>
      <c r="G88" s="68"/>
      <c r="H88" s="65"/>
      <c r="I88" s="65"/>
      <c r="J88" s="65"/>
    </row>
    <row r="89" spans="1:10">
      <c r="A89" s="65"/>
      <c r="B89" s="65"/>
      <c r="C89" s="65"/>
      <c r="D89" s="65"/>
      <c r="E89" s="65"/>
      <c r="F89" s="65"/>
      <c r="G89" s="65"/>
      <c r="H89" s="65"/>
      <c r="I89" s="65"/>
      <c r="J89" s="65"/>
    </row>
    <row r="90" spans="1:10">
      <c r="A90" s="65"/>
      <c r="B90" s="65"/>
      <c r="C90" s="65"/>
      <c r="D90" s="65"/>
      <c r="E90" s="65"/>
      <c r="F90" s="65"/>
      <c r="G90" s="65"/>
      <c r="H90" s="65"/>
      <c r="I90" s="65"/>
      <c r="J90" s="65"/>
    </row>
    <row r="91" spans="1:10">
      <c r="A91" s="65"/>
      <c r="B91" s="65"/>
      <c r="C91" s="65"/>
      <c r="D91" s="65"/>
      <c r="E91" s="65"/>
      <c r="F91" s="65"/>
      <c r="G91" s="65"/>
      <c r="H91" s="65"/>
      <c r="I91" s="65"/>
      <c r="J91" s="65"/>
    </row>
    <row r="92" spans="1:10">
      <c r="A92" s="65"/>
      <c r="B92" s="65"/>
      <c r="C92" s="65"/>
      <c r="D92" s="65"/>
      <c r="E92" s="65"/>
      <c r="F92" s="65"/>
      <c r="G92" s="65"/>
      <c r="H92" s="65"/>
      <c r="I92" s="65"/>
      <c r="J92" s="65"/>
    </row>
    <row r="93" spans="1:10">
      <c r="A93" s="65"/>
      <c r="B93" s="65"/>
      <c r="C93" s="65"/>
      <c r="D93" s="65"/>
      <c r="E93" s="65"/>
      <c r="F93" s="65"/>
      <c r="G93" s="65"/>
      <c r="H93" s="65"/>
      <c r="I93" s="65"/>
      <c r="J93" s="65"/>
    </row>
    <row r="94" spans="1:10">
      <c r="A94" s="65"/>
      <c r="B94" s="65"/>
      <c r="C94" s="65"/>
      <c r="D94" s="65"/>
      <c r="E94" s="65"/>
      <c r="F94" s="65"/>
      <c r="G94" s="65"/>
      <c r="H94" s="65"/>
      <c r="I94" s="65"/>
      <c r="J94" s="65"/>
    </row>
    <row r="95" spans="1:10">
      <c r="A95" s="65"/>
      <c r="B95" s="65"/>
      <c r="C95" s="65"/>
      <c r="D95" s="65"/>
      <c r="E95" s="65"/>
      <c r="F95" s="65"/>
      <c r="G95" s="65"/>
      <c r="H95" s="65"/>
      <c r="I95" s="65"/>
      <c r="J95" s="65"/>
    </row>
    <row r="96" spans="1:10">
      <c r="A96" s="65"/>
      <c r="B96" s="65"/>
      <c r="C96" s="65"/>
      <c r="D96" s="65"/>
      <c r="E96" s="65"/>
      <c r="F96" s="65"/>
      <c r="G96" s="65"/>
      <c r="H96" s="65"/>
      <c r="I96" s="65"/>
      <c r="J96" s="65"/>
    </row>
    <row r="97" spans="1:10">
      <c r="A97" s="65"/>
      <c r="B97" s="65"/>
      <c r="C97" s="65"/>
      <c r="D97" s="65"/>
      <c r="E97" s="65"/>
      <c r="F97" s="65"/>
      <c r="G97" s="65"/>
      <c r="H97" s="65"/>
      <c r="I97" s="65"/>
      <c r="J97" s="65"/>
    </row>
    <row r="98" spans="1:10">
      <c r="A98" s="65"/>
      <c r="B98" s="65"/>
      <c r="C98" s="65"/>
      <c r="D98" s="65"/>
      <c r="E98" s="65"/>
      <c r="F98" s="65"/>
      <c r="G98" s="65"/>
      <c r="H98" s="65"/>
      <c r="I98" s="65"/>
      <c r="J98" s="65"/>
    </row>
    <row r="99" spans="1:10">
      <c r="A99" s="65"/>
      <c r="B99" s="65"/>
      <c r="C99" s="65"/>
      <c r="D99" s="65"/>
      <c r="E99" s="65"/>
      <c r="F99" s="65"/>
      <c r="G99" s="65"/>
      <c r="H99" s="65"/>
      <c r="I99" s="65"/>
      <c r="J99" s="65"/>
    </row>
    <row r="100" spans="1:10">
      <c r="A100" s="65"/>
      <c r="B100" s="65"/>
      <c r="C100" s="65"/>
      <c r="D100" s="65"/>
      <c r="E100" s="65"/>
      <c r="F100" s="65"/>
      <c r="G100" s="65"/>
      <c r="H100" s="65"/>
      <c r="I100" s="65"/>
      <c r="J100" s="65"/>
    </row>
    <row r="101" spans="1:10">
      <c r="A101" s="65"/>
      <c r="B101" s="65"/>
      <c r="C101" s="65"/>
      <c r="D101" s="65"/>
      <c r="E101" s="65"/>
      <c r="F101" s="65"/>
      <c r="G101" s="65"/>
      <c r="H101" s="65"/>
      <c r="I101" s="65"/>
      <c r="J101" s="65"/>
    </row>
    <row r="102" spans="1:10">
      <c r="A102" s="65"/>
      <c r="B102" s="65"/>
      <c r="C102" s="65"/>
      <c r="D102" s="65"/>
      <c r="E102" s="65"/>
      <c r="F102" s="65"/>
      <c r="G102" s="65"/>
      <c r="H102" s="65"/>
      <c r="I102" s="65"/>
      <c r="J102" s="65"/>
    </row>
    <row r="103" spans="1:10">
      <c r="A103" s="65"/>
      <c r="B103" s="65"/>
      <c r="C103" s="65"/>
      <c r="D103" s="65"/>
      <c r="E103" s="65"/>
      <c r="F103" s="65"/>
      <c r="G103" s="65"/>
      <c r="H103" s="65"/>
      <c r="I103" s="65"/>
      <c r="J103" s="65"/>
    </row>
    <row r="104" spans="1:10">
      <c r="A104" s="65"/>
      <c r="B104" s="65"/>
      <c r="C104" s="65"/>
      <c r="D104" s="65"/>
      <c r="E104" s="65"/>
      <c r="F104" s="65"/>
      <c r="G104" s="65"/>
      <c r="H104" s="65"/>
      <c r="I104" s="65"/>
      <c r="J104" s="65"/>
    </row>
    <row r="105" spans="1:10">
      <c r="A105" s="65"/>
      <c r="B105" s="65"/>
      <c r="C105" s="65"/>
      <c r="D105" s="65"/>
      <c r="E105" s="65"/>
      <c r="F105" s="65"/>
      <c r="G105" s="65"/>
      <c r="H105" s="65"/>
      <c r="I105" s="65"/>
      <c r="J105" s="65"/>
    </row>
    <row r="106" spans="1:10">
      <c r="A106" s="65"/>
      <c r="B106" s="65"/>
      <c r="C106" s="65"/>
      <c r="D106" s="65"/>
      <c r="E106" s="65"/>
      <c r="F106" s="65"/>
      <c r="G106" s="65"/>
      <c r="H106" s="65"/>
      <c r="I106" s="65"/>
      <c r="J106" s="65"/>
    </row>
    <row r="107" spans="1:10">
      <c r="A107" s="65"/>
      <c r="B107" s="65"/>
      <c r="C107" s="65"/>
      <c r="D107" s="65"/>
      <c r="E107" s="65"/>
      <c r="F107" s="65"/>
      <c r="G107" s="65"/>
      <c r="H107" s="65"/>
      <c r="I107" s="65"/>
      <c r="J107" s="65"/>
    </row>
    <row r="108" spans="1:10">
      <c r="A108" s="65"/>
      <c r="B108" s="65"/>
      <c r="C108" s="65"/>
      <c r="D108" s="65"/>
      <c r="E108" s="65"/>
      <c r="F108" s="65"/>
      <c r="G108" s="65"/>
      <c r="H108" s="65"/>
      <c r="I108" s="65"/>
      <c r="J108" s="65"/>
    </row>
    <row r="109" spans="1:10">
      <c r="A109" s="65"/>
      <c r="B109" s="65"/>
      <c r="C109" s="65"/>
      <c r="D109" s="65"/>
      <c r="E109" s="65"/>
      <c r="F109" s="65"/>
      <c r="G109" s="65"/>
      <c r="H109" s="65"/>
      <c r="I109" s="65"/>
      <c r="J109" s="65"/>
    </row>
    <row r="110" spans="1:10">
      <c r="A110" s="65"/>
      <c r="B110" s="65"/>
      <c r="C110" s="65"/>
      <c r="D110" s="65"/>
      <c r="E110" s="65"/>
      <c r="F110" s="65"/>
      <c r="G110" s="65"/>
      <c r="H110" s="65"/>
      <c r="I110" s="65"/>
      <c r="J110" s="65"/>
    </row>
    <row r="111" spans="1:10">
      <c r="A111" s="65"/>
      <c r="B111" s="65"/>
      <c r="C111" s="65"/>
      <c r="D111" s="65"/>
      <c r="E111" s="65"/>
      <c r="F111" s="65"/>
      <c r="G111" s="65"/>
      <c r="H111" s="65"/>
      <c r="I111" s="65"/>
      <c r="J111" s="65"/>
    </row>
    <row r="112" spans="1:10">
      <c r="A112" s="65"/>
      <c r="B112" s="65"/>
      <c r="C112" s="65"/>
      <c r="D112" s="65"/>
      <c r="E112" s="65"/>
      <c r="F112" s="65"/>
      <c r="G112" s="65"/>
      <c r="H112" s="65"/>
      <c r="I112" s="65"/>
      <c r="J112" s="65"/>
    </row>
    <row r="113" spans="1:10">
      <c r="A113" s="65"/>
      <c r="B113" s="65"/>
      <c r="C113" s="65"/>
      <c r="D113" s="65"/>
      <c r="E113" s="65"/>
      <c r="F113" s="65"/>
      <c r="G113" s="65"/>
      <c r="H113" s="65"/>
      <c r="I113" s="65"/>
      <c r="J113" s="65"/>
    </row>
    <row r="114" spans="1:10">
      <c r="A114" s="65"/>
      <c r="B114" s="65"/>
      <c r="C114" s="65"/>
      <c r="D114" s="65"/>
      <c r="E114" s="65"/>
      <c r="F114" s="65"/>
      <c r="G114" s="65"/>
      <c r="H114" s="65"/>
      <c r="I114" s="65"/>
      <c r="J114" s="65"/>
    </row>
    <row r="115" spans="1:10">
      <c r="A115" s="65"/>
      <c r="B115" s="65"/>
      <c r="C115" s="65"/>
      <c r="D115" s="65"/>
      <c r="E115" s="65"/>
      <c r="F115" s="65"/>
      <c r="G115" s="65"/>
      <c r="H115" s="65"/>
      <c r="I115" s="65"/>
      <c r="J115" s="65"/>
    </row>
    <row r="116" spans="1:10">
      <c r="A116" s="65"/>
      <c r="B116" s="65"/>
      <c r="C116" s="65"/>
      <c r="D116" s="65"/>
      <c r="E116" s="65"/>
      <c r="F116" s="65"/>
      <c r="G116" s="65"/>
      <c r="H116" s="65"/>
      <c r="I116" s="65"/>
      <c r="J116" s="65"/>
    </row>
    <row r="117" spans="1:10">
      <c r="A117" s="65"/>
      <c r="B117" s="65"/>
      <c r="C117" s="65"/>
      <c r="D117" s="65"/>
      <c r="E117" s="65"/>
      <c r="F117" s="65"/>
      <c r="G117" s="65"/>
      <c r="H117" s="65"/>
      <c r="I117" s="65"/>
      <c r="J117" s="65"/>
    </row>
    <row r="118" spans="1:10">
      <c r="A118" s="65"/>
      <c r="B118" s="65"/>
      <c r="C118" s="65"/>
      <c r="D118" s="65"/>
      <c r="E118" s="65"/>
      <c r="F118" s="65"/>
      <c r="G118" s="65"/>
      <c r="H118" s="65"/>
      <c r="I118" s="65"/>
      <c r="J118" s="65"/>
    </row>
    <row r="119" spans="1:10">
      <c r="A119" s="65"/>
      <c r="B119" s="65"/>
      <c r="C119" s="65"/>
      <c r="D119" s="65"/>
      <c r="E119" s="65"/>
      <c r="F119" s="65"/>
      <c r="G119" s="65"/>
      <c r="H119" s="65"/>
      <c r="I119" s="65"/>
      <c r="J119" s="65"/>
    </row>
    <row r="120" spans="1:10">
      <c r="A120" s="65"/>
      <c r="B120" s="65"/>
      <c r="C120" s="65"/>
      <c r="D120" s="65"/>
      <c r="E120" s="65"/>
      <c r="F120" s="65"/>
      <c r="G120" s="65"/>
      <c r="H120" s="65"/>
      <c r="I120" s="65"/>
      <c r="J120" s="65"/>
    </row>
    <row r="121" spans="1:10">
      <c r="A121" s="65"/>
      <c r="B121" s="65"/>
      <c r="C121" s="65"/>
      <c r="D121" s="65"/>
      <c r="E121" s="65"/>
      <c r="F121" s="65"/>
      <c r="G121" s="65"/>
      <c r="H121" s="65"/>
      <c r="I121" s="65"/>
      <c r="J121" s="65"/>
    </row>
    <row r="122" spans="1:10">
      <c r="A122" s="65"/>
      <c r="B122" s="65"/>
      <c r="C122" s="65"/>
      <c r="D122" s="65"/>
      <c r="E122" s="65"/>
      <c r="F122" s="65"/>
      <c r="G122" s="65"/>
      <c r="H122" s="65"/>
      <c r="I122" s="65"/>
      <c r="J122" s="65"/>
    </row>
    <row r="123" spans="1:10">
      <c r="A123" s="65"/>
      <c r="B123" s="65"/>
      <c r="C123" s="65"/>
      <c r="D123" s="65"/>
      <c r="E123" s="65"/>
      <c r="F123" s="65"/>
      <c r="G123" s="65"/>
      <c r="H123" s="65"/>
      <c r="I123" s="65"/>
      <c r="J123" s="65"/>
    </row>
    <row r="124" spans="1:10">
      <c r="A124" s="65"/>
      <c r="B124" s="65"/>
      <c r="C124" s="65"/>
      <c r="D124" s="65"/>
      <c r="E124" s="65"/>
      <c r="F124" s="65"/>
      <c r="G124" s="65"/>
      <c r="H124" s="65"/>
      <c r="I124" s="65"/>
      <c r="J124" s="65"/>
    </row>
    <row r="125" spans="1:10">
      <c r="A125" s="65"/>
      <c r="B125" s="65"/>
      <c r="C125" s="65"/>
      <c r="D125" s="65"/>
      <c r="E125" s="65"/>
      <c r="F125" s="65"/>
      <c r="G125" s="65"/>
      <c r="H125" s="65"/>
      <c r="I125" s="65"/>
      <c r="J125" s="65"/>
    </row>
    <row r="126" spans="1:10">
      <c r="A126" s="65"/>
      <c r="B126" s="65"/>
      <c r="C126" s="65"/>
      <c r="D126" s="65"/>
      <c r="E126" s="65"/>
      <c r="F126" s="65"/>
      <c r="G126" s="65"/>
      <c r="H126" s="65"/>
      <c r="I126" s="65"/>
      <c r="J126" s="65"/>
    </row>
    <row r="127" spans="1:10">
      <c r="A127" s="65"/>
      <c r="B127" s="65"/>
      <c r="C127" s="65"/>
      <c r="D127" s="65"/>
      <c r="E127" s="65"/>
      <c r="F127" s="65"/>
      <c r="G127" s="65"/>
      <c r="H127" s="65"/>
      <c r="I127" s="65"/>
      <c r="J127" s="65"/>
    </row>
    <row r="128" spans="1:10">
      <c r="A128" s="65"/>
      <c r="B128" s="65"/>
      <c r="C128" s="65"/>
      <c r="D128" s="65"/>
      <c r="E128" s="65"/>
      <c r="F128" s="65"/>
      <c r="G128" s="65"/>
      <c r="H128" s="65"/>
      <c r="I128" s="65"/>
      <c r="J128" s="65"/>
    </row>
    <row r="129" spans="1:10">
      <c r="A129" s="65"/>
      <c r="B129" s="65"/>
      <c r="C129" s="65"/>
      <c r="D129" s="65"/>
      <c r="E129" s="65"/>
      <c r="F129" s="65"/>
      <c r="G129" s="65"/>
      <c r="H129" s="65"/>
      <c r="I129" s="65"/>
      <c r="J129" s="65"/>
    </row>
    <row r="130" spans="1:10">
      <c r="A130" s="65"/>
      <c r="B130" s="65"/>
      <c r="C130" s="65"/>
      <c r="D130" s="65"/>
      <c r="E130" s="65"/>
      <c r="F130" s="65"/>
      <c r="G130" s="65"/>
      <c r="H130" s="65"/>
      <c r="I130" s="65"/>
      <c r="J130" s="65"/>
    </row>
    <row r="131" spans="1:10">
      <c r="A131" s="65"/>
      <c r="B131" s="65"/>
      <c r="C131" s="65"/>
      <c r="D131" s="65"/>
      <c r="E131" s="65"/>
      <c r="F131" s="65"/>
      <c r="G131" s="65"/>
      <c r="H131" s="65"/>
      <c r="I131" s="65"/>
      <c r="J131" s="65"/>
    </row>
    <row r="132" spans="1:10">
      <c r="A132" s="65"/>
      <c r="B132" s="65"/>
      <c r="C132" s="65"/>
      <c r="D132" s="65"/>
      <c r="E132" s="65"/>
      <c r="F132" s="65"/>
      <c r="G132" s="65"/>
      <c r="H132" s="65"/>
      <c r="I132" s="65"/>
      <c r="J132" s="65"/>
    </row>
    <row r="133" spans="1:10">
      <c r="A133" s="65"/>
      <c r="B133" s="65"/>
      <c r="C133" s="65"/>
      <c r="D133" s="65"/>
      <c r="E133" s="65"/>
      <c r="F133" s="65"/>
      <c r="G133" s="65"/>
      <c r="H133" s="65"/>
      <c r="I133" s="65"/>
      <c r="J133" s="65"/>
    </row>
    <row r="134" spans="1:10">
      <c r="A134" s="65"/>
      <c r="B134" s="65"/>
      <c r="C134" s="65"/>
      <c r="D134" s="65"/>
      <c r="E134" s="65"/>
      <c r="F134" s="65"/>
      <c r="G134" s="65"/>
      <c r="H134" s="65"/>
      <c r="I134" s="65"/>
      <c r="J134" s="65"/>
    </row>
    <row r="135" spans="1:10">
      <c r="A135" s="65"/>
      <c r="B135" s="65"/>
      <c r="C135" s="65"/>
      <c r="D135" s="65"/>
      <c r="E135" s="65"/>
      <c r="F135" s="65"/>
      <c r="G135" s="65"/>
      <c r="H135" s="65"/>
      <c r="I135" s="65"/>
      <c r="J135" s="65"/>
    </row>
    <row r="136" spans="1:10">
      <c r="A136" s="65"/>
      <c r="B136" s="65"/>
      <c r="C136" s="65"/>
      <c r="D136" s="65"/>
      <c r="E136" s="65"/>
      <c r="F136" s="65"/>
      <c r="G136" s="65"/>
      <c r="H136" s="65"/>
      <c r="I136" s="65"/>
      <c r="J136" s="65"/>
    </row>
    <row r="137" spans="1:10">
      <c r="A137" s="65"/>
      <c r="B137" s="65"/>
      <c r="C137" s="65"/>
      <c r="D137" s="65"/>
      <c r="E137" s="65"/>
      <c r="F137" s="65"/>
      <c r="G137" s="65"/>
      <c r="H137" s="65"/>
      <c r="I137" s="65"/>
      <c r="J137" s="65"/>
    </row>
    <row r="138" spans="1:10">
      <c r="A138" s="65"/>
      <c r="B138" s="65"/>
      <c r="C138" s="65"/>
      <c r="D138" s="65"/>
      <c r="E138" s="65"/>
      <c r="F138" s="65"/>
      <c r="G138" s="65"/>
      <c r="H138" s="65"/>
      <c r="I138" s="65"/>
      <c r="J138" s="65"/>
    </row>
    <row r="139" spans="1:10">
      <c r="A139" s="65"/>
      <c r="B139" s="65"/>
      <c r="C139" s="65"/>
      <c r="D139" s="65"/>
      <c r="E139" s="65"/>
      <c r="F139" s="65"/>
      <c r="G139" s="65"/>
      <c r="H139" s="65"/>
      <c r="I139" s="65"/>
      <c r="J139" s="65"/>
    </row>
    <row r="140" spans="1:10">
      <c r="A140" s="65"/>
      <c r="B140" s="65"/>
      <c r="C140" s="65"/>
      <c r="D140" s="65"/>
      <c r="E140" s="65"/>
      <c r="F140" s="65"/>
      <c r="G140" s="65"/>
      <c r="H140" s="65"/>
      <c r="I140" s="65"/>
      <c r="J140" s="65"/>
    </row>
    <row r="141" spans="1:10">
      <c r="A141" s="65"/>
      <c r="B141" s="65"/>
      <c r="C141" s="65"/>
      <c r="D141" s="65"/>
      <c r="E141" s="65"/>
      <c r="F141" s="65"/>
      <c r="G141" s="65"/>
      <c r="H141" s="65"/>
      <c r="I141" s="65"/>
      <c r="J141" s="65"/>
    </row>
    <row r="142" spans="1:10">
      <c r="A142" s="65"/>
      <c r="B142" s="65"/>
      <c r="C142" s="65"/>
      <c r="D142" s="65"/>
      <c r="E142" s="65"/>
      <c r="F142" s="65"/>
      <c r="G142" s="65"/>
      <c r="H142" s="65"/>
      <c r="I142" s="65"/>
      <c r="J142" s="65"/>
    </row>
    <row r="143" spans="1:10">
      <c r="A143" s="65"/>
      <c r="B143" s="65"/>
      <c r="C143" s="65"/>
      <c r="D143" s="65"/>
      <c r="E143" s="65"/>
      <c r="F143" s="65"/>
      <c r="G143" s="65"/>
      <c r="H143" s="65"/>
      <c r="I143" s="65"/>
      <c r="J143" s="65"/>
    </row>
    <row r="144" spans="1:10">
      <c r="A144" s="65"/>
      <c r="B144" s="65"/>
      <c r="C144" s="65"/>
      <c r="D144" s="65"/>
      <c r="E144" s="65"/>
      <c r="F144" s="65"/>
      <c r="G144" s="65"/>
      <c r="H144" s="65"/>
      <c r="I144" s="65"/>
      <c r="J144" s="65"/>
    </row>
    <row r="145" spans="1:10">
      <c r="A145" s="65"/>
      <c r="B145" s="65"/>
      <c r="C145" s="65"/>
      <c r="D145" s="65"/>
      <c r="E145" s="65"/>
      <c r="F145" s="65"/>
      <c r="G145" s="65"/>
      <c r="H145" s="65"/>
      <c r="I145" s="65"/>
      <c r="J145" s="65"/>
    </row>
    <row r="146" spans="1:10">
      <c r="A146" s="65"/>
      <c r="B146" s="65"/>
      <c r="C146" s="65"/>
      <c r="D146" s="65"/>
      <c r="E146" s="65"/>
      <c r="F146" s="65"/>
      <c r="G146" s="65"/>
      <c r="H146" s="65"/>
      <c r="I146" s="65"/>
      <c r="J146" s="65"/>
    </row>
    <row r="147" spans="1:10">
      <c r="A147" s="65"/>
      <c r="B147" s="65"/>
      <c r="C147" s="65"/>
      <c r="D147" s="65"/>
      <c r="E147" s="65"/>
      <c r="F147" s="65"/>
      <c r="G147" s="65"/>
      <c r="H147" s="65"/>
      <c r="I147" s="65"/>
      <c r="J147" s="65"/>
    </row>
    <row r="148" spans="1:10">
      <c r="A148" s="65"/>
      <c r="B148" s="65"/>
      <c r="C148" s="65"/>
      <c r="D148" s="65"/>
      <c r="E148" s="65"/>
      <c r="F148" s="65"/>
      <c r="G148" s="65"/>
      <c r="H148" s="65"/>
      <c r="I148" s="65"/>
      <c r="J148" s="65"/>
    </row>
    <row r="149" spans="1:10">
      <c r="A149" s="65"/>
      <c r="B149" s="65"/>
      <c r="C149" s="65"/>
      <c r="D149" s="65"/>
      <c r="E149" s="65"/>
      <c r="F149" s="65"/>
      <c r="G149" s="65"/>
      <c r="H149" s="65"/>
      <c r="I149" s="65"/>
      <c r="J149" s="65"/>
    </row>
    <row r="150" spans="1:10">
      <c r="A150" s="65"/>
      <c r="B150" s="65"/>
      <c r="C150" s="65"/>
      <c r="D150" s="65"/>
      <c r="E150" s="65"/>
      <c r="F150" s="65"/>
      <c r="G150" s="65"/>
      <c r="H150" s="65"/>
      <c r="I150" s="65"/>
      <c r="J150" s="65"/>
    </row>
    <row r="151" spans="1:10">
      <c r="A151" s="65"/>
      <c r="B151" s="65"/>
      <c r="C151" s="65"/>
      <c r="D151" s="65"/>
      <c r="E151" s="65"/>
      <c r="F151" s="65"/>
      <c r="G151" s="65"/>
      <c r="H151" s="65"/>
      <c r="I151" s="65"/>
      <c r="J151" s="65"/>
    </row>
    <row r="152" spans="1:10">
      <c r="A152" s="65"/>
      <c r="B152" s="65"/>
      <c r="C152" s="65"/>
      <c r="D152" s="65"/>
      <c r="E152" s="65"/>
      <c r="F152" s="65"/>
      <c r="G152" s="65"/>
      <c r="H152" s="65"/>
      <c r="I152" s="65"/>
      <c r="J152" s="65"/>
    </row>
    <row r="153" spans="1:10">
      <c r="A153" s="65"/>
      <c r="B153" s="65"/>
      <c r="C153" s="65"/>
      <c r="D153" s="65"/>
      <c r="E153" s="65"/>
      <c r="F153" s="65"/>
      <c r="G153" s="65"/>
      <c r="H153" s="65"/>
      <c r="I153" s="65"/>
      <c r="J153" s="65"/>
    </row>
    <row r="154" spans="1:10">
      <c r="A154" s="65"/>
      <c r="B154" s="65"/>
      <c r="C154" s="65"/>
      <c r="D154" s="65"/>
      <c r="E154" s="65"/>
      <c r="F154" s="65"/>
      <c r="G154" s="65"/>
      <c r="H154" s="65"/>
      <c r="I154" s="65"/>
      <c r="J154" s="65"/>
    </row>
    <row r="155" spans="1:10">
      <c r="A155" s="65"/>
      <c r="B155" s="65"/>
      <c r="C155" s="65"/>
      <c r="D155" s="65"/>
      <c r="E155" s="65"/>
      <c r="F155" s="65"/>
      <c r="G155" s="65"/>
      <c r="H155" s="65"/>
      <c r="I155" s="65"/>
      <c r="J155" s="65"/>
    </row>
    <row r="156" spans="1:10">
      <c r="A156" s="65"/>
      <c r="B156" s="65"/>
      <c r="C156" s="65"/>
      <c r="D156" s="65"/>
      <c r="E156" s="65"/>
      <c r="F156" s="65"/>
      <c r="G156" s="65"/>
      <c r="H156" s="65"/>
      <c r="I156" s="65"/>
      <c r="J156" s="65"/>
    </row>
  </sheetData>
  <hyperlinks>
    <hyperlink ref="A5" location="Sch_A" display="." xr:uid="{00000000-0004-0000-1700-000000000000}"/>
  </hyperlinks>
  <printOptions horizontalCentered="1"/>
  <pageMargins left="1" right="0.75" top="1" bottom="1" header="0.5" footer="0.5"/>
  <pageSetup scale="68" orientation="landscape" horizont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95">
    <tabColor theme="4" tint="0.39997558519241921"/>
    <pageSetUpPr fitToPage="1"/>
  </sheetPr>
  <dimension ref="A1:Q309"/>
  <sheetViews>
    <sheetView workbookViewId="0"/>
  </sheetViews>
  <sheetFormatPr defaultColWidth="11.44140625" defaultRowHeight="13.2"/>
  <cols>
    <col min="1" max="1" width="7.5546875" customWidth="1"/>
    <col min="2" max="2" width="11.44140625" customWidth="1"/>
    <col min="3" max="3" width="14.5546875" customWidth="1"/>
    <col min="4" max="4" width="53.5546875" customWidth="1"/>
    <col min="5" max="5" width="2.44140625" customWidth="1"/>
    <col min="6" max="6" width="15.44140625" customWidth="1"/>
    <col min="7" max="7" width="3.44140625" customWidth="1"/>
    <col min="8" max="8" width="14.44140625" customWidth="1"/>
    <col min="9" max="9" width="3.44140625" customWidth="1"/>
    <col min="10" max="10" width="11.44140625" customWidth="1"/>
    <col min="11" max="11" width="4" customWidth="1"/>
    <col min="12" max="12" width="14.5546875" customWidth="1"/>
    <col min="13" max="13" width="12.44140625" customWidth="1"/>
    <col min="14" max="14" width="11.44140625" customWidth="1"/>
    <col min="15" max="15" width="12.5546875" customWidth="1"/>
  </cols>
  <sheetData>
    <row r="1" spans="1:17">
      <c r="A1" s="785" t="str">
        <f>COMPANY</f>
        <v>DUKE ENERGY KENTUCKY, INC.</v>
      </c>
      <c r="B1" s="785"/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65"/>
      <c r="Q1" s="65"/>
    </row>
    <row r="2" spans="1:17">
      <c r="A2" s="785" t="str">
        <f>CASE</f>
        <v>CASE NO. 2024-00354</v>
      </c>
      <c r="B2" s="785"/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65"/>
      <c r="Q2" s="65"/>
    </row>
    <row r="3" spans="1:17">
      <c r="A3" s="785" t="s">
        <v>829</v>
      </c>
      <c r="B3" s="785"/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65"/>
      <c r="Q3" s="65"/>
    </row>
    <row r="4" spans="1:17">
      <c r="A4" s="785" t="s">
        <v>830</v>
      </c>
      <c r="B4" s="785"/>
      <c r="C4" s="785"/>
      <c r="D4" s="785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65"/>
      <c r="Q4" s="65"/>
    </row>
    <row r="5" spans="1:17">
      <c r="A5" s="785" t="s">
        <v>831</v>
      </c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785"/>
      <c r="M5" s="785"/>
      <c r="N5" s="785"/>
      <c r="O5" s="785"/>
      <c r="P5" s="65"/>
      <c r="Q5" s="65"/>
    </row>
    <row r="6" spans="1:17">
      <c r="A6" s="47" t="str">
        <f>"THIRTEEN MONTH AVERAGE AS OF " &amp;RIGHT(Forecast,(LEN(Forecast)-16))</f>
        <v>THIRTEEN MONTH AVERAGE AS OF JUNE 30, 2026</v>
      </c>
      <c r="B6" s="785"/>
      <c r="C6" s="785"/>
      <c r="D6" s="785"/>
      <c r="E6" s="785"/>
      <c r="F6" s="785"/>
      <c r="G6" s="785"/>
      <c r="H6" s="785"/>
      <c r="I6" s="785"/>
      <c r="J6" s="785"/>
      <c r="K6" s="785"/>
      <c r="L6" s="785"/>
      <c r="M6" s="785"/>
      <c r="N6" s="785"/>
      <c r="O6" s="785"/>
      <c r="P6" s="65"/>
      <c r="Q6" s="65"/>
    </row>
    <row r="7" spans="1:17">
      <c r="A7" s="1393" t="s">
        <v>55</v>
      </c>
      <c r="B7" s="785"/>
      <c r="C7" s="785"/>
      <c r="D7" s="785"/>
      <c r="E7" s="785"/>
      <c r="F7" s="785"/>
      <c r="G7" s="785"/>
      <c r="H7" s="65"/>
      <c r="I7" s="65"/>
      <c r="J7" s="65"/>
      <c r="K7" s="65"/>
      <c r="L7" s="65"/>
      <c r="M7" s="65"/>
      <c r="N7" s="65"/>
      <c r="O7" s="65"/>
      <c r="P7" s="65"/>
      <c r="Q7" s="65"/>
    </row>
    <row r="8" spans="1:17">
      <c r="A8" s="785" t="s">
        <v>601</v>
      </c>
      <c r="B8" s="785"/>
      <c r="C8" s="785"/>
      <c r="D8" s="785"/>
      <c r="E8" s="785"/>
      <c r="F8" s="785"/>
      <c r="G8" s="785"/>
      <c r="H8" s="785"/>
      <c r="I8" s="785"/>
      <c r="J8" s="785"/>
      <c r="K8" s="785"/>
      <c r="L8" s="785"/>
      <c r="M8" s="785"/>
      <c r="N8" s="785"/>
      <c r="O8" s="785"/>
      <c r="P8" s="65"/>
      <c r="Q8" s="65"/>
    </row>
    <row r="9" spans="1:17">
      <c r="A9" s="786" t="s">
        <v>529</v>
      </c>
      <c r="B9" s="786"/>
      <c r="C9" s="786"/>
      <c r="D9" s="786"/>
      <c r="E9" s="786"/>
      <c r="F9" s="786"/>
      <c r="G9" s="786"/>
      <c r="H9" s="786"/>
      <c r="I9" s="786"/>
      <c r="J9" s="786"/>
      <c r="K9" s="786"/>
      <c r="L9" s="786"/>
      <c r="M9" s="786"/>
      <c r="N9" s="786"/>
      <c r="O9" s="786"/>
      <c r="P9" s="65"/>
      <c r="Q9" s="65"/>
    </row>
    <row r="10" spans="1:17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</row>
    <row r="11" spans="1:17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</row>
    <row r="12" spans="1:17">
      <c r="A12" s="67" t="str">
        <f>DataF</f>
        <v>DATA:  BASE PERIOD  "X" FORECASTED PERIOD</v>
      </c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787" t="s">
        <v>832</v>
      </c>
      <c r="N12" s="65"/>
      <c r="O12" s="65"/>
      <c r="P12" s="65"/>
      <c r="Q12" s="65"/>
    </row>
    <row r="13" spans="1:17">
      <c r="A13" s="67" t="str">
        <f>Type</f>
        <v xml:space="preserve">TYPE OF FILING:  "X" ORIGINAL   UPDATED    REVISED  </v>
      </c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787" t="s">
        <v>833</v>
      </c>
      <c r="N13" s="65"/>
      <c r="O13" s="65"/>
      <c r="P13" s="65"/>
      <c r="Q13" s="65"/>
    </row>
    <row r="14" spans="1:17">
      <c r="A14" s="67" t="s">
        <v>834</v>
      </c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787" t="str">
        <f>'SCH B-3'!J12</f>
        <v>WITNESS RESPONSIBLE:</v>
      </c>
      <c r="N14" s="65"/>
      <c r="O14" s="65"/>
      <c r="P14" s="65"/>
      <c r="Q14" s="65"/>
    </row>
    <row r="15" spans="1:17">
      <c r="A15" s="65"/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787" t="str">
        <f>_WIT7</f>
        <v>G. S. CARPENTER / S. S. MITCHELL</v>
      </c>
      <c r="N15" s="65"/>
      <c r="O15" s="65"/>
      <c r="P15" s="65"/>
      <c r="Q15" s="65"/>
    </row>
    <row r="16" spans="1:17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</row>
    <row r="17" spans="1:17">
      <c r="A17" s="65"/>
      <c r="B17" s="65"/>
      <c r="C17" s="65"/>
      <c r="D17" s="65"/>
      <c r="E17" s="65"/>
      <c r="F17" s="1458"/>
      <c r="G17" s="1458"/>
      <c r="H17" s="1458"/>
      <c r="I17" s="1458"/>
      <c r="J17" s="1458"/>
      <c r="K17" s="1458"/>
      <c r="L17" s="1458"/>
      <c r="M17" s="1458"/>
      <c r="N17" s="1458"/>
      <c r="O17" s="1458"/>
      <c r="P17" s="65"/>
      <c r="Q17" s="65"/>
    </row>
    <row r="18" spans="1:17">
      <c r="A18" s="2099"/>
      <c r="B18" s="2107"/>
      <c r="C18" s="2106"/>
      <c r="D18" s="2099"/>
      <c r="E18" s="2099"/>
      <c r="F18" s="66" t="s">
        <v>835</v>
      </c>
      <c r="G18" s="66"/>
      <c r="H18" s="66"/>
      <c r="I18" s="65"/>
      <c r="J18" s="65"/>
      <c r="K18" s="65"/>
      <c r="L18" s="65"/>
      <c r="M18" s="65"/>
      <c r="N18" s="65"/>
      <c r="O18" s="65"/>
      <c r="P18" s="65"/>
      <c r="Q18" s="65"/>
    </row>
    <row r="19" spans="1:17">
      <c r="A19" s="63"/>
      <c r="B19" s="62" t="s">
        <v>257</v>
      </c>
      <c r="C19" s="62" t="s">
        <v>605</v>
      </c>
      <c r="D19" s="64" t="s">
        <v>607</v>
      </c>
      <c r="E19" s="64"/>
      <c r="F19" s="2414" t="s">
        <v>836</v>
      </c>
      <c r="G19" s="2414"/>
      <c r="H19" s="2414"/>
      <c r="I19" s="65"/>
      <c r="J19" s="64" t="s">
        <v>837</v>
      </c>
      <c r="K19" s="65"/>
      <c r="L19" s="64" t="s">
        <v>838</v>
      </c>
      <c r="M19" s="65"/>
      <c r="N19" s="64" t="s">
        <v>592</v>
      </c>
      <c r="O19" s="65"/>
      <c r="P19" s="65"/>
      <c r="Q19" s="65"/>
    </row>
    <row r="20" spans="1:17">
      <c r="A20" s="64" t="s">
        <v>573</v>
      </c>
      <c r="B20" s="64" t="s">
        <v>606</v>
      </c>
      <c r="C20" s="64" t="s">
        <v>606</v>
      </c>
      <c r="D20" s="64" t="s">
        <v>839</v>
      </c>
      <c r="E20" s="64"/>
      <c r="F20" s="64" t="s">
        <v>840</v>
      </c>
      <c r="G20" s="64"/>
      <c r="H20" s="64" t="s">
        <v>774</v>
      </c>
      <c r="I20" s="65"/>
      <c r="J20" s="64" t="s">
        <v>841</v>
      </c>
      <c r="K20" s="65"/>
      <c r="L20" s="64" t="s">
        <v>842</v>
      </c>
      <c r="M20" s="782" t="s">
        <v>843</v>
      </c>
      <c r="N20" s="64" t="s">
        <v>844</v>
      </c>
      <c r="O20" s="64" t="s">
        <v>845</v>
      </c>
      <c r="P20" s="65"/>
      <c r="Q20" s="65"/>
    </row>
    <row r="21" spans="1:17">
      <c r="A21" s="64" t="s">
        <v>576</v>
      </c>
      <c r="B21" s="64" t="s">
        <v>576</v>
      </c>
      <c r="C21" s="64" t="s">
        <v>576</v>
      </c>
      <c r="D21" s="64" t="s">
        <v>846</v>
      </c>
      <c r="E21" s="64"/>
      <c r="F21" s="64" t="s">
        <v>847</v>
      </c>
      <c r="G21" s="64"/>
      <c r="H21" s="64" t="s">
        <v>556</v>
      </c>
      <c r="I21" s="65"/>
      <c r="J21" s="64" t="s">
        <v>848</v>
      </c>
      <c r="K21" s="65"/>
      <c r="L21" s="64" t="s">
        <v>849</v>
      </c>
      <c r="M21" s="64" t="s">
        <v>850</v>
      </c>
      <c r="N21" s="64" t="s">
        <v>851</v>
      </c>
      <c r="O21" s="64" t="s">
        <v>852</v>
      </c>
      <c r="P21" s="65"/>
      <c r="Q21" s="65"/>
    </row>
    <row r="22" spans="1:17">
      <c r="A22" s="782" t="s">
        <v>853</v>
      </c>
      <c r="B22" s="782" t="s">
        <v>854</v>
      </c>
      <c r="C22" s="782" t="s">
        <v>855</v>
      </c>
      <c r="D22" s="782" t="s">
        <v>856</v>
      </c>
      <c r="E22" s="782"/>
      <c r="F22" s="782" t="s">
        <v>857</v>
      </c>
      <c r="G22" s="1468"/>
      <c r="H22" s="1468" t="s">
        <v>858</v>
      </c>
      <c r="I22" s="1458"/>
      <c r="J22" s="1468" t="s">
        <v>859</v>
      </c>
      <c r="K22" s="1468"/>
      <c r="L22" s="1468" t="s">
        <v>860</v>
      </c>
      <c r="M22" s="1468" t="s">
        <v>861</v>
      </c>
      <c r="N22" s="1468" t="s">
        <v>862</v>
      </c>
      <c r="O22" s="1468" t="s">
        <v>863</v>
      </c>
      <c r="P22" s="65"/>
      <c r="Q22" s="65"/>
    </row>
    <row r="23" spans="1:17">
      <c r="A23" s="2099"/>
      <c r="B23" s="2099"/>
      <c r="C23" s="2099"/>
      <c r="D23" s="2099"/>
      <c r="E23" s="2099"/>
      <c r="F23" s="2107" t="s">
        <v>580</v>
      </c>
      <c r="G23" s="63"/>
      <c r="H23" s="64" t="s">
        <v>580</v>
      </c>
      <c r="I23" s="65"/>
      <c r="J23" s="65"/>
      <c r="K23" s="65"/>
      <c r="L23" s="64" t="s">
        <v>580</v>
      </c>
      <c r="M23" s="65"/>
      <c r="N23" s="65"/>
      <c r="O23" s="65"/>
      <c r="P23" s="65"/>
      <c r="Q23" s="65"/>
    </row>
    <row r="24" spans="1:17">
      <c r="A24" s="65"/>
      <c r="B24" s="788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</row>
    <row r="25" spans="1:17">
      <c r="A25" s="64">
        <f>A24+1</f>
        <v>1</v>
      </c>
      <c r="B25" s="53">
        <v>310</v>
      </c>
      <c r="C25" s="53">
        <v>3100</v>
      </c>
      <c r="D25" s="737" t="s">
        <v>608</v>
      </c>
      <c r="E25" s="67"/>
      <c r="F25" s="740">
        <f>'SCH B-2.1'!I280</f>
        <v>7270233</v>
      </c>
      <c r="G25" s="67"/>
      <c r="H25" s="68">
        <f>'SCH B-3'!K300</f>
        <v>105677</v>
      </c>
      <c r="I25" s="65"/>
      <c r="J25" s="2310">
        <v>0</v>
      </c>
      <c r="K25" s="65"/>
      <c r="L25" s="68">
        <f t="shared" ref="L25:L35" si="0">ROUND(F25*J25,0)</f>
        <v>0</v>
      </c>
      <c r="M25" s="646" t="s">
        <v>864</v>
      </c>
      <c r="N25" s="646"/>
      <c r="O25" s="646"/>
      <c r="P25" s="65"/>
      <c r="Q25" s="65"/>
    </row>
    <row r="26" spans="1:17">
      <c r="A26" s="64">
        <f t="shared" ref="A26:A35" si="1">A25+1</f>
        <v>2</v>
      </c>
      <c r="B26" s="53">
        <v>311</v>
      </c>
      <c r="C26" s="53">
        <v>3110</v>
      </c>
      <c r="D26" s="737" t="s">
        <v>609</v>
      </c>
      <c r="E26" s="67"/>
      <c r="F26" s="740">
        <f>'SCH B-2.1'!I281</f>
        <v>130360214</v>
      </c>
      <c r="G26" s="67"/>
      <c r="H26" s="68">
        <f>'SCH B-3'!K301</f>
        <v>62866643</v>
      </c>
      <c r="I26" s="65"/>
      <c r="J26" s="2310">
        <v>5.4100000000000002E-2</v>
      </c>
      <c r="K26" s="783"/>
      <c r="L26" s="68">
        <f t="shared" si="0"/>
        <v>7052488</v>
      </c>
      <c r="M26" s="1323">
        <v>-0.1</v>
      </c>
      <c r="N26" s="789">
        <v>65</v>
      </c>
      <c r="O26" s="789" t="s">
        <v>865</v>
      </c>
      <c r="P26" s="65"/>
      <c r="Q26" s="65"/>
    </row>
    <row r="27" spans="1:17">
      <c r="A27" s="64">
        <f t="shared" si="1"/>
        <v>3</v>
      </c>
      <c r="B27" s="53">
        <v>312</v>
      </c>
      <c r="C27" s="53">
        <v>3120</v>
      </c>
      <c r="D27" s="737" t="s">
        <v>610</v>
      </c>
      <c r="E27" s="67"/>
      <c r="F27" s="740">
        <f>'SCH B-2.1'!I282</f>
        <v>580229539</v>
      </c>
      <c r="G27" s="67"/>
      <c r="H27" s="68">
        <f>'SCH B-3'!K302</f>
        <v>334171765</v>
      </c>
      <c r="I27" s="65"/>
      <c r="J27" s="2310">
        <v>3.8699999999999998E-2</v>
      </c>
      <c r="K27" s="65"/>
      <c r="L27" s="68">
        <f t="shared" si="0"/>
        <v>22454883</v>
      </c>
      <c r="M27" s="1323">
        <v>-0.1</v>
      </c>
      <c r="N27" s="789">
        <v>50</v>
      </c>
      <c r="O27" s="789" t="s">
        <v>866</v>
      </c>
      <c r="P27" s="65"/>
      <c r="Q27" s="65"/>
    </row>
    <row r="28" spans="1:17">
      <c r="A28" s="64">
        <f t="shared" si="1"/>
        <v>4</v>
      </c>
      <c r="B28" s="53">
        <v>312</v>
      </c>
      <c r="C28" s="53">
        <v>3123</v>
      </c>
      <c r="D28" s="737" t="s">
        <v>611</v>
      </c>
      <c r="E28" s="67"/>
      <c r="F28" s="740">
        <f>'SCH B-2.1'!I283</f>
        <v>8054003</v>
      </c>
      <c r="G28" s="67"/>
      <c r="H28" s="68">
        <f>'SCH B-3'!K303</f>
        <v>6967253</v>
      </c>
      <c r="I28" s="65"/>
      <c r="J28" s="2310">
        <v>4.1799999999999997E-2</v>
      </c>
      <c r="K28" s="65"/>
      <c r="L28" s="68">
        <f t="shared" si="0"/>
        <v>336657</v>
      </c>
      <c r="M28" s="1323">
        <v>0</v>
      </c>
      <c r="N28" s="789">
        <v>15</v>
      </c>
      <c r="O28" s="789" t="s">
        <v>867</v>
      </c>
      <c r="P28" s="65"/>
      <c r="Q28" s="65"/>
    </row>
    <row r="29" spans="1:17">
      <c r="A29" s="64">
        <f t="shared" si="1"/>
        <v>5</v>
      </c>
      <c r="B29" s="53">
        <v>314</v>
      </c>
      <c r="C29" s="53">
        <v>3140</v>
      </c>
      <c r="D29" s="737" t="s">
        <v>612</v>
      </c>
      <c r="E29" s="67"/>
      <c r="F29" s="740">
        <f>'SCH B-2.1'!I284</f>
        <v>122525657</v>
      </c>
      <c r="G29" s="67"/>
      <c r="H29" s="68">
        <f>'SCH B-3'!K304</f>
        <v>50650221</v>
      </c>
      <c r="I29" s="65"/>
      <c r="J29" s="2310">
        <v>5.2400000000000002E-2</v>
      </c>
      <c r="K29" s="65"/>
      <c r="L29" s="68">
        <f t="shared" si="0"/>
        <v>6420344</v>
      </c>
      <c r="M29" s="1323">
        <v>-0.1</v>
      </c>
      <c r="N29" s="789">
        <v>35</v>
      </c>
      <c r="O29" s="789" t="s">
        <v>868</v>
      </c>
      <c r="P29" s="65"/>
      <c r="Q29" s="65"/>
    </row>
    <row r="30" spans="1:17">
      <c r="A30" s="64">
        <f t="shared" si="1"/>
        <v>6</v>
      </c>
      <c r="B30" s="53">
        <v>315</v>
      </c>
      <c r="C30" s="53">
        <v>3150</v>
      </c>
      <c r="D30" s="737" t="s">
        <v>613</v>
      </c>
      <c r="E30" s="67"/>
      <c r="F30" s="740">
        <f>'SCH B-2.1'!I285</f>
        <v>49741207</v>
      </c>
      <c r="G30" s="67"/>
      <c r="H30" s="68">
        <f>'SCH B-3'!K305</f>
        <v>32120886</v>
      </c>
      <c r="I30" s="65"/>
      <c r="J30" s="2310">
        <v>3.1699999999999999E-2</v>
      </c>
      <c r="K30" s="65"/>
      <c r="L30" s="68">
        <f t="shared" si="0"/>
        <v>1576796</v>
      </c>
      <c r="M30" s="1323">
        <v>-0.1</v>
      </c>
      <c r="N30" s="789">
        <v>60</v>
      </c>
      <c r="O30" s="789" t="s">
        <v>869</v>
      </c>
      <c r="P30" s="65"/>
      <c r="Q30" s="65"/>
    </row>
    <row r="31" spans="1:17">
      <c r="A31" s="64">
        <f t="shared" si="1"/>
        <v>7</v>
      </c>
      <c r="B31" s="53">
        <v>316</v>
      </c>
      <c r="C31" s="53">
        <v>3160</v>
      </c>
      <c r="D31" s="737" t="s">
        <v>614</v>
      </c>
      <c r="E31" s="67"/>
      <c r="F31" s="740">
        <f>'SCH B-2.1'!I286</f>
        <v>25942235</v>
      </c>
      <c r="G31" s="67"/>
      <c r="H31" s="68">
        <f>'SCH B-3'!K306</f>
        <v>14087996</v>
      </c>
      <c r="I31" s="65"/>
      <c r="J31" s="2310">
        <v>4.2099999999999999E-2</v>
      </c>
      <c r="K31" s="65"/>
      <c r="L31" s="68">
        <f t="shared" si="0"/>
        <v>1092168</v>
      </c>
      <c r="M31" s="1323">
        <v>-0.1</v>
      </c>
      <c r="N31" s="789">
        <v>55</v>
      </c>
      <c r="O31" s="789" t="s">
        <v>866</v>
      </c>
      <c r="P31" s="65"/>
      <c r="Q31" s="65"/>
    </row>
    <row r="32" spans="1:17">
      <c r="A32" s="64">
        <f t="shared" si="1"/>
        <v>8</v>
      </c>
      <c r="B32" s="53">
        <v>317</v>
      </c>
      <c r="C32" s="53">
        <v>3170</v>
      </c>
      <c r="D32" s="737" t="s">
        <v>870</v>
      </c>
      <c r="E32" s="67"/>
      <c r="F32" s="740">
        <f>'SCH B-2.1'!I287</f>
        <v>0</v>
      </c>
      <c r="G32" s="67"/>
      <c r="H32" s="68">
        <f>'SCH B-3'!K307</f>
        <v>0</v>
      </c>
      <c r="I32" s="65"/>
      <c r="J32" s="2310" t="s">
        <v>405</v>
      </c>
      <c r="K32" s="65"/>
      <c r="L32" s="68"/>
      <c r="M32" s="1323" t="s">
        <v>871</v>
      </c>
      <c r="N32" s="646"/>
      <c r="O32" s="646"/>
      <c r="P32" s="65"/>
      <c r="Q32" s="65"/>
    </row>
    <row r="33" spans="1:17">
      <c r="A33" s="64">
        <f t="shared" si="1"/>
        <v>9</v>
      </c>
      <c r="B33" s="53"/>
      <c r="C33" s="53"/>
      <c r="D33" s="737" t="s">
        <v>616</v>
      </c>
      <c r="E33" s="67"/>
      <c r="F33" s="740">
        <f>'SCH B-2.1'!I288</f>
        <v>7695137</v>
      </c>
      <c r="G33" s="67"/>
      <c r="H33" s="68">
        <f>'SCH B-3'!K308</f>
        <v>0</v>
      </c>
      <c r="I33" s="65"/>
      <c r="J33" s="2310" t="s">
        <v>872</v>
      </c>
      <c r="K33" s="65"/>
      <c r="L33" s="1140">
        <v>591934</v>
      </c>
      <c r="M33" s="1323" t="s">
        <v>873</v>
      </c>
      <c r="N33" s="646"/>
      <c r="O33" s="646"/>
      <c r="P33" s="65"/>
      <c r="Q33" s="65"/>
    </row>
    <row r="34" spans="1:17">
      <c r="A34" s="64">
        <f t="shared" si="1"/>
        <v>10</v>
      </c>
      <c r="B34" s="53"/>
      <c r="C34" s="53"/>
      <c r="D34" s="737" t="s">
        <v>617</v>
      </c>
      <c r="E34" s="67"/>
      <c r="F34" s="740">
        <f>'SCH B-2.1'!I289</f>
        <v>0</v>
      </c>
      <c r="G34" s="67"/>
      <c r="H34" s="68">
        <f>'SCH B-3'!K309</f>
        <v>0</v>
      </c>
      <c r="I34" s="65"/>
      <c r="J34" s="2310">
        <v>4.3200000000000002E-2</v>
      </c>
      <c r="K34" s="65"/>
      <c r="L34" s="68">
        <f t="shared" si="0"/>
        <v>0</v>
      </c>
      <c r="M34" s="2311"/>
      <c r="N34" s="29"/>
      <c r="O34" s="29"/>
      <c r="P34" s="65"/>
      <c r="Q34" s="65"/>
    </row>
    <row r="35" spans="1:17">
      <c r="A35" s="64">
        <f t="shared" si="1"/>
        <v>11</v>
      </c>
      <c r="B35" s="53"/>
      <c r="C35" s="53">
        <v>108</v>
      </c>
      <c r="D35" s="737" t="s">
        <v>796</v>
      </c>
      <c r="E35" s="67"/>
      <c r="F35" s="740">
        <f>'SCH B-2.1'!I290</f>
        <v>0</v>
      </c>
      <c r="G35" s="67"/>
      <c r="H35" s="68">
        <f>'SCH B-3'!K310</f>
        <v>-29021875</v>
      </c>
      <c r="I35" s="65"/>
      <c r="J35" s="2311"/>
      <c r="K35" s="65"/>
      <c r="L35" s="68">
        <f t="shared" si="0"/>
        <v>0</v>
      </c>
      <c r="M35" s="29"/>
      <c r="N35" s="29"/>
      <c r="O35" s="29"/>
      <c r="P35" s="65"/>
      <c r="Q35" s="65"/>
    </row>
    <row r="36" spans="1:17">
      <c r="A36" s="65"/>
      <c r="B36" s="65"/>
      <c r="C36" s="65"/>
      <c r="D36" s="65"/>
      <c r="E36" s="65"/>
      <c r="F36" s="1458"/>
      <c r="G36" s="1458"/>
      <c r="H36" s="1458"/>
      <c r="I36" s="1458"/>
      <c r="J36" s="1458"/>
      <c r="K36" s="1458"/>
      <c r="L36" s="1466"/>
      <c r="M36" s="1458"/>
      <c r="N36" s="1458"/>
      <c r="O36" s="1458"/>
      <c r="P36" s="65"/>
      <c r="Q36" s="65"/>
    </row>
    <row r="37" spans="1:17">
      <c r="A37" s="2099"/>
      <c r="B37" s="2099"/>
      <c r="C37" s="2099"/>
      <c r="D37" s="2099"/>
      <c r="E37" s="2099"/>
      <c r="F37" s="63"/>
      <c r="G37" s="63"/>
      <c r="H37" s="65"/>
      <c r="I37" s="65"/>
      <c r="J37" s="65"/>
      <c r="K37" s="65"/>
      <c r="L37" s="68"/>
      <c r="M37" s="65"/>
      <c r="N37" s="65"/>
      <c r="O37" s="65"/>
      <c r="P37" s="65"/>
      <c r="Q37" s="65"/>
    </row>
    <row r="38" spans="1:17">
      <c r="A38" s="64">
        <f>A35+1</f>
        <v>12</v>
      </c>
      <c r="B38" s="65"/>
      <c r="C38" s="65"/>
      <c r="D38" s="67" t="s">
        <v>874</v>
      </c>
      <c r="E38" s="67"/>
      <c r="F38" s="68">
        <f>SUM(F25:F37)</f>
        <v>931818225</v>
      </c>
      <c r="G38" s="67"/>
      <c r="H38" s="68">
        <f>SUM(H25:H37)</f>
        <v>471948566</v>
      </c>
      <c r="I38" s="65"/>
      <c r="J38" s="65"/>
      <c r="K38" s="65"/>
      <c r="L38" s="68">
        <f>SUM(L25:L37)</f>
        <v>39525270</v>
      </c>
      <c r="M38" s="65"/>
      <c r="N38" s="65"/>
      <c r="O38" s="65"/>
      <c r="P38" s="65"/>
      <c r="Q38" s="65"/>
    </row>
    <row r="39" spans="1:17">
      <c r="A39" s="65"/>
      <c r="B39" s="65"/>
      <c r="C39" s="65"/>
      <c r="D39" s="65"/>
      <c r="E39" s="65"/>
      <c r="F39" s="65"/>
      <c r="G39" s="1458"/>
      <c r="H39" s="1458"/>
      <c r="I39" s="1458"/>
      <c r="J39" s="1458"/>
      <c r="K39" s="1458"/>
      <c r="L39" s="1458"/>
      <c r="M39" s="1458"/>
      <c r="N39" s="1458"/>
      <c r="O39" s="1458"/>
      <c r="P39" s="65"/>
      <c r="Q39" s="65"/>
    </row>
    <row r="40" spans="1:17">
      <c r="A40" s="2099"/>
      <c r="B40" s="2099"/>
      <c r="C40" s="2099"/>
      <c r="D40" s="2099"/>
      <c r="E40" s="2099"/>
      <c r="F40" s="2099"/>
      <c r="G40" s="63"/>
      <c r="H40" s="65"/>
      <c r="I40" s="65"/>
      <c r="J40" s="65"/>
      <c r="K40" s="65"/>
      <c r="L40" s="65"/>
      <c r="M40" s="65"/>
      <c r="N40" s="65"/>
      <c r="O40" s="65"/>
      <c r="P40" s="65"/>
      <c r="Q40" s="65"/>
    </row>
    <row r="41" spans="1:17">
      <c r="A41" s="783" t="s">
        <v>875</v>
      </c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</row>
    <row r="42" spans="1:17">
      <c r="A42" s="783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</row>
    <row r="43" spans="1:17">
      <c r="A43" s="783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</row>
    <row r="44" spans="1:17">
      <c r="A44" s="785" t="str">
        <f>COMPANY</f>
        <v>DUKE ENERGY KENTUCKY, INC.</v>
      </c>
      <c r="B44" s="785"/>
      <c r="C44" s="785"/>
      <c r="D44" s="785"/>
      <c r="E44" s="785"/>
      <c r="F44" s="785"/>
      <c r="G44" s="785"/>
      <c r="H44" s="785"/>
      <c r="I44" s="785"/>
      <c r="J44" s="785"/>
      <c r="K44" s="785"/>
      <c r="L44" s="785"/>
      <c r="M44" s="785"/>
      <c r="N44" s="785"/>
      <c r="O44" s="785"/>
      <c r="P44" s="65"/>
      <c r="Q44" s="65"/>
    </row>
    <row r="45" spans="1:17">
      <c r="A45" s="785" t="str">
        <f>CASE</f>
        <v>CASE NO. 2024-00354</v>
      </c>
      <c r="B45" s="785"/>
      <c r="C45" s="785"/>
      <c r="D45" s="785"/>
      <c r="E45" s="785"/>
      <c r="F45" s="785"/>
      <c r="G45" s="785"/>
      <c r="H45" s="785"/>
      <c r="I45" s="785"/>
      <c r="J45" s="785"/>
      <c r="K45" s="785"/>
      <c r="L45" s="785"/>
      <c r="M45" s="785"/>
      <c r="N45" s="785"/>
      <c r="O45" s="785"/>
      <c r="P45" s="65"/>
      <c r="Q45" s="65"/>
    </row>
    <row r="46" spans="1:17">
      <c r="A46" s="785" t="s">
        <v>829</v>
      </c>
      <c r="B46" s="785"/>
      <c r="C46" s="785"/>
      <c r="D46" s="785"/>
      <c r="E46" s="785"/>
      <c r="F46" s="785"/>
      <c r="G46" s="785"/>
      <c r="H46" s="785"/>
      <c r="I46" s="785"/>
      <c r="J46" s="785"/>
      <c r="K46" s="785"/>
      <c r="L46" s="785"/>
      <c r="M46" s="785"/>
      <c r="N46" s="785"/>
      <c r="O46" s="785"/>
      <c r="P46" s="65"/>
      <c r="Q46" s="65"/>
    </row>
    <row r="47" spans="1:17">
      <c r="A47" s="785" t="s">
        <v>830</v>
      </c>
      <c r="B47" s="785"/>
      <c r="C47" s="785"/>
      <c r="D47" s="785"/>
      <c r="E47" s="785"/>
      <c r="F47" s="785"/>
      <c r="G47" s="785"/>
      <c r="H47" s="785"/>
      <c r="I47" s="785"/>
      <c r="J47" s="785"/>
      <c r="K47" s="785"/>
      <c r="L47" s="785"/>
      <c r="M47" s="785"/>
      <c r="N47" s="785"/>
      <c r="O47" s="785"/>
      <c r="P47" s="65"/>
      <c r="Q47" s="65"/>
    </row>
    <row r="48" spans="1:17">
      <c r="A48" s="785" t="s">
        <v>831</v>
      </c>
      <c r="B48" s="785"/>
      <c r="C48" s="785"/>
      <c r="D48" s="785"/>
      <c r="E48" s="785"/>
      <c r="F48" s="785"/>
      <c r="G48" s="785"/>
      <c r="H48" s="785"/>
      <c r="I48" s="785"/>
      <c r="J48" s="785"/>
      <c r="K48" s="785"/>
      <c r="L48" s="785"/>
      <c r="M48" s="785"/>
      <c r="N48" s="785"/>
      <c r="O48" s="785"/>
      <c r="P48" s="65"/>
      <c r="Q48" s="65"/>
    </row>
    <row r="49" spans="1:17">
      <c r="A49" s="47" t="str">
        <f>"THIRTEEN MONTH AVERAGE AS OF " &amp;RIGHT(Forecast,(LEN(Forecast)-16))</f>
        <v>THIRTEEN MONTH AVERAGE AS OF JUNE 30, 2026</v>
      </c>
      <c r="B49" s="785"/>
      <c r="C49" s="785"/>
      <c r="D49" s="785"/>
      <c r="E49" s="785"/>
      <c r="F49" s="785"/>
      <c r="G49" s="785"/>
      <c r="H49" s="785"/>
      <c r="I49" s="785"/>
      <c r="J49" s="785"/>
      <c r="K49" s="785"/>
      <c r="L49" s="785"/>
      <c r="M49" s="785"/>
      <c r="N49" s="785"/>
      <c r="O49" s="785"/>
      <c r="P49" s="65"/>
      <c r="Q49" s="65"/>
    </row>
    <row r="50" spans="1:17">
      <c r="A50" s="785"/>
      <c r="B50" s="785"/>
      <c r="C50" s="785"/>
      <c r="D50" s="785"/>
      <c r="E50" s="785"/>
      <c r="F50" s="785"/>
      <c r="G50" s="785"/>
      <c r="H50" s="65"/>
      <c r="I50" s="65"/>
      <c r="J50" s="65"/>
      <c r="K50" s="65"/>
      <c r="L50" s="65"/>
      <c r="M50" s="65"/>
      <c r="N50" s="65"/>
      <c r="O50" s="65"/>
      <c r="P50" s="65"/>
      <c r="Q50" s="65"/>
    </row>
    <row r="51" spans="1:17">
      <c r="A51" s="785" t="s">
        <v>619</v>
      </c>
      <c r="B51" s="785"/>
      <c r="C51" s="785"/>
      <c r="D51" s="785"/>
      <c r="E51" s="785"/>
      <c r="F51" s="785"/>
      <c r="G51" s="785"/>
      <c r="H51" s="785"/>
      <c r="I51" s="785"/>
      <c r="J51" s="785"/>
      <c r="K51" s="785"/>
      <c r="L51" s="785"/>
      <c r="M51" s="785"/>
      <c r="N51" s="785"/>
      <c r="O51" s="785"/>
      <c r="P51" s="65"/>
      <c r="Q51" s="65"/>
    </row>
    <row r="52" spans="1:17">
      <c r="A52" s="786" t="s">
        <v>529</v>
      </c>
      <c r="B52" s="786"/>
      <c r="C52" s="786"/>
      <c r="D52" s="786"/>
      <c r="E52" s="786"/>
      <c r="F52" s="786"/>
      <c r="G52" s="786"/>
      <c r="H52" s="786"/>
      <c r="I52" s="786"/>
      <c r="J52" s="786"/>
      <c r="K52" s="786"/>
      <c r="L52" s="786"/>
      <c r="M52" s="786"/>
      <c r="N52" s="786"/>
      <c r="O52" s="786"/>
      <c r="P52" s="65"/>
      <c r="Q52" s="65"/>
    </row>
    <row r="53" spans="1:17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</row>
    <row r="54" spans="1:17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</row>
    <row r="55" spans="1:17">
      <c r="A55" s="67" t="str">
        <f>DataF</f>
        <v>DATA:  BASE PERIOD  "X" FORECASTED PERIOD</v>
      </c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787" t="s">
        <v>832</v>
      </c>
      <c r="N55" s="65"/>
      <c r="O55" s="65"/>
      <c r="P55" s="65"/>
      <c r="Q55" s="65"/>
    </row>
    <row r="56" spans="1:17">
      <c r="A56" s="67" t="str">
        <f>Type</f>
        <v xml:space="preserve">TYPE OF FILING:  "X" ORIGINAL   UPDATED    REVISED  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787" t="s">
        <v>876</v>
      </c>
      <c r="N56" s="65"/>
      <c r="O56" s="65"/>
      <c r="P56" s="65"/>
      <c r="Q56" s="65"/>
    </row>
    <row r="57" spans="1:17">
      <c r="A57" s="67" t="s">
        <v>834</v>
      </c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787" t="str">
        <f>M14</f>
        <v>WITNESS RESPONSIBLE:</v>
      </c>
      <c r="N57" s="65"/>
      <c r="O57" s="65"/>
      <c r="P57" s="65"/>
      <c r="Q57" s="65"/>
    </row>
    <row r="58" spans="1:17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787" t="str">
        <f>_WIT7</f>
        <v>G. S. CARPENTER / S. S. MITCHELL</v>
      </c>
      <c r="N58" s="65"/>
      <c r="O58" s="65"/>
      <c r="P58" s="65"/>
      <c r="Q58" s="65"/>
    </row>
    <row r="59" spans="1:17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</row>
    <row r="60" spans="1:17">
      <c r="A60" s="65"/>
      <c r="B60" s="65"/>
      <c r="C60" s="65"/>
      <c r="D60" s="65"/>
      <c r="E60" s="65"/>
      <c r="F60" s="1458"/>
      <c r="G60" s="1458"/>
      <c r="H60" s="1458"/>
      <c r="I60" s="1458"/>
      <c r="J60" s="1458"/>
      <c r="K60" s="1458"/>
      <c r="L60" s="1458"/>
      <c r="M60" s="1458"/>
      <c r="N60" s="1458"/>
      <c r="O60" s="1458"/>
      <c r="P60" s="65"/>
      <c r="Q60" s="65"/>
    </row>
    <row r="61" spans="1:17">
      <c r="A61" s="2099"/>
      <c r="B61" s="2107"/>
      <c r="C61" s="2106"/>
      <c r="D61" s="2099"/>
      <c r="E61" s="2099"/>
      <c r="F61" s="66" t="s">
        <v>835</v>
      </c>
      <c r="G61" s="66"/>
      <c r="H61" s="66"/>
      <c r="I61" s="65"/>
      <c r="J61" s="65"/>
      <c r="K61" s="65"/>
      <c r="L61" s="65"/>
      <c r="M61" s="65"/>
      <c r="N61" s="65"/>
      <c r="O61" s="65"/>
      <c r="P61" s="65"/>
      <c r="Q61" s="65"/>
    </row>
    <row r="62" spans="1:17">
      <c r="A62" s="63"/>
      <c r="B62" s="62" t="s">
        <v>257</v>
      </c>
      <c r="C62" s="62" t="s">
        <v>605</v>
      </c>
      <c r="D62" s="64" t="s">
        <v>607</v>
      </c>
      <c r="E62" s="64"/>
      <c r="F62" s="2414" t="s">
        <v>836</v>
      </c>
      <c r="G62" s="2414"/>
      <c r="H62" s="2414"/>
      <c r="I62" s="65"/>
      <c r="J62" s="64" t="s">
        <v>837</v>
      </c>
      <c r="K62" s="65"/>
      <c r="L62" s="64" t="s">
        <v>838</v>
      </c>
      <c r="M62" s="65"/>
      <c r="N62" s="64" t="s">
        <v>592</v>
      </c>
      <c r="O62" s="65"/>
      <c r="P62" s="65"/>
      <c r="Q62" s="65"/>
    </row>
    <row r="63" spans="1:17">
      <c r="A63" s="64" t="s">
        <v>573</v>
      </c>
      <c r="B63" s="64" t="s">
        <v>606</v>
      </c>
      <c r="C63" s="64" t="s">
        <v>606</v>
      </c>
      <c r="D63" s="64" t="s">
        <v>839</v>
      </c>
      <c r="E63" s="64"/>
      <c r="F63" s="64" t="s">
        <v>840</v>
      </c>
      <c r="G63" s="64"/>
      <c r="H63" s="64" t="s">
        <v>774</v>
      </c>
      <c r="I63" s="65"/>
      <c r="J63" s="64" t="s">
        <v>841</v>
      </c>
      <c r="K63" s="65"/>
      <c r="L63" s="64" t="s">
        <v>842</v>
      </c>
      <c r="M63" s="782" t="s">
        <v>843</v>
      </c>
      <c r="N63" s="64" t="s">
        <v>844</v>
      </c>
      <c r="O63" s="64" t="s">
        <v>845</v>
      </c>
      <c r="P63" s="65"/>
      <c r="Q63" s="65"/>
    </row>
    <row r="64" spans="1:17">
      <c r="A64" s="64" t="s">
        <v>576</v>
      </c>
      <c r="B64" s="64" t="s">
        <v>576</v>
      </c>
      <c r="C64" s="64" t="s">
        <v>576</v>
      </c>
      <c r="D64" s="64" t="s">
        <v>846</v>
      </c>
      <c r="E64" s="64"/>
      <c r="F64" s="64" t="s">
        <v>847</v>
      </c>
      <c r="G64" s="64"/>
      <c r="H64" s="64" t="s">
        <v>556</v>
      </c>
      <c r="I64" s="65"/>
      <c r="J64" s="64" t="s">
        <v>848</v>
      </c>
      <c r="K64" s="65"/>
      <c r="L64" s="64" t="s">
        <v>849</v>
      </c>
      <c r="M64" s="64" t="s">
        <v>850</v>
      </c>
      <c r="N64" s="64" t="s">
        <v>851</v>
      </c>
      <c r="O64" s="64" t="s">
        <v>852</v>
      </c>
      <c r="P64" s="65"/>
      <c r="Q64" s="65"/>
    </row>
    <row r="65" spans="1:17">
      <c r="A65" s="782" t="s">
        <v>853</v>
      </c>
      <c r="B65" s="782" t="s">
        <v>854</v>
      </c>
      <c r="C65" s="782" t="s">
        <v>855</v>
      </c>
      <c r="D65" s="782" t="s">
        <v>856</v>
      </c>
      <c r="E65" s="782"/>
      <c r="F65" s="782" t="s">
        <v>857</v>
      </c>
      <c r="G65" s="1468"/>
      <c r="H65" s="1468" t="s">
        <v>858</v>
      </c>
      <c r="I65" s="1458"/>
      <c r="J65" s="1468" t="s">
        <v>859</v>
      </c>
      <c r="K65" s="1468"/>
      <c r="L65" s="1468" t="s">
        <v>860</v>
      </c>
      <c r="M65" s="1468" t="s">
        <v>861</v>
      </c>
      <c r="N65" s="1468" t="s">
        <v>862</v>
      </c>
      <c r="O65" s="1468" t="s">
        <v>863</v>
      </c>
      <c r="P65" s="65"/>
      <c r="Q65" s="65"/>
    </row>
    <row r="66" spans="1:17">
      <c r="A66" s="2099"/>
      <c r="B66" s="2099"/>
      <c r="C66" s="2099"/>
      <c r="D66" s="2099"/>
      <c r="E66" s="2099"/>
      <c r="F66" s="2107" t="s">
        <v>580</v>
      </c>
      <c r="G66" s="63"/>
      <c r="H66" s="64" t="s">
        <v>580</v>
      </c>
      <c r="I66" s="65"/>
      <c r="J66" s="65"/>
      <c r="K66" s="65"/>
      <c r="L66" s="64" t="s">
        <v>580</v>
      </c>
      <c r="M66" s="65"/>
      <c r="N66" s="65"/>
      <c r="O66" s="65"/>
      <c r="P66" s="65"/>
      <c r="Q66" s="65"/>
    </row>
    <row r="67" spans="1:17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</row>
    <row r="68" spans="1:17">
      <c r="A68" s="64" t="s">
        <v>621</v>
      </c>
      <c r="B68" s="53">
        <v>340</v>
      </c>
      <c r="C68" s="53">
        <v>3400</v>
      </c>
      <c r="D68" s="737" t="s">
        <v>608</v>
      </c>
      <c r="E68" s="67"/>
      <c r="F68" s="740">
        <f>'SCH B-2.1'!I318</f>
        <v>2409908</v>
      </c>
      <c r="G68" s="67"/>
      <c r="H68" s="68">
        <f>'SCH B-3'!K340</f>
        <v>5123</v>
      </c>
      <c r="I68" s="65"/>
      <c r="J68" s="2310">
        <v>0</v>
      </c>
      <c r="K68" s="65"/>
      <c r="L68" s="68">
        <f t="shared" ref="L68:L79" si="2">ROUND(F68*J68,0)</f>
        <v>0</v>
      </c>
      <c r="M68" s="646" t="s">
        <v>864</v>
      </c>
      <c r="N68" s="646"/>
      <c r="O68" s="646"/>
      <c r="P68" s="65"/>
      <c r="Q68" s="65"/>
    </row>
    <row r="69" spans="1:17">
      <c r="A69" s="64">
        <v>2</v>
      </c>
      <c r="B69" s="53">
        <v>340</v>
      </c>
      <c r="C69" s="53">
        <v>3401</v>
      </c>
      <c r="D69" s="737" t="s">
        <v>622</v>
      </c>
      <c r="E69" s="67"/>
      <c r="F69" s="740">
        <f>'SCH B-2.1'!I319</f>
        <v>0</v>
      </c>
      <c r="G69" s="67"/>
      <c r="H69" s="68">
        <f>'SCH B-3'!K341</f>
        <v>0</v>
      </c>
      <c r="I69" s="65"/>
      <c r="J69" s="2310">
        <v>0</v>
      </c>
      <c r="K69" s="783"/>
      <c r="L69" s="68">
        <f t="shared" si="2"/>
        <v>0</v>
      </c>
      <c r="M69" s="2312">
        <v>0</v>
      </c>
      <c r="N69" s="2313">
        <v>0</v>
      </c>
      <c r="O69" s="2313">
        <v>0</v>
      </c>
      <c r="P69" s="65"/>
      <c r="Q69" s="65"/>
    </row>
    <row r="70" spans="1:17">
      <c r="A70" s="64">
        <v>3</v>
      </c>
      <c r="B70" s="53">
        <v>341</v>
      </c>
      <c r="C70" s="53">
        <v>3410</v>
      </c>
      <c r="D70" s="737" t="s">
        <v>609</v>
      </c>
      <c r="E70" s="67"/>
      <c r="F70" s="740">
        <f>'SCH B-2.1'!I320</f>
        <v>39105237</v>
      </c>
      <c r="G70" s="67"/>
      <c r="H70" s="68">
        <f>'SCH B-3'!K342</f>
        <v>30603674</v>
      </c>
      <c r="I70" s="65"/>
      <c r="J70" s="2310">
        <v>1.7399999999999999E-2</v>
      </c>
      <c r="K70" s="65"/>
      <c r="L70" s="68">
        <f t="shared" si="2"/>
        <v>680431</v>
      </c>
      <c r="M70" s="2312">
        <v>-0.08</v>
      </c>
      <c r="N70" s="2313">
        <v>60</v>
      </c>
      <c r="O70" s="2313" t="s">
        <v>877</v>
      </c>
      <c r="P70" s="65"/>
      <c r="Q70" s="65"/>
    </row>
    <row r="71" spans="1:17">
      <c r="A71" s="64">
        <v>4</v>
      </c>
      <c r="B71" s="53">
        <v>342</v>
      </c>
      <c r="C71" s="53">
        <v>3420</v>
      </c>
      <c r="D71" s="737" t="s">
        <v>623</v>
      </c>
      <c r="E71" s="67"/>
      <c r="F71" s="740">
        <f>'SCH B-2.1'!I321</f>
        <v>65797312</v>
      </c>
      <c r="G71" s="67"/>
      <c r="H71" s="68">
        <f>'SCH B-3'!K343</f>
        <v>15797254</v>
      </c>
      <c r="I71" s="65"/>
      <c r="J71" s="2310">
        <v>5.9299999999999999E-2</v>
      </c>
      <c r="K71" s="65"/>
      <c r="L71" s="68">
        <f t="shared" si="2"/>
        <v>3901781</v>
      </c>
      <c r="M71" s="2312">
        <v>-0.08</v>
      </c>
      <c r="N71" s="2313">
        <v>40</v>
      </c>
      <c r="O71" s="2313" t="s">
        <v>878</v>
      </c>
      <c r="P71" s="65"/>
      <c r="Q71" s="65"/>
    </row>
    <row r="72" spans="1:17">
      <c r="A72" s="64">
        <v>5</v>
      </c>
      <c r="B72" s="53">
        <v>343</v>
      </c>
      <c r="C72" s="53">
        <v>3430</v>
      </c>
      <c r="D72" s="737" t="s">
        <v>625</v>
      </c>
      <c r="E72" s="67"/>
      <c r="F72" s="740">
        <f>'SCH B-2.1'!I322</f>
        <v>9412658</v>
      </c>
      <c r="G72" s="67"/>
      <c r="H72" s="68">
        <f>'SCH B-3'!K344</f>
        <v>-2760370</v>
      </c>
      <c r="I72" s="65"/>
      <c r="J72" s="2310">
        <v>6.6699999999999995E-2</v>
      </c>
      <c r="K72" s="65"/>
      <c r="L72" s="68">
        <f t="shared" si="2"/>
        <v>627824</v>
      </c>
      <c r="M72" s="2312">
        <v>-0.08</v>
      </c>
      <c r="N72" s="2313">
        <v>25</v>
      </c>
      <c r="O72" s="2313" t="s">
        <v>865</v>
      </c>
      <c r="P72" s="65"/>
      <c r="Q72" s="65"/>
    </row>
    <row r="73" spans="1:17">
      <c r="A73" s="64">
        <v>6</v>
      </c>
      <c r="B73" s="53">
        <v>344</v>
      </c>
      <c r="C73" s="53">
        <v>3440</v>
      </c>
      <c r="D73" s="737" t="s">
        <v>626</v>
      </c>
      <c r="E73" s="67"/>
      <c r="F73" s="740">
        <f>'SCH B-2.1'!I323</f>
        <v>230946272</v>
      </c>
      <c r="G73" s="67"/>
      <c r="H73" s="68">
        <f>'SCH B-3'!K345</f>
        <v>159949585</v>
      </c>
      <c r="I73" s="65"/>
      <c r="J73" s="2310">
        <v>2.76E-2</v>
      </c>
      <c r="K73" s="65"/>
      <c r="L73" s="68">
        <f t="shared" si="2"/>
        <v>6374117</v>
      </c>
      <c r="M73" s="2312">
        <v>-0.08</v>
      </c>
      <c r="N73" s="2313">
        <v>38</v>
      </c>
      <c r="O73" s="2313" t="s">
        <v>868</v>
      </c>
      <c r="P73" s="65"/>
      <c r="Q73" s="65"/>
    </row>
    <row r="74" spans="1:17">
      <c r="A74" s="64">
        <v>7</v>
      </c>
      <c r="B74" s="53">
        <v>344</v>
      </c>
      <c r="C74" s="53">
        <v>3446</v>
      </c>
      <c r="D74" s="737" t="s">
        <v>721</v>
      </c>
      <c r="E74" s="67"/>
      <c r="F74" s="740">
        <f>'SCH B-2.1'!I324</f>
        <v>16116637</v>
      </c>
      <c r="G74" s="67"/>
      <c r="H74" s="68">
        <f>'SCH B-3'!K346</f>
        <v>4094745</v>
      </c>
      <c r="I74" s="65"/>
      <c r="J74" s="2310">
        <v>5.2299999999999999E-2</v>
      </c>
      <c r="K74" s="65"/>
      <c r="L74" s="2314">
        <f>ROUND(F74*J74,0)</f>
        <v>842900</v>
      </c>
      <c r="M74" s="2315" t="s">
        <v>405</v>
      </c>
      <c r="N74" s="2313">
        <v>25</v>
      </c>
      <c r="O74" s="2313" t="s">
        <v>879</v>
      </c>
      <c r="P74" s="65"/>
      <c r="Q74" s="65"/>
    </row>
    <row r="75" spans="1:17">
      <c r="A75" s="64">
        <v>8</v>
      </c>
      <c r="B75" s="53">
        <v>345</v>
      </c>
      <c r="C75" s="53">
        <v>3450</v>
      </c>
      <c r="D75" s="737" t="s">
        <v>613</v>
      </c>
      <c r="E75" s="67"/>
      <c r="F75" s="740">
        <f>'SCH B-2.1'!I325</f>
        <v>21311175</v>
      </c>
      <c r="G75" s="67"/>
      <c r="H75" s="68">
        <f>'SCH B-3'!K347</f>
        <v>14919616</v>
      </c>
      <c r="I75" s="65"/>
      <c r="J75" s="2310">
        <v>2.6700000000000002E-2</v>
      </c>
      <c r="K75" s="65"/>
      <c r="L75" s="68">
        <f>ROUND(F75*J75,0)</f>
        <v>569008</v>
      </c>
      <c r="M75" s="2312">
        <v>-0.08</v>
      </c>
      <c r="N75" s="2313">
        <v>45</v>
      </c>
      <c r="O75" s="2313" t="s">
        <v>865</v>
      </c>
      <c r="P75" s="65"/>
      <c r="Q75" s="65"/>
    </row>
    <row r="76" spans="1:17">
      <c r="A76" s="64">
        <v>9</v>
      </c>
      <c r="B76" s="53">
        <v>345</v>
      </c>
      <c r="C76" s="53">
        <v>3456</v>
      </c>
      <c r="D76" s="737" t="s">
        <v>732</v>
      </c>
      <c r="E76" s="67"/>
      <c r="F76" s="740">
        <f>'SCH B-2.1'!I326</f>
        <v>3676452</v>
      </c>
      <c r="G76" s="67"/>
      <c r="H76" s="68">
        <f>'SCH B-3'!K348</f>
        <v>695640</v>
      </c>
      <c r="I76" s="65"/>
      <c r="J76" s="2310">
        <v>4.4600000000000001E-2</v>
      </c>
      <c r="K76" s="65"/>
      <c r="L76" s="2314">
        <f>ROUND(F76*J76,0)</f>
        <v>163970</v>
      </c>
      <c r="M76" s="2315" t="s">
        <v>405</v>
      </c>
      <c r="N76" s="2313">
        <v>30</v>
      </c>
      <c r="O76" s="2313" t="s">
        <v>879</v>
      </c>
      <c r="P76" s="65"/>
      <c r="Q76" s="65"/>
    </row>
    <row r="77" spans="1:17">
      <c r="A77" s="64">
        <v>10</v>
      </c>
      <c r="B77" s="53">
        <v>346</v>
      </c>
      <c r="C77" s="53">
        <v>3460</v>
      </c>
      <c r="D77" s="737" t="s">
        <v>629</v>
      </c>
      <c r="E77" s="67"/>
      <c r="F77" s="740">
        <f>'SCH B-2.1'!I327</f>
        <v>5919120</v>
      </c>
      <c r="G77" s="67"/>
      <c r="H77" s="68">
        <f>'SCH B-3'!K349</f>
        <v>3947050</v>
      </c>
      <c r="I77" s="65"/>
      <c r="J77" s="2310">
        <v>2.8000000000000001E-2</v>
      </c>
      <c r="K77" s="65"/>
      <c r="L77" s="68">
        <f t="shared" si="2"/>
        <v>165735</v>
      </c>
      <c r="M77" s="2312">
        <v>-0.08</v>
      </c>
      <c r="N77" s="2313">
        <v>45</v>
      </c>
      <c r="O77" s="2313" t="s">
        <v>880</v>
      </c>
      <c r="P77" s="65"/>
      <c r="Q77" s="65"/>
    </row>
    <row r="78" spans="1:17">
      <c r="A78" s="64">
        <v>11</v>
      </c>
      <c r="B78" s="53">
        <v>347</v>
      </c>
      <c r="C78" s="53">
        <v>3476</v>
      </c>
      <c r="D78" s="1131" t="s">
        <v>828</v>
      </c>
      <c r="E78" s="67"/>
      <c r="F78" s="740">
        <f>'SCH B-2.1'!I71</f>
        <v>0</v>
      </c>
      <c r="G78" s="67"/>
      <c r="H78" s="68">
        <f>'SCH B-3'!K350</f>
        <v>0</v>
      </c>
      <c r="I78" s="65"/>
      <c r="J78" s="2310" t="s">
        <v>405</v>
      </c>
      <c r="K78" s="65"/>
      <c r="L78" s="68"/>
      <c r="M78" s="1323" t="s">
        <v>871</v>
      </c>
      <c r="N78" s="2313"/>
      <c r="O78" s="2313"/>
      <c r="P78" s="65"/>
      <c r="Q78" s="65"/>
    </row>
    <row r="79" spans="1:17">
      <c r="A79" s="64">
        <v>12</v>
      </c>
      <c r="B79" s="53"/>
      <c r="C79" s="53"/>
      <c r="D79" s="737" t="s">
        <v>617</v>
      </c>
      <c r="E79" s="67"/>
      <c r="F79" s="740">
        <f>'SCH B-2.1'!I329</f>
        <v>0</v>
      </c>
      <c r="G79" s="67"/>
      <c r="H79" s="68">
        <f>'SCH B-3'!K351</f>
        <v>0</v>
      </c>
      <c r="I79" s="65"/>
      <c r="J79" s="2310">
        <v>3.4099999999999998E-2</v>
      </c>
      <c r="K79" s="65"/>
      <c r="L79" s="68">
        <f t="shared" si="2"/>
        <v>0</v>
      </c>
      <c r="M79" s="29"/>
      <c r="N79" s="29"/>
      <c r="O79" s="33"/>
      <c r="P79" s="65"/>
      <c r="Q79" s="65"/>
    </row>
    <row r="80" spans="1:17">
      <c r="A80" s="64">
        <v>13</v>
      </c>
      <c r="B80" s="65"/>
      <c r="C80" s="64">
        <v>108</v>
      </c>
      <c r="D80" s="737" t="s">
        <v>796</v>
      </c>
      <c r="E80" s="67"/>
      <c r="F80" s="740">
        <f>'SCH B-2.1'!I330</f>
        <v>0</v>
      </c>
      <c r="G80" s="67"/>
      <c r="H80" s="68">
        <f>'SCH B-3'!K352</f>
        <v>-125215</v>
      </c>
      <c r="I80" s="65"/>
      <c r="J80" s="65"/>
      <c r="K80" s="65"/>
      <c r="L80" s="68"/>
      <c r="M80" s="29"/>
      <c r="N80" s="29"/>
      <c r="O80" s="29"/>
      <c r="P80" s="65"/>
      <c r="Q80" s="65"/>
    </row>
    <row r="81" spans="1:17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8"/>
      <c r="M81" s="65"/>
      <c r="N81" s="65"/>
      <c r="O81" s="65"/>
      <c r="P81" s="65"/>
      <c r="Q81" s="65"/>
    </row>
    <row r="82" spans="1:17">
      <c r="A82" s="65"/>
      <c r="B82" s="65"/>
      <c r="C82" s="65"/>
      <c r="D82" s="65"/>
      <c r="E82" s="65"/>
      <c r="F82" s="1458"/>
      <c r="G82" s="1458"/>
      <c r="H82" s="1458"/>
      <c r="I82" s="1458"/>
      <c r="J82" s="1458"/>
      <c r="K82" s="1458"/>
      <c r="L82" s="1466"/>
      <c r="M82" s="1458"/>
      <c r="N82" s="1458"/>
      <c r="O82" s="1458"/>
      <c r="P82" s="65"/>
      <c r="Q82" s="65"/>
    </row>
    <row r="83" spans="1:17">
      <c r="A83" s="2099"/>
      <c r="B83" s="2099"/>
      <c r="C83" s="2099"/>
      <c r="D83" s="2099"/>
      <c r="E83" s="2099"/>
      <c r="F83" s="63"/>
      <c r="G83" s="63"/>
      <c r="H83" s="65"/>
      <c r="I83" s="65"/>
      <c r="J83" s="65"/>
      <c r="K83" s="65"/>
      <c r="L83" s="68"/>
      <c r="M83" s="65"/>
      <c r="N83" s="65"/>
      <c r="O83" s="65"/>
      <c r="P83" s="65"/>
      <c r="Q83" s="65"/>
    </row>
    <row r="84" spans="1:17">
      <c r="A84" s="64">
        <v>14</v>
      </c>
      <c r="B84" s="65"/>
      <c r="C84" s="65"/>
      <c r="D84" s="67" t="s">
        <v>881</v>
      </c>
      <c r="E84" s="67"/>
      <c r="F84" s="68">
        <f>SUM(F68:F83)</f>
        <v>394694771</v>
      </c>
      <c r="G84" s="67"/>
      <c r="H84" s="68">
        <f>SUM(H68:H83)</f>
        <v>227127102</v>
      </c>
      <c r="I84" s="65"/>
      <c r="J84" s="65"/>
      <c r="K84" s="65"/>
      <c r="L84" s="68">
        <f>SUM(L68:L83)</f>
        <v>13325766</v>
      </c>
      <c r="M84" s="65"/>
      <c r="N84" s="65"/>
      <c r="O84" s="65"/>
      <c r="P84" s="65"/>
      <c r="Q84" s="65"/>
    </row>
    <row r="85" spans="1:17">
      <c r="A85" s="65"/>
      <c r="B85" s="65"/>
      <c r="C85" s="65"/>
      <c r="D85" s="65"/>
      <c r="E85" s="65"/>
      <c r="F85" s="65"/>
      <c r="G85" s="1458"/>
      <c r="H85" s="1458"/>
      <c r="I85" s="1458"/>
      <c r="J85" s="1458"/>
      <c r="K85" s="1458"/>
      <c r="L85" s="1458"/>
      <c r="M85" s="1458"/>
      <c r="N85" s="1458"/>
      <c r="O85" s="1458"/>
      <c r="P85" s="65"/>
      <c r="Q85" s="65"/>
    </row>
    <row r="86" spans="1:17">
      <c r="A86" s="2099"/>
      <c r="B86" s="2099"/>
      <c r="C86" s="2099"/>
      <c r="D86" s="2099"/>
      <c r="E86" s="2099"/>
      <c r="F86" s="2099"/>
      <c r="G86" s="63"/>
      <c r="H86" s="65"/>
      <c r="I86" s="65"/>
      <c r="J86" s="65"/>
      <c r="K86" s="65"/>
      <c r="L86" s="65"/>
      <c r="M86" s="65"/>
      <c r="N86" s="65"/>
      <c r="O86" s="65"/>
      <c r="P86" s="65"/>
      <c r="Q86" s="65"/>
    </row>
    <row r="87" spans="1:17">
      <c r="A87" s="783" t="s">
        <v>875</v>
      </c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</row>
    <row r="88" spans="1:17">
      <c r="A88" s="783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</row>
    <row r="89" spans="1:17">
      <c r="A89" s="783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</row>
    <row r="90" spans="1:17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</row>
    <row r="91" spans="1:17">
      <c r="A91" s="785" t="str">
        <f>COMPANY</f>
        <v>DUKE ENERGY KENTUCKY, INC.</v>
      </c>
      <c r="B91" s="785"/>
      <c r="C91" s="785"/>
      <c r="D91" s="785"/>
      <c r="E91" s="785"/>
      <c r="F91" s="785"/>
      <c r="G91" s="785"/>
      <c r="H91" s="785"/>
      <c r="I91" s="785"/>
      <c r="J91" s="785"/>
      <c r="K91" s="785"/>
      <c r="L91" s="785"/>
      <c r="M91" s="785"/>
      <c r="N91" s="785"/>
      <c r="O91" s="785"/>
      <c r="P91" s="65"/>
      <c r="Q91" s="65"/>
    </row>
    <row r="92" spans="1:17">
      <c r="A92" s="785" t="str">
        <f>CASE</f>
        <v>CASE NO. 2024-00354</v>
      </c>
      <c r="B92" s="785"/>
      <c r="C92" s="785"/>
      <c r="D92" s="785"/>
      <c r="E92" s="785"/>
      <c r="F92" s="785"/>
      <c r="G92" s="785"/>
      <c r="H92" s="785"/>
      <c r="I92" s="785"/>
      <c r="J92" s="785"/>
      <c r="K92" s="785"/>
      <c r="L92" s="785"/>
      <c r="M92" s="785"/>
      <c r="N92" s="785"/>
      <c r="O92" s="785"/>
      <c r="P92" s="65"/>
      <c r="Q92" s="65"/>
    </row>
    <row r="93" spans="1:17">
      <c r="A93" s="785" t="s">
        <v>829</v>
      </c>
      <c r="B93" s="785"/>
      <c r="C93" s="785"/>
      <c r="D93" s="785"/>
      <c r="E93" s="785"/>
      <c r="F93" s="785"/>
      <c r="G93" s="785"/>
      <c r="H93" s="785"/>
      <c r="I93" s="785"/>
      <c r="J93" s="785"/>
      <c r="K93" s="785"/>
      <c r="L93" s="785"/>
      <c r="M93" s="785"/>
      <c r="N93" s="785"/>
      <c r="O93" s="785"/>
      <c r="P93" s="65"/>
      <c r="Q93" s="65"/>
    </row>
    <row r="94" spans="1:17">
      <c r="A94" s="785" t="s">
        <v>830</v>
      </c>
      <c r="B94" s="785"/>
      <c r="C94" s="785"/>
      <c r="D94" s="785"/>
      <c r="E94" s="785"/>
      <c r="F94" s="785"/>
      <c r="G94" s="785"/>
      <c r="H94" s="785"/>
      <c r="I94" s="785"/>
      <c r="J94" s="785"/>
      <c r="K94" s="785"/>
      <c r="L94" s="785"/>
      <c r="M94" s="785"/>
      <c r="N94" s="785"/>
      <c r="O94" s="785"/>
      <c r="P94" s="65"/>
      <c r="Q94" s="65"/>
    </row>
    <row r="95" spans="1:17">
      <c r="A95" s="785" t="s">
        <v>831</v>
      </c>
      <c r="B95" s="785"/>
      <c r="C95" s="785"/>
      <c r="D95" s="785"/>
      <c r="E95" s="785"/>
      <c r="F95" s="785"/>
      <c r="G95" s="785"/>
      <c r="H95" s="785"/>
      <c r="I95" s="785"/>
      <c r="J95" s="785"/>
      <c r="K95" s="785"/>
      <c r="L95" s="785"/>
      <c r="M95" s="785"/>
      <c r="N95" s="785"/>
      <c r="O95" s="785"/>
      <c r="P95" s="65"/>
      <c r="Q95" s="65"/>
    </row>
    <row r="96" spans="1:17">
      <c r="A96" s="47" t="str">
        <f>"THIRTEEN MONTH AVERAGE AS OF " &amp;RIGHT(Forecast,(LEN(Forecast)-16))</f>
        <v>THIRTEEN MONTH AVERAGE AS OF JUNE 30, 2026</v>
      </c>
      <c r="B96" s="785"/>
      <c r="C96" s="785"/>
      <c r="D96" s="785"/>
      <c r="E96" s="785"/>
      <c r="F96" s="785"/>
      <c r="G96" s="785"/>
      <c r="H96" s="785"/>
      <c r="I96" s="785"/>
      <c r="J96" s="785"/>
      <c r="K96" s="785"/>
      <c r="L96" s="785"/>
      <c r="M96" s="785"/>
      <c r="N96" s="785"/>
      <c r="O96" s="785"/>
      <c r="P96" s="65"/>
      <c r="Q96" s="65"/>
    </row>
    <row r="97" spans="1:17">
      <c r="A97" s="785"/>
      <c r="B97" s="785"/>
      <c r="C97" s="785"/>
      <c r="D97" s="785"/>
      <c r="E97" s="785"/>
      <c r="F97" s="785"/>
      <c r="G97" s="785"/>
      <c r="H97" s="65"/>
      <c r="I97" s="65"/>
      <c r="J97" s="65"/>
      <c r="K97" s="65"/>
      <c r="L97" s="65"/>
      <c r="M97" s="65"/>
      <c r="N97" s="65"/>
      <c r="O97" s="65"/>
      <c r="P97" s="65"/>
      <c r="Q97" s="65"/>
    </row>
    <row r="98" spans="1:17">
      <c r="A98" s="785" t="s">
        <v>632</v>
      </c>
      <c r="B98" s="785"/>
      <c r="C98" s="785"/>
      <c r="D98" s="785"/>
      <c r="E98" s="785"/>
      <c r="F98" s="785"/>
      <c r="G98" s="785"/>
      <c r="H98" s="785"/>
      <c r="I98" s="785"/>
      <c r="J98" s="785"/>
      <c r="K98" s="785"/>
      <c r="L98" s="785"/>
      <c r="M98" s="785"/>
      <c r="N98" s="785"/>
      <c r="O98" s="785"/>
      <c r="P98" s="65"/>
      <c r="Q98" s="65"/>
    </row>
    <row r="99" spans="1:17">
      <c r="A99" s="786" t="s">
        <v>529</v>
      </c>
      <c r="B99" s="786"/>
      <c r="C99" s="786"/>
      <c r="D99" s="786"/>
      <c r="E99" s="786"/>
      <c r="F99" s="786"/>
      <c r="G99" s="786"/>
      <c r="H99" s="786"/>
      <c r="I99" s="786"/>
      <c r="J99" s="786"/>
      <c r="K99" s="786"/>
      <c r="L99" s="786"/>
      <c r="M99" s="786"/>
      <c r="N99" s="786"/>
      <c r="O99" s="786"/>
      <c r="P99" s="65"/>
      <c r="Q99" s="65"/>
    </row>
    <row r="100" spans="1:17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</row>
    <row r="101" spans="1:17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</row>
    <row r="102" spans="1:17">
      <c r="A102" s="67" t="str">
        <f>DataF</f>
        <v>DATA:  BASE PERIOD  "X" FORECASTED PERIOD</v>
      </c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787" t="s">
        <v>832</v>
      </c>
      <c r="N102" s="65"/>
      <c r="O102" s="65"/>
      <c r="P102" s="65"/>
      <c r="Q102" s="65"/>
    </row>
    <row r="103" spans="1:17">
      <c r="A103" s="67" t="str">
        <f>Type</f>
        <v xml:space="preserve">TYPE OF FILING:  "X" ORIGINAL   UPDATED    REVISED  </v>
      </c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787" t="s">
        <v>882</v>
      </c>
      <c r="N103" s="65"/>
      <c r="O103" s="65"/>
      <c r="P103" s="65"/>
      <c r="Q103" s="65"/>
    </row>
    <row r="104" spans="1:17">
      <c r="A104" s="67" t="s">
        <v>834</v>
      </c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787" t="str">
        <f>M14</f>
        <v>WITNESS RESPONSIBLE:</v>
      </c>
      <c r="N104" s="65"/>
      <c r="O104" s="65"/>
      <c r="P104" s="65"/>
      <c r="Q104" s="65"/>
    </row>
    <row r="105" spans="1:17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787" t="str">
        <f>_WIT7</f>
        <v>G. S. CARPENTER / S. S. MITCHELL</v>
      </c>
      <c r="N105" s="65"/>
      <c r="O105" s="65"/>
      <c r="P105" s="65"/>
      <c r="Q105" s="65"/>
    </row>
    <row r="106" spans="1:17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</row>
    <row r="107" spans="1:17">
      <c r="A107" s="65"/>
      <c r="B107" s="65"/>
      <c r="C107" s="65"/>
      <c r="D107" s="65"/>
      <c r="E107" s="65"/>
      <c r="F107" s="1458"/>
      <c r="G107" s="1458"/>
      <c r="H107" s="1458"/>
      <c r="I107" s="1458"/>
      <c r="J107" s="1458"/>
      <c r="K107" s="1458"/>
      <c r="L107" s="1458"/>
      <c r="M107" s="1458"/>
      <c r="N107" s="1458"/>
      <c r="O107" s="1458"/>
      <c r="P107" s="65"/>
      <c r="Q107" s="65"/>
    </row>
    <row r="108" spans="1:17">
      <c r="A108" s="2099"/>
      <c r="B108" s="2107"/>
      <c r="C108" s="2106"/>
      <c r="D108" s="2099"/>
      <c r="E108" s="2099"/>
      <c r="F108" s="66" t="s">
        <v>835</v>
      </c>
      <c r="G108" s="66"/>
      <c r="H108" s="66"/>
      <c r="I108" s="65"/>
      <c r="J108" s="65"/>
      <c r="K108" s="65"/>
      <c r="L108" s="65"/>
      <c r="M108" s="65"/>
      <c r="N108" s="65"/>
      <c r="O108" s="65"/>
      <c r="P108" s="65"/>
      <c r="Q108" s="65"/>
    </row>
    <row r="109" spans="1:17">
      <c r="A109" s="63"/>
      <c r="B109" s="62" t="s">
        <v>257</v>
      </c>
      <c r="C109" s="62" t="s">
        <v>605</v>
      </c>
      <c r="D109" s="64" t="s">
        <v>607</v>
      </c>
      <c r="E109" s="64"/>
      <c r="F109" s="2414" t="s">
        <v>836</v>
      </c>
      <c r="G109" s="2414"/>
      <c r="H109" s="2414"/>
      <c r="I109" s="65"/>
      <c r="J109" s="64" t="s">
        <v>837</v>
      </c>
      <c r="K109" s="65"/>
      <c r="L109" s="64" t="s">
        <v>838</v>
      </c>
      <c r="M109" s="65"/>
      <c r="N109" s="64" t="s">
        <v>592</v>
      </c>
      <c r="O109" s="65"/>
      <c r="P109" s="65"/>
      <c r="Q109" s="65"/>
    </row>
    <row r="110" spans="1:17">
      <c r="A110" s="64" t="s">
        <v>573</v>
      </c>
      <c r="B110" s="64" t="s">
        <v>606</v>
      </c>
      <c r="C110" s="64" t="s">
        <v>606</v>
      </c>
      <c r="D110" s="64" t="s">
        <v>839</v>
      </c>
      <c r="E110" s="64"/>
      <c r="F110" s="64" t="s">
        <v>840</v>
      </c>
      <c r="G110" s="64"/>
      <c r="H110" s="64" t="s">
        <v>774</v>
      </c>
      <c r="I110" s="65"/>
      <c r="J110" s="64" t="s">
        <v>841</v>
      </c>
      <c r="K110" s="65"/>
      <c r="L110" s="64" t="s">
        <v>842</v>
      </c>
      <c r="M110" s="782" t="s">
        <v>843</v>
      </c>
      <c r="N110" s="64" t="s">
        <v>844</v>
      </c>
      <c r="O110" s="64" t="s">
        <v>845</v>
      </c>
      <c r="P110" s="65"/>
      <c r="Q110" s="65"/>
    </row>
    <row r="111" spans="1:17">
      <c r="A111" s="64" t="s">
        <v>576</v>
      </c>
      <c r="B111" s="64" t="s">
        <v>576</v>
      </c>
      <c r="C111" s="64" t="s">
        <v>576</v>
      </c>
      <c r="D111" s="64" t="s">
        <v>846</v>
      </c>
      <c r="E111" s="64"/>
      <c r="F111" s="64" t="s">
        <v>847</v>
      </c>
      <c r="G111" s="64"/>
      <c r="H111" s="64" t="s">
        <v>556</v>
      </c>
      <c r="I111" s="65"/>
      <c r="J111" s="64" t="s">
        <v>848</v>
      </c>
      <c r="K111" s="65"/>
      <c r="L111" s="64" t="s">
        <v>849</v>
      </c>
      <c r="M111" s="64" t="s">
        <v>850</v>
      </c>
      <c r="N111" s="64" t="s">
        <v>851</v>
      </c>
      <c r="O111" s="64" t="s">
        <v>852</v>
      </c>
      <c r="P111" s="65"/>
      <c r="Q111" s="65"/>
    </row>
    <row r="112" spans="1:17">
      <c r="A112" s="1468" t="s">
        <v>853</v>
      </c>
      <c r="B112" s="1468" t="s">
        <v>854</v>
      </c>
      <c r="C112" s="1468" t="s">
        <v>855</v>
      </c>
      <c r="D112" s="1468" t="s">
        <v>856</v>
      </c>
      <c r="E112" s="1468"/>
      <c r="F112" s="1468" t="s">
        <v>857</v>
      </c>
      <c r="G112" s="1468"/>
      <c r="H112" s="1468" t="s">
        <v>858</v>
      </c>
      <c r="I112" s="1458"/>
      <c r="J112" s="1468" t="s">
        <v>859</v>
      </c>
      <c r="K112" s="1468"/>
      <c r="L112" s="1468" t="s">
        <v>860</v>
      </c>
      <c r="M112" s="1468" t="s">
        <v>861</v>
      </c>
      <c r="N112" s="1468" t="s">
        <v>862</v>
      </c>
      <c r="O112" s="1468" t="s">
        <v>863</v>
      </c>
      <c r="P112" s="65"/>
      <c r="Q112" s="65"/>
    </row>
    <row r="113" spans="1:17">
      <c r="A113" s="64" t="s">
        <v>382</v>
      </c>
      <c r="B113" s="65"/>
      <c r="C113" s="65"/>
      <c r="D113" s="65"/>
      <c r="E113" s="65"/>
      <c r="F113" s="64" t="s">
        <v>580</v>
      </c>
      <c r="G113" s="65"/>
      <c r="H113" s="64" t="s">
        <v>580</v>
      </c>
      <c r="I113" s="65"/>
      <c r="J113" s="65"/>
      <c r="K113" s="65"/>
      <c r="L113" s="64" t="s">
        <v>580</v>
      </c>
      <c r="M113" s="65"/>
      <c r="N113" s="65"/>
      <c r="O113" s="65"/>
      <c r="P113" s="65"/>
      <c r="Q113" s="65"/>
    </row>
    <row r="114" spans="1:17">
      <c r="A114" s="64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</row>
    <row r="115" spans="1:17">
      <c r="A115" s="64">
        <v>1</v>
      </c>
      <c r="B115" s="33">
        <v>350</v>
      </c>
      <c r="C115" s="33">
        <v>3500</v>
      </c>
      <c r="D115" s="32" t="s">
        <v>634</v>
      </c>
      <c r="E115" s="67"/>
      <c r="F115" s="740">
        <f>'SCH B-2.1'!I358</f>
        <v>357042</v>
      </c>
      <c r="G115" s="67"/>
      <c r="H115" s="68">
        <f>'SCH B-3'!G380</f>
        <v>324</v>
      </c>
      <c r="I115" s="65"/>
      <c r="J115" s="2316">
        <v>0</v>
      </c>
      <c r="K115" s="65"/>
      <c r="L115" s="68">
        <v>0</v>
      </c>
      <c r="M115" s="646" t="s">
        <v>864</v>
      </c>
      <c r="N115" s="29"/>
      <c r="O115" s="29"/>
      <c r="P115" s="65"/>
      <c r="Q115" s="65"/>
    </row>
    <row r="116" spans="1:17">
      <c r="A116" s="64">
        <v>2</v>
      </c>
      <c r="B116" s="33">
        <v>350</v>
      </c>
      <c r="C116" s="33">
        <v>3501</v>
      </c>
      <c r="D116" s="32" t="s">
        <v>622</v>
      </c>
      <c r="E116" s="67"/>
      <c r="F116" s="740">
        <f>'SCH B-2.1'!I359</f>
        <v>10654574</v>
      </c>
      <c r="G116" s="67"/>
      <c r="H116" s="68">
        <f>'SCH B-3'!G381</f>
        <v>1025454</v>
      </c>
      <c r="I116" s="65"/>
      <c r="J116" s="2316">
        <v>1.2999999999999999E-2</v>
      </c>
      <c r="K116" s="65"/>
      <c r="L116" s="68">
        <f t="shared" ref="L116:L126" si="3">ROUND(F116*J116,0)</f>
        <v>138509</v>
      </c>
      <c r="M116" s="1323">
        <v>0</v>
      </c>
      <c r="N116" s="789">
        <v>75</v>
      </c>
      <c r="O116" s="789" t="s">
        <v>877</v>
      </c>
      <c r="P116" s="65"/>
      <c r="Q116" s="65"/>
    </row>
    <row r="117" spans="1:17">
      <c r="A117" s="64">
        <v>3</v>
      </c>
      <c r="B117" s="33">
        <v>352</v>
      </c>
      <c r="C117" s="33">
        <v>3520</v>
      </c>
      <c r="D117" s="32" t="s">
        <v>609</v>
      </c>
      <c r="E117" s="67"/>
      <c r="F117" s="740">
        <f>'SCH B-2.1'!I360</f>
        <v>6986560</v>
      </c>
      <c r="G117" s="67"/>
      <c r="H117" s="68">
        <f>'SCH B-3'!G382</f>
        <v>870892</v>
      </c>
      <c r="I117" s="65"/>
      <c r="J117" s="2316">
        <v>1.7600000000000001E-2</v>
      </c>
      <c r="K117" s="65"/>
      <c r="L117" s="68">
        <f t="shared" si="3"/>
        <v>122963</v>
      </c>
      <c r="M117" s="1323">
        <v>-0.15</v>
      </c>
      <c r="N117" s="789">
        <v>70</v>
      </c>
      <c r="O117" s="2317" t="s">
        <v>883</v>
      </c>
      <c r="P117" s="65"/>
      <c r="Q117" s="65"/>
    </row>
    <row r="118" spans="1:17">
      <c r="A118" s="64">
        <v>4</v>
      </c>
      <c r="B118" s="33">
        <v>353</v>
      </c>
      <c r="C118" s="33">
        <v>3530</v>
      </c>
      <c r="D118" s="32" t="s">
        <v>635</v>
      </c>
      <c r="E118" s="67"/>
      <c r="F118" s="740">
        <f>'SCH B-2.1'!I361</f>
        <v>37723393</v>
      </c>
      <c r="G118" s="67"/>
      <c r="H118" s="68">
        <f>'SCH B-3'!G383</f>
        <v>4770018</v>
      </c>
      <c r="I118" s="65"/>
      <c r="J118" s="2316">
        <v>2.23E-2</v>
      </c>
      <c r="K118" s="65"/>
      <c r="L118" s="68">
        <f t="shared" si="3"/>
        <v>841232</v>
      </c>
      <c r="M118" s="1323">
        <v>-0.1</v>
      </c>
      <c r="N118" s="2317">
        <v>50</v>
      </c>
      <c r="O118" s="2317" t="s">
        <v>884</v>
      </c>
      <c r="P118" s="65"/>
      <c r="Q118" s="65"/>
    </row>
    <row r="119" spans="1:17">
      <c r="A119" s="64">
        <v>5</v>
      </c>
      <c r="B119" s="33">
        <v>353</v>
      </c>
      <c r="C119" s="33">
        <v>3531</v>
      </c>
      <c r="D119" s="32" t="s">
        <v>636</v>
      </c>
      <c r="E119" s="67"/>
      <c r="F119" s="740">
        <f>'SCH B-2.1'!I362</f>
        <v>10844053</v>
      </c>
      <c r="G119" s="67"/>
      <c r="H119" s="68">
        <f>'SCH B-3'!G384</f>
        <v>5583415</v>
      </c>
      <c r="I119" s="65"/>
      <c r="J119" s="2316">
        <v>2.5000000000000001E-2</v>
      </c>
      <c r="K119" s="65"/>
      <c r="L119" s="68">
        <f t="shared" si="3"/>
        <v>271101</v>
      </c>
      <c r="M119" s="1323">
        <v>-0.1</v>
      </c>
      <c r="N119" s="2317">
        <v>50</v>
      </c>
      <c r="O119" s="2317" t="s">
        <v>867</v>
      </c>
      <c r="P119" s="65"/>
      <c r="Q119" s="65"/>
    </row>
    <row r="120" spans="1:17">
      <c r="A120" s="64">
        <v>6</v>
      </c>
      <c r="B120" s="33">
        <v>353</v>
      </c>
      <c r="C120" s="33">
        <v>3532</v>
      </c>
      <c r="D120" s="32" t="s">
        <v>637</v>
      </c>
      <c r="E120" s="67"/>
      <c r="F120" s="740">
        <f>'SCH B-2.1'!I363</f>
        <v>13244554</v>
      </c>
      <c r="G120" s="67"/>
      <c r="H120" s="68">
        <f>'SCH B-3'!G385</f>
        <v>3097491</v>
      </c>
      <c r="I120" s="65"/>
      <c r="J120" s="2316">
        <v>1.78E-2</v>
      </c>
      <c r="K120" s="65"/>
      <c r="L120" s="68">
        <f t="shared" si="3"/>
        <v>235753</v>
      </c>
      <c r="M120" s="1323">
        <v>-0.1</v>
      </c>
      <c r="N120" s="2317">
        <v>60</v>
      </c>
      <c r="O120" s="2317" t="s">
        <v>883</v>
      </c>
      <c r="P120" s="65"/>
      <c r="Q120" s="65"/>
    </row>
    <row r="121" spans="1:17">
      <c r="A121" s="64">
        <v>7</v>
      </c>
      <c r="B121" s="33">
        <v>353</v>
      </c>
      <c r="C121" s="33">
        <v>3534</v>
      </c>
      <c r="D121" s="32" t="s">
        <v>638</v>
      </c>
      <c r="E121" s="67"/>
      <c r="F121" s="740">
        <f>'SCH B-2.1'!I364</f>
        <v>8872106</v>
      </c>
      <c r="G121" s="67"/>
      <c r="H121" s="68">
        <f>'SCH B-3'!G386</f>
        <v>3064316</v>
      </c>
      <c r="I121" s="65"/>
      <c r="J121" s="2316">
        <v>2.7199999999999998E-2</v>
      </c>
      <c r="K121" s="65"/>
      <c r="L121" s="68">
        <f t="shared" si="3"/>
        <v>241321</v>
      </c>
      <c r="M121" s="1323">
        <v>-0.1</v>
      </c>
      <c r="N121" s="2317">
        <v>40</v>
      </c>
      <c r="O121" s="2317" t="s">
        <v>883</v>
      </c>
      <c r="P121" s="65"/>
      <c r="Q121" s="65"/>
    </row>
    <row r="122" spans="1:17">
      <c r="A122" s="64">
        <v>8</v>
      </c>
      <c r="B122" s="33">
        <v>355</v>
      </c>
      <c r="C122" s="33">
        <v>3550</v>
      </c>
      <c r="D122" s="32" t="s">
        <v>639</v>
      </c>
      <c r="E122" s="67"/>
      <c r="F122" s="740">
        <f>'SCH B-2.1'!I365</f>
        <v>46250360</v>
      </c>
      <c r="G122" s="67"/>
      <c r="H122" s="68">
        <f>'SCH B-3'!G387</f>
        <v>-4105066</v>
      </c>
      <c r="I122" s="65"/>
      <c r="J122" s="2316">
        <v>2.4500000000000001E-2</v>
      </c>
      <c r="K122" s="65"/>
      <c r="L122" s="68">
        <f t="shared" si="3"/>
        <v>1133134</v>
      </c>
      <c r="M122" s="1323">
        <v>-0.3</v>
      </c>
      <c r="N122" s="2317">
        <v>55</v>
      </c>
      <c r="O122" s="2317" t="s">
        <v>884</v>
      </c>
      <c r="P122" s="65"/>
      <c r="Q122" s="65"/>
    </row>
    <row r="123" spans="1:17">
      <c r="A123" s="64">
        <v>9</v>
      </c>
      <c r="B123" s="33">
        <v>356</v>
      </c>
      <c r="C123" s="33">
        <v>3560</v>
      </c>
      <c r="D123" s="32" t="s">
        <v>640</v>
      </c>
      <c r="E123" s="67"/>
      <c r="F123" s="740">
        <f>'SCH B-2.1'!I366</f>
        <v>22467590</v>
      </c>
      <c r="G123" s="67"/>
      <c r="H123" s="68">
        <f>'SCH B-3'!G388</f>
        <v>3024749</v>
      </c>
      <c r="I123" s="65"/>
      <c r="J123" s="2316">
        <v>2.23E-2</v>
      </c>
      <c r="K123" s="65"/>
      <c r="L123" s="68">
        <f t="shared" si="3"/>
        <v>501027</v>
      </c>
      <c r="M123" s="1323">
        <v>-0.25</v>
      </c>
      <c r="N123" s="2317">
        <v>55</v>
      </c>
      <c r="O123" s="2317" t="s">
        <v>885</v>
      </c>
      <c r="P123" s="65"/>
      <c r="Q123" s="65"/>
    </row>
    <row r="124" spans="1:17">
      <c r="A124" s="64">
        <v>10</v>
      </c>
      <c r="B124" s="33">
        <v>356</v>
      </c>
      <c r="C124" s="33">
        <v>3561</v>
      </c>
      <c r="D124" s="32" t="s">
        <v>641</v>
      </c>
      <c r="E124" s="67"/>
      <c r="F124" s="740">
        <f>'SCH B-2.1'!I367</f>
        <v>3303607</v>
      </c>
      <c r="G124" s="67"/>
      <c r="H124" s="68">
        <f>'SCH B-3'!G389</f>
        <v>254768</v>
      </c>
      <c r="I124" s="65"/>
      <c r="J124" s="2316">
        <v>1.5299999999999999E-2</v>
      </c>
      <c r="K124" s="65"/>
      <c r="L124" s="68">
        <f t="shared" si="3"/>
        <v>50545</v>
      </c>
      <c r="M124" s="1323">
        <v>0</v>
      </c>
      <c r="N124" s="789">
        <v>65</v>
      </c>
      <c r="O124" s="2317" t="s">
        <v>867</v>
      </c>
      <c r="P124" s="65"/>
      <c r="Q124" s="65"/>
    </row>
    <row r="125" spans="1:17">
      <c r="A125" s="64">
        <v>11</v>
      </c>
      <c r="B125" s="33"/>
      <c r="C125" s="33"/>
      <c r="D125" s="32" t="s">
        <v>617</v>
      </c>
      <c r="E125" s="67"/>
      <c r="F125" s="740">
        <f>'SCH B-2.1'!I368</f>
        <v>0</v>
      </c>
      <c r="G125" s="67"/>
      <c r="H125" s="68">
        <f>'SCH B-3'!G390</f>
        <v>0</v>
      </c>
      <c r="I125" s="65"/>
      <c r="J125" s="2316">
        <v>2.2100000000000002E-2</v>
      </c>
      <c r="K125" s="65"/>
      <c r="L125" s="68">
        <f t="shared" si="3"/>
        <v>0</v>
      </c>
      <c r="M125" s="1323"/>
      <c r="N125" s="646"/>
      <c r="O125" s="789"/>
      <c r="P125" s="65"/>
      <c r="Q125" s="65"/>
    </row>
    <row r="126" spans="1:17">
      <c r="A126" s="64">
        <v>12</v>
      </c>
      <c r="B126" s="33"/>
      <c r="C126" s="33">
        <v>108</v>
      </c>
      <c r="D126" s="32" t="s">
        <v>796</v>
      </c>
      <c r="E126" s="67"/>
      <c r="F126" s="740">
        <f>'SCH B-2.1'!I369</f>
        <v>0</v>
      </c>
      <c r="G126" s="67"/>
      <c r="H126" s="68">
        <f>'SCH B-3'!G391</f>
        <v>-4842092</v>
      </c>
      <c r="I126" s="65"/>
      <c r="J126" s="2316"/>
      <c r="K126" s="65"/>
      <c r="L126" s="68">
        <f t="shared" si="3"/>
        <v>0</v>
      </c>
      <c r="M126" s="2311"/>
      <c r="N126" s="29"/>
      <c r="O126" s="33"/>
      <c r="P126" s="65"/>
      <c r="Q126" s="65"/>
    </row>
    <row r="127" spans="1:17">
      <c r="A127" s="64"/>
      <c r="B127" s="65"/>
      <c r="C127" s="64"/>
      <c r="D127" s="67"/>
      <c r="E127" s="67"/>
      <c r="F127" s="740"/>
      <c r="G127" s="67"/>
      <c r="H127" s="68"/>
      <c r="I127" s="65"/>
      <c r="J127" s="2318"/>
      <c r="K127" s="65"/>
      <c r="L127" s="68"/>
      <c r="M127" s="2311"/>
      <c r="N127" s="29"/>
      <c r="O127" s="33"/>
      <c r="P127" s="65"/>
      <c r="Q127" s="65"/>
    </row>
    <row r="128" spans="1:17">
      <c r="A128" s="64"/>
      <c r="B128" s="65"/>
      <c r="C128" s="64"/>
      <c r="D128" s="67"/>
      <c r="E128" s="67"/>
      <c r="F128" s="740"/>
      <c r="G128" s="67"/>
      <c r="H128" s="68"/>
      <c r="I128" s="65"/>
      <c r="J128" s="2318"/>
      <c r="K128" s="65"/>
      <c r="L128" s="68"/>
      <c r="M128" s="2311"/>
      <c r="N128" s="29"/>
      <c r="O128" s="33"/>
      <c r="P128" s="65"/>
      <c r="Q128" s="65"/>
    </row>
    <row r="129" spans="1:17">
      <c r="A129" s="65"/>
      <c r="B129" s="65"/>
      <c r="C129" s="65"/>
      <c r="D129" s="65"/>
      <c r="E129" s="65"/>
      <c r="F129" s="65"/>
      <c r="G129" s="1458"/>
      <c r="H129" s="1458"/>
      <c r="I129" s="1458"/>
      <c r="J129" s="1458"/>
      <c r="K129" s="1458"/>
      <c r="L129" s="1466"/>
      <c r="M129" s="1458"/>
      <c r="N129" s="1458"/>
      <c r="O129" s="1458"/>
      <c r="P129" s="65"/>
      <c r="Q129" s="65"/>
    </row>
    <row r="130" spans="1:17">
      <c r="A130" s="2099"/>
      <c r="B130" s="2099"/>
      <c r="C130" s="2099"/>
      <c r="D130" s="2099"/>
      <c r="E130" s="2099"/>
      <c r="F130" s="2099"/>
      <c r="G130" s="63"/>
      <c r="H130" s="65"/>
      <c r="I130" s="65"/>
      <c r="J130" s="65"/>
      <c r="K130" s="65"/>
      <c r="L130" s="68"/>
      <c r="M130" s="65"/>
      <c r="N130" s="65"/>
      <c r="O130" s="65"/>
      <c r="P130" s="65"/>
      <c r="Q130" s="65"/>
    </row>
    <row r="131" spans="1:17">
      <c r="A131" s="64">
        <f>A126+1</f>
        <v>13</v>
      </c>
      <c r="B131" s="65"/>
      <c r="C131" s="65"/>
      <c r="D131" s="67" t="s">
        <v>886</v>
      </c>
      <c r="E131" s="67"/>
      <c r="F131" s="740">
        <f>SUM(F115:F130)</f>
        <v>160703839</v>
      </c>
      <c r="G131" s="67"/>
      <c r="H131" s="740">
        <f>SUM(H115:H130)</f>
        <v>12744269</v>
      </c>
      <c r="I131" s="65"/>
      <c r="J131" s="65"/>
      <c r="K131" s="65"/>
      <c r="L131" s="740">
        <f>SUM(L115:L130)</f>
        <v>3535585</v>
      </c>
      <c r="M131" s="65"/>
      <c r="N131" s="65"/>
      <c r="O131" s="65"/>
      <c r="P131" s="65"/>
      <c r="Q131" s="65"/>
    </row>
    <row r="132" spans="1:17">
      <c r="A132" s="65"/>
      <c r="B132" s="65"/>
      <c r="C132" s="65"/>
      <c r="D132" s="65"/>
      <c r="E132" s="65"/>
      <c r="F132" s="65"/>
      <c r="G132" s="1458"/>
      <c r="H132" s="1458"/>
      <c r="I132" s="1458"/>
      <c r="J132" s="1458"/>
      <c r="K132" s="1458"/>
      <c r="L132" s="1458"/>
      <c r="M132" s="1458"/>
      <c r="N132" s="1458"/>
      <c r="O132" s="1458"/>
      <c r="P132" s="65"/>
      <c r="Q132" s="65"/>
    </row>
    <row r="133" spans="1:17">
      <c r="A133" s="2099"/>
      <c r="B133" s="2099"/>
      <c r="C133" s="2099"/>
      <c r="D133" s="2099"/>
      <c r="E133" s="2099"/>
      <c r="F133" s="2099"/>
      <c r="G133" s="63"/>
      <c r="H133" s="65"/>
      <c r="I133" s="65"/>
      <c r="J133" s="65"/>
      <c r="K133" s="65"/>
      <c r="L133" s="65"/>
      <c r="M133" s="65"/>
      <c r="N133" s="65"/>
      <c r="O133" s="65"/>
      <c r="P133" s="65"/>
      <c r="Q133" s="65"/>
    </row>
    <row r="134" spans="1:17">
      <c r="A134" s="783" t="s">
        <v>887</v>
      </c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</row>
    <row r="135" spans="1:17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</row>
    <row r="136" spans="1:17">
      <c r="A136" s="785" t="str">
        <f t="shared" ref="A136:A141" si="4">A1</f>
        <v>DUKE ENERGY KENTUCKY, INC.</v>
      </c>
      <c r="B136" s="785"/>
      <c r="C136" s="785"/>
      <c r="D136" s="785"/>
      <c r="E136" s="785"/>
      <c r="F136" s="785"/>
      <c r="G136" s="785"/>
      <c r="H136" s="785"/>
      <c r="I136" s="785"/>
      <c r="J136" s="785"/>
      <c r="K136" s="785"/>
      <c r="L136" s="785"/>
      <c r="M136" s="785"/>
      <c r="N136" s="785"/>
      <c r="O136" s="785"/>
      <c r="P136" s="65"/>
      <c r="Q136" s="65"/>
    </row>
    <row r="137" spans="1:17">
      <c r="A137" s="785" t="str">
        <f t="shared" si="4"/>
        <v>CASE NO. 2024-00354</v>
      </c>
      <c r="B137" s="785"/>
      <c r="C137" s="785"/>
      <c r="D137" s="785"/>
      <c r="E137" s="785"/>
      <c r="F137" s="785"/>
      <c r="G137" s="785"/>
      <c r="H137" s="785"/>
      <c r="I137" s="785"/>
      <c r="J137" s="785"/>
      <c r="K137" s="785"/>
      <c r="L137" s="785"/>
      <c r="M137" s="785"/>
      <c r="N137" s="785"/>
      <c r="O137" s="785"/>
      <c r="P137" s="65"/>
      <c r="Q137" s="65"/>
    </row>
    <row r="138" spans="1:17">
      <c r="A138" s="785" t="str">
        <f t="shared" si="4"/>
        <v>DEPRECIATION AND AMORTIZATION ACCRUAL RATES AND</v>
      </c>
      <c r="B138" s="785"/>
      <c r="C138" s="785"/>
      <c r="D138" s="785"/>
      <c r="E138" s="785"/>
      <c r="F138" s="785"/>
      <c r="G138" s="785"/>
      <c r="H138" s="785"/>
      <c r="I138" s="785"/>
      <c r="J138" s="785"/>
      <c r="K138" s="785"/>
      <c r="L138" s="785"/>
      <c r="M138" s="785"/>
      <c r="N138" s="785"/>
      <c r="O138" s="785"/>
      <c r="P138" s="65"/>
      <c r="Q138" s="65"/>
    </row>
    <row r="139" spans="1:17">
      <c r="A139" s="785" t="str">
        <f t="shared" si="4"/>
        <v>JURISDICTIONAL ACCUMULATED BALANCES BY ACCOUNTS,</v>
      </c>
      <c r="B139" s="785"/>
      <c r="C139" s="785"/>
      <c r="D139" s="785"/>
      <c r="E139" s="785"/>
      <c r="F139" s="785"/>
      <c r="G139" s="785"/>
      <c r="H139" s="785"/>
      <c r="I139" s="785"/>
      <c r="J139" s="785"/>
      <c r="K139" s="785"/>
      <c r="L139" s="785"/>
      <c r="M139" s="785"/>
      <c r="N139" s="785"/>
      <c r="O139" s="785"/>
      <c r="P139" s="65"/>
      <c r="Q139" s="65"/>
    </row>
    <row r="140" spans="1:17">
      <c r="A140" s="785" t="str">
        <f t="shared" si="4"/>
        <v>FUNCTIONAL CLASS OR MAJOR PROPERTY GROUP</v>
      </c>
      <c r="B140" s="785"/>
      <c r="C140" s="785"/>
      <c r="D140" s="785"/>
      <c r="E140" s="785"/>
      <c r="F140" s="785"/>
      <c r="G140" s="785"/>
      <c r="H140" s="785"/>
      <c r="I140" s="785"/>
      <c r="J140" s="785"/>
      <c r="K140" s="785"/>
      <c r="L140" s="785"/>
      <c r="M140" s="785"/>
      <c r="N140" s="785"/>
      <c r="O140" s="785"/>
      <c r="P140" s="65"/>
      <c r="Q140" s="65"/>
    </row>
    <row r="141" spans="1:17">
      <c r="A141" s="785" t="str">
        <f t="shared" si="4"/>
        <v>THIRTEEN MONTH AVERAGE AS OF JUNE 30, 2026</v>
      </c>
      <c r="B141" s="785"/>
      <c r="C141" s="785"/>
      <c r="D141" s="785"/>
      <c r="E141" s="785"/>
      <c r="F141" s="785"/>
      <c r="G141" s="785"/>
      <c r="H141" s="785"/>
      <c r="I141" s="785"/>
      <c r="J141" s="785"/>
      <c r="K141" s="785"/>
      <c r="L141" s="785"/>
      <c r="M141" s="785"/>
      <c r="N141" s="785"/>
      <c r="O141" s="785"/>
      <c r="P141" s="65"/>
      <c r="Q141" s="65"/>
    </row>
    <row r="142" spans="1:17">
      <c r="A142" s="785"/>
      <c r="B142" s="785"/>
      <c r="C142" s="785"/>
      <c r="D142" s="785"/>
      <c r="E142" s="785"/>
      <c r="F142" s="785"/>
      <c r="G142" s="785"/>
      <c r="H142" s="65"/>
      <c r="I142" s="65"/>
      <c r="J142" s="65"/>
      <c r="K142" s="65"/>
      <c r="L142" s="65"/>
      <c r="M142" s="65"/>
      <c r="N142" s="65"/>
      <c r="O142" s="65"/>
      <c r="P142" s="65"/>
      <c r="Q142" s="65"/>
    </row>
    <row r="143" spans="1:17">
      <c r="A143" s="785" t="s">
        <v>643</v>
      </c>
      <c r="B143" s="785"/>
      <c r="C143" s="785"/>
      <c r="D143" s="785"/>
      <c r="E143" s="785"/>
      <c r="F143" s="785"/>
      <c r="G143" s="785"/>
      <c r="H143" s="785"/>
      <c r="I143" s="785"/>
      <c r="J143" s="785"/>
      <c r="K143" s="785"/>
      <c r="L143" s="785"/>
      <c r="M143" s="785"/>
      <c r="N143" s="785"/>
      <c r="O143" s="785"/>
      <c r="P143" s="65"/>
      <c r="Q143" s="65"/>
    </row>
    <row r="144" spans="1:17">
      <c r="A144" s="786" t="s">
        <v>529</v>
      </c>
      <c r="B144" s="786"/>
      <c r="C144" s="786"/>
      <c r="D144" s="786"/>
      <c r="E144" s="786"/>
      <c r="F144" s="786"/>
      <c r="G144" s="786"/>
      <c r="H144" s="786"/>
      <c r="I144" s="786"/>
      <c r="J144" s="786"/>
      <c r="K144" s="786"/>
      <c r="L144" s="786"/>
      <c r="M144" s="786"/>
      <c r="N144" s="786"/>
      <c r="O144" s="786"/>
      <c r="P144" s="65"/>
      <c r="Q144" s="65"/>
    </row>
    <row r="145" spans="1:17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</row>
    <row r="146" spans="1:17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</row>
    <row r="147" spans="1:17">
      <c r="A147" s="67" t="str">
        <f>A12</f>
        <v>DATA:  BASE PERIOD  "X" FORECASTED PERIOD</v>
      </c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787" t="str">
        <f>M12</f>
        <v>SCHEDULE B-3.2</v>
      </c>
      <c r="N147" s="65"/>
      <c r="O147" s="65"/>
      <c r="P147" s="65"/>
      <c r="Q147" s="65"/>
    </row>
    <row r="148" spans="1:17">
      <c r="A148" s="67" t="str">
        <f>A13</f>
        <v xml:space="preserve">TYPE OF FILING:  "X" ORIGINAL   UPDATED    REVISED  </v>
      </c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787" t="s">
        <v>888</v>
      </c>
      <c r="N148" s="65"/>
      <c r="O148" s="65"/>
      <c r="P148" s="65"/>
      <c r="Q148" s="65"/>
    </row>
    <row r="149" spans="1:17">
      <c r="A149" s="67" t="str">
        <f>A14</f>
        <v>WORK PAPER REFERENCE NOS.: SCHEDULE B-2.1, SCHEDULE B-3</v>
      </c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787" t="str">
        <f>M14</f>
        <v>WITNESS RESPONSIBLE:</v>
      </c>
      <c r="N149" s="65"/>
      <c r="O149" s="65"/>
      <c r="P149" s="65"/>
      <c r="Q149" s="65"/>
    </row>
    <row r="150" spans="1:17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8" t="str">
        <f>M15</f>
        <v>G. S. CARPENTER / S. S. MITCHELL</v>
      </c>
      <c r="N150" s="65"/>
      <c r="O150" s="65"/>
      <c r="P150" s="65"/>
      <c r="Q150" s="65"/>
    </row>
    <row r="151" spans="1:17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</row>
    <row r="152" spans="1:17">
      <c r="A152" s="65"/>
      <c r="B152" s="65"/>
      <c r="C152" s="65"/>
      <c r="D152" s="65"/>
      <c r="E152" s="65"/>
      <c r="F152" s="1458"/>
      <c r="G152" s="1458"/>
      <c r="H152" s="1458"/>
      <c r="I152" s="1458"/>
      <c r="J152" s="1458"/>
      <c r="K152" s="1458"/>
      <c r="L152" s="1458"/>
      <c r="M152" s="1458"/>
      <c r="N152" s="1458"/>
      <c r="O152" s="1458"/>
      <c r="P152" s="65"/>
      <c r="Q152" s="65"/>
    </row>
    <row r="153" spans="1:17">
      <c r="A153" s="2099"/>
      <c r="B153" s="2107"/>
      <c r="C153" s="2106"/>
      <c r="D153" s="2099"/>
      <c r="E153" s="2099"/>
      <c r="F153" s="66" t="s">
        <v>835</v>
      </c>
      <c r="G153" s="66"/>
      <c r="H153" s="66"/>
      <c r="I153" s="65"/>
      <c r="J153" s="65"/>
      <c r="K153" s="65"/>
      <c r="L153" s="65"/>
      <c r="M153" s="65"/>
      <c r="N153" s="65"/>
      <c r="O153" s="65"/>
      <c r="P153" s="65"/>
      <c r="Q153" s="65"/>
    </row>
    <row r="154" spans="1:17">
      <c r="A154" s="63"/>
      <c r="B154" s="62" t="s">
        <v>257</v>
      </c>
      <c r="C154" s="62" t="s">
        <v>605</v>
      </c>
      <c r="D154" s="64" t="s">
        <v>607</v>
      </c>
      <c r="E154" s="64"/>
      <c r="F154" s="2414" t="s">
        <v>836</v>
      </c>
      <c r="G154" s="2414"/>
      <c r="H154" s="2414"/>
      <c r="I154" s="65"/>
      <c r="J154" s="64" t="s">
        <v>837</v>
      </c>
      <c r="K154" s="65"/>
      <c r="L154" s="64" t="s">
        <v>838</v>
      </c>
      <c r="M154" s="65"/>
      <c r="N154" s="64" t="s">
        <v>592</v>
      </c>
      <c r="O154" s="65"/>
      <c r="P154" s="65"/>
      <c r="Q154" s="65"/>
    </row>
    <row r="155" spans="1:17">
      <c r="A155" s="64" t="s">
        <v>573</v>
      </c>
      <c r="B155" s="64" t="s">
        <v>606</v>
      </c>
      <c r="C155" s="64" t="s">
        <v>606</v>
      </c>
      <c r="D155" s="64" t="s">
        <v>839</v>
      </c>
      <c r="E155" s="64"/>
      <c r="F155" s="64" t="s">
        <v>840</v>
      </c>
      <c r="G155" s="64"/>
      <c r="H155" s="64" t="s">
        <v>774</v>
      </c>
      <c r="I155" s="65"/>
      <c r="J155" s="64" t="s">
        <v>841</v>
      </c>
      <c r="K155" s="65"/>
      <c r="L155" s="64" t="s">
        <v>842</v>
      </c>
      <c r="M155" s="782" t="s">
        <v>843</v>
      </c>
      <c r="N155" s="64" t="s">
        <v>844</v>
      </c>
      <c r="O155" s="64" t="s">
        <v>845</v>
      </c>
      <c r="P155" s="65"/>
      <c r="Q155" s="65"/>
    </row>
    <row r="156" spans="1:17">
      <c r="A156" s="64" t="s">
        <v>576</v>
      </c>
      <c r="B156" s="64" t="s">
        <v>576</v>
      </c>
      <c r="C156" s="64" t="s">
        <v>576</v>
      </c>
      <c r="D156" s="64" t="s">
        <v>846</v>
      </c>
      <c r="E156" s="64"/>
      <c r="F156" s="64" t="s">
        <v>847</v>
      </c>
      <c r="G156" s="64"/>
      <c r="H156" s="64" t="s">
        <v>556</v>
      </c>
      <c r="I156" s="65"/>
      <c r="J156" s="64" t="s">
        <v>848</v>
      </c>
      <c r="K156" s="65"/>
      <c r="L156" s="64" t="s">
        <v>849</v>
      </c>
      <c r="M156" s="64" t="s">
        <v>850</v>
      </c>
      <c r="N156" s="64" t="s">
        <v>851</v>
      </c>
      <c r="O156" s="64" t="s">
        <v>852</v>
      </c>
      <c r="P156" s="65"/>
      <c r="Q156" s="65"/>
    </row>
    <row r="157" spans="1:17">
      <c r="A157" s="1468" t="s">
        <v>853</v>
      </c>
      <c r="B157" s="1468" t="s">
        <v>854</v>
      </c>
      <c r="C157" s="1468" t="s">
        <v>855</v>
      </c>
      <c r="D157" s="1468" t="s">
        <v>856</v>
      </c>
      <c r="E157" s="1468"/>
      <c r="F157" s="1468" t="s">
        <v>857</v>
      </c>
      <c r="G157" s="1468"/>
      <c r="H157" s="1468" t="s">
        <v>858</v>
      </c>
      <c r="I157" s="1458"/>
      <c r="J157" s="1468" t="s">
        <v>859</v>
      </c>
      <c r="K157" s="1468"/>
      <c r="L157" s="1468" t="s">
        <v>860</v>
      </c>
      <c r="M157" s="1468" t="s">
        <v>861</v>
      </c>
      <c r="N157" s="1468" t="s">
        <v>862</v>
      </c>
      <c r="O157" s="1468" t="s">
        <v>863</v>
      </c>
      <c r="P157" s="65"/>
      <c r="Q157" s="65"/>
    </row>
    <row r="158" spans="1:17">
      <c r="A158" s="64" t="s">
        <v>382</v>
      </c>
      <c r="B158" s="65"/>
      <c r="C158" s="65"/>
      <c r="D158" s="65"/>
      <c r="E158" s="65"/>
      <c r="F158" s="64" t="s">
        <v>580</v>
      </c>
      <c r="G158" s="65"/>
      <c r="H158" s="64" t="s">
        <v>580</v>
      </c>
      <c r="I158" s="65"/>
      <c r="J158" s="65"/>
      <c r="K158" s="65"/>
      <c r="L158" s="64" t="s">
        <v>580</v>
      </c>
      <c r="M158" s="65"/>
      <c r="N158" s="65"/>
      <c r="O158" s="65"/>
      <c r="P158" s="65"/>
      <c r="Q158" s="65"/>
    </row>
    <row r="159" spans="1:17">
      <c r="A159" s="64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</row>
    <row r="160" spans="1:17">
      <c r="A160" s="64">
        <f>A159+1</f>
        <v>1</v>
      </c>
      <c r="B160" s="53">
        <v>360</v>
      </c>
      <c r="C160" s="53">
        <v>3600</v>
      </c>
      <c r="D160" s="737" t="s">
        <v>608</v>
      </c>
      <c r="E160" s="67"/>
      <c r="F160" s="740">
        <f>'SCH B-2.1'!I397</f>
        <v>18539153</v>
      </c>
      <c r="G160" s="65"/>
      <c r="H160" s="68">
        <f>'SCH B-3'!K422</f>
        <v>35448</v>
      </c>
      <c r="I160" s="65"/>
      <c r="J160" s="2316">
        <v>0</v>
      </c>
      <c r="K160" s="65"/>
      <c r="L160" s="68">
        <v>0</v>
      </c>
      <c r="M160" s="646" t="s">
        <v>864</v>
      </c>
      <c r="N160" s="29"/>
      <c r="O160" s="29"/>
      <c r="P160" s="65"/>
      <c r="Q160" s="65"/>
    </row>
    <row r="161" spans="1:17">
      <c r="A161" s="64">
        <f t="shared" ref="A161:A184" si="5">A160+1</f>
        <v>2</v>
      </c>
      <c r="B161" s="53">
        <v>360</v>
      </c>
      <c r="C161" s="53">
        <v>3601</v>
      </c>
      <c r="D161" s="737" t="s">
        <v>622</v>
      </c>
      <c r="E161" s="67"/>
      <c r="F161" s="740">
        <f>'SCH B-2.1'!I398</f>
        <v>6075504</v>
      </c>
      <c r="G161" s="65"/>
      <c r="H161" s="68">
        <f>'SCH B-3'!K423</f>
        <v>3366108</v>
      </c>
      <c r="I161" s="65"/>
      <c r="J161" s="2316">
        <v>7.1000000000000004E-3</v>
      </c>
      <c r="K161" s="65"/>
      <c r="L161" s="68">
        <f t="shared" ref="L161:L184" si="6">ROUND(F161*J161,0)</f>
        <v>43136</v>
      </c>
      <c r="M161" s="2318">
        <v>0</v>
      </c>
      <c r="N161" s="2317">
        <v>75</v>
      </c>
      <c r="O161" s="2317" t="s">
        <v>877</v>
      </c>
      <c r="P161" s="65"/>
      <c r="Q161" s="65"/>
    </row>
    <row r="162" spans="1:17">
      <c r="A162" s="64">
        <f t="shared" si="5"/>
        <v>3</v>
      </c>
      <c r="B162" s="53">
        <v>361</v>
      </c>
      <c r="C162" s="53">
        <v>3610</v>
      </c>
      <c r="D162" s="737" t="s">
        <v>609</v>
      </c>
      <c r="E162" s="67"/>
      <c r="F162" s="740">
        <f>'SCH B-2.1'!I399</f>
        <v>3462289</v>
      </c>
      <c r="G162" s="65"/>
      <c r="H162" s="68">
        <f>'SCH B-3'!K424</f>
        <v>105148</v>
      </c>
      <c r="I162" s="65"/>
      <c r="J162" s="2316">
        <v>1.72E-2</v>
      </c>
      <c r="K162" s="65"/>
      <c r="L162" s="68">
        <f t="shared" si="6"/>
        <v>59551</v>
      </c>
      <c r="M162" s="2318">
        <v>-0.15</v>
      </c>
      <c r="N162" s="2317">
        <v>70</v>
      </c>
      <c r="O162" s="2317" t="s">
        <v>883</v>
      </c>
      <c r="P162" s="65"/>
      <c r="Q162" s="65"/>
    </row>
    <row r="163" spans="1:17">
      <c r="A163" s="64">
        <f t="shared" si="5"/>
        <v>4</v>
      </c>
      <c r="B163" s="53">
        <v>362</v>
      </c>
      <c r="C163" s="53">
        <v>3620</v>
      </c>
      <c r="D163" s="737" t="s">
        <v>635</v>
      </c>
      <c r="E163" s="67"/>
      <c r="F163" s="740">
        <f>'SCH B-2.1'!I400</f>
        <v>104578229</v>
      </c>
      <c r="G163" s="65"/>
      <c r="H163" s="68">
        <f>'SCH B-3'!K425</f>
        <v>20947546</v>
      </c>
      <c r="I163" s="65"/>
      <c r="J163" s="2316">
        <v>3.5099999999999999E-2</v>
      </c>
      <c r="K163" s="65"/>
      <c r="L163" s="68">
        <f t="shared" si="6"/>
        <v>3670696</v>
      </c>
      <c r="M163" s="2318">
        <v>-0.1</v>
      </c>
      <c r="N163" s="2317">
        <v>32</v>
      </c>
      <c r="O163" s="2317" t="s">
        <v>889</v>
      </c>
      <c r="P163" s="65"/>
      <c r="Q163" s="65"/>
    </row>
    <row r="164" spans="1:17">
      <c r="A164" s="64">
        <f t="shared" si="5"/>
        <v>5</v>
      </c>
      <c r="B164" s="53">
        <v>362</v>
      </c>
      <c r="C164" s="53">
        <v>3622</v>
      </c>
      <c r="D164" s="737" t="s">
        <v>637</v>
      </c>
      <c r="E164" s="67"/>
      <c r="F164" s="740">
        <f>'SCH B-2.1'!I401</f>
        <v>54712564</v>
      </c>
      <c r="G164" s="65"/>
      <c r="H164" s="68">
        <f>'SCH B-3'!K426</f>
        <v>12381127</v>
      </c>
      <c r="I164" s="65"/>
      <c r="J164" s="2316">
        <v>1.77E-2</v>
      </c>
      <c r="K164" s="65"/>
      <c r="L164" s="68">
        <f t="shared" si="6"/>
        <v>968412</v>
      </c>
      <c r="M164" s="2318">
        <v>-0.1</v>
      </c>
      <c r="N164" s="2317">
        <v>60</v>
      </c>
      <c r="O164" s="2317" t="s">
        <v>883</v>
      </c>
      <c r="P164" s="65"/>
      <c r="Q164" s="65"/>
    </row>
    <row r="165" spans="1:17">
      <c r="A165" s="64">
        <f t="shared" si="5"/>
        <v>6</v>
      </c>
      <c r="B165" s="53">
        <v>363</v>
      </c>
      <c r="C165" s="53">
        <v>3630</v>
      </c>
      <c r="D165" s="737" t="s">
        <v>645</v>
      </c>
      <c r="E165" s="67"/>
      <c r="F165" s="740">
        <f>'SCH B-2.1'!I402</f>
        <v>0</v>
      </c>
      <c r="G165" s="65"/>
      <c r="H165" s="68">
        <f>'SCH B-3'!K427</f>
        <v>0</v>
      </c>
      <c r="I165" s="65"/>
      <c r="J165" s="2316"/>
      <c r="K165" s="65"/>
      <c r="L165" s="68">
        <f t="shared" si="6"/>
        <v>0</v>
      </c>
      <c r="M165" s="2318">
        <v>0</v>
      </c>
      <c r="N165" s="2317"/>
      <c r="O165" s="2317"/>
      <c r="P165" s="65"/>
      <c r="Q165" s="65"/>
    </row>
    <row r="166" spans="1:17">
      <c r="A166" s="64">
        <f t="shared" si="5"/>
        <v>7</v>
      </c>
      <c r="B166" s="53">
        <v>364</v>
      </c>
      <c r="C166" s="53">
        <v>3640</v>
      </c>
      <c r="D166" s="737" t="s">
        <v>646</v>
      </c>
      <c r="E166" s="67"/>
      <c r="F166" s="740">
        <f>'SCH B-2.1'!I403</f>
        <v>89912849</v>
      </c>
      <c r="G166" s="65"/>
      <c r="H166" s="68">
        <f>'SCH B-3'!K428</f>
        <v>30115243</v>
      </c>
      <c r="I166" s="65"/>
      <c r="J166" s="2316">
        <v>2.46E-2</v>
      </c>
      <c r="K166" s="65"/>
      <c r="L166" s="68">
        <f t="shared" si="6"/>
        <v>2211856</v>
      </c>
      <c r="M166" s="2318">
        <v>-0.5</v>
      </c>
      <c r="N166" s="2317">
        <v>55</v>
      </c>
      <c r="O166" s="2317" t="s">
        <v>889</v>
      </c>
      <c r="P166" s="65"/>
      <c r="Q166" s="65"/>
    </row>
    <row r="167" spans="1:17">
      <c r="A167" s="64">
        <f t="shared" si="5"/>
        <v>8</v>
      </c>
      <c r="B167" s="53">
        <v>365</v>
      </c>
      <c r="C167" s="53">
        <v>3650</v>
      </c>
      <c r="D167" s="737" t="s">
        <v>640</v>
      </c>
      <c r="E167" s="67"/>
      <c r="F167" s="740">
        <f>'SCH B-2.1'!I404</f>
        <v>173850609</v>
      </c>
      <c r="G167" s="65"/>
      <c r="H167" s="68">
        <f>'SCH B-3'!K429</f>
        <v>36966481</v>
      </c>
      <c r="I167" s="65"/>
      <c r="J167" s="2316">
        <v>2.5700000000000001E-2</v>
      </c>
      <c r="K167" s="65"/>
      <c r="L167" s="68">
        <f t="shared" si="6"/>
        <v>4467961</v>
      </c>
      <c r="M167" s="2318">
        <v>-0.4</v>
      </c>
      <c r="N167" s="2317">
        <v>53</v>
      </c>
      <c r="O167" s="2317" t="s">
        <v>890</v>
      </c>
      <c r="P167" s="65"/>
      <c r="Q167" s="65"/>
    </row>
    <row r="168" spans="1:17">
      <c r="A168" s="64">
        <f t="shared" si="5"/>
        <v>9</v>
      </c>
      <c r="B168" s="53">
        <v>365</v>
      </c>
      <c r="C168" s="53">
        <v>3651</v>
      </c>
      <c r="D168" s="737" t="s">
        <v>641</v>
      </c>
      <c r="E168" s="67"/>
      <c r="F168" s="740">
        <f>'SCH B-2.1'!I405</f>
        <v>9830247</v>
      </c>
      <c r="G168" s="65"/>
      <c r="H168" s="68">
        <f>'SCH B-3'!K430</f>
        <v>1049899</v>
      </c>
      <c r="I168" s="65"/>
      <c r="J168" s="2316">
        <v>1.4999999999999999E-2</v>
      </c>
      <c r="K168" s="65"/>
      <c r="L168" s="68">
        <f t="shared" si="6"/>
        <v>147454</v>
      </c>
      <c r="M168" s="2318">
        <v>0</v>
      </c>
      <c r="N168" s="2317">
        <v>65</v>
      </c>
      <c r="O168" s="2317" t="s">
        <v>867</v>
      </c>
      <c r="P168" s="65"/>
      <c r="Q168" s="65"/>
    </row>
    <row r="169" spans="1:17">
      <c r="A169" s="64">
        <f t="shared" si="5"/>
        <v>10</v>
      </c>
      <c r="B169" s="53">
        <v>366</v>
      </c>
      <c r="C169" s="53">
        <v>3660</v>
      </c>
      <c r="D169" s="737" t="s">
        <v>647</v>
      </c>
      <c r="E169" s="67"/>
      <c r="F169" s="740">
        <f>'SCH B-2.1'!I406</f>
        <v>56165678</v>
      </c>
      <c r="G169" s="65"/>
      <c r="H169" s="68">
        <f>'SCH B-3'!K431</f>
        <v>11686738</v>
      </c>
      <c r="I169" s="65"/>
      <c r="J169" s="2316">
        <v>1.6E-2</v>
      </c>
      <c r="K169" s="65"/>
      <c r="L169" s="68">
        <f t="shared" si="6"/>
        <v>898651</v>
      </c>
      <c r="M169" s="2318">
        <v>-0.25</v>
      </c>
      <c r="N169" s="2317">
        <v>75</v>
      </c>
      <c r="O169" s="2317" t="s">
        <v>867</v>
      </c>
      <c r="P169" s="65"/>
      <c r="Q169" s="65"/>
    </row>
    <row r="170" spans="1:17">
      <c r="A170" s="64">
        <f t="shared" si="5"/>
        <v>11</v>
      </c>
      <c r="B170" s="53">
        <v>367</v>
      </c>
      <c r="C170" s="53">
        <v>3670</v>
      </c>
      <c r="D170" s="737" t="s">
        <v>648</v>
      </c>
      <c r="E170" s="67"/>
      <c r="F170" s="740">
        <f>'SCH B-2.1'!I407</f>
        <v>114333811</v>
      </c>
      <c r="G170" s="65"/>
      <c r="H170" s="68">
        <f>'SCH B-3'!K432</f>
        <v>27493586</v>
      </c>
      <c r="I170" s="65"/>
      <c r="J170" s="2316">
        <v>2.5100000000000001E-2</v>
      </c>
      <c r="K170" s="65"/>
      <c r="L170" s="68">
        <f t="shared" si="6"/>
        <v>2869779</v>
      </c>
      <c r="M170" s="2318">
        <v>-0.35</v>
      </c>
      <c r="N170" s="2317">
        <v>56</v>
      </c>
      <c r="O170" s="2317" t="s">
        <v>869</v>
      </c>
      <c r="P170" s="65"/>
      <c r="Q170" s="65"/>
    </row>
    <row r="171" spans="1:17">
      <c r="A171" s="64">
        <f t="shared" si="5"/>
        <v>12</v>
      </c>
      <c r="B171" s="53">
        <v>368</v>
      </c>
      <c r="C171" s="53">
        <v>3680</v>
      </c>
      <c r="D171" s="737" t="s">
        <v>649</v>
      </c>
      <c r="E171" s="67"/>
      <c r="F171" s="740">
        <f>'SCH B-2.1'!I408</f>
        <v>98810327</v>
      </c>
      <c r="G171" s="65"/>
      <c r="H171" s="68">
        <f>'SCH B-3'!K433</f>
        <v>28786456</v>
      </c>
      <c r="I171" s="65"/>
      <c r="J171" s="2316">
        <v>2.0799999999999999E-2</v>
      </c>
      <c r="K171" s="65"/>
      <c r="L171" s="68">
        <f t="shared" si="6"/>
        <v>2055255</v>
      </c>
      <c r="M171" s="2318">
        <v>-0.15</v>
      </c>
      <c r="N171" s="2317">
        <v>48</v>
      </c>
      <c r="O171" s="2317" t="s">
        <v>889</v>
      </c>
      <c r="P171" s="65"/>
      <c r="Q171" s="65"/>
    </row>
    <row r="172" spans="1:17">
      <c r="A172" s="64">
        <f t="shared" si="5"/>
        <v>13</v>
      </c>
      <c r="B172" s="53">
        <v>368</v>
      </c>
      <c r="C172" s="53">
        <v>3682</v>
      </c>
      <c r="D172" s="737" t="s">
        <v>650</v>
      </c>
      <c r="E172" s="67"/>
      <c r="F172" s="740">
        <f>'SCH B-2.1'!I409</f>
        <v>309394</v>
      </c>
      <c r="G172" s="65"/>
      <c r="H172" s="68">
        <f>'SCH B-3'!K434</f>
        <v>280782</v>
      </c>
      <c r="I172" s="65"/>
      <c r="J172" s="2316">
        <v>5.5999999999999999E-3</v>
      </c>
      <c r="K172" s="65"/>
      <c r="L172" s="68">
        <f t="shared" si="6"/>
        <v>1733</v>
      </c>
      <c r="M172" s="2318">
        <v>-0.15</v>
      </c>
      <c r="N172" s="2317">
        <v>55</v>
      </c>
      <c r="O172" s="2317" t="s">
        <v>880</v>
      </c>
      <c r="P172" s="65"/>
      <c r="Q172" s="65"/>
    </row>
    <row r="173" spans="1:17">
      <c r="A173" s="64">
        <f t="shared" si="5"/>
        <v>14</v>
      </c>
      <c r="B173" s="53">
        <v>369</v>
      </c>
      <c r="C173" s="53">
        <v>3691</v>
      </c>
      <c r="D173" s="737" t="s">
        <v>651</v>
      </c>
      <c r="E173" s="67"/>
      <c r="F173" s="740">
        <f>'SCH B-2.1'!I410</f>
        <v>3219840</v>
      </c>
      <c r="G173" s="65"/>
      <c r="H173" s="68">
        <f>'SCH B-3'!K435</f>
        <v>989964</v>
      </c>
      <c r="I173" s="65"/>
      <c r="J173" s="2316">
        <v>2.0299999999999999E-2</v>
      </c>
      <c r="K173" s="65"/>
      <c r="L173" s="68">
        <f t="shared" si="6"/>
        <v>65363</v>
      </c>
      <c r="M173" s="2318">
        <v>-0.4</v>
      </c>
      <c r="N173" s="2317">
        <v>65</v>
      </c>
      <c r="O173" s="2317" t="s">
        <v>867</v>
      </c>
      <c r="P173" s="65"/>
      <c r="Q173" s="65"/>
    </row>
    <row r="174" spans="1:17">
      <c r="A174" s="64">
        <f t="shared" si="5"/>
        <v>15</v>
      </c>
      <c r="B174" s="53">
        <v>369</v>
      </c>
      <c r="C174" s="53">
        <v>3692</v>
      </c>
      <c r="D174" s="737" t="s">
        <v>652</v>
      </c>
      <c r="E174" s="67"/>
      <c r="F174" s="740">
        <f>'SCH B-2.1'!I411</f>
        <v>20305135</v>
      </c>
      <c r="G174" s="65"/>
      <c r="H174" s="68">
        <f>'SCH B-3'!K436</f>
        <v>11210754</v>
      </c>
      <c r="I174" s="65"/>
      <c r="J174" s="2316">
        <v>1.66E-2</v>
      </c>
      <c r="K174" s="65"/>
      <c r="L174" s="68">
        <f t="shared" si="6"/>
        <v>337065</v>
      </c>
      <c r="M174" s="2318">
        <v>-0.4</v>
      </c>
      <c r="N174" s="2317">
        <v>60</v>
      </c>
      <c r="O174" s="2317" t="s">
        <v>884</v>
      </c>
      <c r="P174" s="65"/>
      <c r="Q174" s="65"/>
    </row>
    <row r="175" spans="1:17">
      <c r="A175" s="64">
        <f t="shared" si="5"/>
        <v>16</v>
      </c>
      <c r="B175" s="53">
        <v>370</v>
      </c>
      <c r="C175" s="53">
        <v>3700</v>
      </c>
      <c r="D175" s="737" t="s">
        <v>653</v>
      </c>
      <c r="E175" s="67"/>
      <c r="F175" s="740">
        <f>'SCH B-2.1'!I412</f>
        <v>4263919</v>
      </c>
      <c r="G175" s="65"/>
      <c r="H175" s="68">
        <f>'SCH B-3'!K437</f>
        <v>1595703</v>
      </c>
      <c r="I175" s="65"/>
      <c r="J175" s="2316">
        <v>3.61E-2</v>
      </c>
      <c r="K175" s="782"/>
      <c r="L175" s="68">
        <f t="shared" si="6"/>
        <v>153927</v>
      </c>
      <c r="M175" s="2318">
        <v>-0.02</v>
      </c>
      <c r="N175" s="2317">
        <v>24</v>
      </c>
      <c r="O175" s="2317" t="s">
        <v>891</v>
      </c>
      <c r="P175" s="65"/>
      <c r="Q175" s="65"/>
    </row>
    <row r="176" spans="1:17">
      <c r="A176" s="64">
        <f t="shared" si="5"/>
        <v>17</v>
      </c>
      <c r="B176" s="53">
        <v>370</v>
      </c>
      <c r="C176" s="1250">
        <v>3702</v>
      </c>
      <c r="D176" s="1131" t="s">
        <v>654</v>
      </c>
      <c r="E176" s="67"/>
      <c r="F176" s="740">
        <f>'SCH B-2.1'!I413</f>
        <v>32132669</v>
      </c>
      <c r="G176" s="65"/>
      <c r="H176" s="68">
        <f>'SCH B-3'!K438</f>
        <v>12610555</v>
      </c>
      <c r="I176" s="65"/>
      <c r="J176" s="2316">
        <v>6.0999999999999999E-2</v>
      </c>
      <c r="K176" s="782"/>
      <c r="L176" s="68">
        <f t="shared" si="6"/>
        <v>1960093</v>
      </c>
      <c r="M176" s="2318">
        <v>0</v>
      </c>
      <c r="N176" s="2317">
        <v>15</v>
      </c>
      <c r="O176" s="2317" t="s">
        <v>879</v>
      </c>
      <c r="P176" s="65"/>
      <c r="Q176" s="65"/>
    </row>
    <row r="177" spans="1:17">
      <c r="A177" s="64">
        <f t="shared" si="5"/>
        <v>18</v>
      </c>
      <c r="B177" s="53">
        <v>371</v>
      </c>
      <c r="C177" s="1250" t="s">
        <v>655</v>
      </c>
      <c r="D177" s="1131" t="s">
        <v>656</v>
      </c>
      <c r="E177" s="67"/>
      <c r="F177" s="740">
        <f>'SCH B-2.1'!I414</f>
        <v>1914967</v>
      </c>
      <c r="G177" s="65"/>
      <c r="H177" s="68">
        <f>'SCH B-3'!K439</f>
        <v>329217</v>
      </c>
      <c r="I177" s="65"/>
      <c r="J177" s="2316">
        <v>0.13650000000000001</v>
      </c>
      <c r="K177" s="64"/>
      <c r="L177" s="68">
        <f>ROUND(F177*J177,0)</f>
        <v>261393</v>
      </c>
      <c r="M177" s="2316" t="s">
        <v>405</v>
      </c>
      <c r="N177" s="2317" t="s">
        <v>405</v>
      </c>
      <c r="O177" s="2317" t="s">
        <v>405</v>
      </c>
      <c r="P177" s="65"/>
      <c r="Q177" s="65"/>
    </row>
    <row r="178" spans="1:17">
      <c r="A178" s="64">
        <f t="shared" si="5"/>
        <v>19</v>
      </c>
      <c r="B178" s="53">
        <v>372</v>
      </c>
      <c r="C178" s="53">
        <v>3720</v>
      </c>
      <c r="D178" s="737" t="s">
        <v>657</v>
      </c>
      <c r="E178" s="67"/>
      <c r="F178" s="740">
        <f>'SCH B-2.1'!I415</f>
        <v>10907</v>
      </c>
      <c r="G178" s="65"/>
      <c r="H178" s="68">
        <f>'SCH B-3'!K440</f>
        <v>9668</v>
      </c>
      <c r="I178" s="65"/>
      <c r="J178" s="2319" t="s">
        <v>490</v>
      </c>
      <c r="K178" s="782" t="s">
        <v>510</v>
      </c>
      <c r="L178" s="784" t="s">
        <v>490</v>
      </c>
      <c r="M178" s="2318">
        <v>0</v>
      </c>
      <c r="N178" s="2317">
        <v>30</v>
      </c>
      <c r="O178" s="2317" t="s">
        <v>892</v>
      </c>
      <c r="P178" s="65"/>
      <c r="Q178" s="65"/>
    </row>
    <row r="179" spans="1:17">
      <c r="A179" s="64">
        <f t="shared" si="5"/>
        <v>20</v>
      </c>
      <c r="B179" s="53">
        <v>373</v>
      </c>
      <c r="C179" s="53">
        <v>3731</v>
      </c>
      <c r="D179" s="737" t="s">
        <v>658</v>
      </c>
      <c r="E179" s="67"/>
      <c r="F179" s="740">
        <f>'SCH B-2.1'!I416</f>
        <v>2832017</v>
      </c>
      <c r="G179" s="65"/>
      <c r="H179" s="68">
        <f>'SCH B-3'!K441</f>
        <v>2299101</v>
      </c>
      <c r="I179" s="65"/>
      <c r="J179" s="2316">
        <v>1.06E-2</v>
      </c>
      <c r="K179" s="782"/>
      <c r="L179" s="68">
        <f t="shared" si="6"/>
        <v>30019</v>
      </c>
      <c r="M179" s="2318">
        <v>-0.15</v>
      </c>
      <c r="N179" s="2317">
        <v>34</v>
      </c>
      <c r="O179" s="2317" t="s">
        <v>893</v>
      </c>
      <c r="P179" s="65"/>
      <c r="Q179" s="65"/>
    </row>
    <row r="180" spans="1:17">
      <c r="A180" s="64">
        <f t="shared" si="5"/>
        <v>21</v>
      </c>
      <c r="B180" s="53">
        <v>373</v>
      </c>
      <c r="C180" s="53">
        <v>3732</v>
      </c>
      <c r="D180" s="737" t="s">
        <v>659</v>
      </c>
      <c r="E180" s="67"/>
      <c r="F180" s="740">
        <f>'SCH B-2.1'!I417</f>
        <v>3879619</v>
      </c>
      <c r="G180" s="65"/>
      <c r="H180" s="68">
        <f>'SCH B-3'!K442</f>
        <v>2823180</v>
      </c>
      <c r="I180" s="65"/>
      <c r="J180" s="2316">
        <v>1.01E-2</v>
      </c>
      <c r="K180" s="783"/>
      <c r="L180" s="68">
        <f t="shared" si="6"/>
        <v>39184</v>
      </c>
      <c r="M180" s="2318">
        <v>-0.2</v>
      </c>
      <c r="N180" s="2317">
        <v>55</v>
      </c>
      <c r="O180" s="2317" t="s">
        <v>880</v>
      </c>
      <c r="P180" s="65"/>
      <c r="Q180" s="65"/>
    </row>
    <row r="181" spans="1:17">
      <c r="A181" s="64">
        <f t="shared" si="5"/>
        <v>22</v>
      </c>
      <c r="B181" s="53">
        <v>373</v>
      </c>
      <c r="C181" s="53">
        <v>3733</v>
      </c>
      <c r="D181" s="737" t="s">
        <v>660</v>
      </c>
      <c r="E181" s="67"/>
      <c r="F181" s="740">
        <f>'SCH B-2.1'!I418</f>
        <v>0</v>
      </c>
      <c r="G181" s="65"/>
      <c r="H181" s="68">
        <f>'SCH B-3'!K443</f>
        <v>0</v>
      </c>
      <c r="I181" s="65"/>
      <c r="J181" s="2316">
        <v>4.7800000000000002E-2</v>
      </c>
      <c r="K181" s="65"/>
      <c r="L181" s="68">
        <f t="shared" si="6"/>
        <v>0</v>
      </c>
      <c r="M181" s="2318">
        <v>-0.1</v>
      </c>
      <c r="N181" s="2317">
        <v>25</v>
      </c>
      <c r="O181" s="2317" t="s">
        <v>894</v>
      </c>
      <c r="P181" s="65"/>
      <c r="Q181" s="65"/>
    </row>
    <row r="182" spans="1:17">
      <c r="A182" s="64">
        <f t="shared" si="5"/>
        <v>23</v>
      </c>
      <c r="B182" s="53">
        <v>373</v>
      </c>
      <c r="C182" s="53">
        <v>3734</v>
      </c>
      <c r="D182" s="737" t="s">
        <v>661</v>
      </c>
      <c r="E182" s="67"/>
      <c r="F182" s="740">
        <f>'SCH B-2.1'!I419</f>
        <v>0</v>
      </c>
      <c r="G182" s="65"/>
      <c r="H182" s="68">
        <f>'SCH B-3'!K444</f>
        <v>0</v>
      </c>
      <c r="I182" s="65"/>
      <c r="J182" s="2316">
        <v>4.7800000000000002E-2</v>
      </c>
      <c r="K182" s="65"/>
      <c r="L182" s="68">
        <f t="shared" si="6"/>
        <v>0</v>
      </c>
      <c r="M182" s="2318">
        <v>-0.1</v>
      </c>
      <c r="N182" s="2317">
        <v>25</v>
      </c>
      <c r="O182" s="2317" t="s">
        <v>894</v>
      </c>
      <c r="P182" s="65"/>
      <c r="Q182" s="65"/>
    </row>
    <row r="183" spans="1:17">
      <c r="A183" s="64">
        <f t="shared" si="5"/>
        <v>24</v>
      </c>
      <c r="B183" s="737"/>
      <c r="C183" s="737"/>
      <c r="D183" s="737" t="s">
        <v>617</v>
      </c>
      <c r="E183" s="67"/>
      <c r="F183" s="740">
        <f>'SCH B-2.1'!I420</f>
        <v>0</v>
      </c>
      <c r="G183" s="65"/>
      <c r="H183" s="68">
        <f>'SCH B-3'!K445</f>
        <v>0</v>
      </c>
      <c r="I183" s="65"/>
      <c r="J183" s="2316">
        <v>2.6100000000000002E-2</v>
      </c>
      <c r="K183" s="65"/>
      <c r="L183" s="68">
        <f t="shared" si="6"/>
        <v>0</v>
      </c>
      <c r="M183" s="2320"/>
      <c r="N183" s="2317"/>
      <c r="O183" s="2317"/>
      <c r="P183" s="65"/>
      <c r="Q183" s="65"/>
    </row>
    <row r="184" spans="1:17">
      <c r="A184" s="64">
        <f t="shared" si="5"/>
        <v>25</v>
      </c>
      <c r="B184" s="53"/>
      <c r="C184" s="53">
        <v>108</v>
      </c>
      <c r="D184" s="737" t="s">
        <v>796</v>
      </c>
      <c r="E184" s="67"/>
      <c r="F184" s="740">
        <f>'SCH B-2.1'!I421</f>
        <v>0</v>
      </c>
      <c r="G184" s="65"/>
      <c r="H184" s="68">
        <f>'SCH B-3'!K446</f>
        <v>-25130677</v>
      </c>
      <c r="I184" s="65"/>
      <c r="J184" s="2316"/>
      <c r="K184" s="65"/>
      <c r="L184" s="68">
        <f t="shared" si="6"/>
        <v>0</v>
      </c>
      <c r="M184" s="2320"/>
      <c r="N184" s="2321"/>
      <c r="O184" s="2317"/>
      <c r="P184" s="65"/>
      <c r="Q184" s="65"/>
    </row>
    <row r="185" spans="1:17">
      <c r="A185" s="64"/>
      <c r="B185" s="65"/>
      <c r="C185" s="64"/>
      <c r="D185" s="67"/>
      <c r="E185" s="67"/>
      <c r="F185" s="740"/>
      <c r="G185" s="65"/>
      <c r="H185" s="68"/>
      <c r="I185" s="65"/>
      <c r="J185" s="2322"/>
      <c r="K185" s="65"/>
      <c r="L185" s="68"/>
      <c r="M185" s="2311"/>
      <c r="N185" s="29"/>
      <c r="O185" s="33"/>
      <c r="P185" s="65"/>
      <c r="Q185" s="65"/>
    </row>
    <row r="186" spans="1:17">
      <c r="A186" s="64"/>
      <c r="B186" s="65"/>
      <c r="C186" s="64"/>
      <c r="D186" s="67"/>
      <c r="E186" s="67"/>
      <c r="F186" s="740"/>
      <c r="G186" s="783"/>
      <c r="H186" s="68"/>
      <c r="I186" s="65"/>
      <c r="J186" s="2311"/>
      <c r="K186" s="65"/>
      <c r="L186" s="68"/>
      <c r="M186" s="2311"/>
      <c r="N186" s="29"/>
      <c r="O186" s="33"/>
      <c r="P186" s="65"/>
      <c r="Q186" s="65"/>
    </row>
    <row r="187" spans="1:17">
      <c r="A187" s="65"/>
      <c r="B187" s="65"/>
      <c r="C187" s="65"/>
      <c r="D187" s="65"/>
      <c r="E187" s="65"/>
      <c r="F187" s="65"/>
      <c r="G187" s="1458"/>
      <c r="H187" s="1458"/>
      <c r="I187" s="1458"/>
      <c r="J187" s="1458"/>
      <c r="K187" s="1458"/>
      <c r="L187" s="1466"/>
      <c r="M187" s="1458"/>
      <c r="N187" s="1458"/>
      <c r="O187" s="1458"/>
      <c r="P187" s="65"/>
      <c r="Q187" s="65"/>
    </row>
    <row r="188" spans="1:17">
      <c r="A188" s="2099"/>
      <c r="B188" s="2099"/>
      <c r="C188" s="2099"/>
      <c r="D188" s="2099"/>
      <c r="E188" s="2099"/>
      <c r="F188" s="2099"/>
      <c r="G188" s="63"/>
      <c r="H188" s="65"/>
      <c r="I188" s="65"/>
      <c r="J188" s="65"/>
      <c r="K188" s="65"/>
      <c r="L188" s="68"/>
      <c r="M188" s="65"/>
      <c r="N188" s="65"/>
      <c r="O188" s="65"/>
      <c r="P188" s="65"/>
      <c r="Q188" s="65"/>
    </row>
    <row r="189" spans="1:17">
      <c r="A189" s="64">
        <f>A184+1</f>
        <v>26</v>
      </c>
      <c r="B189" s="65"/>
      <c r="C189" s="65"/>
      <c r="D189" s="67" t="s">
        <v>895</v>
      </c>
      <c r="E189" s="67"/>
      <c r="F189" s="740">
        <f>SUM(F160:F188)</f>
        <v>799139727</v>
      </c>
      <c r="G189" s="67"/>
      <c r="H189" s="740">
        <f>SUM(H160:H188)</f>
        <v>179952027</v>
      </c>
      <c r="I189" s="65"/>
      <c r="J189" s="65"/>
      <c r="K189" s="65"/>
      <c r="L189" s="740">
        <f>SUM(L160:L188)</f>
        <v>20241528</v>
      </c>
      <c r="M189" s="65"/>
      <c r="N189" s="65"/>
      <c r="O189" s="65"/>
      <c r="P189" s="65"/>
      <c r="Q189" s="65"/>
    </row>
    <row r="190" spans="1:17">
      <c r="A190" s="65"/>
      <c r="B190" s="65"/>
      <c r="C190" s="65"/>
      <c r="D190" s="65"/>
      <c r="E190" s="65"/>
      <c r="F190" s="65"/>
      <c r="G190" s="1458"/>
      <c r="H190" s="1458"/>
      <c r="I190" s="1458"/>
      <c r="J190" s="1458"/>
      <c r="K190" s="1458"/>
      <c r="L190" s="1458"/>
      <c r="M190" s="1458"/>
      <c r="N190" s="1458"/>
      <c r="O190" s="1458"/>
      <c r="P190" s="65"/>
      <c r="Q190" s="65"/>
    </row>
    <row r="191" spans="1:17">
      <c r="A191" s="2099"/>
      <c r="B191" s="2099"/>
      <c r="C191" s="2099"/>
      <c r="D191" s="2099"/>
      <c r="E191" s="2099"/>
      <c r="F191" s="2099"/>
      <c r="G191" s="63"/>
      <c r="H191" s="65"/>
      <c r="I191" s="65"/>
      <c r="J191" s="65"/>
      <c r="K191" s="65"/>
      <c r="L191" s="65"/>
      <c r="M191" s="65"/>
      <c r="N191" s="65"/>
      <c r="O191" s="65"/>
      <c r="P191" s="65"/>
      <c r="Q191" s="65"/>
    </row>
    <row r="192" spans="1:17">
      <c r="A192" s="783" t="s">
        <v>887</v>
      </c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</row>
    <row r="193" spans="1:17">
      <c r="A193" s="783" t="s">
        <v>896</v>
      </c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</row>
    <row r="194" spans="1:17">
      <c r="A194" s="777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</row>
    <row r="195" spans="1:17">
      <c r="A195" s="777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</row>
    <row r="196" spans="1:17">
      <c r="A196" s="785" t="str">
        <f t="shared" ref="A196:A201" si="7">A1</f>
        <v>DUKE ENERGY KENTUCKY, INC.</v>
      </c>
      <c r="B196" s="785"/>
      <c r="C196" s="785"/>
      <c r="D196" s="785"/>
      <c r="E196" s="785"/>
      <c r="F196" s="785"/>
      <c r="G196" s="785"/>
      <c r="H196" s="785"/>
      <c r="I196" s="785"/>
      <c r="J196" s="785"/>
      <c r="K196" s="785"/>
      <c r="L196" s="785"/>
      <c r="M196" s="785"/>
      <c r="N196" s="785"/>
      <c r="O196" s="785"/>
      <c r="P196" s="65"/>
      <c r="Q196" s="65"/>
    </row>
    <row r="197" spans="1:17">
      <c r="A197" s="785" t="str">
        <f t="shared" si="7"/>
        <v>CASE NO. 2024-00354</v>
      </c>
      <c r="B197" s="785"/>
      <c r="C197" s="785"/>
      <c r="D197" s="785"/>
      <c r="E197" s="785"/>
      <c r="F197" s="785"/>
      <c r="G197" s="785"/>
      <c r="H197" s="785"/>
      <c r="I197" s="785"/>
      <c r="J197" s="785"/>
      <c r="K197" s="785"/>
      <c r="L197" s="785"/>
      <c r="M197" s="785"/>
      <c r="N197" s="785"/>
      <c r="O197" s="785"/>
      <c r="P197" s="65"/>
      <c r="Q197" s="65"/>
    </row>
    <row r="198" spans="1:17">
      <c r="A198" s="785" t="str">
        <f t="shared" si="7"/>
        <v>DEPRECIATION AND AMORTIZATION ACCRUAL RATES AND</v>
      </c>
      <c r="B198" s="785"/>
      <c r="C198" s="785"/>
      <c r="D198" s="785"/>
      <c r="E198" s="785"/>
      <c r="F198" s="785"/>
      <c r="G198" s="785"/>
      <c r="H198" s="785"/>
      <c r="I198" s="785"/>
      <c r="J198" s="785"/>
      <c r="K198" s="785"/>
      <c r="L198" s="785"/>
      <c r="M198" s="785"/>
      <c r="N198" s="785"/>
      <c r="O198" s="785"/>
      <c r="P198" s="65"/>
      <c r="Q198" s="65"/>
    </row>
    <row r="199" spans="1:17">
      <c r="A199" s="785" t="str">
        <f t="shared" si="7"/>
        <v>JURISDICTIONAL ACCUMULATED BALANCES BY ACCOUNTS,</v>
      </c>
      <c r="B199" s="785"/>
      <c r="C199" s="785"/>
      <c r="D199" s="785"/>
      <c r="E199" s="785"/>
      <c r="F199" s="785"/>
      <c r="G199" s="785"/>
      <c r="H199" s="785"/>
      <c r="I199" s="785"/>
      <c r="J199" s="785"/>
      <c r="K199" s="785"/>
      <c r="L199" s="785"/>
      <c r="M199" s="785"/>
      <c r="N199" s="785"/>
      <c r="O199" s="785"/>
      <c r="P199" s="65"/>
      <c r="Q199" s="65"/>
    </row>
    <row r="200" spans="1:17">
      <c r="A200" s="785" t="str">
        <f t="shared" si="7"/>
        <v>FUNCTIONAL CLASS OR MAJOR PROPERTY GROUP</v>
      </c>
      <c r="B200" s="785"/>
      <c r="C200" s="785"/>
      <c r="D200" s="785"/>
      <c r="E200" s="785"/>
      <c r="F200" s="785"/>
      <c r="G200" s="785"/>
      <c r="H200" s="785"/>
      <c r="I200" s="785"/>
      <c r="J200" s="785"/>
      <c r="K200" s="785"/>
      <c r="L200" s="785"/>
      <c r="M200" s="785"/>
      <c r="N200" s="785"/>
      <c r="O200" s="785"/>
      <c r="P200" s="65"/>
      <c r="Q200" s="65"/>
    </row>
    <row r="201" spans="1:17">
      <c r="A201" s="785" t="str">
        <f t="shared" si="7"/>
        <v>THIRTEEN MONTH AVERAGE AS OF JUNE 30, 2026</v>
      </c>
      <c r="B201" s="785"/>
      <c r="C201" s="785"/>
      <c r="D201" s="785"/>
      <c r="E201" s="785"/>
      <c r="F201" s="785"/>
      <c r="G201" s="785"/>
      <c r="H201" s="785"/>
      <c r="I201" s="785"/>
      <c r="J201" s="785"/>
      <c r="K201" s="785"/>
      <c r="L201" s="785"/>
      <c r="M201" s="785"/>
      <c r="N201" s="785"/>
      <c r="O201" s="785"/>
      <c r="P201" s="65"/>
      <c r="Q201" s="65"/>
    </row>
    <row r="202" spans="1:17">
      <c r="A202" s="785"/>
      <c r="B202" s="785"/>
      <c r="C202" s="785"/>
      <c r="D202" s="785"/>
      <c r="E202" s="785"/>
      <c r="F202" s="785"/>
      <c r="G202" s="785"/>
      <c r="H202" s="65"/>
      <c r="I202" s="65"/>
      <c r="J202" s="65"/>
      <c r="K202" s="65"/>
      <c r="L202" s="65"/>
      <c r="M202" s="65"/>
      <c r="N202" s="65"/>
      <c r="O202" s="65"/>
      <c r="P202" s="65"/>
      <c r="Q202" s="65"/>
    </row>
    <row r="203" spans="1:17">
      <c r="A203" s="785" t="s">
        <v>663</v>
      </c>
      <c r="B203" s="785"/>
      <c r="C203" s="785"/>
      <c r="D203" s="785"/>
      <c r="E203" s="785"/>
      <c r="F203" s="785"/>
      <c r="G203" s="785"/>
      <c r="H203" s="785"/>
      <c r="I203" s="785"/>
      <c r="J203" s="785"/>
      <c r="K203" s="785"/>
      <c r="L203" s="785"/>
      <c r="M203" s="785"/>
      <c r="N203" s="785"/>
      <c r="O203" s="785"/>
      <c r="P203" s="65"/>
      <c r="Q203" s="65"/>
    </row>
    <row r="204" spans="1:17">
      <c r="A204" s="786" t="s">
        <v>529</v>
      </c>
      <c r="B204" s="786"/>
      <c r="C204" s="786"/>
      <c r="D204" s="786"/>
      <c r="E204" s="786"/>
      <c r="F204" s="786"/>
      <c r="G204" s="786"/>
      <c r="H204" s="786"/>
      <c r="I204" s="786"/>
      <c r="J204" s="786"/>
      <c r="K204" s="786"/>
      <c r="L204" s="786"/>
      <c r="M204" s="786"/>
      <c r="N204" s="786"/>
      <c r="O204" s="786"/>
      <c r="P204" s="65"/>
      <c r="Q204" s="65"/>
    </row>
    <row r="205" spans="1:17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</row>
    <row r="206" spans="1:17">
      <c r="A206" s="67" t="str">
        <f>A12</f>
        <v>DATA:  BASE PERIOD  "X" FORECASTED PERIOD</v>
      </c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787" t="str">
        <f>M12</f>
        <v>SCHEDULE B-3.2</v>
      </c>
      <c r="N206" s="65"/>
      <c r="O206" s="65"/>
      <c r="P206" s="65"/>
      <c r="Q206" s="65"/>
    </row>
    <row r="207" spans="1:17">
      <c r="A207" s="67" t="str">
        <f>A13</f>
        <v xml:space="preserve">TYPE OF FILING:  "X" ORIGINAL   UPDATED    REVISED  </v>
      </c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787" t="s">
        <v>897</v>
      </c>
      <c r="N207" s="65"/>
      <c r="O207" s="65"/>
      <c r="P207" s="65"/>
      <c r="Q207" s="65"/>
    </row>
    <row r="208" spans="1:17">
      <c r="A208" s="67" t="str">
        <f>A14</f>
        <v>WORK PAPER REFERENCE NOS.: SCHEDULE B-2.1, SCHEDULE B-3</v>
      </c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787" t="str">
        <f>M14</f>
        <v>WITNESS RESPONSIBLE:</v>
      </c>
      <c r="N208" s="65"/>
      <c r="O208" s="65"/>
      <c r="P208" s="65"/>
      <c r="Q208" s="65"/>
    </row>
    <row r="209" spans="1:17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8" t="str">
        <f>M15</f>
        <v>G. S. CARPENTER / S. S. MITCHELL</v>
      </c>
      <c r="N209" s="65"/>
      <c r="O209" s="65"/>
      <c r="P209" s="65"/>
      <c r="Q209" s="65"/>
    </row>
    <row r="210" spans="1:17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</row>
    <row r="211" spans="1:17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</row>
    <row r="212" spans="1:17">
      <c r="A212" s="65"/>
      <c r="B212" s="1458"/>
      <c r="C212" s="65"/>
      <c r="D212" s="65"/>
      <c r="E212" s="65"/>
      <c r="F212" s="1458"/>
      <c r="G212" s="1458"/>
      <c r="H212" s="1458"/>
      <c r="I212" s="1458"/>
      <c r="J212" s="1458"/>
      <c r="K212" s="1458"/>
      <c r="L212" s="1458"/>
      <c r="M212" s="1458"/>
      <c r="N212" s="1458"/>
      <c r="O212" s="1458"/>
      <c r="P212" s="65"/>
      <c r="Q212" s="65"/>
    </row>
    <row r="213" spans="1:17">
      <c r="A213" s="2099"/>
      <c r="B213" s="2107"/>
      <c r="C213" s="2106"/>
      <c r="D213" s="2099"/>
      <c r="E213" s="2099"/>
      <c r="F213" s="66" t="s">
        <v>835</v>
      </c>
      <c r="G213" s="66"/>
      <c r="H213" s="66"/>
      <c r="I213" s="65"/>
      <c r="J213" s="65"/>
      <c r="K213" s="65"/>
      <c r="L213" s="65"/>
      <c r="M213" s="65"/>
      <c r="N213" s="65"/>
      <c r="O213" s="65"/>
      <c r="P213" s="65"/>
      <c r="Q213" s="65"/>
    </row>
    <row r="214" spans="1:17">
      <c r="A214" s="63"/>
      <c r="B214" s="62" t="s">
        <v>257</v>
      </c>
      <c r="C214" s="62" t="s">
        <v>605</v>
      </c>
      <c r="D214" s="64" t="s">
        <v>607</v>
      </c>
      <c r="E214" s="64"/>
      <c r="F214" s="2414" t="s">
        <v>836</v>
      </c>
      <c r="G214" s="2414"/>
      <c r="H214" s="2414"/>
      <c r="I214" s="65"/>
      <c r="J214" s="64" t="s">
        <v>837</v>
      </c>
      <c r="K214" s="65"/>
      <c r="L214" s="64" t="s">
        <v>838</v>
      </c>
      <c r="M214" s="65"/>
      <c r="N214" s="64" t="s">
        <v>592</v>
      </c>
      <c r="O214" s="65"/>
      <c r="P214" s="65"/>
      <c r="Q214" s="65"/>
    </row>
    <row r="215" spans="1:17">
      <c r="A215" s="64" t="s">
        <v>573</v>
      </c>
      <c r="B215" s="64" t="s">
        <v>606</v>
      </c>
      <c r="C215" s="64" t="s">
        <v>606</v>
      </c>
      <c r="D215" s="64" t="s">
        <v>839</v>
      </c>
      <c r="E215" s="64"/>
      <c r="F215" s="64" t="s">
        <v>840</v>
      </c>
      <c r="G215" s="64"/>
      <c r="H215" s="64" t="s">
        <v>774</v>
      </c>
      <c r="I215" s="65"/>
      <c r="J215" s="64" t="s">
        <v>841</v>
      </c>
      <c r="K215" s="65"/>
      <c r="L215" s="64" t="s">
        <v>842</v>
      </c>
      <c r="M215" s="782" t="s">
        <v>843</v>
      </c>
      <c r="N215" s="64" t="s">
        <v>844</v>
      </c>
      <c r="O215" s="64" t="s">
        <v>845</v>
      </c>
      <c r="P215" s="65"/>
      <c r="Q215" s="65"/>
    </row>
    <row r="216" spans="1:17">
      <c r="A216" s="64" t="s">
        <v>576</v>
      </c>
      <c r="B216" s="64" t="s">
        <v>576</v>
      </c>
      <c r="C216" s="64" t="s">
        <v>576</v>
      </c>
      <c r="D216" s="64" t="s">
        <v>846</v>
      </c>
      <c r="E216" s="64"/>
      <c r="F216" s="64" t="s">
        <v>847</v>
      </c>
      <c r="G216" s="64"/>
      <c r="H216" s="64" t="s">
        <v>556</v>
      </c>
      <c r="I216" s="65"/>
      <c r="J216" s="64" t="s">
        <v>848</v>
      </c>
      <c r="K216" s="65"/>
      <c r="L216" s="64" t="s">
        <v>849</v>
      </c>
      <c r="M216" s="64" t="s">
        <v>850</v>
      </c>
      <c r="N216" s="64" t="s">
        <v>851</v>
      </c>
      <c r="O216" s="64" t="s">
        <v>852</v>
      </c>
      <c r="P216" s="65"/>
      <c r="Q216" s="65"/>
    </row>
    <row r="217" spans="1:17">
      <c r="A217" s="1468" t="s">
        <v>853</v>
      </c>
      <c r="B217" s="1468" t="s">
        <v>854</v>
      </c>
      <c r="C217" s="1468" t="s">
        <v>855</v>
      </c>
      <c r="D217" s="1468" t="s">
        <v>856</v>
      </c>
      <c r="E217" s="1468"/>
      <c r="F217" s="1468" t="s">
        <v>857</v>
      </c>
      <c r="G217" s="1468"/>
      <c r="H217" s="1468" t="s">
        <v>858</v>
      </c>
      <c r="I217" s="1458"/>
      <c r="J217" s="1468" t="s">
        <v>859</v>
      </c>
      <c r="K217" s="1468"/>
      <c r="L217" s="1468" t="s">
        <v>860</v>
      </c>
      <c r="M217" s="1468" t="s">
        <v>861</v>
      </c>
      <c r="N217" s="1468" t="s">
        <v>862</v>
      </c>
      <c r="O217" s="1468" t="s">
        <v>863</v>
      </c>
      <c r="P217" s="65"/>
      <c r="Q217" s="65"/>
    </row>
    <row r="218" spans="1:17">
      <c r="A218" s="782"/>
      <c r="B218" s="782"/>
      <c r="C218" s="782"/>
      <c r="D218" s="782"/>
      <c r="E218" s="782"/>
      <c r="F218" s="64" t="s">
        <v>580</v>
      </c>
      <c r="G218" s="782"/>
      <c r="H218" s="64" t="s">
        <v>580</v>
      </c>
      <c r="I218" s="65"/>
      <c r="J218" s="782"/>
      <c r="K218" s="782"/>
      <c r="L218" s="64" t="s">
        <v>580</v>
      </c>
      <c r="M218" s="782"/>
      <c r="N218" s="782"/>
      <c r="O218" s="782"/>
      <c r="P218" s="65"/>
      <c r="Q218" s="65"/>
    </row>
    <row r="219" spans="1:17">
      <c r="A219" s="65"/>
      <c r="B219" s="65"/>
      <c r="C219" s="65"/>
      <c r="D219" s="65"/>
      <c r="E219" s="65"/>
      <c r="F219" s="65"/>
      <c r="G219" s="65"/>
      <c r="H219" s="68"/>
      <c r="I219" s="65"/>
      <c r="J219" s="65"/>
      <c r="K219" s="65"/>
      <c r="L219" s="65"/>
      <c r="M219" s="65"/>
      <c r="N219" s="65"/>
      <c r="O219" s="65"/>
      <c r="P219" s="65"/>
      <c r="Q219" s="65"/>
    </row>
    <row r="220" spans="1:17">
      <c r="A220" s="64">
        <v>1</v>
      </c>
      <c r="B220" s="53">
        <v>303</v>
      </c>
      <c r="C220" s="53">
        <v>3030</v>
      </c>
      <c r="D220" s="737" t="s">
        <v>665</v>
      </c>
      <c r="E220" s="65"/>
      <c r="F220" s="68">
        <f>'SCH B-2.1'!I451</f>
        <v>57142504</v>
      </c>
      <c r="G220" s="68"/>
      <c r="H220" s="68">
        <f>'SCH B-3'!K476</f>
        <v>23532655</v>
      </c>
      <c r="I220" s="65"/>
      <c r="J220" s="2310" t="s">
        <v>405</v>
      </c>
      <c r="K220" s="65"/>
      <c r="L220" s="2323">
        <v>5181547</v>
      </c>
      <c r="M220" s="2310" t="s">
        <v>405</v>
      </c>
      <c r="N220" s="29"/>
      <c r="O220" s="29"/>
      <c r="P220" s="65"/>
      <c r="Q220" s="65"/>
    </row>
    <row r="221" spans="1:17">
      <c r="A221" s="64">
        <v>2</v>
      </c>
      <c r="B221" s="53">
        <v>390</v>
      </c>
      <c r="C221" s="53">
        <v>3900</v>
      </c>
      <c r="D221" s="737" t="s">
        <v>609</v>
      </c>
      <c r="E221" s="67"/>
      <c r="F221" s="68">
        <f>'SCH B-2.1'!I452</f>
        <v>260891</v>
      </c>
      <c r="G221" s="68"/>
      <c r="H221" s="68">
        <f>'SCH B-3'!K477</f>
        <v>79947</v>
      </c>
      <c r="I221" s="65"/>
      <c r="J221" s="2324">
        <v>2.98E-2</v>
      </c>
      <c r="K221" s="65"/>
      <c r="L221" s="68">
        <f>ROUND(F221*J221,0)</f>
        <v>7775</v>
      </c>
      <c r="M221" s="1323">
        <v>-0.1</v>
      </c>
      <c r="N221" s="789">
        <v>40</v>
      </c>
      <c r="O221" s="789" t="s">
        <v>865</v>
      </c>
      <c r="P221" s="65"/>
      <c r="Q221" s="65"/>
    </row>
    <row r="222" spans="1:17">
      <c r="A222" s="64">
        <v>3</v>
      </c>
      <c r="B222" s="53">
        <v>391</v>
      </c>
      <c r="C222" s="53">
        <v>3910</v>
      </c>
      <c r="D222" s="737" t="s">
        <v>666</v>
      </c>
      <c r="E222" s="67"/>
      <c r="F222" s="68">
        <f>'SCH B-2.1'!I453</f>
        <v>585107</v>
      </c>
      <c r="G222" s="68"/>
      <c r="H222" s="68">
        <f>'SCH B-3'!K478</f>
        <v>69298</v>
      </c>
      <c r="I222" s="65"/>
      <c r="J222" s="2324">
        <v>0.05</v>
      </c>
      <c r="K222" s="782"/>
      <c r="L222" s="784">
        <f>ROUND(F222*J222,0)</f>
        <v>29255</v>
      </c>
      <c r="M222" s="1323">
        <v>0</v>
      </c>
      <c r="N222" s="789">
        <v>20</v>
      </c>
      <c r="O222" s="789" t="s">
        <v>898</v>
      </c>
      <c r="P222" s="65"/>
      <c r="Q222" s="65"/>
    </row>
    <row r="223" spans="1:17">
      <c r="A223" s="64">
        <v>4</v>
      </c>
      <c r="B223" s="53">
        <v>391</v>
      </c>
      <c r="C223" s="53" t="s">
        <v>899</v>
      </c>
      <c r="D223" s="737" t="s">
        <v>666</v>
      </c>
      <c r="E223" s="67"/>
      <c r="F223" s="68"/>
      <c r="G223" s="68"/>
      <c r="H223" s="68">
        <f>'SCH B-3'!K479</f>
        <v>0</v>
      </c>
      <c r="I223" s="65"/>
      <c r="J223" s="2324" t="s">
        <v>900</v>
      </c>
      <c r="K223" s="777" t="s">
        <v>510</v>
      </c>
      <c r="L223" s="68">
        <v>-1744</v>
      </c>
      <c r="M223" s="2310" t="s">
        <v>490</v>
      </c>
      <c r="N223" s="789" t="s">
        <v>490</v>
      </c>
      <c r="O223" s="789" t="s">
        <v>490</v>
      </c>
      <c r="P223" s="65"/>
      <c r="Q223" s="65"/>
    </row>
    <row r="224" spans="1:17">
      <c r="A224" s="64">
        <v>5</v>
      </c>
      <c r="B224" s="53">
        <v>391</v>
      </c>
      <c r="C224" s="53">
        <v>3911</v>
      </c>
      <c r="D224" s="737" t="s">
        <v>667</v>
      </c>
      <c r="E224" s="67"/>
      <c r="F224" s="68">
        <f>'SCH B-2.1'!I454</f>
        <v>7548018</v>
      </c>
      <c r="G224" s="68"/>
      <c r="H224" s="68">
        <f>'SCH B-3'!K480</f>
        <v>2841630</v>
      </c>
      <c r="I224" s="65"/>
      <c r="J224" s="2324">
        <v>0.2</v>
      </c>
      <c r="K224" s="65"/>
      <c r="L224" s="68">
        <f t="shared" ref="L224:L233" si="8">ROUND(F224*J224,0)</f>
        <v>1509604</v>
      </c>
      <c r="M224" s="1323">
        <v>0</v>
      </c>
      <c r="N224" s="789">
        <v>5</v>
      </c>
      <c r="O224" s="789" t="s">
        <v>898</v>
      </c>
      <c r="P224" s="65"/>
      <c r="Q224" s="65"/>
    </row>
    <row r="225" spans="1:17">
      <c r="A225" s="64">
        <v>6</v>
      </c>
      <c r="B225" s="53">
        <v>391</v>
      </c>
      <c r="C225" s="53" t="s">
        <v>901</v>
      </c>
      <c r="D225" s="737" t="s">
        <v>667</v>
      </c>
      <c r="E225" s="67"/>
      <c r="F225" s="68"/>
      <c r="G225" s="68"/>
      <c r="H225" s="68">
        <f>'SCH B-3'!K481</f>
        <v>0</v>
      </c>
      <c r="I225" s="65"/>
      <c r="J225" s="2324" t="s">
        <v>900</v>
      </c>
      <c r="K225" s="777" t="s">
        <v>510</v>
      </c>
      <c r="L225" s="68">
        <v>-16380</v>
      </c>
      <c r="M225" s="2310" t="s">
        <v>490</v>
      </c>
      <c r="N225" s="789" t="s">
        <v>490</v>
      </c>
      <c r="O225" s="789" t="s">
        <v>490</v>
      </c>
      <c r="P225" s="65"/>
      <c r="Q225" s="65"/>
    </row>
    <row r="226" spans="1:17">
      <c r="A226" s="64">
        <v>7</v>
      </c>
      <c r="B226" s="53">
        <v>392</v>
      </c>
      <c r="C226" s="53">
        <v>3920</v>
      </c>
      <c r="D226" s="737" t="s">
        <v>668</v>
      </c>
      <c r="E226" s="67"/>
      <c r="F226" s="68">
        <f>'SCH B-2.1'!I455</f>
        <v>1453958</v>
      </c>
      <c r="G226" s="68"/>
      <c r="H226" s="68">
        <f>'SCH B-3'!K482</f>
        <v>591035</v>
      </c>
      <c r="I226" s="65"/>
      <c r="J226" s="2324">
        <v>6.1100000000000002E-2</v>
      </c>
      <c r="K226" s="65"/>
      <c r="L226" s="68" t="s">
        <v>902</v>
      </c>
      <c r="M226" s="1323">
        <v>0</v>
      </c>
      <c r="N226" s="789">
        <v>12</v>
      </c>
      <c r="O226" s="789" t="s">
        <v>903</v>
      </c>
      <c r="P226" s="65"/>
      <c r="Q226" s="65"/>
    </row>
    <row r="227" spans="1:17">
      <c r="A227" s="64">
        <v>8</v>
      </c>
      <c r="B227" s="53">
        <v>392</v>
      </c>
      <c r="C227" s="53">
        <v>3921</v>
      </c>
      <c r="D227" s="737" t="s">
        <v>669</v>
      </c>
      <c r="E227" s="67"/>
      <c r="F227" s="68">
        <f>'SCH B-2.1'!I456</f>
        <v>427975</v>
      </c>
      <c r="G227" s="68"/>
      <c r="H227" s="68">
        <f>'SCH B-3'!K483</f>
        <v>230282</v>
      </c>
      <c r="I227" s="65"/>
      <c r="J227" s="2324">
        <v>1.37E-2</v>
      </c>
      <c r="K227" s="65"/>
      <c r="L227" s="68" t="s">
        <v>902</v>
      </c>
      <c r="M227" s="1323">
        <v>0.05</v>
      </c>
      <c r="N227" s="789">
        <v>20</v>
      </c>
      <c r="O227" s="789" t="s">
        <v>883</v>
      </c>
      <c r="P227" s="65"/>
      <c r="Q227" s="65"/>
    </row>
    <row r="228" spans="1:17">
      <c r="A228" s="64">
        <v>9</v>
      </c>
      <c r="B228" s="53">
        <v>394</v>
      </c>
      <c r="C228" s="53">
        <v>3940</v>
      </c>
      <c r="D228" s="737" t="s">
        <v>670</v>
      </c>
      <c r="E228" s="67"/>
      <c r="F228" s="68">
        <f>'SCH B-2.1'!I457</f>
        <v>6449067</v>
      </c>
      <c r="G228" s="68"/>
      <c r="H228" s="68">
        <f>'SCH B-3'!K484</f>
        <v>1673008</v>
      </c>
      <c r="I228" s="65"/>
      <c r="J228" s="2324">
        <v>0.04</v>
      </c>
      <c r="K228" s="783"/>
      <c r="L228" s="68">
        <f t="shared" si="8"/>
        <v>257963</v>
      </c>
      <c r="M228" s="1323">
        <v>0</v>
      </c>
      <c r="N228" s="789">
        <v>25</v>
      </c>
      <c r="O228" s="789" t="s">
        <v>898</v>
      </c>
      <c r="P228" s="65"/>
      <c r="Q228" s="65"/>
    </row>
    <row r="229" spans="1:17">
      <c r="A229" s="64">
        <v>10</v>
      </c>
      <c r="B229" s="53">
        <v>394</v>
      </c>
      <c r="C229" s="53" t="s">
        <v>904</v>
      </c>
      <c r="D229" s="737" t="s">
        <v>670</v>
      </c>
      <c r="E229" s="67"/>
      <c r="F229" s="68"/>
      <c r="G229" s="68"/>
      <c r="H229" s="68">
        <f>'SCH B-3'!K485</f>
        <v>0</v>
      </c>
      <c r="I229" s="65"/>
      <c r="J229" s="2324" t="s">
        <v>900</v>
      </c>
      <c r="K229" s="777" t="s">
        <v>510</v>
      </c>
      <c r="L229" s="68">
        <v>8000</v>
      </c>
      <c r="M229" s="2310" t="s">
        <v>490</v>
      </c>
      <c r="N229" s="789" t="s">
        <v>490</v>
      </c>
      <c r="O229" s="789" t="s">
        <v>490</v>
      </c>
      <c r="P229" s="65"/>
      <c r="Q229" s="65"/>
    </row>
    <row r="230" spans="1:17">
      <c r="A230" s="64">
        <v>11</v>
      </c>
      <c r="B230" s="53">
        <v>396</v>
      </c>
      <c r="C230" s="53">
        <v>3960</v>
      </c>
      <c r="D230" s="737" t="s">
        <v>671</v>
      </c>
      <c r="E230" s="67"/>
      <c r="F230" s="68">
        <f>'SCH B-2.1'!I458</f>
        <v>18515</v>
      </c>
      <c r="G230" s="68"/>
      <c r="H230" s="68">
        <f>'SCH B-3'!K486</f>
        <v>10883</v>
      </c>
      <c r="I230" s="65"/>
      <c r="J230" s="2324">
        <v>2.5899999999999999E-2</v>
      </c>
      <c r="K230" s="783"/>
      <c r="L230" s="68" t="s">
        <v>902</v>
      </c>
      <c r="M230" s="1323">
        <v>0</v>
      </c>
      <c r="N230" s="789">
        <v>15</v>
      </c>
      <c r="O230" s="789" t="s">
        <v>905</v>
      </c>
      <c r="P230" s="65"/>
      <c r="Q230" s="65"/>
    </row>
    <row r="231" spans="1:17">
      <c r="A231" s="64">
        <v>12</v>
      </c>
      <c r="B231" s="53">
        <v>397</v>
      </c>
      <c r="C231" s="53">
        <v>3970</v>
      </c>
      <c r="D231" s="737" t="s">
        <v>672</v>
      </c>
      <c r="E231" s="67"/>
      <c r="F231" s="68">
        <f>'SCH B-2.1'!I459</f>
        <v>33800485</v>
      </c>
      <c r="G231" s="68"/>
      <c r="H231" s="68">
        <f>'SCH B-3'!K487</f>
        <v>7666922</v>
      </c>
      <c r="I231" s="65"/>
      <c r="J231" s="2324">
        <v>6.6699999999999995E-2</v>
      </c>
      <c r="K231" s="65"/>
      <c r="L231" s="68">
        <f t="shared" si="8"/>
        <v>2254492</v>
      </c>
      <c r="M231" s="1323">
        <v>0</v>
      </c>
      <c r="N231" s="2325">
        <v>15</v>
      </c>
      <c r="O231" s="2325" t="s">
        <v>898</v>
      </c>
      <c r="P231" s="65"/>
      <c r="Q231" s="65"/>
    </row>
    <row r="232" spans="1:17">
      <c r="A232" s="64">
        <v>13</v>
      </c>
      <c r="B232" s="53" t="s">
        <v>906</v>
      </c>
      <c r="C232" s="53">
        <v>3970</v>
      </c>
      <c r="D232" s="737" t="s">
        <v>672</v>
      </c>
      <c r="E232" s="67"/>
      <c r="F232" s="68"/>
      <c r="G232" s="68"/>
      <c r="H232" s="68">
        <f>'SCH B-3'!K488</f>
        <v>0</v>
      </c>
      <c r="I232" s="65"/>
      <c r="J232" s="2324" t="s">
        <v>900</v>
      </c>
      <c r="K232" s="777" t="s">
        <v>510</v>
      </c>
      <c r="L232" s="68">
        <v>-5942</v>
      </c>
      <c r="M232" s="2310" t="s">
        <v>490</v>
      </c>
      <c r="N232" s="789" t="s">
        <v>490</v>
      </c>
      <c r="O232" s="789" t="s">
        <v>490</v>
      </c>
      <c r="P232" s="65"/>
      <c r="Q232" s="65"/>
    </row>
    <row r="233" spans="1:17">
      <c r="A233" s="64">
        <v>14</v>
      </c>
      <c r="B233" s="53"/>
      <c r="C233" s="53"/>
      <c r="D233" s="737" t="s">
        <v>617</v>
      </c>
      <c r="E233" s="67"/>
      <c r="F233" s="68">
        <f>'SCH B-2.1'!I460</f>
        <v>0</v>
      </c>
      <c r="G233" s="68"/>
      <c r="H233" s="68">
        <f>'SCH B-3'!K489</f>
        <v>0</v>
      </c>
      <c r="I233" s="65"/>
      <c r="J233" s="2324">
        <v>8.7099999999999997E-2</v>
      </c>
      <c r="K233" s="65"/>
      <c r="L233" s="68">
        <f t="shared" si="8"/>
        <v>0</v>
      </c>
      <c r="M233" s="65"/>
      <c r="N233" s="65"/>
      <c r="O233" s="65"/>
      <c r="P233" s="65"/>
      <c r="Q233" s="65"/>
    </row>
    <row r="234" spans="1:17">
      <c r="A234" s="64">
        <v>15</v>
      </c>
      <c r="B234" s="737"/>
      <c r="C234" s="64">
        <v>108</v>
      </c>
      <c r="D234" s="67" t="s">
        <v>796</v>
      </c>
      <c r="E234" s="65"/>
      <c r="F234" s="68">
        <f>'SCH B-2.1'!I461</f>
        <v>0</v>
      </c>
      <c r="G234" s="68"/>
      <c r="H234" s="68">
        <f>'SCH B-3'!K490</f>
        <v>11104</v>
      </c>
      <c r="I234" s="65"/>
      <c r="J234" s="65"/>
      <c r="K234" s="65"/>
      <c r="L234" s="68"/>
      <c r="M234" s="65"/>
      <c r="N234" s="65"/>
      <c r="O234" s="65"/>
      <c r="P234" s="65"/>
      <c r="Q234" s="65"/>
    </row>
    <row r="235" spans="1:17">
      <c r="A235" s="65"/>
      <c r="B235" s="737"/>
      <c r="C235" s="64"/>
      <c r="D235" s="67"/>
      <c r="E235" s="65"/>
      <c r="F235" s="65"/>
      <c r="G235" s="65"/>
      <c r="H235" s="65"/>
      <c r="I235" s="65"/>
      <c r="J235" s="65"/>
      <c r="K235" s="65"/>
      <c r="L235" s="68"/>
      <c r="M235" s="65"/>
      <c r="N235" s="65"/>
      <c r="O235" s="65"/>
      <c r="P235" s="65"/>
      <c r="Q235" s="65"/>
    </row>
    <row r="236" spans="1:17">
      <c r="A236" s="65"/>
      <c r="B236" s="65"/>
      <c r="C236" s="65"/>
      <c r="D236" s="65"/>
      <c r="E236" s="65"/>
      <c r="F236" s="1458"/>
      <c r="G236" s="1458"/>
      <c r="H236" s="1458"/>
      <c r="I236" s="1458"/>
      <c r="J236" s="1458"/>
      <c r="K236" s="1458"/>
      <c r="L236" s="1466"/>
      <c r="M236" s="1458"/>
      <c r="N236" s="1458"/>
      <c r="O236" s="1458"/>
      <c r="P236" s="65"/>
      <c r="Q236" s="65"/>
    </row>
    <row r="237" spans="1:17">
      <c r="A237" s="2099"/>
      <c r="B237" s="2099"/>
      <c r="C237" s="2099"/>
      <c r="D237" s="2099"/>
      <c r="E237" s="2099"/>
      <c r="F237" s="63"/>
      <c r="G237" s="63"/>
      <c r="H237" s="65"/>
      <c r="I237" s="65"/>
      <c r="J237" s="65"/>
      <c r="K237" s="65"/>
      <c r="L237" s="68"/>
      <c r="M237" s="65"/>
      <c r="N237" s="65"/>
      <c r="O237" s="65"/>
      <c r="P237" s="65"/>
      <c r="Q237" s="65"/>
    </row>
    <row r="238" spans="1:17">
      <c r="A238" s="64">
        <f>A234+1</f>
        <v>16</v>
      </c>
      <c r="B238" s="65"/>
      <c r="C238" s="65"/>
      <c r="D238" s="67" t="s">
        <v>907</v>
      </c>
      <c r="E238" s="67"/>
      <c r="F238" s="740">
        <f>SUM(F220:F237)</f>
        <v>107686520</v>
      </c>
      <c r="G238" s="787"/>
      <c r="H238" s="740">
        <f>SUM(H220:H237)</f>
        <v>36706764</v>
      </c>
      <c r="I238" s="65"/>
      <c r="J238" s="65"/>
      <c r="K238" s="65"/>
      <c r="L238" s="740">
        <f>SUM(L220:L237)</f>
        <v>9224570</v>
      </c>
      <c r="M238" s="65"/>
      <c r="N238" s="65"/>
      <c r="O238" s="65"/>
      <c r="P238" s="65"/>
      <c r="Q238" s="65"/>
    </row>
    <row r="239" spans="1:17">
      <c r="A239" s="65"/>
      <c r="B239" s="65"/>
      <c r="C239" s="65"/>
      <c r="D239" s="65"/>
      <c r="E239" s="65"/>
      <c r="F239" s="1466"/>
      <c r="G239" s="1466"/>
      <c r="H239" s="1466"/>
      <c r="I239" s="1458"/>
      <c r="J239" s="1458"/>
      <c r="K239" s="1458"/>
      <c r="L239" s="1466"/>
      <c r="M239" s="1458"/>
      <c r="N239" s="1458"/>
      <c r="O239" s="1458"/>
      <c r="P239" s="65"/>
      <c r="Q239" s="65"/>
    </row>
    <row r="240" spans="1:17">
      <c r="A240" s="2099"/>
      <c r="B240" s="2099"/>
      <c r="C240" s="2099"/>
      <c r="D240" s="2099"/>
      <c r="E240" s="2099"/>
      <c r="F240" s="69"/>
      <c r="G240" s="69"/>
      <c r="H240" s="68"/>
      <c r="I240" s="65"/>
      <c r="J240" s="65"/>
      <c r="K240" s="65"/>
      <c r="L240" s="68"/>
      <c r="M240" s="65"/>
      <c r="N240" s="65"/>
      <c r="O240" s="65"/>
      <c r="P240" s="65"/>
      <c r="Q240" s="65"/>
    </row>
    <row r="241" spans="1:17">
      <c r="A241" s="64">
        <v>17</v>
      </c>
      <c r="B241" s="65"/>
      <c r="C241" s="65"/>
      <c r="D241" s="67" t="s">
        <v>908</v>
      </c>
      <c r="E241" s="67"/>
      <c r="F241" s="740">
        <f>F238+F189+F131+F84+F38</f>
        <v>2394043082</v>
      </c>
      <c r="G241" s="787"/>
      <c r="H241" s="740">
        <f>H238+H189+H131+H84+H38</f>
        <v>928478728</v>
      </c>
      <c r="I241" s="65"/>
      <c r="J241" s="65"/>
      <c r="K241" s="65"/>
      <c r="L241" s="740">
        <f>L238+L189+L131+L84+L38</f>
        <v>85852719</v>
      </c>
      <c r="M241" s="65"/>
      <c r="N241" s="65"/>
      <c r="O241" s="65"/>
      <c r="P241" s="65"/>
      <c r="Q241" s="65"/>
    </row>
    <row r="242" spans="1:17">
      <c r="A242" s="65"/>
      <c r="B242" s="65"/>
      <c r="C242" s="65"/>
      <c r="D242" s="65"/>
      <c r="E242" s="65"/>
      <c r="F242" s="1458"/>
      <c r="G242" s="1458"/>
      <c r="H242" s="1458"/>
      <c r="I242" s="1458"/>
      <c r="J242" s="1458"/>
      <c r="K242" s="1458"/>
      <c r="L242" s="1458"/>
      <c r="M242" s="1458"/>
      <c r="N242" s="1458"/>
      <c r="O242" s="1458"/>
      <c r="P242" s="65"/>
      <c r="Q242" s="65"/>
    </row>
    <row r="243" spans="1:17">
      <c r="A243" s="2099"/>
      <c r="B243" s="2099"/>
      <c r="C243" s="2099"/>
      <c r="D243" s="2099"/>
      <c r="E243" s="2099"/>
      <c r="F243" s="63"/>
      <c r="G243" s="63"/>
      <c r="H243" s="65"/>
      <c r="I243" s="65"/>
      <c r="J243" s="65"/>
      <c r="K243" s="65"/>
      <c r="L243" s="65"/>
      <c r="M243" s="65"/>
      <c r="N243" s="65"/>
      <c r="O243" s="65"/>
      <c r="P243" s="65"/>
      <c r="Q243" s="65"/>
    </row>
    <row r="244" spans="1:17">
      <c r="A244" s="783" t="s">
        <v>887</v>
      </c>
      <c r="B244" s="65"/>
      <c r="C244" s="65"/>
      <c r="D244" s="65"/>
      <c r="E244" s="65"/>
      <c r="F244" s="65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</row>
    <row r="245" spans="1:17">
      <c r="A245" s="777" t="s">
        <v>909</v>
      </c>
      <c r="B245" s="65"/>
      <c r="C245" s="65"/>
      <c r="D245" s="65"/>
      <c r="E245" s="65"/>
      <c r="F245" s="65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</row>
    <row r="246" spans="1:17">
      <c r="A246" s="783"/>
      <c r="B246" s="65"/>
      <c r="C246" s="65"/>
      <c r="D246" s="65"/>
      <c r="E246" s="65"/>
      <c r="F246" s="65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</row>
    <row r="247" spans="1:17">
      <c r="A247" s="65"/>
      <c r="B247" s="65"/>
      <c r="C247" s="65"/>
      <c r="D247" s="65"/>
      <c r="E247" s="65"/>
      <c r="F247" s="65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</row>
    <row r="248" spans="1:17">
      <c r="A248" s="785" t="str">
        <f t="shared" ref="A248:A253" si="9">A1</f>
        <v>DUKE ENERGY KENTUCKY, INC.</v>
      </c>
      <c r="B248" s="785"/>
      <c r="C248" s="785"/>
      <c r="D248" s="785"/>
      <c r="E248" s="785"/>
      <c r="F248" s="785"/>
      <c r="G248" s="785"/>
      <c r="H248" s="785"/>
      <c r="I248" s="785"/>
      <c r="J248" s="785"/>
      <c r="K248" s="785"/>
      <c r="L248" s="785"/>
      <c r="M248" s="785"/>
      <c r="N248" s="785"/>
      <c r="O248" s="785"/>
      <c r="P248" s="65"/>
      <c r="Q248" s="65"/>
    </row>
    <row r="249" spans="1:17">
      <c r="A249" s="785" t="str">
        <f t="shared" si="9"/>
        <v>CASE NO. 2024-00354</v>
      </c>
      <c r="B249" s="785"/>
      <c r="C249" s="785"/>
      <c r="D249" s="785"/>
      <c r="E249" s="785"/>
      <c r="F249" s="785"/>
      <c r="G249" s="785"/>
      <c r="H249" s="785"/>
      <c r="I249" s="785"/>
      <c r="J249" s="785"/>
      <c r="K249" s="785"/>
      <c r="L249" s="785"/>
      <c r="M249" s="785"/>
      <c r="N249" s="785"/>
      <c r="O249" s="785"/>
      <c r="P249" s="65"/>
      <c r="Q249" s="65"/>
    </row>
    <row r="250" spans="1:17">
      <c r="A250" s="785" t="str">
        <f t="shared" si="9"/>
        <v>DEPRECIATION AND AMORTIZATION ACCRUAL RATES AND</v>
      </c>
      <c r="B250" s="785"/>
      <c r="C250" s="785"/>
      <c r="D250" s="785"/>
      <c r="E250" s="785"/>
      <c r="F250" s="785"/>
      <c r="G250" s="785"/>
      <c r="H250" s="785"/>
      <c r="I250" s="785"/>
      <c r="J250" s="785"/>
      <c r="K250" s="785"/>
      <c r="L250" s="785"/>
      <c r="M250" s="785"/>
      <c r="N250" s="785"/>
      <c r="O250" s="785"/>
      <c r="P250" s="65"/>
      <c r="Q250" s="65"/>
    </row>
    <row r="251" spans="1:17">
      <c r="A251" s="785" t="str">
        <f t="shared" si="9"/>
        <v>JURISDICTIONAL ACCUMULATED BALANCES BY ACCOUNTS,</v>
      </c>
      <c r="B251" s="785"/>
      <c r="C251" s="785"/>
      <c r="D251" s="785"/>
      <c r="E251" s="785"/>
      <c r="F251" s="785"/>
      <c r="G251" s="785"/>
      <c r="H251" s="785"/>
      <c r="I251" s="785"/>
      <c r="J251" s="785"/>
      <c r="K251" s="785"/>
      <c r="L251" s="785"/>
      <c r="M251" s="785"/>
      <c r="N251" s="785"/>
      <c r="O251" s="785"/>
      <c r="P251" s="65"/>
      <c r="Q251" s="65"/>
    </row>
    <row r="252" spans="1:17">
      <c r="A252" s="785" t="str">
        <f t="shared" si="9"/>
        <v>FUNCTIONAL CLASS OR MAJOR PROPERTY GROUP</v>
      </c>
      <c r="B252" s="785"/>
      <c r="C252" s="785"/>
      <c r="D252" s="785"/>
      <c r="E252" s="785"/>
      <c r="F252" s="785"/>
      <c r="G252" s="785"/>
      <c r="H252" s="785"/>
      <c r="I252" s="785"/>
      <c r="J252" s="785"/>
      <c r="K252" s="785"/>
      <c r="L252" s="785"/>
      <c r="M252" s="785"/>
      <c r="N252" s="785"/>
      <c r="O252" s="785"/>
      <c r="P252" s="65"/>
      <c r="Q252" s="65"/>
    </row>
    <row r="253" spans="1:17">
      <c r="A253" s="785" t="str">
        <f t="shared" si="9"/>
        <v>THIRTEEN MONTH AVERAGE AS OF JUNE 30, 2026</v>
      </c>
      <c r="B253" s="785"/>
      <c r="C253" s="785"/>
      <c r="D253" s="785"/>
      <c r="E253" s="785"/>
      <c r="F253" s="785"/>
      <c r="G253" s="785"/>
      <c r="H253" s="785"/>
      <c r="I253" s="785"/>
      <c r="J253" s="785"/>
      <c r="K253" s="785"/>
      <c r="L253" s="785"/>
      <c r="M253" s="785"/>
      <c r="N253" s="785"/>
      <c r="O253" s="785"/>
      <c r="P253" s="65"/>
      <c r="Q253" s="65"/>
    </row>
    <row r="254" spans="1:17">
      <c r="A254" s="785"/>
      <c r="B254" s="785"/>
      <c r="C254" s="785"/>
      <c r="D254" s="785"/>
      <c r="E254" s="785"/>
      <c r="F254" s="785"/>
      <c r="G254" s="785"/>
      <c r="H254" s="65"/>
      <c r="I254" s="65"/>
      <c r="J254" s="65"/>
      <c r="K254" s="65"/>
      <c r="L254" s="65"/>
      <c r="M254" s="65"/>
      <c r="N254" s="65"/>
      <c r="O254" s="65"/>
      <c r="P254" s="65"/>
      <c r="Q254" s="65"/>
    </row>
    <row r="255" spans="1:17">
      <c r="A255" s="785" t="s">
        <v>675</v>
      </c>
      <c r="B255" s="785"/>
      <c r="C255" s="785"/>
      <c r="D255" s="785"/>
      <c r="E255" s="785"/>
      <c r="F255" s="785"/>
      <c r="G255" s="785"/>
      <c r="H255" s="785"/>
      <c r="I255" s="785"/>
      <c r="J255" s="785"/>
      <c r="K255" s="785"/>
      <c r="L255" s="785"/>
      <c r="M255" s="785"/>
      <c r="N255" s="785"/>
      <c r="O255" s="785"/>
      <c r="P255" s="65"/>
      <c r="Q255" s="65"/>
    </row>
    <row r="256" spans="1:17">
      <c r="A256" s="786" t="s">
        <v>529</v>
      </c>
      <c r="B256" s="786"/>
      <c r="C256" s="786"/>
      <c r="D256" s="786"/>
      <c r="E256" s="786"/>
      <c r="F256" s="786"/>
      <c r="G256" s="786"/>
      <c r="H256" s="786"/>
      <c r="I256" s="786"/>
      <c r="J256" s="786"/>
      <c r="K256" s="786"/>
      <c r="L256" s="786"/>
      <c r="M256" s="786"/>
      <c r="N256" s="786"/>
      <c r="O256" s="786"/>
      <c r="P256" s="65"/>
      <c r="Q256" s="65"/>
    </row>
    <row r="257" spans="1:17">
      <c r="A257" s="65"/>
      <c r="B257" s="65"/>
      <c r="C257" s="65"/>
      <c r="D257" s="65"/>
      <c r="E257" s="65"/>
      <c r="F257" s="65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</row>
    <row r="258" spans="1:17">
      <c r="A258" s="67" t="str">
        <f>A12</f>
        <v>DATA:  BASE PERIOD  "X" FORECASTED PERIOD</v>
      </c>
      <c r="B258" s="65"/>
      <c r="C258" s="65"/>
      <c r="D258" s="65"/>
      <c r="E258" s="65"/>
      <c r="F258" s="65"/>
      <c r="G258" s="65"/>
      <c r="H258" s="65"/>
      <c r="I258" s="65"/>
      <c r="J258" s="65"/>
      <c r="K258" s="65"/>
      <c r="L258" s="65"/>
      <c r="M258" s="787" t="str">
        <f>M12</f>
        <v>SCHEDULE B-3.2</v>
      </c>
      <c r="N258" s="65"/>
      <c r="O258" s="65"/>
      <c r="P258" s="65"/>
      <c r="Q258" s="65"/>
    </row>
    <row r="259" spans="1:17">
      <c r="A259" s="67" t="str">
        <f>A13</f>
        <v xml:space="preserve">TYPE OF FILING:  "X" ORIGINAL   UPDATED    REVISED  </v>
      </c>
      <c r="B259" s="65"/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787" t="s">
        <v>910</v>
      </c>
      <c r="N259" s="65"/>
      <c r="O259" s="65"/>
      <c r="P259" s="65"/>
      <c r="Q259" s="65"/>
    </row>
    <row r="260" spans="1:17">
      <c r="A260" s="67" t="str">
        <f>A14</f>
        <v>WORK PAPER REFERENCE NOS.: SCHEDULE B-2.1, SCHEDULE B-3</v>
      </c>
      <c r="B260" s="65"/>
      <c r="C260" s="65"/>
      <c r="D260" s="65"/>
      <c r="E260" s="65"/>
      <c r="F260" s="65"/>
      <c r="G260" s="65"/>
      <c r="H260" s="65"/>
      <c r="I260" s="65"/>
      <c r="J260" s="65"/>
      <c r="K260" s="65"/>
      <c r="L260" s="65"/>
      <c r="M260" s="787" t="str">
        <f>M14</f>
        <v>WITNESS RESPONSIBLE:</v>
      </c>
      <c r="N260" s="65"/>
      <c r="O260" s="65"/>
      <c r="P260" s="65"/>
      <c r="Q260" s="65"/>
    </row>
    <row r="261" spans="1:17">
      <c r="A261" s="65"/>
      <c r="B261" s="65"/>
      <c r="C261" s="65"/>
      <c r="D261" s="65"/>
      <c r="E261" s="65"/>
      <c r="F261" s="65"/>
      <c r="G261" s="65"/>
      <c r="H261" s="65"/>
      <c r="I261" s="65"/>
      <c r="J261" s="65"/>
      <c r="K261" s="65"/>
      <c r="L261" s="65"/>
      <c r="M261" s="68" t="str">
        <f>M15</f>
        <v>G. S. CARPENTER / S. S. MITCHELL</v>
      </c>
      <c r="N261" s="65"/>
      <c r="O261" s="65"/>
      <c r="P261" s="65"/>
      <c r="Q261" s="65"/>
    </row>
    <row r="262" spans="1:17">
      <c r="A262" s="65"/>
      <c r="B262" s="65"/>
      <c r="C262" s="65"/>
      <c r="D262" s="65"/>
      <c r="E262" s="65"/>
      <c r="F262" s="65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</row>
    <row r="263" spans="1:17">
      <c r="A263" s="65"/>
      <c r="B263" s="65"/>
      <c r="C263" s="65"/>
      <c r="D263" s="65"/>
      <c r="E263" s="65"/>
      <c r="F263" s="65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</row>
    <row r="264" spans="1:17">
      <c r="A264" s="65"/>
      <c r="B264" s="65"/>
      <c r="C264" s="65"/>
      <c r="D264" s="65"/>
      <c r="E264" s="65"/>
      <c r="F264" s="1458"/>
      <c r="G264" s="1458"/>
      <c r="H264" s="1458"/>
      <c r="I264" s="1458"/>
      <c r="J264" s="1458"/>
      <c r="K264" s="1458"/>
      <c r="L264" s="1458"/>
      <c r="M264" s="1458"/>
      <c r="N264" s="1458"/>
      <c r="O264" s="1458"/>
      <c r="P264" s="65"/>
      <c r="Q264" s="65"/>
    </row>
    <row r="265" spans="1:17">
      <c r="A265" s="2099"/>
      <c r="B265" s="2107"/>
      <c r="C265" s="2106"/>
      <c r="D265" s="2099"/>
      <c r="E265" s="2099"/>
      <c r="F265" s="66" t="s">
        <v>835</v>
      </c>
      <c r="G265" s="66"/>
      <c r="H265" s="66"/>
      <c r="I265" s="65"/>
      <c r="J265" s="65"/>
      <c r="K265" s="65"/>
      <c r="L265" s="65"/>
      <c r="M265" s="65"/>
      <c r="N265" s="65"/>
      <c r="O265" s="65"/>
      <c r="P265" s="65"/>
      <c r="Q265" s="65"/>
    </row>
    <row r="266" spans="1:17">
      <c r="A266" s="63"/>
      <c r="B266" s="62" t="s">
        <v>257</v>
      </c>
      <c r="C266" s="62" t="s">
        <v>605</v>
      </c>
      <c r="D266" s="64" t="s">
        <v>607</v>
      </c>
      <c r="E266" s="64"/>
      <c r="F266" s="2414" t="s">
        <v>836</v>
      </c>
      <c r="G266" s="2414"/>
      <c r="H266" s="2414"/>
      <c r="I266" s="65"/>
      <c r="J266" s="64" t="s">
        <v>837</v>
      </c>
      <c r="K266" s="65"/>
      <c r="L266" s="64" t="s">
        <v>838</v>
      </c>
      <c r="M266" s="65"/>
      <c r="N266" s="64" t="s">
        <v>592</v>
      </c>
      <c r="O266" s="65"/>
      <c r="P266" s="65"/>
      <c r="Q266" s="65"/>
    </row>
    <row r="267" spans="1:17">
      <c r="A267" s="64" t="s">
        <v>573</v>
      </c>
      <c r="B267" s="64" t="s">
        <v>606</v>
      </c>
      <c r="C267" s="64" t="s">
        <v>606</v>
      </c>
      <c r="D267" s="64" t="s">
        <v>839</v>
      </c>
      <c r="E267" s="64"/>
      <c r="F267" s="64" t="s">
        <v>840</v>
      </c>
      <c r="G267" s="64"/>
      <c r="H267" s="64" t="s">
        <v>774</v>
      </c>
      <c r="I267" s="65"/>
      <c r="J267" s="64" t="s">
        <v>841</v>
      </c>
      <c r="K267" s="65"/>
      <c r="L267" s="64" t="s">
        <v>842</v>
      </c>
      <c r="M267" s="782" t="s">
        <v>843</v>
      </c>
      <c r="N267" s="64" t="s">
        <v>844</v>
      </c>
      <c r="O267" s="64" t="s">
        <v>845</v>
      </c>
      <c r="P267" s="65"/>
      <c r="Q267" s="65"/>
    </row>
    <row r="268" spans="1:17">
      <c r="A268" s="64" t="s">
        <v>576</v>
      </c>
      <c r="B268" s="64" t="s">
        <v>576</v>
      </c>
      <c r="C268" s="64" t="s">
        <v>576</v>
      </c>
      <c r="D268" s="64" t="s">
        <v>846</v>
      </c>
      <c r="E268" s="64"/>
      <c r="F268" s="64" t="s">
        <v>847</v>
      </c>
      <c r="G268" s="64"/>
      <c r="H268" s="64" t="s">
        <v>556</v>
      </c>
      <c r="I268" s="65"/>
      <c r="J268" s="64" t="s">
        <v>848</v>
      </c>
      <c r="K268" s="65"/>
      <c r="L268" s="64" t="s">
        <v>849</v>
      </c>
      <c r="M268" s="64" t="s">
        <v>850</v>
      </c>
      <c r="N268" s="64" t="s">
        <v>851</v>
      </c>
      <c r="O268" s="64" t="s">
        <v>852</v>
      </c>
      <c r="P268" s="65"/>
      <c r="Q268" s="65"/>
    </row>
    <row r="269" spans="1:17">
      <c r="A269" s="1468" t="s">
        <v>853</v>
      </c>
      <c r="B269" s="1468" t="s">
        <v>854</v>
      </c>
      <c r="C269" s="1468" t="s">
        <v>855</v>
      </c>
      <c r="D269" s="1468" t="s">
        <v>856</v>
      </c>
      <c r="E269" s="1468"/>
      <c r="F269" s="1468" t="s">
        <v>857</v>
      </c>
      <c r="G269" s="1468"/>
      <c r="H269" s="1468" t="s">
        <v>858</v>
      </c>
      <c r="I269" s="1458"/>
      <c r="J269" s="1468" t="s">
        <v>859</v>
      </c>
      <c r="K269" s="1468"/>
      <c r="L269" s="1468" t="s">
        <v>860</v>
      </c>
      <c r="M269" s="1468" t="s">
        <v>861</v>
      </c>
      <c r="N269" s="1468" t="s">
        <v>862</v>
      </c>
      <c r="O269" s="1468" t="s">
        <v>863</v>
      </c>
      <c r="P269" s="65"/>
      <c r="Q269" s="65"/>
    </row>
    <row r="270" spans="1:17">
      <c r="A270" s="782"/>
      <c r="B270" s="782"/>
      <c r="C270" s="782"/>
      <c r="D270" s="782"/>
      <c r="E270" s="782"/>
      <c r="F270" s="64" t="s">
        <v>580</v>
      </c>
      <c r="G270" s="782"/>
      <c r="H270" s="64" t="s">
        <v>580</v>
      </c>
      <c r="I270" s="65"/>
      <c r="J270" s="782"/>
      <c r="K270" s="782"/>
      <c r="L270" s="64" t="s">
        <v>580</v>
      </c>
      <c r="M270" s="782"/>
      <c r="N270" s="782"/>
      <c r="O270" s="782"/>
      <c r="P270" s="65"/>
      <c r="Q270" s="65"/>
    </row>
    <row r="271" spans="1:17">
      <c r="A271" s="65"/>
      <c r="B271" s="65"/>
      <c r="C271" s="65"/>
      <c r="D271" s="65"/>
      <c r="E271" s="65"/>
      <c r="F271" s="65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</row>
    <row r="272" spans="1:17">
      <c r="A272" s="64" t="s">
        <v>621</v>
      </c>
      <c r="B272" s="64"/>
      <c r="C272" s="53">
        <v>1030</v>
      </c>
      <c r="D272" s="737" t="s">
        <v>665</v>
      </c>
      <c r="E272" s="67"/>
      <c r="F272" s="740">
        <f>'SCH B-2.1'!I493</f>
        <v>22442698</v>
      </c>
      <c r="G272" s="67"/>
      <c r="H272" s="68">
        <f>'SCH B-3'!K523</f>
        <v>22397810</v>
      </c>
      <c r="I272" s="65"/>
      <c r="J272" s="2310" t="s">
        <v>405</v>
      </c>
      <c r="K272" s="2326" t="s">
        <v>911</v>
      </c>
      <c r="L272" s="68">
        <v>0</v>
      </c>
      <c r="M272" s="646" t="s">
        <v>912</v>
      </c>
      <c r="N272" s="29"/>
      <c r="O272" s="29"/>
      <c r="P272" s="65"/>
      <c r="Q272" s="65"/>
    </row>
    <row r="273" spans="1:17">
      <c r="A273" s="64">
        <v>2</v>
      </c>
      <c r="B273" s="64"/>
      <c r="C273" s="53">
        <v>1890</v>
      </c>
      <c r="D273" s="737" t="s">
        <v>608</v>
      </c>
      <c r="E273" s="67"/>
      <c r="F273" s="740">
        <f>'SCH B-2.1'!I494</f>
        <v>1041678</v>
      </c>
      <c r="G273" s="67"/>
      <c r="H273" s="68">
        <f>'SCH B-3'!K524</f>
        <v>0</v>
      </c>
      <c r="I273" s="65"/>
      <c r="J273" s="2310">
        <v>0</v>
      </c>
      <c r="K273" s="65"/>
      <c r="L273" s="68">
        <f t="shared" ref="L273:L286" si="10">ROUND(F273*J273,0)</f>
        <v>0</v>
      </c>
      <c r="M273" s="646" t="s">
        <v>864</v>
      </c>
      <c r="N273" s="29"/>
      <c r="O273" s="29"/>
      <c r="P273" s="65"/>
      <c r="Q273" s="65"/>
    </row>
    <row r="274" spans="1:17">
      <c r="A274" s="64">
        <v>3</v>
      </c>
      <c r="B274" s="64"/>
      <c r="C274" s="53">
        <v>1900</v>
      </c>
      <c r="D274" s="737" t="s">
        <v>609</v>
      </c>
      <c r="E274" s="67"/>
      <c r="F274" s="740">
        <f>'SCH B-2.1'!I495</f>
        <v>21955911</v>
      </c>
      <c r="G274" s="67"/>
      <c r="H274" s="68">
        <f>'SCH B-3'!K525</f>
        <v>3418098</v>
      </c>
      <c r="I274" s="65"/>
      <c r="J274" s="2310">
        <v>4.1700000000000001E-2</v>
      </c>
      <c r="K274" s="2327" t="s">
        <v>510</v>
      </c>
      <c r="L274" s="2314">
        <f>ROUND(F274*J274,0)</f>
        <v>915561</v>
      </c>
      <c r="M274" s="2328">
        <v>-0.1</v>
      </c>
      <c r="N274" s="646" t="s">
        <v>405</v>
      </c>
      <c r="O274" s="646" t="s">
        <v>405</v>
      </c>
      <c r="P274" s="65"/>
      <c r="Q274" s="65"/>
    </row>
    <row r="275" spans="1:17">
      <c r="A275" s="64">
        <v>4</v>
      </c>
      <c r="B275" s="64"/>
      <c r="C275" s="53">
        <v>1910</v>
      </c>
      <c r="D275" s="737" t="s">
        <v>666</v>
      </c>
      <c r="E275" s="67"/>
      <c r="F275" s="740">
        <f>'SCH B-2.1'!I496</f>
        <v>1560369</v>
      </c>
      <c r="G275" s="67"/>
      <c r="H275" s="68">
        <f>'SCH B-3'!K526</f>
        <v>489792</v>
      </c>
      <c r="I275" s="65"/>
      <c r="J275" s="2310">
        <v>0.05</v>
      </c>
      <c r="K275" s="65"/>
      <c r="L275" s="68">
        <f t="shared" si="10"/>
        <v>78018</v>
      </c>
      <c r="M275" s="2328">
        <v>0</v>
      </c>
      <c r="N275" s="2329">
        <v>20</v>
      </c>
      <c r="O275" s="2329" t="s">
        <v>898</v>
      </c>
      <c r="P275" s="65"/>
      <c r="Q275" s="65"/>
    </row>
    <row r="276" spans="1:17">
      <c r="A276" s="64">
        <v>5</v>
      </c>
      <c r="B276" s="64"/>
      <c r="C276" s="53" t="s">
        <v>913</v>
      </c>
      <c r="D276" s="737" t="s">
        <v>666</v>
      </c>
      <c r="E276" s="67"/>
      <c r="G276" s="67"/>
      <c r="H276" s="68">
        <f>'SCH B-3'!K527</f>
        <v>0</v>
      </c>
      <c r="I276" s="65"/>
      <c r="J276" s="2310" t="s">
        <v>900</v>
      </c>
      <c r="K276" s="777" t="s">
        <v>519</v>
      </c>
      <c r="L276" s="68">
        <v>-12200</v>
      </c>
      <c r="M276" s="1323" t="s">
        <v>490</v>
      </c>
      <c r="N276" s="789" t="s">
        <v>490</v>
      </c>
      <c r="O276" s="789" t="s">
        <v>490</v>
      </c>
      <c r="P276" s="65"/>
      <c r="Q276" s="65"/>
    </row>
    <row r="277" spans="1:17">
      <c r="A277" s="64">
        <v>6</v>
      </c>
      <c r="B277" s="64"/>
      <c r="C277" s="53">
        <v>1911</v>
      </c>
      <c r="D277" s="737" t="s">
        <v>677</v>
      </c>
      <c r="E277" s="67"/>
      <c r="F277" s="740">
        <f>'SCH B-2.1'!I497</f>
        <v>-8282</v>
      </c>
      <c r="G277" s="67"/>
      <c r="H277" s="68">
        <f>'SCH B-3'!K528</f>
        <v>-13946</v>
      </c>
      <c r="I277" s="65"/>
      <c r="J277" s="2316">
        <v>0.2</v>
      </c>
      <c r="K277" s="65"/>
      <c r="L277" s="68">
        <f t="shared" si="10"/>
        <v>-1656</v>
      </c>
      <c r="M277" s="2310">
        <v>0</v>
      </c>
      <c r="N277" s="789">
        <v>5</v>
      </c>
      <c r="O277" s="789" t="s">
        <v>898</v>
      </c>
      <c r="P277" s="65"/>
      <c r="Q277" s="65"/>
    </row>
    <row r="278" spans="1:17">
      <c r="A278" s="64">
        <v>7</v>
      </c>
      <c r="B278" s="64"/>
      <c r="C278" s="53" t="s">
        <v>914</v>
      </c>
      <c r="D278" s="737" t="s">
        <v>677</v>
      </c>
      <c r="E278" s="67"/>
      <c r="G278" s="67"/>
      <c r="H278" s="68">
        <f>'SCH B-3'!K529</f>
        <v>0</v>
      </c>
      <c r="I278" s="65"/>
      <c r="J278" s="2310" t="s">
        <v>900</v>
      </c>
      <c r="K278" s="777" t="s">
        <v>519</v>
      </c>
      <c r="L278" s="68">
        <v>6208</v>
      </c>
      <c r="M278" s="1323" t="s">
        <v>490</v>
      </c>
      <c r="N278" s="789" t="s">
        <v>490</v>
      </c>
      <c r="O278" s="789" t="s">
        <v>490</v>
      </c>
      <c r="P278" s="65"/>
      <c r="Q278" s="65"/>
    </row>
    <row r="279" spans="1:17">
      <c r="A279" s="64">
        <v>8</v>
      </c>
      <c r="B279" s="64"/>
      <c r="C279" s="53">
        <v>1940</v>
      </c>
      <c r="D279" s="737" t="s">
        <v>670</v>
      </c>
      <c r="E279" s="67"/>
      <c r="F279" s="740">
        <f>'SCH B-2.1'!I498</f>
        <v>107198</v>
      </c>
      <c r="G279" s="67"/>
      <c r="H279" s="68">
        <f>'SCH B-3'!K530</f>
        <v>75673</v>
      </c>
      <c r="I279" s="65"/>
      <c r="J279" s="2316">
        <v>0.04</v>
      </c>
      <c r="K279" s="65"/>
      <c r="L279" s="68">
        <f t="shared" si="10"/>
        <v>4288</v>
      </c>
      <c r="M279" s="2310">
        <v>0</v>
      </c>
      <c r="N279" s="789">
        <v>25</v>
      </c>
      <c r="O279" s="789" t="s">
        <v>898</v>
      </c>
      <c r="P279" s="65"/>
      <c r="Q279" s="65"/>
    </row>
    <row r="280" spans="1:17">
      <c r="A280" s="64">
        <v>9</v>
      </c>
      <c r="B280" s="64"/>
      <c r="C280" s="53" t="s">
        <v>915</v>
      </c>
      <c r="D280" s="737" t="s">
        <v>670</v>
      </c>
      <c r="E280" s="67"/>
      <c r="G280" s="67"/>
      <c r="H280" s="68">
        <f>'SCH B-3'!K531</f>
        <v>0</v>
      </c>
      <c r="I280" s="65"/>
      <c r="J280" s="2310" t="s">
        <v>900</v>
      </c>
      <c r="K280" s="777" t="s">
        <v>519</v>
      </c>
      <c r="L280" s="68">
        <v>-4480</v>
      </c>
      <c r="M280" s="1323" t="s">
        <v>490</v>
      </c>
      <c r="N280" s="789" t="s">
        <v>490</v>
      </c>
      <c r="O280" s="789" t="s">
        <v>490</v>
      </c>
      <c r="P280" s="65"/>
      <c r="Q280" s="65"/>
    </row>
    <row r="281" spans="1:17">
      <c r="A281" s="64">
        <v>10</v>
      </c>
      <c r="B281" s="64"/>
      <c r="C281" s="53">
        <v>1970</v>
      </c>
      <c r="D281" s="737" t="s">
        <v>672</v>
      </c>
      <c r="E281" s="67"/>
      <c r="F281" s="740">
        <f>'SCH B-2.1'!I499</f>
        <v>3872062</v>
      </c>
      <c r="G281" s="67"/>
      <c r="H281" s="68">
        <f>'SCH B-3'!K532</f>
        <v>509492</v>
      </c>
      <c r="I281" s="65"/>
      <c r="J281" s="2316">
        <v>6.6699999999999995E-2</v>
      </c>
      <c r="K281" s="65"/>
      <c r="L281" s="68">
        <f t="shared" si="10"/>
        <v>258267</v>
      </c>
      <c r="M281" s="2310">
        <v>0</v>
      </c>
      <c r="N281" s="789">
        <v>15</v>
      </c>
      <c r="O281" s="789" t="s">
        <v>898</v>
      </c>
      <c r="P281" s="65"/>
      <c r="Q281" s="65"/>
    </row>
    <row r="282" spans="1:17">
      <c r="A282" s="64">
        <v>11</v>
      </c>
      <c r="B282" s="64"/>
      <c r="C282" s="53" t="s">
        <v>916</v>
      </c>
      <c r="D282" s="737" t="s">
        <v>672</v>
      </c>
      <c r="E282" s="67"/>
      <c r="G282" s="67"/>
      <c r="H282" s="68">
        <f>'SCH B-3'!K533</f>
        <v>0</v>
      </c>
      <c r="I282" s="65"/>
      <c r="J282" s="2310" t="s">
        <v>900</v>
      </c>
      <c r="K282" s="777" t="s">
        <v>519</v>
      </c>
      <c r="L282" s="68">
        <v>-699420</v>
      </c>
      <c r="M282" s="1323" t="s">
        <v>490</v>
      </c>
      <c r="N282" s="789" t="s">
        <v>490</v>
      </c>
      <c r="O282" s="789" t="s">
        <v>490</v>
      </c>
      <c r="P282" s="65"/>
      <c r="Q282" s="65"/>
    </row>
    <row r="283" spans="1:17">
      <c r="A283" s="64">
        <v>12</v>
      </c>
      <c r="B283" s="64"/>
      <c r="C283" s="53">
        <v>1980</v>
      </c>
      <c r="D283" s="737" t="s">
        <v>678</v>
      </c>
      <c r="E283" s="67"/>
      <c r="F283" s="740">
        <f>'SCH B-2.1'!I500</f>
        <v>95301</v>
      </c>
      <c r="G283" s="67"/>
      <c r="H283" s="68">
        <f>'SCH B-3'!K534</f>
        <v>58045</v>
      </c>
      <c r="I283" s="65"/>
      <c r="J283" s="2316">
        <v>6.6699999999999995E-2</v>
      </c>
      <c r="K283" s="783"/>
      <c r="L283" s="68">
        <f t="shared" si="10"/>
        <v>6357</v>
      </c>
      <c r="M283" s="2310">
        <v>0</v>
      </c>
      <c r="N283" s="789">
        <v>15</v>
      </c>
      <c r="O283" s="789" t="s">
        <v>898</v>
      </c>
      <c r="P283" s="65"/>
      <c r="Q283" s="65"/>
    </row>
    <row r="284" spans="1:17">
      <c r="A284" s="64">
        <v>13</v>
      </c>
      <c r="B284" s="64"/>
      <c r="C284" s="53" t="s">
        <v>917</v>
      </c>
      <c r="D284" s="737" t="s">
        <v>678</v>
      </c>
      <c r="E284" s="67"/>
      <c r="F284" s="740"/>
      <c r="G284" s="67"/>
      <c r="H284" s="68">
        <f>'SCH B-3'!K535</f>
        <v>0</v>
      </c>
      <c r="I284" s="65"/>
      <c r="J284" s="2310" t="s">
        <v>900</v>
      </c>
      <c r="K284" s="777" t="s">
        <v>519</v>
      </c>
      <c r="L284" s="68">
        <v>750</v>
      </c>
      <c r="M284" s="1323" t="s">
        <v>490</v>
      </c>
      <c r="N284" s="789" t="s">
        <v>490</v>
      </c>
      <c r="O284" s="789" t="s">
        <v>490</v>
      </c>
      <c r="P284" s="65"/>
      <c r="Q284" s="65"/>
    </row>
    <row r="285" spans="1:17">
      <c r="A285" s="64">
        <v>14</v>
      </c>
      <c r="B285" s="64"/>
      <c r="C285" s="53">
        <v>1990</v>
      </c>
      <c r="D285" s="737" t="s">
        <v>679</v>
      </c>
      <c r="E285" s="67"/>
      <c r="F285" s="740"/>
      <c r="G285" s="67"/>
      <c r="H285" s="68">
        <f>'SCH B-3'!K536</f>
        <v>0</v>
      </c>
      <c r="I285" s="65"/>
      <c r="J285" s="2316" t="s">
        <v>405</v>
      </c>
      <c r="K285" s="2330"/>
      <c r="L285" s="68"/>
      <c r="M285" s="2310" t="s">
        <v>871</v>
      </c>
      <c r="N285" s="10"/>
      <c r="O285" s="10"/>
      <c r="P285" s="65"/>
      <c r="Q285" s="65"/>
    </row>
    <row r="286" spans="1:17">
      <c r="A286" s="64">
        <v>15</v>
      </c>
      <c r="B286" s="64"/>
      <c r="C286" s="53"/>
      <c r="D286" s="737" t="s">
        <v>617</v>
      </c>
      <c r="E286" s="67"/>
      <c r="F286" s="740"/>
      <c r="G286" s="67"/>
      <c r="H286" s="68">
        <f>'SCH B-3'!K537</f>
        <v>0</v>
      </c>
      <c r="I286" s="65"/>
      <c r="J286" s="2310">
        <v>4.7800000000000002E-2</v>
      </c>
      <c r="K286" s="65"/>
      <c r="L286" s="68">
        <f t="shared" si="10"/>
        <v>0</v>
      </c>
      <c r="M286" s="2311"/>
      <c r="N286" s="33"/>
      <c r="O286" s="33"/>
      <c r="P286" s="65"/>
      <c r="Q286" s="65"/>
    </row>
    <row r="287" spans="1:17">
      <c r="A287" s="64">
        <v>16</v>
      </c>
      <c r="B287" s="64"/>
      <c r="C287" s="53">
        <v>108</v>
      </c>
      <c r="D287" s="737" t="s">
        <v>796</v>
      </c>
      <c r="E287" s="67"/>
      <c r="F287" s="740"/>
      <c r="G287" s="67"/>
      <c r="H287" s="68">
        <f>'SCH B-3'!K538</f>
        <v>4011</v>
      </c>
      <c r="I287" s="65"/>
      <c r="J287" s="2311"/>
      <c r="K287" s="65"/>
      <c r="L287" s="68"/>
      <c r="M287" s="29"/>
      <c r="N287" s="29"/>
      <c r="O287" s="33"/>
      <c r="P287" s="65"/>
      <c r="Q287" s="65"/>
    </row>
    <row r="288" spans="1:17">
      <c r="A288" s="64"/>
      <c r="B288" s="65"/>
      <c r="C288" s="64"/>
      <c r="D288" s="67"/>
      <c r="E288" s="67"/>
      <c r="F288" s="65"/>
      <c r="G288" s="67"/>
      <c r="H288" s="68"/>
      <c r="I288" s="65"/>
      <c r="J288" s="2311"/>
      <c r="K288" s="65"/>
      <c r="L288" s="68"/>
      <c r="M288" s="29"/>
      <c r="N288" s="29"/>
      <c r="O288" s="29"/>
      <c r="P288" s="65"/>
      <c r="Q288" s="65"/>
    </row>
    <row r="289" spans="1:17">
      <c r="A289" s="65"/>
      <c r="B289" s="65"/>
      <c r="C289" s="65"/>
      <c r="D289" s="65"/>
      <c r="E289" s="65"/>
      <c r="F289" s="65"/>
      <c r="G289" s="1458"/>
      <c r="H289" s="1458"/>
      <c r="I289" s="1458"/>
      <c r="J289" s="2331"/>
      <c r="K289" s="1458"/>
      <c r="L289" s="1466"/>
      <c r="M289" s="1458"/>
      <c r="N289" s="1458"/>
      <c r="O289" s="1458"/>
      <c r="P289" s="65"/>
      <c r="Q289" s="65"/>
    </row>
    <row r="290" spans="1:17">
      <c r="A290" s="2099"/>
      <c r="B290" s="2099"/>
      <c r="C290" s="2099"/>
      <c r="D290" s="2099"/>
      <c r="E290" s="2099"/>
      <c r="F290" s="2099"/>
      <c r="G290" s="63"/>
      <c r="H290" s="65"/>
      <c r="I290" s="65"/>
      <c r="J290" s="65"/>
      <c r="K290" s="65"/>
      <c r="L290" s="68"/>
      <c r="M290" s="65"/>
      <c r="N290" s="65"/>
      <c r="O290" s="65"/>
      <c r="P290" s="65"/>
      <c r="Q290" s="65"/>
    </row>
    <row r="291" spans="1:17">
      <c r="A291" s="64">
        <v>17</v>
      </c>
      <c r="B291" s="65"/>
      <c r="C291" s="65"/>
      <c r="D291" s="67" t="s">
        <v>918</v>
      </c>
      <c r="E291" s="67"/>
      <c r="F291" s="740">
        <f>SUM(F272:F290)</f>
        <v>51066935</v>
      </c>
      <c r="G291" s="67"/>
      <c r="H291" s="740">
        <f>SUM(H272:H290)</f>
        <v>26938975</v>
      </c>
      <c r="I291" s="65"/>
      <c r="J291" s="740"/>
      <c r="K291" s="65"/>
      <c r="L291" s="740">
        <f>SUM(L272:L290)</f>
        <v>551693</v>
      </c>
      <c r="M291" s="65"/>
      <c r="N291" s="65"/>
      <c r="O291" s="65"/>
      <c r="P291" s="65"/>
      <c r="Q291" s="65"/>
    </row>
    <row r="292" spans="1:17">
      <c r="A292" s="65"/>
      <c r="B292" s="65"/>
      <c r="C292" s="65"/>
      <c r="D292" s="65"/>
      <c r="E292" s="65"/>
      <c r="F292" s="1458"/>
      <c r="G292" s="1458"/>
      <c r="H292" s="1458"/>
      <c r="I292" s="1458"/>
      <c r="J292" s="1458"/>
      <c r="K292" s="1458"/>
      <c r="L292" s="1466"/>
      <c r="M292" s="1458"/>
      <c r="N292" s="1458"/>
      <c r="O292" s="1458"/>
      <c r="P292" s="65"/>
      <c r="Q292" s="65"/>
    </row>
    <row r="293" spans="1:17">
      <c r="A293" s="2099"/>
      <c r="B293" s="2099"/>
      <c r="C293" s="2099"/>
      <c r="D293" s="2099"/>
      <c r="E293" s="2099"/>
      <c r="F293" s="63"/>
      <c r="G293" s="63"/>
      <c r="H293" s="65"/>
      <c r="I293" s="65"/>
      <c r="J293" s="65"/>
      <c r="K293" s="65"/>
      <c r="L293" s="68"/>
      <c r="M293" s="65"/>
      <c r="N293" s="65"/>
      <c r="O293" s="65"/>
      <c r="P293" s="65"/>
      <c r="Q293" s="65"/>
    </row>
    <row r="294" spans="1:17">
      <c r="A294" s="63"/>
      <c r="B294" s="63"/>
      <c r="C294" s="63"/>
      <c r="D294" s="67" t="s">
        <v>681</v>
      </c>
      <c r="E294" s="63"/>
      <c r="F294" s="63"/>
      <c r="G294" s="63"/>
      <c r="H294" s="65"/>
      <c r="I294" s="65"/>
      <c r="J294" s="65"/>
      <c r="K294" s="65"/>
      <c r="L294" s="68"/>
      <c r="M294" s="65"/>
      <c r="N294" s="65"/>
      <c r="O294" s="65"/>
      <c r="P294" s="65"/>
      <c r="Q294" s="65"/>
    </row>
    <row r="295" spans="1:17">
      <c r="A295" s="64">
        <v>18</v>
      </c>
      <c r="B295" s="65"/>
      <c r="C295" s="791">
        <f>CommonE</f>
        <v>0.70750000000000002</v>
      </c>
      <c r="D295" s="65" t="s">
        <v>818</v>
      </c>
      <c r="E295" s="67"/>
      <c r="F295" s="740">
        <f>ROUND(F291*$C$295,0)+1</f>
        <v>36129858</v>
      </c>
      <c r="G295" s="67"/>
      <c r="H295" s="792"/>
      <c r="I295" s="65"/>
      <c r="J295" s="792"/>
      <c r="K295" s="792"/>
      <c r="L295" s="740"/>
      <c r="M295" s="792"/>
      <c r="N295" s="792"/>
      <c r="O295" s="792"/>
      <c r="P295" s="65"/>
      <c r="Q295" s="65"/>
    </row>
    <row r="296" spans="1:17">
      <c r="A296" s="64">
        <v>19</v>
      </c>
      <c r="B296" s="65"/>
      <c r="C296" s="791">
        <f>CommonE</f>
        <v>0.70750000000000002</v>
      </c>
      <c r="D296" s="67" t="s">
        <v>919</v>
      </c>
      <c r="E296" s="67"/>
      <c r="F296" s="792"/>
      <c r="G296" s="67"/>
      <c r="H296" s="740">
        <f>(H291*C296)</f>
        <v>19059324.8125</v>
      </c>
      <c r="I296" s="65"/>
      <c r="J296" s="792"/>
      <c r="K296" s="792"/>
      <c r="L296" s="740"/>
      <c r="M296" s="792"/>
      <c r="N296" s="792"/>
      <c r="O296" s="792"/>
      <c r="P296" s="65"/>
      <c r="Q296" s="65"/>
    </row>
    <row r="297" spans="1:17">
      <c r="A297" s="64">
        <v>20</v>
      </c>
      <c r="B297" s="65"/>
      <c r="C297" s="791">
        <f>CommonE</f>
        <v>0.70750000000000002</v>
      </c>
      <c r="D297" s="67" t="s">
        <v>920</v>
      </c>
      <c r="E297" s="67"/>
      <c r="F297" s="792"/>
      <c r="G297" s="67"/>
      <c r="H297" s="792"/>
      <c r="I297" s="65"/>
      <c r="J297" s="792"/>
      <c r="K297" s="792"/>
      <c r="L297" s="740">
        <f>ROUND(L291*C297,0)</f>
        <v>390323</v>
      </c>
      <c r="M297" s="792"/>
      <c r="N297" s="792"/>
      <c r="O297" s="792"/>
      <c r="P297" s="65"/>
      <c r="Q297" s="65"/>
    </row>
    <row r="298" spans="1:17">
      <c r="A298" s="65"/>
      <c r="B298" s="65"/>
      <c r="C298" s="65"/>
      <c r="D298" s="65"/>
      <c r="E298" s="65"/>
      <c r="F298" s="65"/>
      <c r="G298" s="1458"/>
      <c r="H298" s="1458"/>
      <c r="I298" s="1458"/>
      <c r="J298" s="1458"/>
      <c r="K298" s="1458"/>
      <c r="L298" s="1466"/>
      <c r="M298" s="1458"/>
      <c r="N298" s="1458"/>
      <c r="O298" s="1458"/>
      <c r="P298" s="65"/>
      <c r="Q298" s="65"/>
    </row>
    <row r="299" spans="1:17">
      <c r="A299" s="2099"/>
      <c r="B299" s="2099"/>
      <c r="C299" s="2099"/>
      <c r="D299" s="2099"/>
      <c r="E299" s="2099"/>
      <c r="F299" s="2099"/>
      <c r="G299" s="63"/>
      <c r="H299" s="65"/>
      <c r="I299" s="65"/>
      <c r="J299" s="65"/>
      <c r="K299" s="65"/>
      <c r="L299" s="68"/>
      <c r="M299" s="65"/>
      <c r="N299" s="65"/>
      <c r="O299" s="65"/>
      <c r="P299" s="65"/>
      <c r="Q299" s="65"/>
    </row>
    <row r="300" spans="1:17">
      <c r="A300" s="64">
        <v>21</v>
      </c>
      <c r="B300" s="65"/>
      <c r="C300" s="65"/>
      <c r="D300" s="67" t="s">
        <v>682</v>
      </c>
      <c r="E300" s="67"/>
      <c r="F300" s="740">
        <f>F295+F241</f>
        <v>2430172940</v>
      </c>
      <c r="G300" s="67"/>
      <c r="H300" s="740">
        <f>(H296+H241)</f>
        <v>947538052.8125</v>
      </c>
      <c r="I300" s="65"/>
      <c r="J300" s="740"/>
      <c r="K300" s="740"/>
      <c r="L300" s="740">
        <f>L297+L241</f>
        <v>86243042</v>
      </c>
      <c r="M300" s="740"/>
      <c r="N300" s="740"/>
      <c r="O300" s="740"/>
      <c r="P300" s="65"/>
      <c r="Q300" s="65"/>
    </row>
    <row r="301" spans="1:17">
      <c r="A301" s="65"/>
      <c r="B301" s="65"/>
      <c r="C301" s="65"/>
      <c r="D301" s="65"/>
      <c r="E301" s="65"/>
      <c r="F301" s="1458"/>
      <c r="G301" s="1458"/>
      <c r="H301" s="1458"/>
      <c r="I301" s="1458"/>
      <c r="J301" s="1458"/>
      <c r="K301" s="1458"/>
      <c r="L301" s="1458"/>
      <c r="M301" s="1458"/>
      <c r="N301" s="1458"/>
      <c r="O301" s="1458"/>
      <c r="P301" s="65"/>
      <c r="Q301" s="65"/>
    </row>
    <row r="302" spans="1:17">
      <c r="A302" s="2099"/>
      <c r="B302" s="2099"/>
      <c r="C302" s="2099"/>
      <c r="D302" s="2099"/>
      <c r="E302" s="2099"/>
      <c r="F302" s="63"/>
      <c r="G302" s="63"/>
      <c r="H302" s="65"/>
      <c r="I302" s="65"/>
      <c r="J302" s="65"/>
      <c r="K302" s="65"/>
      <c r="L302" s="65"/>
      <c r="M302" s="65"/>
      <c r="N302" s="65"/>
      <c r="O302" s="65"/>
      <c r="P302" s="65"/>
      <c r="Q302" s="65"/>
    </row>
    <row r="303" spans="1:17">
      <c r="A303" s="783" t="s">
        <v>887</v>
      </c>
      <c r="B303" s="65"/>
      <c r="C303" s="65"/>
      <c r="D303" s="65"/>
      <c r="E303" s="65"/>
      <c r="F303" s="65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</row>
    <row r="304" spans="1:17">
      <c r="A304" s="777" t="s">
        <v>921</v>
      </c>
      <c r="B304" s="65"/>
      <c r="C304" s="65"/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</row>
    <row r="305" spans="1:17">
      <c r="A305" s="777" t="s">
        <v>922</v>
      </c>
      <c r="B305" s="65"/>
      <c r="C305" s="65"/>
      <c r="D305" s="65"/>
      <c r="E305" s="65"/>
      <c r="F305" s="65"/>
      <c r="G305" s="65"/>
      <c r="H305" s="68"/>
      <c r="I305" s="65"/>
      <c r="J305" s="65"/>
      <c r="K305" s="65"/>
      <c r="L305" s="65"/>
      <c r="M305" s="65"/>
      <c r="N305" s="65"/>
      <c r="O305" s="65"/>
      <c r="P305" s="65"/>
      <c r="Q305" s="65"/>
    </row>
    <row r="306" spans="1:17">
      <c r="A306" s="1283" t="s">
        <v>923</v>
      </c>
      <c r="B306" s="65"/>
      <c r="C306" s="65"/>
      <c r="D306" s="65"/>
      <c r="E306" s="65"/>
      <c r="F306" s="65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</row>
    <row r="307" spans="1:17">
      <c r="A307" s="67"/>
      <c r="B307" s="65"/>
      <c r="C307" s="65"/>
      <c r="D307" s="65"/>
      <c r="E307" s="65"/>
      <c r="F307" s="65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</row>
    <row r="308" spans="1:17">
      <c r="A308" s="65"/>
      <c r="B308" s="65"/>
      <c r="C308" s="65"/>
      <c r="D308" s="65"/>
      <c r="E308" s="65"/>
      <c r="F308" s="65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</row>
    <row r="309" spans="1:17">
      <c r="A309" s="65"/>
      <c r="B309" s="65"/>
      <c r="C309" s="65"/>
      <c r="D309" s="65"/>
      <c r="E309" s="65"/>
      <c r="F309" s="65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</row>
  </sheetData>
  <mergeCells count="6">
    <mergeCell ref="F266:H266"/>
    <mergeCell ref="F109:H109"/>
    <mergeCell ref="F19:H19"/>
    <mergeCell ref="F62:H62"/>
    <mergeCell ref="F154:H154"/>
    <mergeCell ref="F214:H214"/>
  </mergeCells>
  <phoneticPr fontId="193" type="noConversion"/>
  <hyperlinks>
    <hyperlink ref="A7" location="Sch_A" display="." xr:uid="{00000000-0004-0000-1800-000000000000}"/>
  </hyperlinks>
  <pageMargins left="1" right="0.75" top="1" bottom="1" header="0.5" footer="0.5"/>
  <pageSetup scale="62" orientation="landscape" horizontalDpi="300" r:id="rId1"/>
  <headerFooter alignWithMargins="0"/>
  <rowBreaks count="3" manualBreakCount="3">
    <brk id="135" max="16383" man="1"/>
    <brk id="195" max="15" man="1"/>
    <brk id="247" max="1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96">
    <tabColor theme="4" tint="0.39997558519241921"/>
    <pageSetUpPr fitToPage="1"/>
  </sheetPr>
  <dimension ref="A1:G75"/>
  <sheetViews>
    <sheetView workbookViewId="0"/>
  </sheetViews>
  <sheetFormatPr defaultColWidth="11.44140625" defaultRowHeight="13.2"/>
  <cols>
    <col min="1" max="1" width="7.44140625" customWidth="1"/>
    <col min="2" max="2" width="51.5546875" customWidth="1"/>
    <col min="3" max="3" width="13.44140625" customWidth="1"/>
    <col min="4" max="4" width="1" customWidth="1"/>
    <col min="5" max="5" width="16.5546875" customWidth="1"/>
    <col min="6" max="6" width="20" customWidth="1"/>
  </cols>
  <sheetData>
    <row r="1" spans="1:7">
      <c r="A1" s="1122" t="str">
        <f>COMPANY</f>
        <v>DUKE ENERGY KENTUCKY, INC.</v>
      </c>
      <c r="B1" s="1122"/>
      <c r="C1" s="1122"/>
      <c r="D1" s="1122"/>
      <c r="E1" s="1122"/>
      <c r="F1" s="1122"/>
      <c r="G1" s="70"/>
    </row>
    <row r="2" spans="1:7">
      <c r="A2" s="1122" t="str">
        <f>CASE</f>
        <v>CASE NO. 2024-00354</v>
      </c>
      <c r="B2" s="1122"/>
      <c r="C2" s="1122"/>
      <c r="D2" s="1122"/>
      <c r="E2" s="1122"/>
      <c r="F2" s="1122"/>
      <c r="G2" s="70"/>
    </row>
    <row r="3" spans="1:7">
      <c r="A3" s="1122" t="s">
        <v>924</v>
      </c>
      <c r="B3" s="1122"/>
      <c r="C3" s="1122"/>
      <c r="D3" s="1122"/>
      <c r="E3" s="1122"/>
      <c r="F3" s="1122"/>
      <c r="G3" s="70"/>
    </row>
    <row r="4" spans="1:7">
      <c r="A4" s="47" t="str">
        <f>"AS OF " &amp;RIGHT(TESTYR,(LEN(TESTYR)-16))</f>
        <v>AS OF FEBRUARY 28, 2025</v>
      </c>
      <c r="B4" s="1122"/>
      <c r="C4" s="1122"/>
      <c r="D4" s="1122"/>
      <c r="E4" s="1122"/>
      <c r="F4" s="1122"/>
      <c r="G4" s="70"/>
    </row>
    <row r="5" spans="1:7">
      <c r="A5" s="1393" t="s">
        <v>55</v>
      </c>
      <c r="B5" s="1123"/>
      <c r="C5" s="1123"/>
      <c r="D5" s="1123"/>
      <c r="E5" s="1123"/>
      <c r="F5" s="1123"/>
      <c r="G5" s="70"/>
    </row>
    <row r="6" spans="1:7">
      <c r="A6" s="70"/>
      <c r="B6" s="70"/>
      <c r="C6" s="70"/>
      <c r="D6" s="70"/>
      <c r="E6" s="1124"/>
      <c r="F6" s="1125"/>
      <c r="G6" s="70"/>
    </row>
    <row r="7" spans="1:7">
      <c r="A7" s="70"/>
      <c r="B7" s="70"/>
      <c r="C7" s="70"/>
      <c r="D7" s="70"/>
      <c r="E7" s="70"/>
      <c r="F7" s="70"/>
      <c r="G7" s="70"/>
    </row>
    <row r="8" spans="1:7">
      <c r="A8" s="1126" t="str">
        <f>Data</f>
        <v>DATA: "X" BASE PERIOD   FORECASTED PERIOD</v>
      </c>
      <c r="B8" s="70"/>
      <c r="C8" s="70"/>
      <c r="D8" s="1125"/>
      <c r="E8" s="1373" t="s">
        <v>925</v>
      </c>
      <c r="F8" s="1125"/>
      <c r="G8" s="70"/>
    </row>
    <row r="9" spans="1:7">
      <c r="A9" s="1126" t="str">
        <f>Type</f>
        <v xml:space="preserve">TYPE OF FILING:  "X" ORIGINAL   UPDATED    REVISED  </v>
      </c>
      <c r="B9" s="70"/>
      <c r="C9" s="70"/>
      <c r="D9" s="1125"/>
      <c r="E9" s="1373" t="s">
        <v>571</v>
      </c>
      <c r="F9" s="1125"/>
      <c r="G9" s="70"/>
    </row>
    <row r="10" spans="1:7">
      <c r="A10" s="1126" t="s">
        <v>694</v>
      </c>
      <c r="B10" s="70"/>
      <c r="C10" s="70"/>
      <c r="D10" s="1125"/>
      <c r="E10" s="1373" t="s">
        <v>468</v>
      </c>
      <c r="F10" s="1125"/>
      <c r="G10" s="70"/>
    </row>
    <row r="11" spans="1:7">
      <c r="A11" s="70"/>
      <c r="B11" s="70"/>
      <c r="C11" s="70"/>
      <c r="D11" s="1125"/>
      <c r="E11" s="1374" t="str">
        <f>_WIT7</f>
        <v>G. S. CARPENTER / S. S. MITCHELL</v>
      </c>
      <c r="F11" s="1125"/>
      <c r="G11" s="70"/>
    </row>
    <row r="12" spans="1:7">
      <c r="A12" s="70"/>
      <c r="B12" s="70"/>
      <c r="C12" s="70"/>
      <c r="D12" s="1125"/>
      <c r="E12" s="1124"/>
      <c r="F12" s="1125"/>
      <c r="G12" s="70"/>
    </row>
    <row r="13" spans="1:7">
      <c r="A13" s="1469"/>
      <c r="B13" s="1469"/>
      <c r="C13" s="1469"/>
      <c r="D13" s="1470"/>
      <c r="E13" s="2332"/>
      <c r="F13" s="1470"/>
      <c r="G13" s="70"/>
    </row>
    <row r="14" spans="1:7">
      <c r="A14" s="1127" t="s">
        <v>573</v>
      </c>
      <c r="B14" s="1127"/>
      <c r="C14" s="1127" t="s">
        <v>926</v>
      </c>
      <c r="D14" s="2111"/>
      <c r="E14" s="2112" t="s">
        <v>258</v>
      </c>
      <c r="F14" s="2112"/>
      <c r="G14" s="70"/>
    </row>
    <row r="15" spans="1:7">
      <c r="A15" s="1127" t="s">
        <v>576</v>
      </c>
      <c r="B15" s="1127" t="s">
        <v>577</v>
      </c>
      <c r="C15" s="1127" t="s">
        <v>927</v>
      </c>
      <c r="D15" s="1128"/>
      <c r="E15" s="1127" t="s">
        <v>928</v>
      </c>
      <c r="F15" s="1127" t="s">
        <v>574</v>
      </c>
      <c r="G15" s="70"/>
    </row>
    <row r="16" spans="1:7">
      <c r="A16" s="2113"/>
      <c r="B16" s="2113"/>
      <c r="C16" s="2114" t="s">
        <v>420</v>
      </c>
      <c r="D16" s="2115"/>
      <c r="E16" s="2114" t="s">
        <v>580</v>
      </c>
      <c r="F16" s="2114" t="s">
        <v>580</v>
      </c>
      <c r="G16" s="70"/>
    </row>
    <row r="17" spans="1:7">
      <c r="A17" s="70"/>
      <c r="B17" s="70"/>
      <c r="C17" s="70"/>
      <c r="D17" s="70"/>
      <c r="E17" s="70"/>
      <c r="F17" s="70"/>
      <c r="G17" s="70"/>
    </row>
    <row r="18" spans="1:7">
      <c r="A18" s="1127">
        <v>1</v>
      </c>
      <c r="B18" s="70" t="s">
        <v>339</v>
      </c>
      <c r="C18" s="1177">
        <v>1</v>
      </c>
      <c r="D18" s="1125"/>
      <c r="E18" s="2333">
        <v>25737625</v>
      </c>
      <c r="F18" s="1125">
        <f>E18</f>
        <v>25737625</v>
      </c>
      <c r="G18" s="70"/>
    </row>
    <row r="19" spans="1:7">
      <c r="A19" s="1127"/>
      <c r="B19" s="70"/>
      <c r="C19" s="1177"/>
      <c r="D19" s="1125"/>
      <c r="E19" s="2333"/>
      <c r="F19" s="1125"/>
      <c r="G19" s="70"/>
    </row>
    <row r="20" spans="1:7">
      <c r="A20" s="1127">
        <v>2</v>
      </c>
      <c r="B20" s="70" t="s">
        <v>343</v>
      </c>
      <c r="C20" s="1177">
        <v>1</v>
      </c>
      <c r="D20" s="1125"/>
      <c r="E20" s="2333">
        <v>19950609</v>
      </c>
      <c r="F20" s="1125">
        <f>E20</f>
        <v>19950609</v>
      </c>
      <c r="G20" s="70"/>
    </row>
    <row r="21" spans="1:7">
      <c r="A21" s="1127"/>
      <c r="B21" s="70"/>
      <c r="C21" s="1177"/>
      <c r="D21" s="1125"/>
      <c r="E21" s="2333"/>
      <c r="F21" s="1125"/>
      <c r="G21" s="70"/>
    </row>
    <row r="22" spans="1:7">
      <c r="A22" s="1127">
        <v>3</v>
      </c>
      <c r="B22" s="70" t="s">
        <v>345</v>
      </c>
      <c r="C22" s="1177">
        <v>1</v>
      </c>
      <c r="D22" s="1125"/>
      <c r="E22" s="2333">
        <v>28431333</v>
      </c>
      <c r="F22" s="1125">
        <f>E22</f>
        <v>28431333</v>
      </c>
      <c r="G22" s="70"/>
    </row>
    <row r="23" spans="1:7">
      <c r="A23" s="1127"/>
      <c r="B23" s="70"/>
      <c r="C23" s="1177"/>
      <c r="D23" s="1125"/>
      <c r="E23" s="2333"/>
      <c r="F23" s="1125"/>
      <c r="G23" s="70"/>
    </row>
    <row r="24" spans="1:7">
      <c r="A24" s="1127">
        <v>4</v>
      </c>
      <c r="B24" s="70" t="s">
        <v>583</v>
      </c>
      <c r="C24" s="1177">
        <v>1</v>
      </c>
      <c r="D24" s="1125"/>
      <c r="E24" s="2333">
        <v>10296808</v>
      </c>
      <c r="F24" s="1125">
        <f>E24</f>
        <v>10296808</v>
      </c>
      <c r="G24" s="70"/>
    </row>
    <row r="25" spans="1:7">
      <c r="A25" s="1127"/>
      <c r="B25" s="70"/>
      <c r="C25" s="1177"/>
      <c r="D25" s="1125"/>
      <c r="E25" s="2333"/>
      <c r="F25" s="1125"/>
      <c r="G25" s="70"/>
    </row>
    <row r="26" spans="1:7">
      <c r="A26" s="1127">
        <v>5</v>
      </c>
      <c r="B26" s="70" t="s">
        <v>929</v>
      </c>
      <c r="C26" s="1177">
        <v>1</v>
      </c>
      <c r="D26" s="1125"/>
      <c r="E26" s="2333">
        <v>678038</v>
      </c>
      <c r="F26" s="1125">
        <f>E26</f>
        <v>678038</v>
      </c>
      <c r="G26" s="70"/>
    </row>
    <row r="27" spans="1:7">
      <c r="A27" s="1127"/>
      <c r="B27" s="70"/>
      <c r="C27" s="1177"/>
      <c r="D27" s="1125"/>
      <c r="E27" s="1125"/>
      <c r="F27" s="1125"/>
      <c r="G27" s="70"/>
    </row>
    <row r="28" spans="1:7">
      <c r="A28" s="1127">
        <v>6</v>
      </c>
      <c r="B28" s="70" t="str">
        <f>TEXT(CommonE,"##.##%")&amp;" Common Allocated to Electric"</f>
        <v>70.75% Common Allocated to Electric</v>
      </c>
      <c r="C28" s="1177">
        <v>1</v>
      </c>
      <c r="D28" s="1125"/>
      <c r="E28" s="1470">
        <f>ROUND(E26*CommonE,0)</f>
        <v>479712</v>
      </c>
      <c r="F28" s="1470">
        <f>E28</f>
        <v>479712</v>
      </c>
      <c r="G28" s="70"/>
    </row>
    <row r="29" spans="1:7">
      <c r="A29" s="1127"/>
      <c r="B29" s="70"/>
      <c r="C29" s="1129"/>
      <c r="D29" s="1125"/>
      <c r="E29" s="1125"/>
      <c r="F29" s="1125"/>
      <c r="G29" s="70"/>
    </row>
    <row r="30" spans="1:7">
      <c r="A30" s="1127"/>
      <c r="B30" s="70"/>
      <c r="C30" s="1129"/>
      <c r="D30" s="1125"/>
      <c r="E30" s="1125"/>
      <c r="F30" s="1125"/>
      <c r="G30" s="70"/>
    </row>
    <row r="31" spans="1:7">
      <c r="A31" s="1127"/>
      <c r="B31" s="70"/>
      <c r="C31" s="1129"/>
      <c r="D31" s="1125"/>
      <c r="E31" s="1125"/>
      <c r="F31" s="1125"/>
      <c r="G31" s="70"/>
    </row>
    <row r="32" spans="1:7">
      <c r="A32" s="2116">
        <f>A28+1</f>
        <v>7</v>
      </c>
      <c r="B32" s="2117" t="s">
        <v>930</v>
      </c>
      <c r="C32" s="2118"/>
      <c r="D32" s="2119"/>
      <c r="E32" s="2119">
        <f>E18+E20+E22+E24+E28</f>
        <v>84896087</v>
      </c>
      <c r="F32" s="2119">
        <f>F18+F20+F22+F24+F28</f>
        <v>84896087</v>
      </c>
      <c r="G32" s="70"/>
    </row>
    <row r="33" spans="1:7">
      <c r="A33" s="70"/>
      <c r="B33" s="70"/>
      <c r="C33" s="1129"/>
      <c r="D33" s="70"/>
      <c r="E33" s="1125"/>
      <c r="F33" s="70"/>
      <c r="G33" s="70"/>
    </row>
    <row r="34" spans="1:7">
      <c r="A34" s="804" t="s">
        <v>931</v>
      </c>
      <c r="B34" s="70"/>
      <c r="C34" s="70"/>
      <c r="D34" s="70"/>
      <c r="E34" s="1125"/>
      <c r="F34" s="70"/>
      <c r="G34" s="70"/>
    </row>
    <row r="35" spans="1:7">
      <c r="A35" s="70"/>
      <c r="B35" s="70"/>
      <c r="C35" s="70"/>
      <c r="D35" s="70"/>
      <c r="E35" s="70"/>
      <c r="F35" s="70"/>
      <c r="G35" s="70"/>
    </row>
    <row r="36" spans="1:7">
      <c r="A36" s="70"/>
      <c r="B36" s="70"/>
      <c r="C36" s="70"/>
      <c r="D36" s="70"/>
      <c r="E36" s="70"/>
      <c r="F36" s="70"/>
      <c r="G36" s="70"/>
    </row>
    <row r="37" spans="1:7">
      <c r="A37" s="70"/>
      <c r="B37" s="70"/>
      <c r="C37" s="70"/>
      <c r="D37" s="70"/>
      <c r="E37" s="70"/>
      <c r="F37" s="70"/>
      <c r="G37" s="70"/>
    </row>
    <row r="38" spans="1:7">
      <c r="A38" s="70"/>
      <c r="B38" s="70"/>
      <c r="C38" s="70"/>
      <c r="D38" s="70"/>
      <c r="E38" s="70"/>
      <c r="F38" s="70"/>
      <c r="G38" s="70"/>
    </row>
    <row r="39" spans="1:7">
      <c r="A39" s="1122" t="str">
        <f>COMPANY</f>
        <v>DUKE ENERGY KENTUCKY, INC.</v>
      </c>
      <c r="B39" s="1122"/>
      <c r="C39" s="1122"/>
      <c r="D39" s="1122"/>
      <c r="E39" s="1122"/>
      <c r="F39" s="1122"/>
      <c r="G39" s="70"/>
    </row>
    <row r="40" spans="1:7">
      <c r="A40" s="1122" t="str">
        <f>CASE</f>
        <v>CASE NO. 2024-00354</v>
      </c>
      <c r="B40" s="1122"/>
      <c r="C40" s="1122"/>
      <c r="D40" s="1122"/>
      <c r="E40" s="1122"/>
      <c r="F40" s="1122"/>
      <c r="G40" s="70"/>
    </row>
    <row r="41" spans="1:7">
      <c r="A41" s="1122" t="s">
        <v>924</v>
      </c>
      <c r="B41" s="1122"/>
      <c r="C41" s="1122"/>
      <c r="D41" s="1122"/>
      <c r="E41" s="1122"/>
      <c r="F41" s="1122"/>
      <c r="G41" s="70"/>
    </row>
    <row r="42" spans="1:7">
      <c r="A42" s="47" t="str">
        <f>"THIRTEEN MONTH AVERAGE AS OF " &amp;RIGHT(Forecast,(LEN(Forecast)-16))</f>
        <v>THIRTEEN MONTH AVERAGE AS OF JUNE 30, 2026</v>
      </c>
      <c r="B42" s="1122"/>
      <c r="C42" s="1122"/>
      <c r="D42" s="1122"/>
      <c r="E42" s="1122"/>
      <c r="F42" s="1122"/>
      <c r="G42" s="70"/>
    </row>
    <row r="43" spans="1:7">
      <c r="A43" s="1123" t="s">
        <v>529</v>
      </c>
      <c r="B43" s="1123"/>
      <c r="C43" s="1123"/>
      <c r="D43" s="1123"/>
      <c r="E43" s="1123"/>
      <c r="F43" s="1123"/>
      <c r="G43" s="70"/>
    </row>
    <row r="44" spans="1:7">
      <c r="A44" s="70"/>
      <c r="B44" s="70"/>
      <c r="C44" s="70"/>
      <c r="D44" s="70"/>
      <c r="E44" s="1124"/>
      <c r="F44" s="1125"/>
      <c r="G44" s="70"/>
    </row>
    <row r="45" spans="1:7">
      <c r="A45" s="70"/>
      <c r="B45" s="70"/>
      <c r="C45" s="70"/>
      <c r="D45" s="70"/>
      <c r="E45" s="70"/>
      <c r="F45" s="70"/>
      <c r="G45" s="70"/>
    </row>
    <row r="46" spans="1:7">
      <c r="A46" s="1126" t="str">
        <f>DataF</f>
        <v>DATA:  BASE PERIOD  "X" FORECASTED PERIOD</v>
      </c>
      <c r="B46" s="70"/>
      <c r="C46" s="70"/>
      <c r="D46" s="1125"/>
      <c r="E46" s="1373" t="s">
        <v>925</v>
      </c>
      <c r="F46" s="1125"/>
      <c r="G46" s="70"/>
    </row>
    <row r="47" spans="1:7">
      <c r="A47" s="1126" t="str">
        <f>Type</f>
        <v xml:space="preserve">TYPE OF FILING:  "X" ORIGINAL   UPDATED    REVISED  </v>
      </c>
      <c r="B47" s="70"/>
      <c r="C47" s="70"/>
      <c r="D47" s="1125"/>
      <c r="E47" s="1373" t="s">
        <v>590</v>
      </c>
      <c r="F47" s="1125"/>
      <c r="G47" s="70"/>
    </row>
    <row r="48" spans="1:7">
      <c r="A48" s="1126" t="s">
        <v>694</v>
      </c>
      <c r="B48" s="70"/>
      <c r="C48" s="70"/>
      <c r="D48" s="1125"/>
      <c r="E48" s="1373" t="s">
        <v>468</v>
      </c>
      <c r="F48" s="1125"/>
      <c r="G48" s="70"/>
    </row>
    <row r="49" spans="1:7">
      <c r="A49" s="70"/>
      <c r="B49" s="70"/>
      <c r="C49" s="70"/>
      <c r="D49" s="1125"/>
      <c r="E49" s="1374" t="str">
        <f>_WIT7</f>
        <v>G. S. CARPENTER / S. S. MITCHELL</v>
      </c>
      <c r="F49" s="1125"/>
      <c r="G49" s="70"/>
    </row>
    <row r="50" spans="1:7">
      <c r="A50" s="70"/>
      <c r="B50" s="70"/>
      <c r="C50" s="70"/>
      <c r="D50" s="1125"/>
      <c r="E50" s="1124"/>
      <c r="F50" s="1125"/>
      <c r="G50" s="70"/>
    </row>
    <row r="51" spans="1:7">
      <c r="A51" s="1469"/>
      <c r="B51" s="1469"/>
      <c r="C51" s="1469"/>
      <c r="D51" s="1470"/>
      <c r="E51" s="2332"/>
      <c r="F51" s="1470"/>
      <c r="G51" s="70"/>
    </row>
    <row r="52" spans="1:7">
      <c r="A52" s="1127" t="s">
        <v>573</v>
      </c>
      <c r="B52" s="1127"/>
      <c r="C52" s="1127" t="s">
        <v>926</v>
      </c>
      <c r="D52" s="2111"/>
      <c r="E52" s="2112" t="s">
        <v>258</v>
      </c>
      <c r="F52" s="2112"/>
      <c r="G52" s="70"/>
    </row>
    <row r="53" spans="1:7">
      <c r="A53" s="1127" t="s">
        <v>576</v>
      </c>
      <c r="B53" s="1127" t="s">
        <v>577</v>
      </c>
      <c r="C53" s="1127" t="s">
        <v>927</v>
      </c>
      <c r="D53" s="1128"/>
      <c r="E53" s="1127" t="s">
        <v>928</v>
      </c>
      <c r="F53" s="1127" t="s">
        <v>574</v>
      </c>
      <c r="G53" s="70"/>
    </row>
    <row r="54" spans="1:7">
      <c r="A54" s="2113"/>
      <c r="B54" s="2113"/>
      <c r="C54" s="2114" t="s">
        <v>420</v>
      </c>
      <c r="D54" s="2115"/>
      <c r="E54" s="2114" t="s">
        <v>580</v>
      </c>
      <c r="F54" s="2114" t="s">
        <v>580</v>
      </c>
      <c r="G54" s="70"/>
    </row>
    <row r="55" spans="1:7">
      <c r="A55" s="70"/>
      <c r="B55" s="70"/>
      <c r="C55" s="70"/>
      <c r="D55" s="70"/>
      <c r="E55" s="70"/>
      <c r="F55" s="70"/>
      <c r="G55" s="70"/>
    </row>
    <row r="56" spans="1:7">
      <c r="A56" s="1127">
        <v>1</v>
      </c>
      <c r="B56" s="70" t="s">
        <v>339</v>
      </c>
      <c r="C56" s="1177">
        <v>1</v>
      </c>
      <c r="D56" s="1125"/>
      <c r="E56" s="2333">
        <v>73239823</v>
      </c>
      <c r="F56" s="1125">
        <f>E56</f>
        <v>73239823</v>
      </c>
      <c r="G56" s="70"/>
    </row>
    <row r="57" spans="1:7">
      <c r="A57" s="1127"/>
      <c r="B57" s="70"/>
      <c r="C57" s="1177"/>
      <c r="D57" s="1125"/>
      <c r="E57" s="2333"/>
      <c r="F57" s="1125"/>
      <c r="G57" s="70"/>
    </row>
    <row r="58" spans="1:7">
      <c r="A58" s="1127">
        <f>A56+1</f>
        <v>2</v>
      </c>
      <c r="B58" s="70" t="s">
        <v>343</v>
      </c>
      <c r="C58" s="1177">
        <v>1</v>
      </c>
      <c r="D58" s="1125"/>
      <c r="E58" s="2333">
        <v>21488205</v>
      </c>
      <c r="F58" s="1125">
        <f>E58</f>
        <v>21488205</v>
      </c>
      <c r="G58" s="70"/>
    </row>
    <row r="59" spans="1:7">
      <c r="A59" s="1127"/>
      <c r="B59" s="70"/>
      <c r="C59" s="1177"/>
      <c r="D59" s="1125"/>
      <c r="E59" s="2333"/>
      <c r="F59" s="1125"/>
      <c r="G59" s="70"/>
    </row>
    <row r="60" spans="1:7">
      <c r="A60" s="1127">
        <v>3</v>
      </c>
      <c r="B60" s="70" t="s">
        <v>345</v>
      </c>
      <c r="C60" s="1177">
        <v>1</v>
      </c>
      <c r="D60" s="1125"/>
      <c r="E60" s="2333">
        <v>29513421</v>
      </c>
      <c r="F60" s="1125">
        <f>E60</f>
        <v>29513421</v>
      </c>
      <c r="G60" s="70"/>
    </row>
    <row r="61" spans="1:7">
      <c r="A61" s="1127"/>
      <c r="B61" s="70"/>
      <c r="C61" s="1177"/>
      <c r="D61" s="1125"/>
      <c r="E61" s="2333"/>
      <c r="F61" s="1125"/>
      <c r="G61" s="70"/>
    </row>
    <row r="62" spans="1:7">
      <c r="A62" s="1127">
        <v>4</v>
      </c>
      <c r="B62" s="70" t="s">
        <v>583</v>
      </c>
      <c r="C62" s="1177">
        <v>1</v>
      </c>
      <c r="D62" s="1125"/>
      <c r="E62" s="2333">
        <v>10461135</v>
      </c>
      <c r="F62" s="1125">
        <f>E62</f>
        <v>10461135</v>
      </c>
      <c r="G62" s="70"/>
    </row>
    <row r="63" spans="1:7">
      <c r="A63" s="1127"/>
      <c r="B63" s="70"/>
      <c r="C63" s="1177"/>
      <c r="D63" s="1125"/>
      <c r="E63" s="2333"/>
      <c r="F63" s="1125"/>
      <c r="G63" s="70"/>
    </row>
    <row r="64" spans="1:7">
      <c r="A64" s="1127">
        <v>5</v>
      </c>
      <c r="B64" s="70" t="s">
        <v>929</v>
      </c>
      <c r="C64" s="1177">
        <v>1</v>
      </c>
      <c r="D64" s="1125"/>
      <c r="E64" s="2333">
        <v>678038</v>
      </c>
      <c r="F64" s="1125">
        <f>E64</f>
        <v>678038</v>
      </c>
      <c r="G64" s="70"/>
    </row>
    <row r="65" spans="1:7">
      <c r="A65" s="1127"/>
      <c r="B65" s="70"/>
      <c r="C65" s="1177"/>
      <c r="D65" s="1125"/>
      <c r="E65" s="1125"/>
      <c r="F65" s="1125"/>
      <c r="G65" s="70"/>
    </row>
    <row r="66" spans="1:7">
      <c r="A66" s="1127">
        <v>6</v>
      </c>
      <c r="B66" s="70" t="str">
        <f>B28</f>
        <v>70.75% Common Allocated to Electric</v>
      </c>
      <c r="C66" s="1177">
        <v>1</v>
      </c>
      <c r="D66" s="1125"/>
      <c r="E66" s="1470">
        <f>ROUND(E64*CommonE,0)</f>
        <v>479712</v>
      </c>
      <c r="F66" s="1470">
        <f>E66</f>
        <v>479712</v>
      </c>
      <c r="G66" s="70"/>
    </row>
    <row r="67" spans="1:7">
      <c r="A67" s="1127"/>
      <c r="B67" s="70"/>
      <c r="C67" s="1129"/>
      <c r="D67" s="1125"/>
      <c r="E67" s="1125"/>
      <c r="F67" s="1125"/>
      <c r="G67" s="70"/>
    </row>
    <row r="68" spans="1:7">
      <c r="A68" s="1127"/>
      <c r="B68" s="70"/>
      <c r="C68" s="1129"/>
      <c r="D68" s="1125"/>
      <c r="E68" s="1125"/>
      <c r="F68" s="1125"/>
      <c r="G68" s="70"/>
    </row>
    <row r="69" spans="1:7">
      <c r="A69" s="1127"/>
      <c r="B69" s="70"/>
      <c r="C69" s="1129"/>
      <c r="D69" s="1125"/>
      <c r="E69" s="1125"/>
      <c r="F69" s="1125"/>
      <c r="G69" s="70"/>
    </row>
    <row r="70" spans="1:7">
      <c r="A70" s="2116">
        <f>A66+1</f>
        <v>7</v>
      </c>
      <c r="B70" s="2117" t="s">
        <v>930</v>
      </c>
      <c r="C70" s="2118"/>
      <c r="D70" s="2119"/>
      <c r="E70" s="2119">
        <f>E56+E58+E60+E62+E66</f>
        <v>135182296</v>
      </c>
      <c r="F70" s="2119">
        <f>F56+F58+F60+F62+F66</f>
        <v>135182296</v>
      </c>
      <c r="G70" s="70"/>
    </row>
    <row r="71" spans="1:7">
      <c r="A71" s="70"/>
      <c r="B71" s="70"/>
      <c r="C71" s="1129"/>
      <c r="D71" s="70"/>
      <c r="E71" s="70"/>
      <c r="F71" s="70"/>
      <c r="G71" s="70"/>
    </row>
    <row r="72" spans="1:7">
      <c r="A72" s="804" t="s">
        <v>931</v>
      </c>
      <c r="B72" s="70"/>
      <c r="C72" s="70"/>
      <c r="D72" s="70"/>
      <c r="E72" s="70"/>
      <c r="F72" s="70"/>
      <c r="G72" s="70"/>
    </row>
    <row r="73" spans="1:7">
      <c r="A73" s="70"/>
      <c r="B73" s="70"/>
      <c r="C73" s="70"/>
      <c r="D73" s="70"/>
      <c r="E73" s="70"/>
      <c r="F73" s="70"/>
      <c r="G73" s="70"/>
    </row>
    <row r="74" spans="1:7">
      <c r="A74" s="70"/>
      <c r="B74" s="70"/>
      <c r="C74" s="70"/>
      <c r="D74" s="70"/>
      <c r="E74" s="70"/>
      <c r="F74" s="70"/>
      <c r="G74" s="70"/>
    </row>
    <row r="75" spans="1:7">
      <c r="A75" s="70"/>
      <c r="B75" s="70"/>
      <c r="C75" s="70"/>
      <c r="D75" s="70"/>
      <c r="E75" s="70"/>
      <c r="F75" s="70"/>
      <c r="G75" s="70"/>
    </row>
  </sheetData>
  <hyperlinks>
    <hyperlink ref="A5" location="Sch_A" display="." xr:uid="{00000000-0004-0000-1900-000000000000}"/>
  </hyperlinks>
  <printOptions horizontalCentered="1"/>
  <pageMargins left="1" right="0.75" top="1" bottom="1" header="0.5" footer="0.5"/>
  <pageSetup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">
    <tabColor theme="4" tint="0.39997558519241921"/>
    <pageSetUpPr fitToPage="1"/>
  </sheetPr>
  <dimension ref="A1:AB141"/>
  <sheetViews>
    <sheetView workbookViewId="0"/>
  </sheetViews>
  <sheetFormatPr defaultColWidth="8" defaultRowHeight="13.2"/>
  <cols>
    <col min="1" max="1" width="7.44140625" customWidth="1"/>
    <col min="2" max="2" width="1.44140625" customWidth="1"/>
    <col min="3" max="3" width="38.109375" customWidth="1"/>
    <col min="4" max="4" width="1.5546875" customWidth="1"/>
    <col min="5" max="5" width="34.5546875" customWidth="1"/>
    <col min="6" max="6" width="1.44140625" customWidth="1"/>
    <col min="7" max="7" width="14.44140625" customWidth="1"/>
    <col min="8" max="8" width="0.5546875" customWidth="1"/>
    <col min="9" max="9" width="14" customWidth="1"/>
    <col min="10" max="10" width="0.5546875" customWidth="1"/>
    <col min="11" max="11" width="14.5546875" customWidth="1"/>
    <col min="12" max="12" width="1" customWidth="1"/>
    <col min="13" max="13" width="14.5546875" customWidth="1"/>
    <col min="14" max="14" width="1" customWidth="1"/>
    <col min="15" max="15" width="16.44140625" customWidth="1"/>
    <col min="16" max="16" width="10.5546875" customWidth="1"/>
    <col min="17" max="17" width="7.44140625" customWidth="1"/>
    <col min="18" max="18" width="3" customWidth="1"/>
    <col min="19" max="19" width="39.6640625" customWidth="1"/>
    <col min="20" max="20" width="1" customWidth="1"/>
    <col min="21" max="21" width="15.44140625" customWidth="1"/>
    <col min="22" max="22" width="6.5546875" customWidth="1"/>
    <col min="23" max="23" width="14.5546875" customWidth="1"/>
    <col min="24" max="24" width="6.5546875" customWidth="1"/>
    <col min="25" max="25" width="16.5546875" customWidth="1"/>
  </cols>
  <sheetData>
    <row r="1" spans="1:28">
      <c r="A1" s="1111" t="str">
        <f>COMPANY</f>
        <v>DUKE ENERGY KENTUCKY, INC.</v>
      </c>
      <c r="B1" s="1111"/>
      <c r="C1" s="1111"/>
      <c r="D1" s="1111"/>
      <c r="E1" s="1111"/>
      <c r="F1" s="1111"/>
      <c r="G1" s="1111"/>
      <c r="H1" s="1111"/>
      <c r="I1" s="1111"/>
      <c r="J1" s="1111"/>
      <c r="K1" s="1111"/>
      <c r="L1" s="1111"/>
      <c r="M1" s="1111"/>
      <c r="N1" s="1111"/>
      <c r="O1" s="1111"/>
      <c r="P1" s="76"/>
      <c r="Q1" s="76"/>
      <c r="R1" s="76"/>
      <c r="S1" s="76"/>
      <c r="T1" s="76"/>
      <c r="U1" s="78"/>
      <c r="V1" s="78"/>
      <c r="W1" s="76"/>
      <c r="X1" s="76"/>
      <c r="Y1" s="78"/>
      <c r="Z1" s="76"/>
      <c r="AA1" s="76"/>
      <c r="AB1" s="76"/>
    </row>
    <row r="2" spans="1:28">
      <c r="A2" s="1111" t="str">
        <f>CASE</f>
        <v>CASE NO. 2024-00354</v>
      </c>
      <c r="B2" s="1111"/>
      <c r="C2" s="1111"/>
      <c r="D2" s="1111"/>
      <c r="E2" s="1111"/>
      <c r="F2" s="1111"/>
      <c r="G2" s="1111"/>
      <c r="H2" s="1111"/>
      <c r="I2" s="1111"/>
      <c r="J2" s="1111"/>
      <c r="K2" s="1111"/>
      <c r="L2" s="1111"/>
      <c r="M2" s="1111"/>
      <c r="N2" s="1111"/>
      <c r="O2" s="1111"/>
      <c r="P2" s="76"/>
      <c r="Q2" s="76"/>
      <c r="R2" s="76"/>
      <c r="S2" s="76"/>
      <c r="T2" s="76"/>
      <c r="U2" s="78"/>
      <c r="V2" s="78"/>
      <c r="W2" s="76"/>
      <c r="X2" s="76"/>
      <c r="Y2" s="78"/>
      <c r="Z2" s="76"/>
      <c r="AA2" s="76"/>
      <c r="AB2" s="76"/>
    </row>
    <row r="3" spans="1:28">
      <c r="A3" s="1111" t="s">
        <v>932</v>
      </c>
      <c r="B3" s="1111"/>
      <c r="C3" s="1111"/>
      <c r="D3" s="1111"/>
      <c r="E3" s="1111"/>
      <c r="F3" s="1111"/>
      <c r="G3" s="1111"/>
      <c r="H3" s="1111"/>
      <c r="I3" s="1111"/>
      <c r="J3" s="1111"/>
      <c r="K3" s="1111"/>
      <c r="L3" s="1111"/>
      <c r="M3" s="1111"/>
      <c r="N3" s="1111"/>
      <c r="O3" s="1111"/>
      <c r="P3" s="76"/>
      <c r="Q3" s="76"/>
      <c r="R3" s="76"/>
      <c r="S3" s="76"/>
      <c r="T3" s="76"/>
      <c r="U3" s="78"/>
      <c r="V3" s="78"/>
      <c r="W3" s="76"/>
      <c r="X3" s="76"/>
      <c r="Y3" s="78"/>
      <c r="Z3" s="76"/>
      <c r="AA3" s="76"/>
      <c r="AB3" s="76"/>
    </row>
    <row r="4" spans="1:28">
      <c r="A4" s="47" t="str">
        <f>"AS OF " &amp;RIGHT(TESTYR,(LEN(TESTYR)-16))</f>
        <v>AS OF FEBRUARY 28, 2025</v>
      </c>
      <c r="B4" s="1111"/>
      <c r="C4" s="1111"/>
      <c r="D4" s="1111"/>
      <c r="E4" s="1111"/>
      <c r="F4" s="1111"/>
      <c r="G4" s="1111"/>
      <c r="H4" s="1111"/>
      <c r="I4" s="1111"/>
      <c r="J4" s="1111"/>
      <c r="K4" s="1111"/>
      <c r="L4" s="1111"/>
      <c r="M4" s="1111"/>
      <c r="N4" s="1111"/>
      <c r="O4" s="1111"/>
      <c r="P4" s="76"/>
      <c r="Q4" s="76"/>
      <c r="R4" s="76"/>
      <c r="S4" s="76"/>
      <c r="T4" s="76"/>
      <c r="U4" s="78"/>
      <c r="V4" s="78"/>
      <c r="W4" s="76"/>
      <c r="X4" s="76"/>
      <c r="Y4" s="78"/>
      <c r="Z4" s="76"/>
      <c r="AA4" s="76"/>
      <c r="AB4" s="76"/>
    </row>
    <row r="5" spans="1:28">
      <c r="A5" s="47" t="str">
        <f>"AS OF " &amp;RIGHT(Forecast,(LEN(Forecast)-16))</f>
        <v>AS OF JUNE 30, 2026</v>
      </c>
      <c r="B5" s="1111"/>
      <c r="C5" s="1111"/>
      <c r="D5" s="1111"/>
      <c r="E5" s="1111"/>
      <c r="F5" s="1111"/>
      <c r="G5" s="1111"/>
      <c r="H5" s="1111"/>
      <c r="I5" s="1111"/>
      <c r="J5" s="1111"/>
      <c r="K5" s="1111"/>
      <c r="L5" s="1111"/>
      <c r="M5" s="1111"/>
      <c r="N5" s="1111"/>
      <c r="O5" s="1111"/>
      <c r="P5" s="76"/>
      <c r="Q5" s="76"/>
      <c r="R5" s="76"/>
      <c r="S5" s="76"/>
      <c r="T5" s="76"/>
      <c r="U5" s="78"/>
      <c r="V5" s="78"/>
      <c r="W5" s="76"/>
      <c r="X5" s="76"/>
      <c r="Y5" s="78"/>
      <c r="Z5" s="76"/>
      <c r="AA5" s="76"/>
      <c r="AB5" s="76"/>
    </row>
    <row r="6" spans="1:28">
      <c r="A6" s="1393" t="s">
        <v>55</v>
      </c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8"/>
      <c r="V6" s="78"/>
      <c r="W6" s="76"/>
      <c r="X6" s="76"/>
      <c r="Y6" s="78"/>
      <c r="Z6" s="76"/>
      <c r="AA6" s="76"/>
      <c r="AB6" s="76"/>
    </row>
    <row r="7" spans="1:28">
      <c r="A7" s="76" t="str">
        <f>DataB</f>
        <v>DATA: "X" BASE PERIOD  "X" FORECASTED PERIOD</v>
      </c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1" t="s">
        <v>933</v>
      </c>
      <c r="N7" s="76"/>
      <c r="O7" s="76"/>
      <c r="P7" s="76"/>
      <c r="Q7" s="76"/>
      <c r="R7" s="76"/>
      <c r="S7" s="76"/>
      <c r="T7" s="76"/>
      <c r="U7" s="78"/>
      <c r="V7" s="78"/>
      <c r="W7" s="76"/>
      <c r="X7" s="76"/>
      <c r="Y7" s="78"/>
      <c r="Z7" s="76"/>
      <c r="AA7" s="76"/>
      <c r="AB7" s="76"/>
    </row>
    <row r="8" spans="1:28">
      <c r="A8" s="76" t="str">
        <f>Type</f>
        <v xml:space="preserve">TYPE OF FILING:  "X" ORIGINAL   UPDATED    REVISED  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1" t="s">
        <v>466</v>
      </c>
      <c r="N8" s="76"/>
      <c r="O8" s="76"/>
      <c r="P8" s="76"/>
      <c r="Q8" s="76"/>
      <c r="R8" s="76"/>
      <c r="S8" s="76"/>
      <c r="T8" s="76"/>
      <c r="U8" s="78"/>
      <c r="V8" s="78"/>
      <c r="W8" s="76"/>
      <c r="X8" s="76"/>
      <c r="Y8" s="78"/>
      <c r="Z8" s="76"/>
      <c r="AA8" s="76"/>
      <c r="AB8" s="76"/>
    </row>
    <row r="9" spans="1:28">
      <c r="A9" s="71" t="s">
        <v>467</v>
      </c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1" t="s">
        <v>468</v>
      </c>
      <c r="N9" s="76"/>
      <c r="O9" s="76"/>
      <c r="P9" s="76"/>
      <c r="Q9" s="76"/>
      <c r="R9" s="76"/>
      <c r="S9" s="76"/>
      <c r="T9" s="76"/>
      <c r="U9" s="78"/>
      <c r="V9" s="78"/>
      <c r="W9" s="76"/>
      <c r="X9" s="76"/>
      <c r="Y9" s="78"/>
      <c r="Z9" s="76"/>
      <c r="AA9" s="76"/>
      <c r="AB9" s="76"/>
    </row>
    <row r="10" spans="1:28">
      <c r="A10" s="76"/>
      <c r="B10" s="71" t="s">
        <v>382</v>
      </c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1" t="str">
        <f>_WIT10</f>
        <v>G. S. CARPENTER</v>
      </c>
      <c r="N10" s="76"/>
      <c r="O10" s="76"/>
      <c r="P10" s="76"/>
      <c r="Q10" s="76"/>
      <c r="R10" s="76"/>
      <c r="S10" s="76"/>
      <c r="T10" s="76"/>
      <c r="U10" s="78"/>
      <c r="V10" s="78"/>
      <c r="W10" s="76"/>
      <c r="X10" s="76"/>
      <c r="Y10" s="78"/>
      <c r="Z10" s="76"/>
      <c r="AA10" s="76"/>
      <c r="AB10" s="76"/>
    </row>
    <row r="11" spans="1:28">
      <c r="A11" s="1471"/>
      <c r="B11" s="1471"/>
      <c r="C11" s="1471"/>
      <c r="D11" s="1471"/>
      <c r="E11" s="1471"/>
      <c r="F11" s="1471"/>
      <c r="G11" s="1471"/>
      <c r="H11" s="1471"/>
      <c r="I11" s="1471"/>
      <c r="J11" s="1471"/>
      <c r="K11" s="1471"/>
      <c r="L11" s="1471"/>
      <c r="M11" s="1471"/>
      <c r="N11" s="1471"/>
      <c r="O11" s="1471"/>
      <c r="P11" s="1112"/>
      <c r="Q11" s="76"/>
      <c r="R11" s="76"/>
      <c r="S11" s="76"/>
      <c r="T11" s="76"/>
      <c r="U11" s="78"/>
      <c r="V11" s="78"/>
      <c r="W11" s="76"/>
      <c r="X11" s="76"/>
      <c r="Y11" s="78"/>
      <c r="Z11" s="76"/>
      <c r="AA11" s="76"/>
      <c r="AB11" s="76"/>
    </row>
    <row r="12" spans="1:28">
      <c r="A12" s="76"/>
      <c r="B12" s="76"/>
      <c r="C12" s="76"/>
      <c r="D12" s="76"/>
      <c r="E12" s="75" t="s">
        <v>934</v>
      </c>
      <c r="F12" s="76"/>
      <c r="G12" s="75" t="s">
        <v>935</v>
      </c>
      <c r="H12" s="76"/>
      <c r="I12" s="1113" t="s">
        <v>936</v>
      </c>
      <c r="J12" s="1113"/>
      <c r="K12" s="1113"/>
      <c r="L12" s="76"/>
      <c r="M12" s="1113" t="s">
        <v>937</v>
      </c>
      <c r="N12" s="1113"/>
      <c r="O12" s="1111"/>
      <c r="P12" s="76"/>
      <c r="Q12" s="76"/>
      <c r="R12" s="76"/>
      <c r="S12" s="76"/>
      <c r="T12" s="76"/>
      <c r="U12" s="78"/>
      <c r="V12" s="78"/>
      <c r="W12" s="76"/>
      <c r="X12" s="76"/>
      <c r="Y12" s="78"/>
      <c r="Z12" s="76"/>
      <c r="AA12" s="76"/>
      <c r="AB12" s="76"/>
    </row>
    <row r="13" spans="1:28">
      <c r="A13" s="75" t="s">
        <v>471</v>
      </c>
      <c r="B13" s="76"/>
      <c r="C13" s="76"/>
      <c r="D13" s="76"/>
      <c r="E13" s="75" t="s">
        <v>938</v>
      </c>
      <c r="F13" s="76"/>
      <c r="G13" s="75" t="s">
        <v>477</v>
      </c>
      <c r="H13" s="76"/>
      <c r="I13" s="75" t="s">
        <v>473</v>
      </c>
      <c r="J13" s="76"/>
      <c r="K13" s="75" t="s">
        <v>474</v>
      </c>
      <c r="L13" s="76"/>
      <c r="M13" s="75" t="s">
        <v>473</v>
      </c>
      <c r="N13" s="76"/>
      <c r="O13" s="75" t="s">
        <v>474</v>
      </c>
      <c r="P13" s="76"/>
      <c r="Q13" s="76"/>
      <c r="R13" s="76"/>
      <c r="S13" s="76"/>
      <c r="T13" s="76"/>
      <c r="U13" s="78"/>
      <c r="V13" s="78"/>
      <c r="W13" s="76"/>
      <c r="X13" s="76"/>
      <c r="Y13" s="78"/>
      <c r="Z13" s="76"/>
      <c r="AA13" s="76"/>
      <c r="AB13" s="76"/>
    </row>
    <row r="14" spans="1:28">
      <c r="A14" s="75" t="s">
        <v>475</v>
      </c>
      <c r="B14" s="76"/>
      <c r="C14" s="71" t="s">
        <v>939</v>
      </c>
      <c r="D14" s="76"/>
      <c r="E14" s="75" t="s">
        <v>940</v>
      </c>
      <c r="F14" s="76"/>
      <c r="G14" s="75" t="s">
        <v>941</v>
      </c>
      <c r="H14" s="76"/>
      <c r="I14" s="75" t="s">
        <v>478</v>
      </c>
      <c r="J14" s="76"/>
      <c r="K14" s="75" t="s">
        <v>478</v>
      </c>
      <c r="L14" s="76"/>
      <c r="M14" s="75" t="s">
        <v>478</v>
      </c>
      <c r="N14" s="76"/>
      <c r="O14" s="75" t="s">
        <v>478</v>
      </c>
      <c r="P14" s="75"/>
      <c r="Q14" s="76"/>
      <c r="R14" s="76"/>
      <c r="S14" s="76"/>
      <c r="T14" s="76"/>
      <c r="U14" s="78"/>
      <c r="V14" s="78"/>
      <c r="W14" s="76"/>
      <c r="X14" s="76"/>
      <c r="Y14" s="78"/>
      <c r="Z14" s="76"/>
      <c r="AA14" s="76"/>
      <c r="AB14" s="76"/>
    </row>
    <row r="15" spans="1:28">
      <c r="A15" s="1471"/>
      <c r="B15" s="1471"/>
      <c r="C15" s="1471"/>
      <c r="D15" s="1471"/>
      <c r="E15" s="1471"/>
      <c r="F15" s="1471"/>
      <c r="G15" s="1471"/>
      <c r="H15" s="1471"/>
      <c r="I15" s="1471"/>
      <c r="J15" s="1471"/>
      <c r="K15" s="1471"/>
      <c r="L15" s="1471"/>
      <c r="M15" s="1471"/>
      <c r="N15" s="1471"/>
      <c r="O15" s="1472"/>
      <c r="P15" s="75"/>
      <c r="Q15" s="76"/>
      <c r="R15" s="76"/>
      <c r="S15" s="76"/>
      <c r="T15" s="76"/>
      <c r="U15" s="78"/>
      <c r="V15" s="78"/>
      <c r="W15" s="76"/>
      <c r="X15" s="76"/>
      <c r="Y15" s="78"/>
      <c r="Z15" s="76"/>
      <c r="AA15" s="76"/>
      <c r="AB15" s="76"/>
    </row>
    <row r="16" spans="1:28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1114" t="s">
        <v>580</v>
      </c>
      <c r="L16" s="76"/>
      <c r="M16" s="76"/>
      <c r="N16" s="76"/>
      <c r="O16" s="1114" t="s">
        <v>580</v>
      </c>
      <c r="P16" s="1114"/>
      <c r="Q16" s="76"/>
      <c r="R16" s="76"/>
      <c r="S16" s="76"/>
      <c r="T16" s="76"/>
      <c r="U16" s="78"/>
      <c r="V16" s="78"/>
      <c r="W16" s="76"/>
      <c r="X16" s="76"/>
      <c r="Y16" s="78"/>
      <c r="Z16" s="76"/>
      <c r="AA16" s="76"/>
      <c r="AB16" s="76"/>
    </row>
    <row r="17" spans="1:28">
      <c r="A17" s="75">
        <v>1</v>
      </c>
      <c r="B17" s="76"/>
      <c r="C17" s="71" t="s">
        <v>942</v>
      </c>
      <c r="D17" s="76"/>
      <c r="E17" s="76" t="s">
        <v>943</v>
      </c>
      <c r="F17" s="78"/>
      <c r="G17" s="75"/>
      <c r="H17" s="76"/>
      <c r="I17" s="1764">
        <f>U66</f>
        <v>7495342</v>
      </c>
      <c r="J17" s="807"/>
      <c r="K17" s="1764">
        <f>U116</f>
        <v>4507797</v>
      </c>
      <c r="L17" s="78"/>
      <c r="M17" s="80">
        <f>Y66</f>
        <v>7495342</v>
      </c>
      <c r="N17" s="78"/>
      <c r="O17" s="80">
        <f>Y116</f>
        <v>4507797</v>
      </c>
      <c r="P17" s="1835"/>
      <c r="Q17" s="76"/>
      <c r="R17" s="76"/>
      <c r="S17" s="76"/>
      <c r="T17" s="76"/>
      <c r="U17" s="78"/>
      <c r="V17" s="78"/>
      <c r="W17" s="76"/>
      <c r="X17" s="76"/>
      <c r="Y17" s="78"/>
      <c r="Z17" s="76"/>
      <c r="AA17" s="76"/>
      <c r="AB17" s="76"/>
    </row>
    <row r="18" spans="1:28">
      <c r="A18" s="75">
        <v>2</v>
      </c>
      <c r="B18" s="76"/>
      <c r="C18" s="71" t="s">
        <v>944</v>
      </c>
      <c r="D18" s="76"/>
      <c r="E18" s="72"/>
      <c r="F18" s="76"/>
      <c r="G18" s="76"/>
      <c r="H18" s="76"/>
      <c r="I18" s="78"/>
      <c r="J18" s="78"/>
      <c r="K18" s="78"/>
      <c r="L18" s="78"/>
      <c r="M18" s="78"/>
      <c r="N18" s="78"/>
      <c r="O18" s="78"/>
      <c r="P18" s="76"/>
      <c r="Q18" s="76"/>
      <c r="R18" s="76"/>
      <c r="S18" s="76"/>
      <c r="T18" s="76"/>
      <c r="U18" s="78"/>
      <c r="V18" s="78"/>
      <c r="W18" s="76"/>
      <c r="X18" s="76"/>
      <c r="Y18" s="78"/>
      <c r="Z18" s="76"/>
      <c r="AA18" s="76"/>
      <c r="AB18" s="76"/>
    </row>
    <row r="19" spans="1:28">
      <c r="A19" s="75">
        <v>3</v>
      </c>
      <c r="B19" s="76"/>
      <c r="C19" s="71"/>
      <c r="D19" s="76"/>
      <c r="E19" s="72"/>
      <c r="F19" s="76"/>
      <c r="G19" s="76"/>
      <c r="H19" s="76"/>
      <c r="I19" s="78"/>
      <c r="J19" s="78"/>
      <c r="K19" s="78"/>
      <c r="L19" s="78"/>
      <c r="M19" s="78"/>
      <c r="N19" s="78"/>
      <c r="O19" s="78"/>
      <c r="P19" s="76"/>
      <c r="Q19" s="76"/>
      <c r="R19" s="76"/>
      <c r="S19" s="76"/>
      <c r="T19" s="76"/>
      <c r="U19" s="78"/>
      <c r="V19" s="78"/>
      <c r="W19" s="76"/>
      <c r="X19" s="76"/>
      <c r="Y19" s="78"/>
      <c r="Z19" s="76"/>
      <c r="AA19" s="76"/>
      <c r="AB19" s="76"/>
    </row>
    <row r="20" spans="1:28">
      <c r="A20" s="75">
        <v>4</v>
      </c>
      <c r="B20" s="76"/>
      <c r="C20" s="71"/>
      <c r="D20" s="76"/>
      <c r="E20" s="72"/>
      <c r="F20" s="76"/>
      <c r="G20" s="76"/>
      <c r="H20" s="76"/>
      <c r="I20" s="78"/>
      <c r="J20" s="78"/>
      <c r="K20" s="78"/>
      <c r="L20" s="78"/>
      <c r="M20" s="78"/>
      <c r="N20" s="78"/>
      <c r="O20" s="78"/>
      <c r="P20" s="76"/>
      <c r="Q20" s="76"/>
      <c r="R20" s="76"/>
      <c r="S20" s="76"/>
      <c r="T20" s="76"/>
      <c r="U20" s="78"/>
      <c r="V20" s="78"/>
      <c r="W20" s="76"/>
      <c r="X20" s="76"/>
      <c r="Y20" s="78"/>
      <c r="Z20" s="76"/>
      <c r="AA20" s="76"/>
      <c r="AB20" s="76"/>
    </row>
    <row r="21" spans="1:28">
      <c r="A21" s="75">
        <v>5</v>
      </c>
      <c r="B21" s="76"/>
      <c r="C21" s="76" t="s">
        <v>945</v>
      </c>
      <c r="D21" s="76"/>
      <c r="E21" s="76"/>
      <c r="F21" s="76"/>
      <c r="G21" s="76"/>
      <c r="H21" s="76"/>
      <c r="I21" s="78"/>
      <c r="J21" s="78"/>
      <c r="K21" s="78"/>
      <c r="L21" s="78"/>
      <c r="M21" s="78"/>
      <c r="N21" s="78"/>
      <c r="O21" s="78"/>
      <c r="P21" s="76"/>
      <c r="Q21" s="76"/>
      <c r="R21" s="76"/>
      <c r="S21" s="76"/>
      <c r="T21" s="76"/>
      <c r="U21" s="78"/>
      <c r="V21" s="78"/>
      <c r="W21" s="76"/>
      <c r="X21" s="76"/>
      <c r="Y21" s="78"/>
      <c r="Z21" s="76"/>
      <c r="AA21" s="76"/>
      <c r="AB21" s="76"/>
    </row>
    <row r="22" spans="1:28">
      <c r="A22" s="75">
        <v>6</v>
      </c>
      <c r="B22" s="76"/>
      <c r="C22" s="1115" t="s">
        <v>946</v>
      </c>
      <c r="D22" s="76"/>
      <c r="E22" s="76"/>
      <c r="F22" s="78"/>
      <c r="G22" s="76"/>
      <c r="H22" s="76"/>
      <c r="I22" s="78"/>
      <c r="J22" s="78"/>
      <c r="K22" s="78"/>
      <c r="L22" s="78"/>
      <c r="M22" s="78"/>
      <c r="N22" s="78"/>
      <c r="O22" s="78"/>
      <c r="P22" s="1116"/>
      <c r="Q22" s="76"/>
      <c r="R22" s="76"/>
      <c r="S22" s="76"/>
      <c r="T22" s="76"/>
      <c r="U22" s="78"/>
      <c r="V22" s="78"/>
      <c r="W22" s="76"/>
      <c r="X22" s="76"/>
      <c r="Y22" s="78"/>
      <c r="Z22" s="76"/>
      <c r="AA22" s="76"/>
      <c r="AB22" s="76"/>
    </row>
    <row r="23" spans="1:28">
      <c r="A23" s="75">
        <v>7</v>
      </c>
      <c r="B23" s="76"/>
      <c r="C23" s="678" t="s">
        <v>947</v>
      </c>
      <c r="D23" s="76"/>
      <c r="E23" s="73" t="s">
        <v>506</v>
      </c>
      <c r="F23" s="78"/>
      <c r="G23" s="75" t="s">
        <v>948</v>
      </c>
      <c r="H23" s="76"/>
      <c r="I23" s="78">
        <f>U70</f>
        <v>23888663</v>
      </c>
      <c r="J23" s="78"/>
      <c r="K23" s="78">
        <f>U120</f>
        <v>10543149.846153846</v>
      </c>
      <c r="L23" s="78"/>
      <c r="M23" s="78">
        <f>Y70</f>
        <v>23888663</v>
      </c>
      <c r="N23" s="78"/>
      <c r="O23" s="78">
        <f>Y120</f>
        <v>10543150</v>
      </c>
      <c r="P23" s="1116"/>
      <c r="Q23" s="76"/>
      <c r="R23" s="76"/>
      <c r="S23" s="76"/>
      <c r="T23" s="76"/>
      <c r="U23" s="78"/>
      <c r="V23" s="78"/>
      <c r="W23" s="76"/>
      <c r="X23" s="76"/>
      <c r="Y23" s="78"/>
      <c r="Z23" s="76"/>
      <c r="AA23" s="76"/>
      <c r="AB23" s="76"/>
    </row>
    <row r="24" spans="1:28">
      <c r="A24" s="75">
        <v>8</v>
      </c>
      <c r="B24" s="76"/>
      <c r="C24" s="678" t="s">
        <v>138</v>
      </c>
      <c r="D24" s="76"/>
      <c r="E24" s="73" t="s">
        <v>506</v>
      </c>
      <c r="F24" s="78"/>
      <c r="G24" s="75" t="s">
        <v>948</v>
      </c>
      <c r="H24" s="76"/>
      <c r="I24" s="78">
        <f>U71</f>
        <v>11773565</v>
      </c>
      <c r="J24" s="78"/>
      <c r="K24" s="78">
        <f>U121</f>
        <v>11773565</v>
      </c>
      <c r="L24" s="78"/>
      <c r="M24" s="78">
        <f>Y71</f>
        <v>11773565</v>
      </c>
      <c r="N24" s="78"/>
      <c r="O24" s="78">
        <f>Y121</f>
        <v>11773565</v>
      </c>
      <c r="P24" s="1116"/>
      <c r="Q24" s="76"/>
      <c r="R24" s="76"/>
      <c r="S24" s="76"/>
      <c r="T24" s="76"/>
      <c r="U24" s="78"/>
      <c r="V24" s="78"/>
      <c r="W24" s="76"/>
      <c r="X24" s="76"/>
      <c r="Y24" s="78"/>
      <c r="Z24" s="76"/>
      <c r="AA24" s="76"/>
      <c r="AB24" s="76"/>
    </row>
    <row r="25" spans="1:28">
      <c r="A25" s="75">
        <v>9</v>
      </c>
      <c r="B25" s="76"/>
      <c r="C25" s="678" t="s">
        <v>136</v>
      </c>
      <c r="D25" s="76"/>
      <c r="E25" s="73" t="s">
        <v>506</v>
      </c>
      <c r="F25" s="78"/>
      <c r="G25" s="75" t="s">
        <v>948</v>
      </c>
      <c r="H25" s="76"/>
      <c r="I25" s="78">
        <f>U72</f>
        <v>0</v>
      </c>
      <c r="J25" s="78"/>
      <c r="K25" s="78">
        <f>U122</f>
        <v>0</v>
      </c>
      <c r="L25" s="78"/>
      <c r="M25" s="78">
        <f>Y72</f>
        <v>0</v>
      </c>
      <c r="N25" s="78"/>
      <c r="O25" s="78">
        <f>Y122</f>
        <v>0</v>
      </c>
      <c r="P25" s="1116"/>
      <c r="Q25" s="76"/>
      <c r="R25" s="76"/>
      <c r="S25" s="76"/>
      <c r="T25" s="76"/>
      <c r="U25" s="78"/>
      <c r="V25" s="78"/>
      <c r="W25" s="76"/>
      <c r="X25" s="76"/>
      <c r="Y25" s="78"/>
      <c r="Z25" s="76"/>
      <c r="AA25" s="76"/>
      <c r="AB25" s="76"/>
    </row>
    <row r="26" spans="1:28">
      <c r="A26" s="75">
        <v>10</v>
      </c>
      <c r="B26" s="76"/>
      <c r="C26" s="678" t="s">
        <v>949</v>
      </c>
      <c r="D26" s="76"/>
      <c r="E26" s="73" t="s">
        <v>506</v>
      </c>
      <c r="F26" s="78"/>
      <c r="G26" s="75" t="s">
        <v>948</v>
      </c>
      <c r="H26" s="76"/>
      <c r="I26" s="80">
        <f>U73</f>
        <v>0</v>
      </c>
      <c r="J26" s="78"/>
      <c r="K26" s="80">
        <f>U123</f>
        <v>0</v>
      </c>
      <c r="L26" s="78"/>
      <c r="M26" s="80">
        <f>Y73</f>
        <v>0</v>
      </c>
      <c r="N26" s="78"/>
      <c r="O26" s="80">
        <f>Y123</f>
        <v>0</v>
      </c>
      <c r="P26" s="1116"/>
      <c r="Q26" s="76"/>
      <c r="R26" s="76"/>
      <c r="S26" s="76"/>
      <c r="T26" s="76"/>
      <c r="U26" s="78"/>
      <c r="V26" s="78"/>
      <c r="W26" s="76"/>
      <c r="X26" s="76"/>
      <c r="Y26" s="78"/>
      <c r="Z26" s="76"/>
      <c r="AA26" s="76"/>
      <c r="AB26" s="76"/>
    </row>
    <row r="27" spans="1:28">
      <c r="A27" s="75">
        <v>11</v>
      </c>
      <c r="B27" s="76"/>
      <c r="C27" s="678" t="s">
        <v>950</v>
      </c>
      <c r="D27" s="76"/>
      <c r="E27" s="73" t="s">
        <v>506</v>
      </c>
      <c r="F27" s="78"/>
      <c r="G27" s="75" t="s">
        <v>951</v>
      </c>
      <c r="H27" s="76"/>
      <c r="I27" s="80">
        <f>U74</f>
        <v>-5682913</v>
      </c>
      <c r="J27" s="78"/>
      <c r="K27" s="80">
        <f>U124</f>
        <v>-6871551.846153846</v>
      </c>
      <c r="L27" s="78"/>
      <c r="M27" s="80">
        <f>Y74</f>
        <v>-5682913</v>
      </c>
      <c r="N27" s="78"/>
      <c r="O27" s="80">
        <f>Y124</f>
        <v>-6871552</v>
      </c>
      <c r="P27" s="1835"/>
      <c r="Q27" s="76"/>
      <c r="R27" s="76"/>
      <c r="S27" s="76"/>
      <c r="T27" s="76"/>
      <c r="U27" s="78"/>
      <c r="V27" s="78"/>
      <c r="W27" s="76"/>
      <c r="X27" s="76"/>
      <c r="Y27" s="78"/>
      <c r="Z27" s="76"/>
      <c r="AA27" s="76"/>
      <c r="AB27" s="76"/>
    </row>
    <row r="28" spans="1:28">
      <c r="A28" s="75">
        <v>12</v>
      </c>
      <c r="B28" s="76"/>
      <c r="C28" s="1115" t="s">
        <v>952</v>
      </c>
      <c r="D28" s="76"/>
      <c r="E28" s="73"/>
      <c r="F28" s="78"/>
      <c r="G28" s="75"/>
      <c r="H28" s="76"/>
      <c r="I28" s="78">
        <f>SUM(I23:I27)</f>
        <v>29979315</v>
      </c>
      <c r="J28" s="78"/>
      <c r="K28" s="78">
        <f>SUM(K23:K27)</f>
        <v>15445163.000000002</v>
      </c>
      <c r="L28" s="78"/>
      <c r="M28" s="78">
        <f>SUM(M23:M27)</f>
        <v>29979315</v>
      </c>
      <c r="N28" s="78"/>
      <c r="O28" s="78">
        <f>SUM(O23:O27)</f>
        <v>15445163</v>
      </c>
      <c r="P28" s="1116"/>
      <c r="Q28" s="76"/>
      <c r="R28" s="76"/>
      <c r="S28" s="76"/>
      <c r="T28" s="76"/>
      <c r="U28" s="78"/>
      <c r="V28" s="78"/>
      <c r="W28" s="76"/>
      <c r="X28" s="76"/>
      <c r="Y28" s="78"/>
      <c r="Z28" s="76"/>
      <c r="AA28" s="76"/>
      <c r="AB28" s="76"/>
    </row>
    <row r="29" spans="1:28">
      <c r="A29" s="75">
        <v>13</v>
      </c>
      <c r="B29" s="76"/>
      <c r="C29" s="1115"/>
      <c r="D29" s="76"/>
      <c r="E29" s="73"/>
      <c r="F29" s="78"/>
      <c r="G29" s="75"/>
      <c r="H29" s="76"/>
      <c r="I29" s="78"/>
      <c r="J29" s="78"/>
      <c r="K29" s="78"/>
      <c r="L29" s="78"/>
      <c r="M29" s="1117"/>
      <c r="N29" s="78"/>
      <c r="O29" s="1117"/>
      <c r="P29" s="1116"/>
      <c r="Q29" s="76"/>
      <c r="R29" s="76"/>
      <c r="S29" s="76"/>
      <c r="T29" s="76"/>
      <c r="U29" s="78"/>
      <c r="V29" s="78"/>
      <c r="W29" s="76"/>
      <c r="X29" s="76"/>
      <c r="Y29" s="78"/>
      <c r="Z29" s="76"/>
      <c r="AA29" s="76"/>
      <c r="AB29" s="76"/>
    </row>
    <row r="30" spans="1:28">
      <c r="A30" s="75">
        <v>14</v>
      </c>
      <c r="B30" s="76"/>
      <c r="C30" s="1115" t="s">
        <v>953</v>
      </c>
      <c r="D30" s="76"/>
      <c r="E30" s="73" t="s">
        <v>506</v>
      </c>
      <c r="F30" s="78"/>
      <c r="G30" s="75" t="s">
        <v>954</v>
      </c>
      <c r="H30" s="76"/>
      <c r="I30" s="78">
        <f>'WPB-5''s'!M61</f>
        <v>0</v>
      </c>
      <c r="J30" s="78"/>
      <c r="K30" s="78">
        <f>'WPB-5''s'!M79</f>
        <v>0</v>
      </c>
      <c r="L30" s="78"/>
      <c r="M30" s="1117">
        <v>0</v>
      </c>
      <c r="N30" s="78"/>
      <c r="O30" s="1117">
        <v>0</v>
      </c>
      <c r="P30" s="1116"/>
      <c r="Q30" s="76"/>
      <c r="R30" s="76"/>
      <c r="S30" s="76"/>
      <c r="T30" s="76"/>
      <c r="U30" s="78"/>
      <c r="V30" s="78"/>
      <c r="W30" s="76"/>
      <c r="X30" s="76"/>
      <c r="Y30" s="78"/>
      <c r="Z30" s="76"/>
      <c r="AA30" s="76"/>
      <c r="AB30" s="76"/>
    </row>
    <row r="31" spans="1:28">
      <c r="A31" s="75">
        <v>15</v>
      </c>
      <c r="B31" s="76"/>
      <c r="C31" s="1115"/>
      <c r="D31" s="76"/>
      <c r="E31" s="73"/>
      <c r="F31" s="78"/>
      <c r="G31" s="75"/>
      <c r="H31" s="76"/>
      <c r="I31" s="78"/>
      <c r="J31" s="78"/>
      <c r="K31" s="78"/>
      <c r="L31" s="78"/>
      <c r="M31" s="1117"/>
      <c r="N31" s="78"/>
      <c r="O31" s="1117"/>
      <c r="P31" s="1116"/>
      <c r="Q31" s="76"/>
      <c r="R31" s="76"/>
      <c r="S31" s="76"/>
      <c r="T31" s="76"/>
      <c r="U31" s="78"/>
      <c r="V31" s="78"/>
      <c r="W31" s="76"/>
      <c r="X31" s="76"/>
      <c r="Y31" s="78"/>
      <c r="Z31" s="76"/>
      <c r="AA31" s="76"/>
      <c r="AB31" s="76"/>
    </row>
    <row r="32" spans="1:28">
      <c r="A32" s="75">
        <v>16</v>
      </c>
      <c r="B32" s="76"/>
      <c r="C32" s="1115" t="s">
        <v>955</v>
      </c>
      <c r="D32" s="76"/>
      <c r="E32" s="73" t="s">
        <v>506</v>
      </c>
      <c r="F32" s="78"/>
      <c r="G32" s="75" t="s">
        <v>956</v>
      </c>
      <c r="H32" s="76"/>
      <c r="I32" s="78">
        <f>'WPB-5''s'!BB177</f>
        <v>2565012</v>
      </c>
      <c r="J32" s="78"/>
      <c r="K32" s="78">
        <f>'WPB-5''s'!BB195</f>
        <v>2565012</v>
      </c>
      <c r="L32" s="78"/>
      <c r="M32" s="1117">
        <v>0</v>
      </c>
      <c r="N32" s="78"/>
      <c r="O32" s="1117">
        <v>0</v>
      </c>
      <c r="P32" s="1116"/>
      <c r="Q32" s="76"/>
      <c r="R32" s="76"/>
      <c r="S32" s="76"/>
      <c r="T32" s="76"/>
      <c r="U32" s="78"/>
      <c r="V32" s="78"/>
      <c r="W32" s="76"/>
      <c r="X32" s="76"/>
      <c r="Y32" s="78"/>
      <c r="Z32" s="76"/>
      <c r="AA32" s="76"/>
      <c r="AB32" s="76"/>
    </row>
    <row r="33" spans="1:28">
      <c r="A33" s="75">
        <v>17</v>
      </c>
      <c r="B33" s="76"/>
      <c r="C33" s="1115"/>
      <c r="D33" s="76"/>
      <c r="E33" s="73"/>
      <c r="F33" s="78"/>
      <c r="G33" s="75"/>
      <c r="H33" s="76"/>
      <c r="I33" s="78"/>
      <c r="J33" s="78"/>
      <c r="K33" s="78"/>
      <c r="L33" s="78"/>
      <c r="M33" s="1117"/>
      <c r="N33" s="78"/>
      <c r="O33" s="1117"/>
      <c r="P33" s="1116"/>
      <c r="Q33" s="76"/>
      <c r="R33" s="76"/>
      <c r="S33" s="76"/>
      <c r="T33" s="76"/>
      <c r="U33" s="78"/>
      <c r="V33" s="78"/>
      <c r="W33" s="76"/>
      <c r="X33" s="76"/>
      <c r="Y33" s="78"/>
      <c r="Z33" s="76"/>
      <c r="AA33" s="76"/>
      <c r="AB33" s="76"/>
    </row>
    <row r="34" spans="1:28">
      <c r="A34" s="75">
        <v>18</v>
      </c>
      <c r="B34" s="76"/>
      <c r="C34" s="1115" t="s">
        <v>337</v>
      </c>
      <c r="D34" s="76"/>
      <c r="E34" s="73" t="s">
        <v>506</v>
      </c>
      <c r="F34" s="74"/>
      <c r="G34" s="75" t="s">
        <v>957</v>
      </c>
      <c r="H34" s="76"/>
      <c r="I34" s="78">
        <f>U81</f>
        <v>0</v>
      </c>
      <c r="J34" s="78"/>
      <c r="K34" s="78">
        <f>U131</f>
        <v>0</v>
      </c>
      <c r="L34" s="78"/>
      <c r="M34" s="78">
        <f>Y81</f>
        <v>0</v>
      </c>
      <c r="N34" s="78"/>
      <c r="O34" s="78">
        <f>Y131</f>
        <v>0</v>
      </c>
      <c r="P34" s="78"/>
      <c r="Q34" s="76"/>
      <c r="R34" s="76"/>
      <c r="S34" s="76"/>
      <c r="T34" s="76"/>
      <c r="U34" s="78"/>
      <c r="V34" s="78"/>
      <c r="W34" s="76"/>
      <c r="X34" s="76"/>
      <c r="Y34" s="78"/>
      <c r="Z34" s="76"/>
      <c r="AA34" s="76"/>
      <c r="AB34" s="76"/>
    </row>
    <row r="35" spans="1:28">
      <c r="A35" s="75">
        <v>19</v>
      </c>
      <c r="B35" s="76"/>
      <c r="C35" s="1115"/>
      <c r="D35" s="76"/>
      <c r="E35" s="73"/>
      <c r="F35" s="74"/>
      <c r="G35" s="75"/>
      <c r="H35" s="76"/>
      <c r="I35" s="1117"/>
      <c r="J35" s="78"/>
      <c r="K35" s="1117"/>
      <c r="L35" s="78"/>
      <c r="M35" s="1117"/>
      <c r="N35" s="78"/>
      <c r="O35" s="1117"/>
      <c r="P35" s="78"/>
      <c r="Q35" s="76"/>
      <c r="R35" s="76"/>
      <c r="S35" s="76"/>
      <c r="T35" s="76"/>
      <c r="U35" s="78"/>
      <c r="V35" s="78"/>
      <c r="W35" s="76"/>
      <c r="X35" s="76"/>
      <c r="Y35" s="78"/>
      <c r="Z35" s="76"/>
      <c r="AA35" s="76"/>
      <c r="AB35" s="76"/>
    </row>
    <row r="36" spans="1:28">
      <c r="A36" s="75">
        <v>20</v>
      </c>
      <c r="B36" s="76"/>
      <c r="C36" s="1115" t="s">
        <v>958</v>
      </c>
      <c r="D36" s="76"/>
      <c r="E36" s="73" t="s">
        <v>506</v>
      </c>
      <c r="F36" s="78"/>
      <c r="G36" s="75" t="s">
        <v>959</v>
      </c>
      <c r="H36" s="76"/>
      <c r="I36" s="78">
        <f>'WPB-5''s'!AL134</f>
        <v>20851933</v>
      </c>
      <c r="J36" s="78"/>
      <c r="K36" s="78">
        <f>'WPB-5''s'!AL147</f>
        <v>20851933</v>
      </c>
      <c r="L36" s="78"/>
      <c r="M36" s="78">
        <f>Y83</f>
        <v>20096676</v>
      </c>
      <c r="N36" s="78"/>
      <c r="O36" s="78">
        <f>Y133</f>
        <v>20096676</v>
      </c>
      <c r="P36" s="1765"/>
      <c r="Q36" s="76"/>
      <c r="R36" s="76"/>
      <c r="S36" s="76"/>
      <c r="T36" s="76"/>
      <c r="U36" s="78"/>
      <c r="V36" s="78"/>
      <c r="W36" s="76"/>
      <c r="X36" s="76"/>
      <c r="Y36" s="78"/>
      <c r="Z36" s="76"/>
      <c r="AA36" s="76"/>
      <c r="AB36" s="76"/>
    </row>
    <row r="37" spans="1:28">
      <c r="A37" s="75">
        <v>21</v>
      </c>
      <c r="B37" s="76"/>
      <c r="C37" s="1115"/>
      <c r="D37" s="76"/>
      <c r="E37" s="76"/>
      <c r="F37" s="76"/>
      <c r="G37" s="76"/>
      <c r="H37" s="76"/>
      <c r="I37" s="78"/>
      <c r="J37" s="78"/>
      <c r="K37" s="78"/>
      <c r="L37" s="78"/>
      <c r="M37" s="78"/>
      <c r="N37" s="78"/>
      <c r="O37" s="78"/>
      <c r="P37" s="76"/>
      <c r="Q37" s="76"/>
      <c r="R37" s="76"/>
      <c r="S37" s="76"/>
      <c r="T37" s="76"/>
      <c r="U37" s="78"/>
      <c r="V37" s="78"/>
      <c r="W37" s="76"/>
      <c r="X37" s="76"/>
      <c r="Y37" s="78"/>
      <c r="Z37" s="76"/>
      <c r="AA37" s="76"/>
      <c r="AB37" s="76"/>
    </row>
    <row r="38" spans="1:28">
      <c r="A38" s="75">
        <v>22</v>
      </c>
      <c r="B38" s="76"/>
      <c r="C38" s="1115" t="s">
        <v>960</v>
      </c>
      <c r="D38" s="76"/>
      <c r="E38" s="73" t="s">
        <v>506</v>
      </c>
      <c r="F38" s="78"/>
      <c r="G38" s="75" t="s">
        <v>961</v>
      </c>
      <c r="H38" s="76"/>
      <c r="I38" s="80">
        <f>'WPB-5''s'!W101</f>
        <v>2895819</v>
      </c>
      <c r="J38" s="78"/>
      <c r="K38" s="80">
        <f>'WPB-5''s'!W109</f>
        <v>2895819</v>
      </c>
      <c r="L38" s="78"/>
      <c r="M38" s="80">
        <f>Y85</f>
        <v>2119316</v>
      </c>
      <c r="N38" s="78"/>
      <c r="O38" s="80">
        <f>Y135</f>
        <v>2119316</v>
      </c>
      <c r="P38" s="76"/>
      <c r="Q38" s="76"/>
      <c r="R38" s="76"/>
      <c r="S38" s="76"/>
      <c r="T38" s="76"/>
      <c r="U38" s="78"/>
      <c r="V38" s="78"/>
      <c r="W38" s="76"/>
      <c r="X38" s="76"/>
      <c r="Y38" s="78"/>
      <c r="Z38" s="76"/>
      <c r="AA38" s="76"/>
      <c r="AB38" s="76"/>
    </row>
    <row r="39" spans="1:28">
      <c r="A39" s="75">
        <v>23</v>
      </c>
      <c r="B39" s="76"/>
      <c r="C39" s="76"/>
      <c r="D39" s="76"/>
      <c r="E39" s="76"/>
      <c r="F39" s="76"/>
      <c r="G39" s="76"/>
      <c r="H39" s="76"/>
      <c r="I39" s="78"/>
      <c r="J39" s="78"/>
      <c r="K39" s="78"/>
      <c r="L39" s="78"/>
      <c r="M39" s="78"/>
      <c r="N39" s="78"/>
      <c r="O39" s="78"/>
      <c r="P39" s="78"/>
      <c r="Q39" s="76"/>
      <c r="R39" s="76"/>
      <c r="S39" s="76"/>
      <c r="T39" s="76"/>
      <c r="U39" s="78"/>
      <c r="V39" s="78"/>
      <c r="W39" s="76"/>
      <c r="X39" s="76"/>
      <c r="Y39" s="78"/>
      <c r="Z39" s="76"/>
      <c r="AA39" s="76"/>
      <c r="AB39" s="76"/>
    </row>
    <row r="40" spans="1:28">
      <c r="A40" s="75">
        <v>24</v>
      </c>
      <c r="B40" s="76"/>
      <c r="C40" s="76" t="s">
        <v>962</v>
      </c>
      <c r="D40" s="76"/>
      <c r="E40" s="76"/>
      <c r="F40" s="76"/>
      <c r="G40" s="76"/>
      <c r="H40" s="76"/>
      <c r="I40" s="80">
        <f>I28+I30+I32+I34+I36+I38</f>
        <v>56292079</v>
      </c>
      <c r="J40" s="78"/>
      <c r="K40" s="80">
        <f>K28+K30+K32+K34+K36+K38</f>
        <v>41757927</v>
      </c>
      <c r="L40" s="78"/>
      <c r="M40" s="80">
        <f>M28+M30+M32+M34+M36+M38</f>
        <v>52195307</v>
      </c>
      <c r="N40" s="78"/>
      <c r="O40" s="80">
        <f>O28+O30+O32+O34+O36+O38</f>
        <v>37661155</v>
      </c>
      <c r="P40" s="76"/>
      <c r="Q40" s="76"/>
      <c r="R40" s="76"/>
      <c r="S40" s="76"/>
      <c r="T40" s="76"/>
      <c r="U40" s="78"/>
      <c r="V40" s="78"/>
      <c r="W40" s="76"/>
      <c r="X40" s="76"/>
      <c r="Y40" s="78"/>
      <c r="Z40" s="76"/>
      <c r="AA40" s="76"/>
      <c r="AB40" s="76"/>
    </row>
    <row r="41" spans="1:28">
      <c r="A41" s="75">
        <v>25</v>
      </c>
      <c r="B41" s="76"/>
      <c r="C41" s="71"/>
      <c r="D41" s="76"/>
      <c r="E41" s="76"/>
      <c r="F41" s="76"/>
      <c r="G41" s="76"/>
      <c r="H41" s="76"/>
      <c r="I41" s="78"/>
      <c r="J41" s="78"/>
      <c r="K41" s="78"/>
      <c r="L41" s="78"/>
      <c r="M41" s="78"/>
      <c r="N41" s="78"/>
      <c r="O41" s="78"/>
      <c r="P41" s="76"/>
      <c r="Q41" s="76"/>
      <c r="R41" s="76"/>
      <c r="S41" s="76"/>
      <c r="T41" s="76"/>
      <c r="U41" s="78"/>
      <c r="V41" s="78"/>
      <c r="W41" s="76"/>
      <c r="X41" s="76"/>
      <c r="Y41" s="78"/>
      <c r="Z41" s="76"/>
      <c r="AA41" s="76"/>
      <c r="AB41" s="76"/>
    </row>
    <row r="42" spans="1:28">
      <c r="A42" s="75">
        <v>26</v>
      </c>
      <c r="B42" s="76"/>
      <c r="C42" s="71" t="s">
        <v>963</v>
      </c>
      <c r="D42" s="76"/>
      <c r="E42" s="76"/>
      <c r="F42" s="76"/>
      <c r="G42" s="76"/>
      <c r="H42" s="76"/>
      <c r="I42" s="81">
        <f>I40+I17</f>
        <v>63787421</v>
      </c>
      <c r="J42" s="78"/>
      <c r="K42" s="81">
        <f>K40+K17</f>
        <v>46265724</v>
      </c>
      <c r="L42" s="78"/>
      <c r="M42" s="81">
        <f>M40+M17</f>
        <v>59690649</v>
      </c>
      <c r="N42" s="78"/>
      <c r="O42" s="81">
        <f>O40+O17</f>
        <v>42168952</v>
      </c>
      <c r="P42" s="78"/>
      <c r="Q42" s="76"/>
      <c r="R42" s="76"/>
      <c r="S42" s="76"/>
      <c r="T42" s="76"/>
      <c r="U42" s="78"/>
      <c r="V42" s="78"/>
      <c r="W42" s="76"/>
      <c r="X42" s="76"/>
      <c r="Y42" s="78"/>
      <c r="Z42" s="76"/>
      <c r="AA42" s="76"/>
      <c r="AB42" s="76"/>
    </row>
    <row r="43" spans="1:28">
      <c r="A43" s="75"/>
      <c r="B43" s="76"/>
      <c r="C43" s="76"/>
      <c r="D43" s="76"/>
      <c r="E43" s="76"/>
      <c r="F43" s="76"/>
      <c r="G43" s="76"/>
      <c r="H43" s="76"/>
      <c r="I43" s="78"/>
      <c r="J43" s="78"/>
      <c r="K43" s="78"/>
      <c r="L43" s="78"/>
      <c r="M43" s="78"/>
      <c r="N43" s="78"/>
      <c r="O43" s="78"/>
      <c r="P43" s="76"/>
      <c r="Q43" s="76"/>
      <c r="R43" s="76"/>
      <c r="S43" s="76"/>
      <c r="T43" s="76"/>
      <c r="U43" s="78"/>
      <c r="V43" s="78"/>
      <c r="W43" s="76"/>
      <c r="X43" s="76"/>
      <c r="Y43" s="78"/>
      <c r="Z43" s="76"/>
      <c r="AA43" s="76"/>
      <c r="AB43" s="76"/>
    </row>
    <row r="44" spans="1:28">
      <c r="A44" s="75"/>
      <c r="B44" s="76"/>
      <c r="C44" s="76" t="s">
        <v>964</v>
      </c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807"/>
      <c r="Q44" s="76"/>
      <c r="R44" s="76"/>
      <c r="S44" s="76"/>
      <c r="T44" s="76"/>
      <c r="U44" s="78"/>
      <c r="V44" s="78"/>
      <c r="W44" s="76"/>
      <c r="X44" s="76"/>
      <c r="Y44" s="78"/>
      <c r="Z44" s="76"/>
      <c r="AA44" s="76"/>
      <c r="AB44" s="76"/>
    </row>
    <row r="45" spans="1:28">
      <c r="A45" s="75"/>
      <c r="B45" s="71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8"/>
      <c r="V45" s="78"/>
      <c r="W45" s="76"/>
      <c r="X45" s="76"/>
      <c r="Y45" s="78"/>
      <c r="Z45" s="76"/>
      <c r="AA45" s="76"/>
      <c r="AB45" s="76"/>
    </row>
    <row r="46" spans="1:28">
      <c r="A46" s="71"/>
      <c r="B46" s="76"/>
      <c r="C46" s="76" t="s">
        <v>965</v>
      </c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8"/>
      <c r="V46" s="78"/>
      <c r="W46" s="76"/>
      <c r="X46" s="76"/>
      <c r="Y46" s="78"/>
      <c r="Z46" s="76"/>
      <c r="AA46" s="76"/>
      <c r="AB46" s="76"/>
    </row>
    <row r="47" spans="1:28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1111" t="str">
        <f>LOGO!$B$5</f>
        <v>DUKE ENERGY KENTUCKY, INC.</v>
      </c>
      <c r="R47" s="1111"/>
      <c r="S47" s="1111"/>
      <c r="T47" s="1111"/>
      <c r="U47" s="1118"/>
      <c r="V47" s="1118"/>
      <c r="W47" s="1111"/>
      <c r="X47" s="1111"/>
      <c r="Y47" s="1118"/>
      <c r="Z47" s="76"/>
      <c r="AA47" s="76"/>
      <c r="AB47" s="76"/>
    </row>
    <row r="48" spans="1:28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1111" t="str">
        <f>LOGO!B6</f>
        <v>CASE NO. 2024-00354</v>
      </c>
      <c r="R48" s="1111"/>
      <c r="S48" s="1111"/>
      <c r="T48" s="1111"/>
      <c r="U48" s="1118"/>
      <c r="V48" s="1118"/>
      <c r="W48" s="1111"/>
      <c r="X48" s="1111"/>
      <c r="Y48" s="1118"/>
      <c r="Z48" s="76"/>
      <c r="AA48" s="76"/>
      <c r="AB48" s="76"/>
    </row>
    <row r="49" spans="1:28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1111" t="s">
        <v>966</v>
      </c>
      <c r="R49" s="1111"/>
      <c r="S49" s="1111"/>
      <c r="T49" s="1111"/>
      <c r="U49" s="1118"/>
      <c r="V49" s="1118"/>
      <c r="W49" s="1111"/>
      <c r="X49" s="1111"/>
      <c r="Y49" s="1118"/>
      <c r="Z49" s="76"/>
      <c r="AA49" s="76"/>
      <c r="AB49" s="76"/>
    </row>
    <row r="50" spans="1:28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47" t="str">
        <f>"AS OF " &amp;RIGHT(TESTYR,(LEN(TESTYR)-16))</f>
        <v>AS OF FEBRUARY 28, 2025</v>
      </c>
      <c r="R50" s="1111"/>
      <c r="S50" s="1111"/>
      <c r="T50" s="1111"/>
      <c r="U50" s="1118"/>
      <c r="V50" s="1118"/>
      <c r="W50" s="1111"/>
      <c r="X50" s="1111"/>
      <c r="Y50" s="1118"/>
      <c r="Z50" s="76"/>
      <c r="AA50" s="76"/>
      <c r="AB50" s="76"/>
    </row>
    <row r="51" spans="1:28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8"/>
      <c r="V51" s="78"/>
      <c r="W51" s="76"/>
      <c r="X51" s="76"/>
      <c r="Y51" s="78"/>
      <c r="Z51" s="76"/>
      <c r="AA51" s="76"/>
      <c r="AB51" s="76"/>
    </row>
    <row r="52" spans="1:28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8"/>
      <c r="V52" s="78"/>
      <c r="W52" s="76"/>
      <c r="X52" s="76"/>
      <c r="Y52" s="78"/>
      <c r="Z52" s="76"/>
      <c r="AA52" s="76"/>
      <c r="AB52" s="76"/>
    </row>
    <row r="53" spans="1:28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 t="str">
        <f>Data</f>
        <v>DATA: "X" BASE PERIOD   FORECASTED PERIOD</v>
      </c>
      <c r="R53" s="76"/>
      <c r="S53" s="76"/>
      <c r="T53" s="76"/>
      <c r="U53" s="78"/>
      <c r="V53" s="78"/>
      <c r="W53" s="76"/>
      <c r="X53" s="71" t="s">
        <v>967</v>
      </c>
      <c r="Z53" s="76"/>
      <c r="AA53" s="76"/>
      <c r="AB53" s="76"/>
    </row>
    <row r="54" spans="1:28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 t="str">
        <f>LOGO!$B$15</f>
        <v xml:space="preserve">TYPE OF FILING:  "X" ORIGINAL   UPDATED    REVISED  </v>
      </c>
      <c r="R54" s="76"/>
      <c r="S54" s="76"/>
      <c r="T54" s="76"/>
      <c r="U54" s="78"/>
      <c r="V54" s="78"/>
      <c r="W54" s="76"/>
      <c r="X54" s="71" t="s">
        <v>571</v>
      </c>
      <c r="Z54" s="76"/>
      <c r="AA54" s="76"/>
      <c r="AB54" s="76"/>
    </row>
    <row r="55" spans="1:28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1" t="s">
        <v>968</v>
      </c>
      <c r="R55" s="76"/>
      <c r="S55" s="76"/>
      <c r="T55" s="76"/>
      <c r="U55" s="78"/>
      <c r="V55" s="78"/>
      <c r="W55" s="76"/>
      <c r="X55" s="71" t="s">
        <v>468</v>
      </c>
      <c r="Z55" s="76"/>
      <c r="AA55" s="76"/>
      <c r="AB55" s="76"/>
    </row>
    <row r="56" spans="1:28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8"/>
      <c r="V56" s="78"/>
      <c r="W56" s="76"/>
      <c r="X56" s="71" t="str">
        <f>_WIT10</f>
        <v>G. S. CARPENTER</v>
      </c>
      <c r="Z56" s="76"/>
      <c r="AA56" s="76"/>
      <c r="AB56" s="76"/>
    </row>
    <row r="57" spans="1:28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1473"/>
      <c r="R57" s="1473"/>
      <c r="S57" s="1473"/>
      <c r="T57" s="1473"/>
      <c r="U57" s="1474"/>
      <c r="V57" s="1474"/>
      <c r="W57" s="1473"/>
      <c r="X57" s="1473"/>
      <c r="Y57" s="1474"/>
      <c r="Z57" s="76"/>
      <c r="AA57" s="76"/>
      <c r="AB57" s="76"/>
    </row>
    <row r="58" spans="1:28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8"/>
      <c r="V58" s="78"/>
      <c r="W58" s="76"/>
      <c r="X58" s="76"/>
      <c r="Y58" s="78"/>
      <c r="Z58" s="76"/>
      <c r="AA58" s="76"/>
      <c r="AB58" s="76"/>
    </row>
    <row r="59" spans="1:28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1119" t="s">
        <v>969</v>
      </c>
      <c r="V59" s="1119"/>
      <c r="W59" s="1113"/>
      <c r="X59" s="1113"/>
      <c r="Y59" s="1119"/>
      <c r="Z59" s="76"/>
      <c r="AA59" s="76"/>
      <c r="AB59" s="76"/>
    </row>
    <row r="60" spans="1:28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 t="s">
        <v>471</v>
      </c>
      <c r="R60" s="76"/>
      <c r="S60" s="76"/>
      <c r="T60" s="76"/>
      <c r="U60" s="94"/>
      <c r="V60" s="94"/>
      <c r="W60" s="77" t="s">
        <v>970</v>
      </c>
      <c r="X60" s="77"/>
      <c r="Y60" s="77" t="s">
        <v>970</v>
      </c>
      <c r="Z60" s="76"/>
      <c r="AA60" s="76"/>
      <c r="AB60" s="76"/>
    </row>
    <row r="61" spans="1:28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 t="s">
        <v>475</v>
      </c>
      <c r="R61" s="76"/>
      <c r="S61" s="76" t="s">
        <v>971</v>
      </c>
      <c r="T61" s="76"/>
      <c r="U61" s="77" t="s">
        <v>972</v>
      </c>
      <c r="V61" s="77"/>
      <c r="W61" s="77" t="s">
        <v>973</v>
      </c>
      <c r="X61" s="77"/>
      <c r="Y61" s="77" t="s">
        <v>973</v>
      </c>
      <c r="Z61" s="76"/>
      <c r="AA61" s="76"/>
      <c r="AB61" s="76"/>
    </row>
    <row r="62" spans="1:28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1473"/>
      <c r="R62" s="1473"/>
      <c r="S62" s="1473"/>
      <c r="T62" s="1473"/>
      <c r="U62" s="1475" t="s">
        <v>974</v>
      </c>
      <c r="V62" s="1475"/>
      <c r="W62" s="1472" t="s">
        <v>420</v>
      </c>
      <c r="X62" s="1472"/>
      <c r="Y62" s="1475" t="s">
        <v>975</v>
      </c>
      <c r="Z62" s="76"/>
      <c r="AA62" s="76"/>
      <c r="AB62" s="76"/>
    </row>
    <row r="63" spans="1:28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7" t="s">
        <v>911</v>
      </c>
      <c r="V63" s="77"/>
      <c r="W63" s="75" t="s">
        <v>976</v>
      </c>
      <c r="X63" s="75"/>
      <c r="Y63" s="77" t="s">
        <v>977</v>
      </c>
      <c r="Z63" s="76"/>
      <c r="AA63" s="76"/>
      <c r="AB63" s="76"/>
    </row>
    <row r="64" spans="1:28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1120"/>
      <c r="Q64" s="76"/>
      <c r="R64" s="76"/>
      <c r="S64" s="76"/>
      <c r="T64" s="76"/>
      <c r="U64" s="78"/>
      <c r="V64" s="78"/>
      <c r="W64" s="76"/>
      <c r="X64" s="76"/>
      <c r="Y64" s="78"/>
      <c r="Z64" s="76"/>
      <c r="AA64" s="76"/>
      <c r="AB64" s="76"/>
    </row>
    <row r="65" spans="1:28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1120"/>
      <c r="Q65" s="75">
        <v>1</v>
      </c>
      <c r="R65" s="76"/>
      <c r="S65" s="76" t="s">
        <v>978</v>
      </c>
      <c r="T65" s="76"/>
      <c r="U65" s="78"/>
      <c r="V65" s="78"/>
      <c r="W65" s="76"/>
      <c r="X65" s="76"/>
      <c r="Y65" s="78"/>
      <c r="Z65" s="76"/>
      <c r="AA65" s="76"/>
      <c r="AB65" s="76"/>
    </row>
    <row r="66" spans="1:28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1120" t="s">
        <v>428</v>
      </c>
      <c r="Q66" s="75">
        <v>2</v>
      </c>
      <c r="R66" s="76"/>
      <c r="S66" s="76" t="s">
        <v>943</v>
      </c>
      <c r="T66" s="76"/>
      <c r="U66" s="1764">
        <v>7495342</v>
      </c>
      <c r="V66" s="1764"/>
      <c r="W66" s="1121">
        <f>VLOOKUP(P66,ALLOCTABLE,2)/100</f>
        <v>1</v>
      </c>
      <c r="X66" s="79"/>
      <c r="Y66" s="80">
        <f>ROUND(W66*U66,0)</f>
        <v>7495342</v>
      </c>
      <c r="Z66" s="76"/>
      <c r="AA66" s="76"/>
      <c r="AB66" s="76"/>
    </row>
    <row r="67" spans="1:28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5">
        <v>3</v>
      </c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</row>
    <row r="68" spans="1:28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5">
        <v>4</v>
      </c>
      <c r="R68" s="76"/>
      <c r="S68" s="76" t="s">
        <v>945</v>
      </c>
      <c r="T68" s="76"/>
      <c r="U68" s="76"/>
      <c r="V68" s="76"/>
      <c r="W68" s="76"/>
      <c r="X68" s="76"/>
      <c r="Y68" s="76"/>
      <c r="Z68" s="76"/>
      <c r="AA68" s="76"/>
      <c r="AB68" s="76"/>
    </row>
    <row r="69" spans="1:28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1120"/>
      <c r="Q69" s="75">
        <v>5</v>
      </c>
      <c r="R69" s="76"/>
      <c r="S69" s="1115" t="s">
        <v>946</v>
      </c>
      <c r="T69" s="76"/>
      <c r="U69" s="1117"/>
      <c r="V69" s="1117"/>
      <c r="W69" s="79"/>
      <c r="X69" s="79"/>
      <c r="Y69" s="1117"/>
      <c r="Z69" s="76"/>
      <c r="AA69" s="76"/>
      <c r="AB69" s="76"/>
    </row>
    <row r="70" spans="1:28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1120" t="s">
        <v>428</v>
      </c>
      <c r="Q70" s="75">
        <v>6</v>
      </c>
      <c r="R70" s="76"/>
      <c r="S70" s="678" t="s">
        <v>947</v>
      </c>
      <c r="T70" s="76"/>
      <c r="U70" s="78">
        <f>'WPB-5''s'!CE331+'WPB-5''s'!CF331</f>
        <v>23888663</v>
      </c>
      <c r="V70" s="78"/>
      <c r="W70" s="1121">
        <f>VLOOKUP(P70,ALLOCTABLE,2)/100</f>
        <v>1</v>
      </c>
      <c r="X70" s="1121"/>
      <c r="Y70" s="78">
        <f>ROUND(W70*U70,0)</f>
        <v>23888663</v>
      </c>
      <c r="Z70" s="76"/>
      <c r="AA70" s="76"/>
      <c r="AB70" s="76"/>
    </row>
    <row r="71" spans="1:28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1120" t="s">
        <v>428</v>
      </c>
      <c r="Q71" s="75">
        <v>7</v>
      </c>
      <c r="R71" s="76"/>
      <c r="S71" s="678" t="s">
        <v>138</v>
      </c>
      <c r="T71" s="76"/>
      <c r="U71" s="78">
        <f>'WPB-5''s'!CH331</f>
        <v>11773565</v>
      </c>
      <c r="V71" s="78"/>
      <c r="W71" s="1121">
        <f>VLOOKUP(P71,ALLOCTABLE,2)/100</f>
        <v>1</v>
      </c>
      <c r="X71" s="1121"/>
      <c r="Y71" s="78">
        <f>ROUND(W71*U71,0)</f>
        <v>11773565</v>
      </c>
      <c r="Z71" s="76"/>
      <c r="AA71" s="76"/>
      <c r="AB71" s="76"/>
    </row>
    <row r="72" spans="1:28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1120" t="s">
        <v>428</v>
      </c>
      <c r="Q72" s="75">
        <v>8</v>
      </c>
      <c r="R72" s="76"/>
      <c r="S72" s="678" t="s">
        <v>136</v>
      </c>
      <c r="T72" s="76"/>
      <c r="U72" s="78">
        <f>'WPB-5''s'!CJ331</f>
        <v>0</v>
      </c>
      <c r="V72" s="78"/>
      <c r="W72" s="1121">
        <f>VLOOKUP(P72,ALLOCTABLE,2)/100</f>
        <v>1</v>
      </c>
      <c r="X72" s="1121"/>
      <c r="Y72" s="78">
        <f>ROUND(W72*U72,0)</f>
        <v>0</v>
      </c>
      <c r="Z72" s="76"/>
      <c r="AA72" s="76"/>
      <c r="AB72" s="76"/>
    </row>
    <row r="73" spans="1:28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1120" t="s">
        <v>428</v>
      </c>
      <c r="Q73" s="75">
        <v>9</v>
      </c>
      <c r="R73" s="76"/>
      <c r="S73" s="678" t="s">
        <v>949</v>
      </c>
      <c r="T73" s="76"/>
      <c r="U73" s="78">
        <f>'WPB-5''s'!CK331</f>
        <v>0</v>
      </c>
      <c r="V73" s="80"/>
      <c r="W73" s="1121">
        <f>VLOOKUP(P73,ALLOCTABLE,2)/100</f>
        <v>1</v>
      </c>
      <c r="X73" s="1121"/>
      <c r="Y73" s="78">
        <f>ROUND(W73*U73,0)</f>
        <v>0</v>
      </c>
      <c r="Z73" s="76"/>
      <c r="AA73" s="76"/>
      <c r="AB73" s="76"/>
    </row>
    <row r="74" spans="1:28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1120" t="s">
        <v>428</v>
      </c>
      <c r="Q74" s="75">
        <v>10</v>
      </c>
      <c r="R74" s="76"/>
      <c r="S74" s="678" t="s">
        <v>950</v>
      </c>
      <c r="T74" s="76"/>
      <c r="U74" s="80">
        <f>'WPB-5''s'!DE437</f>
        <v>-5682913</v>
      </c>
      <c r="V74" s="80"/>
      <c r="W74" s="1121">
        <f>VLOOKUP(P74,ALLOCTABLE,2)/100</f>
        <v>1</v>
      </c>
      <c r="X74" s="1121"/>
      <c r="Y74" s="80">
        <f>ROUND(W74*U74,0)</f>
        <v>-5682913</v>
      </c>
      <c r="Z74" s="1836"/>
      <c r="AA74" s="76"/>
      <c r="AB74" s="76"/>
    </row>
    <row r="75" spans="1:28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1120"/>
      <c r="Q75" s="75">
        <v>11</v>
      </c>
      <c r="R75" s="76"/>
      <c r="S75" s="1115" t="s">
        <v>952</v>
      </c>
      <c r="T75" s="76"/>
      <c r="U75" s="78">
        <f>SUM(U70:U74)</f>
        <v>29979315</v>
      </c>
      <c r="V75" s="78"/>
      <c r="W75" s="1121"/>
      <c r="X75" s="1121"/>
      <c r="Y75" s="78">
        <f>SUM(Y70:Y74)</f>
        <v>29979315</v>
      </c>
      <c r="Z75" s="76"/>
      <c r="AA75" s="76"/>
      <c r="AB75" s="76"/>
    </row>
    <row r="76" spans="1:28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1120"/>
      <c r="Q76" s="75">
        <v>12</v>
      </c>
      <c r="R76" s="76"/>
      <c r="S76" s="1115"/>
      <c r="T76" s="76"/>
      <c r="U76" s="1117"/>
      <c r="V76" s="1117"/>
      <c r="W76" s="79"/>
      <c r="X76" s="79"/>
      <c r="Y76" s="1117"/>
      <c r="Z76" s="76"/>
      <c r="AA76" s="76"/>
      <c r="AB76" s="76"/>
    </row>
    <row r="77" spans="1:28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1120" t="s">
        <v>434</v>
      </c>
      <c r="Q77" s="75">
        <v>13</v>
      </c>
      <c r="R77" s="76"/>
      <c r="S77" s="1115" t="s">
        <v>953</v>
      </c>
      <c r="T77" s="76"/>
      <c r="U77" s="78">
        <f>'WPB-5''s'!M61</f>
        <v>0</v>
      </c>
      <c r="V77" s="78"/>
      <c r="W77" s="1121">
        <f>VLOOKUP(P77,ALLOCTABLE,2)/100</f>
        <v>0</v>
      </c>
      <c r="X77" s="1121"/>
      <c r="Y77" s="78">
        <f>ROUND(W77*U77,0)</f>
        <v>0</v>
      </c>
      <c r="Z77" s="76"/>
      <c r="AA77" s="76"/>
      <c r="AB77" s="76"/>
    </row>
    <row r="78" spans="1:28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1120"/>
      <c r="Q78" s="75">
        <v>14</v>
      </c>
      <c r="R78" s="76"/>
      <c r="S78" s="1115"/>
      <c r="T78" s="76"/>
      <c r="U78" s="78"/>
      <c r="V78" s="78"/>
      <c r="W78" s="79"/>
      <c r="X78" s="79"/>
      <c r="Y78" s="1117"/>
      <c r="Z78" s="76"/>
      <c r="AA78" s="76"/>
      <c r="AB78" s="76"/>
    </row>
    <row r="79" spans="1:28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1120" t="s">
        <v>434</v>
      </c>
      <c r="Q79" s="75">
        <v>15</v>
      </c>
      <c r="R79" s="76"/>
      <c r="S79" s="1115" t="s">
        <v>955</v>
      </c>
      <c r="T79" s="76"/>
      <c r="U79" s="78">
        <f>'WPB-5''s'!BB177</f>
        <v>2565012</v>
      </c>
      <c r="V79" s="78"/>
      <c r="W79" s="1121">
        <f>VLOOKUP(P79,ALLOCTABLE,2)/100</f>
        <v>0</v>
      </c>
      <c r="X79" s="1121"/>
      <c r="Y79" s="78">
        <f>ROUND(W79*U79,0)</f>
        <v>0</v>
      </c>
      <c r="Z79" s="76"/>
      <c r="AA79" s="76"/>
      <c r="AB79" s="76"/>
    </row>
    <row r="80" spans="1:28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1120"/>
      <c r="Q80" s="75">
        <v>16</v>
      </c>
      <c r="R80" s="76"/>
      <c r="S80" s="1115"/>
      <c r="T80" s="76"/>
      <c r="U80" s="1117"/>
      <c r="V80" s="1117"/>
      <c r="W80" s="79"/>
      <c r="X80" s="79"/>
      <c r="Y80" s="1117"/>
      <c r="Z80" s="76"/>
      <c r="AA80" s="76"/>
      <c r="AB80" s="76"/>
    </row>
    <row r="81" spans="1:28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1120" t="s">
        <v>432</v>
      </c>
      <c r="Q81" s="75">
        <v>17</v>
      </c>
      <c r="R81" s="76"/>
      <c r="S81" s="1115" t="s">
        <v>337</v>
      </c>
      <c r="T81" s="76"/>
      <c r="U81" s="78">
        <f>'WPB-5''s'!CV383</f>
        <v>0</v>
      </c>
      <c r="V81" s="78"/>
      <c r="W81" s="1121">
        <f>VLOOKUP(P81,ALLOCTABLE,2)/100</f>
        <v>1</v>
      </c>
      <c r="X81" s="1121"/>
      <c r="Y81" s="78">
        <f>ROUND(W81*U81,0)</f>
        <v>0</v>
      </c>
      <c r="Z81" s="76"/>
      <c r="AA81" s="76"/>
      <c r="AB81" s="76"/>
    </row>
    <row r="82" spans="1:28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1120"/>
      <c r="Q82" s="75">
        <v>18</v>
      </c>
      <c r="R82" s="76"/>
      <c r="S82" s="1115"/>
      <c r="T82" s="76"/>
      <c r="U82" s="1117"/>
      <c r="V82" s="1117"/>
      <c r="W82" s="79"/>
      <c r="X82" s="79"/>
      <c r="Y82" s="1117"/>
      <c r="Z82" s="76"/>
      <c r="AA82" s="76"/>
      <c r="AB82" s="76"/>
    </row>
    <row r="83" spans="1:28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1120"/>
      <c r="Q83" s="75">
        <v>19</v>
      </c>
      <c r="R83" s="76"/>
      <c r="S83" s="1115" t="s">
        <v>958</v>
      </c>
      <c r="T83" s="76"/>
      <c r="U83" s="78">
        <f>'WPB-5''s'!AL134</f>
        <v>20851933</v>
      </c>
      <c r="V83" s="78"/>
      <c r="W83" s="79" t="s">
        <v>979</v>
      </c>
      <c r="X83" s="79"/>
      <c r="Y83" s="78">
        <f>'WPB-5''s'!AO134</f>
        <v>20096676</v>
      </c>
      <c r="Z83" s="76"/>
      <c r="AA83" s="76"/>
      <c r="AB83" s="76"/>
    </row>
    <row r="84" spans="1:28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5">
        <v>20</v>
      </c>
      <c r="R84" s="76"/>
      <c r="S84" s="1115"/>
      <c r="T84" s="76"/>
      <c r="U84" s="78"/>
      <c r="V84" s="78"/>
      <c r="W84" s="1834"/>
      <c r="X84" s="1834"/>
      <c r="Y84" s="78"/>
      <c r="Z84" s="76"/>
      <c r="AA84" s="76"/>
      <c r="AB84" s="76"/>
    </row>
    <row r="85" spans="1:28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5">
        <v>21</v>
      </c>
      <c r="R85" s="76"/>
      <c r="S85" s="1115" t="s">
        <v>960</v>
      </c>
      <c r="T85" s="76"/>
      <c r="U85" s="80">
        <f>'WPB-5''s'!W101</f>
        <v>2895819</v>
      </c>
      <c r="V85" s="80"/>
      <c r="W85" s="79" t="s">
        <v>979</v>
      </c>
      <c r="X85" s="79"/>
      <c r="Y85" s="80">
        <f>'WPB-5''s'!AC101</f>
        <v>2119316</v>
      </c>
      <c r="Z85" s="76"/>
      <c r="AA85" s="76"/>
      <c r="AB85" s="76"/>
    </row>
    <row r="86" spans="1:28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5">
        <v>22</v>
      </c>
      <c r="R86" s="76"/>
      <c r="S86" s="76"/>
      <c r="T86" s="76"/>
      <c r="U86" s="78"/>
      <c r="V86" s="78"/>
      <c r="W86" s="76"/>
      <c r="X86" s="76"/>
      <c r="Y86" s="78"/>
      <c r="Z86" s="76"/>
      <c r="AA86" s="76"/>
      <c r="AB86" s="76"/>
    </row>
    <row r="87" spans="1:28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5">
        <v>23</v>
      </c>
      <c r="R87" s="76"/>
      <c r="S87" s="76" t="s">
        <v>962</v>
      </c>
      <c r="T87" s="76"/>
      <c r="U87" s="80">
        <f>U75+U79+U77+U81+U83+U85</f>
        <v>56292079</v>
      </c>
      <c r="V87" s="80"/>
      <c r="W87" s="76"/>
      <c r="X87" s="76"/>
      <c r="Y87" s="80">
        <f>Y75+Y81+Y83+Y85</f>
        <v>52195307</v>
      </c>
      <c r="Z87" s="76"/>
      <c r="AA87" s="76"/>
      <c r="AB87" s="76"/>
    </row>
    <row r="88" spans="1:28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5">
        <v>24</v>
      </c>
      <c r="R88" s="76"/>
      <c r="S88" s="76"/>
      <c r="T88" s="76"/>
      <c r="U88" s="78"/>
      <c r="V88" s="78"/>
      <c r="W88" s="76"/>
      <c r="X88" s="76"/>
      <c r="Y88" s="78"/>
      <c r="Z88" s="76"/>
      <c r="AA88" s="76"/>
      <c r="AB88" s="76"/>
    </row>
    <row r="89" spans="1:28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5">
        <v>25</v>
      </c>
      <c r="R89" s="76"/>
      <c r="S89" s="76" t="s">
        <v>963</v>
      </c>
      <c r="T89" s="76"/>
      <c r="U89" s="81">
        <f>U87+U66</f>
        <v>63787421</v>
      </c>
      <c r="V89" s="81"/>
      <c r="W89" s="76"/>
      <c r="X89" s="76"/>
      <c r="Y89" s="81">
        <f>Y87+Y66</f>
        <v>59690649</v>
      </c>
      <c r="Z89" s="76"/>
      <c r="AA89" s="76"/>
      <c r="AB89" s="76"/>
    </row>
    <row r="90" spans="1:28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</row>
    <row r="91" spans="1:28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</row>
    <row r="92" spans="1:28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8"/>
      <c r="V92" s="78"/>
      <c r="W92" s="76"/>
      <c r="X92" s="76"/>
      <c r="Y92" s="78"/>
      <c r="Z92" s="76"/>
      <c r="AA92" s="76"/>
      <c r="AB92" s="76"/>
    </row>
    <row r="93" spans="1:28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8"/>
      <c r="V93" s="78"/>
      <c r="W93" s="76"/>
      <c r="X93" s="76"/>
      <c r="Y93" s="78"/>
      <c r="Z93" s="76"/>
      <c r="AA93" s="76"/>
      <c r="AB93" s="76"/>
    </row>
    <row r="94" spans="1:28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8"/>
      <c r="V94" s="78"/>
      <c r="W94" s="76"/>
      <c r="X94" s="76"/>
      <c r="Y94" s="78"/>
      <c r="Z94" s="76"/>
      <c r="AA94" s="76"/>
      <c r="AB94" s="76"/>
    </row>
    <row r="95" spans="1:28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8"/>
      <c r="V95" s="78"/>
      <c r="W95" s="76"/>
      <c r="X95" s="76"/>
      <c r="Y95" s="78"/>
      <c r="Z95" s="76"/>
      <c r="AA95" s="76"/>
      <c r="AB95" s="76"/>
    </row>
    <row r="96" spans="1:28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8"/>
      <c r="V96" s="78"/>
      <c r="W96" s="76"/>
      <c r="X96" s="76"/>
      <c r="Y96" s="78"/>
      <c r="Z96" s="76"/>
      <c r="AA96" s="76"/>
      <c r="AB96" s="76"/>
    </row>
    <row r="97" spans="1:28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1111" t="str">
        <f>LOGO!$B$5</f>
        <v>DUKE ENERGY KENTUCKY, INC.</v>
      </c>
      <c r="R97" s="1111"/>
      <c r="S97" s="1111"/>
      <c r="T97" s="1111"/>
      <c r="U97" s="1118"/>
      <c r="V97" s="1118"/>
      <c r="W97" s="1111"/>
      <c r="X97" s="1111"/>
      <c r="Y97" s="1118"/>
      <c r="Z97" s="76"/>
      <c r="AA97" s="76"/>
      <c r="AB97" s="76"/>
    </row>
    <row r="98" spans="1:28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1111" t="str">
        <f>CASE</f>
        <v>CASE NO. 2024-00354</v>
      </c>
      <c r="R98" s="1111"/>
      <c r="S98" s="1111"/>
      <c r="T98" s="1111"/>
      <c r="U98" s="1118"/>
      <c r="V98" s="1118"/>
      <c r="W98" s="1111"/>
      <c r="X98" s="1111"/>
      <c r="Y98" s="1118"/>
      <c r="Z98" s="76"/>
      <c r="AA98" s="76"/>
      <c r="AB98" s="76"/>
    </row>
    <row r="99" spans="1:28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1111" t="s">
        <v>966</v>
      </c>
      <c r="R99" s="1111"/>
      <c r="S99" s="1111"/>
      <c r="T99" s="1111"/>
      <c r="U99" s="1118"/>
      <c r="V99" s="1118"/>
      <c r="W99" s="1111"/>
      <c r="X99" s="1111"/>
      <c r="Y99" s="1118"/>
      <c r="Z99" s="76"/>
      <c r="AA99" s="76"/>
      <c r="AB99" s="76"/>
    </row>
    <row r="100" spans="1:28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47" t="str">
        <f>"AS OF " &amp;RIGHT(Forecast,(LEN(Forecast)-16))</f>
        <v>AS OF JUNE 30, 2026</v>
      </c>
      <c r="R100" s="1111"/>
      <c r="S100" s="1111"/>
      <c r="T100" s="1111"/>
      <c r="U100" s="1118"/>
      <c r="V100" s="1118"/>
      <c r="W100" s="1111"/>
      <c r="X100" s="1111"/>
      <c r="Y100" s="1118"/>
      <c r="Z100" s="76"/>
      <c r="AA100" s="76"/>
      <c r="AB100" s="76"/>
    </row>
    <row r="101" spans="1:28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8"/>
      <c r="V101" s="78"/>
      <c r="W101" s="76"/>
      <c r="X101" s="76"/>
      <c r="Y101" s="78"/>
      <c r="Z101" s="76"/>
      <c r="AA101" s="76"/>
      <c r="AB101" s="76"/>
    </row>
    <row r="102" spans="1:28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8"/>
      <c r="V102" s="78"/>
      <c r="W102" s="76"/>
      <c r="X102" s="76"/>
      <c r="Y102" s="78"/>
      <c r="Z102" s="76"/>
      <c r="AA102" s="76"/>
      <c r="AB102" s="76"/>
    </row>
    <row r="103" spans="1:28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 t="str">
        <f>DataF</f>
        <v>DATA:  BASE PERIOD  "X" FORECASTED PERIOD</v>
      </c>
      <c r="R103" s="76"/>
      <c r="S103" s="76"/>
      <c r="T103" s="76"/>
      <c r="U103" s="78"/>
      <c r="V103" s="78"/>
      <c r="W103" s="76"/>
      <c r="X103" s="71" t="s">
        <v>967</v>
      </c>
      <c r="Y103" s="78"/>
      <c r="Z103" s="76"/>
      <c r="AA103" s="76"/>
      <c r="AB103" s="76"/>
    </row>
    <row r="104" spans="1:28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 t="str">
        <f>LOGO!$B$15</f>
        <v xml:space="preserve">TYPE OF FILING:  "X" ORIGINAL   UPDATED    REVISED  </v>
      </c>
      <c r="R104" s="76"/>
      <c r="S104" s="76"/>
      <c r="T104" s="76"/>
      <c r="U104" s="78"/>
      <c r="V104" s="78"/>
      <c r="W104" s="76"/>
      <c r="X104" s="71" t="s">
        <v>590</v>
      </c>
      <c r="Y104" s="78"/>
      <c r="Z104" s="76"/>
      <c r="AA104" s="76"/>
      <c r="AB104" s="76"/>
    </row>
    <row r="105" spans="1:28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1" t="s">
        <v>980</v>
      </c>
      <c r="R105" s="76"/>
      <c r="S105" s="76"/>
      <c r="T105" s="76"/>
      <c r="U105" s="78"/>
      <c r="V105" s="78"/>
      <c r="W105" s="76"/>
      <c r="X105" s="71" t="s">
        <v>468</v>
      </c>
      <c r="Y105" s="78"/>
      <c r="Z105" s="76"/>
      <c r="AA105" s="76"/>
      <c r="AB105" s="76"/>
    </row>
    <row r="106" spans="1:28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8"/>
      <c r="V106" s="78"/>
      <c r="W106" s="76"/>
      <c r="X106" s="71" t="str">
        <f>_WIT10</f>
        <v>G. S. CARPENTER</v>
      </c>
      <c r="Y106" s="78"/>
      <c r="Z106" s="76"/>
      <c r="AA106" s="76"/>
      <c r="AB106" s="76"/>
    </row>
    <row r="107" spans="1:28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1473"/>
      <c r="R107" s="1473"/>
      <c r="S107" s="1473"/>
      <c r="T107" s="1473"/>
      <c r="U107" s="1474"/>
      <c r="V107" s="1474"/>
      <c r="W107" s="1473"/>
      <c r="X107" s="1473"/>
      <c r="Y107" s="1474"/>
      <c r="Z107" s="76"/>
      <c r="AA107" s="76"/>
      <c r="AB107" s="76"/>
    </row>
    <row r="108" spans="1:28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8"/>
      <c r="V108" s="78"/>
      <c r="W108" s="76"/>
      <c r="X108" s="76"/>
      <c r="Y108" s="78"/>
      <c r="Z108" s="76"/>
      <c r="AA108" s="76"/>
      <c r="AB108" s="76"/>
    </row>
    <row r="109" spans="1:28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1119" t="s">
        <v>981</v>
      </c>
      <c r="V109" s="1119"/>
      <c r="W109" s="1113"/>
      <c r="X109" s="1113"/>
      <c r="Y109" s="1119"/>
      <c r="Z109" s="76"/>
      <c r="AA109" s="76"/>
      <c r="AB109" s="76"/>
    </row>
    <row r="110" spans="1:28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 t="s">
        <v>471</v>
      </c>
      <c r="R110" s="76"/>
      <c r="S110" s="76"/>
      <c r="T110" s="76"/>
      <c r="U110" s="94"/>
      <c r="V110" s="94"/>
      <c r="W110" s="77" t="s">
        <v>970</v>
      </c>
      <c r="X110" s="77"/>
      <c r="Y110" s="77" t="s">
        <v>970</v>
      </c>
      <c r="Z110" s="76"/>
      <c r="AA110" s="76"/>
      <c r="AB110" s="76"/>
    </row>
    <row r="111" spans="1:28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 t="s">
        <v>475</v>
      </c>
      <c r="R111" s="76"/>
      <c r="S111" s="76" t="s">
        <v>971</v>
      </c>
      <c r="T111" s="76"/>
      <c r="U111" s="77" t="s">
        <v>972</v>
      </c>
      <c r="V111" s="77"/>
      <c r="W111" s="77" t="s">
        <v>973</v>
      </c>
      <c r="X111" s="77"/>
      <c r="Y111" s="77" t="s">
        <v>973</v>
      </c>
      <c r="Z111" s="76"/>
      <c r="AA111" s="76"/>
      <c r="AB111" s="76"/>
    </row>
    <row r="112" spans="1:28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1473"/>
      <c r="R112" s="1473"/>
      <c r="S112" s="1473"/>
      <c r="T112" s="1473"/>
      <c r="U112" s="1475" t="s">
        <v>974</v>
      </c>
      <c r="V112" s="1475"/>
      <c r="W112" s="1472" t="s">
        <v>420</v>
      </c>
      <c r="X112" s="1472"/>
      <c r="Y112" s="1475" t="s">
        <v>975</v>
      </c>
      <c r="Z112" s="76"/>
      <c r="AA112" s="76"/>
      <c r="AB112" s="76"/>
    </row>
    <row r="113" spans="1:28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7" t="s">
        <v>506</v>
      </c>
      <c r="V113" s="77"/>
      <c r="W113" s="75" t="s">
        <v>510</v>
      </c>
      <c r="X113" s="75"/>
      <c r="Y113" s="77" t="s">
        <v>519</v>
      </c>
      <c r="Z113" s="76"/>
      <c r="AA113" s="76"/>
      <c r="AB113" s="76"/>
    </row>
    <row r="114" spans="1:28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1120"/>
      <c r="Q114" s="76"/>
      <c r="R114" s="76"/>
      <c r="S114" s="76"/>
      <c r="T114" s="76"/>
      <c r="U114" s="78"/>
      <c r="V114" s="78"/>
      <c r="W114" s="74"/>
      <c r="X114" s="74"/>
      <c r="Y114" s="78"/>
      <c r="Z114" s="76"/>
      <c r="AA114" s="76"/>
      <c r="AB114" s="76"/>
    </row>
    <row r="115" spans="1:28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1120"/>
      <c r="Q115" s="75">
        <v>1</v>
      </c>
      <c r="R115" s="76"/>
      <c r="S115" s="76" t="s">
        <v>978</v>
      </c>
      <c r="T115" s="76"/>
      <c r="U115" s="78"/>
      <c r="V115" s="78"/>
      <c r="W115" s="74"/>
      <c r="X115" s="74"/>
      <c r="Y115" s="78"/>
      <c r="Z115" s="76"/>
      <c r="AA115" s="76"/>
      <c r="AB115" s="76"/>
    </row>
    <row r="116" spans="1:28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1120" t="s">
        <v>428</v>
      </c>
      <c r="Q116" s="75">
        <v>2</v>
      </c>
      <c r="R116" s="76"/>
      <c r="S116" s="76" t="s">
        <v>943</v>
      </c>
      <c r="T116" s="76"/>
      <c r="U116" s="1764">
        <v>4507797</v>
      </c>
      <c r="V116" s="807"/>
      <c r="W116" s="1121">
        <f>VLOOKUP(P116,ALLOCTABLE,2)/100</f>
        <v>1</v>
      </c>
      <c r="X116" s="1121"/>
      <c r="Y116" s="78">
        <f>ROUND(W116*U116,0)</f>
        <v>4507797</v>
      </c>
      <c r="Z116" s="808"/>
      <c r="AA116" s="809"/>
      <c r="AB116" s="809"/>
    </row>
    <row r="117" spans="1:28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5">
        <v>3</v>
      </c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</row>
    <row r="118" spans="1:28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5">
        <v>4</v>
      </c>
      <c r="R118" s="76"/>
      <c r="S118" s="76" t="s">
        <v>945</v>
      </c>
      <c r="T118" s="76"/>
      <c r="U118" s="78"/>
      <c r="V118" s="78"/>
      <c r="W118" s="76"/>
      <c r="X118" s="76"/>
      <c r="Y118" s="78"/>
      <c r="Z118" s="76"/>
      <c r="AA118" s="76"/>
      <c r="AB118" s="76"/>
    </row>
    <row r="119" spans="1:28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1120"/>
      <c r="Q119" s="75">
        <v>5</v>
      </c>
      <c r="R119" s="76"/>
      <c r="S119" s="1115" t="s">
        <v>946</v>
      </c>
      <c r="T119" s="76"/>
      <c r="U119" s="1117"/>
      <c r="V119" s="1117"/>
      <c r="W119" s="79"/>
      <c r="X119" s="79"/>
      <c r="Y119" s="1117"/>
      <c r="Z119" s="76"/>
      <c r="AA119" s="76"/>
      <c r="AB119" s="76"/>
    </row>
    <row r="120" spans="1:28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1120" t="s">
        <v>428</v>
      </c>
      <c r="Q120" s="75">
        <v>6</v>
      </c>
      <c r="R120" s="76"/>
      <c r="S120" s="678" t="s">
        <v>947</v>
      </c>
      <c r="T120" s="76"/>
      <c r="U120" s="78">
        <f>'WPB-5''s'!CE349+'WPB-5''s'!CF349</f>
        <v>10543149.846153846</v>
      </c>
      <c r="V120" s="78"/>
      <c r="W120" s="1121">
        <f>VLOOKUP(P120,ALLOCTABLE,2)/100</f>
        <v>1</v>
      </c>
      <c r="X120" s="1121"/>
      <c r="Y120" s="78">
        <f>ROUND(W120*U120,0)</f>
        <v>10543150</v>
      </c>
      <c r="Z120" s="76"/>
      <c r="AA120" s="76"/>
      <c r="AB120" s="76"/>
    </row>
    <row r="121" spans="1:28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1120" t="s">
        <v>428</v>
      </c>
      <c r="Q121" s="75">
        <v>7</v>
      </c>
      <c r="R121" s="76"/>
      <c r="S121" s="678" t="s">
        <v>138</v>
      </c>
      <c r="T121" s="76"/>
      <c r="U121" s="78">
        <f>'WPB-5''s'!CH349</f>
        <v>11773565</v>
      </c>
      <c r="V121" s="78"/>
      <c r="W121" s="1121">
        <f>VLOOKUP(P121,ALLOCTABLE,2)/100</f>
        <v>1</v>
      </c>
      <c r="X121" s="1121"/>
      <c r="Y121" s="78">
        <f>ROUND(W121*U121,0)</f>
        <v>11773565</v>
      </c>
      <c r="Z121" s="76"/>
      <c r="AA121" s="76"/>
      <c r="AB121" s="76"/>
    </row>
    <row r="122" spans="1:28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1120" t="s">
        <v>428</v>
      </c>
      <c r="Q122" s="75">
        <v>8</v>
      </c>
      <c r="R122" s="76"/>
      <c r="S122" s="678" t="s">
        <v>136</v>
      </c>
      <c r="T122" s="76"/>
      <c r="U122" s="78">
        <f>'WPB-5''s'!CJ349</f>
        <v>0</v>
      </c>
      <c r="V122" s="78"/>
      <c r="W122" s="1121">
        <f>VLOOKUP(P122,ALLOCTABLE,2)/100</f>
        <v>1</v>
      </c>
      <c r="X122" s="1121"/>
      <c r="Y122" s="78">
        <f>ROUND(W122*U122,0)</f>
        <v>0</v>
      </c>
      <c r="Z122" s="76"/>
      <c r="AA122" s="76"/>
      <c r="AB122" s="76"/>
    </row>
    <row r="123" spans="1:28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1120" t="s">
        <v>428</v>
      </c>
      <c r="Q123" s="75">
        <v>9</v>
      </c>
      <c r="R123" s="76"/>
      <c r="S123" s="678" t="s">
        <v>949</v>
      </c>
      <c r="T123" s="76"/>
      <c r="U123" s="78">
        <f>'WPB-5''s'!CK349</f>
        <v>0</v>
      </c>
      <c r="V123" s="80"/>
      <c r="W123" s="1121">
        <f>VLOOKUP(P123,ALLOCTABLE,2)/100</f>
        <v>1</v>
      </c>
      <c r="X123" s="1121"/>
      <c r="Y123" s="78">
        <f>ROUND(W123*U123,0)</f>
        <v>0</v>
      </c>
      <c r="Z123" s="76"/>
      <c r="AA123" s="76"/>
      <c r="AB123" s="76"/>
    </row>
    <row r="124" spans="1:28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1120" t="s">
        <v>428</v>
      </c>
      <c r="Q124" s="75">
        <v>10</v>
      </c>
      <c r="R124" s="76"/>
      <c r="S124" s="678" t="s">
        <v>950</v>
      </c>
      <c r="T124" s="76"/>
      <c r="U124" s="80">
        <f>'WPB-5''s'!DE455</f>
        <v>-6871551.846153846</v>
      </c>
      <c r="V124" s="80"/>
      <c r="W124" s="1121">
        <f>VLOOKUP(P124,ALLOCTABLE,2)/100</f>
        <v>1</v>
      </c>
      <c r="X124" s="1121"/>
      <c r="Y124" s="80">
        <f>ROUND(W124*U124,0)</f>
        <v>-6871552</v>
      </c>
      <c r="Z124" s="1836"/>
      <c r="AA124" s="76"/>
      <c r="AB124" s="76"/>
    </row>
    <row r="125" spans="1:28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1120"/>
      <c r="Q125" s="75">
        <v>11</v>
      </c>
      <c r="R125" s="76"/>
      <c r="S125" s="1115" t="s">
        <v>952</v>
      </c>
      <c r="T125" s="76"/>
      <c r="U125" s="78">
        <f>SUM(U120:U124)</f>
        <v>15445163.000000002</v>
      </c>
      <c r="V125" s="78"/>
      <c r="W125" s="1121"/>
      <c r="X125" s="1121"/>
      <c r="Y125" s="78">
        <f>SUM(Y120:Y124)</f>
        <v>15445163</v>
      </c>
      <c r="Z125" s="76"/>
      <c r="AA125" s="76"/>
      <c r="AB125" s="76"/>
    </row>
    <row r="126" spans="1:28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1120"/>
      <c r="Q126" s="75">
        <v>12</v>
      </c>
      <c r="R126" s="76"/>
      <c r="S126" s="1115"/>
      <c r="T126" s="76"/>
      <c r="U126" s="1117"/>
      <c r="V126" s="1117"/>
      <c r="W126" s="79"/>
      <c r="X126" s="79"/>
      <c r="Y126" s="1117"/>
      <c r="Z126" s="76"/>
      <c r="AA126" s="76"/>
      <c r="AB126" s="76"/>
    </row>
    <row r="127" spans="1:28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1120" t="s">
        <v>434</v>
      </c>
      <c r="Q127" s="75">
        <v>13</v>
      </c>
      <c r="R127" s="76"/>
      <c r="S127" s="1115" t="s">
        <v>953</v>
      </c>
      <c r="T127" s="76"/>
      <c r="U127" s="78">
        <f>'WPB-5''s'!M79</f>
        <v>0</v>
      </c>
      <c r="V127" s="78"/>
      <c r="W127" s="1121">
        <f>VLOOKUP(P127,ALLOCTABLE,2)/100</f>
        <v>0</v>
      </c>
      <c r="X127" s="1121"/>
      <c r="Y127" s="78">
        <f>ROUND(W127*U127,0)</f>
        <v>0</v>
      </c>
      <c r="Z127" s="76"/>
      <c r="AA127" s="76"/>
      <c r="AB127" s="76"/>
    </row>
    <row r="128" spans="1:28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1120"/>
      <c r="Q128" s="75">
        <v>14</v>
      </c>
      <c r="R128" s="76"/>
      <c r="S128" s="1115"/>
      <c r="T128" s="76"/>
      <c r="U128" s="78"/>
      <c r="V128" s="78"/>
      <c r="W128" s="79"/>
      <c r="X128" s="79"/>
      <c r="Y128" s="1117"/>
      <c r="Z128" s="76"/>
      <c r="AA128" s="76"/>
      <c r="AB128" s="76"/>
    </row>
    <row r="129" spans="1:28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1120" t="s">
        <v>434</v>
      </c>
      <c r="Q129" s="75">
        <v>15</v>
      </c>
      <c r="R129" s="76"/>
      <c r="S129" s="1115" t="s">
        <v>955</v>
      </c>
      <c r="T129" s="76"/>
      <c r="U129" s="78">
        <f>'WPB-5''s'!BB195</f>
        <v>2565012</v>
      </c>
      <c r="V129" s="78"/>
      <c r="W129" s="1121">
        <f>VLOOKUP(P129,ALLOCTABLE,2)/100</f>
        <v>0</v>
      </c>
      <c r="X129" s="1121"/>
      <c r="Y129" s="78">
        <f>ROUND(W129*U129,0)</f>
        <v>0</v>
      </c>
      <c r="Z129" s="76"/>
      <c r="AA129" s="76"/>
      <c r="AB129" s="76"/>
    </row>
    <row r="130" spans="1:28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1120"/>
      <c r="Q130" s="75">
        <v>16</v>
      </c>
      <c r="R130" s="76"/>
      <c r="S130" s="1115"/>
      <c r="T130" s="76"/>
      <c r="U130" s="1117"/>
      <c r="V130" s="1117"/>
      <c r="W130" s="79"/>
      <c r="X130" s="79"/>
      <c r="Y130" s="1117"/>
      <c r="Z130" s="76"/>
      <c r="AA130" s="76"/>
      <c r="AB130" s="76"/>
    </row>
    <row r="131" spans="1:28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1120" t="s">
        <v>432</v>
      </c>
      <c r="Q131" s="75">
        <v>17</v>
      </c>
      <c r="R131" s="76"/>
      <c r="S131" s="1115" t="s">
        <v>337</v>
      </c>
      <c r="T131" s="76"/>
      <c r="U131" s="78">
        <f>'WPB-5''s'!CV401</f>
        <v>0</v>
      </c>
      <c r="V131" s="78"/>
      <c r="W131" s="1121">
        <f>VLOOKUP(P131,ALLOCTABLE,2)/100</f>
        <v>1</v>
      </c>
      <c r="X131" s="1121"/>
      <c r="Y131" s="78">
        <f>ROUND(W131*U131,0)</f>
        <v>0</v>
      </c>
      <c r="Z131" s="76"/>
      <c r="AA131" s="76"/>
      <c r="AB131" s="76"/>
    </row>
    <row r="132" spans="1:28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1120"/>
      <c r="Q132" s="75">
        <v>18</v>
      </c>
      <c r="R132" s="76"/>
      <c r="S132" s="1115"/>
      <c r="T132" s="76"/>
      <c r="U132" s="78"/>
      <c r="V132" s="78"/>
      <c r="W132" s="74"/>
      <c r="X132" s="74"/>
      <c r="Y132" s="78"/>
      <c r="Z132" s="76"/>
      <c r="AA132" s="76"/>
      <c r="AB132" s="76"/>
    </row>
    <row r="133" spans="1:28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1120"/>
      <c r="Q133" s="75">
        <v>19</v>
      </c>
      <c r="R133" s="76"/>
      <c r="S133" s="1115" t="s">
        <v>958</v>
      </c>
      <c r="T133" s="76"/>
      <c r="U133" s="78">
        <f>'WPB-5''s'!AL147</f>
        <v>20851933</v>
      </c>
      <c r="V133" s="78"/>
      <c r="W133" s="79" t="s">
        <v>979</v>
      </c>
      <c r="X133" s="79"/>
      <c r="Y133" s="78">
        <f>'WPB-5''s'!AR147</f>
        <v>20096676</v>
      </c>
      <c r="Z133" s="76"/>
      <c r="AA133" s="76"/>
      <c r="AB133" s="76"/>
    </row>
    <row r="134" spans="1:28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5">
        <v>20</v>
      </c>
      <c r="R134" s="76"/>
      <c r="S134" s="1115"/>
      <c r="T134" s="76"/>
      <c r="U134" s="78"/>
      <c r="V134" s="78"/>
      <c r="W134" s="79"/>
      <c r="X134" s="79"/>
      <c r="Y134" s="78"/>
      <c r="Z134" s="76"/>
      <c r="AA134" s="76"/>
      <c r="AB134" s="76"/>
    </row>
    <row r="135" spans="1:28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5">
        <v>21</v>
      </c>
      <c r="R135" s="76"/>
      <c r="S135" s="1115" t="s">
        <v>960</v>
      </c>
      <c r="T135" s="76"/>
      <c r="U135" s="80">
        <f>'WPB-5''s'!W109</f>
        <v>2895819</v>
      </c>
      <c r="V135" s="80"/>
      <c r="W135" s="79" t="s">
        <v>979</v>
      </c>
      <c r="X135" s="79"/>
      <c r="Y135" s="80">
        <f>'WPB-5''s'!AC109</f>
        <v>2119316</v>
      </c>
      <c r="Z135" s="76"/>
      <c r="AA135" s="76"/>
      <c r="AB135" s="76"/>
    </row>
    <row r="136" spans="1:28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5">
        <v>22</v>
      </c>
      <c r="R136" s="76"/>
      <c r="S136" s="76"/>
      <c r="T136" s="76"/>
      <c r="U136" s="78"/>
      <c r="V136" s="78"/>
      <c r="W136" s="76"/>
      <c r="X136" s="76"/>
      <c r="Y136" s="78"/>
      <c r="Z136" s="76"/>
      <c r="AA136" s="76"/>
      <c r="AB136" s="76"/>
    </row>
    <row r="137" spans="1:28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5">
        <v>23</v>
      </c>
      <c r="R137" s="76"/>
      <c r="S137" s="76" t="s">
        <v>962</v>
      </c>
      <c r="T137" s="76"/>
      <c r="U137" s="80">
        <f>U125+U129+U127+U131+U133+U135</f>
        <v>41757927</v>
      </c>
      <c r="V137" s="80"/>
      <c r="W137" s="76"/>
      <c r="X137" s="76"/>
      <c r="Y137" s="80">
        <f>Y125+Y127+Y129+Y131+Y133+Y135</f>
        <v>37661155</v>
      </c>
      <c r="Z137" s="76"/>
      <c r="AA137" s="76"/>
      <c r="AB137" s="76"/>
    </row>
    <row r="138" spans="1:28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5">
        <v>24</v>
      </c>
      <c r="R138" s="76"/>
      <c r="S138" s="76"/>
      <c r="T138" s="76"/>
      <c r="U138" s="78"/>
      <c r="V138" s="78"/>
      <c r="W138" s="76"/>
      <c r="X138" s="76"/>
      <c r="Y138" s="78"/>
      <c r="Z138" s="76"/>
      <c r="AA138" s="76"/>
      <c r="AB138" s="76"/>
    </row>
    <row r="139" spans="1:28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5">
        <v>25</v>
      </c>
      <c r="R139" s="76"/>
      <c r="S139" s="76" t="s">
        <v>963</v>
      </c>
      <c r="T139" s="76"/>
      <c r="U139" s="81">
        <f>U137+U116</f>
        <v>46265724</v>
      </c>
      <c r="V139" s="81"/>
      <c r="W139" s="76"/>
      <c r="X139" s="76"/>
      <c r="Y139" s="81">
        <f>Y137+Y116</f>
        <v>42168952</v>
      </c>
      <c r="Z139" s="76"/>
      <c r="AA139" s="76"/>
      <c r="AB139" s="76"/>
    </row>
    <row r="140" spans="1:28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</row>
    <row r="141" spans="1:28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</row>
  </sheetData>
  <phoneticPr fontId="19" type="noConversion"/>
  <hyperlinks>
    <hyperlink ref="A6" location="Sch_A" display="." xr:uid="{00000000-0004-0000-1A00-000000000000}"/>
  </hyperlinks>
  <pageMargins left="1" right="0.75" top="1" bottom="0" header="0" footer="0"/>
  <pageSetup scale="79" orientation="portrait" r:id="rId1"/>
  <headerFooter alignWithMargins="0"/>
  <ignoredErrors>
    <ignoredError sqref="E38 E36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2">
    <tabColor theme="4" tint="0.39997558519241921"/>
    <pageSetUpPr fitToPage="1"/>
  </sheetPr>
  <dimension ref="A1:DK461"/>
  <sheetViews>
    <sheetView topLeftCell="I39" zoomScaleNormal="100" workbookViewId="0">
      <selection activeCell="I39" sqref="I39"/>
    </sheetView>
  </sheetViews>
  <sheetFormatPr defaultColWidth="8" defaultRowHeight="13.2"/>
  <cols>
    <col min="1" max="1" width="7.44140625" hidden="1" customWidth="1"/>
    <col min="2" max="2" width="1.44140625" hidden="1" customWidth="1"/>
    <col min="3" max="3" width="65.5546875" hidden="1" customWidth="1"/>
    <col min="4" max="4" width="24.5546875" hidden="1" customWidth="1"/>
    <col min="5" max="5" width="19" hidden="1" customWidth="1"/>
    <col min="6" max="6" width="1.5546875" hidden="1" customWidth="1"/>
    <col min="7" max="7" width="20" hidden="1" customWidth="1"/>
    <col min="8" max="8" width="3.5546875" hidden="1" customWidth="1"/>
    <col min="9" max="9" width="6.5546875" customWidth="1"/>
    <col min="10" max="10" width="2.44140625" customWidth="1"/>
    <col min="11" max="11" width="31.5546875" customWidth="1"/>
    <col min="12" max="12" width="10" customWidth="1"/>
    <col min="13" max="13" width="16.44140625" customWidth="1"/>
    <col min="14" max="14" width="16.5546875" customWidth="1"/>
    <col min="15" max="15" width="14.5546875" customWidth="1"/>
    <col min="16" max="16" width="21.44140625" customWidth="1"/>
    <col min="17" max="17" width="7.5546875" customWidth="1"/>
    <col min="18" max="18" width="3.5546875" customWidth="1"/>
    <col min="19" max="21" width="11" customWidth="1"/>
    <col min="22" max="22" width="3.44140625" customWidth="1"/>
    <col min="23" max="23" width="16.5546875" customWidth="1"/>
    <col min="24" max="24" width="14.5546875" customWidth="1"/>
    <col min="25" max="25" width="5" customWidth="1"/>
    <col min="26" max="26" width="14.44140625" customWidth="1"/>
    <col min="27" max="27" width="16.5546875" customWidth="1"/>
    <col min="28" max="28" width="13" customWidth="1"/>
    <col min="29" max="29" width="16.44140625" customWidth="1"/>
    <col min="30" max="30" width="5.44140625" customWidth="1"/>
    <col min="31" max="31" width="11" customWidth="1"/>
    <col min="32" max="32" width="5" customWidth="1"/>
    <col min="33" max="33" width="8.44140625" customWidth="1"/>
    <col min="34" max="34" width="1.44140625" customWidth="1"/>
    <col min="35" max="35" width="12.5546875" customWidth="1"/>
    <col min="36" max="36" width="38.5546875" customWidth="1"/>
    <col min="37" max="37" width="1.44140625" customWidth="1"/>
    <col min="38" max="38" width="18.44140625" customWidth="1"/>
    <col min="39" max="39" width="11.5546875" customWidth="1"/>
    <col min="40" max="40" width="4.5546875" customWidth="1"/>
    <col min="41" max="41" width="15.44140625" customWidth="1"/>
    <col min="42" max="42" width="14.5546875" customWidth="1"/>
    <col min="43" max="43" width="10.5546875" customWidth="1"/>
    <col min="44" max="44" width="18.5546875" customWidth="1"/>
    <col min="45" max="46" width="5.5546875" customWidth="1"/>
    <col min="47" max="47" width="3" customWidth="1"/>
    <col min="48" max="48" width="7.44140625" customWidth="1"/>
    <col min="49" max="51" width="16.5546875" customWidth="1"/>
    <col min="52" max="52" width="17.5546875" customWidth="1"/>
    <col min="53" max="53" width="2" customWidth="1"/>
    <col min="54" max="54" width="19.44140625" customWidth="1"/>
    <col min="55" max="55" width="9.5546875" customWidth="1"/>
    <col min="56" max="56" width="19.44140625" customWidth="1"/>
    <col min="57" max="57" width="1" customWidth="1"/>
    <col min="58" max="58" width="7.44140625" customWidth="1"/>
    <col min="59" max="59" width="16.5546875" customWidth="1"/>
    <col min="60" max="60" width="17.5546875" customWidth="1"/>
    <col min="61" max="69" width="16.44140625" customWidth="1"/>
    <col min="70" max="71" width="8" customWidth="1"/>
    <col min="72" max="72" width="23.44140625" customWidth="1"/>
    <col min="73" max="73" width="11.44140625" customWidth="1"/>
    <col min="74" max="76" width="17.5546875" customWidth="1"/>
    <col min="77" max="77" width="16" customWidth="1"/>
    <col min="78" max="78" width="19.44140625" customWidth="1"/>
    <col min="79" max="79" width="2.5546875" customWidth="1"/>
    <col min="80" max="80" width="10.44140625" customWidth="1"/>
    <col min="81" max="81" width="20.5546875" customWidth="1"/>
    <col min="82" max="82" width="14" customWidth="1"/>
    <col min="83" max="84" width="18.44140625" customWidth="1"/>
    <col min="85" max="85" width="2" customWidth="1"/>
    <col min="86" max="86" width="23.44140625" customWidth="1"/>
    <col min="87" max="87" width="1.44140625" customWidth="1"/>
    <col min="88" max="88" width="18.44140625" customWidth="1"/>
    <col min="89" max="89" width="19.44140625" customWidth="1"/>
    <col min="90" max="91" width="8" customWidth="1"/>
    <col min="92" max="92" width="14.5546875" customWidth="1"/>
    <col min="93" max="93" width="9" customWidth="1"/>
    <col min="94" max="94" width="10" customWidth="1"/>
    <col min="95" max="95" width="9.44140625" customWidth="1"/>
    <col min="96" max="101" width="14.5546875" customWidth="1"/>
    <col min="103" max="103" width="16" customWidth="1"/>
    <col min="104" max="105" width="9.109375" customWidth="1"/>
    <col min="106" max="109" width="14.5546875" customWidth="1"/>
    <col min="111" max="111" width="10.33203125" bestFit="1" customWidth="1"/>
  </cols>
  <sheetData>
    <row r="1" spans="1:101" hidden="1">
      <c r="A1" s="82"/>
      <c r="B1" s="82"/>
      <c r="C1" s="82"/>
      <c r="D1" s="82"/>
      <c r="E1" s="83"/>
      <c r="F1" s="83"/>
      <c r="G1" s="82"/>
      <c r="H1" s="83"/>
      <c r="I1" s="1411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2"/>
      <c r="BN1" s="82"/>
      <c r="BO1" s="82"/>
      <c r="BP1" s="82"/>
      <c r="BQ1" s="82"/>
      <c r="BR1" s="82"/>
      <c r="BS1" s="82"/>
      <c r="BT1" s="82"/>
      <c r="BU1" s="82"/>
      <c r="BV1" s="82"/>
      <c r="BW1" s="82"/>
      <c r="BX1" s="82"/>
      <c r="BY1" s="82"/>
      <c r="BZ1" s="82"/>
      <c r="CA1" s="82"/>
      <c r="CB1" s="84"/>
      <c r="CC1" s="82"/>
      <c r="CD1" s="82"/>
      <c r="CE1" s="82"/>
      <c r="CF1" s="82"/>
      <c r="CG1" s="82"/>
      <c r="CH1" s="82"/>
      <c r="CI1" s="82"/>
      <c r="CJ1" s="82"/>
      <c r="CK1" s="82"/>
      <c r="CL1" s="82"/>
      <c r="CM1" s="82"/>
      <c r="CN1" s="82"/>
      <c r="CO1" s="82"/>
      <c r="CP1" s="82"/>
      <c r="CQ1" s="82"/>
      <c r="CR1" s="82"/>
      <c r="CS1" s="82"/>
      <c r="CT1" s="82"/>
      <c r="CU1" s="82"/>
      <c r="CV1" s="82"/>
      <c r="CW1" s="82"/>
    </row>
    <row r="2" spans="1:101" hidden="1">
      <c r="A2" s="82"/>
      <c r="B2" s="82"/>
      <c r="C2" s="82"/>
      <c r="D2" s="82"/>
      <c r="E2" s="83"/>
      <c r="F2" s="83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  <c r="BS2" s="82"/>
      <c r="BT2" s="82"/>
      <c r="BU2" s="82"/>
      <c r="BV2" s="82"/>
      <c r="BW2" s="82"/>
      <c r="BX2" s="82"/>
      <c r="BY2" s="82"/>
      <c r="BZ2" s="82"/>
      <c r="CA2" s="82"/>
      <c r="CB2" s="84"/>
      <c r="CC2" s="82"/>
      <c r="CD2" s="82"/>
      <c r="CE2" s="82"/>
      <c r="CF2" s="82"/>
      <c r="CG2" s="82"/>
      <c r="CH2" s="82"/>
      <c r="CI2" s="82"/>
      <c r="CJ2" s="82"/>
      <c r="CK2" s="82"/>
      <c r="CL2" s="82"/>
      <c r="CM2" s="82"/>
      <c r="CN2" s="82"/>
      <c r="CO2" s="82"/>
      <c r="CP2" s="82"/>
      <c r="CQ2" s="82"/>
      <c r="CR2" s="82"/>
      <c r="CS2" s="82"/>
      <c r="CT2" s="82"/>
      <c r="CU2" s="82"/>
      <c r="CV2" s="82"/>
      <c r="CW2" s="82"/>
    </row>
    <row r="3" spans="1:101" hidden="1">
      <c r="A3" s="82"/>
      <c r="B3" s="82"/>
      <c r="C3" s="82"/>
      <c r="D3" s="82"/>
      <c r="E3" s="71"/>
      <c r="F3" s="82"/>
      <c r="G3" s="82"/>
      <c r="H3" s="85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/>
      <c r="BW3" s="82"/>
      <c r="BX3" s="82"/>
      <c r="BY3" s="82"/>
      <c r="BZ3" s="82"/>
      <c r="CA3" s="82"/>
      <c r="CB3" s="84"/>
      <c r="CC3" s="82"/>
      <c r="CD3" s="82"/>
      <c r="CE3" s="82"/>
      <c r="CF3" s="82"/>
      <c r="CG3" s="82"/>
      <c r="CH3" s="82"/>
      <c r="CI3" s="82"/>
      <c r="CJ3" s="82"/>
      <c r="CK3" s="82"/>
      <c r="CL3" s="82"/>
      <c r="CM3" s="82"/>
      <c r="CN3" s="82"/>
      <c r="CO3" s="82"/>
      <c r="CP3" s="82"/>
      <c r="CQ3" s="82"/>
      <c r="CR3" s="82"/>
      <c r="CS3" s="82"/>
      <c r="CT3" s="82"/>
      <c r="CU3" s="82"/>
      <c r="CV3" s="82"/>
      <c r="CW3" s="82"/>
    </row>
    <row r="4" spans="1:101" hidden="1">
      <c r="A4" s="83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82"/>
      <c r="BV4" s="82"/>
      <c r="BW4" s="82"/>
      <c r="BX4" s="82"/>
      <c r="BY4" s="82"/>
      <c r="BZ4" s="82"/>
      <c r="CA4" s="82"/>
      <c r="CB4" s="84"/>
      <c r="CC4" s="82"/>
      <c r="CD4" s="82"/>
      <c r="CE4" s="82"/>
      <c r="CF4" s="82"/>
      <c r="CG4" s="82"/>
      <c r="CH4" s="82"/>
      <c r="CI4" s="82"/>
      <c r="CJ4" s="82"/>
      <c r="CK4" s="82"/>
      <c r="CL4" s="82"/>
      <c r="CM4" s="82"/>
      <c r="CN4" s="82"/>
      <c r="CO4" s="82"/>
      <c r="CP4" s="82"/>
      <c r="CQ4" s="82"/>
      <c r="CR4" s="82"/>
      <c r="CS4" s="82"/>
      <c r="CT4" s="82"/>
      <c r="CU4" s="82"/>
      <c r="CV4" s="82"/>
      <c r="CW4" s="82"/>
    </row>
    <row r="5" spans="1:101" ht="15.6" hidden="1">
      <c r="A5" s="169"/>
      <c r="B5" s="82"/>
      <c r="C5" s="82"/>
      <c r="D5" s="2027"/>
      <c r="E5" s="2028"/>
      <c r="F5" s="82"/>
      <c r="G5" s="86"/>
      <c r="H5" s="86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82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4"/>
      <c r="CC5" s="82"/>
      <c r="CD5" s="82"/>
      <c r="CE5" s="82"/>
      <c r="CF5" s="82"/>
      <c r="CG5" s="82"/>
      <c r="CH5" s="82"/>
      <c r="CI5" s="82"/>
      <c r="CJ5" s="82"/>
      <c r="CK5" s="82"/>
      <c r="CL5" s="82"/>
      <c r="CM5" s="82"/>
      <c r="CN5" s="82"/>
      <c r="CO5" s="82"/>
      <c r="CP5" s="82"/>
      <c r="CQ5" s="82"/>
      <c r="CR5" s="82"/>
      <c r="CS5" s="82"/>
      <c r="CT5" s="82"/>
      <c r="CU5" s="82"/>
      <c r="CV5" s="82"/>
      <c r="CW5" s="82"/>
    </row>
    <row r="6" spans="1:101" hidden="1">
      <c r="A6" s="2388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4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</row>
    <row r="7" spans="1:101" hidden="1">
      <c r="A7" s="82"/>
      <c r="B7" s="82"/>
      <c r="C7" s="82"/>
      <c r="D7" s="87"/>
      <c r="E7" s="85"/>
      <c r="F7" s="85"/>
      <c r="G7" s="85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4"/>
      <c r="CC7" s="82"/>
      <c r="CD7" s="82"/>
      <c r="CE7" s="82"/>
      <c r="CF7" s="82"/>
      <c r="CG7" s="82"/>
      <c r="CH7" s="82"/>
      <c r="CI7" s="82"/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</row>
    <row r="8" spans="1:101" hidden="1">
      <c r="A8" s="87"/>
      <c r="B8" s="82"/>
      <c r="C8" s="82"/>
      <c r="D8" s="87"/>
      <c r="E8" s="87"/>
      <c r="F8" s="87"/>
      <c r="G8" s="87"/>
      <c r="H8" s="87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4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</row>
    <row r="9" spans="1:101" hidden="1">
      <c r="A9" s="88"/>
      <c r="B9" s="82"/>
      <c r="C9" s="89"/>
      <c r="D9" s="88"/>
      <c r="E9" s="88"/>
      <c r="F9" s="88"/>
      <c r="G9" s="88"/>
      <c r="H9" s="89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4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</row>
    <row r="10" spans="1:101" hidden="1">
      <c r="A10" s="2389"/>
      <c r="B10" s="82"/>
      <c r="C10" s="2390"/>
      <c r="D10" s="87"/>
      <c r="E10" s="87"/>
      <c r="F10" s="87"/>
      <c r="G10" s="87"/>
      <c r="H10" s="87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4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</row>
    <row r="11" spans="1:101" hidden="1">
      <c r="A11" s="87"/>
      <c r="B11" s="82"/>
      <c r="C11" s="2391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4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</row>
    <row r="12" spans="1:101" hidden="1">
      <c r="A12" s="87"/>
      <c r="B12" s="82"/>
      <c r="C12" s="83"/>
      <c r="D12" s="90"/>
      <c r="E12" s="91"/>
      <c r="F12" s="90"/>
      <c r="G12" s="91"/>
      <c r="H12" s="91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4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</row>
    <row r="13" spans="1:101" hidden="1">
      <c r="A13" s="87"/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4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</row>
    <row r="14" spans="1:101" hidden="1">
      <c r="A14" s="87"/>
      <c r="B14" s="82"/>
      <c r="C14" s="83"/>
      <c r="D14" s="90"/>
      <c r="E14" s="91"/>
      <c r="F14" s="90"/>
      <c r="G14" s="91"/>
      <c r="H14" s="91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4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</row>
    <row r="15" spans="1:101" hidden="1">
      <c r="A15" s="87"/>
      <c r="B15" s="82"/>
      <c r="C15" s="82"/>
      <c r="D15" s="82"/>
      <c r="E15" s="92"/>
      <c r="F15" s="82"/>
      <c r="G15" s="92"/>
      <c r="H15" s="9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4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</row>
    <row r="16" spans="1:101" hidden="1">
      <c r="A16" s="87"/>
      <c r="B16" s="82"/>
      <c r="C16" s="83"/>
      <c r="D16" s="82"/>
      <c r="E16" s="91"/>
      <c r="F16" s="82"/>
      <c r="G16" s="91"/>
      <c r="H16" s="91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4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</row>
    <row r="17" spans="1:101" hidden="1">
      <c r="A17" s="87"/>
      <c r="B17" s="82"/>
      <c r="C17" s="82"/>
      <c r="D17" s="82"/>
      <c r="E17" s="92"/>
      <c r="F17" s="82"/>
      <c r="G17" s="92"/>
      <c r="H17" s="9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4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</row>
    <row r="18" spans="1:101" hidden="1">
      <c r="A18" s="87"/>
      <c r="B18" s="82"/>
      <c r="C18" s="83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4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</row>
    <row r="19" spans="1:101" hidden="1">
      <c r="A19" s="87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4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</row>
    <row r="20" spans="1:101" hidden="1">
      <c r="A20" s="87"/>
      <c r="B20" s="82"/>
      <c r="C20" s="93"/>
      <c r="D20" s="87"/>
      <c r="E20" s="91"/>
      <c r="F20" s="87"/>
      <c r="G20" s="91"/>
      <c r="H20" s="91"/>
      <c r="I20" s="82"/>
      <c r="J20" s="82"/>
      <c r="K20" s="793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4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</row>
    <row r="21" spans="1:101" hidden="1">
      <c r="A21" s="87"/>
      <c r="B21" s="82"/>
      <c r="C21" s="82"/>
      <c r="D21" s="82"/>
      <c r="E21" s="82"/>
      <c r="F21" s="82"/>
      <c r="G21" s="82"/>
      <c r="H21" s="82"/>
      <c r="I21" s="82"/>
      <c r="J21" s="82"/>
      <c r="K21" s="91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4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</row>
    <row r="22" spans="1:101" hidden="1">
      <c r="A22" s="87"/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4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</row>
    <row r="23" spans="1:101" hidden="1">
      <c r="A23" s="87"/>
      <c r="B23" s="82"/>
      <c r="C23" s="2391"/>
      <c r="D23" s="82"/>
      <c r="E23" s="2338"/>
      <c r="F23" s="2338"/>
      <c r="G23" s="2338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4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</row>
    <row r="24" spans="1:101" hidden="1">
      <c r="A24" s="87"/>
      <c r="B24" s="82"/>
      <c r="C24" s="83"/>
      <c r="D24" s="90"/>
      <c r="E24" s="793"/>
      <c r="F24" s="2338"/>
      <c r="G24" s="793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4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</row>
    <row r="25" spans="1:101" hidden="1">
      <c r="A25" s="87"/>
      <c r="B25" s="82"/>
      <c r="C25" s="82"/>
      <c r="D25" s="82"/>
      <c r="E25" s="2392"/>
      <c r="F25" s="2392"/>
      <c r="G25" s="239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4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</row>
    <row r="26" spans="1:101" hidden="1">
      <c r="A26" s="87"/>
      <c r="B26" s="82"/>
      <c r="C26" s="83"/>
      <c r="D26" s="90"/>
      <c r="E26" s="793"/>
      <c r="F26" s="2393"/>
      <c r="G26" s="793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4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</row>
    <row r="27" spans="1:101" hidden="1">
      <c r="A27" s="87"/>
      <c r="B27" s="82"/>
      <c r="C27" s="82"/>
      <c r="D27" s="82"/>
      <c r="E27" s="92"/>
      <c r="F27" s="82"/>
      <c r="G27" s="9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4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</row>
    <row r="28" spans="1:101" hidden="1">
      <c r="A28" s="87"/>
      <c r="B28" s="82"/>
      <c r="C28" s="83"/>
      <c r="D28" s="82"/>
      <c r="E28" s="91"/>
      <c r="F28" s="82"/>
      <c r="G28" s="91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4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</row>
    <row r="29" spans="1:101" hidden="1">
      <c r="A29" s="87"/>
      <c r="B29" s="82"/>
      <c r="C29" s="82"/>
      <c r="D29" s="82"/>
      <c r="E29" s="92"/>
      <c r="F29" s="82"/>
      <c r="G29" s="9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4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</row>
    <row r="30" spans="1:101" hidden="1">
      <c r="A30" s="87"/>
      <c r="B30" s="82"/>
      <c r="C30" s="83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4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</row>
    <row r="31" spans="1:101" hidden="1">
      <c r="A31" s="87"/>
      <c r="B31" s="82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4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</row>
    <row r="32" spans="1:101" hidden="1">
      <c r="A32" s="87"/>
      <c r="B32" s="82"/>
      <c r="C32" s="93"/>
      <c r="D32" s="87"/>
      <c r="E32" s="91"/>
      <c r="F32" s="87"/>
      <c r="G32" s="91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4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</row>
    <row r="33" spans="1:101" hidden="1">
      <c r="A33" s="87"/>
      <c r="B33" s="82"/>
      <c r="C33" s="93"/>
      <c r="D33" s="87"/>
      <c r="E33" s="91"/>
      <c r="F33" s="87"/>
      <c r="G33" s="91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4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</row>
    <row r="34" spans="1:101" hidden="1">
      <c r="A34" s="87"/>
      <c r="B34" s="82"/>
      <c r="C34" s="93"/>
      <c r="D34" s="87"/>
      <c r="E34" s="91"/>
      <c r="F34" s="87"/>
      <c r="G34" s="91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4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</row>
    <row r="35" spans="1:101" hidden="1">
      <c r="A35" s="87"/>
      <c r="B35" s="82"/>
      <c r="C35" s="93"/>
      <c r="D35" s="87"/>
      <c r="E35" s="90"/>
      <c r="F35" s="87"/>
      <c r="G35" s="90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4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</row>
    <row r="36" spans="1:101" hidden="1">
      <c r="A36" s="87"/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4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</row>
    <row r="37" spans="1:101" hidden="1">
      <c r="A37" s="82"/>
      <c r="B37" s="82"/>
      <c r="C37" s="82"/>
      <c r="D37" s="82"/>
      <c r="E37" s="82"/>
      <c r="F37" s="82"/>
      <c r="G37" s="92"/>
      <c r="H37" s="91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4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</row>
    <row r="38" spans="1:101" hidden="1">
      <c r="A38" s="82"/>
      <c r="B38" s="82"/>
      <c r="C38" s="83"/>
      <c r="D38" s="82"/>
      <c r="E38" s="82"/>
      <c r="F38" s="82"/>
      <c r="G38" s="91"/>
      <c r="H38" s="91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4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</row>
    <row r="39" spans="1:101">
      <c r="A39" s="82"/>
      <c r="B39" s="82"/>
      <c r="C39" s="83"/>
      <c r="D39" s="82"/>
      <c r="E39" s="82"/>
      <c r="F39" s="82"/>
      <c r="G39" s="91"/>
      <c r="H39" s="91"/>
      <c r="I39" s="94" t="str">
        <f>COMPANY</f>
        <v>DUKE ENERGY KENTUCKY, INC.</v>
      </c>
      <c r="J39" s="94"/>
      <c r="K39" s="94"/>
      <c r="L39" s="94"/>
      <c r="M39" s="94"/>
      <c r="N39" s="94"/>
      <c r="O39" s="169" t="s">
        <v>954</v>
      </c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4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</row>
    <row r="40" spans="1:101">
      <c r="A40" s="82"/>
      <c r="B40" s="82"/>
      <c r="C40" s="83"/>
      <c r="D40" s="82"/>
      <c r="E40" s="82"/>
      <c r="F40" s="82"/>
      <c r="G40" s="91"/>
      <c r="H40" s="91"/>
      <c r="I40" s="94" t="str">
        <f>DEPT</f>
        <v>ELECTRIC DEPARTMENT</v>
      </c>
      <c r="J40" s="94"/>
      <c r="K40" s="94"/>
      <c r="L40" s="94"/>
      <c r="M40" s="94"/>
      <c r="N40" s="94"/>
      <c r="O40" s="94" t="s">
        <v>468</v>
      </c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4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</row>
    <row r="41" spans="1:101">
      <c r="A41" s="82"/>
      <c r="B41" s="82"/>
      <c r="C41" s="83"/>
      <c r="D41" s="82"/>
      <c r="E41" s="82"/>
      <c r="F41" s="82"/>
      <c r="G41" s="91"/>
      <c r="H41" s="91"/>
      <c r="I41" s="94" t="str">
        <f>CASE</f>
        <v>CASE NO. 2024-00354</v>
      </c>
      <c r="J41" s="94"/>
      <c r="K41" s="94"/>
      <c r="L41" s="94"/>
      <c r="M41" s="94"/>
      <c r="N41" s="94"/>
      <c r="O41" s="71" t="str">
        <f>_WIT10</f>
        <v>G. S. CARPENTER</v>
      </c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4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</row>
    <row r="42" spans="1:101">
      <c r="A42" s="82"/>
      <c r="B42" s="82"/>
      <c r="C42" s="83"/>
      <c r="D42" s="82"/>
      <c r="E42" s="82"/>
      <c r="F42" s="82"/>
      <c r="G42" s="91"/>
      <c r="H42" s="91"/>
      <c r="I42" s="95" t="s">
        <v>982</v>
      </c>
      <c r="J42" s="94"/>
      <c r="K42" s="94"/>
      <c r="L42" s="94"/>
      <c r="M42" s="94"/>
      <c r="N42" s="94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4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</row>
    <row r="43" spans="1:101">
      <c r="A43" s="82"/>
      <c r="B43" s="82"/>
      <c r="C43" s="83"/>
      <c r="D43" s="82"/>
      <c r="E43" s="82"/>
      <c r="F43" s="82"/>
      <c r="G43" s="91"/>
      <c r="H43" s="91"/>
      <c r="I43" s="95" t="s">
        <v>527</v>
      </c>
      <c r="J43" s="94"/>
      <c r="K43" s="94"/>
      <c r="L43" s="94"/>
      <c r="M43" s="94"/>
      <c r="N43" s="94"/>
      <c r="O43" s="94"/>
      <c r="P43" s="96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4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</row>
    <row r="44" spans="1:101">
      <c r="A44" s="82"/>
      <c r="B44" s="82"/>
      <c r="C44" s="83"/>
      <c r="D44" s="82"/>
      <c r="E44" s="82"/>
      <c r="F44" s="82"/>
      <c r="G44" s="91"/>
      <c r="H44" s="91"/>
      <c r="I44" s="94"/>
      <c r="J44" s="94"/>
      <c r="K44" s="94"/>
      <c r="L44" s="94"/>
      <c r="M44" s="94"/>
      <c r="N44" s="94"/>
      <c r="O44" s="94"/>
      <c r="P44" s="94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4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</row>
    <row r="45" spans="1:101">
      <c r="A45" s="82"/>
      <c r="B45" s="82"/>
      <c r="C45" s="83"/>
      <c r="D45" s="82"/>
      <c r="E45" s="82"/>
      <c r="F45" s="82"/>
      <c r="G45" s="91"/>
      <c r="H45" s="91"/>
      <c r="I45" s="94"/>
      <c r="J45" s="94"/>
      <c r="K45" s="94"/>
      <c r="L45" s="94"/>
      <c r="M45" s="94"/>
      <c r="N45" s="94"/>
      <c r="O45" s="94"/>
      <c r="P45" s="94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4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</row>
    <row r="46" spans="1:101">
      <c r="A46" s="82"/>
      <c r="B46" s="82"/>
      <c r="C46" s="83"/>
      <c r="D46" s="82"/>
      <c r="E46" s="82"/>
      <c r="F46" s="82"/>
      <c r="G46" s="91"/>
      <c r="H46" s="91"/>
      <c r="I46" s="126" t="s">
        <v>471</v>
      </c>
      <c r="J46" s="94"/>
      <c r="K46" s="94"/>
      <c r="L46" s="94"/>
      <c r="M46" s="126" t="s">
        <v>983</v>
      </c>
      <c r="N46" s="82"/>
      <c r="O46" s="126" t="s">
        <v>984</v>
      </c>
      <c r="P46" s="94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4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</row>
    <row r="47" spans="1:101">
      <c r="A47" s="82"/>
      <c r="B47" s="82"/>
      <c r="C47" s="83"/>
      <c r="D47" s="82"/>
      <c r="E47" s="82"/>
      <c r="F47" s="82"/>
      <c r="G47" s="91"/>
      <c r="H47" s="91"/>
      <c r="I47" s="97" t="s">
        <v>533</v>
      </c>
      <c r="J47" s="94"/>
      <c r="K47" s="97" t="s">
        <v>985</v>
      </c>
      <c r="L47" s="94"/>
      <c r="M47" s="2334" t="str">
        <f>"AMOUNT (A)"</f>
        <v>AMOUNT (A)</v>
      </c>
      <c r="N47" s="97" t="s">
        <v>986</v>
      </c>
      <c r="O47" s="88" t="s">
        <v>975</v>
      </c>
      <c r="P47" s="94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4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</row>
    <row r="48" spans="1:101">
      <c r="A48" s="82"/>
      <c r="B48" s="82"/>
      <c r="C48" s="83"/>
      <c r="D48" s="82"/>
      <c r="E48" s="82"/>
      <c r="F48" s="82"/>
      <c r="G48" s="91"/>
      <c r="H48" s="91"/>
      <c r="I48" s="98"/>
      <c r="J48" s="94"/>
      <c r="K48" s="98"/>
      <c r="L48" s="94"/>
      <c r="M48" s="126" t="s">
        <v>580</v>
      </c>
      <c r="N48" s="99" t="s">
        <v>420</v>
      </c>
      <c r="O48" s="82"/>
      <c r="P48" s="100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4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</row>
    <row r="49" spans="1:101">
      <c r="A49" s="82"/>
      <c r="B49" s="82"/>
      <c r="C49" s="83"/>
      <c r="D49" s="82"/>
      <c r="E49" s="82"/>
      <c r="F49" s="82"/>
      <c r="G49" s="91"/>
      <c r="H49" s="91"/>
      <c r="I49" s="87">
        <v>1</v>
      </c>
      <c r="J49" s="94"/>
      <c r="K49" s="101" t="s">
        <v>780</v>
      </c>
      <c r="L49" s="94"/>
      <c r="M49" s="94"/>
      <c r="N49" s="100"/>
      <c r="O49" s="82"/>
      <c r="P49" s="100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4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</row>
    <row r="50" spans="1:101">
      <c r="A50" s="82"/>
      <c r="B50" s="82"/>
      <c r="C50" s="83"/>
      <c r="D50" s="82"/>
      <c r="E50" s="82"/>
      <c r="F50" s="82"/>
      <c r="G50" s="91"/>
      <c r="H50" s="91"/>
      <c r="I50" s="87">
        <f>1+I49</f>
        <v>2</v>
      </c>
      <c r="J50" s="94"/>
      <c r="K50" s="654" t="s">
        <v>987</v>
      </c>
      <c r="L50" s="94"/>
      <c r="M50" s="100">
        <v>0</v>
      </c>
      <c r="N50" s="1723">
        <f>1-0.642</f>
        <v>0.35799999999999998</v>
      </c>
      <c r="O50" s="91">
        <f t="shared" ref="O50:O58" si="0">ROUND(M50*N50,0)</f>
        <v>0</v>
      </c>
      <c r="P50" s="100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4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</row>
    <row r="51" spans="1:101">
      <c r="A51" s="82"/>
      <c r="B51" s="82"/>
      <c r="C51" s="83"/>
      <c r="D51" s="82"/>
      <c r="E51" s="82"/>
      <c r="F51" s="82"/>
      <c r="G51" s="91"/>
      <c r="H51" s="91"/>
      <c r="I51" s="87">
        <v>3</v>
      </c>
      <c r="J51" s="94"/>
      <c r="K51" s="655" t="s">
        <v>988</v>
      </c>
      <c r="L51" s="94"/>
      <c r="M51" s="100">
        <v>0</v>
      </c>
      <c r="N51" s="1724">
        <f t="shared" ref="N51:N61" si="1">$N$50</f>
        <v>0.35799999999999998</v>
      </c>
      <c r="O51" s="91">
        <f t="shared" si="0"/>
        <v>0</v>
      </c>
      <c r="P51" s="100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4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</row>
    <row r="52" spans="1:101">
      <c r="A52" s="82"/>
      <c r="B52" s="82"/>
      <c r="C52" s="83"/>
      <c r="D52" s="82"/>
      <c r="E52" s="82"/>
      <c r="F52" s="82"/>
      <c r="G52" s="91"/>
      <c r="H52" s="91"/>
      <c r="I52" s="87">
        <f t="shared" ref="I52:I79" si="2">1+I51</f>
        <v>4</v>
      </c>
      <c r="J52" s="94"/>
      <c r="K52" s="102" t="s">
        <v>989</v>
      </c>
      <c r="L52" s="94"/>
      <c r="M52" s="100">
        <v>0</v>
      </c>
      <c r="N52" s="1724">
        <f t="shared" si="1"/>
        <v>0.35799999999999998</v>
      </c>
      <c r="O52" s="91">
        <f t="shared" si="0"/>
        <v>0</v>
      </c>
      <c r="P52" s="100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4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</row>
    <row r="53" spans="1:101">
      <c r="A53" s="82"/>
      <c r="B53" s="82"/>
      <c r="C53" s="83"/>
      <c r="D53" s="82"/>
      <c r="E53" s="82"/>
      <c r="F53" s="82"/>
      <c r="G53" s="91"/>
      <c r="H53" s="91"/>
      <c r="I53" s="87">
        <f t="shared" si="2"/>
        <v>5</v>
      </c>
      <c r="J53" s="94"/>
      <c r="K53" s="192" t="s">
        <v>538</v>
      </c>
      <c r="L53" s="94"/>
      <c r="M53" s="100">
        <v>0</v>
      </c>
      <c r="N53" s="1724">
        <f t="shared" si="1"/>
        <v>0.35799999999999998</v>
      </c>
      <c r="O53" s="91">
        <f t="shared" si="0"/>
        <v>0</v>
      </c>
      <c r="P53" s="100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4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</row>
    <row r="54" spans="1:101">
      <c r="A54" s="82"/>
      <c r="B54" s="82"/>
      <c r="C54" s="83"/>
      <c r="D54" s="82"/>
      <c r="E54" s="82"/>
      <c r="F54" s="82"/>
      <c r="G54" s="91"/>
      <c r="H54" s="91"/>
      <c r="I54" s="87">
        <f t="shared" si="2"/>
        <v>6</v>
      </c>
      <c r="J54" s="94"/>
      <c r="K54" s="655" t="s">
        <v>990</v>
      </c>
      <c r="L54" s="94"/>
      <c r="M54" s="100">
        <v>0</v>
      </c>
      <c r="N54" s="1724">
        <f t="shared" si="1"/>
        <v>0.35799999999999998</v>
      </c>
      <c r="O54" s="91">
        <f t="shared" si="0"/>
        <v>0</v>
      </c>
      <c r="P54" s="100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4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</row>
    <row r="55" spans="1:101">
      <c r="A55" s="82"/>
      <c r="B55" s="82"/>
      <c r="C55" s="83"/>
      <c r="D55" s="82"/>
      <c r="E55" s="82"/>
      <c r="F55" s="82"/>
      <c r="G55" s="91"/>
      <c r="H55" s="91"/>
      <c r="I55" s="87">
        <f t="shared" si="2"/>
        <v>7</v>
      </c>
      <c r="J55" s="94"/>
      <c r="K55" s="102" t="s">
        <v>991</v>
      </c>
      <c r="L55" s="94"/>
      <c r="M55" s="100">
        <v>0</v>
      </c>
      <c r="N55" s="1724">
        <f t="shared" si="1"/>
        <v>0.35799999999999998</v>
      </c>
      <c r="O55" s="91">
        <f t="shared" si="0"/>
        <v>0</v>
      </c>
      <c r="P55" s="100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4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</row>
    <row r="56" spans="1:101">
      <c r="A56" s="82"/>
      <c r="B56" s="82"/>
      <c r="C56" s="83"/>
      <c r="D56" s="82"/>
      <c r="E56" s="82"/>
      <c r="F56" s="82"/>
      <c r="G56" s="91"/>
      <c r="H56" s="91"/>
      <c r="I56" s="87">
        <f t="shared" si="2"/>
        <v>8</v>
      </c>
      <c r="J56" s="94"/>
      <c r="K56" s="192" t="s">
        <v>992</v>
      </c>
      <c r="L56" s="166"/>
      <c r="M56" s="100">
        <v>0</v>
      </c>
      <c r="N56" s="1724">
        <f t="shared" si="1"/>
        <v>0.35799999999999998</v>
      </c>
      <c r="O56" s="91">
        <f t="shared" si="0"/>
        <v>0</v>
      </c>
      <c r="P56" s="100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4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</row>
    <row r="57" spans="1:101">
      <c r="A57" s="82"/>
      <c r="B57" s="82"/>
      <c r="C57" s="83"/>
      <c r="D57" s="82"/>
      <c r="E57" s="82"/>
      <c r="F57" s="82"/>
      <c r="G57" s="91"/>
      <c r="H57" s="91"/>
      <c r="I57" s="87">
        <f t="shared" si="2"/>
        <v>9</v>
      </c>
      <c r="J57" s="94"/>
      <c r="K57" s="655" t="s">
        <v>993</v>
      </c>
      <c r="L57" s="94"/>
      <c r="M57" s="100">
        <v>0</v>
      </c>
      <c r="N57" s="1724">
        <f t="shared" si="1"/>
        <v>0.35799999999999998</v>
      </c>
      <c r="O57" s="91">
        <f t="shared" si="0"/>
        <v>0</v>
      </c>
      <c r="P57" s="100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4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</row>
    <row r="58" spans="1:101">
      <c r="A58" s="82"/>
      <c r="B58" s="82"/>
      <c r="C58" s="83"/>
      <c r="D58" s="82"/>
      <c r="E58" s="82"/>
      <c r="F58" s="82"/>
      <c r="G58" s="91"/>
      <c r="H58" s="91"/>
      <c r="I58" s="87">
        <f t="shared" si="2"/>
        <v>10</v>
      </c>
      <c r="J58" s="94"/>
      <c r="K58" s="102" t="s">
        <v>994</v>
      </c>
      <c r="L58" s="94"/>
      <c r="M58" s="100">
        <v>0</v>
      </c>
      <c r="N58" s="1724">
        <f t="shared" si="1"/>
        <v>0.35799999999999998</v>
      </c>
      <c r="O58" s="91">
        <f t="shared" si="0"/>
        <v>0</v>
      </c>
      <c r="P58" s="100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4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</row>
    <row r="59" spans="1:101">
      <c r="A59" s="82"/>
      <c r="B59" s="82"/>
      <c r="C59" s="83"/>
      <c r="D59" s="82"/>
      <c r="E59" s="82"/>
      <c r="F59" s="82"/>
      <c r="G59" s="91"/>
      <c r="H59" s="91"/>
      <c r="I59" s="87">
        <f t="shared" si="2"/>
        <v>11</v>
      </c>
      <c r="J59" s="94"/>
      <c r="K59" s="654" t="s">
        <v>995</v>
      </c>
      <c r="L59" s="94"/>
      <c r="M59" s="100">
        <v>0</v>
      </c>
      <c r="N59" s="1724">
        <f t="shared" si="1"/>
        <v>0.35799999999999998</v>
      </c>
      <c r="O59" s="91">
        <f>ROUND(M59*N59,0)</f>
        <v>0</v>
      </c>
      <c r="P59" s="100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4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</row>
    <row r="60" spans="1:101">
      <c r="A60" s="82"/>
      <c r="B60" s="82"/>
      <c r="C60" s="83"/>
      <c r="D60" s="82"/>
      <c r="E60" s="82"/>
      <c r="F60" s="82"/>
      <c r="G60" s="91"/>
      <c r="H60" s="91"/>
      <c r="I60" s="87">
        <f t="shared" si="2"/>
        <v>12</v>
      </c>
      <c r="J60" s="94"/>
      <c r="K60" s="655" t="s">
        <v>996</v>
      </c>
      <c r="L60" s="94"/>
      <c r="M60" s="100">
        <v>0</v>
      </c>
      <c r="N60" s="1724">
        <f t="shared" si="1"/>
        <v>0.35799999999999998</v>
      </c>
      <c r="O60" s="91">
        <f>ROUND(M60*N60,0)</f>
        <v>0</v>
      </c>
      <c r="P60" s="100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4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</row>
    <row r="61" spans="1:101">
      <c r="A61" s="82"/>
      <c r="B61" s="82"/>
      <c r="C61" s="83"/>
      <c r="D61" s="82"/>
      <c r="E61" s="82"/>
      <c r="F61" s="82"/>
      <c r="G61" s="91"/>
      <c r="H61" s="91"/>
      <c r="I61" s="87">
        <f t="shared" si="2"/>
        <v>13</v>
      </c>
      <c r="J61" s="94"/>
      <c r="K61" s="655" t="s">
        <v>536</v>
      </c>
      <c r="L61" s="94"/>
      <c r="M61" s="100">
        <v>0</v>
      </c>
      <c r="N61" s="1724">
        <f t="shared" si="1"/>
        <v>0.35799999999999998</v>
      </c>
      <c r="O61" s="91">
        <f>ROUND(M61*N61,0)</f>
        <v>0</v>
      </c>
      <c r="P61" s="103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4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</row>
    <row r="62" spans="1:101">
      <c r="A62" s="82"/>
      <c r="B62" s="82"/>
      <c r="C62" s="83"/>
      <c r="D62" s="82"/>
      <c r="E62" s="82"/>
      <c r="F62" s="82"/>
      <c r="G62" s="91"/>
      <c r="H62" s="91"/>
      <c r="I62" s="87">
        <f t="shared" si="2"/>
        <v>14</v>
      </c>
      <c r="J62" s="94"/>
      <c r="K62" s="94"/>
      <c r="L62" s="94"/>
      <c r="M62" s="94"/>
      <c r="N62" s="104"/>
      <c r="O62" s="105"/>
      <c r="P62" s="166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4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</row>
    <row r="63" spans="1:101">
      <c r="A63" s="82"/>
      <c r="B63" s="82"/>
      <c r="C63" s="83"/>
      <c r="D63" s="82"/>
      <c r="E63" s="82"/>
      <c r="F63" s="82"/>
      <c r="G63" s="91"/>
      <c r="H63" s="91"/>
      <c r="I63" s="87">
        <f t="shared" si="2"/>
        <v>15</v>
      </c>
      <c r="J63" s="94"/>
      <c r="K63" s="101" t="s">
        <v>593</v>
      </c>
      <c r="L63" s="94"/>
      <c r="M63" s="94"/>
      <c r="N63" s="104"/>
      <c r="O63" s="105"/>
      <c r="P63" s="166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4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</row>
    <row r="64" spans="1:101">
      <c r="A64" s="82"/>
      <c r="B64" s="82"/>
      <c r="C64" s="83"/>
      <c r="D64" s="82"/>
      <c r="E64" s="82"/>
      <c r="F64" s="82"/>
      <c r="G64" s="91"/>
      <c r="H64" s="91"/>
      <c r="I64" s="87">
        <f t="shared" si="2"/>
        <v>16</v>
      </c>
      <c r="J64" s="94"/>
      <c r="K64" s="655" t="s">
        <v>997</v>
      </c>
      <c r="L64" s="94"/>
      <c r="M64" s="100">
        <v>0</v>
      </c>
      <c r="N64" s="1724">
        <f t="shared" ref="N64:N76" si="3">$N$59</f>
        <v>0.35799999999999998</v>
      </c>
      <c r="O64" s="91">
        <f t="shared" ref="O64:O76" si="4">ROUND(M64*N64,0)</f>
        <v>0</v>
      </c>
      <c r="P64" s="100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4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</row>
    <row r="65" spans="1:101">
      <c r="A65" s="82"/>
      <c r="B65" s="82"/>
      <c r="C65" s="83"/>
      <c r="D65" s="82"/>
      <c r="E65" s="82"/>
      <c r="F65" s="82"/>
      <c r="G65" s="91"/>
      <c r="H65" s="91"/>
      <c r="I65" s="87">
        <f t="shared" si="2"/>
        <v>17</v>
      </c>
      <c r="J65" s="94"/>
      <c r="K65" s="102" t="s">
        <v>990</v>
      </c>
      <c r="L65" s="94"/>
      <c r="M65" s="100">
        <v>0</v>
      </c>
      <c r="N65" s="1724">
        <f t="shared" si="3"/>
        <v>0.35799999999999998</v>
      </c>
      <c r="O65" s="91">
        <f t="shared" si="4"/>
        <v>0</v>
      </c>
      <c r="P65" s="100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4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</row>
    <row r="66" spans="1:101">
      <c r="A66" s="82"/>
      <c r="B66" s="82"/>
      <c r="C66" s="83"/>
      <c r="D66" s="82"/>
      <c r="E66" s="82"/>
      <c r="F66" s="82"/>
      <c r="G66" s="91"/>
      <c r="H66" s="91"/>
      <c r="I66" s="87">
        <f t="shared" si="2"/>
        <v>18</v>
      </c>
      <c r="J66" s="94"/>
      <c r="K66" s="102" t="s">
        <v>991</v>
      </c>
      <c r="L66" s="94"/>
      <c r="M66" s="100">
        <v>0</v>
      </c>
      <c r="N66" s="1724">
        <f t="shared" si="3"/>
        <v>0.35799999999999998</v>
      </c>
      <c r="O66" s="91">
        <f t="shared" si="4"/>
        <v>0</v>
      </c>
      <c r="P66" s="100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4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</row>
    <row r="67" spans="1:101">
      <c r="A67" s="82"/>
      <c r="B67" s="82"/>
      <c r="C67" s="83"/>
      <c r="D67" s="82"/>
      <c r="E67" s="82"/>
      <c r="F67" s="82"/>
      <c r="G67" s="91"/>
      <c r="H67" s="91"/>
      <c r="I67" s="87">
        <f t="shared" si="2"/>
        <v>19</v>
      </c>
      <c r="J67" s="94"/>
      <c r="K67" s="102" t="s">
        <v>992</v>
      </c>
      <c r="L67" s="94"/>
      <c r="M67" s="100">
        <v>0</v>
      </c>
      <c r="N67" s="1724">
        <f t="shared" si="3"/>
        <v>0.35799999999999998</v>
      </c>
      <c r="O67" s="91">
        <f t="shared" si="4"/>
        <v>0</v>
      </c>
      <c r="P67" s="100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4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</row>
    <row r="68" spans="1:101">
      <c r="A68" s="82"/>
      <c r="B68" s="82"/>
      <c r="C68" s="83"/>
      <c r="D68" s="82"/>
      <c r="E68" s="82"/>
      <c r="F68" s="82"/>
      <c r="G68" s="91"/>
      <c r="H68" s="91"/>
      <c r="I68" s="87">
        <f t="shared" si="2"/>
        <v>20</v>
      </c>
      <c r="J68" s="94"/>
      <c r="K68" s="102" t="s">
        <v>993</v>
      </c>
      <c r="L68" s="94"/>
      <c r="M68" s="100">
        <v>0</v>
      </c>
      <c r="N68" s="1724">
        <f t="shared" si="3"/>
        <v>0.35799999999999998</v>
      </c>
      <c r="O68" s="91">
        <f t="shared" si="4"/>
        <v>0</v>
      </c>
      <c r="P68" s="100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4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</row>
    <row r="69" spans="1:101">
      <c r="A69" s="82"/>
      <c r="B69" s="82"/>
      <c r="C69" s="83"/>
      <c r="D69" s="82"/>
      <c r="E69" s="82"/>
      <c r="F69" s="82"/>
      <c r="G69" s="91"/>
      <c r="H69" s="91"/>
      <c r="I69" s="87">
        <f t="shared" si="2"/>
        <v>21</v>
      </c>
      <c r="J69" s="94"/>
      <c r="K69" s="102" t="s">
        <v>994</v>
      </c>
      <c r="L69" s="94"/>
      <c r="M69" s="100">
        <v>0</v>
      </c>
      <c r="N69" s="1724">
        <f t="shared" si="3"/>
        <v>0.35799999999999998</v>
      </c>
      <c r="O69" s="91">
        <f t="shared" si="4"/>
        <v>0</v>
      </c>
      <c r="P69" s="100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4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</row>
    <row r="70" spans="1:101">
      <c r="A70" s="82"/>
      <c r="B70" s="82"/>
      <c r="C70" s="83"/>
      <c r="D70" s="82"/>
      <c r="E70" s="82"/>
      <c r="F70" s="82"/>
      <c r="G70" s="91"/>
      <c r="H70" s="91"/>
      <c r="I70" s="87">
        <f t="shared" si="2"/>
        <v>22</v>
      </c>
      <c r="J70" s="94"/>
      <c r="K70" s="102" t="s">
        <v>995</v>
      </c>
      <c r="L70" s="94"/>
      <c r="M70" s="100">
        <v>0</v>
      </c>
      <c r="N70" s="1724">
        <f t="shared" si="3"/>
        <v>0.35799999999999998</v>
      </c>
      <c r="O70" s="91">
        <f t="shared" si="4"/>
        <v>0</v>
      </c>
      <c r="P70" s="100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4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</row>
    <row r="71" spans="1:101">
      <c r="A71" s="82"/>
      <c r="B71" s="82"/>
      <c r="C71" s="83"/>
      <c r="D71" s="82"/>
      <c r="E71" s="82"/>
      <c r="F71" s="82"/>
      <c r="G71" s="91"/>
      <c r="H71" s="91"/>
      <c r="I71" s="87">
        <f t="shared" si="2"/>
        <v>23</v>
      </c>
      <c r="J71" s="94"/>
      <c r="K71" s="655" t="s">
        <v>998</v>
      </c>
      <c r="L71" s="94"/>
      <c r="M71" s="100">
        <v>0</v>
      </c>
      <c r="N71" s="1724">
        <f t="shared" si="3"/>
        <v>0.35799999999999998</v>
      </c>
      <c r="O71" s="91">
        <f t="shared" si="4"/>
        <v>0</v>
      </c>
      <c r="P71" s="100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4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</row>
    <row r="72" spans="1:101">
      <c r="A72" s="82"/>
      <c r="B72" s="82"/>
      <c r="C72" s="83"/>
      <c r="D72" s="82"/>
      <c r="E72" s="82"/>
      <c r="F72" s="82"/>
      <c r="G72" s="91"/>
      <c r="H72" s="91"/>
      <c r="I72" s="87">
        <f t="shared" si="2"/>
        <v>24</v>
      </c>
      <c r="J72" s="94"/>
      <c r="K72" s="102" t="s">
        <v>536</v>
      </c>
      <c r="L72" s="94"/>
      <c r="M72" s="100">
        <v>0</v>
      </c>
      <c r="N72" s="1724">
        <f t="shared" si="3"/>
        <v>0.35799999999999998</v>
      </c>
      <c r="O72" s="91">
        <f t="shared" si="4"/>
        <v>0</v>
      </c>
      <c r="P72" s="100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4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</row>
    <row r="73" spans="1:101">
      <c r="A73" s="82"/>
      <c r="B73" s="82"/>
      <c r="C73" s="83"/>
      <c r="D73" s="82"/>
      <c r="E73" s="82"/>
      <c r="F73" s="82"/>
      <c r="G73" s="91"/>
      <c r="H73" s="91"/>
      <c r="I73" s="87">
        <f t="shared" si="2"/>
        <v>25</v>
      </c>
      <c r="J73" s="94"/>
      <c r="K73" s="102" t="s">
        <v>999</v>
      </c>
      <c r="L73" s="94"/>
      <c r="M73" s="100">
        <v>0</v>
      </c>
      <c r="N73" s="1724">
        <f t="shared" si="3"/>
        <v>0.35799999999999998</v>
      </c>
      <c r="O73" s="91">
        <f t="shared" si="4"/>
        <v>0</v>
      </c>
      <c r="P73" s="100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4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</row>
    <row r="74" spans="1:101">
      <c r="A74" s="82"/>
      <c r="B74" s="82"/>
      <c r="C74" s="83"/>
      <c r="D74" s="82"/>
      <c r="E74" s="82"/>
      <c r="F74" s="82"/>
      <c r="G74" s="91"/>
      <c r="H74" s="91"/>
      <c r="I74" s="87">
        <f t="shared" si="2"/>
        <v>26</v>
      </c>
      <c r="J74" s="94"/>
      <c r="K74" s="655" t="s">
        <v>988</v>
      </c>
      <c r="L74" s="94"/>
      <c r="M74" s="100">
        <v>0</v>
      </c>
      <c r="N74" s="1724">
        <f t="shared" si="3"/>
        <v>0.35799999999999998</v>
      </c>
      <c r="O74" s="91">
        <f t="shared" si="4"/>
        <v>0</v>
      </c>
      <c r="P74" s="100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4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</row>
    <row r="75" spans="1:101">
      <c r="A75" s="82"/>
      <c r="B75" s="82"/>
      <c r="C75" s="83"/>
      <c r="D75" s="82"/>
      <c r="E75" s="82"/>
      <c r="F75" s="82"/>
      <c r="G75" s="91"/>
      <c r="H75" s="91"/>
      <c r="I75" s="87">
        <f t="shared" si="2"/>
        <v>27</v>
      </c>
      <c r="J75" s="94"/>
      <c r="K75" s="655" t="s">
        <v>989</v>
      </c>
      <c r="L75" s="94"/>
      <c r="M75" s="100">
        <v>0</v>
      </c>
      <c r="N75" s="1724">
        <f t="shared" si="3"/>
        <v>0.35799999999999998</v>
      </c>
      <c r="O75" s="91">
        <f t="shared" si="4"/>
        <v>0</v>
      </c>
      <c r="P75" s="94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4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</row>
    <row r="76" spans="1:101">
      <c r="A76" s="82"/>
      <c r="B76" s="82"/>
      <c r="C76" s="83"/>
      <c r="D76" s="82"/>
      <c r="E76" s="82"/>
      <c r="F76" s="82"/>
      <c r="G76" s="91"/>
      <c r="H76" s="91"/>
      <c r="I76" s="87">
        <f t="shared" si="2"/>
        <v>28</v>
      </c>
      <c r="J76" s="94"/>
      <c r="K76" s="655" t="s">
        <v>538</v>
      </c>
      <c r="L76" s="94"/>
      <c r="M76" s="100">
        <v>0</v>
      </c>
      <c r="N76" s="1724">
        <f t="shared" si="3"/>
        <v>0.35799999999999998</v>
      </c>
      <c r="O76" s="91">
        <f t="shared" si="4"/>
        <v>0</v>
      </c>
      <c r="P76" s="103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4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</row>
    <row r="77" spans="1:101" ht="13.8" thickBot="1">
      <c r="A77" s="82"/>
      <c r="B77" s="82"/>
      <c r="C77" s="83"/>
      <c r="D77" s="82"/>
      <c r="E77" s="82"/>
      <c r="F77" s="82"/>
      <c r="G77" s="91"/>
      <c r="H77" s="91"/>
      <c r="I77" s="87">
        <f t="shared" si="2"/>
        <v>29</v>
      </c>
      <c r="J77" s="94"/>
      <c r="K77" s="169" t="s">
        <v>1000</v>
      </c>
      <c r="L77" s="94"/>
      <c r="M77" s="1693">
        <f>SUM(M64:M76)</f>
        <v>0</v>
      </c>
      <c r="N77" s="166"/>
      <c r="O77" s="1693">
        <f>SUM(O64:O76)</f>
        <v>0</v>
      </c>
      <c r="P77" s="106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4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</row>
    <row r="78" spans="1:101" ht="13.8" thickTop="1">
      <c r="A78" s="82"/>
      <c r="B78" s="82"/>
      <c r="C78" s="83"/>
      <c r="D78" s="82"/>
      <c r="E78" s="82"/>
      <c r="F78" s="82"/>
      <c r="G78" s="91"/>
      <c r="H78" s="91"/>
      <c r="I78" s="87">
        <f t="shared" si="2"/>
        <v>30</v>
      </c>
      <c r="J78" s="94"/>
      <c r="K78" s="94"/>
      <c r="L78" s="94"/>
      <c r="M78" s="104"/>
      <c r="N78" s="166"/>
      <c r="O78" s="104"/>
      <c r="P78" s="166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4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</row>
    <row r="79" spans="1:101" ht="13.8" thickBot="1">
      <c r="A79" s="82"/>
      <c r="B79" s="82"/>
      <c r="C79" s="83"/>
      <c r="D79" s="82"/>
      <c r="E79" s="82"/>
      <c r="F79" s="82"/>
      <c r="G79" s="91"/>
      <c r="H79" s="91"/>
      <c r="I79" s="87">
        <f t="shared" si="2"/>
        <v>31</v>
      </c>
      <c r="J79" s="94"/>
      <c r="K79" s="169" t="s">
        <v>1001</v>
      </c>
      <c r="L79" s="94"/>
      <c r="M79" s="1943">
        <f>ROUND(M77/13,0)</f>
        <v>0</v>
      </c>
      <c r="N79" s="82"/>
      <c r="O79" s="1943">
        <f>ROUND(O77/13,0)</f>
        <v>0</v>
      </c>
      <c r="P79" s="103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4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</row>
    <row r="80" spans="1:101" ht="13.8" thickTop="1">
      <c r="A80" s="82"/>
      <c r="B80" s="82"/>
      <c r="C80" s="83"/>
      <c r="D80" s="82"/>
      <c r="E80" s="82"/>
      <c r="F80" s="82"/>
      <c r="G80" s="91"/>
      <c r="H80" s="91"/>
      <c r="I80" s="126"/>
      <c r="J80" s="94"/>
      <c r="K80" s="94"/>
      <c r="L80" s="94"/>
      <c r="M80" s="94"/>
      <c r="N80" s="104"/>
      <c r="O80" s="105"/>
      <c r="P80" s="166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4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</row>
    <row r="81" spans="1:101">
      <c r="A81" s="82"/>
      <c r="B81" s="82"/>
      <c r="C81" s="83"/>
      <c r="D81" s="82"/>
      <c r="E81" s="82"/>
      <c r="F81" s="82"/>
      <c r="G81" s="91"/>
      <c r="H81" s="91"/>
      <c r="I81" s="126"/>
      <c r="J81" s="94"/>
      <c r="K81" s="94"/>
      <c r="L81" s="94"/>
      <c r="M81" s="166"/>
      <c r="N81" s="166"/>
      <c r="O81" s="166"/>
      <c r="P81" s="166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4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</row>
    <row r="82" spans="1:101">
      <c r="A82" s="82"/>
      <c r="B82" s="82"/>
      <c r="C82" s="83"/>
      <c r="D82" s="82"/>
      <c r="E82" s="82"/>
      <c r="F82" s="82"/>
      <c r="G82" s="91"/>
      <c r="H82" s="91"/>
      <c r="I82" s="126"/>
      <c r="J82" s="94"/>
      <c r="K82" s="169" t="s">
        <v>1002</v>
      </c>
      <c r="L82" s="94"/>
      <c r="M82" s="166"/>
      <c r="N82" s="166"/>
      <c r="O82" s="166"/>
      <c r="P82" s="166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4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</row>
    <row r="83" spans="1:101">
      <c r="A83" s="82"/>
      <c r="B83" s="82"/>
      <c r="C83" s="83"/>
      <c r="D83" s="82"/>
      <c r="E83" s="82"/>
      <c r="F83" s="82"/>
      <c r="G83" s="91"/>
      <c r="H83" s="91"/>
      <c r="I83" s="126"/>
      <c r="J83" s="94"/>
      <c r="K83" s="169" t="s">
        <v>1003</v>
      </c>
      <c r="L83" s="94"/>
      <c r="M83" s="94"/>
      <c r="N83" s="94"/>
      <c r="O83" s="94"/>
      <c r="P83" s="166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4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</row>
    <row r="84" spans="1:101">
      <c r="A84" s="82"/>
      <c r="B84" s="82"/>
      <c r="C84" s="83"/>
      <c r="D84" s="82"/>
      <c r="E84" s="82"/>
      <c r="F84" s="82"/>
      <c r="G84" s="91"/>
      <c r="H84" s="91"/>
      <c r="I84" s="126"/>
      <c r="J84" s="94"/>
      <c r="K84" s="169"/>
      <c r="L84" s="94"/>
      <c r="M84" s="166"/>
      <c r="N84" s="166"/>
      <c r="O84" s="166"/>
      <c r="P84" s="166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4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</row>
    <row r="85" spans="1:10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 t="str">
        <f>COMPANY</f>
        <v>DUKE ENERGY KENTUCKY, INC.</v>
      </c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 t="s">
        <v>961</v>
      </c>
      <c r="AC85" s="82"/>
      <c r="AD85" s="82"/>
      <c r="AE85" s="83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4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</row>
    <row r="86" spans="1:10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 t="str">
        <f>DEPT</f>
        <v>ELECTRIC DEPARTMENT</v>
      </c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 t="s">
        <v>468</v>
      </c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4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</row>
    <row r="87" spans="1:10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 t="str">
        <f>CASE</f>
        <v>CASE NO. 2024-00354</v>
      </c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71" t="str">
        <f>_WIT10</f>
        <v>G. S. CARPENTER</v>
      </c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4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</row>
    <row r="88" spans="1:10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 t="s">
        <v>1004</v>
      </c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4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</row>
    <row r="89" spans="1:10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107" t="s">
        <v>527</v>
      </c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6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4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</row>
    <row r="90" spans="1:10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4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</row>
    <row r="91" spans="1:10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7"/>
      <c r="R91" s="87"/>
      <c r="S91" s="87"/>
      <c r="T91" s="87"/>
      <c r="U91" s="87"/>
      <c r="V91" s="87"/>
      <c r="W91" s="87"/>
      <c r="X91" s="87" t="s">
        <v>1005</v>
      </c>
      <c r="Y91" s="87"/>
      <c r="Z91" s="87"/>
      <c r="AA91" s="87" t="s">
        <v>1006</v>
      </c>
      <c r="AB91" s="87"/>
      <c r="AC91" s="87"/>
      <c r="AD91" s="82"/>
      <c r="AE91" s="87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4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</row>
    <row r="92" spans="1:10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7" t="s">
        <v>471</v>
      </c>
      <c r="R92" s="87"/>
      <c r="S92" s="87"/>
      <c r="T92" s="87"/>
      <c r="U92" s="87"/>
      <c r="V92" s="87"/>
      <c r="W92" s="87" t="s">
        <v>972</v>
      </c>
      <c r="X92" s="87" t="s">
        <v>1007</v>
      </c>
      <c r="Y92" s="87"/>
      <c r="Z92" s="87"/>
      <c r="AA92" s="87" t="s">
        <v>1008</v>
      </c>
      <c r="AB92" s="87"/>
      <c r="AC92" s="87" t="s">
        <v>1009</v>
      </c>
      <c r="AD92" s="82"/>
      <c r="AE92" s="87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4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</row>
    <row r="93" spans="1:10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8" t="s">
        <v>533</v>
      </c>
      <c r="R93" s="88"/>
      <c r="S93" s="108" t="s">
        <v>476</v>
      </c>
      <c r="T93" s="108"/>
      <c r="U93" s="108"/>
      <c r="V93" s="88"/>
      <c r="W93" s="88" t="s">
        <v>1010</v>
      </c>
      <c r="X93" s="88" t="s">
        <v>1011</v>
      </c>
      <c r="Y93" s="88"/>
      <c r="Z93" s="88" t="s">
        <v>975</v>
      </c>
      <c r="AA93" s="88" t="s">
        <v>1012</v>
      </c>
      <c r="AB93" s="88" t="s">
        <v>420</v>
      </c>
      <c r="AC93" s="88" t="s">
        <v>1013</v>
      </c>
      <c r="AD93" s="82"/>
      <c r="AE93" s="88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4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</row>
    <row r="94" spans="1:10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109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4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</row>
    <row r="95" spans="1:10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7">
        <v>1</v>
      </c>
      <c r="R95" s="110" t="s">
        <v>1014</v>
      </c>
      <c r="S95" s="82"/>
      <c r="T95" s="82"/>
      <c r="U95" s="82"/>
      <c r="V95" s="82"/>
      <c r="W95" s="82"/>
      <c r="X95" s="82"/>
      <c r="Y95" s="82"/>
      <c r="Z95" s="111"/>
      <c r="AA95" s="87"/>
      <c r="AB95" s="82"/>
      <c r="AC95" s="82"/>
      <c r="AD95" s="82"/>
      <c r="AE95" s="91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4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</row>
    <row r="96" spans="1:10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7">
        <v>2</v>
      </c>
      <c r="R96" s="82"/>
      <c r="S96" s="82" t="s">
        <v>1015</v>
      </c>
      <c r="T96" s="82"/>
      <c r="U96" s="82"/>
      <c r="V96" s="82"/>
      <c r="W96" s="120">
        <f>$BX$279</f>
        <v>165651</v>
      </c>
      <c r="X96" s="647">
        <v>0</v>
      </c>
      <c r="Y96" s="113"/>
      <c r="Z96" s="120">
        <f t="shared" ref="Z96:Z100" si="5">ROUND(W96*X96,0)</f>
        <v>0</v>
      </c>
      <c r="AA96" s="644" t="s">
        <v>434</v>
      </c>
      <c r="AB96" s="121">
        <f t="shared" ref="AB96:AB100" si="6">VLOOKUP(AA96,ALLOCTABLE,2)</f>
        <v>0</v>
      </c>
      <c r="AC96" s="120">
        <f t="shared" ref="AC96:AC100" si="7">ROUND(Z96*(AB96/100),0)</f>
        <v>0</v>
      </c>
      <c r="AD96" s="82"/>
      <c r="AE96" s="91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4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</row>
    <row r="97" spans="1:10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7">
        <v>3</v>
      </c>
      <c r="R97" s="82"/>
      <c r="S97" s="82" t="s">
        <v>1016</v>
      </c>
      <c r="T97" s="82"/>
      <c r="U97" s="82"/>
      <c r="V97" s="82"/>
      <c r="W97" s="120">
        <f>$BY$279</f>
        <v>541752</v>
      </c>
      <c r="X97" s="647">
        <v>1</v>
      </c>
      <c r="Y97" s="113"/>
      <c r="Z97" s="120">
        <f t="shared" si="5"/>
        <v>541752</v>
      </c>
      <c r="AA97" s="644" t="s">
        <v>434</v>
      </c>
      <c r="AB97" s="121">
        <f t="shared" si="6"/>
        <v>0</v>
      </c>
      <c r="AC97" s="120">
        <f t="shared" si="7"/>
        <v>0</v>
      </c>
      <c r="AD97" s="82"/>
      <c r="AE97" s="91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4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</row>
    <row r="98" spans="1:10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7">
        <f>Q97+1</f>
        <v>4</v>
      </c>
      <c r="R98" s="82"/>
      <c r="S98" s="82" t="s">
        <v>1017</v>
      </c>
      <c r="T98" s="82"/>
      <c r="U98" s="82"/>
      <c r="V98" s="82"/>
      <c r="W98" s="120">
        <f>$BV$279</f>
        <v>611008</v>
      </c>
      <c r="X98" s="647">
        <v>1</v>
      </c>
      <c r="Y98" s="113"/>
      <c r="Z98" s="120">
        <f t="shared" si="5"/>
        <v>611008</v>
      </c>
      <c r="AA98" s="644" t="s">
        <v>428</v>
      </c>
      <c r="AB98" s="121">
        <f t="shared" si="6"/>
        <v>100</v>
      </c>
      <c r="AC98" s="120">
        <f t="shared" si="7"/>
        <v>611008</v>
      </c>
      <c r="AD98" s="82"/>
      <c r="AE98" s="91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4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</row>
    <row r="99" spans="1:10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7">
        <f t="shared" ref="Q99:Q109" si="8">Q98+1</f>
        <v>5</v>
      </c>
      <c r="R99" s="82"/>
      <c r="S99" s="82" t="s">
        <v>1018</v>
      </c>
      <c r="T99" s="82"/>
      <c r="U99" s="82"/>
      <c r="V99" s="82"/>
      <c r="W99" s="120">
        <f>$BW$279</f>
        <v>69100</v>
      </c>
      <c r="X99" s="647">
        <v>0</v>
      </c>
      <c r="Y99" s="113"/>
      <c r="Z99" s="120">
        <f t="shared" si="5"/>
        <v>0</v>
      </c>
      <c r="AA99" s="644" t="s">
        <v>428</v>
      </c>
      <c r="AB99" s="121">
        <f t="shared" si="6"/>
        <v>100</v>
      </c>
      <c r="AC99" s="120">
        <f t="shared" si="7"/>
        <v>0</v>
      </c>
      <c r="AD99" s="82"/>
      <c r="AE99" s="91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4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</row>
    <row r="100" spans="1:10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7">
        <f t="shared" si="8"/>
        <v>6</v>
      </c>
      <c r="R100" s="82"/>
      <c r="S100" s="82" t="s">
        <v>1019</v>
      </c>
      <c r="T100" s="82"/>
      <c r="U100" s="82"/>
      <c r="V100" s="82"/>
      <c r="W100" s="123">
        <f>$BZ$279</f>
        <v>1508308</v>
      </c>
      <c r="X100" s="647">
        <v>1</v>
      </c>
      <c r="Y100" s="113"/>
      <c r="Z100" s="123">
        <f t="shared" si="5"/>
        <v>1508308</v>
      </c>
      <c r="AA100" s="644" t="s">
        <v>428</v>
      </c>
      <c r="AB100" s="121">
        <f t="shared" si="6"/>
        <v>100</v>
      </c>
      <c r="AC100" s="123">
        <f t="shared" si="7"/>
        <v>1508308</v>
      </c>
      <c r="AD100" s="82"/>
      <c r="AE100" s="91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4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</row>
    <row r="101" spans="1:10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7">
        <f t="shared" si="8"/>
        <v>7</v>
      </c>
      <c r="R101" s="82"/>
      <c r="S101" s="82" t="s">
        <v>1020</v>
      </c>
      <c r="T101" s="82"/>
      <c r="U101" s="82"/>
      <c r="V101" s="82"/>
      <c r="W101" s="1281">
        <f>SUM(W96:W100)</f>
        <v>2895819</v>
      </c>
      <c r="X101" s="82"/>
      <c r="Y101" s="82"/>
      <c r="Z101" s="1281">
        <f>SUM(Z96:Z100)</f>
        <v>2661068</v>
      </c>
      <c r="AA101" s="644"/>
      <c r="AB101" s="115"/>
      <c r="AC101" s="1281">
        <f>SUM(AC96:AC100)</f>
        <v>2119316</v>
      </c>
      <c r="AD101" s="82"/>
      <c r="AE101" s="91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4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</row>
    <row r="102" spans="1:10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7">
        <f t="shared" si="8"/>
        <v>8</v>
      </c>
      <c r="R102" s="82"/>
      <c r="S102" s="82"/>
      <c r="T102" s="82"/>
      <c r="U102" s="82"/>
      <c r="V102" s="82"/>
      <c r="W102" s="793"/>
      <c r="X102" s="82"/>
      <c r="Y102" s="82"/>
      <c r="Z102" s="793"/>
      <c r="AA102" s="644"/>
      <c r="AB102" s="115"/>
      <c r="AC102" s="793"/>
      <c r="AD102" s="82"/>
      <c r="AE102" s="91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4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</row>
    <row r="103" spans="1:10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7">
        <f t="shared" si="8"/>
        <v>9</v>
      </c>
      <c r="R103" s="110" t="s">
        <v>1021</v>
      </c>
      <c r="S103" s="82"/>
      <c r="T103" s="82"/>
      <c r="U103" s="82"/>
      <c r="V103" s="82"/>
      <c r="W103" s="117"/>
      <c r="X103" s="115"/>
      <c r="Y103" s="82"/>
      <c r="Z103" s="117"/>
      <c r="AA103" s="644"/>
      <c r="AB103" s="115"/>
      <c r="AC103" s="117"/>
      <c r="AD103" s="82"/>
      <c r="AE103" s="91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4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</row>
    <row r="104" spans="1:10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7">
        <f t="shared" si="8"/>
        <v>10</v>
      </c>
      <c r="R104" s="82"/>
      <c r="S104" s="82" t="s">
        <v>1015</v>
      </c>
      <c r="T104" s="82"/>
      <c r="U104" s="82"/>
      <c r="V104" s="82"/>
      <c r="W104" s="120">
        <f>$BX$297</f>
        <v>165651</v>
      </c>
      <c r="X104" s="112">
        <f>X96</f>
        <v>0</v>
      </c>
      <c r="Y104" s="113"/>
      <c r="Z104" s="120">
        <f t="shared" ref="Z104:Z108" si="9">ROUND(W104*X104,0)</f>
        <v>0</v>
      </c>
      <c r="AA104" s="87" t="str">
        <f>AA96</f>
        <v>DNON</v>
      </c>
      <c r="AB104" s="121">
        <f t="shared" ref="AB104:AB108" si="10">VLOOKUP(AA104,ALLOCTABLE,2)</f>
        <v>0</v>
      </c>
      <c r="AC104" s="120">
        <f t="shared" ref="AC104:AC108" si="11">ROUND(Z104*(AB104/100),0)</f>
        <v>0</v>
      </c>
      <c r="AD104" s="82"/>
      <c r="AE104" s="91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4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</row>
    <row r="105" spans="1:10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7">
        <f t="shared" si="8"/>
        <v>11</v>
      </c>
      <c r="R105" s="82"/>
      <c r="S105" s="82" t="s">
        <v>1016</v>
      </c>
      <c r="T105" s="82"/>
      <c r="U105" s="82"/>
      <c r="V105" s="82"/>
      <c r="W105" s="120">
        <f>$BY$297</f>
        <v>541752</v>
      </c>
      <c r="X105" s="112">
        <f>X97</f>
        <v>1</v>
      </c>
      <c r="Y105" s="113"/>
      <c r="Z105" s="120">
        <f t="shared" si="9"/>
        <v>541752</v>
      </c>
      <c r="AA105" s="87" t="str">
        <f>AA97</f>
        <v>DNON</v>
      </c>
      <c r="AB105" s="121">
        <f t="shared" si="10"/>
        <v>0</v>
      </c>
      <c r="AC105" s="120">
        <f t="shared" si="11"/>
        <v>0</v>
      </c>
      <c r="AD105" s="82"/>
      <c r="AE105" s="91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4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</row>
    <row r="106" spans="1:10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7">
        <f t="shared" si="8"/>
        <v>12</v>
      </c>
      <c r="R106" s="82"/>
      <c r="S106" s="82" t="s">
        <v>1017</v>
      </c>
      <c r="T106" s="82"/>
      <c r="U106" s="82"/>
      <c r="V106" s="82"/>
      <c r="W106" s="120">
        <f>$BV$297</f>
        <v>611008</v>
      </c>
      <c r="X106" s="112">
        <f>X98</f>
        <v>1</v>
      </c>
      <c r="Y106" s="113"/>
      <c r="Z106" s="120">
        <f t="shared" si="9"/>
        <v>611008</v>
      </c>
      <c r="AA106" s="87" t="str">
        <f>AA98</f>
        <v>DALL</v>
      </c>
      <c r="AB106" s="121">
        <f t="shared" si="10"/>
        <v>100</v>
      </c>
      <c r="AC106" s="120">
        <f t="shared" si="11"/>
        <v>611008</v>
      </c>
      <c r="AD106" s="82"/>
      <c r="AE106" s="91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4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</row>
    <row r="107" spans="1:10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7">
        <f t="shared" si="8"/>
        <v>13</v>
      </c>
      <c r="R107" s="82"/>
      <c r="S107" s="82" t="s">
        <v>1018</v>
      </c>
      <c r="T107" s="82"/>
      <c r="U107" s="82"/>
      <c r="V107" s="82"/>
      <c r="W107" s="120">
        <f>$BW$297</f>
        <v>69100</v>
      </c>
      <c r="X107" s="112">
        <f>X99</f>
        <v>0</v>
      </c>
      <c r="Y107" s="113"/>
      <c r="Z107" s="120">
        <f t="shared" si="9"/>
        <v>0</v>
      </c>
      <c r="AA107" s="87" t="str">
        <f>AA99</f>
        <v>DALL</v>
      </c>
      <c r="AB107" s="121">
        <f t="shared" si="10"/>
        <v>100</v>
      </c>
      <c r="AC107" s="120">
        <f t="shared" si="11"/>
        <v>0</v>
      </c>
      <c r="AD107" s="82"/>
      <c r="AE107" s="91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4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</row>
    <row r="108" spans="1:10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7">
        <f t="shared" si="8"/>
        <v>14</v>
      </c>
      <c r="R108" s="82"/>
      <c r="S108" s="82" t="s">
        <v>1019</v>
      </c>
      <c r="T108" s="82"/>
      <c r="U108" s="82"/>
      <c r="V108" s="82"/>
      <c r="W108" s="123">
        <f>$BZ$297</f>
        <v>1508308</v>
      </c>
      <c r="X108" s="112">
        <f>X100</f>
        <v>1</v>
      </c>
      <c r="Y108" s="113"/>
      <c r="Z108" s="123">
        <f t="shared" si="9"/>
        <v>1508308</v>
      </c>
      <c r="AA108" s="87" t="str">
        <f>AA100</f>
        <v>DALL</v>
      </c>
      <c r="AB108" s="121">
        <f t="shared" si="10"/>
        <v>100</v>
      </c>
      <c r="AC108" s="123">
        <f t="shared" si="11"/>
        <v>1508308</v>
      </c>
      <c r="AD108" s="82"/>
      <c r="AE108" s="91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4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</row>
    <row r="109" spans="1:10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7">
        <f t="shared" si="8"/>
        <v>15</v>
      </c>
      <c r="R109" s="82"/>
      <c r="S109" s="82" t="s">
        <v>1020</v>
      </c>
      <c r="T109" s="82"/>
      <c r="U109" s="82"/>
      <c r="V109" s="82"/>
      <c r="W109" s="1281">
        <f>SUM(W104:W108)</f>
        <v>2895819</v>
      </c>
      <c r="X109" s="82"/>
      <c r="Y109" s="82"/>
      <c r="Z109" s="1281">
        <f>SUM(Z104:Z108)</f>
        <v>2661068</v>
      </c>
      <c r="AA109" s="87"/>
      <c r="AB109" s="114"/>
      <c r="AC109" s="1281">
        <f>SUM(AC104:AC108)</f>
        <v>2119316</v>
      </c>
      <c r="AD109" s="82"/>
      <c r="AE109" s="91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4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</row>
    <row r="110" spans="1:10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4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</row>
    <row r="111" spans="1:10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114"/>
      <c r="AC111" s="111"/>
      <c r="AD111" s="82"/>
      <c r="AE111" s="91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4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</row>
    <row r="112" spans="1:10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4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</row>
    <row r="113" spans="1:10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4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</row>
    <row r="114" spans="1:10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3" t="str">
        <f>COMPANY</f>
        <v>DUKE ENERGY KENTUCKY, INC.</v>
      </c>
      <c r="AH114" s="82"/>
      <c r="AI114" s="82"/>
      <c r="AJ114" s="82"/>
      <c r="AK114" s="82"/>
      <c r="AL114" s="82"/>
      <c r="AM114" s="82"/>
      <c r="AN114" s="82"/>
      <c r="AO114" s="82"/>
      <c r="AP114" s="82"/>
      <c r="AQ114" s="83" t="s">
        <v>959</v>
      </c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4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</row>
    <row r="115" spans="1:10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3" t="str">
        <f>DEPT</f>
        <v>ELECTRIC DEPARTMENT</v>
      </c>
      <c r="AH115" s="82"/>
      <c r="AI115" s="82"/>
      <c r="AJ115" s="82"/>
      <c r="AK115" s="82"/>
      <c r="AL115" s="82"/>
      <c r="AM115" s="82"/>
      <c r="AN115" s="82"/>
      <c r="AO115" s="82"/>
      <c r="AP115" s="82"/>
      <c r="AQ115" s="83" t="s">
        <v>468</v>
      </c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4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</row>
    <row r="116" spans="1:10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3" t="str">
        <f>CASE</f>
        <v>CASE NO. 2024-00354</v>
      </c>
      <c r="AH116" s="82"/>
      <c r="AI116" s="82"/>
      <c r="AJ116" s="82"/>
      <c r="AK116" s="82"/>
      <c r="AL116" s="82"/>
      <c r="AM116" s="82"/>
      <c r="AN116" s="82"/>
      <c r="AO116" s="82"/>
      <c r="AP116" s="82"/>
      <c r="AQ116" s="71" t="str">
        <f>_WIT10</f>
        <v>G. S. CARPENTER</v>
      </c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4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</row>
    <row r="117" spans="1:10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116" t="s">
        <v>1022</v>
      </c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4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</row>
    <row r="118" spans="1:10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3" t="s">
        <v>527</v>
      </c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4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</row>
    <row r="119" spans="1:10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4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</row>
    <row r="120" spans="1:10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5"/>
      <c r="AR120" s="85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4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</row>
    <row r="121" spans="1:10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7" t="s">
        <v>471</v>
      </c>
      <c r="AH121" s="82"/>
      <c r="AI121" s="82"/>
      <c r="AJ121" s="82"/>
      <c r="AK121" s="82"/>
      <c r="AL121" s="87" t="s">
        <v>1023</v>
      </c>
      <c r="AM121" s="108" t="s">
        <v>1024</v>
      </c>
      <c r="AN121" s="85"/>
      <c r="AO121" s="85"/>
      <c r="AP121" s="108" t="s">
        <v>1025</v>
      </c>
      <c r="AQ121" s="85"/>
      <c r="AR121" s="85"/>
      <c r="AS121" s="82"/>
      <c r="AT121" s="85"/>
      <c r="AU121" s="85"/>
      <c r="AV121" s="85"/>
      <c r="AW121" s="85"/>
      <c r="AX121" s="85"/>
      <c r="AY121" s="85"/>
      <c r="AZ121" s="85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4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</row>
    <row r="122" spans="1:10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8" t="s">
        <v>533</v>
      </c>
      <c r="AH122" s="110"/>
      <c r="AI122" s="89" t="s">
        <v>1026</v>
      </c>
      <c r="AJ122" s="110"/>
      <c r="AK122" s="110"/>
      <c r="AL122" s="88" t="s">
        <v>1027</v>
      </c>
      <c r="AM122" s="88" t="s">
        <v>420</v>
      </c>
      <c r="AN122" s="110"/>
      <c r="AO122" s="88" t="s">
        <v>975</v>
      </c>
      <c r="AP122" s="88" t="s">
        <v>1028</v>
      </c>
      <c r="AQ122" s="88" t="s">
        <v>420</v>
      </c>
      <c r="AR122" s="88" t="s">
        <v>975</v>
      </c>
      <c r="AS122" s="88"/>
      <c r="AT122" s="88"/>
      <c r="AU122" s="88"/>
      <c r="AV122" s="88"/>
      <c r="AW122" s="88"/>
      <c r="AX122" s="88"/>
      <c r="AY122" s="88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4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</row>
    <row r="123" spans="1:10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119"/>
      <c r="AK123" s="117"/>
      <c r="AL123" s="90" t="s">
        <v>580</v>
      </c>
      <c r="AM123" s="117"/>
      <c r="AN123" s="91"/>
      <c r="AO123" s="90" t="s">
        <v>580</v>
      </c>
      <c r="AP123" s="82"/>
      <c r="AQ123" s="82"/>
      <c r="AR123" s="87" t="s">
        <v>580</v>
      </c>
      <c r="AS123" s="87"/>
      <c r="AT123" s="87"/>
      <c r="AU123" s="87"/>
      <c r="AV123" s="87"/>
      <c r="AW123" s="87"/>
      <c r="AX123" s="87"/>
      <c r="AY123" s="87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4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</row>
    <row r="124" spans="1:10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7">
        <v>1</v>
      </c>
      <c r="AH124" s="82"/>
      <c r="AI124" s="89" t="s">
        <v>1014</v>
      </c>
      <c r="AJ124" s="119"/>
      <c r="AK124" s="117"/>
      <c r="AL124" s="117"/>
      <c r="AM124" s="117"/>
      <c r="AN124" s="91"/>
      <c r="AO124" s="91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4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</row>
    <row r="125" spans="1:10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7">
        <v>2</v>
      </c>
      <c r="AH125" s="82"/>
      <c r="AI125" s="644">
        <v>154100</v>
      </c>
      <c r="AJ125" s="645" t="s">
        <v>1029</v>
      </c>
      <c r="AK125" s="117"/>
      <c r="AL125" s="120">
        <f>BI227</f>
        <v>338836</v>
      </c>
      <c r="AM125" s="1832">
        <v>0</v>
      </c>
      <c r="AN125" s="83"/>
      <c r="AO125" s="91">
        <f t="shared" ref="AO125:AO130" si="12">ROUND(AL125*AM125,0)</f>
        <v>0</v>
      </c>
      <c r="AP125" s="87" t="s">
        <v>428</v>
      </c>
      <c r="AQ125" s="121">
        <f t="shared" ref="AQ125:AQ130" si="13">VLOOKUP(AP125,ALLOCTABLE,2)</f>
        <v>100</v>
      </c>
      <c r="AR125" s="91">
        <f t="shared" ref="AR125:AR127" si="14">ROUND(AO125*(AQ125/100),0)</f>
        <v>0</v>
      </c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4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</row>
    <row r="126" spans="1:10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7">
        <v>3</v>
      </c>
      <c r="AH126" s="82"/>
      <c r="AI126" s="644">
        <v>154100</v>
      </c>
      <c r="AJ126" s="645" t="s">
        <v>1030</v>
      </c>
      <c r="AK126" s="117"/>
      <c r="AL126" s="120">
        <f>BK227</f>
        <v>14662718</v>
      </c>
      <c r="AM126" s="1832">
        <v>1</v>
      </c>
      <c r="AN126" s="83"/>
      <c r="AO126" s="91">
        <f t="shared" si="12"/>
        <v>14662718</v>
      </c>
      <c r="AP126" s="87" t="s">
        <v>428</v>
      </c>
      <c r="AQ126" s="121">
        <f t="shared" si="13"/>
        <v>100</v>
      </c>
      <c r="AR126" s="91">
        <f t="shared" si="14"/>
        <v>14662718</v>
      </c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4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</row>
    <row r="127" spans="1:10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7">
        <v>4</v>
      </c>
      <c r="AH127" s="82"/>
      <c r="AI127" s="644">
        <v>154200</v>
      </c>
      <c r="AJ127" s="645" t="s">
        <v>1031</v>
      </c>
      <c r="AK127" s="117"/>
      <c r="AL127" s="120">
        <f>BL227</f>
        <v>5237392</v>
      </c>
      <c r="AM127" s="1832">
        <v>1</v>
      </c>
      <c r="AN127" s="83"/>
      <c r="AO127" s="91">
        <f t="shared" si="12"/>
        <v>5237392</v>
      </c>
      <c r="AP127" s="87" t="s">
        <v>428</v>
      </c>
      <c r="AQ127" s="121">
        <f t="shared" si="13"/>
        <v>100</v>
      </c>
      <c r="AR127" s="91">
        <f t="shared" si="14"/>
        <v>5237392</v>
      </c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4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</row>
    <row r="128" spans="1:10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7">
        <v>5</v>
      </c>
      <c r="AH128" s="82"/>
      <c r="AI128" s="644">
        <v>154410</v>
      </c>
      <c r="AJ128" s="645" t="s">
        <v>1032</v>
      </c>
      <c r="AK128" s="117"/>
      <c r="AL128" s="120">
        <f>BJ227</f>
        <v>208409</v>
      </c>
      <c r="AM128" s="1832">
        <v>0</v>
      </c>
      <c r="AN128" s="83"/>
      <c r="AO128" s="91">
        <f t="shared" ref="AO128" si="15">ROUND(AL128*AM128,0)</f>
        <v>0</v>
      </c>
      <c r="AP128" s="87" t="s">
        <v>428</v>
      </c>
      <c r="AQ128" s="121">
        <f t="shared" ref="AQ128" si="16">VLOOKUP(AP128,ALLOCTABLE,2)</f>
        <v>100</v>
      </c>
      <c r="AR128" s="91">
        <f>ROUND(AO128*(AQ128/100),0)</f>
        <v>0</v>
      </c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4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</row>
    <row r="129" spans="1:10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7">
        <v>6</v>
      </c>
      <c r="AH129" s="82"/>
      <c r="AI129" s="644">
        <v>154410</v>
      </c>
      <c r="AJ129" s="645" t="s">
        <v>1033</v>
      </c>
      <c r="AK129" s="117"/>
      <c r="AL129" s="120">
        <f>BM227</f>
        <v>90581</v>
      </c>
      <c r="AM129" s="1832">
        <v>1</v>
      </c>
      <c r="AN129" s="83"/>
      <c r="AO129" s="91">
        <f t="shared" si="12"/>
        <v>90581</v>
      </c>
      <c r="AP129" s="87" t="s">
        <v>428</v>
      </c>
      <c r="AQ129" s="121">
        <f t="shared" si="13"/>
        <v>100</v>
      </c>
      <c r="AR129" s="91">
        <f>ROUND(AO129*(AQ129/100),0)</f>
        <v>90581</v>
      </c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4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</row>
    <row r="130" spans="1:10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7">
        <v>7</v>
      </c>
      <c r="AH130" s="82"/>
      <c r="AI130" s="644">
        <v>154990</v>
      </c>
      <c r="AJ130" s="645" t="s">
        <v>1034</v>
      </c>
      <c r="AK130" s="117"/>
      <c r="AL130" s="122">
        <f>BN227</f>
        <v>0</v>
      </c>
      <c r="AM130" s="1832">
        <v>1</v>
      </c>
      <c r="AN130" s="83"/>
      <c r="AO130" s="123">
        <f t="shared" si="12"/>
        <v>0</v>
      </c>
      <c r="AP130" s="87" t="s">
        <v>428</v>
      </c>
      <c r="AQ130" s="121">
        <f t="shared" si="13"/>
        <v>100</v>
      </c>
      <c r="AR130" s="123">
        <f>ROUND(AO130*(AQ130/100),0)</f>
        <v>0</v>
      </c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4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</row>
    <row r="131" spans="1:10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7">
        <v>8</v>
      </c>
      <c r="AH131" s="82"/>
      <c r="AI131" s="644"/>
      <c r="AJ131" s="645"/>
      <c r="AK131" s="117"/>
      <c r="AL131" s="120">
        <f>SUM(AL125:AL130)</f>
        <v>20537936</v>
      </c>
      <c r="AM131" s="1832"/>
      <c r="AN131" s="83"/>
      <c r="AO131" s="91">
        <f>SUM(AO125:AO130)</f>
        <v>19990691</v>
      </c>
      <c r="AP131" s="87"/>
      <c r="AQ131" s="121"/>
      <c r="AR131" s="91">
        <f>SUM(AR125:AR130)</f>
        <v>19990691</v>
      </c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4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</row>
    <row r="132" spans="1:10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7">
        <v>9</v>
      </c>
      <c r="AH132" s="82"/>
      <c r="AI132" s="644">
        <v>163110</v>
      </c>
      <c r="AJ132" s="645" t="s">
        <v>1035</v>
      </c>
      <c r="AK132" s="117"/>
      <c r="AL132" s="120">
        <f>BO227</f>
        <v>208012</v>
      </c>
      <c r="AM132" s="1833">
        <v>0</v>
      </c>
      <c r="AN132" s="83"/>
      <c r="AO132" s="91">
        <f>ROUND(AL132*AM132,0)</f>
        <v>0</v>
      </c>
      <c r="AP132" s="87" t="s">
        <v>428</v>
      </c>
      <c r="AQ132" s="121">
        <f>VLOOKUP(AP132,ALLOCTABLE,2)</f>
        <v>100</v>
      </c>
      <c r="AR132" s="91">
        <f>ROUND(AO132*(AQ132/100),0)</f>
        <v>0</v>
      </c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4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</row>
    <row r="133" spans="1:10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7">
        <v>10</v>
      </c>
      <c r="AH133" s="82"/>
      <c r="AI133" s="644">
        <v>163110</v>
      </c>
      <c r="AJ133" s="645" t="s">
        <v>1036</v>
      </c>
      <c r="AK133" s="117"/>
      <c r="AL133" s="122">
        <f>BP227</f>
        <v>105985</v>
      </c>
      <c r="AM133" s="1832">
        <v>1</v>
      </c>
      <c r="AN133" s="83"/>
      <c r="AO133" s="123">
        <f>ROUND(AL133*AM133,0)</f>
        <v>105985</v>
      </c>
      <c r="AP133" s="87" t="s">
        <v>428</v>
      </c>
      <c r="AQ133" s="121">
        <f>VLOOKUP(AP133,ALLOCTABLE,2)</f>
        <v>100</v>
      </c>
      <c r="AR133" s="123">
        <f>ROUND(AO133*(AQ133/100),0)</f>
        <v>105985</v>
      </c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4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</row>
    <row r="134" spans="1:10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7">
        <v>11</v>
      </c>
      <c r="AH134" s="82"/>
      <c r="AI134" s="87" t="s">
        <v>258</v>
      </c>
      <c r="AJ134" s="119"/>
      <c r="AK134" s="117"/>
      <c r="AL134" s="118">
        <f>SUM(AL131:AL133)</f>
        <v>20851933</v>
      </c>
      <c r="AM134" s="117"/>
      <c r="AN134" s="82"/>
      <c r="AO134" s="118">
        <f>SUM(AO131:AO133)</f>
        <v>20096676</v>
      </c>
      <c r="AP134" s="87"/>
      <c r="AQ134" s="121"/>
      <c r="AR134" s="118">
        <f>SUM(AR131:AR133)</f>
        <v>20096676</v>
      </c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4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</row>
    <row r="135" spans="1:10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7">
        <v>12</v>
      </c>
      <c r="AH135" s="82"/>
      <c r="AI135" s="110"/>
      <c r="AJ135" s="82"/>
      <c r="AK135" s="82"/>
      <c r="AL135" s="82"/>
      <c r="AM135" s="82"/>
      <c r="AN135" s="82"/>
      <c r="AO135" s="82"/>
      <c r="AP135" s="87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4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</row>
    <row r="136" spans="1:10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7">
        <v>13</v>
      </c>
      <c r="AH136" s="82"/>
      <c r="AI136" s="89" t="s">
        <v>1021</v>
      </c>
      <c r="AJ136" s="82"/>
      <c r="AK136" s="82"/>
      <c r="AL136" s="82"/>
      <c r="AM136" s="82"/>
      <c r="AN136" s="82"/>
      <c r="AO136" s="82"/>
      <c r="AP136" s="87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4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</row>
    <row r="137" spans="1:10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7">
        <v>14</v>
      </c>
      <c r="AH137" s="82"/>
      <c r="AI137" s="110"/>
      <c r="AJ137" s="82"/>
      <c r="AK137" s="82"/>
      <c r="AL137" s="82"/>
      <c r="AM137" s="82"/>
      <c r="AN137" s="82"/>
      <c r="AO137" s="82"/>
      <c r="AP137" s="87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4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</row>
    <row r="138" spans="1:10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7">
        <v>15</v>
      </c>
      <c r="AH138" s="82"/>
      <c r="AI138" s="644">
        <v>154100</v>
      </c>
      <c r="AJ138" s="645" t="s">
        <v>1029</v>
      </c>
      <c r="AK138" s="117"/>
      <c r="AL138" s="120">
        <f>BI$245</f>
        <v>338836</v>
      </c>
      <c r="AM138" s="115">
        <f t="shared" ref="AM138:AM143" si="17">AM125</f>
        <v>0</v>
      </c>
      <c r="AN138" s="83"/>
      <c r="AO138" s="91">
        <f t="shared" ref="AO138:AO143" si="18">ROUND(AL138*AM138,0)</f>
        <v>0</v>
      </c>
      <c r="AP138" s="87" t="s">
        <v>428</v>
      </c>
      <c r="AQ138" s="121">
        <f t="shared" ref="AQ138:AQ143" si="19">VLOOKUP(AP138,ALLOCTABLE,2)</f>
        <v>100</v>
      </c>
      <c r="AR138" s="91">
        <f t="shared" ref="AR138:AR143" si="20">ROUND(AO138*(AQ138/100),0)</f>
        <v>0</v>
      </c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4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</row>
    <row r="139" spans="1:10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7">
        <v>16</v>
      </c>
      <c r="AH139" s="82"/>
      <c r="AI139" s="644">
        <v>154100</v>
      </c>
      <c r="AJ139" s="645" t="s">
        <v>1030</v>
      </c>
      <c r="AK139" s="117"/>
      <c r="AL139" s="120">
        <f>BK$245</f>
        <v>14662718</v>
      </c>
      <c r="AM139" s="115">
        <f t="shared" si="17"/>
        <v>1</v>
      </c>
      <c r="AN139" s="83"/>
      <c r="AO139" s="91">
        <f t="shared" si="18"/>
        <v>14662718</v>
      </c>
      <c r="AP139" s="87" t="s">
        <v>428</v>
      </c>
      <c r="AQ139" s="121">
        <f t="shared" si="19"/>
        <v>100</v>
      </c>
      <c r="AR139" s="91">
        <f t="shared" si="20"/>
        <v>14662718</v>
      </c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4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</row>
    <row r="140" spans="1:10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7">
        <v>17</v>
      </c>
      <c r="AH140" s="82"/>
      <c r="AI140" s="644">
        <v>154200</v>
      </c>
      <c r="AJ140" s="645" t="s">
        <v>1031</v>
      </c>
      <c r="AK140" s="117"/>
      <c r="AL140" s="120">
        <f>BL$245</f>
        <v>5237392</v>
      </c>
      <c r="AM140" s="115">
        <f t="shared" si="17"/>
        <v>1</v>
      </c>
      <c r="AN140" s="83"/>
      <c r="AO140" s="91">
        <f t="shared" si="18"/>
        <v>5237392</v>
      </c>
      <c r="AP140" s="87" t="s">
        <v>428</v>
      </c>
      <c r="AQ140" s="121">
        <f t="shared" si="19"/>
        <v>100</v>
      </c>
      <c r="AR140" s="91">
        <f t="shared" si="20"/>
        <v>5237392</v>
      </c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4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</row>
    <row r="141" spans="1:10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7">
        <v>18</v>
      </c>
      <c r="AH141" s="82"/>
      <c r="AI141" s="644">
        <v>154410</v>
      </c>
      <c r="AJ141" s="645" t="s">
        <v>1032</v>
      </c>
      <c r="AK141" s="117"/>
      <c r="AL141" s="120">
        <f>BJ$245</f>
        <v>208409</v>
      </c>
      <c r="AM141" s="115">
        <f t="shared" si="17"/>
        <v>0</v>
      </c>
      <c r="AN141" s="83"/>
      <c r="AO141" s="91">
        <f t="shared" ref="AO141" si="21">ROUND(AL141*AM141,0)</f>
        <v>0</v>
      </c>
      <c r="AP141" s="87" t="s">
        <v>428</v>
      </c>
      <c r="AQ141" s="121">
        <f t="shared" ref="AQ141" si="22">VLOOKUP(AP141,ALLOCTABLE,2)</f>
        <v>100</v>
      </c>
      <c r="AR141" s="91">
        <f t="shared" ref="AR141" si="23">ROUND(AO141*(AQ141/100),0)</f>
        <v>0</v>
      </c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4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</row>
    <row r="142" spans="1:10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7">
        <v>19</v>
      </c>
      <c r="AH142" s="82"/>
      <c r="AI142" s="644">
        <v>154410</v>
      </c>
      <c r="AJ142" s="645" t="s">
        <v>1033</v>
      </c>
      <c r="AK142" s="117"/>
      <c r="AL142" s="120">
        <f>BM$245</f>
        <v>90581</v>
      </c>
      <c r="AM142" s="115">
        <f t="shared" si="17"/>
        <v>1</v>
      </c>
      <c r="AN142" s="83"/>
      <c r="AO142" s="91">
        <f t="shared" si="18"/>
        <v>90581</v>
      </c>
      <c r="AP142" s="87" t="s">
        <v>428</v>
      </c>
      <c r="AQ142" s="121">
        <f t="shared" si="19"/>
        <v>100</v>
      </c>
      <c r="AR142" s="91">
        <f t="shared" si="20"/>
        <v>90581</v>
      </c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4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</row>
    <row r="143" spans="1:10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7">
        <v>20</v>
      </c>
      <c r="AH143" s="82"/>
      <c r="AI143" s="644">
        <v>154990</v>
      </c>
      <c r="AJ143" s="645" t="s">
        <v>1034</v>
      </c>
      <c r="AK143" s="117"/>
      <c r="AL143" s="122">
        <f>BN$245</f>
        <v>0</v>
      </c>
      <c r="AM143" s="115">
        <f t="shared" si="17"/>
        <v>1</v>
      </c>
      <c r="AN143" s="83"/>
      <c r="AO143" s="123">
        <f t="shared" si="18"/>
        <v>0</v>
      </c>
      <c r="AP143" s="87" t="s">
        <v>428</v>
      </c>
      <c r="AQ143" s="121">
        <f t="shared" si="19"/>
        <v>100</v>
      </c>
      <c r="AR143" s="123">
        <f t="shared" si="20"/>
        <v>0</v>
      </c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4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</row>
    <row r="144" spans="1:10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7">
        <v>21</v>
      </c>
      <c r="AH144" s="82"/>
      <c r="AI144" s="644"/>
      <c r="AJ144" s="645"/>
      <c r="AK144" s="117"/>
      <c r="AL144" s="120">
        <f>SUM(AL138:AL143)</f>
        <v>20537936</v>
      </c>
      <c r="AM144" s="115"/>
      <c r="AN144" s="83"/>
      <c r="AO144" s="120">
        <f>SUM(AO138:AO143)</f>
        <v>19990691</v>
      </c>
      <c r="AP144" s="87"/>
      <c r="AQ144" s="121"/>
      <c r="AR144" s="120">
        <f>SUM(AR138:AR143)</f>
        <v>19990691</v>
      </c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4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</row>
    <row r="145" spans="1:10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7">
        <v>22</v>
      </c>
      <c r="AH145" s="82"/>
      <c r="AI145" s="644">
        <v>163110</v>
      </c>
      <c r="AJ145" s="645" t="s">
        <v>1035</v>
      </c>
      <c r="AK145" s="117"/>
      <c r="AL145" s="120">
        <f>BO$245</f>
        <v>208012</v>
      </c>
      <c r="AM145" s="115">
        <f>AM132</f>
        <v>0</v>
      </c>
      <c r="AN145" s="83"/>
      <c r="AO145" s="91">
        <f>ROUND(AL145*AM145,0)</f>
        <v>0</v>
      </c>
      <c r="AP145" s="87" t="s">
        <v>428</v>
      </c>
      <c r="AQ145" s="121">
        <f>VLOOKUP(AP145,ALLOCTABLE,2)</f>
        <v>100</v>
      </c>
      <c r="AR145" s="91">
        <f>ROUND(AO145*(AQ145/100),0)</f>
        <v>0</v>
      </c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4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</row>
    <row r="146" spans="1:10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7">
        <v>23</v>
      </c>
      <c r="AH146" s="82"/>
      <c r="AI146" s="644">
        <v>163110</v>
      </c>
      <c r="AJ146" s="645" t="s">
        <v>1036</v>
      </c>
      <c r="AK146" s="117"/>
      <c r="AL146" s="122">
        <f>BP$245</f>
        <v>105985</v>
      </c>
      <c r="AM146" s="115">
        <f>AM133</f>
        <v>1</v>
      </c>
      <c r="AN146" s="83"/>
      <c r="AO146" s="123">
        <f>ROUND(AL146*AM146,0)</f>
        <v>105985</v>
      </c>
      <c r="AP146" s="87" t="s">
        <v>428</v>
      </c>
      <c r="AQ146" s="121">
        <f>VLOOKUP(AP146,ALLOCTABLE,2)</f>
        <v>100</v>
      </c>
      <c r="AR146" s="123">
        <f>ROUND(AO146*(AQ146/100),0)</f>
        <v>105985</v>
      </c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4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</row>
    <row r="147" spans="1:10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7">
        <v>24</v>
      </c>
      <c r="AH147" s="82"/>
      <c r="AI147" s="87" t="s">
        <v>258</v>
      </c>
      <c r="AJ147" s="119"/>
      <c r="AK147" s="117"/>
      <c r="AL147" s="118">
        <f>SUM(AL144:AL146)</f>
        <v>20851933</v>
      </c>
      <c r="AM147" s="117"/>
      <c r="AN147" s="82"/>
      <c r="AO147" s="118">
        <f>SUM(AO144:AO146)</f>
        <v>20096676</v>
      </c>
      <c r="AP147" s="87"/>
      <c r="AQ147" s="121"/>
      <c r="AR147" s="118">
        <f>SUM(AR144:AR146)</f>
        <v>20096676</v>
      </c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4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</row>
    <row r="148" spans="1:10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3"/>
      <c r="AH148" s="82"/>
      <c r="AI148" s="110"/>
      <c r="AJ148" s="82"/>
      <c r="AK148" s="82"/>
      <c r="AL148" s="82"/>
      <c r="AM148" s="82"/>
      <c r="AN148" s="82"/>
      <c r="AO148" s="82"/>
      <c r="AP148" s="87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4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</row>
    <row r="149" spans="1:10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3"/>
      <c r="AH149" s="82"/>
      <c r="AI149" s="110"/>
      <c r="AJ149" s="82"/>
      <c r="AK149" s="82"/>
      <c r="AL149" s="82"/>
      <c r="AM149" s="82"/>
      <c r="AN149" s="82"/>
      <c r="AO149" s="82"/>
      <c r="AP149" s="87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4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</row>
    <row r="150" spans="1:10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3"/>
      <c r="AH150" s="82"/>
      <c r="AI150" s="82"/>
      <c r="AJ150" s="82"/>
      <c r="AK150" s="82"/>
      <c r="AL150" s="91"/>
      <c r="AM150" s="82"/>
      <c r="AN150" s="82"/>
      <c r="AO150" s="82"/>
      <c r="AP150" s="87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4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</row>
    <row r="151" spans="1:10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3"/>
      <c r="AH151" s="82"/>
      <c r="AI151" s="113"/>
      <c r="AJ151" s="82"/>
      <c r="AK151" s="82"/>
      <c r="AL151" s="82"/>
      <c r="AM151" s="82"/>
      <c r="AN151" s="82"/>
      <c r="AO151" s="82"/>
      <c r="AP151" s="87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4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</row>
    <row r="152" spans="1:10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3"/>
      <c r="AH152" s="82"/>
      <c r="AI152" s="113"/>
      <c r="AJ152" s="82"/>
      <c r="AK152" s="82"/>
      <c r="AL152" s="91"/>
      <c r="AM152" s="82"/>
      <c r="AN152" s="82"/>
      <c r="AO152" s="82"/>
      <c r="AP152" s="87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4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</row>
    <row r="153" spans="1:10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3"/>
      <c r="AH153" s="82"/>
      <c r="AI153" s="82"/>
      <c r="AJ153" s="82"/>
      <c r="AK153" s="82"/>
      <c r="AL153" s="82"/>
      <c r="AM153" s="82"/>
      <c r="AN153" s="82"/>
      <c r="AO153" s="82"/>
      <c r="AP153" s="87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4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</row>
    <row r="154" spans="1:10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3"/>
      <c r="AH154" s="82"/>
      <c r="AI154" s="113"/>
      <c r="AJ154" s="82"/>
      <c r="AK154" s="82"/>
      <c r="AL154" s="82"/>
      <c r="AM154" s="82"/>
      <c r="AN154" s="82"/>
      <c r="AO154" s="82"/>
      <c r="AP154" s="87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4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</row>
    <row r="155" spans="1:10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3"/>
      <c r="AH155" s="82"/>
      <c r="AI155" s="110"/>
      <c r="AJ155" s="82"/>
      <c r="AK155" s="82"/>
      <c r="AL155" s="82"/>
      <c r="AM155" s="82"/>
      <c r="AN155" s="82"/>
      <c r="AO155" s="82"/>
      <c r="AP155" s="87"/>
      <c r="AQ155" s="82"/>
      <c r="AR155" s="82"/>
      <c r="AS155" s="82"/>
      <c r="AT155" s="82"/>
      <c r="AU155" s="82"/>
      <c r="AV155" s="169" t="str">
        <f>COMPANY</f>
        <v>DUKE ENERGY KENTUCKY, INC.</v>
      </c>
      <c r="AW155" s="124"/>
      <c r="AX155" s="124"/>
      <c r="AY155" s="94"/>
      <c r="AZ155" s="100"/>
      <c r="BA155" s="100"/>
      <c r="BB155" s="169" t="s">
        <v>956</v>
      </c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4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</row>
    <row r="156" spans="1:10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3"/>
      <c r="AH156" s="82"/>
      <c r="AI156" s="82"/>
      <c r="AJ156" s="82"/>
      <c r="AK156" s="82"/>
      <c r="AL156" s="82"/>
      <c r="AM156" s="82"/>
      <c r="AN156" s="82"/>
      <c r="AO156" s="82"/>
      <c r="AP156" s="87"/>
      <c r="AQ156" s="82"/>
      <c r="AR156" s="82"/>
      <c r="AS156" s="82"/>
      <c r="AT156" s="82"/>
      <c r="AU156" s="82"/>
      <c r="AV156" s="169" t="str">
        <f>DEPT</f>
        <v>ELECTRIC DEPARTMENT</v>
      </c>
      <c r="AW156" s="124"/>
      <c r="AX156" s="124"/>
      <c r="AY156" s="166"/>
      <c r="AZ156" s="100"/>
      <c r="BA156" s="100"/>
      <c r="BB156" s="94" t="s">
        <v>468</v>
      </c>
      <c r="BC156" s="100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4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</row>
    <row r="157" spans="1:10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7"/>
      <c r="AQ157" s="82"/>
      <c r="AR157" s="82"/>
      <c r="AS157" s="82"/>
      <c r="AT157" s="82"/>
      <c r="AU157" s="82"/>
      <c r="AV157" s="94" t="str">
        <f>CASE</f>
        <v>CASE NO. 2024-00354</v>
      </c>
      <c r="AW157" s="124"/>
      <c r="AX157" s="124"/>
      <c r="AY157" s="166"/>
      <c r="AZ157" s="100"/>
      <c r="BA157" s="100"/>
      <c r="BB157" s="71" t="str">
        <f>_WIT10</f>
        <v>G. S. CARPENTER</v>
      </c>
      <c r="BC157" s="100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4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</row>
    <row r="158" spans="1:10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7"/>
      <c r="AQ158" s="82"/>
      <c r="AR158" s="82"/>
      <c r="AS158" s="82"/>
      <c r="AT158" s="82"/>
      <c r="AU158" s="82"/>
      <c r="AV158" s="95" t="s">
        <v>1037</v>
      </c>
      <c r="AW158" s="124"/>
      <c r="AX158" s="124"/>
      <c r="AY158" s="166"/>
      <c r="AZ158" s="100"/>
      <c r="BA158" s="100"/>
      <c r="BB158" s="82"/>
      <c r="BC158" s="94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4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</row>
    <row r="159" spans="1:10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7"/>
      <c r="AQ159" s="82"/>
      <c r="AR159" s="82"/>
      <c r="AS159" s="82"/>
      <c r="AT159" s="82"/>
      <c r="AU159" s="82"/>
      <c r="AV159" s="83" t="s">
        <v>527</v>
      </c>
      <c r="AW159" s="124"/>
      <c r="AX159" s="124"/>
      <c r="AY159" s="166"/>
      <c r="AZ159" s="100"/>
      <c r="BA159" s="100"/>
      <c r="BB159" s="94"/>
      <c r="BC159" s="96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4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</row>
    <row r="160" spans="1:10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7"/>
      <c r="AQ160" s="82"/>
      <c r="AR160" s="82"/>
      <c r="AS160" s="82"/>
      <c r="AT160" s="82"/>
      <c r="AU160" s="82"/>
      <c r="AV160" s="94"/>
      <c r="AW160" s="124"/>
      <c r="AX160" s="124"/>
      <c r="AY160" s="166"/>
      <c r="AZ160" s="100"/>
      <c r="BA160" s="100"/>
      <c r="BB160" s="100"/>
      <c r="BC160" s="100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4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</row>
    <row r="161" spans="1:10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7"/>
      <c r="AQ161" s="82"/>
      <c r="AR161" s="82"/>
      <c r="AS161" s="82"/>
      <c r="AT161" s="82"/>
      <c r="AU161" s="82"/>
      <c r="AV161" s="94"/>
      <c r="AW161" s="94"/>
      <c r="AX161" s="94"/>
      <c r="AY161" s="94"/>
      <c r="AZ161" s="100"/>
      <c r="BA161" s="100"/>
      <c r="BB161" s="166"/>
      <c r="BC161" s="100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4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</row>
    <row r="162" spans="1:10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7"/>
      <c r="AQ162" s="82"/>
      <c r="AR162" s="82"/>
      <c r="AS162" s="82"/>
      <c r="AT162" s="82"/>
      <c r="AU162" s="82"/>
      <c r="AV162" s="126" t="s">
        <v>471</v>
      </c>
      <c r="AW162" s="94"/>
      <c r="AX162" s="94"/>
      <c r="AY162" s="94"/>
      <c r="AZ162" s="125"/>
      <c r="BA162" s="125"/>
      <c r="BB162" s="2335"/>
      <c r="BC162" s="94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4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</row>
    <row r="163" spans="1:10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7"/>
      <c r="AQ163" s="82"/>
      <c r="AR163" s="82"/>
      <c r="AS163" s="82"/>
      <c r="AT163" s="82"/>
      <c r="AU163" s="82"/>
      <c r="AV163" s="97" t="s">
        <v>533</v>
      </c>
      <c r="AW163" s="97" t="s">
        <v>1038</v>
      </c>
      <c r="AX163" s="94"/>
      <c r="AY163" s="94"/>
      <c r="AZ163" s="97"/>
      <c r="BA163" s="97"/>
      <c r="BB163" s="97" t="s">
        <v>1039</v>
      </c>
      <c r="BC163" s="94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4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</row>
    <row r="164" spans="1:10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7"/>
      <c r="AQ164" s="82"/>
      <c r="AR164" s="82"/>
      <c r="AS164" s="82"/>
      <c r="AT164" s="82"/>
      <c r="AU164" s="82"/>
      <c r="AV164" s="169"/>
      <c r="AW164" s="94"/>
      <c r="AX164" s="94"/>
      <c r="AY164" s="94"/>
      <c r="AZ164" s="126"/>
      <c r="BA164" s="126"/>
      <c r="BB164" s="126" t="s">
        <v>580</v>
      </c>
      <c r="BC164" s="94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4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</row>
    <row r="165" spans="1:10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7"/>
      <c r="AQ165" s="82"/>
      <c r="AR165" s="82"/>
      <c r="AS165" s="82"/>
      <c r="AT165" s="82"/>
      <c r="AU165" s="82"/>
      <c r="AV165" s="126">
        <v>1</v>
      </c>
      <c r="AW165" s="127" t="s">
        <v>780</v>
      </c>
      <c r="AX165" s="94"/>
      <c r="AY165" s="94"/>
      <c r="AZ165" s="94"/>
      <c r="BA165" s="94"/>
      <c r="BB165" s="94"/>
      <c r="BC165" s="94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4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</row>
    <row r="166" spans="1:10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7"/>
      <c r="AQ166" s="82"/>
      <c r="AR166" s="82"/>
      <c r="AS166" s="82"/>
      <c r="AT166" s="82"/>
      <c r="AU166" s="82"/>
      <c r="AV166" s="126">
        <v>2</v>
      </c>
      <c r="AW166" s="128" t="str">
        <f t="shared" ref="AW166:AW177" si="24">K50</f>
        <v>March 2024</v>
      </c>
      <c r="AX166" s="94"/>
      <c r="AY166" s="94"/>
      <c r="AZ166" s="94"/>
      <c r="BA166" s="94"/>
      <c r="BB166" s="100">
        <v>813104</v>
      </c>
      <c r="BC166" s="94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4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</row>
    <row r="167" spans="1:10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7"/>
      <c r="AQ167" s="82"/>
      <c r="AR167" s="82"/>
      <c r="AS167" s="82"/>
      <c r="AT167" s="82"/>
      <c r="AU167" s="82"/>
      <c r="AV167" s="126">
        <f t="shared" ref="AV167:AV195" si="25">1+AV166</f>
        <v>3</v>
      </c>
      <c r="AW167" s="128" t="str">
        <f t="shared" si="24"/>
        <v>April</v>
      </c>
      <c r="AX167" s="94"/>
      <c r="AY167" s="94"/>
      <c r="AZ167" s="94"/>
      <c r="BA167" s="94"/>
      <c r="BB167" s="100">
        <v>600610</v>
      </c>
      <c r="BC167" s="94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4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</row>
    <row r="168" spans="1:10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7"/>
      <c r="AQ168" s="82"/>
      <c r="AR168" s="82"/>
      <c r="AS168" s="82"/>
      <c r="AT168" s="82"/>
      <c r="AU168" s="82"/>
      <c r="AV168" s="126">
        <f t="shared" si="25"/>
        <v>4</v>
      </c>
      <c r="AW168" s="128" t="str">
        <f t="shared" si="24"/>
        <v>May</v>
      </c>
      <c r="AX168" s="94"/>
      <c r="AY168" s="94"/>
      <c r="AZ168" s="94"/>
      <c r="BA168" s="94"/>
      <c r="BB168" s="100">
        <v>1096612</v>
      </c>
      <c r="BC168" s="94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4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</row>
    <row r="169" spans="1:10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7"/>
      <c r="AQ169" s="82"/>
      <c r="AR169" s="82"/>
      <c r="AS169" s="82"/>
      <c r="AT169" s="82"/>
      <c r="AU169" s="82"/>
      <c r="AV169" s="126">
        <f t="shared" si="25"/>
        <v>5</v>
      </c>
      <c r="AW169" s="128" t="str">
        <f t="shared" si="24"/>
        <v>June</v>
      </c>
      <c r="AX169" s="94"/>
      <c r="AY169" s="94"/>
      <c r="AZ169" s="94"/>
      <c r="BA169" s="94"/>
      <c r="BB169" s="100">
        <v>1678211</v>
      </c>
      <c r="BC169" s="94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4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</row>
    <row r="170" spans="1:10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7"/>
      <c r="AQ170" s="82"/>
      <c r="AR170" s="82"/>
      <c r="AS170" s="82"/>
      <c r="AT170" s="82"/>
      <c r="AU170" s="82"/>
      <c r="AV170" s="126">
        <f t="shared" si="25"/>
        <v>6</v>
      </c>
      <c r="AW170" s="128" t="str">
        <f t="shared" si="24"/>
        <v>July</v>
      </c>
      <c r="AX170" s="94"/>
      <c r="AY170" s="94"/>
      <c r="AZ170" s="94"/>
      <c r="BA170" s="94"/>
      <c r="BB170" s="100">
        <v>2243203</v>
      </c>
      <c r="BC170" s="94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4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</row>
    <row r="171" spans="1:10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7"/>
      <c r="AQ171" s="82"/>
      <c r="AR171" s="82"/>
      <c r="AS171" s="82"/>
      <c r="AT171" s="82"/>
      <c r="AU171" s="82"/>
      <c r="AV171" s="126">
        <f t="shared" si="25"/>
        <v>7</v>
      </c>
      <c r="AW171" s="128" t="str">
        <f t="shared" si="24"/>
        <v>August</v>
      </c>
      <c r="AX171" s="94"/>
      <c r="AY171" s="94"/>
      <c r="AZ171" s="94"/>
      <c r="BA171" s="94"/>
      <c r="BB171" s="100">
        <v>2565012</v>
      </c>
      <c r="BC171" s="1015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4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</row>
    <row r="172" spans="1:10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7"/>
      <c r="AQ172" s="82"/>
      <c r="AR172" s="82"/>
      <c r="AS172" s="82"/>
      <c r="AT172" s="82"/>
      <c r="AU172" s="82"/>
      <c r="AV172" s="126">
        <f t="shared" si="25"/>
        <v>8</v>
      </c>
      <c r="AW172" s="128" t="str">
        <f t="shared" si="24"/>
        <v>September</v>
      </c>
      <c r="AX172" s="94"/>
      <c r="AY172" s="94"/>
      <c r="AZ172" s="94"/>
      <c r="BA172" s="94"/>
      <c r="BB172" s="100">
        <v>2565012</v>
      </c>
      <c r="BC172" s="94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4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</row>
    <row r="173" spans="1:10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7"/>
      <c r="AQ173" s="82"/>
      <c r="AR173" s="82"/>
      <c r="AS173" s="82"/>
      <c r="AT173" s="82"/>
      <c r="AU173" s="82"/>
      <c r="AV173" s="126">
        <f t="shared" si="25"/>
        <v>9</v>
      </c>
      <c r="AW173" s="128" t="str">
        <f t="shared" si="24"/>
        <v>October</v>
      </c>
      <c r="AX173" s="94"/>
      <c r="AY173" s="94"/>
      <c r="AZ173" s="94"/>
      <c r="BA173" s="94"/>
      <c r="BB173" s="100">
        <v>2565012</v>
      </c>
      <c r="BC173" s="166"/>
      <c r="BD173" s="91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4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</row>
    <row r="174" spans="1:10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7"/>
      <c r="AQ174" s="82"/>
      <c r="AR174" s="82"/>
      <c r="AS174" s="82"/>
      <c r="AT174" s="82"/>
      <c r="AU174" s="82"/>
      <c r="AV174" s="126">
        <f t="shared" si="25"/>
        <v>10</v>
      </c>
      <c r="AW174" s="128" t="str">
        <f t="shared" si="24"/>
        <v>November</v>
      </c>
      <c r="AX174" s="94"/>
      <c r="AY174" s="94"/>
      <c r="AZ174" s="94"/>
      <c r="BA174" s="94"/>
      <c r="BB174" s="100">
        <v>2565012</v>
      </c>
      <c r="BC174" s="94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4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</row>
    <row r="175" spans="1:10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7"/>
      <c r="AQ175" s="82"/>
      <c r="AR175" s="82"/>
      <c r="AS175" s="82"/>
      <c r="AT175" s="82"/>
      <c r="AU175" s="82"/>
      <c r="AV175" s="126">
        <f t="shared" si="25"/>
        <v>11</v>
      </c>
      <c r="AW175" s="128" t="str">
        <f t="shared" si="24"/>
        <v>December</v>
      </c>
      <c r="AX175" s="94"/>
      <c r="AY175" s="100"/>
      <c r="AZ175" s="100"/>
      <c r="BA175" s="100"/>
      <c r="BB175" s="100">
        <v>2565012</v>
      </c>
      <c r="BC175" s="94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4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</row>
    <row r="176" spans="1:10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7"/>
      <c r="AQ176" s="82"/>
      <c r="AR176" s="82"/>
      <c r="AS176" s="82"/>
      <c r="AT176" s="82"/>
      <c r="AU176" s="82"/>
      <c r="AV176" s="126">
        <f t="shared" si="25"/>
        <v>12</v>
      </c>
      <c r="AW176" s="128" t="str">
        <f t="shared" si="24"/>
        <v>January 2025</v>
      </c>
      <c r="AX176" s="94"/>
      <c r="AY176" s="100"/>
      <c r="AZ176" s="100"/>
      <c r="BA176" s="100"/>
      <c r="BB176" s="100">
        <v>2565012</v>
      </c>
      <c r="BC176" s="94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4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</row>
    <row r="177" spans="1:10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7"/>
      <c r="AQ177" s="82"/>
      <c r="AR177" s="82"/>
      <c r="AS177" s="82"/>
      <c r="AT177" s="82"/>
      <c r="AU177" s="82"/>
      <c r="AV177" s="126">
        <f t="shared" si="25"/>
        <v>13</v>
      </c>
      <c r="AW177" s="128" t="str">
        <f t="shared" si="24"/>
        <v>February</v>
      </c>
      <c r="AX177" s="94"/>
      <c r="AY177" s="100"/>
      <c r="AZ177" s="100"/>
      <c r="BA177" s="100"/>
      <c r="BB177" s="100">
        <v>2565012</v>
      </c>
      <c r="BC177" s="94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4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</row>
    <row r="178" spans="1:10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7"/>
      <c r="AQ178" s="82"/>
      <c r="AR178" s="82"/>
      <c r="AS178" s="82"/>
      <c r="AT178" s="82"/>
      <c r="AU178" s="82"/>
      <c r="AV178" s="126">
        <f t="shared" si="25"/>
        <v>14</v>
      </c>
      <c r="AW178" s="128"/>
      <c r="AX178" s="94"/>
      <c r="AY178" s="100"/>
      <c r="AZ178" s="100"/>
      <c r="BA178" s="100"/>
      <c r="BB178" s="100"/>
      <c r="BC178" s="94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4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</row>
    <row r="179" spans="1:10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7"/>
      <c r="AQ179" s="82"/>
      <c r="AR179" s="82"/>
      <c r="AS179" s="82"/>
      <c r="AT179" s="82"/>
      <c r="AU179" s="82"/>
      <c r="AV179" s="126">
        <f t="shared" si="25"/>
        <v>15</v>
      </c>
      <c r="AW179" s="127" t="s">
        <v>593</v>
      </c>
      <c r="AX179" s="94"/>
      <c r="AY179" s="94"/>
      <c r="AZ179" s="94"/>
      <c r="BA179" s="94"/>
      <c r="BB179" s="166"/>
      <c r="BC179" s="94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4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</row>
    <row r="180" spans="1:10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7"/>
      <c r="AQ180" s="82"/>
      <c r="AR180" s="82"/>
      <c r="AS180" s="82"/>
      <c r="AT180" s="82"/>
      <c r="AU180" s="82"/>
      <c r="AV180" s="126">
        <f t="shared" si="25"/>
        <v>16</v>
      </c>
      <c r="AW180" s="129" t="str">
        <f t="shared" ref="AW180:AW192" si="26">K64</f>
        <v>June 2025</v>
      </c>
      <c r="AX180" s="94"/>
      <c r="AY180" s="100"/>
      <c r="AZ180" s="100"/>
      <c r="BA180" s="100"/>
      <c r="BB180" s="100">
        <v>2565012</v>
      </c>
      <c r="BC180" s="94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4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</row>
    <row r="181" spans="1:10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7"/>
      <c r="AQ181" s="82"/>
      <c r="AR181" s="82"/>
      <c r="AS181" s="82"/>
      <c r="AT181" s="82"/>
      <c r="AU181" s="82"/>
      <c r="AV181" s="126">
        <f t="shared" si="25"/>
        <v>17</v>
      </c>
      <c r="AW181" s="129" t="str">
        <f t="shared" si="26"/>
        <v>July</v>
      </c>
      <c r="AX181" s="94"/>
      <c r="AY181" s="100"/>
      <c r="AZ181" s="100"/>
      <c r="BA181" s="100"/>
      <c r="BB181" s="100">
        <v>2565012</v>
      </c>
      <c r="BC181" s="94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4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</row>
    <row r="182" spans="1:10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7"/>
      <c r="AQ182" s="82"/>
      <c r="AR182" s="82"/>
      <c r="AS182" s="82"/>
      <c r="AT182" s="82"/>
      <c r="AU182" s="82"/>
      <c r="AV182" s="126">
        <f t="shared" si="25"/>
        <v>18</v>
      </c>
      <c r="AW182" s="129" t="str">
        <f t="shared" si="26"/>
        <v>August</v>
      </c>
      <c r="AX182" s="94"/>
      <c r="AY182" s="100"/>
      <c r="AZ182" s="100"/>
      <c r="BA182" s="100"/>
      <c r="BB182" s="100">
        <v>2565012</v>
      </c>
      <c r="BC182" s="94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4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</row>
    <row r="183" spans="1:10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7"/>
      <c r="AQ183" s="82"/>
      <c r="AR183" s="82"/>
      <c r="AS183" s="82"/>
      <c r="AT183" s="82"/>
      <c r="AU183" s="82"/>
      <c r="AV183" s="126">
        <f t="shared" si="25"/>
        <v>19</v>
      </c>
      <c r="AW183" s="129" t="str">
        <f t="shared" si="26"/>
        <v>September</v>
      </c>
      <c r="AX183" s="94"/>
      <c r="AY183" s="100"/>
      <c r="AZ183" s="100"/>
      <c r="BA183" s="100"/>
      <c r="BB183" s="100">
        <v>2565012</v>
      </c>
      <c r="BC183" s="94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4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</row>
    <row r="184" spans="1:10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7"/>
      <c r="AQ184" s="82"/>
      <c r="AR184" s="82"/>
      <c r="AS184" s="82"/>
      <c r="AT184" s="82"/>
      <c r="AU184" s="82"/>
      <c r="AV184" s="126">
        <f t="shared" si="25"/>
        <v>20</v>
      </c>
      <c r="AW184" s="129" t="str">
        <f t="shared" si="26"/>
        <v>October</v>
      </c>
      <c r="AX184" s="94"/>
      <c r="AY184" s="100"/>
      <c r="AZ184" s="100"/>
      <c r="BA184" s="100"/>
      <c r="BB184" s="100">
        <v>2565012</v>
      </c>
      <c r="BC184" s="94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4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</row>
    <row r="185" spans="1:10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7"/>
      <c r="AQ185" s="82"/>
      <c r="AR185" s="82"/>
      <c r="AS185" s="82"/>
      <c r="AT185" s="82"/>
      <c r="AU185" s="82"/>
      <c r="AV185" s="126">
        <f t="shared" si="25"/>
        <v>21</v>
      </c>
      <c r="AW185" s="129" t="str">
        <f t="shared" si="26"/>
        <v>November</v>
      </c>
      <c r="AX185" s="94"/>
      <c r="AY185" s="100"/>
      <c r="AZ185" s="100"/>
      <c r="BA185" s="100"/>
      <c r="BB185" s="100">
        <v>2565012</v>
      </c>
      <c r="BC185" s="94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4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</row>
    <row r="186" spans="1:10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7"/>
      <c r="AQ186" s="82"/>
      <c r="AR186" s="82"/>
      <c r="AS186" s="82"/>
      <c r="AT186" s="82"/>
      <c r="AU186" s="82"/>
      <c r="AV186" s="126">
        <f t="shared" si="25"/>
        <v>22</v>
      </c>
      <c r="AW186" s="129" t="str">
        <f t="shared" si="26"/>
        <v>December</v>
      </c>
      <c r="AX186" s="94"/>
      <c r="AY186" s="100"/>
      <c r="AZ186" s="100"/>
      <c r="BA186" s="100"/>
      <c r="BB186" s="100">
        <v>2565012</v>
      </c>
      <c r="BC186" s="94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4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</row>
    <row r="187" spans="1:10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7"/>
      <c r="AQ187" s="82"/>
      <c r="AR187" s="82"/>
      <c r="AS187" s="82"/>
      <c r="AT187" s="82"/>
      <c r="AU187" s="82"/>
      <c r="AV187" s="126">
        <f t="shared" si="25"/>
        <v>23</v>
      </c>
      <c r="AW187" s="129" t="str">
        <f t="shared" si="26"/>
        <v>January 2026</v>
      </c>
      <c r="AX187" s="94"/>
      <c r="AY187" s="100"/>
      <c r="AZ187" s="100"/>
      <c r="BA187" s="100"/>
      <c r="BB187" s="100">
        <v>2565012</v>
      </c>
      <c r="BC187" s="94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4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</row>
    <row r="188" spans="1:10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7"/>
      <c r="AQ188" s="82"/>
      <c r="AR188" s="82"/>
      <c r="AS188" s="82"/>
      <c r="AT188" s="82"/>
      <c r="AU188" s="82"/>
      <c r="AV188" s="126">
        <f t="shared" si="25"/>
        <v>24</v>
      </c>
      <c r="AW188" s="129" t="str">
        <f t="shared" si="26"/>
        <v>February</v>
      </c>
      <c r="AX188" s="94"/>
      <c r="AY188" s="100"/>
      <c r="AZ188" s="100"/>
      <c r="BA188" s="100"/>
      <c r="BB188" s="100">
        <v>2565012</v>
      </c>
      <c r="BC188" s="94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4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</row>
    <row r="189" spans="1:10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7"/>
      <c r="AQ189" s="82"/>
      <c r="AR189" s="82"/>
      <c r="AS189" s="82"/>
      <c r="AT189" s="82"/>
      <c r="AU189" s="82"/>
      <c r="AV189" s="126">
        <f t="shared" si="25"/>
        <v>25</v>
      </c>
      <c r="AW189" s="129" t="str">
        <f t="shared" si="26"/>
        <v>March</v>
      </c>
      <c r="AX189" s="94"/>
      <c r="AY189" s="100"/>
      <c r="AZ189" s="100"/>
      <c r="BA189" s="100"/>
      <c r="BB189" s="100">
        <v>2565012</v>
      </c>
      <c r="BC189" s="94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4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</row>
    <row r="190" spans="1:10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7"/>
      <c r="AQ190" s="82"/>
      <c r="AR190" s="82"/>
      <c r="AS190" s="82"/>
      <c r="AT190" s="82"/>
      <c r="AU190" s="82"/>
      <c r="AV190" s="126">
        <f t="shared" si="25"/>
        <v>26</v>
      </c>
      <c r="AW190" s="129" t="str">
        <f t="shared" si="26"/>
        <v>April</v>
      </c>
      <c r="AX190" s="94"/>
      <c r="AY190" s="100"/>
      <c r="AZ190" s="100"/>
      <c r="BA190" s="100"/>
      <c r="BB190" s="100">
        <v>2565012</v>
      </c>
      <c r="BC190" s="94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4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</row>
    <row r="191" spans="1:10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7"/>
      <c r="AQ191" s="82"/>
      <c r="AR191" s="82"/>
      <c r="AS191" s="82"/>
      <c r="AT191" s="82"/>
      <c r="AU191" s="82"/>
      <c r="AV191" s="126">
        <f t="shared" si="25"/>
        <v>27</v>
      </c>
      <c r="AW191" s="129" t="str">
        <f t="shared" si="26"/>
        <v>May</v>
      </c>
      <c r="AX191" s="94"/>
      <c r="AY191" s="100"/>
      <c r="AZ191" s="100"/>
      <c r="BA191" s="100"/>
      <c r="BB191" s="100">
        <v>2565012</v>
      </c>
      <c r="BC191" s="94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4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</row>
    <row r="192" spans="1:10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7"/>
      <c r="AQ192" s="82"/>
      <c r="AR192" s="82"/>
      <c r="AS192" s="82"/>
      <c r="AT192" s="82"/>
      <c r="AU192" s="82"/>
      <c r="AV192" s="126">
        <f t="shared" si="25"/>
        <v>28</v>
      </c>
      <c r="AW192" s="129" t="str">
        <f t="shared" si="26"/>
        <v>June</v>
      </c>
      <c r="AX192" s="94"/>
      <c r="AY192" s="100"/>
      <c r="AZ192" s="100"/>
      <c r="BA192" s="100"/>
      <c r="BB192" s="100">
        <v>2565012</v>
      </c>
      <c r="BC192" s="169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4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</row>
    <row r="193" spans="1:101" ht="13.8" thickBo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7"/>
      <c r="AQ193" s="82"/>
      <c r="AR193" s="82"/>
      <c r="AS193" s="82"/>
      <c r="AT193" s="82"/>
      <c r="AU193" s="82"/>
      <c r="AV193" s="126">
        <f t="shared" si="25"/>
        <v>29</v>
      </c>
      <c r="AW193" s="126" t="s">
        <v>258</v>
      </c>
      <c r="AX193" s="94"/>
      <c r="AY193" s="94"/>
      <c r="AZ193" s="166"/>
      <c r="BA193" s="166"/>
      <c r="BB193" s="1693">
        <f>SUM(BB180:BB192)+1</f>
        <v>33345157</v>
      </c>
      <c r="BC193" s="169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4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</row>
    <row r="194" spans="1:101" ht="13.8" thickTop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7"/>
      <c r="AQ194" s="82"/>
      <c r="AR194" s="82"/>
      <c r="AS194" s="82"/>
      <c r="AT194" s="82"/>
      <c r="AU194" s="82"/>
      <c r="AV194" s="126">
        <f t="shared" si="25"/>
        <v>30</v>
      </c>
      <c r="AW194" s="94"/>
      <c r="AX194" s="94"/>
      <c r="AY194" s="94"/>
      <c r="AZ194" s="130"/>
      <c r="BA194" s="130"/>
      <c r="BB194" s="104"/>
      <c r="BC194" s="169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4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</row>
    <row r="195" spans="1:101" ht="13.8" thickBo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7"/>
      <c r="AQ195" s="82"/>
      <c r="AR195" s="82"/>
      <c r="AS195" s="82"/>
      <c r="AT195" s="82"/>
      <c r="AU195" s="82"/>
      <c r="AV195" s="126">
        <f t="shared" si="25"/>
        <v>31</v>
      </c>
      <c r="AW195" s="169" t="s">
        <v>1040</v>
      </c>
      <c r="AX195" s="94"/>
      <c r="AY195" s="94"/>
      <c r="AZ195" s="166"/>
      <c r="BA195" s="166"/>
      <c r="BB195" s="1943">
        <f>ROUND(BB193/13,0)</f>
        <v>2565012</v>
      </c>
      <c r="BC195" s="169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4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</row>
    <row r="196" spans="1:101" ht="13.8" thickTop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7"/>
      <c r="AQ196" s="82"/>
      <c r="AR196" s="82"/>
      <c r="AS196" s="82"/>
      <c r="AT196" s="82"/>
      <c r="AU196" s="82"/>
      <c r="AV196" s="126"/>
      <c r="AW196" s="124"/>
      <c r="AX196" s="124"/>
      <c r="AY196" s="94"/>
      <c r="AZ196" s="130"/>
      <c r="BA196" s="130"/>
      <c r="BB196" s="130"/>
      <c r="BC196" s="169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4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</row>
    <row r="197" spans="1:10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7"/>
      <c r="AQ197" s="82"/>
      <c r="AR197" s="82"/>
      <c r="AS197" s="82"/>
      <c r="AT197" s="82"/>
      <c r="AU197" s="82"/>
      <c r="AV197" s="126"/>
      <c r="AW197" s="124"/>
      <c r="AX197" s="124"/>
      <c r="AY197" s="94"/>
      <c r="AZ197" s="94"/>
      <c r="BA197" s="94"/>
      <c r="BB197" s="126"/>
      <c r="BC197" s="169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4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</row>
    <row r="198" spans="1:10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7"/>
      <c r="AQ198" s="82"/>
      <c r="AR198" s="82"/>
      <c r="AS198" s="82"/>
      <c r="AT198" s="82"/>
      <c r="AU198" s="82"/>
      <c r="AV198" s="126"/>
      <c r="AW198" s="124"/>
      <c r="AX198" s="124"/>
      <c r="AY198" s="166"/>
      <c r="AZ198" s="166"/>
      <c r="BA198" s="166"/>
      <c r="BB198" s="106"/>
      <c r="BC198" s="169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4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</row>
    <row r="199" spans="1:10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7"/>
      <c r="AQ199" s="82"/>
      <c r="AR199" s="82"/>
      <c r="AS199" s="82"/>
      <c r="AT199" s="82"/>
      <c r="AU199" s="82"/>
      <c r="AV199" s="126"/>
      <c r="AW199" s="124"/>
      <c r="AX199" s="124"/>
      <c r="AY199" s="131"/>
      <c r="AZ199" s="100"/>
      <c r="BA199" s="100"/>
      <c r="BB199" s="166"/>
      <c r="BC199" s="13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4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</row>
    <row r="200" spans="1:10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7"/>
      <c r="AQ200" s="82"/>
      <c r="AR200" s="82"/>
      <c r="AS200" s="82"/>
      <c r="AT200" s="82"/>
      <c r="AU200" s="82"/>
      <c r="AV200" s="126"/>
      <c r="AW200" s="94"/>
      <c r="AX200" s="94"/>
      <c r="AY200" s="133"/>
      <c r="AZ200" s="100"/>
      <c r="BA200" s="100"/>
      <c r="BB200" s="166"/>
      <c r="BC200" s="94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4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</row>
    <row r="201" spans="1:10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7"/>
      <c r="AQ201" s="82"/>
      <c r="AR201" s="82"/>
      <c r="AS201" s="82"/>
      <c r="AT201" s="82"/>
      <c r="AU201" s="82"/>
      <c r="AV201" s="126"/>
      <c r="AW201" s="94" t="s">
        <v>1041</v>
      </c>
      <c r="AX201" s="94"/>
      <c r="AY201" s="94"/>
      <c r="AZ201" s="94"/>
      <c r="BA201" s="94"/>
      <c r="BB201" s="94"/>
      <c r="BC201" s="94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4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</row>
    <row r="202" spans="1:10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7"/>
      <c r="AQ202" s="82"/>
      <c r="AR202" s="82"/>
      <c r="AS202" s="82"/>
      <c r="AT202" s="82"/>
      <c r="AU202" s="82"/>
      <c r="AV202" s="94"/>
      <c r="AW202" s="94"/>
      <c r="AX202" s="94"/>
      <c r="AY202" s="94"/>
      <c r="AZ202" s="94"/>
      <c r="BA202" s="94"/>
      <c r="BB202" s="94"/>
      <c r="BC202" s="94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4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</row>
    <row r="203" spans="1:10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7"/>
      <c r="AQ203" s="82"/>
      <c r="AR203" s="82"/>
      <c r="AS203" s="82"/>
      <c r="AT203" s="82"/>
      <c r="AU203" s="82"/>
      <c r="AV203" s="94"/>
      <c r="AW203" s="94"/>
      <c r="AX203" s="94"/>
      <c r="AY203" s="94"/>
      <c r="AZ203" s="94"/>
      <c r="BA203" s="94"/>
      <c r="BB203" s="94"/>
      <c r="BC203" s="94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4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</row>
    <row r="204" spans="1:10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7"/>
      <c r="AQ204" s="82"/>
      <c r="AR204" s="82"/>
      <c r="AS204" s="82"/>
      <c r="AT204" s="82"/>
      <c r="AU204" s="82"/>
      <c r="AV204" s="94"/>
      <c r="AW204" s="169"/>
      <c r="AX204" s="94"/>
      <c r="AY204" s="94"/>
      <c r="AZ204" s="94"/>
      <c r="BA204" s="94"/>
      <c r="BB204" s="94"/>
      <c r="BC204" s="94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4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</row>
    <row r="205" spans="1:10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7"/>
      <c r="AQ205" s="82"/>
      <c r="AR205" s="82"/>
      <c r="AS205" s="82"/>
      <c r="AT205" s="82"/>
      <c r="AU205" s="82"/>
      <c r="AV205" s="169"/>
      <c r="AW205" s="94"/>
      <c r="AX205" s="94"/>
      <c r="AY205" s="94"/>
      <c r="AZ205" s="94"/>
      <c r="BA205" s="94"/>
      <c r="BB205" s="94"/>
      <c r="BC205" s="94"/>
      <c r="BD205" s="82"/>
      <c r="BE205" s="82"/>
      <c r="BF205" s="169" t="str">
        <f>COMPANY</f>
        <v>DUKE ENERGY KENTUCKY, INC.</v>
      </c>
      <c r="BG205" s="124"/>
      <c r="BH205" s="124"/>
      <c r="BI205" s="94"/>
      <c r="BJ205" s="94"/>
      <c r="BK205" s="82"/>
      <c r="BL205" s="82"/>
      <c r="BM205" s="82"/>
      <c r="BN205" s="82"/>
      <c r="BO205" s="169" t="s">
        <v>1042</v>
      </c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4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</row>
    <row r="206" spans="1:10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7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169" t="str">
        <f>DEPT</f>
        <v>ELECTRIC DEPARTMENT</v>
      </c>
      <c r="BG206" s="124"/>
      <c r="BH206" s="124"/>
      <c r="BI206" s="166"/>
      <c r="BJ206" s="166"/>
      <c r="BK206" s="82"/>
      <c r="BL206" s="82"/>
      <c r="BM206" s="82"/>
      <c r="BN206" s="82"/>
      <c r="BO206" s="82" t="s">
        <v>1043</v>
      </c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4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</row>
    <row r="207" spans="1:10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7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94" t="str">
        <f>CASE</f>
        <v>CASE NO. 2024-00354</v>
      </c>
      <c r="BG207" s="124"/>
      <c r="BH207" s="124"/>
      <c r="BI207" s="166"/>
      <c r="BJ207" s="166"/>
      <c r="BK207" s="82"/>
      <c r="BL207" s="82"/>
      <c r="BM207" s="82"/>
      <c r="BN207" s="82"/>
      <c r="BO207" s="94" t="s">
        <v>468</v>
      </c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4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</row>
    <row r="208" spans="1:10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7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95" t="s">
        <v>1044</v>
      </c>
      <c r="BG208" s="124"/>
      <c r="BH208" s="124"/>
      <c r="BI208" s="166"/>
      <c r="BJ208" s="166"/>
      <c r="BK208" s="82"/>
      <c r="BL208" s="82"/>
      <c r="BM208" s="82"/>
      <c r="BN208" s="82"/>
      <c r="BO208" s="71" t="str">
        <f>_WIT10</f>
        <v>G. S. CARPENTER</v>
      </c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4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</row>
    <row r="209" spans="1:10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7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3" t="s">
        <v>527</v>
      </c>
      <c r="BG209" s="124"/>
      <c r="BH209" s="124"/>
      <c r="BI209" s="166"/>
      <c r="BJ209" s="166"/>
      <c r="BK209" s="94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4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</row>
    <row r="210" spans="1:10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7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94"/>
      <c r="BG210" s="124"/>
      <c r="BH210" s="124"/>
      <c r="BI210" s="166"/>
      <c r="BJ210" s="166"/>
      <c r="BK210" s="100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4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</row>
    <row r="211" spans="1:10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7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94"/>
      <c r="BG211" s="94"/>
      <c r="BH211" s="94"/>
      <c r="BI211" s="94"/>
      <c r="BJ211" s="94"/>
      <c r="BK211" s="166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4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</row>
    <row r="212" spans="1:10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7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126" t="s">
        <v>471</v>
      </c>
      <c r="BG212" s="94"/>
      <c r="BH212" s="94"/>
      <c r="BI212" s="99" t="s">
        <v>1045</v>
      </c>
      <c r="BJ212" s="99" t="s">
        <v>1045</v>
      </c>
      <c r="BK212" s="99" t="s">
        <v>1045</v>
      </c>
      <c r="BL212" s="99" t="s">
        <v>1045</v>
      </c>
      <c r="BM212" s="99" t="s">
        <v>1045</v>
      </c>
      <c r="BN212" s="99" t="s">
        <v>1045</v>
      </c>
      <c r="BO212" s="99" t="s">
        <v>1045</v>
      </c>
      <c r="BP212" s="99" t="s">
        <v>1045</v>
      </c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4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</row>
    <row r="213" spans="1:10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7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97" t="s">
        <v>533</v>
      </c>
      <c r="BG213" s="97" t="s">
        <v>1038</v>
      </c>
      <c r="BH213" s="94"/>
      <c r="BI213" s="97" t="s">
        <v>1046</v>
      </c>
      <c r="BJ213" s="97" t="s">
        <v>1047</v>
      </c>
      <c r="BK213" s="97" t="s">
        <v>1048</v>
      </c>
      <c r="BL213" s="97" t="s">
        <v>1049</v>
      </c>
      <c r="BM213" s="97" t="s">
        <v>1050</v>
      </c>
      <c r="BN213" s="97" t="s">
        <v>1051</v>
      </c>
      <c r="BO213" s="97" t="s">
        <v>1052</v>
      </c>
      <c r="BP213" s="97" t="s">
        <v>1053</v>
      </c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4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</row>
    <row r="214" spans="1:10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7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169"/>
      <c r="BG214" s="94"/>
      <c r="BH214" s="94"/>
      <c r="BI214" s="126" t="s">
        <v>580</v>
      </c>
      <c r="BJ214" s="126" t="s">
        <v>580</v>
      </c>
      <c r="BK214" s="126" t="s">
        <v>580</v>
      </c>
      <c r="BL214" s="126" t="s">
        <v>580</v>
      </c>
      <c r="BM214" s="126" t="s">
        <v>580</v>
      </c>
      <c r="BN214" s="126" t="s">
        <v>580</v>
      </c>
      <c r="BO214" s="126" t="s">
        <v>580</v>
      </c>
      <c r="BP214" s="126" t="s">
        <v>580</v>
      </c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4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</row>
    <row r="215" spans="1:10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7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126">
        <v>1</v>
      </c>
      <c r="BG215" s="127" t="s">
        <v>1054</v>
      </c>
      <c r="BH215" s="94"/>
      <c r="BI215" s="94"/>
      <c r="BJ215" s="94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4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</row>
    <row r="216" spans="1:10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7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126">
        <v>2</v>
      </c>
      <c r="BG216" s="128" t="str">
        <f t="shared" ref="BG216:BG227" si="27">AW166</f>
        <v>March 2024</v>
      </c>
      <c r="BH216" s="94"/>
      <c r="BI216" s="100">
        <v>321086</v>
      </c>
      <c r="BJ216" s="100">
        <v>203850</v>
      </c>
      <c r="BK216" s="100">
        <v>21928058</v>
      </c>
      <c r="BL216" s="100">
        <v>5426210</v>
      </c>
      <c r="BM216" s="100">
        <v>83270</v>
      </c>
      <c r="BN216" s="100">
        <v>0</v>
      </c>
      <c r="BO216" s="100">
        <v>-58658</v>
      </c>
      <c r="BP216" s="100">
        <v>1452605</v>
      </c>
      <c r="BQ216" s="91"/>
      <c r="BR216" s="91"/>
      <c r="BS216" s="91"/>
      <c r="BT216" s="91"/>
      <c r="BU216" s="91"/>
      <c r="BV216" s="91"/>
      <c r="BW216" s="91"/>
      <c r="BX216" s="91"/>
      <c r="BY216" s="82"/>
      <c r="BZ216" s="82"/>
      <c r="CA216" s="82"/>
      <c r="CB216" s="84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</row>
    <row r="217" spans="1:10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7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126">
        <f t="shared" ref="BF217:BF245" si="28">1+BF216</f>
        <v>3</v>
      </c>
      <c r="BG217" s="128" t="str">
        <f t="shared" si="27"/>
        <v>April</v>
      </c>
      <c r="BH217" s="94"/>
      <c r="BI217" s="100">
        <v>291622</v>
      </c>
      <c r="BJ217" s="100">
        <v>208409</v>
      </c>
      <c r="BK217" s="100">
        <v>22165776</v>
      </c>
      <c r="BL217" s="100">
        <v>6019985</v>
      </c>
      <c r="BM217" s="100">
        <v>88694</v>
      </c>
      <c r="BN217" s="100">
        <v>0</v>
      </c>
      <c r="BO217" s="100">
        <v>-9505</v>
      </c>
      <c r="BP217" s="100">
        <v>1466053</v>
      </c>
      <c r="BQ217" s="91"/>
      <c r="BR217" s="91"/>
      <c r="BS217" s="91"/>
      <c r="BT217" s="91"/>
      <c r="BU217" s="91"/>
      <c r="BV217" s="91"/>
      <c r="BW217" s="91"/>
      <c r="BX217" s="91"/>
      <c r="BY217" s="82"/>
      <c r="BZ217" s="82"/>
      <c r="CA217" s="82"/>
      <c r="CB217" s="84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</row>
    <row r="218" spans="1:10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7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126">
        <f t="shared" si="28"/>
        <v>4</v>
      </c>
      <c r="BG218" s="128" t="str">
        <f t="shared" si="27"/>
        <v>May</v>
      </c>
      <c r="BH218" s="94"/>
      <c r="BI218" s="100">
        <v>329966</v>
      </c>
      <c r="BJ218" s="100">
        <v>208409</v>
      </c>
      <c r="BK218" s="100">
        <v>22841576</v>
      </c>
      <c r="BL218" s="100">
        <v>5367798</v>
      </c>
      <c r="BM218" s="100">
        <v>88694</v>
      </c>
      <c r="BN218" s="100">
        <v>0</v>
      </c>
      <c r="BO218" s="100">
        <v>42456</v>
      </c>
      <c r="BP218" s="100">
        <v>1428402</v>
      </c>
      <c r="BQ218" s="91"/>
      <c r="BR218" s="91"/>
      <c r="BS218" s="91"/>
      <c r="BT218" s="91"/>
      <c r="BU218" s="91"/>
      <c r="BV218" s="91"/>
      <c r="BW218" s="91"/>
      <c r="BX218" s="91"/>
      <c r="BY218" s="82"/>
      <c r="BZ218" s="82"/>
      <c r="CA218" s="82"/>
      <c r="CB218" s="84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</row>
    <row r="219" spans="1:10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7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126">
        <f t="shared" si="28"/>
        <v>5</v>
      </c>
      <c r="BG219" s="128" t="str">
        <f t="shared" si="27"/>
        <v>June</v>
      </c>
      <c r="BH219" s="94"/>
      <c r="BI219" s="100">
        <v>338323</v>
      </c>
      <c r="BJ219" s="100">
        <v>208409</v>
      </c>
      <c r="BK219" s="100">
        <v>24304519</v>
      </c>
      <c r="BL219" s="100">
        <v>6231320</v>
      </c>
      <c r="BM219" s="100">
        <v>88694</v>
      </c>
      <c r="BN219" s="100">
        <v>0</v>
      </c>
      <c r="BO219" s="100">
        <v>95477</v>
      </c>
      <c r="BP219" s="100">
        <v>1360244</v>
      </c>
      <c r="BQ219" s="91"/>
      <c r="BR219" s="91"/>
      <c r="BS219" s="91"/>
      <c r="BT219" s="91"/>
      <c r="BU219" s="91"/>
      <c r="BV219" s="91"/>
      <c r="BW219" s="91"/>
      <c r="BX219" s="91"/>
      <c r="BY219" s="82"/>
      <c r="BZ219" s="82"/>
      <c r="CA219" s="82"/>
      <c r="CB219" s="84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</row>
    <row r="220" spans="1:10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7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126">
        <f t="shared" si="28"/>
        <v>6</v>
      </c>
      <c r="BG220" s="128" t="str">
        <f t="shared" si="27"/>
        <v>July</v>
      </c>
      <c r="BH220" s="94"/>
      <c r="BI220" s="100">
        <v>338443</v>
      </c>
      <c r="BJ220" s="100">
        <v>208409</v>
      </c>
      <c r="BK220" s="100">
        <v>22068725</v>
      </c>
      <c r="BL220" s="100">
        <v>5896427</v>
      </c>
      <c r="BM220" s="100">
        <v>90455</v>
      </c>
      <c r="BN220" s="100">
        <v>0</v>
      </c>
      <c r="BO220" s="100">
        <v>156516</v>
      </c>
      <c r="BP220" s="100">
        <v>1051061</v>
      </c>
      <c r="BQ220" s="91"/>
      <c r="BR220" s="91"/>
      <c r="BS220" s="91"/>
      <c r="BT220" s="91"/>
      <c r="BU220" s="91"/>
      <c r="BV220" s="91"/>
      <c r="BW220" s="91"/>
      <c r="BX220" s="91"/>
      <c r="BY220" s="82"/>
      <c r="BZ220" s="82"/>
      <c r="CA220" s="82"/>
      <c r="CB220" s="84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</row>
    <row r="221" spans="1:10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7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126">
        <f t="shared" si="28"/>
        <v>7</v>
      </c>
      <c r="BG221" s="128" t="str">
        <f t="shared" si="27"/>
        <v>August</v>
      </c>
      <c r="BH221" s="94"/>
      <c r="BI221" s="100">
        <v>338836</v>
      </c>
      <c r="BJ221" s="100">
        <v>208409</v>
      </c>
      <c r="BK221" s="100">
        <v>14662718</v>
      </c>
      <c r="BL221" s="100">
        <v>5237392</v>
      </c>
      <c r="BM221" s="100">
        <v>90581</v>
      </c>
      <c r="BN221" s="100">
        <v>0</v>
      </c>
      <c r="BO221" s="100">
        <v>208012</v>
      </c>
      <c r="BP221" s="100">
        <v>105985</v>
      </c>
      <c r="BQ221" s="91"/>
      <c r="BR221" s="91"/>
      <c r="BS221" s="91"/>
      <c r="BT221" s="91"/>
      <c r="BU221" s="91"/>
      <c r="BV221" s="91"/>
      <c r="BW221" s="91"/>
      <c r="BX221" s="91"/>
      <c r="BY221" s="82"/>
      <c r="BZ221" s="82"/>
      <c r="CA221" s="82"/>
      <c r="CB221" s="84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</row>
    <row r="222" spans="1:10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7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126">
        <f t="shared" si="28"/>
        <v>8</v>
      </c>
      <c r="BG222" s="128" t="str">
        <f t="shared" si="27"/>
        <v>September</v>
      </c>
      <c r="BH222" s="2336"/>
      <c r="BI222" s="100">
        <v>338836</v>
      </c>
      <c r="BJ222" s="100">
        <v>208409</v>
      </c>
      <c r="BK222" s="100">
        <v>14662718</v>
      </c>
      <c r="BL222" s="100">
        <v>5237392</v>
      </c>
      <c r="BM222" s="100">
        <v>90581</v>
      </c>
      <c r="BN222" s="100">
        <v>0</v>
      </c>
      <c r="BO222" s="100">
        <v>208012</v>
      </c>
      <c r="BP222" s="100">
        <v>105985</v>
      </c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4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</row>
    <row r="223" spans="1:10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7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126">
        <f t="shared" si="28"/>
        <v>9</v>
      </c>
      <c r="BG223" s="128" t="str">
        <f t="shared" si="27"/>
        <v>October</v>
      </c>
      <c r="BH223" s="2336"/>
      <c r="BI223" s="100">
        <v>338836</v>
      </c>
      <c r="BJ223" s="100">
        <v>208409</v>
      </c>
      <c r="BK223" s="100">
        <v>14662718</v>
      </c>
      <c r="BL223" s="100">
        <v>5237392</v>
      </c>
      <c r="BM223" s="100">
        <v>90581</v>
      </c>
      <c r="BN223" s="100">
        <v>0</v>
      </c>
      <c r="BO223" s="100">
        <v>208012</v>
      </c>
      <c r="BP223" s="100">
        <v>105985</v>
      </c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4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</row>
    <row r="224" spans="1:10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7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126">
        <f t="shared" si="28"/>
        <v>10</v>
      </c>
      <c r="BG224" s="128" t="str">
        <f t="shared" si="27"/>
        <v>November</v>
      </c>
      <c r="BH224" s="2337"/>
      <c r="BI224" s="100">
        <v>338836</v>
      </c>
      <c r="BJ224" s="100">
        <v>208409</v>
      </c>
      <c r="BK224" s="100">
        <v>14662718</v>
      </c>
      <c r="BL224" s="100">
        <v>5237392</v>
      </c>
      <c r="BM224" s="100">
        <v>90581</v>
      </c>
      <c r="BN224" s="100">
        <v>0</v>
      </c>
      <c r="BO224" s="100">
        <v>208012</v>
      </c>
      <c r="BP224" s="100">
        <v>105985</v>
      </c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4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</row>
    <row r="225" spans="1:10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7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126">
        <f t="shared" si="28"/>
        <v>11</v>
      </c>
      <c r="BG225" s="128" t="str">
        <f t="shared" si="27"/>
        <v>December</v>
      </c>
      <c r="BH225" s="94"/>
      <c r="BI225" s="100">
        <v>338836</v>
      </c>
      <c r="BJ225" s="100">
        <v>208409</v>
      </c>
      <c r="BK225" s="100">
        <v>14662718</v>
      </c>
      <c r="BL225" s="100">
        <v>5237392</v>
      </c>
      <c r="BM225" s="100">
        <v>90581</v>
      </c>
      <c r="BN225" s="100">
        <v>0</v>
      </c>
      <c r="BO225" s="100">
        <v>208012</v>
      </c>
      <c r="BP225" s="100">
        <v>105985</v>
      </c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4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</row>
    <row r="226" spans="1:10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7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126">
        <f t="shared" si="28"/>
        <v>12</v>
      </c>
      <c r="BG226" s="128" t="str">
        <f t="shared" si="27"/>
        <v>January 2025</v>
      </c>
      <c r="BH226" s="94"/>
      <c r="BI226" s="100">
        <v>338836</v>
      </c>
      <c r="BJ226" s="100">
        <v>208409</v>
      </c>
      <c r="BK226" s="100">
        <v>14662718</v>
      </c>
      <c r="BL226" s="100">
        <v>5237392</v>
      </c>
      <c r="BM226" s="100">
        <v>90581</v>
      </c>
      <c r="BN226" s="100">
        <v>0</v>
      </c>
      <c r="BO226" s="100">
        <v>208012</v>
      </c>
      <c r="BP226" s="100">
        <v>105985</v>
      </c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4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</row>
    <row r="227" spans="1:10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7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126">
        <f t="shared" si="28"/>
        <v>13</v>
      </c>
      <c r="BG227" s="128" t="str">
        <f t="shared" si="27"/>
        <v>February</v>
      </c>
      <c r="BH227" s="94"/>
      <c r="BI227" s="100">
        <v>338836</v>
      </c>
      <c r="BJ227" s="100">
        <v>208409</v>
      </c>
      <c r="BK227" s="100">
        <v>14662718</v>
      </c>
      <c r="BL227" s="100">
        <v>5237392</v>
      </c>
      <c r="BM227" s="100">
        <v>90581</v>
      </c>
      <c r="BN227" s="100">
        <v>0</v>
      </c>
      <c r="BO227" s="100">
        <v>208012</v>
      </c>
      <c r="BP227" s="100">
        <v>105985</v>
      </c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4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</row>
    <row r="228" spans="1:10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7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126">
        <f t="shared" si="28"/>
        <v>14</v>
      </c>
      <c r="BG228" s="94"/>
      <c r="BH228" s="94"/>
      <c r="BI228" s="166"/>
      <c r="BJ228" s="166"/>
      <c r="BK228" s="166"/>
      <c r="BL228" s="166"/>
      <c r="BM228" s="166"/>
      <c r="BN228" s="166"/>
      <c r="BO228" s="166"/>
      <c r="BP228" s="166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4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</row>
    <row r="229" spans="1:10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7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126">
        <f t="shared" si="28"/>
        <v>15</v>
      </c>
      <c r="BG229" s="127" t="s">
        <v>593</v>
      </c>
      <c r="BH229" s="94"/>
      <c r="BI229" s="166"/>
      <c r="BJ229" s="166"/>
      <c r="BK229" s="166"/>
      <c r="BL229" s="166"/>
      <c r="BM229" s="166"/>
      <c r="BN229" s="166"/>
      <c r="BO229" s="166"/>
      <c r="BP229" s="166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4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</row>
    <row r="230" spans="1:10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7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126">
        <f t="shared" si="28"/>
        <v>16</v>
      </c>
      <c r="BG230" s="128" t="str">
        <f t="shared" ref="BG230:BG242" si="29">AW180</f>
        <v>June 2025</v>
      </c>
      <c r="BH230" s="94"/>
      <c r="BI230" s="100">
        <v>338836</v>
      </c>
      <c r="BJ230" s="100">
        <v>208409</v>
      </c>
      <c r="BK230" s="100">
        <v>14662718</v>
      </c>
      <c r="BL230" s="100">
        <v>5237392</v>
      </c>
      <c r="BM230" s="100">
        <v>90581</v>
      </c>
      <c r="BN230" s="100">
        <v>0</v>
      </c>
      <c r="BO230" s="100">
        <v>208012</v>
      </c>
      <c r="BP230" s="100">
        <v>105985</v>
      </c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4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</row>
    <row r="231" spans="1:10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7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126">
        <f t="shared" si="28"/>
        <v>17</v>
      </c>
      <c r="BG231" s="128" t="str">
        <f t="shared" si="29"/>
        <v>July</v>
      </c>
      <c r="BH231" s="94"/>
      <c r="BI231" s="100">
        <v>338836</v>
      </c>
      <c r="BJ231" s="100">
        <v>208409</v>
      </c>
      <c r="BK231" s="100">
        <v>14662718</v>
      </c>
      <c r="BL231" s="100">
        <v>5237392</v>
      </c>
      <c r="BM231" s="100">
        <v>90581</v>
      </c>
      <c r="BN231" s="100">
        <v>0</v>
      </c>
      <c r="BO231" s="100">
        <v>208012</v>
      </c>
      <c r="BP231" s="100">
        <v>105985</v>
      </c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4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</row>
    <row r="232" spans="1:10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7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126">
        <f t="shared" si="28"/>
        <v>18</v>
      </c>
      <c r="BG232" s="128" t="str">
        <f t="shared" si="29"/>
        <v>August</v>
      </c>
      <c r="BH232" s="94"/>
      <c r="BI232" s="100">
        <v>338836</v>
      </c>
      <c r="BJ232" s="100">
        <v>208409</v>
      </c>
      <c r="BK232" s="100">
        <v>14662718</v>
      </c>
      <c r="BL232" s="100">
        <v>5237392</v>
      </c>
      <c r="BM232" s="100">
        <v>90581</v>
      </c>
      <c r="BN232" s="100">
        <v>0</v>
      </c>
      <c r="BO232" s="100">
        <v>208012</v>
      </c>
      <c r="BP232" s="100">
        <v>105985</v>
      </c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4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</row>
    <row r="233" spans="1:10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7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126">
        <f t="shared" si="28"/>
        <v>19</v>
      </c>
      <c r="BG233" s="128" t="str">
        <f t="shared" si="29"/>
        <v>September</v>
      </c>
      <c r="BH233" s="94"/>
      <c r="BI233" s="100">
        <v>338836</v>
      </c>
      <c r="BJ233" s="100">
        <v>208409</v>
      </c>
      <c r="BK233" s="100">
        <v>14662718</v>
      </c>
      <c r="BL233" s="100">
        <v>5237392</v>
      </c>
      <c r="BM233" s="100">
        <v>90581</v>
      </c>
      <c r="BN233" s="100">
        <v>0</v>
      </c>
      <c r="BO233" s="100">
        <v>208012</v>
      </c>
      <c r="BP233" s="100">
        <v>105985</v>
      </c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4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</row>
    <row r="234" spans="1:10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7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126">
        <f t="shared" si="28"/>
        <v>20</v>
      </c>
      <c r="BG234" s="128" t="str">
        <f t="shared" si="29"/>
        <v>October</v>
      </c>
      <c r="BH234" s="94"/>
      <c r="BI234" s="100">
        <v>338836</v>
      </c>
      <c r="BJ234" s="100">
        <v>208409</v>
      </c>
      <c r="BK234" s="100">
        <v>14662718</v>
      </c>
      <c r="BL234" s="100">
        <v>5237392</v>
      </c>
      <c r="BM234" s="100">
        <v>90581</v>
      </c>
      <c r="BN234" s="100">
        <v>0</v>
      </c>
      <c r="BO234" s="100">
        <v>208012</v>
      </c>
      <c r="BP234" s="100">
        <v>105985</v>
      </c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4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</row>
    <row r="235" spans="1:10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7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126">
        <f t="shared" si="28"/>
        <v>21</v>
      </c>
      <c r="BG235" s="128" t="str">
        <f t="shared" si="29"/>
        <v>November</v>
      </c>
      <c r="BH235" s="94"/>
      <c r="BI235" s="100">
        <v>338836</v>
      </c>
      <c r="BJ235" s="100">
        <v>208409</v>
      </c>
      <c r="BK235" s="100">
        <v>14662718</v>
      </c>
      <c r="BL235" s="100">
        <v>5237392</v>
      </c>
      <c r="BM235" s="100">
        <v>90581</v>
      </c>
      <c r="BN235" s="100">
        <v>0</v>
      </c>
      <c r="BO235" s="100">
        <v>208012</v>
      </c>
      <c r="BP235" s="100">
        <v>105985</v>
      </c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4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</row>
    <row r="236" spans="1:10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7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126">
        <f t="shared" si="28"/>
        <v>22</v>
      </c>
      <c r="BG236" s="128" t="str">
        <f t="shared" si="29"/>
        <v>December</v>
      </c>
      <c r="BH236" s="94"/>
      <c r="BI236" s="100">
        <v>338836</v>
      </c>
      <c r="BJ236" s="100">
        <v>208409</v>
      </c>
      <c r="BK236" s="100">
        <v>14662718</v>
      </c>
      <c r="BL236" s="100">
        <v>5237392</v>
      </c>
      <c r="BM236" s="100">
        <v>90581</v>
      </c>
      <c r="BN236" s="100">
        <v>0</v>
      </c>
      <c r="BO236" s="100">
        <v>208012</v>
      </c>
      <c r="BP236" s="100">
        <v>105985</v>
      </c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4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</row>
    <row r="237" spans="1:10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7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126">
        <f t="shared" si="28"/>
        <v>23</v>
      </c>
      <c r="BG237" s="128" t="str">
        <f t="shared" si="29"/>
        <v>January 2026</v>
      </c>
      <c r="BH237" s="94"/>
      <c r="BI237" s="100">
        <v>338836</v>
      </c>
      <c r="BJ237" s="100">
        <v>208409</v>
      </c>
      <c r="BK237" s="100">
        <v>14662718</v>
      </c>
      <c r="BL237" s="100">
        <v>5237392</v>
      </c>
      <c r="BM237" s="100">
        <v>90581</v>
      </c>
      <c r="BN237" s="100">
        <v>0</v>
      </c>
      <c r="BO237" s="100">
        <v>208012</v>
      </c>
      <c r="BP237" s="100">
        <v>105985</v>
      </c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4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</row>
    <row r="238" spans="1:10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7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126">
        <f t="shared" si="28"/>
        <v>24</v>
      </c>
      <c r="BG238" s="128" t="str">
        <f t="shared" si="29"/>
        <v>February</v>
      </c>
      <c r="BH238" s="94"/>
      <c r="BI238" s="100">
        <v>338836</v>
      </c>
      <c r="BJ238" s="100">
        <v>208409</v>
      </c>
      <c r="BK238" s="100">
        <v>14662718</v>
      </c>
      <c r="BL238" s="100">
        <v>5237392</v>
      </c>
      <c r="BM238" s="100">
        <v>90581</v>
      </c>
      <c r="BN238" s="100">
        <v>0</v>
      </c>
      <c r="BO238" s="100">
        <v>208012</v>
      </c>
      <c r="BP238" s="100">
        <v>105985</v>
      </c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4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</row>
    <row r="239" spans="1:10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7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126">
        <f t="shared" si="28"/>
        <v>25</v>
      </c>
      <c r="BG239" s="128" t="str">
        <f t="shared" si="29"/>
        <v>March</v>
      </c>
      <c r="BH239" s="94"/>
      <c r="BI239" s="100">
        <v>338836</v>
      </c>
      <c r="BJ239" s="100">
        <v>208409</v>
      </c>
      <c r="BK239" s="100">
        <v>14662718</v>
      </c>
      <c r="BL239" s="100">
        <v>5237392</v>
      </c>
      <c r="BM239" s="100">
        <v>90581</v>
      </c>
      <c r="BN239" s="100">
        <v>0</v>
      </c>
      <c r="BO239" s="100">
        <v>208012</v>
      </c>
      <c r="BP239" s="100">
        <v>105985</v>
      </c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4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</row>
    <row r="240" spans="1:10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7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126">
        <f t="shared" si="28"/>
        <v>26</v>
      </c>
      <c r="BG240" s="128" t="str">
        <f t="shared" si="29"/>
        <v>April</v>
      </c>
      <c r="BH240" s="94"/>
      <c r="BI240" s="100">
        <v>338836</v>
      </c>
      <c r="BJ240" s="100">
        <v>208409</v>
      </c>
      <c r="BK240" s="100">
        <v>14662718</v>
      </c>
      <c r="BL240" s="100">
        <v>5237392</v>
      </c>
      <c r="BM240" s="100">
        <v>90581</v>
      </c>
      <c r="BN240" s="100">
        <v>0</v>
      </c>
      <c r="BO240" s="100">
        <v>208012</v>
      </c>
      <c r="BP240" s="100">
        <v>105985</v>
      </c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4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</row>
    <row r="241" spans="1:10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7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126">
        <f t="shared" si="28"/>
        <v>27</v>
      </c>
      <c r="BG241" s="128" t="str">
        <f t="shared" si="29"/>
        <v>May</v>
      </c>
      <c r="BH241" s="94"/>
      <c r="BI241" s="100">
        <v>338836</v>
      </c>
      <c r="BJ241" s="100">
        <v>208409</v>
      </c>
      <c r="BK241" s="100">
        <v>14662718</v>
      </c>
      <c r="BL241" s="100">
        <v>5237392</v>
      </c>
      <c r="BM241" s="100">
        <v>90581</v>
      </c>
      <c r="BN241" s="100">
        <v>0</v>
      </c>
      <c r="BO241" s="100">
        <v>208012</v>
      </c>
      <c r="BP241" s="100">
        <v>105985</v>
      </c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4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</row>
    <row r="242" spans="1:10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7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126">
        <f t="shared" si="28"/>
        <v>28</v>
      </c>
      <c r="BG242" s="128" t="str">
        <f t="shared" si="29"/>
        <v>June</v>
      </c>
      <c r="BH242" s="94"/>
      <c r="BI242" s="100">
        <v>338836</v>
      </c>
      <c r="BJ242" s="100">
        <v>208409</v>
      </c>
      <c r="BK242" s="100">
        <v>14662718</v>
      </c>
      <c r="BL242" s="100">
        <v>5237392</v>
      </c>
      <c r="BM242" s="100">
        <v>90581</v>
      </c>
      <c r="BN242" s="100">
        <v>0</v>
      </c>
      <c r="BO242" s="100">
        <v>208012</v>
      </c>
      <c r="BP242" s="100">
        <v>105985</v>
      </c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4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</row>
    <row r="243" spans="1:101" ht="13.8" thickBo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3"/>
      <c r="AW243" s="82"/>
      <c r="AX243" s="82"/>
      <c r="AY243" s="82"/>
      <c r="AZ243" s="82"/>
      <c r="BA243" s="82"/>
      <c r="BB243" s="82"/>
      <c r="BC243" s="82"/>
      <c r="BD243" s="82"/>
      <c r="BE243" s="82"/>
      <c r="BF243" s="126">
        <f t="shared" si="28"/>
        <v>29</v>
      </c>
      <c r="BG243" s="126" t="s">
        <v>258</v>
      </c>
      <c r="BH243" s="94"/>
      <c r="BI243" s="1693">
        <f t="shared" ref="BI243:BP243" si="30">SUM(BI230:BI242)</f>
        <v>4404868</v>
      </c>
      <c r="BJ243" s="1693">
        <f>SUM(BJ230:BJ242)</f>
        <v>2709317</v>
      </c>
      <c r="BK243" s="1693">
        <f t="shared" si="30"/>
        <v>190615334</v>
      </c>
      <c r="BL243" s="1693">
        <f t="shared" si="30"/>
        <v>68086096</v>
      </c>
      <c r="BM243" s="1693">
        <f t="shared" ref="BM243" si="31">SUM(BM230:BM242)</f>
        <v>1177553</v>
      </c>
      <c r="BN243" s="1693">
        <f t="shared" si="30"/>
        <v>0</v>
      </c>
      <c r="BO243" s="1693">
        <f t="shared" si="30"/>
        <v>2704156</v>
      </c>
      <c r="BP243" s="1693">
        <f t="shared" si="30"/>
        <v>1377805</v>
      </c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4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</row>
    <row r="244" spans="1:101" ht="13.8" thickTop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6"/>
      <c r="AW244" s="82"/>
      <c r="AX244" s="82"/>
      <c r="AY244" s="82"/>
      <c r="AZ244" s="82"/>
      <c r="BA244" s="82"/>
      <c r="BB244" s="82"/>
      <c r="BC244" s="82"/>
      <c r="BD244" s="82"/>
      <c r="BE244" s="82"/>
      <c r="BF244" s="126">
        <f t="shared" si="28"/>
        <v>30</v>
      </c>
      <c r="BG244" s="94"/>
      <c r="BH244" s="94"/>
      <c r="BI244" s="130"/>
      <c r="BJ244" s="130"/>
      <c r="BK244" s="130"/>
      <c r="BL244" s="130"/>
      <c r="BM244" s="130"/>
      <c r="BN244" s="130"/>
      <c r="BO244" s="130"/>
      <c r="BP244" s="130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4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</row>
    <row r="245" spans="1:101" ht="13.8" thickBo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126">
        <f t="shared" si="28"/>
        <v>31</v>
      </c>
      <c r="BG245" s="169" t="s">
        <v>1040</v>
      </c>
      <c r="BH245" s="94"/>
      <c r="BI245" s="1943">
        <f t="shared" ref="BI245:BP245" si="32">BI243/13</f>
        <v>338836</v>
      </c>
      <c r="BJ245" s="1943">
        <f t="shared" ref="BJ245" si="33">BJ243/13</f>
        <v>208409</v>
      </c>
      <c r="BK245" s="1943">
        <f t="shared" si="32"/>
        <v>14662718</v>
      </c>
      <c r="BL245" s="1943">
        <f t="shared" si="32"/>
        <v>5237392</v>
      </c>
      <c r="BM245" s="1943">
        <f>BM243/13</f>
        <v>90581</v>
      </c>
      <c r="BN245" s="1943">
        <f t="shared" si="32"/>
        <v>0</v>
      </c>
      <c r="BO245" s="1943">
        <f t="shared" si="32"/>
        <v>208012</v>
      </c>
      <c r="BP245" s="1943">
        <f t="shared" si="32"/>
        <v>105985</v>
      </c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4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</row>
    <row r="246" spans="1:101" ht="13.8" thickTop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124"/>
      <c r="BH246" s="124"/>
      <c r="BI246" s="130"/>
      <c r="BJ246" s="130"/>
      <c r="BK246" s="130"/>
      <c r="BL246" s="130"/>
      <c r="BM246" s="130"/>
      <c r="BN246" s="130"/>
      <c r="BO246" s="130"/>
      <c r="BP246" s="130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4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</row>
    <row r="247" spans="1:10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124"/>
      <c r="BH247" s="124"/>
      <c r="BI247" s="126" t="s">
        <v>552</v>
      </c>
      <c r="BJ247" s="126" t="s">
        <v>552</v>
      </c>
      <c r="BK247" s="126" t="s">
        <v>552</v>
      </c>
      <c r="BL247" s="126" t="s">
        <v>552</v>
      </c>
      <c r="BM247" s="126" t="s">
        <v>552</v>
      </c>
      <c r="BN247" s="126" t="s">
        <v>552</v>
      </c>
      <c r="BO247" s="126" t="s">
        <v>552</v>
      </c>
      <c r="BP247" s="126" t="s">
        <v>552</v>
      </c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4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</row>
    <row r="248" spans="1:10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124"/>
      <c r="BH248" s="124"/>
      <c r="BI248" s="106" t="s">
        <v>553</v>
      </c>
      <c r="BJ248" s="106" t="s">
        <v>553</v>
      </c>
      <c r="BK248" s="106" t="s">
        <v>553</v>
      </c>
      <c r="BL248" s="106" t="s">
        <v>553</v>
      </c>
      <c r="BM248" s="106" t="s">
        <v>553</v>
      </c>
      <c r="BN248" s="106" t="s">
        <v>553</v>
      </c>
      <c r="BO248" s="106" t="s">
        <v>553</v>
      </c>
      <c r="BP248" s="106" t="s">
        <v>553</v>
      </c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4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</row>
    <row r="249" spans="1:10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124"/>
      <c r="BH249" s="124"/>
      <c r="BI249" s="106" t="s">
        <v>1055</v>
      </c>
      <c r="BJ249" s="106" t="s">
        <v>1055</v>
      </c>
      <c r="BK249" s="106" t="s">
        <v>1055</v>
      </c>
      <c r="BL249" s="106" t="s">
        <v>1055</v>
      </c>
      <c r="BM249" s="106" t="s">
        <v>1055</v>
      </c>
      <c r="BN249" s="106" t="s">
        <v>1055</v>
      </c>
      <c r="BO249" s="106" t="s">
        <v>1055</v>
      </c>
      <c r="BP249" s="106" t="s">
        <v>1055</v>
      </c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4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</row>
    <row r="250" spans="1:10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126"/>
      <c r="BG250" s="124"/>
      <c r="BH250" s="124"/>
      <c r="BI250" s="131"/>
      <c r="BJ250" s="131"/>
      <c r="BK250" s="166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4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</row>
    <row r="251" spans="1:10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126"/>
      <c r="BG251" s="94"/>
      <c r="BH251" s="94"/>
      <c r="BI251" s="133"/>
      <c r="BJ251" s="133"/>
      <c r="BK251" s="166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4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</row>
    <row r="252" spans="1:10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126"/>
      <c r="BG252" s="94" t="s">
        <v>1056</v>
      </c>
      <c r="BH252" s="94"/>
      <c r="BI252" s="94"/>
      <c r="BJ252" s="94"/>
      <c r="BK252" s="94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4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</row>
    <row r="253" spans="1:10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4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</row>
    <row r="254" spans="1:10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4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</row>
    <row r="255" spans="1:10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169" t="str">
        <f>COMPANY</f>
        <v>DUKE ENERGY KENTUCKY, INC.</v>
      </c>
      <c r="BT255" s="124"/>
      <c r="BU255" s="124"/>
      <c r="BV255" s="82"/>
      <c r="BW255" s="82"/>
      <c r="BX255" s="82"/>
      <c r="BY255" s="169" t="s">
        <v>1057</v>
      </c>
      <c r="BZ255" s="82"/>
      <c r="CA255" s="82"/>
      <c r="CB255" s="84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</row>
    <row r="256" spans="1:10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169" t="str">
        <f>DEPT</f>
        <v>ELECTRIC DEPARTMENT</v>
      </c>
      <c r="BT256" s="124"/>
      <c r="BU256" s="124"/>
      <c r="BV256" s="82"/>
      <c r="BW256" s="82"/>
      <c r="BX256" s="82"/>
      <c r="BY256" s="94" t="s">
        <v>468</v>
      </c>
      <c r="BZ256" s="82"/>
      <c r="CA256" s="82"/>
      <c r="CB256" s="84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</row>
    <row r="257" spans="1:10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94" t="str">
        <f>CASE</f>
        <v>CASE NO. 2024-00354</v>
      </c>
      <c r="BT257" s="124"/>
      <c r="BU257" s="124"/>
      <c r="BV257" s="82"/>
      <c r="BW257" s="82"/>
      <c r="BX257" s="82"/>
      <c r="BY257" s="71" t="str">
        <f>_WIT10</f>
        <v>G. S. CARPENTER</v>
      </c>
      <c r="BZ257" s="82"/>
      <c r="CA257" s="82"/>
      <c r="CB257" s="84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</row>
    <row r="258" spans="1:10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95" t="s">
        <v>1004</v>
      </c>
      <c r="BT258" s="124"/>
      <c r="BU258" s="124"/>
      <c r="BV258" s="82"/>
      <c r="BW258" s="82"/>
      <c r="BX258" s="82"/>
      <c r="BY258" s="82"/>
      <c r="BZ258" s="82"/>
      <c r="CA258" s="82"/>
      <c r="CB258" s="84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</row>
    <row r="259" spans="1:10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95" t="s">
        <v>527</v>
      </c>
      <c r="BT259" s="124"/>
      <c r="BU259" s="124"/>
      <c r="BV259" s="82"/>
      <c r="BW259" s="82"/>
      <c r="BX259" s="82"/>
      <c r="BY259" s="82"/>
      <c r="BZ259" s="82"/>
      <c r="CA259" s="82"/>
      <c r="CB259" s="84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</row>
    <row r="260" spans="1:10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94"/>
      <c r="BT260" s="124"/>
      <c r="BU260" s="124"/>
      <c r="BV260" s="82"/>
      <c r="BW260" s="82"/>
      <c r="BX260" s="82"/>
      <c r="BY260" s="82"/>
      <c r="BZ260" s="82"/>
      <c r="CA260" s="82"/>
      <c r="CB260" s="84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</row>
    <row r="261" spans="1:10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94"/>
      <c r="BT261" s="124"/>
      <c r="BU261" s="124"/>
      <c r="BV261" s="82"/>
      <c r="BW261" s="82"/>
      <c r="BX261" s="82"/>
      <c r="BY261" s="82"/>
      <c r="BZ261" s="82"/>
      <c r="CA261" s="82"/>
      <c r="CB261" s="84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</row>
    <row r="262" spans="1:10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94"/>
      <c r="BT262" s="124"/>
      <c r="BU262" s="124"/>
      <c r="BV262" s="82"/>
      <c r="BW262" s="82"/>
      <c r="BX262" s="82"/>
      <c r="BY262" s="82"/>
      <c r="BZ262" s="82"/>
      <c r="CA262" s="82"/>
      <c r="CB262" s="84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</row>
    <row r="263" spans="1:10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94"/>
      <c r="BT263" s="94"/>
      <c r="BU263" s="94"/>
      <c r="BV263" s="106" t="s">
        <v>1058</v>
      </c>
      <c r="BW263" s="106" t="s">
        <v>1058</v>
      </c>
      <c r="BX263" s="87" t="s">
        <v>1059</v>
      </c>
      <c r="BY263" s="87" t="s">
        <v>1059</v>
      </c>
      <c r="BZ263" s="87" t="s">
        <v>1019</v>
      </c>
      <c r="CA263" s="82"/>
      <c r="CB263" s="84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</row>
    <row r="264" spans="1:10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126" t="s">
        <v>471</v>
      </c>
      <c r="BT264" s="94"/>
      <c r="BU264" s="94"/>
      <c r="BV264" s="99" t="s">
        <v>1060</v>
      </c>
      <c r="BW264" s="99" t="s">
        <v>1061</v>
      </c>
      <c r="BX264" s="99" t="s">
        <v>1062</v>
      </c>
      <c r="BY264" s="99" t="s">
        <v>1063</v>
      </c>
      <c r="BZ264" s="99" t="s">
        <v>1064</v>
      </c>
      <c r="CA264" s="82"/>
      <c r="CB264" s="84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</row>
    <row r="265" spans="1:10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97" t="s">
        <v>533</v>
      </c>
      <c r="BT265" s="97" t="s">
        <v>1038</v>
      </c>
      <c r="BU265" s="94"/>
      <c r="BV265" s="97" t="s">
        <v>1065</v>
      </c>
      <c r="BW265" s="97" t="s">
        <v>1065</v>
      </c>
      <c r="BX265" s="97" t="s">
        <v>1066</v>
      </c>
      <c r="BY265" s="97" t="s">
        <v>1066</v>
      </c>
      <c r="BZ265" s="97" t="s">
        <v>1067</v>
      </c>
      <c r="CA265" s="82"/>
      <c r="CB265" s="84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</row>
    <row r="266" spans="1:10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169"/>
      <c r="BT266" s="94"/>
      <c r="BU266" s="94"/>
      <c r="BV266" s="126" t="s">
        <v>580</v>
      </c>
      <c r="BW266" s="126" t="s">
        <v>580</v>
      </c>
      <c r="BX266" s="126" t="s">
        <v>580</v>
      </c>
      <c r="BY266" s="126" t="s">
        <v>580</v>
      </c>
      <c r="BZ266" s="126" t="s">
        <v>580</v>
      </c>
      <c r="CA266" s="82"/>
      <c r="CB266" s="84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</row>
    <row r="267" spans="1:10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126">
        <v>1</v>
      </c>
      <c r="BT267" s="127" t="s">
        <v>1054</v>
      </c>
      <c r="BU267" s="94"/>
      <c r="BV267" s="2338"/>
      <c r="BW267" s="2338"/>
      <c r="BX267" s="2338"/>
      <c r="BY267" s="2338"/>
      <c r="BZ267" s="87"/>
      <c r="CA267" s="82"/>
      <c r="CB267" s="84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</row>
    <row r="268" spans="1:10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126">
        <v>2</v>
      </c>
      <c r="BT268" s="128" t="str">
        <f t="shared" ref="BT268:BT279" si="34">AW166</f>
        <v>March 2024</v>
      </c>
      <c r="BU268" s="94"/>
      <c r="BV268" s="100">
        <v>1374768</v>
      </c>
      <c r="BW268" s="100">
        <v>155474</v>
      </c>
      <c r="BX268" s="100">
        <v>59883</v>
      </c>
      <c r="BY268" s="100">
        <v>172110</v>
      </c>
      <c r="BZ268" s="100">
        <v>-20471</v>
      </c>
      <c r="CA268" s="82"/>
      <c r="CB268" s="84"/>
      <c r="CC268" s="84"/>
      <c r="CD268" s="84"/>
      <c r="CE268" s="84"/>
      <c r="CF268" s="84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</row>
    <row r="269" spans="1:10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126">
        <f t="shared" ref="BS269:BS297" si="35">1+BS268</f>
        <v>3</v>
      </c>
      <c r="BT269" s="128" t="str">
        <f t="shared" si="34"/>
        <v>April</v>
      </c>
      <c r="BU269" s="94"/>
      <c r="BV269" s="100">
        <v>1222016</v>
      </c>
      <c r="BW269" s="100">
        <v>138199</v>
      </c>
      <c r="BX269" s="100">
        <v>43553</v>
      </c>
      <c r="BY269" s="100">
        <v>115577</v>
      </c>
      <c r="BZ269" s="100">
        <v>195061</v>
      </c>
      <c r="CA269" s="82"/>
      <c r="CB269" s="84"/>
      <c r="CC269" s="84"/>
      <c r="CD269" s="84"/>
      <c r="CE269" s="84"/>
      <c r="CF269" s="84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</row>
    <row r="270" spans="1:10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126">
        <f t="shared" si="35"/>
        <v>4</v>
      </c>
      <c r="BT270" s="128" t="str">
        <f t="shared" si="34"/>
        <v>May</v>
      </c>
      <c r="BU270" s="94"/>
      <c r="BV270" s="100">
        <v>1069264</v>
      </c>
      <c r="BW270" s="100">
        <v>120925</v>
      </c>
      <c r="BX270" s="100">
        <v>26746</v>
      </c>
      <c r="BY270" s="100">
        <v>60475</v>
      </c>
      <c r="BZ270" s="100">
        <v>12279</v>
      </c>
      <c r="CA270" s="82"/>
      <c r="CB270" s="84"/>
      <c r="CC270" s="84"/>
      <c r="CD270" s="84"/>
      <c r="CE270" s="84"/>
      <c r="CF270" s="84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</row>
    <row r="271" spans="1:10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126">
        <f t="shared" si="35"/>
        <v>5</v>
      </c>
      <c r="BT271" s="128" t="str">
        <f t="shared" si="34"/>
        <v>June</v>
      </c>
      <c r="BU271" s="94"/>
      <c r="BV271" s="100">
        <v>916512</v>
      </c>
      <c r="BW271" s="100">
        <v>103650</v>
      </c>
      <c r="BX271" s="100">
        <v>197845</v>
      </c>
      <c r="BY271" s="100">
        <v>651309</v>
      </c>
      <c r="BZ271" s="100">
        <v>-292662</v>
      </c>
      <c r="CA271" s="82"/>
      <c r="CB271" s="84"/>
      <c r="CC271" s="84"/>
      <c r="CD271" s="84"/>
      <c r="CE271" s="84"/>
      <c r="CF271" s="84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</row>
    <row r="272" spans="1:10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126">
        <f t="shared" si="35"/>
        <v>6</v>
      </c>
      <c r="BT272" s="128" t="str">
        <f t="shared" si="34"/>
        <v>July</v>
      </c>
      <c r="BU272" s="94"/>
      <c r="BV272" s="100">
        <v>763760</v>
      </c>
      <c r="BW272" s="100">
        <v>86375</v>
      </c>
      <c r="BX272" s="100">
        <v>181748</v>
      </c>
      <c r="BY272" s="100">
        <v>596530</v>
      </c>
      <c r="BZ272" s="100">
        <v>363459</v>
      </c>
      <c r="CA272" s="82"/>
      <c r="CB272" s="84"/>
      <c r="CC272" s="84"/>
      <c r="CD272" s="84"/>
      <c r="CE272" s="84"/>
      <c r="CF272" s="84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</row>
    <row r="273" spans="1:10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126">
        <f t="shared" si="35"/>
        <v>7</v>
      </c>
      <c r="BT273" s="128" t="str">
        <f t="shared" si="34"/>
        <v>August</v>
      </c>
      <c r="BU273" s="166"/>
      <c r="BV273" s="100">
        <v>611008</v>
      </c>
      <c r="BW273" s="100">
        <v>69100</v>
      </c>
      <c r="BX273" s="100">
        <v>165651</v>
      </c>
      <c r="BY273" s="100">
        <v>541752</v>
      </c>
      <c r="BZ273" s="100">
        <v>1508308</v>
      </c>
      <c r="CA273" s="82"/>
      <c r="CB273" s="84"/>
      <c r="CC273" s="84"/>
      <c r="CD273" s="84"/>
      <c r="CE273" s="84"/>
      <c r="CF273" s="84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</row>
    <row r="274" spans="1:10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126">
        <f t="shared" si="35"/>
        <v>8</v>
      </c>
      <c r="BT274" s="128" t="str">
        <f t="shared" si="34"/>
        <v>September</v>
      </c>
      <c r="BU274" s="2336"/>
      <c r="BV274" s="100">
        <v>611008</v>
      </c>
      <c r="BW274" s="100">
        <v>69100</v>
      </c>
      <c r="BX274" s="100">
        <v>165651</v>
      </c>
      <c r="BY274" s="100">
        <v>541752</v>
      </c>
      <c r="BZ274" s="100">
        <v>1508308</v>
      </c>
      <c r="CA274" s="82"/>
      <c r="CB274" s="2339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</row>
    <row r="275" spans="1:10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126">
        <f t="shared" si="35"/>
        <v>9</v>
      </c>
      <c r="BT275" s="128" t="str">
        <f t="shared" si="34"/>
        <v>October</v>
      </c>
      <c r="BU275" s="2336"/>
      <c r="BV275" s="100">
        <v>611008</v>
      </c>
      <c r="BW275" s="100">
        <v>69100</v>
      </c>
      <c r="BX275" s="100">
        <v>165651</v>
      </c>
      <c r="BY275" s="100">
        <v>541752</v>
      </c>
      <c r="BZ275" s="100">
        <v>1508308</v>
      </c>
      <c r="CA275" s="82"/>
      <c r="CB275" s="2339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</row>
    <row r="276" spans="1:10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126">
        <f t="shared" si="35"/>
        <v>10</v>
      </c>
      <c r="BT276" s="128" t="str">
        <f t="shared" si="34"/>
        <v>November</v>
      </c>
      <c r="BU276" s="2337"/>
      <c r="BV276" s="100">
        <v>611008</v>
      </c>
      <c r="BW276" s="100">
        <v>69100</v>
      </c>
      <c r="BX276" s="100">
        <v>165651</v>
      </c>
      <c r="BY276" s="100">
        <v>541752</v>
      </c>
      <c r="BZ276" s="100">
        <v>1508308</v>
      </c>
      <c r="CA276" s="82"/>
      <c r="CB276" s="84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</row>
    <row r="277" spans="1:10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126">
        <f t="shared" si="35"/>
        <v>11</v>
      </c>
      <c r="BT277" s="128" t="str">
        <f t="shared" si="34"/>
        <v>December</v>
      </c>
      <c r="BU277" s="94"/>
      <c r="BV277" s="100">
        <v>611008</v>
      </c>
      <c r="BW277" s="100">
        <v>69100</v>
      </c>
      <c r="BX277" s="100">
        <v>165651</v>
      </c>
      <c r="BY277" s="100">
        <v>541752</v>
      </c>
      <c r="BZ277" s="100">
        <v>1508308</v>
      </c>
      <c r="CA277" s="82"/>
      <c r="CB277" s="84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</row>
    <row r="278" spans="1:10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126">
        <f t="shared" si="35"/>
        <v>12</v>
      </c>
      <c r="BT278" s="128" t="str">
        <f t="shared" si="34"/>
        <v>January 2025</v>
      </c>
      <c r="BU278" s="94"/>
      <c r="BV278" s="100">
        <v>611008</v>
      </c>
      <c r="BW278" s="100">
        <v>69100</v>
      </c>
      <c r="BX278" s="100">
        <v>165651</v>
      </c>
      <c r="BY278" s="100">
        <v>541752</v>
      </c>
      <c r="BZ278" s="100">
        <v>1508308</v>
      </c>
      <c r="CA278" s="82"/>
      <c r="CB278" s="84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</row>
    <row r="279" spans="1:10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126">
        <f t="shared" si="35"/>
        <v>13</v>
      </c>
      <c r="BT279" s="128" t="str">
        <f t="shared" si="34"/>
        <v>February</v>
      </c>
      <c r="BU279" s="94"/>
      <c r="BV279" s="100">
        <v>611008</v>
      </c>
      <c r="BW279" s="100">
        <v>69100</v>
      </c>
      <c r="BX279" s="100">
        <v>165651</v>
      </c>
      <c r="BY279" s="100">
        <v>541752</v>
      </c>
      <c r="BZ279" s="100">
        <v>1508308</v>
      </c>
      <c r="CA279" s="82"/>
      <c r="CB279" s="84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</row>
    <row r="280" spans="1:10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126">
        <f t="shared" si="35"/>
        <v>14</v>
      </c>
      <c r="BT280" s="94"/>
      <c r="BU280" s="94"/>
      <c r="BV280" s="166"/>
      <c r="BW280" s="166"/>
      <c r="BX280" s="166"/>
      <c r="BY280" s="166"/>
      <c r="BZ280" s="166"/>
      <c r="CA280" s="82"/>
      <c r="CB280" s="84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</row>
    <row r="281" spans="1:10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126">
        <f t="shared" si="35"/>
        <v>15</v>
      </c>
      <c r="BT281" s="127" t="s">
        <v>593</v>
      </c>
      <c r="BU281" s="94"/>
      <c r="BV281" s="166"/>
      <c r="BW281" s="166"/>
      <c r="BX281" s="166"/>
      <c r="BY281" s="166"/>
      <c r="BZ281" s="166"/>
      <c r="CA281" s="82"/>
      <c r="CB281" s="84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</row>
    <row r="282" spans="1:10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126">
        <f t="shared" si="35"/>
        <v>16</v>
      </c>
      <c r="BT282" s="128" t="str">
        <f t="shared" ref="BT282:BT294" si="36">AW180</f>
        <v>June 2025</v>
      </c>
      <c r="BU282" s="94"/>
      <c r="BV282" s="100">
        <v>611008</v>
      </c>
      <c r="BW282" s="100">
        <v>69100</v>
      </c>
      <c r="BX282" s="100">
        <v>165651</v>
      </c>
      <c r="BY282" s="100">
        <v>541752</v>
      </c>
      <c r="BZ282" s="100">
        <v>1508308</v>
      </c>
      <c r="CA282" s="82"/>
      <c r="CB282" s="84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</row>
    <row r="283" spans="1:10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126">
        <f t="shared" si="35"/>
        <v>17</v>
      </c>
      <c r="BT283" s="128" t="str">
        <f t="shared" si="36"/>
        <v>July</v>
      </c>
      <c r="BU283" s="94"/>
      <c r="BV283" s="100">
        <v>611008</v>
      </c>
      <c r="BW283" s="100">
        <v>69100</v>
      </c>
      <c r="BX283" s="100">
        <v>165651</v>
      </c>
      <c r="BY283" s="100">
        <v>541752</v>
      </c>
      <c r="BZ283" s="100">
        <v>1508308</v>
      </c>
      <c r="CA283" s="82"/>
      <c r="CB283" s="84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</row>
    <row r="284" spans="1:10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126">
        <f t="shared" si="35"/>
        <v>18</v>
      </c>
      <c r="BT284" s="128" t="str">
        <f t="shared" si="36"/>
        <v>August</v>
      </c>
      <c r="BU284" s="94"/>
      <c r="BV284" s="100">
        <v>611008</v>
      </c>
      <c r="BW284" s="100">
        <v>69100</v>
      </c>
      <c r="BX284" s="100">
        <v>165651</v>
      </c>
      <c r="BY284" s="100">
        <v>541752</v>
      </c>
      <c r="BZ284" s="100">
        <v>1508308</v>
      </c>
      <c r="CA284" s="82"/>
      <c r="CB284" s="84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</row>
    <row r="285" spans="1:10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126">
        <f t="shared" si="35"/>
        <v>19</v>
      </c>
      <c r="BT285" s="128" t="str">
        <f t="shared" si="36"/>
        <v>September</v>
      </c>
      <c r="BU285" s="94"/>
      <c r="BV285" s="100">
        <v>611008</v>
      </c>
      <c r="BW285" s="100">
        <v>69100</v>
      </c>
      <c r="BX285" s="100">
        <v>165651</v>
      </c>
      <c r="BY285" s="100">
        <v>541752</v>
      </c>
      <c r="BZ285" s="100">
        <v>1508308</v>
      </c>
      <c r="CA285" s="82"/>
      <c r="CB285" s="84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</row>
    <row r="286" spans="1:10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126">
        <f t="shared" si="35"/>
        <v>20</v>
      </c>
      <c r="BT286" s="128" t="str">
        <f t="shared" si="36"/>
        <v>October</v>
      </c>
      <c r="BU286" s="94"/>
      <c r="BV286" s="100">
        <v>611008</v>
      </c>
      <c r="BW286" s="100">
        <v>69100</v>
      </c>
      <c r="BX286" s="100">
        <v>165651</v>
      </c>
      <c r="BY286" s="100">
        <v>541752</v>
      </c>
      <c r="BZ286" s="100">
        <v>1508308</v>
      </c>
      <c r="CA286" s="82"/>
      <c r="CB286" s="84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</row>
    <row r="287" spans="1:10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126">
        <f t="shared" si="35"/>
        <v>21</v>
      </c>
      <c r="BT287" s="128" t="str">
        <f t="shared" si="36"/>
        <v>November</v>
      </c>
      <c r="BU287" s="94"/>
      <c r="BV287" s="100">
        <v>611008</v>
      </c>
      <c r="BW287" s="100">
        <v>69100</v>
      </c>
      <c r="BX287" s="100">
        <v>165651</v>
      </c>
      <c r="BY287" s="100">
        <v>541752</v>
      </c>
      <c r="BZ287" s="100">
        <v>1508308</v>
      </c>
      <c r="CA287" s="82"/>
      <c r="CB287" s="84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</row>
    <row r="288" spans="1:10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126">
        <f t="shared" si="35"/>
        <v>22</v>
      </c>
      <c r="BT288" s="128" t="str">
        <f t="shared" si="36"/>
        <v>December</v>
      </c>
      <c r="BU288" s="94"/>
      <c r="BV288" s="100">
        <v>611008</v>
      </c>
      <c r="BW288" s="100">
        <v>69100</v>
      </c>
      <c r="BX288" s="100">
        <v>165651</v>
      </c>
      <c r="BY288" s="100">
        <v>541752</v>
      </c>
      <c r="BZ288" s="100">
        <v>1508308</v>
      </c>
      <c r="CA288" s="82"/>
      <c r="CB288" s="84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</row>
    <row r="289" spans="1:10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126">
        <f t="shared" si="35"/>
        <v>23</v>
      </c>
      <c r="BT289" s="128" t="str">
        <f t="shared" si="36"/>
        <v>January 2026</v>
      </c>
      <c r="BU289" s="94"/>
      <c r="BV289" s="100">
        <v>611008</v>
      </c>
      <c r="BW289" s="100">
        <v>69100</v>
      </c>
      <c r="BX289" s="100">
        <v>165651</v>
      </c>
      <c r="BY289" s="100">
        <v>541752</v>
      </c>
      <c r="BZ289" s="100">
        <v>1508308</v>
      </c>
      <c r="CA289" s="82"/>
      <c r="CB289" s="84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</row>
    <row r="290" spans="1:10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126">
        <f t="shared" si="35"/>
        <v>24</v>
      </c>
      <c r="BT290" s="128" t="str">
        <f t="shared" si="36"/>
        <v>February</v>
      </c>
      <c r="BU290" s="94"/>
      <c r="BV290" s="100">
        <v>611008</v>
      </c>
      <c r="BW290" s="100">
        <v>69100</v>
      </c>
      <c r="BX290" s="100">
        <v>165651</v>
      </c>
      <c r="BY290" s="100">
        <v>541752</v>
      </c>
      <c r="BZ290" s="100">
        <v>1508308</v>
      </c>
      <c r="CA290" s="82"/>
      <c r="CB290" s="84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</row>
    <row r="291" spans="1:10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126">
        <f t="shared" si="35"/>
        <v>25</v>
      </c>
      <c r="BT291" s="128" t="str">
        <f t="shared" si="36"/>
        <v>March</v>
      </c>
      <c r="BU291" s="94"/>
      <c r="BV291" s="100">
        <v>611008</v>
      </c>
      <c r="BW291" s="100">
        <v>69100</v>
      </c>
      <c r="BX291" s="100">
        <v>165651</v>
      </c>
      <c r="BY291" s="100">
        <v>541752</v>
      </c>
      <c r="BZ291" s="100">
        <v>1508308</v>
      </c>
      <c r="CA291" s="82"/>
      <c r="CB291" s="84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</row>
    <row r="292" spans="1:10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126">
        <f t="shared" si="35"/>
        <v>26</v>
      </c>
      <c r="BT292" s="128" t="str">
        <f t="shared" si="36"/>
        <v>April</v>
      </c>
      <c r="BU292" s="94"/>
      <c r="BV292" s="100">
        <v>611008</v>
      </c>
      <c r="BW292" s="100">
        <v>69100</v>
      </c>
      <c r="BX292" s="100">
        <v>165651</v>
      </c>
      <c r="BY292" s="100">
        <v>541752</v>
      </c>
      <c r="BZ292" s="100">
        <v>1508308</v>
      </c>
      <c r="CA292" s="82"/>
      <c r="CB292" s="84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</row>
    <row r="293" spans="1:10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126">
        <f t="shared" si="35"/>
        <v>27</v>
      </c>
      <c r="BT293" s="128" t="str">
        <f t="shared" si="36"/>
        <v>May</v>
      </c>
      <c r="BU293" s="94"/>
      <c r="BV293" s="100">
        <v>611008</v>
      </c>
      <c r="BW293" s="100">
        <v>69100</v>
      </c>
      <c r="BX293" s="100">
        <v>165651</v>
      </c>
      <c r="BY293" s="100">
        <v>541752</v>
      </c>
      <c r="BZ293" s="100">
        <v>1508308</v>
      </c>
      <c r="CA293" s="82"/>
      <c r="CB293" s="84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</row>
    <row r="294" spans="1:10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126">
        <f t="shared" si="35"/>
        <v>28</v>
      </c>
      <c r="BT294" s="128" t="str">
        <f t="shared" si="36"/>
        <v>June</v>
      </c>
      <c r="BU294" s="94"/>
      <c r="BV294" s="100">
        <v>611008</v>
      </c>
      <c r="BW294" s="100">
        <v>69100</v>
      </c>
      <c r="BX294" s="100">
        <v>165651</v>
      </c>
      <c r="BY294" s="100">
        <v>541752</v>
      </c>
      <c r="BZ294" s="100">
        <v>1508308</v>
      </c>
      <c r="CA294" s="82"/>
      <c r="CB294" s="84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</row>
    <row r="295" spans="1:101" ht="13.8" thickBo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126">
        <f t="shared" si="35"/>
        <v>29</v>
      </c>
      <c r="BT295" s="126" t="s">
        <v>258</v>
      </c>
      <c r="BU295" s="94"/>
      <c r="BV295" s="1693">
        <f>SUM(BV282:BV294)</f>
        <v>7943104</v>
      </c>
      <c r="BW295" s="1693">
        <f>SUM(BW282:BW294)</f>
        <v>898300</v>
      </c>
      <c r="BX295" s="1693">
        <f>SUM(BX282:BX294)</f>
        <v>2153463</v>
      </c>
      <c r="BY295" s="1693">
        <f t="shared" ref="BY295:BZ295" si="37">SUM(BY282:BY294)</f>
        <v>7042776</v>
      </c>
      <c r="BZ295" s="1693">
        <f t="shared" si="37"/>
        <v>19608004</v>
      </c>
      <c r="CA295" s="82"/>
      <c r="CB295" s="84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</row>
    <row r="296" spans="1:101" ht="13.8" thickTop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126">
        <f t="shared" si="35"/>
        <v>30</v>
      </c>
      <c r="BT296" s="94"/>
      <c r="BU296" s="94"/>
      <c r="BV296" s="130"/>
      <c r="BW296" s="130"/>
      <c r="BX296" s="130"/>
      <c r="BY296" s="130"/>
      <c r="BZ296" s="130"/>
      <c r="CA296" s="82"/>
      <c r="CB296" s="84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</row>
    <row r="297" spans="1:101" ht="13.8" thickBo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126">
        <f t="shared" si="35"/>
        <v>31</v>
      </c>
      <c r="BT297" s="169" t="s">
        <v>1040</v>
      </c>
      <c r="BU297" s="94"/>
      <c r="BV297" s="1943">
        <f>ROUND(BV295/13,0)</f>
        <v>611008</v>
      </c>
      <c r="BW297" s="1943">
        <f>ROUND(BW295/13,0)</f>
        <v>69100</v>
      </c>
      <c r="BX297" s="1943">
        <f>ROUND(BX295/13,0)</f>
        <v>165651</v>
      </c>
      <c r="BY297" s="1943">
        <f>ROUND(BY295/13,0)</f>
        <v>541752</v>
      </c>
      <c r="BZ297" s="1943">
        <f>ROUND(BZ295/13,0)</f>
        <v>1508308</v>
      </c>
      <c r="CA297" s="82"/>
      <c r="CB297" s="84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</row>
    <row r="298" spans="1:101" ht="13.8" thickTop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124"/>
      <c r="BU298" s="124"/>
      <c r="BV298" s="130"/>
      <c r="BW298" s="130"/>
      <c r="BX298" s="130"/>
      <c r="BY298" s="130"/>
      <c r="BZ298" s="130"/>
      <c r="CA298" s="82"/>
      <c r="CB298" s="84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</row>
    <row r="299" spans="1:10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124"/>
      <c r="BU299" s="124"/>
      <c r="BV299" s="126" t="s">
        <v>552</v>
      </c>
      <c r="BW299" s="126" t="s">
        <v>552</v>
      </c>
      <c r="BX299" s="126" t="s">
        <v>552</v>
      </c>
      <c r="BY299" s="126" t="s">
        <v>552</v>
      </c>
      <c r="BZ299" s="126" t="s">
        <v>552</v>
      </c>
      <c r="CA299" s="82"/>
      <c r="CB299" s="84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</row>
    <row r="300" spans="1:10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124"/>
      <c r="BU300" s="124"/>
      <c r="BV300" s="106" t="s">
        <v>553</v>
      </c>
      <c r="BW300" s="106" t="s">
        <v>553</v>
      </c>
      <c r="BX300" s="106" t="s">
        <v>553</v>
      </c>
      <c r="BY300" s="106" t="s">
        <v>553</v>
      </c>
      <c r="BZ300" s="106" t="s">
        <v>553</v>
      </c>
      <c r="CA300" s="82"/>
      <c r="CB300" s="84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</row>
    <row r="301" spans="1:10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124"/>
      <c r="BU301" s="124"/>
      <c r="BV301" s="106" t="s">
        <v>1068</v>
      </c>
      <c r="BW301" s="106" t="s">
        <v>1068</v>
      </c>
      <c r="BX301" s="106" t="s">
        <v>1068</v>
      </c>
      <c r="BY301" s="106" t="s">
        <v>1068</v>
      </c>
      <c r="BZ301" s="106" t="s">
        <v>1068</v>
      </c>
      <c r="CA301" s="82"/>
      <c r="CB301" s="84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</row>
    <row r="302" spans="1:10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126"/>
      <c r="BT302" s="94"/>
      <c r="BU302" s="94"/>
      <c r="BV302" s="100"/>
      <c r="BW302" s="100"/>
      <c r="BX302" s="100"/>
      <c r="BY302" s="166"/>
      <c r="BZ302" s="82"/>
      <c r="CA302" s="82"/>
      <c r="CB302" s="84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</row>
    <row r="303" spans="1:10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126"/>
      <c r="BT303" s="94" t="s">
        <v>1041</v>
      </c>
      <c r="BU303" s="94"/>
      <c r="BV303" s="94"/>
      <c r="BW303" s="94"/>
      <c r="BX303" s="94"/>
      <c r="BY303" s="94"/>
      <c r="BZ303" s="82"/>
      <c r="CA303" s="82"/>
      <c r="CB303" s="84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</row>
    <row r="304" spans="1:10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94"/>
      <c r="BT304" s="94"/>
      <c r="BU304" s="94"/>
      <c r="BV304" s="94"/>
      <c r="BW304" s="94"/>
      <c r="BX304" s="94"/>
      <c r="BY304" s="94"/>
      <c r="BZ304" s="82"/>
      <c r="CA304" s="82"/>
      <c r="CB304" s="84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</row>
    <row r="305" spans="1:10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4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</row>
    <row r="306" spans="1:10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4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</row>
    <row r="307" spans="1:10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169"/>
      <c r="CA307" s="124"/>
      <c r="CB307" s="169" t="str">
        <f>COMPANY</f>
        <v>DUKE ENERGY KENTUCKY, INC.</v>
      </c>
      <c r="CC307" s="124"/>
      <c r="CD307" s="124"/>
      <c r="CE307" s="94"/>
      <c r="CF307" s="82"/>
      <c r="CG307" s="82"/>
      <c r="CH307" s="82"/>
      <c r="CI307" s="82"/>
      <c r="CJ307" s="169" t="s">
        <v>948</v>
      </c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</row>
    <row r="308" spans="1:10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169"/>
      <c r="CA308" s="124"/>
      <c r="CB308" s="169" t="str">
        <f>DEPT</f>
        <v>ELECTRIC DEPARTMENT</v>
      </c>
      <c r="CC308" s="124"/>
      <c r="CD308" s="124"/>
      <c r="CE308" s="166"/>
      <c r="CF308" s="82"/>
      <c r="CG308" s="82"/>
      <c r="CH308" s="82"/>
      <c r="CI308" s="82"/>
      <c r="CJ308" s="94" t="s">
        <v>468</v>
      </c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</row>
    <row r="309" spans="1:10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94"/>
      <c r="CA309" s="124"/>
      <c r="CB309" s="94" t="str">
        <f>CASE</f>
        <v>CASE NO. 2024-00354</v>
      </c>
      <c r="CC309" s="124"/>
      <c r="CD309" s="124"/>
      <c r="CE309" s="166"/>
      <c r="CF309" s="82"/>
      <c r="CG309" s="82"/>
      <c r="CH309" s="82"/>
      <c r="CI309" s="82"/>
      <c r="CJ309" s="71" t="str">
        <f>_WIT10</f>
        <v>G. S. CARPENTER</v>
      </c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</row>
    <row r="310" spans="1:10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95"/>
      <c r="CA310" s="124"/>
      <c r="CB310" s="95" t="s">
        <v>1069</v>
      </c>
      <c r="CC310" s="124"/>
      <c r="CD310" s="124"/>
      <c r="CE310" s="166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</row>
    <row r="311" spans="1:10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95"/>
      <c r="CA311" s="124"/>
      <c r="CB311" s="95" t="s">
        <v>527</v>
      </c>
      <c r="CC311" s="124"/>
      <c r="CD311" s="124"/>
      <c r="CE311" s="166"/>
      <c r="CF311" s="94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</row>
    <row r="312" spans="1:10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94"/>
      <c r="CA312" s="124"/>
      <c r="CB312" s="94"/>
      <c r="CC312" s="124"/>
      <c r="CD312" s="124"/>
      <c r="CE312" s="166"/>
      <c r="CF312" s="100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</row>
    <row r="313" spans="1:10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94"/>
      <c r="CA313" s="94"/>
      <c r="CB313" s="94"/>
      <c r="CC313" s="124"/>
      <c r="CD313" s="1871"/>
      <c r="CE313" s="166"/>
      <c r="CF313" s="100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</row>
    <row r="314" spans="1:10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126"/>
      <c r="CA314" s="94"/>
      <c r="CB314" s="94"/>
      <c r="CC314" s="124"/>
      <c r="CD314" s="124"/>
      <c r="CE314" s="166"/>
      <c r="CF314" s="100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</row>
    <row r="315" spans="1:10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97"/>
      <c r="CA315" s="97"/>
      <c r="CB315" s="94"/>
      <c r="CC315" s="94"/>
      <c r="CD315" s="94"/>
      <c r="CE315" s="1476" t="s">
        <v>1070</v>
      </c>
      <c r="CF315" s="1476"/>
      <c r="CG315" s="126"/>
      <c r="CI315" s="126"/>
      <c r="CJ315" s="125" t="s">
        <v>136</v>
      </c>
      <c r="CK315" s="126" t="s">
        <v>1071</v>
      </c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</row>
    <row r="316" spans="1:10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126" t="s">
        <v>471</v>
      </c>
      <c r="CC316" s="94"/>
      <c r="CD316" s="94"/>
      <c r="CE316" s="99"/>
      <c r="CF316" s="99"/>
      <c r="CG316" s="99"/>
      <c r="CH316" s="126" t="s">
        <v>1072</v>
      </c>
      <c r="CI316" s="99"/>
      <c r="CJ316" s="99" t="s">
        <v>1073</v>
      </c>
      <c r="CK316" s="99" t="s">
        <v>1073</v>
      </c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</row>
    <row r="317" spans="1:10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97" t="s">
        <v>533</v>
      </c>
      <c r="CC317" s="97" t="s">
        <v>1038</v>
      </c>
      <c r="CD317" s="94"/>
      <c r="CE317" s="97" t="s">
        <v>1074</v>
      </c>
      <c r="CF317" s="97" t="s">
        <v>1075</v>
      </c>
      <c r="CG317" s="97"/>
      <c r="CH317" s="97" t="s">
        <v>1076</v>
      </c>
      <c r="CI317" s="97"/>
      <c r="CJ317" s="97" t="s">
        <v>1077</v>
      </c>
      <c r="CK317" s="97" t="s">
        <v>1078</v>
      </c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</row>
    <row r="318" spans="1:10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7"/>
      <c r="CA318" s="128"/>
      <c r="CB318" s="169"/>
      <c r="CC318" s="94"/>
      <c r="CD318" s="94"/>
      <c r="CE318" s="126" t="s">
        <v>580</v>
      </c>
      <c r="CF318" s="126" t="s">
        <v>580</v>
      </c>
      <c r="CG318" s="126"/>
      <c r="CH318" s="126" t="s">
        <v>580</v>
      </c>
      <c r="CI318" s="126"/>
      <c r="CJ318" s="126" t="s">
        <v>580</v>
      </c>
      <c r="CK318" s="126" t="s">
        <v>580</v>
      </c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</row>
    <row r="319" spans="1:10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7"/>
      <c r="CA319" s="128"/>
      <c r="CB319" s="126">
        <v>1</v>
      </c>
      <c r="CC319" s="127" t="s">
        <v>1054</v>
      </c>
      <c r="CD319" s="94"/>
      <c r="CE319" s="134"/>
      <c r="CF319" s="134"/>
      <c r="CG319" s="2338"/>
      <c r="CH319" s="2338"/>
      <c r="CI319" s="2338"/>
      <c r="CJ319" s="2338"/>
      <c r="CK319" s="87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</row>
    <row r="320" spans="1:10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7"/>
      <c r="CA320" s="128"/>
      <c r="CB320" s="126">
        <v>2</v>
      </c>
      <c r="CC320" s="128" t="str">
        <f t="shared" ref="CC320:CC331" si="38">AW166</f>
        <v>March 2024</v>
      </c>
      <c r="CD320" s="94"/>
      <c r="CE320" s="100">
        <v>21431143</v>
      </c>
      <c r="CF320" s="100">
        <v>5311957</v>
      </c>
      <c r="CG320" s="100"/>
      <c r="CH320" s="100">
        <v>11972303</v>
      </c>
      <c r="CI320" s="100"/>
      <c r="CJ320" s="100">
        <v>0</v>
      </c>
      <c r="CK320" s="100">
        <v>0</v>
      </c>
      <c r="CL320" s="82"/>
      <c r="CM320" s="91"/>
      <c r="CN320" s="91"/>
      <c r="CO320" s="91"/>
      <c r="CP320" s="91"/>
      <c r="CQ320" s="91"/>
      <c r="CR320" s="82"/>
      <c r="CS320" s="82"/>
      <c r="CT320" s="82"/>
      <c r="CU320" s="82"/>
      <c r="CV320" s="82"/>
      <c r="CW320" s="82"/>
    </row>
    <row r="321" spans="1:10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7"/>
      <c r="CA321" s="128"/>
      <c r="CB321" s="126">
        <f t="shared" ref="CB321:CB349" si="39">1+CB320</f>
        <v>3</v>
      </c>
      <c r="CC321" s="128" t="str">
        <f t="shared" si="38"/>
        <v>April</v>
      </c>
      <c r="CD321" s="94"/>
      <c r="CE321" s="100">
        <v>24570393</v>
      </c>
      <c r="CF321" s="100">
        <v>2581449</v>
      </c>
      <c r="CG321" s="100"/>
      <c r="CH321" s="100">
        <v>11853620</v>
      </c>
      <c r="CI321" s="100"/>
      <c r="CJ321" s="100">
        <v>0</v>
      </c>
      <c r="CK321" s="100">
        <v>0</v>
      </c>
      <c r="CL321" s="82"/>
      <c r="CM321" s="91"/>
      <c r="CN321" s="91"/>
      <c r="CO321" s="91"/>
      <c r="CP321" s="91"/>
      <c r="CQ321" s="91"/>
      <c r="CR321" s="82"/>
      <c r="CS321" s="82"/>
      <c r="CT321" s="82"/>
      <c r="CU321" s="82"/>
      <c r="CV321" s="82"/>
      <c r="CW321" s="82"/>
    </row>
    <row r="322" spans="1:10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7"/>
      <c r="CA322" s="128"/>
      <c r="CB322" s="126">
        <f t="shared" si="39"/>
        <v>4</v>
      </c>
      <c r="CC322" s="128" t="str">
        <f t="shared" si="38"/>
        <v>May</v>
      </c>
      <c r="CD322" s="94"/>
      <c r="CE322" s="100">
        <v>25474052</v>
      </c>
      <c r="CF322" s="100">
        <v>2768238</v>
      </c>
      <c r="CG322" s="100"/>
      <c r="CH322" s="100">
        <v>11625501</v>
      </c>
      <c r="CI322" s="100"/>
      <c r="CJ322" s="100">
        <v>0</v>
      </c>
      <c r="CK322" s="100">
        <v>0</v>
      </c>
      <c r="CL322" s="82"/>
      <c r="CM322" s="91"/>
      <c r="CN322" s="91"/>
      <c r="CO322" s="91"/>
      <c r="CP322" s="91"/>
      <c r="CQ322" s="91"/>
      <c r="CR322" s="82"/>
      <c r="CS322" s="82"/>
      <c r="CT322" s="82"/>
      <c r="CU322" s="82"/>
      <c r="CV322" s="82"/>
      <c r="CW322" s="82"/>
    </row>
    <row r="323" spans="1:10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7"/>
      <c r="CA323" s="128"/>
      <c r="CB323" s="126">
        <f t="shared" si="39"/>
        <v>5</v>
      </c>
      <c r="CC323" s="128" t="str">
        <f t="shared" si="38"/>
        <v>June</v>
      </c>
      <c r="CD323" s="94"/>
      <c r="CE323" s="100">
        <v>23654621</v>
      </c>
      <c r="CF323" s="100">
        <v>5101533</v>
      </c>
      <c r="CG323" s="100"/>
      <c r="CH323" s="100">
        <v>11727969</v>
      </c>
      <c r="CI323" s="100"/>
      <c r="CJ323" s="100">
        <v>0</v>
      </c>
      <c r="CK323" s="100">
        <v>0</v>
      </c>
      <c r="CL323" s="82"/>
      <c r="CM323" s="91"/>
      <c r="CN323" s="91"/>
      <c r="CO323" s="91"/>
      <c r="CP323" s="91"/>
      <c r="CQ323" s="91"/>
      <c r="CR323" s="82"/>
      <c r="CS323" s="82"/>
      <c r="CT323" s="82"/>
      <c r="CU323" s="82"/>
      <c r="CV323" s="82"/>
      <c r="CW323" s="82"/>
    </row>
    <row r="324" spans="1:10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7"/>
      <c r="CA324" s="128"/>
      <c r="CB324" s="126">
        <f t="shared" si="39"/>
        <v>6</v>
      </c>
      <c r="CC324" s="128" t="str">
        <f t="shared" si="38"/>
        <v>July</v>
      </c>
      <c r="CD324" s="94"/>
      <c r="CE324" s="100">
        <v>22872014</v>
      </c>
      <c r="CF324" s="100">
        <v>3503081</v>
      </c>
      <c r="CG324" s="100"/>
      <c r="CH324" s="100">
        <v>11755676</v>
      </c>
      <c r="CI324" s="100"/>
      <c r="CJ324" s="100">
        <v>0</v>
      </c>
      <c r="CK324" s="100">
        <v>0</v>
      </c>
      <c r="CL324" s="82"/>
      <c r="CM324" s="91"/>
      <c r="CN324" s="91"/>
      <c r="CO324" s="91"/>
      <c r="CP324" s="91"/>
      <c r="CQ324" s="91"/>
      <c r="CR324" s="82"/>
      <c r="CS324" s="82"/>
      <c r="CT324" s="82"/>
      <c r="CU324" s="82"/>
      <c r="CV324" s="82"/>
      <c r="CW324" s="82"/>
    </row>
    <row r="325" spans="1:10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7"/>
      <c r="CA325" s="128"/>
      <c r="CB325" s="126">
        <f t="shared" si="39"/>
        <v>7</v>
      </c>
      <c r="CC325" s="128" t="str">
        <f t="shared" si="38"/>
        <v>August</v>
      </c>
      <c r="CD325" s="94"/>
      <c r="CE325" s="100">
        <v>20580921</v>
      </c>
      <c r="CF325" s="100">
        <v>1467375</v>
      </c>
      <c r="CG325" s="100"/>
      <c r="CH325" s="100">
        <v>11773565</v>
      </c>
      <c r="CI325" s="100"/>
      <c r="CJ325" s="100">
        <v>0</v>
      </c>
      <c r="CK325" s="100">
        <v>0</v>
      </c>
      <c r="CL325" s="82"/>
      <c r="CM325" s="91"/>
      <c r="CN325" s="91"/>
      <c r="CO325" s="91"/>
      <c r="CP325" s="91"/>
      <c r="CQ325" s="91"/>
      <c r="CR325" s="82"/>
      <c r="CS325" s="82"/>
      <c r="CT325" s="82"/>
      <c r="CU325" s="82"/>
      <c r="CV325" s="82"/>
      <c r="CW325" s="82"/>
    </row>
    <row r="326" spans="1:10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7"/>
      <c r="CA326" s="128"/>
      <c r="CB326" s="126">
        <f t="shared" si="39"/>
        <v>8</v>
      </c>
      <c r="CC326" s="128" t="str">
        <f t="shared" si="38"/>
        <v>September</v>
      </c>
      <c r="CD326" s="2336"/>
      <c r="CE326" s="100">
        <v>24629621</v>
      </c>
      <c r="CF326" s="100">
        <v>1467375</v>
      </c>
      <c r="CG326" s="100"/>
      <c r="CH326" s="100">
        <v>11773565</v>
      </c>
      <c r="CI326" s="100"/>
      <c r="CJ326" s="100">
        <v>0</v>
      </c>
      <c r="CK326" s="100">
        <v>0</v>
      </c>
      <c r="CL326" s="82"/>
      <c r="CM326" s="91"/>
      <c r="CN326" s="91"/>
      <c r="CO326" s="91"/>
      <c r="CP326" s="91"/>
      <c r="CQ326" s="91"/>
      <c r="CR326" s="82"/>
      <c r="CS326" s="82"/>
      <c r="CT326" s="82"/>
      <c r="CU326" s="82"/>
      <c r="CV326" s="82"/>
      <c r="CW326" s="82"/>
    </row>
    <row r="327" spans="1:10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7"/>
      <c r="CA327" s="128"/>
      <c r="CB327" s="126">
        <f t="shared" si="39"/>
        <v>9</v>
      </c>
      <c r="CC327" s="128" t="str">
        <f t="shared" si="38"/>
        <v>October</v>
      </c>
      <c r="CD327" s="2336"/>
      <c r="CE327" s="100">
        <v>24954621</v>
      </c>
      <c r="CF327" s="100">
        <v>1467375</v>
      </c>
      <c r="CG327" s="100"/>
      <c r="CH327" s="100">
        <v>11773565</v>
      </c>
      <c r="CI327" s="100"/>
      <c r="CJ327" s="100">
        <v>0</v>
      </c>
      <c r="CK327" s="100">
        <v>0</v>
      </c>
      <c r="CL327" s="82"/>
      <c r="CM327" s="91"/>
      <c r="CN327" s="91"/>
      <c r="CO327" s="91"/>
      <c r="CP327" s="91"/>
      <c r="CQ327" s="91"/>
      <c r="CR327" s="82"/>
      <c r="CS327" s="82"/>
      <c r="CT327" s="82"/>
      <c r="CU327" s="82"/>
      <c r="CV327" s="82"/>
      <c r="CW327" s="82"/>
    </row>
    <row r="328" spans="1:10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7"/>
      <c r="CA328" s="82"/>
      <c r="CB328" s="126">
        <f t="shared" si="39"/>
        <v>10</v>
      </c>
      <c r="CC328" s="128" t="str">
        <f t="shared" si="38"/>
        <v>November</v>
      </c>
      <c r="CD328" s="2337"/>
      <c r="CE328" s="100">
        <v>25279621</v>
      </c>
      <c r="CF328" s="100">
        <v>1467375</v>
      </c>
      <c r="CG328" s="100"/>
      <c r="CH328" s="100">
        <v>11773565</v>
      </c>
      <c r="CI328" s="100"/>
      <c r="CJ328" s="100">
        <v>0</v>
      </c>
      <c r="CK328" s="100">
        <v>0</v>
      </c>
      <c r="CL328" s="82"/>
      <c r="CM328" s="82"/>
      <c r="CN328" s="91"/>
      <c r="CO328" s="91"/>
      <c r="CP328" s="91"/>
      <c r="CQ328" s="91"/>
      <c r="CR328" s="82"/>
      <c r="CS328" s="82"/>
      <c r="CT328" s="82"/>
      <c r="CU328" s="82"/>
      <c r="CV328" s="82"/>
      <c r="CW328" s="82"/>
    </row>
    <row r="329" spans="1:10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7"/>
      <c r="CA329" s="82"/>
      <c r="CB329" s="126">
        <f t="shared" si="39"/>
        <v>11</v>
      </c>
      <c r="CC329" s="128" t="str">
        <f t="shared" si="38"/>
        <v>December</v>
      </c>
      <c r="CD329" s="94"/>
      <c r="CE329" s="100">
        <v>25604621</v>
      </c>
      <c r="CF329" s="100">
        <v>1467375</v>
      </c>
      <c r="CG329" s="100"/>
      <c r="CH329" s="100">
        <v>11773565</v>
      </c>
      <c r="CI329" s="100"/>
      <c r="CJ329" s="100">
        <v>0</v>
      </c>
      <c r="CK329" s="100">
        <v>0</v>
      </c>
      <c r="CL329" s="82"/>
      <c r="CM329" s="82"/>
      <c r="CN329" s="91"/>
      <c r="CO329" s="91"/>
      <c r="CP329" s="91"/>
      <c r="CQ329" s="91"/>
      <c r="CR329" s="82"/>
      <c r="CS329" s="82"/>
      <c r="CT329" s="82"/>
      <c r="CU329" s="82"/>
      <c r="CV329" s="82"/>
      <c r="CW329" s="82"/>
    </row>
    <row r="330" spans="1:10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7"/>
      <c r="CA330" s="82"/>
      <c r="CB330" s="126">
        <f t="shared" si="39"/>
        <v>12</v>
      </c>
      <c r="CC330" s="128" t="str">
        <f t="shared" si="38"/>
        <v>January 2025</v>
      </c>
      <c r="CD330" s="94"/>
      <c r="CE330" s="100">
        <v>24012954</v>
      </c>
      <c r="CF330" s="100">
        <v>1467375</v>
      </c>
      <c r="CG330" s="100"/>
      <c r="CH330" s="100">
        <v>11773565</v>
      </c>
      <c r="CI330" s="100"/>
      <c r="CJ330" s="100">
        <v>0</v>
      </c>
      <c r="CK330" s="100">
        <v>0</v>
      </c>
      <c r="CL330" s="82"/>
      <c r="CM330" s="82"/>
      <c r="CN330" s="91"/>
      <c r="CO330" s="91"/>
      <c r="CP330" s="91"/>
      <c r="CQ330" s="91"/>
      <c r="CR330" s="82"/>
      <c r="CS330" s="82"/>
      <c r="CT330" s="82"/>
      <c r="CU330" s="82"/>
      <c r="CV330" s="82"/>
      <c r="CW330" s="82"/>
    </row>
    <row r="331" spans="1:10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7"/>
      <c r="CA331" s="82"/>
      <c r="CB331" s="126">
        <f t="shared" si="39"/>
        <v>13</v>
      </c>
      <c r="CC331" s="128" t="str">
        <f t="shared" si="38"/>
        <v>February</v>
      </c>
      <c r="CD331" s="94"/>
      <c r="CE331" s="100">
        <v>22421288</v>
      </c>
      <c r="CF331" s="100">
        <v>1467375</v>
      </c>
      <c r="CG331" s="100"/>
      <c r="CH331" s="100">
        <v>11773565</v>
      </c>
      <c r="CI331" s="100"/>
      <c r="CJ331" s="100">
        <v>0</v>
      </c>
      <c r="CK331" s="100">
        <v>0</v>
      </c>
      <c r="CL331" s="82"/>
      <c r="CM331" s="82"/>
      <c r="CN331" s="91"/>
      <c r="CO331" s="91"/>
      <c r="CP331" s="91"/>
      <c r="CQ331" s="91"/>
      <c r="CR331" s="82"/>
      <c r="CS331" s="82"/>
      <c r="CT331" s="82"/>
      <c r="CU331" s="82"/>
      <c r="CV331" s="82"/>
      <c r="CW331" s="82"/>
    </row>
    <row r="332" spans="1:10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7"/>
      <c r="CA332" s="82"/>
      <c r="CB332" s="126">
        <f t="shared" si="39"/>
        <v>14</v>
      </c>
      <c r="CC332" s="94"/>
      <c r="CD332" s="94"/>
      <c r="CE332" s="94"/>
      <c r="CF332" s="94"/>
      <c r="CG332" s="82"/>
      <c r="CH332" s="94"/>
      <c r="CI332" s="94"/>
      <c r="CJ332" s="94"/>
      <c r="CK332" s="94"/>
      <c r="CL332" s="82"/>
      <c r="CM332" s="82"/>
      <c r="CN332" s="91"/>
      <c r="CO332" s="91"/>
      <c r="CP332" s="91"/>
      <c r="CQ332" s="91"/>
      <c r="CR332" s="82"/>
      <c r="CS332" s="82"/>
      <c r="CT332" s="82"/>
      <c r="CU332" s="82"/>
      <c r="CV332" s="82"/>
      <c r="CW332" s="82"/>
    </row>
    <row r="333" spans="1:10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7"/>
      <c r="CA333" s="82"/>
      <c r="CB333" s="126">
        <f t="shared" si="39"/>
        <v>15</v>
      </c>
      <c r="CC333" s="127" t="s">
        <v>593</v>
      </c>
      <c r="CD333" s="94"/>
      <c r="CE333" s="94"/>
      <c r="CF333" s="94"/>
      <c r="CG333" s="82"/>
      <c r="CH333" s="94"/>
      <c r="CI333" s="94"/>
      <c r="CJ333" s="94"/>
      <c r="CK333" s="94"/>
      <c r="CL333" s="82"/>
      <c r="CM333" s="82"/>
      <c r="CN333" s="91"/>
      <c r="CO333" s="91"/>
      <c r="CP333" s="91"/>
      <c r="CQ333" s="91"/>
      <c r="CR333" s="82"/>
      <c r="CS333" s="82"/>
      <c r="CT333" s="82"/>
      <c r="CU333" s="82"/>
      <c r="CV333" s="82"/>
      <c r="CW333" s="82"/>
    </row>
    <row r="334" spans="1:10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7"/>
      <c r="CA334" s="82"/>
      <c r="CB334" s="126">
        <f t="shared" si="39"/>
        <v>16</v>
      </c>
      <c r="CC334" s="128" t="str">
        <f t="shared" ref="CC334:CC346" si="40">AW180</f>
        <v>June 2025</v>
      </c>
      <c r="CD334" s="94"/>
      <c r="CE334" s="100">
        <v>16054621</v>
      </c>
      <c r="CF334" s="100">
        <v>1467375</v>
      </c>
      <c r="CG334" s="100"/>
      <c r="CH334" s="100">
        <v>11773565</v>
      </c>
      <c r="CI334" s="100"/>
      <c r="CJ334" s="100">
        <v>0</v>
      </c>
      <c r="CK334" s="100">
        <v>0</v>
      </c>
      <c r="CL334" s="82"/>
      <c r="CM334" s="82"/>
      <c r="CN334" s="91"/>
      <c r="CO334" s="91"/>
      <c r="CP334" s="91"/>
      <c r="CQ334" s="91"/>
      <c r="CR334" s="82"/>
      <c r="CS334" s="82"/>
      <c r="CT334" s="82"/>
      <c r="CU334" s="82"/>
      <c r="CV334" s="82"/>
      <c r="CW334" s="82"/>
    </row>
    <row r="335" spans="1:10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7"/>
      <c r="CA335" s="82"/>
      <c r="CB335" s="126">
        <f t="shared" si="39"/>
        <v>17</v>
      </c>
      <c r="CC335" s="128" t="str">
        <f t="shared" si="40"/>
        <v>July</v>
      </c>
      <c r="CD335" s="94"/>
      <c r="CE335" s="100">
        <v>14462954</v>
      </c>
      <c r="CF335" s="100">
        <v>1467375</v>
      </c>
      <c r="CG335" s="100"/>
      <c r="CH335" s="100">
        <v>11773565</v>
      </c>
      <c r="CI335" s="100"/>
      <c r="CJ335" s="100">
        <v>0</v>
      </c>
      <c r="CK335" s="100">
        <v>0</v>
      </c>
      <c r="CL335" s="82"/>
      <c r="CM335" s="82"/>
      <c r="CN335" s="91"/>
      <c r="CO335" s="91"/>
      <c r="CP335" s="91"/>
      <c r="CQ335" s="91"/>
      <c r="CR335" s="82"/>
      <c r="CS335" s="82"/>
      <c r="CT335" s="82"/>
      <c r="CU335" s="82"/>
      <c r="CV335" s="82"/>
      <c r="CW335" s="82"/>
    </row>
    <row r="336" spans="1:10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7"/>
      <c r="CA336" s="82"/>
      <c r="CB336" s="126">
        <f t="shared" si="39"/>
        <v>18</v>
      </c>
      <c r="CC336" s="128" t="str">
        <f t="shared" si="40"/>
        <v>August</v>
      </c>
      <c r="CD336" s="94"/>
      <c r="CE336" s="100">
        <v>12871288</v>
      </c>
      <c r="CF336" s="100">
        <v>1467375</v>
      </c>
      <c r="CG336" s="100"/>
      <c r="CH336" s="100">
        <v>11773565</v>
      </c>
      <c r="CI336" s="100"/>
      <c r="CJ336" s="100">
        <v>0</v>
      </c>
      <c r="CK336" s="100">
        <v>0</v>
      </c>
      <c r="CL336" s="82"/>
      <c r="CM336" s="82"/>
      <c r="CN336" s="91"/>
      <c r="CO336" s="91"/>
      <c r="CP336" s="91"/>
      <c r="CQ336" s="91"/>
      <c r="CR336" s="82"/>
      <c r="CS336" s="82"/>
      <c r="CT336" s="82"/>
      <c r="CU336" s="82"/>
      <c r="CV336" s="82"/>
      <c r="CW336" s="82"/>
    </row>
    <row r="337" spans="1:10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7"/>
      <c r="CA337" s="82"/>
      <c r="CB337" s="126">
        <f t="shared" si="39"/>
        <v>19</v>
      </c>
      <c r="CC337" s="128" t="str">
        <f t="shared" si="40"/>
        <v>September</v>
      </c>
      <c r="CD337" s="94"/>
      <c r="CE337" s="100">
        <v>11279621</v>
      </c>
      <c r="CF337" s="100">
        <v>1467375</v>
      </c>
      <c r="CG337" s="100"/>
      <c r="CH337" s="100">
        <v>11773565</v>
      </c>
      <c r="CI337" s="100"/>
      <c r="CJ337" s="100">
        <v>0</v>
      </c>
      <c r="CK337" s="100">
        <v>0</v>
      </c>
      <c r="CL337" s="82"/>
      <c r="CM337" s="82"/>
      <c r="CN337" s="91"/>
      <c r="CO337" s="91"/>
      <c r="CP337" s="91"/>
      <c r="CQ337" s="91"/>
      <c r="CR337" s="82"/>
      <c r="CS337" s="82"/>
      <c r="CT337" s="82"/>
      <c r="CU337" s="82"/>
      <c r="CV337" s="82"/>
      <c r="CW337" s="82"/>
    </row>
    <row r="338" spans="1:10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7"/>
      <c r="CA338" s="82"/>
      <c r="CB338" s="126">
        <f t="shared" si="39"/>
        <v>20</v>
      </c>
      <c r="CC338" s="128" t="str">
        <f t="shared" si="40"/>
        <v>October</v>
      </c>
      <c r="CD338" s="94"/>
      <c r="CE338" s="100">
        <v>9687954</v>
      </c>
      <c r="CF338" s="100">
        <v>1467375</v>
      </c>
      <c r="CG338" s="100"/>
      <c r="CH338" s="100">
        <v>11773565</v>
      </c>
      <c r="CI338" s="100"/>
      <c r="CJ338" s="100">
        <v>0</v>
      </c>
      <c r="CK338" s="100">
        <v>0</v>
      </c>
      <c r="CL338" s="82"/>
      <c r="CM338" s="82"/>
      <c r="CN338" s="91"/>
      <c r="CO338" s="91"/>
      <c r="CP338" s="91"/>
      <c r="CQ338" s="91"/>
      <c r="CR338" s="82"/>
      <c r="CS338" s="82"/>
      <c r="CT338" s="82"/>
      <c r="CU338" s="82"/>
      <c r="CV338" s="82"/>
      <c r="CW338" s="82"/>
    </row>
    <row r="339" spans="1:10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7"/>
      <c r="CA339" s="82"/>
      <c r="CB339" s="126">
        <f t="shared" si="39"/>
        <v>21</v>
      </c>
      <c r="CC339" s="128" t="str">
        <f t="shared" si="40"/>
        <v>November</v>
      </c>
      <c r="CD339" s="94"/>
      <c r="CE339" s="100">
        <v>8096288</v>
      </c>
      <c r="CF339" s="100">
        <v>1467375</v>
      </c>
      <c r="CG339" s="100"/>
      <c r="CH339" s="100">
        <v>11773565</v>
      </c>
      <c r="CI339" s="100"/>
      <c r="CJ339" s="100">
        <v>0</v>
      </c>
      <c r="CK339" s="100">
        <v>0</v>
      </c>
      <c r="CL339" s="82"/>
      <c r="CM339" s="82"/>
      <c r="CN339" s="91"/>
      <c r="CO339" s="91"/>
      <c r="CP339" s="91"/>
      <c r="CQ339" s="91"/>
      <c r="CR339" s="82"/>
      <c r="CS339" s="82"/>
      <c r="CT339" s="82"/>
      <c r="CU339" s="82"/>
      <c r="CV339" s="82"/>
      <c r="CW339" s="82"/>
    </row>
    <row r="340" spans="1:10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7"/>
      <c r="CA340" s="82"/>
      <c r="CB340" s="126">
        <f t="shared" si="39"/>
        <v>22</v>
      </c>
      <c r="CC340" s="128" t="str">
        <f t="shared" si="40"/>
        <v>December</v>
      </c>
      <c r="CD340" s="94"/>
      <c r="CE340" s="100">
        <v>6504621</v>
      </c>
      <c r="CF340" s="100">
        <v>1467375</v>
      </c>
      <c r="CG340" s="100"/>
      <c r="CH340" s="100">
        <v>11773565</v>
      </c>
      <c r="CI340" s="100"/>
      <c r="CJ340" s="100">
        <v>0</v>
      </c>
      <c r="CK340" s="100">
        <v>0</v>
      </c>
      <c r="CL340" s="82"/>
      <c r="CM340" s="82"/>
      <c r="CN340" s="91"/>
      <c r="CO340" s="91"/>
      <c r="CP340" s="91"/>
      <c r="CQ340" s="91"/>
      <c r="CR340" s="82"/>
      <c r="CS340" s="82"/>
      <c r="CT340" s="82"/>
      <c r="CU340" s="82"/>
      <c r="CV340" s="82"/>
      <c r="CW340" s="82"/>
    </row>
    <row r="341" spans="1:10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126">
        <f t="shared" si="39"/>
        <v>23</v>
      </c>
      <c r="CC341" s="128" t="str">
        <f t="shared" si="40"/>
        <v>January 2026</v>
      </c>
      <c r="CD341" s="94"/>
      <c r="CE341" s="100">
        <v>6504621</v>
      </c>
      <c r="CF341" s="100">
        <v>1467375</v>
      </c>
      <c r="CG341" s="100"/>
      <c r="CH341" s="100">
        <v>11773565</v>
      </c>
      <c r="CI341" s="100"/>
      <c r="CJ341" s="100">
        <v>0</v>
      </c>
      <c r="CK341" s="100">
        <v>0</v>
      </c>
      <c r="CL341" s="82"/>
      <c r="CM341" s="82"/>
      <c r="CN341" s="91"/>
      <c r="CO341" s="91"/>
      <c r="CP341" s="91"/>
      <c r="CQ341" s="91"/>
      <c r="CR341" s="82"/>
      <c r="CS341" s="82"/>
      <c r="CT341" s="82"/>
      <c r="CU341" s="82"/>
      <c r="CV341" s="82"/>
      <c r="CW341" s="82"/>
    </row>
    <row r="342" spans="1:10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126">
        <f t="shared" si="39"/>
        <v>24</v>
      </c>
      <c r="CC342" s="128" t="str">
        <f t="shared" si="40"/>
        <v>February</v>
      </c>
      <c r="CD342" s="94"/>
      <c r="CE342" s="100">
        <v>6504621</v>
      </c>
      <c r="CF342" s="100">
        <v>1467375</v>
      </c>
      <c r="CG342" s="100"/>
      <c r="CH342" s="100">
        <v>11773565</v>
      </c>
      <c r="CI342" s="100"/>
      <c r="CJ342" s="100">
        <v>0</v>
      </c>
      <c r="CK342" s="100">
        <v>0</v>
      </c>
      <c r="CL342" s="82"/>
      <c r="CM342" s="82"/>
      <c r="CN342" s="91"/>
      <c r="CO342" s="91"/>
      <c r="CP342" s="91"/>
      <c r="CQ342" s="91"/>
      <c r="CR342" s="82"/>
      <c r="CS342" s="82"/>
      <c r="CT342" s="82"/>
      <c r="CU342" s="82"/>
      <c r="CV342" s="82"/>
      <c r="CW342" s="82"/>
    </row>
    <row r="343" spans="1:10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126">
        <f t="shared" si="39"/>
        <v>25</v>
      </c>
      <c r="CC343" s="128" t="str">
        <f t="shared" si="40"/>
        <v>March</v>
      </c>
      <c r="CD343" s="94"/>
      <c r="CE343" s="100">
        <v>6504621</v>
      </c>
      <c r="CF343" s="100">
        <v>1467375</v>
      </c>
      <c r="CG343" s="100"/>
      <c r="CH343" s="100">
        <v>11773565</v>
      </c>
      <c r="CI343" s="100"/>
      <c r="CJ343" s="100">
        <v>0</v>
      </c>
      <c r="CK343" s="100">
        <v>0</v>
      </c>
      <c r="CL343" s="82"/>
      <c r="CM343" s="82"/>
      <c r="CN343" s="91"/>
      <c r="CO343" s="91"/>
      <c r="CP343" s="91"/>
      <c r="CQ343" s="91"/>
      <c r="CR343" s="82"/>
      <c r="CS343" s="82"/>
      <c r="CT343" s="82"/>
      <c r="CU343" s="82"/>
      <c r="CV343" s="82"/>
      <c r="CW343" s="82"/>
    </row>
    <row r="344" spans="1:10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126">
        <f t="shared" si="39"/>
        <v>26</v>
      </c>
      <c r="CC344" s="128" t="str">
        <f t="shared" si="40"/>
        <v>April</v>
      </c>
      <c r="CD344" s="94"/>
      <c r="CE344" s="100">
        <v>6504621</v>
      </c>
      <c r="CF344" s="100">
        <v>1467375</v>
      </c>
      <c r="CG344" s="100"/>
      <c r="CH344" s="100">
        <v>11773565</v>
      </c>
      <c r="CI344" s="100"/>
      <c r="CJ344" s="100">
        <v>0</v>
      </c>
      <c r="CK344" s="100">
        <v>0</v>
      </c>
      <c r="CL344" s="82"/>
      <c r="CM344" s="82"/>
      <c r="CN344" s="91"/>
      <c r="CO344" s="91"/>
      <c r="CP344" s="91"/>
      <c r="CQ344" s="91"/>
      <c r="CR344" s="82"/>
      <c r="CS344" s="82"/>
      <c r="CT344" s="82"/>
      <c r="CU344" s="82"/>
      <c r="CV344" s="82"/>
      <c r="CW344" s="82"/>
    </row>
    <row r="345" spans="1:10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126">
        <f t="shared" si="39"/>
        <v>27</v>
      </c>
      <c r="CC345" s="128" t="str">
        <f t="shared" si="40"/>
        <v>May</v>
      </c>
      <c r="CD345" s="94"/>
      <c r="CE345" s="100">
        <v>6504621</v>
      </c>
      <c r="CF345" s="100">
        <v>1467375</v>
      </c>
      <c r="CG345" s="100"/>
      <c r="CH345" s="100">
        <v>11773565</v>
      </c>
      <c r="CI345" s="100"/>
      <c r="CJ345" s="100">
        <v>0</v>
      </c>
      <c r="CK345" s="100">
        <v>0</v>
      </c>
      <c r="CL345" s="82"/>
      <c r="CM345" s="82"/>
      <c r="CN345" s="91"/>
      <c r="CO345" s="91"/>
      <c r="CP345" s="91"/>
      <c r="CQ345" s="91"/>
      <c r="CR345" s="82"/>
      <c r="CS345" s="82"/>
      <c r="CT345" s="82"/>
      <c r="CU345" s="82"/>
      <c r="CV345" s="82"/>
      <c r="CW345" s="82"/>
    </row>
    <row r="346" spans="1:10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126">
        <f t="shared" si="39"/>
        <v>28</v>
      </c>
      <c r="CC346" s="128" t="str">
        <f t="shared" si="40"/>
        <v>June</v>
      </c>
      <c r="CD346" s="94"/>
      <c r="CE346" s="100">
        <v>6504621</v>
      </c>
      <c r="CF346" s="100">
        <v>1467375</v>
      </c>
      <c r="CG346" s="100"/>
      <c r="CH346" s="100">
        <v>11773565</v>
      </c>
      <c r="CI346" s="100"/>
      <c r="CJ346" s="100">
        <v>0</v>
      </c>
      <c r="CK346" s="100">
        <v>0</v>
      </c>
      <c r="CL346" s="82"/>
      <c r="CM346" s="82"/>
      <c r="CN346" s="91"/>
      <c r="CO346" s="91"/>
      <c r="CP346" s="91"/>
      <c r="CQ346" s="91"/>
      <c r="CR346" s="82"/>
      <c r="CS346" s="82"/>
      <c r="CT346" s="82"/>
      <c r="CU346" s="82"/>
      <c r="CV346" s="82"/>
      <c r="CW346" s="82"/>
    </row>
    <row r="347" spans="1:101" ht="13.8" thickBo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126">
        <f t="shared" si="39"/>
        <v>29</v>
      </c>
      <c r="CC347" s="126" t="s">
        <v>258</v>
      </c>
      <c r="CD347" s="94"/>
      <c r="CE347" s="1693">
        <f>SUM(CE334:CE346)</f>
        <v>117985073</v>
      </c>
      <c r="CF347" s="1693">
        <f>SUM(CF334:CF346)</f>
        <v>19075875</v>
      </c>
      <c r="CG347" s="1693"/>
      <c r="CH347" s="1693">
        <f>SUM(CH334:CH346)</f>
        <v>153056345</v>
      </c>
      <c r="CI347" s="166"/>
      <c r="CJ347" s="1693">
        <f>SUM(CJ334:CJ346)</f>
        <v>0</v>
      </c>
      <c r="CK347" s="1693">
        <f>SUM(CK334:CK346)</f>
        <v>0</v>
      </c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</row>
    <row r="348" spans="1:101" ht="13.8" thickTop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126">
        <f t="shared" si="39"/>
        <v>30</v>
      </c>
      <c r="CC348" s="94"/>
      <c r="CD348" s="94"/>
      <c r="CE348" s="130"/>
      <c r="CF348" s="130"/>
      <c r="CG348" s="130"/>
      <c r="CH348" s="130"/>
      <c r="CI348" s="130"/>
      <c r="CJ348" s="130"/>
      <c r="CK348" s="130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</row>
    <row r="349" spans="1:101" ht="13.8" thickBo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126">
        <f t="shared" si="39"/>
        <v>31</v>
      </c>
      <c r="CC349" s="169" t="s">
        <v>1040</v>
      </c>
      <c r="CD349" s="94"/>
      <c r="CE349" s="1943">
        <f t="shared" ref="CE349:CK349" si="41">CE347/13</f>
        <v>9075774.846153846</v>
      </c>
      <c r="CF349" s="1943">
        <f t="shared" si="41"/>
        <v>1467375</v>
      </c>
      <c r="CG349" s="1943"/>
      <c r="CH349" s="1943">
        <f t="shared" si="41"/>
        <v>11773565</v>
      </c>
      <c r="CI349" s="166"/>
      <c r="CJ349" s="1943">
        <f>CJ347/13</f>
        <v>0</v>
      </c>
      <c r="CK349" s="1943">
        <f t="shared" si="41"/>
        <v>0</v>
      </c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</row>
    <row r="350" spans="1:101" ht="13.8" thickTop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124"/>
      <c r="CD350" s="124"/>
      <c r="CE350" s="130"/>
      <c r="CF350" s="130"/>
      <c r="CG350" s="130"/>
      <c r="CH350" s="130"/>
      <c r="CI350" s="130"/>
      <c r="CJ350" s="130"/>
      <c r="CK350" s="130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</row>
    <row r="351" spans="1:10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124"/>
      <c r="CD351" s="124"/>
      <c r="CE351" s="126" t="s">
        <v>552</v>
      </c>
      <c r="CF351" s="126" t="s">
        <v>552</v>
      </c>
      <c r="CG351" s="126"/>
      <c r="CH351" s="126" t="s">
        <v>552</v>
      </c>
      <c r="CI351" s="126"/>
      <c r="CJ351" s="126" t="s">
        <v>552</v>
      </c>
      <c r="CK351" s="126" t="s">
        <v>552</v>
      </c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</row>
    <row r="352" spans="1:10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124"/>
      <c r="CD352" s="124"/>
      <c r="CE352" s="106" t="s">
        <v>553</v>
      </c>
      <c r="CF352" s="106" t="s">
        <v>553</v>
      </c>
      <c r="CG352" s="106"/>
      <c r="CH352" s="106" t="s">
        <v>553</v>
      </c>
      <c r="CI352" s="106"/>
      <c r="CJ352" s="106" t="s">
        <v>553</v>
      </c>
      <c r="CK352" s="106" t="s">
        <v>553</v>
      </c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</row>
    <row r="353" spans="1:10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124"/>
      <c r="CD353" s="124"/>
      <c r="CE353" s="106" t="s">
        <v>1079</v>
      </c>
      <c r="CF353" s="106" t="s">
        <v>1079</v>
      </c>
      <c r="CG353" s="106"/>
      <c r="CH353" s="106" t="s">
        <v>1079</v>
      </c>
      <c r="CI353" s="106"/>
      <c r="CJ353" s="106" t="s">
        <v>1079</v>
      </c>
      <c r="CK353" s="106" t="s">
        <v>1079</v>
      </c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</row>
    <row r="354" spans="1:10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126"/>
      <c r="CC354" s="94"/>
      <c r="CD354" s="94"/>
      <c r="CE354" s="133"/>
      <c r="CF354" s="100"/>
      <c r="CG354" s="166"/>
      <c r="CH354" s="100"/>
      <c r="CI354" s="100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</row>
    <row r="355" spans="1:10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126"/>
      <c r="CC355" s="94" t="s">
        <v>1041</v>
      </c>
      <c r="CD355" s="94"/>
      <c r="CE355" s="133"/>
      <c r="CF355" s="100"/>
      <c r="CG355" s="166"/>
      <c r="CH355" s="100"/>
      <c r="CI355" s="100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</row>
    <row r="356" spans="1:10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126"/>
      <c r="CC356" s="1015"/>
      <c r="CD356" s="94"/>
      <c r="CE356" s="94"/>
      <c r="CF356" s="94"/>
      <c r="CG356" s="94"/>
      <c r="CH356" s="94"/>
      <c r="CI356" s="94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</row>
    <row r="357" spans="1:10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94"/>
      <c r="CC357" s="1015"/>
      <c r="CD357" s="94"/>
      <c r="CE357" s="94"/>
      <c r="CF357" s="94"/>
      <c r="CG357" s="94"/>
      <c r="CH357" s="94"/>
      <c r="CI357" s="94"/>
      <c r="CJ357" s="94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</row>
    <row r="358" spans="1:10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</row>
    <row r="359" spans="1:10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4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169" t="str">
        <f>COMPANY</f>
        <v>DUKE ENERGY KENTUCKY, INC.</v>
      </c>
      <c r="CN359" s="124"/>
      <c r="CO359" s="124"/>
      <c r="CP359" s="94"/>
      <c r="CQ359" s="82"/>
      <c r="CR359" s="82"/>
      <c r="CS359" s="82"/>
      <c r="CT359" s="82"/>
      <c r="CU359" s="169" t="s">
        <v>957</v>
      </c>
      <c r="CV359" s="82"/>
      <c r="CW359" s="82"/>
    </row>
    <row r="360" spans="1:10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4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169" t="str">
        <f>DEPT</f>
        <v>ELECTRIC DEPARTMENT</v>
      </c>
      <c r="CN360" s="124"/>
      <c r="CO360" s="124"/>
      <c r="CP360" s="166"/>
      <c r="CQ360" s="82"/>
      <c r="CR360" s="82"/>
      <c r="CS360" s="82"/>
      <c r="CT360" s="82"/>
      <c r="CU360" s="94" t="s">
        <v>468</v>
      </c>
      <c r="CV360" s="82"/>
      <c r="CW360" s="82"/>
    </row>
    <row r="361" spans="1:10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4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94" t="str">
        <f>CASE</f>
        <v>CASE NO. 2024-00354</v>
      </c>
      <c r="CN361" s="124"/>
      <c r="CO361" s="124"/>
      <c r="CP361" s="166"/>
      <c r="CQ361" s="82"/>
      <c r="CR361" s="82"/>
      <c r="CS361" s="82"/>
      <c r="CT361" s="82"/>
      <c r="CU361" s="71" t="str">
        <f>_WIT10</f>
        <v>G. S. CARPENTER</v>
      </c>
      <c r="CV361" s="82"/>
      <c r="CW361" s="82"/>
    </row>
    <row r="362" spans="1:10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4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95" t="s">
        <v>1080</v>
      </c>
      <c r="CN362" s="124"/>
      <c r="CO362" s="124"/>
      <c r="CP362" s="166"/>
      <c r="CQ362" s="82"/>
      <c r="CR362" s="82"/>
      <c r="CS362" s="82"/>
      <c r="CT362" s="82"/>
      <c r="CU362" s="82"/>
      <c r="CV362" s="82"/>
      <c r="CW362" s="82"/>
    </row>
    <row r="363" spans="1:10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4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95" t="s">
        <v>527</v>
      </c>
      <c r="CN363" s="124"/>
      <c r="CO363" s="124"/>
      <c r="CP363" s="166"/>
      <c r="CQ363" s="94"/>
      <c r="CR363" s="82"/>
      <c r="CS363" s="82"/>
      <c r="CT363" s="82"/>
      <c r="CU363" s="82"/>
      <c r="CV363" s="82"/>
      <c r="CW363" s="82"/>
    </row>
    <row r="364" spans="1:10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4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94"/>
      <c r="CN364" s="124"/>
      <c r="CO364" s="124"/>
      <c r="CP364" s="166"/>
      <c r="CQ364" s="100"/>
      <c r="CR364" s="82"/>
      <c r="CS364" s="82"/>
      <c r="CT364" s="82"/>
      <c r="CU364" s="82"/>
      <c r="CV364" s="82"/>
      <c r="CW364" s="82"/>
    </row>
    <row r="365" spans="1:10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4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94"/>
      <c r="CN365" s="124"/>
      <c r="CO365" s="124"/>
      <c r="CP365" s="166"/>
      <c r="CQ365" s="100"/>
      <c r="CR365" s="1411"/>
      <c r="CS365" s="82"/>
      <c r="CT365" s="82"/>
      <c r="CU365" s="82"/>
      <c r="CV365" s="82"/>
      <c r="CW365" s="82"/>
    </row>
    <row r="366" spans="1:10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4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94"/>
      <c r="CN366" s="124"/>
      <c r="CO366" s="124"/>
      <c r="CP366" s="166"/>
      <c r="CQ366" s="100"/>
      <c r="CR366" s="82"/>
      <c r="CS366" s="82"/>
      <c r="CT366" s="82"/>
      <c r="CU366" s="82"/>
      <c r="CV366" s="82"/>
      <c r="CW366" s="82"/>
    </row>
    <row r="367" spans="1:10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4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94"/>
      <c r="CN367" s="94"/>
      <c r="CO367" s="94"/>
      <c r="CP367" s="125"/>
      <c r="CQ367" s="125"/>
      <c r="CR367" s="125"/>
      <c r="CS367" s="125"/>
      <c r="CT367" s="126"/>
      <c r="CU367" s="126"/>
      <c r="CV367" s="126"/>
      <c r="CW367" s="82"/>
    </row>
    <row r="368" spans="1:10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4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126" t="s">
        <v>471</v>
      </c>
      <c r="CN368" s="94"/>
      <c r="CO368" s="94"/>
      <c r="CP368" s="99"/>
      <c r="CQ368" s="99"/>
      <c r="CR368" s="99"/>
      <c r="CS368" s="125" t="s">
        <v>1081</v>
      </c>
      <c r="CT368" s="126" t="s">
        <v>1082</v>
      </c>
      <c r="CU368" s="126" t="s">
        <v>1082</v>
      </c>
      <c r="CV368" s="99" t="s">
        <v>258</v>
      </c>
      <c r="CW368" s="82"/>
    </row>
    <row r="369" spans="1:10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4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97" t="s">
        <v>533</v>
      </c>
      <c r="CN369" s="97" t="s">
        <v>1038</v>
      </c>
      <c r="CO369" s="94"/>
      <c r="CP369" s="97"/>
      <c r="CQ369" s="97"/>
      <c r="CR369" s="97"/>
      <c r="CS369" s="97" t="s">
        <v>1083</v>
      </c>
      <c r="CT369" s="97" t="s">
        <v>1084</v>
      </c>
      <c r="CU369" s="97" t="s">
        <v>1085</v>
      </c>
      <c r="CV369" s="97" t="s">
        <v>1086</v>
      </c>
      <c r="CW369" s="82"/>
    </row>
    <row r="370" spans="1:10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4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169"/>
      <c r="CN370" s="94"/>
      <c r="CO370" s="94"/>
      <c r="CP370" s="126"/>
      <c r="CQ370" s="126"/>
      <c r="CR370" s="126"/>
      <c r="CS370" s="126" t="s">
        <v>580</v>
      </c>
      <c r="CT370" s="126" t="s">
        <v>580</v>
      </c>
      <c r="CU370" s="126" t="s">
        <v>580</v>
      </c>
      <c r="CV370" s="126" t="s">
        <v>580</v>
      </c>
      <c r="CW370" s="82"/>
    </row>
    <row r="371" spans="1:10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4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126">
        <v>1</v>
      </c>
      <c r="CN371" s="127" t="s">
        <v>1054</v>
      </c>
      <c r="CO371" s="94"/>
      <c r="CP371" s="134"/>
      <c r="CQ371" s="134"/>
      <c r="CR371" s="2338"/>
      <c r="CS371" s="2338"/>
      <c r="CT371" s="87"/>
      <c r="CU371" s="87"/>
      <c r="CV371" s="87"/>
      <c r="CW371" s="82"/>
    </row>
    <row r="372" spans="1:10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4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126">
        <v>2</v>
      </c>
      <c r="CN372" s="128" t="str">
        <f t="shared" ref="CN372:CN383" si="42">AW166</f>
        <v>March 2024</v>
      </c>
      <c r="CO372" s="94"/>
      <c r="CP372" s="100"/>
      <c r="CQ372" s="100"/>
      <c r="CR372" s="100"/>
      <c r="CS372" s="100">
        <v>0</v>
      </c>
      <c r="CT372" s="100">
        <v>0</v>
      </c>
      <c r="CU372" s="100">
        <v>0</v>
      </c>
      <c r="CV372" s="170">
        <f>SUM(CR372:CU372)</f>
        <v>0</v>
      </c>
      <c r="CW372" s="82"/>
    </row>
    <row r="373" spans="1:10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4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126">
        <f t="shared" ref="CM373:CM401" si="43">1+CM372</f>
        <v>3</v>
      </c>
      <c r="CN373" s="128" t="str">
        <f t="shared" si="42"/>
        <v>April</v>
      </c>
      <c r="CO373" s="94"/>
      <c r="CP373" s="100"/>
      <c r="CQ373" s="100"/>
      <c r="CR373" s="100"/>
      <c r="CS373" s="100">
        <v>0</v>
      </c>
      <c r="CT373" s="100">
        <v>0</v>
      </c>
      <c r="CU373" s="100">
        <v>0</v>
      </c>
      <c r="CV373" s="170">
        <f t="shared" ref="CV373:CV382" si="44">SUM(CR373:CU373)</f>
        <v>0</v>
      </c>
      <c r="CW373" s="82"/>
    </row>
    <row r="374" spans="1:10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4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126">
        <f t="shared" si="43"/>
        <v>4</v>
      </c>
      <c r="CN374" s="128" t="str">
        <f t="shared" si="42"/>
        <v>May</v>
      </c>
      <c r="CO374" s="94"/>
      <c r="CP374" s="100"/>
      <c r="CQ374" s="100"/>
      <c r="CR374" s="100"/>
      <c r="CS374" s="100">
        <v>0</v>
      </c>
      <c r="CT374" s="100">
        <v>0</v>
      </c>
      <c r="CU374" s="100">
        <v>0</v>
      </c>
      <c r="CV374" s="170">
        <f t="shared" si="44"/>
        <v>0</v>
      </c>
      <c r="CW374" s="82"/>
    </row>
    <row r="375" spans="1:10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4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126">
        <f t="shared" si="43"/>
        <v>5</v>
      </c>
      <c r="CN375" s="128" t="str">
        <f t="shared" si="42"/>
        <v>June</v>
      </c>
      <c r="CO375" s="94"/>
      <c r="CP375" s="100"/>
      <c r="CQ375" s="100"/>
      <c r="CR375" s="100"/>
      <c r="CS375" s="100">
        <v>0</v>
      </c>
      <c r="CT375" s="100">
        <v>0</v>
      </c>
      <c r="CU375" s="100">
        <v>0</v>
      </c>
      <c r="CV375" s="170">
        <f t="shared" si="44"/>
        <v>0</v>
      </c>
      <c r="CW375" s="82"/>
    </row>
    <row r="376" spans="1:10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135"/>
      <c r="BD376" s="136"/>
      <c r="BE376" s="136"/>
      <c r="BF376" s="111"/>
      <c r="BG376" s="111"/>
      <c r="BH376" s="137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4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126">
        <f t="shared" si="43"/>
        <v>6</v>
      </c>
      <c r="CN376" s="128" t="str">
        <f t="shared" si="42"/>
        <v>July</v>
      </c>
      <c r="CO376" s="94"/>
      <c r="CP376" s="100"/>
      <c r="CQ376" s="100"/>
      <c r="CR376" s="100"/>
      <c r="CS376" s="100">
        <v>0</v>
      </c>
      <c r="CT376" s="100">
        <v>0</v>
      </c>
      <c r="CU376" s="100">
        <v>0</v>
      </c>
      <c r="CV376" s="170">
        <f t="shared" si="44"/>
        <v>0</v>
      </c>
      <c r="CW376" s="82"/>
    </row>
    <row r="377" spans="1:10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135"/>
      <c r="BD377" s="136"/>
      <c r="BE377" s="136"/>
      <c r="BF377" s="111"/>
      <c r="BG377" s="111"/>
      <c r="BH377" s="137"/>
      <c r="BI377" s="82"/>
      <c r="BJ377" s="82"/>
      <c r="BK377" s="111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4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126">
        <f t="shared" si="43"/>
        <v>7</v>
      </c>
      <c r="CN377" s="128" t="str">
        <f t="shared" si="42"/>
        <v>August</v>
      </c>
      <c r="CO377" s="94"/>
      <c r="CP377" s="100"/>
      <c r="CQ377" s="100"/>
      <c r="CR377" s="100"/>
      <c r="CS377" s="100">
        <v>0</v>
      </c>
      <c r="CT377" s="100">
        <v>0</v>
      </c>
      <c r="CU377" s="100">
        <v>0</v>
      </c>
      <c r="CV377" s="170">
        <f t="shared" si="44"/>
        <v>0</v>
      </c>
      <c r="CW377" s="82"/>
    </row>
    <row r="378" spans="1:10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135"/>
      <c r="BD378" s="136"/>
      <c r="BE378" s="136"/>
      <c r="BF378" s="111"/>
      <c r="BG378" s="111"/>
      <c r="BH378" s="137"/>
      <c r="BI378" s="82"/>
      <c r="BJ378" s="82"/>
      <c r="BK378" s="111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4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126">
        <f t="shared" si="43"/>
        <v>8</v>
      </c>
      <c r="CN378" s="128" t="str">
        <f t="shared" si="42"/>
        <v>September</v>
      </c>
      <c r="CO378" s="82"/>
      <c r="CP378" s="100"/>
      <c r="CQ378" s="100"/>
      <c r="CR378" s="100"/>
      <c r="CS378" s="100">
        <v>0</v>
      </c>
      <c r="CT378" s="100">
        <v>0</v>
      </c>
      <c r="CU378" s="100">
        <v>0</v>
      </c>
      <c r="CV378" s="170">
        <f t="shared" si="44"/>
        <v>0</v>
      </c>
      <c r="CW378" s="82"/>
    </row>
    <row r="379" spans="1:10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138"/>
      <c r="BD379" s="111"/>
      <c r="BE379" s="111"/>
      <c r="BF379" s="139"/>
      <c r="BG379" s="139"/>
      <c r="BH379" s="139"/>
      <c r="BI379" s="82"/>
      <c r="BJ379" s="82"/>
      <c r="BK379" s="140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4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126">
        <f t="shared" si="43"/>
        <v>9</v>
      </c>
      <c r="CN379" s="128" t="str">
        <f t="shared" si="42"/>
        <v>October</v>
      </c>
      <c r="CO379" s="82"/>
      <c r="CP379" s="100"/>
      <c r="CQ379" s="100"/>
      <c r="CR379" s="100"/>
      <c r="CS379" s="100">
        <v>0</v>
      </c>
      <c r="CT379" s="100">
        <v>0</v>
      </c>
      <c r="CU379" s="100">
        <v>0</v>
      </c>
      <c r="CV379" s="170">
        <f t="shared" si="44"/>
        <v>0</v>
      </c>
      <c r="CW379" s="82"/>
    </row>
    <row r="380" spans="1:10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138"/>
      <c r="BD380" s="111"/>
      <c r="BE380" s="111"/>
      <c r="BF380" s="111"/>
      <c r="BG380" s="111"/>
      <c r="BH380" s="139"/>
      <c r="BI380" s="82"/>
      <c r="BJ380" s="82"/>
      <c r="BK380" s="111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4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126">
        <f t="shared" si="43"/>
        <v>10</v>
      </c>
      <c r="CN380" s="128" t="str">
        <f t="shared" si="42"/>
        <v>November</v>
      </c>
      <c r="CO380" s="82"/>
      <c r="CP380" s="100"/>
      <c r="CQ380" s="100"/>
      <c r="CR380" s="100"/>
      <c r="CS380" s="100">
        <v>0</v>
      </c>
      <c r="CT380" s="100">
        <v>0</v>
      </c>
      <c r="CU380" s="100">
        <v>0</v>
      </c>
      <c r="CV380" s="170">
        <f t="shared" si="44"/>
        <v>0</v>
      </c>
      <c r="CW380" s="82"/>
    </row>
    <row r="381" spans="1:10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138"/>
      <c r="BD381" s="111"/>
      <c r="BE381" s="111"/>
      <c r="BF381" s="111"/>
      <c r="BG381" s="111"/>
      <c r="BH381" s="139"/>
      <c r="BI381" s="111"/>
      <c r="BJ381" s="111"/>
      <c r="BK381" s="111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4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126">
        <f t="shared" si="43"/>
        <v>11</v>
      </c>
      <c r="CN381" s="128" t="str">
        <f t="shared" si="42"/>
        <v>December</v>
      </c>
      <c r="CO381" s="94"/>
      <c r="CP381" s="100"/>
      <c r="CQ381" s="100"/>
      <c r="CR381" s="100"/>
      <c r="CS381" s="100">
        <v>0</v>
      </c>
      <c r="CT381" s="100">
        <v>0</v>
      </c>
      <c r="CU381" s="100">
        <v>0</v>
      </c>
      <c r="CV381" s="170">
        <f t="shared" si="44"/>
        <v>0</v>
      </c>
      <c r="CW381" s="82"/>
    </row>
    <row r="382" spans="1:10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138"/>
      <c r="BD382" s="108"/>
      <c r="BE382" s="108"/>
      <c r="BF382" s="141"/>
      <c r="BG382" s="141"/>
      <c r="BH382" s="142"/>
      <c r="BI382" s="141"/>
      <c r="BJ382" s="141"/>
      <c r="BK382" s="141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4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126">
        <f t="shared" si="43"/>
        <v>12</v>
      </c>
      <c r="CN382" s="128" t="str">
        <f t="shared" si="42"/>
        <v>January 2025</v>
      </c>
      <c r="CO382" s="94"/>
      <c r="CP382" s="100"/>
      <c r="CQ382" s="100"/>
      <c r="CR382" s="100"/>
      <c r="CS382" s="100">
        <v>0</v>
      </c>
      <c r="CT382" s="100">
        <v>0</v>
      </c>
      <c r="CU382" s="100">
        <v>0</v>
      </c>
      <c r="CV382" s="170">
        <f t="shared" si="44"/>
        <v>0</v>
      </c>
      <c r="CW382" s="82"/>
    </row>
    <row r="383" spans="1:10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7"/>
      <c r="BA383" s="82"/>
      <c r="BB383" s="82"/>
      <c r="BC383" s="138"/>
      <c r="BD383" s="87"/>
      <c r="BE383" s="87"/>
      <c r="BF383" s="87"/>
      <c r="BG383" s="87"/>
      <c r="BH383" s="143"/>
      <c r="BI383" s="144"/>
      <c r="BJ383" s="144"/>
      <c r="BK383" s="144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4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126">
        <f t="shared" si="43"/>
        <v>13</v>
      </c>
      <c r="CN383" s="128" t="str">
        <f t="shared" si="42"/>
        <v>February</v>
      </c>
      <c r="CO383" s="94"/>
      <c r="CP383" s="100"/>
      <c r="CQ383" s="100"/>
      <c r="CR383" s="100"/>
      <c r="CS383" s="100">
        <v>0</v>
      </c>
      <c r="CT383" s="100">
        <v>0</v>
      </c>
      <c r="CU383" s="100">
        <v>0</v>
      </c>
      <c r="CV383" s="170">
        <f>SUM(CR383:CU383)</f>
        <v>0</v>
      </c>
      <c r="CW383" s="82"/>
    </row>
    <row r="384" spans="1:10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8"/>
      <c r="BA384" s="110"/>
      <c r="BB384" s="88"/>
      <c r="BC384" s="145"/>
      <c r="BD384" s="88"/>
      <c r="BE384" s="88"/>
      <c r="BF384" s="88"/>
      <c r="BG384" s="88"/>
      <c r="BH384" s="88"/>
      <c r="BI384" s="88"/>
      <c r="BJ384" s="88"/>
      <c r="BK384" s="88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4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126">
        <f t="shared" si="43"/>
        <v>14</v>
      </c>
      <c r="CN384" s="94"/>
      <c r="CO384" s="94"/>
      <c r="CP384" s="82"/>
      <c r="CQ384" s="82"/>
      <c r="CR384" s="94"/>
      <c r="CS384" s="94"/>
      <c r="CT384" s="94"/>
      <c r="CU384" s="94"/>
      <c r="CV384" s="82"/>
      <c r="CW384" s="82"/>
    </row>
    <row r="385" spans="1:10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138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4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126">
        <f t="shared" si="43"/>
        <v>15</v>
      </c>
      <c r="CN385" s="127" t="s">
        <v>593</v>
      </c>
      <c r="CO385" s="94"/>
      <c r="CP385" s="82"/>
      <c r="CQ385" s="82"/>
      <c r="CR385" s="94"/>
      <c r="CS385" s="94"/>
      <c r="CT385" s="94"/>
      <c r="CU385" s="94"/>
      <c r="CV385" s="82"/>
      <c r="CW385" s="82"/>
    </row>
    <row r="386" spans="1:10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4"/>
      <c r="BC386" s="136"/>
      <c r="BD386" s="111"/>
      <c r="BE386" s="111"/>
      <c r="BF386" s="111"/>
      <c r="BG386" s="111"/>
      <c r="BH386" s="111"/>
      <c r="BI386" s="82"/>
      <c r="BJ386" s="82"/>
      <c r="BK386" s="111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4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126">
        <f t="shared" si="43"/>
        <v>16</v>
      </c>
      <c r="CN386" s="128" t="str">
        <f>AW180</f>
        <v>June 2025</v>
      </c>
      <c r="CO386" s="94"/>
      <c r="CP386" s="100"/>
      <c r="CQ386" s="100"/>
      <c r="CR386" s="100"/>
      <c r="CS386" s="100">
        <v>0</v>
      </c>
      <c r="CT386" s="100">
        <v>0</v>
      </c>
      <c r="CU386" s="100">
        <v>0</v>
      </c>
      <c r="CV386" s="170">
        <f t="shared" ref="CV386:CV397" si="45">SUM(CR386:CU386)</f>
        <v>0</v>
      </c>
      <c r="CW386" s="82"/>
    </row>
    <row r="387" spans="1:10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4"/>
      <c r="BC387" s="136"/>
      <c r="BD387" s="111"/>
      <c r="BE387" s="111"/>
      <c r="BF387" s="111"/>
      <c r="BG387" s="111"/>
      <c r="BH387" s="111"/>
      <c r="BI387" s="82"/>
      <c r="BJ387" s="82"/>
      <c r="BK387" s="111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4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126">
        <f t="shared" si="43"/>
        <v>17</v>
      </c>
      <c r="CN387" s="128" t="str">
        <f t="shared" ref="CN387:CN398" si="46">AW181</f>
        <v>July</v>
      </c>
      <c r="CO387" s="94"/>
      <c r="CP387" s="100"/>
      <c r="CQ387" s="100"/>
      <c r="CR387" s="100"/>
      <c r="CS387" s="100">
        <v>0</v>
      </c>
      <c r="CT387" s="100">
        <v>0</v>
      </c>
      <c r="CU387" s="100">
        <v>0</v>
      </c>
      <c r="CV387" s="170">
        <f t="shared" si="45"/>
        <v>0</v>
      </c>
      <c r="CW387" s="82"/>
    </row>
    <row r="388" spans="1:10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4"/>
      <c r="BC388" s="136"/>
      <c r="BD388" s="111"/>
      <c r="BE388" s="111"/>
      <c r="BF388" s="111"/>
      <c r="BG388" s="111"/>
      <c r="BH388" s="111"/>
      <c r="BI388" s="82"/>
      <c r="BJ388" s="82"/>
      <c r="BK388" s="111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4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126">
        <f t="shared" si="43"/>
        <v>18</v>
      </c>
      <c r="CN388" s="128" t="str">
        <f t="shared" si="46"/>
        <v>August</v>
      </c>
      <c r="CO388" s="94"/>
      <c r="CP388" s="100"/>
      <c r="CQ388" s="100"/>
      <c r="CR388" s="100"/>
      <c r="CS388" s="100">
        <v>0</v>
      </c>
      <c r="CT388" s="100">
        <v>0</v>
      </c>
      <c r="CU388" s="100">
        <v>0</v>
      </c>
      <c r="CV388" s="170">
        <f t="shared" si="45"/>
        <v>0</v>
      </c>
      <c r="CW388" s="82"/>
    </row>
    <row r="389" spans="1:10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4"/>
      <c r="BC389" s="136"/>
      <c r="BD389" s="111"/>
      <c r="BE389" s="111"/>
      <c r="BF389" s="111"/>
      <c r="BG389" s="111"/>
      <c r="BH389" s="111"/>
      <c r="BI389" s="82"/>
      <c r="BJ389" s="82"/>
      <c r="BK389" s="111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4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126">
        <f t="shared" si="43"/>
        <v>19</v>
      </c>
      <c r="CN389" s="128" t="str">
        <f t="shared" si="46"/>
        <v>September</v>
      </c>
      <c r="CO389" s="94"/>
      <c r="CP389" s="100"/>
      <c r="CQ389" s="100"/>
      <c r="CR389" s="100"/>
      <c r="CS389" s="100">
        <v>0</v>
      </c>
      <c r="CT389" s="100">
        <v>0</v>
      </c>
      <c r="CU389" s="100">
        <v>0</v>
      </c>
      <c r="CV389" s="170">
        <f t="shared" si="45"/>
        <v>0</v>
      </c>
      <c r="CW389" s="82"/>
    </row>
    <row r="390" spans="1:10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4"/>
      <c r="BC390" s="136"/>
      <c r="BD390" s="111"/>
      <c r="BE390" s="111"/>
      <c r="BF390" s="111"/>
      <c r="BG390" s="111"/>
      <c r="BH390" s="111"/>
      <c r="BI390" s="82"/>
      <c r="BJ390" s="82"/>
      <c r="BK390" s="111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4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126">
        <f t="shared" si="43"/>
        <v>20</v>
      </c>
      <c r="CN390" s="128" t="str">
        <f t="shared" si="46"/>
        <v>October</v>
      </c>
      <c r="CO390" s="94"/>
      <c r="CP390" s="100"/>
      <c r="CQ390" s="100"/>
      <c r="CR390" s="100"/>
      <c r="CS390" s="100">
        <v>0</v>
      </c>
      <c r="CT390" s="100">
        <v>0</v>
      </c>
      <c r="CU390" s="100">
        <v>0</v>
      </c>
      <c r="CV390" s="170">
        <f t="shared" si="45"/>
        <v>0</v>
      </c>
      <c r="CW390" s="82"/>
    </row>
    <row r="391" spans="1:10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4"/>
      <c r="BC391" s="136"/>
      <c r="BD391" s="111"/>
      <c r="BE391" s="111"/>
      <c r="BF391" s="111"/>
      <c r="BG391" s="111"/>
      <c r="BH391" s="111"/>
      <c r="BI391" s="82"/>
      <c r="BJ391" s="82"/>
      <c r="BK391" s="111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4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126">
        <f t="shared" si="43"/>
        <v>21</v>
      </c>
      <c r="CN391" s="128" t="str">
        <f t="shared" si="46"/>
        <v>November</v>
      </c>
      <c r="CO391" s="94"/>
      <c r="CP391" s="100"/>
      <c r="CQ391" s="100"/>
      <c r="CR391" s="100"/>
      <c r="CS391" s="100">
        <v>0</v>
      </c>
      <c r="CT391" s="100">
        <v>0</v>
      </c>
      <c r="CU391" s="100">
        <v>0</v>
      </c>
      <c r="CV391" s="170">
        <f t="shared" si="45"/>
        <v>0</v>
      </c>
      <c r="CW391" s="82"/>
    </row>
    <row r="392" spans="1:10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4"/>
      <c r="BC392" s="136"/>
      <c r="BD392" s="111"/>
      <c r="BE392" s="111"/>
      <c r="BF392" s="111"/>
      <c r="BG392" s="111"/>
      <c r="BH392" s="111"/>
      <c r="BI392" s="82"/>
      <c r="BJ392" s="82"/>
      <c r="BK392" s="111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4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126">
        <f t="shared" si="43"/>
        <v>22</v>
      </c>
      <c r="CN392" s="128" t="str">
        <f t="shared" si="46"/>
        <v>December</v>
      </c>
      <c r="CO392" s="94"/>
      <c r="CP392" s="100"/>
      <c r="CQ392" s="100"/>
      <c r="CR392" s="100"/>
      <c r="CS392" s="100">
        <v>0</v>
      </c>
      <c r="CT392" s="100">
        <v>0</v>
      </c>
      <c r="CU392" s="100">
        <v>0</v>
      </c>
      <c r="CV392" s="170">
        <f t="shared" si="45"/>
        <v>0</v>
      </c>
      <c r="CW392" s="82"/>
    </row>
    <row r="393" spans="1:10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4"/>
      <c r="BC393" s="136"/>
      <c r="BD393" s="111"/>
      <c r="BE393" s="111"/>
      <c r="BF393" s="111"/>
      <c r="BG393" s="111"/>
      <c r="BH393" s="111"/>
      <c r="BI393" s="82"/>
      <c r="BJ393" s="82"/>
      <c r="BK393" s="111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4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126">
        <f t="shared" si="43"/>
        <v>23</v>
      </c>
      <c r="CN393" s="128" t="str">
        <f t="shared" si="46"/>
        <v>January 2026</v>
      </c>
      <c r="CO393" s="94"/>
      <c r="CP393" s="100"/>
      <c r="CQ393" s="100"/>
      <c r="CR393" s="100"/>
      <c r="CS393" s="100">
        <v>0</v>
      </c>
      <c r="CT393" s="100">
        <v>0</v>
      </c>
      <c r="CU393" s="100">
        <v>0</v>
      </c>
      <c r="CV393" s="170">
        <f t="shared" si="45"/>
        <v>0</v>
      </c>
      <c r="CW393" s="82"/>
    </row>
    <row r="394" spans="1:10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4"/>
      <c r="BC394" s="136"/>
      <c r="BD394" s="111"/>
      <c r="BE394" s="111"/>
      <c r="BF394" s="111"/>
      <c r="BG394" s="111"/>
      <c r="BH394" s="111"/>
      <c r="BI394" s="82"/>
      <c r="BJ394" s="82"/>
      <c r="BK394" s="111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4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126">
        <f t="shared" si="43"/>
        <v>24</v>
      </c>
      <c r="CN394" s="128" t="str">
        <f t="shared" si="46"/>
        <v>February</v>
      </c>
      <c r="CO394" s="94"/>
      <c r="CP394" s="100"/>
      <c r="CQ394" s="100"/>
      <c r="CR394" s="100"/>
      <c r="CS394" s="100">
        <v>0</v>
      </c>
      <c r="CT394" s="100">
        <v>0</v>
      </c>
      <c r="CU394" s="100">
        <v>0</v>
      </c>
      <c r="CV394" s="170">
        <f t="shared" si="45"/>
        <v>0</v>
      </c>
      <c r="CW394" s="82"/>
    </row>
    <row r="395" spans="1:10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4"/>
      <c r="BC395" s="136"/>
      <c r="BD395" s="111"/>
      <c r="BE395" s="111"/>
      <c r="BF395" s="111"/>
      <c r="BG395" s="111"/>
      <c r="BH395" s="111"/>
      <c r="BI395" s="82"/>
      <c r="BJ395" s="82"/>
      <c r="BK395" s="111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4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126">
        <f t="shared" si="43"/>
        <v>25</v>
      </c>
      <c r="CN395" s="128" t="str">
        <f t="shared" si="46"/>
        <v>March</v>
      </c>
      <c r="CO395" s="94"/>
      <c r="CP395" s="100"/>
      <c r="CQ395" s="100"/>
      <c r="CR395" s="100"/>
      <c r="CS395" s="100">
        <v>0</v>
      </c>
      <c r="CT395" s="100">
        <v>0</v>
      </c>
      <c r="CU395" s="100">
        <v>0</v>
      </c>
      <c r="CV395" s="170">
        <f t="shared" si="45"/>
        <v>0</v>
      </c>
      <c r="CW395" s="82"/>
    </row>
    <row r="396" spans="1:10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4"/>
      <c r="BC396" s="136"/>
      <c r="BD396" s="111"/>
      <c r="BE396" s="111"/>
      <c r="BF396" s="111"/>
      <c r="BG396" s="111"/>
      <c r="BH396" s="111"/>
      <c r="BI396" s="82"/>
      <c r="BJ396" s="82"/>
      <c r="BK396" s="111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4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126">
        <f t="shared" si="43"/>
        <v>26</v>
      </c>
      <c r="CN396" s="128" t="str">
        <f t="shared" si="46"/>
        <v>April</v>
      </c>
      <c r="CO396" s="94"/>
      <c r="CP396" s="100"/>
      <c r="CQ396" s="100"/>
      <c r="CR396" s="100"/>
      <c r="CS396" s="100">
        <v>0</v>
      </c>
      <c r="CT396" s="100">
        <v>0</v>
      </c>
      <c r="CU396" s="100">
        <v>0</v>
      </c>
      <c r="CV396" s="170">
        <f t="shared" si="45"/>
        <v>0</v>
      </c>
      <c r="CW396" s="82"/>
    </row>
    <row r="397" spans="1:10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4"/>
      <c r="BC397" s="136"/>
      <c r="BD397" s="111"/>
      <c r="BE397" s="111"/>
      <c r="BF397" s="111"/>
      <c r="BG397" s="111"/>
      <c r="BH397" s="111"/>
      <c r="BI397" s="82"/>
      <c r="BJ397" s="82"/>
      <c r="BK397" s="111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4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126">
        <f t="shared" si="43"/>
        <v>27</v>
      </c>
      <c r="CN397" s="128" t="str">
        <f t="shared" si="46"/>
        <v>May</v>
      </c>
      <c r="CO397" s="94"/>
      <c r="CP397" s="100"/>
      <c r="CQ397" s="100"/>
      <c r="CR397" s="100"/>
      <c r="CS397" s="100">
        <v>0</v>
      </c>
      <c r="CT397" s="100">
        <v>0</v>
      </c>
      <c r="CU397" s="100">
        <v>0</v>
      </c>
      <c r="CV397" s="170">
        <f t="shared" si="45"/>
        <v>0</v>
      </c>
      <c r="CW397" s="82"/>
    </row>
    <row r="398" spans="1:10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4"/>
      <c r="BC398" s="136"/>
      <c r="BD398" s="146"/>
      <c r="BE398" s="146"/>
      <c r="BF398" s="146"/>
      <c r="BG398" s="146"/>
      <c r="BH398" s="146"/>
      <c r="BI398" s="110"/>
      <c r="BJ398" s="110"/>
      <c r="BK398" s="146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4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126">
        <f t="shared" si="43"/>
        <v>28</v>
      </c>
      <c r="CN398" s="128" t="str">
        <f t="shared" si="46"/>
        <v>June</v>
      </c>
      <c r="CO398" s="94"/>
      <c r="CP398" s="100"/>
      <c r="CQ398" s="100"/>
      <c r="CR398" s="100"/>
      <c r="CS398" s="100">
        <v>0</v>
      </c>
      <c r="CT398" s="100">
        <v>0</v>
      </c>
      <c r="CU398" s="100">
        <v>0</v>
      </c>
      <c r="CV398" s="170">
        <f>SUM(CR398:CU398)</f>
        <v>0</v>
      </c>
      <c r="CW398" s="82"/>
    </row>
    <row r="399" spans="1:101" ht="13.8" thickBo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111"/>
      <c r="BD399" s="147"/>
      <c r="BE399" s="111"/>
      <c r="BF399" s="147"/>
      <c r="BG399" s="111"/>
      <c r="BH399" s="147"/>
      <c r="BI399" s="82"/>
      <c r="BJ399" s="82"/>
      <c r="BK399" s="147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4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126">
        <f t="shared" si="43"/>
        <v>29</v>
      </c>
      <c r="CN399" s="126" t="s">
        <v>258</v>
      </c>
      <c r="CO399" s="94"/>
      <c r="CP399" s="166"/>
      <c r="CQ399" s="166"/>
      <c r="CR399" s="166"/>
      <c r="CS399" s="1693">
        <f>SUM(CS386:CS398)</f>
        <v>0</v>
      </c>
      <c r="CT399" s="1693">
        <f>SUM(CT386:CT398)</f>
        <v>0</v>
      </c>
      <c r="CU399" s="1693">
        <f>SUM(CU386:CU398)</f>
        <v>0</v>
      </c>
      <c r="CV399" s="1693">
        <f>SUM(CV386:CV398)</f>
        <v>0</v>
      </c>
      <c r="CW399" s="82"/>
    </row>
    <row r="400" spans="1:101" ht="13.8" thickTop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111"/>
      <c r="BD400" s="111"/>
      <c r="BE400" s="111"/>
      <c r="BF400" s="111"/>
      <c r="BG400" s="111"/>
      <c r="BH400" s="111"/>
      <c r="BI400" s="82"/>
      <c r="BJ400" s="82"/>
      <c r="BK400" s="111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4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126">
        <f t="shared" si="43"/>
        <v>30</v>
      </c>
      <c r="CN400" s="94"/>
      <c r="CO400" s="94"/>
      <c r="CP400" s="130"/>
      <c r="CQ400" s="130"/>
      <c r="CR400" s="130"/>
      <c r="CS400" s="130"/>
      <c r="CT400" s="130"/>
      <c r="CU400" s="130"/>
      <c r="CV400" s="130"/>
      <c r="CW400" s="82"/>
    </row>
    <row r="401" spans="1:109" ht="13.8" thickBo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111"/>
      <c r="BD401" s="147"/>
      <c r="BE401" s="111"/>
      <c r="BF401" s="147"/>
      <c r="BG401" s="111"/>
      <c r="BH401" s="147"/>
      <c r="BI401" s="82"/>
      <c r="BJ401" s="82"/>
      <c r="BK401" s="147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4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126">
        <f t="shared" si="43"/>
        <v>31</v>
      </c>
      <c r="CN401" s="169" t="s">
        <v>1040</v>
      </c>
      <c r="CO401" s="94"/>
      <c r="CP401" s="166"/>
      <c r="CQ401" s="166"/>
      <c r="CR401" s="166"/>
      <c r="CS401" s="1943">
        <f>CS399/13</f>
        <v>0</v>
      </c>
      <c r="CT401" s="1943">
        <f>CT399/13</f>
        <v>0</v>
      </c>
      <c r="CU401" s="1943">
        <f>CU399/13</f>
        <v>0</v>
      </c>
      <c r="CV401" s="1943">
        <f>CV399/13</f>
        <v>0</v>
      </c>
      <c r="CW401" s="82"/>
    </row>
    <row r="402" spans="1:109" ht="13.8" thickTop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111"/>
      <c r="BD402" s="111"/>
      <c r="BE402" s="111"/>
      <c r="BF402" s="111"/>
      <c r="BG402" s="111"/>
      <c r="BH402" s="111"/>
      <c r="BI402" s="82"/>
      <c r="BJ402" s="82"/>
      <c r="BK402" s="111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4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124"/>
      <c r="CO402" s="124"/>
      <c r="CP402" s="130"/>
      <c r="CQ402" s="130"/>
      <c r="CR402" s="130"/>
      <c r="CS402" s="130"/>
      <c r="CT402" s="130"/>
      <c r="CU402" s="130"/>
      <c r="CV402" s="130"/>
      <c r="CW402" s="82"/>
    </row>
    <row r="403" spans="1:109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4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124"/>
      <c r="CO403" s="124"/>
      <c r="CP403" s="126"/>
      <c r="CQ403" s="126"/>
      <c r="CR403" s="126"/>
      <c r="CS403" s="126"/>
      <c r="CT403" s="126"/>
      <c r="CU403" s="126"/>
      <c r="CV403" s="126" t="s">
        <v>552</v>
      </c>
      <c r="CW403" s="82"/>
    </row>
    <row r="404" spans="1:109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108"/>
      <c r="BE404" s="85"/>
      <c r="BF404" s="85"/>
      <c r="BG404" s="85"/>
      <c r="BH404" s="85"/>
      <c r="BI404" s="85"/>
      <c r="BJ404" s="85"/>
      <c r="BK404" s="85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4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124"/>
      <c r="CO404" s="124"/>
      <c r="CP404" s="106"/>
      <c r="CQ404" s="106"/>
      <c r="CR404" s="106"/>
      <c r="CS404" s="106"/>
      <c r="CT404" s="106"/>
      <c r="CU404" s="106"/>
      <c r="CV404" s="106" t="s">
        <v>553</v>
      </c>
      <c r="CW404" s="82"/>
    </row>
    <row r="405" spans="1:109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4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124"/>
      <c r="CO405" s="124"/>
      <c r="CP405" s="106"/>
      <c r="CQ405" s="106"/>
      <c r="CR405" s="106"/>
      <c r="CS405" s="106"/>
      <c r="CT405" s="106"/>
      <c r="CU405" s="106"/>
      <c r="CV405" s="106" t="s">
        <v>1079</v>
      </c>
      <c r="CW405" s="82"/>
    </row>
    <row r="406" spans="1:109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111"/>
      <c r="BD406" s="111"/>
      <c r="BE406" s="111"/>
      <c r="BF406" s="111"/>
      <c r="BG406" s="111"/>
      <c r="BH406" s="111"/>
      <c r="BI406" s="107"/>
      <c r="BJ406" s="107"/>
      <c r="BK406" s="111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4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126"/>
      <c r="CN406" s="94"/>
      <c r="CO406" s="94"/>
      <c r="CP406" s="133"/>
      <c r="CQ406" s="100"/>
      <c r="CR406" s="166"/>
      <c r="CS406" s="100"/>
      <c r="CT406" s="100"/>
      <c r="CU406" s="82"/>
      <c r="CV406" s="82"/>
      <c r="CW406" s="82"/>
    </row>
    <row r="407" spans="1:109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111"/>
      <c r="BD407" s="111"/>
      <c r="BE407" s="111"/>
      <c r="BF407" s="111"/>
      <c r="BG407" s="111"/>
      <c r="BH407" s="111"/>
      <c r="BI407" s="107"/>
      <c r="BJ407" s="107"/>
      <c r="BK407" s="111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4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126"/>
      <c r="CN407" s="94" t="s">
        <v>1087</v>
      </c>
      <c r="CO407" s="94"/>
      <c r="CP407" s="94"/>
      <c r="CQ407" s="94"/>
      <c r="CR407" s="94"/>
      <c r="CS407" s="94"/>
      <c r="CT407" s="94"/>
      <c r="CU407" s="82"/>
      <c r="CV407" s="82"/>
      <c r="CW407" s="82"/>
    </row>
    <row r="408" spans="1:109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111"/>
      <c r="BD408" s="111"/>
      <c r="BE408" s="111"/>
      <c r="BF408" s="111"/>
      <c r="BG408" s="111"/>
      <c r="BH408" s="111"/>
      <c r="BI408" s="107"/>
      <c r="BJ408" s="107"/>
      <c r="BK408" s="111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4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94"/>
      <c r="CN408" s="94"/>
      <c r="CO408" s="94"/>
      <c r="CP408" s="94"/>
      <c r="CQ408" s="94"/>
      <c r="CR408" s="94"/>
      <c r="CS408" s="94"/>
      <c r="CT408" s="94"/>
      <c r="CU408" s="94"/>
      <c r="CV408" s="82"/>
      <c r="CW408" s="82"/>
    </row>
    <row r="409" spans="1:109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111"/>
      <c r="BD409" s="111"/>
      <c r="BE409" s="111"/>
      <c r="BF409" s="111"/>
      <c r="BG409" s="111"/>
      <c r="BH409" s="111"/>
      <c r="BI409" s="107"/>
      <c r="BJ409" s="107"/>
      <c r="BK409" s="111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4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09"/>
    </row>
    <row r="410" spans="1:109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111"/>
      <c r="BD410" s="111"/>
      <c r="BE410" s="111"/>
      <c r="BF410" s="111"/>
      <c r="BG410" s="111"/>
      <c r="BH410" s="111"/>
      <c r="BI410" s="107"/>
      <c r="BJ410" s="107"/>
      <c r="BK410" s="111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4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</row>
    <row r="413" spans="1:109">
      <c r="CX413" s="169" t="str">
        <f>COMPANY</f>
        <v>DUKE ENERGY KENTUCKY, INC.</v>
      </c>
      <c r="CY413" s="124"/>
      <c r="CZ413" s="124"/>
      <c r="DA413" s="94"/>
      <c r="DB413" s="82"/>
      <c r="DC413" s="82"/>
      <c r="DD413" s="169" t="s">
        <v>951</v>
      </c>
      <c r="DE413" s="82"/>
    </row>
    <row r="414" spans="1:109">
      <c r="CX414" s="169" t="str">
        <f>DEPT</f>
        <v>ELECTRIC DEPARTMENT</v>
      </c>
      <c r="CY414" s="124"/>
      <c r="CZ414" s="124"/>
      <c r="DA414" s="166"/>
      <c r="DB414" s="82"/>
      <c r="DC414" s="82"/>
      <c r="DD414" s="94" t="s">
        <v>468</v>
      </c>
      <c r="DE414" s="82"/>
    </row>
    <row r="415" spans="1:109">
      <c r="CX415" s="94" t="str">
        <f>CASE</f>
        <v>CASE NO. 2024-00354</v>
      </c>
      <c r="CY415" s="124"/>
      <c r="CZ415" s="124"/>
      <c r="DA415" s="166"/>
      <c r="DB415" s="82"/>
      <c r="DC415" s="82"/>
      <c r="DD415" s="71" t="str">
        <f>_WIT10</f>
        <v>G. S. CARPENTER</v>
      </c>
      <c r="DE415" s="82"/>
    </row>
    <row r="416" spans="1:109">
      <c r="CX416" s="95" t="s">
        <v>1088</v>
      </c>
      <c r="CY416" s="124"/>
      <c r="CZ416" s="124"/>
      <c r="DA416" s="166"/>
      <c r="DB416" s="82"/>
      <c r="DC416" s="82"/>
      <c r="DD416" s="82"/>
      <c r="DE416" s="82"/>
    </row>
    <row r="417" spans="102:115">
      <c r="CX417" s="95" t="s">
        <v>527</v>
      </c>
      <c r="CY417" s="124"/>
      <c r="CZ417" s="124"/>
      <c r="DA417" s="166"/>
      <c r="DB417" s="82"/>
      <c r="DC417" s="82"/>
      <c r="DD417" s="82"/>
      <c r="DE417" s="82"/>
    </row>
    <row r="418" spans="102:115">
      <c r="CX418" s="94"/>
      <c r="CY418" s="124"/>
      <c r="CZ418" s="124"/>
      <c r="DA418" s="166"/>
      <c r="DB418" s="82"/>
      <c r="DC418" s="82"/>
      <c r="DD418" s="82"/>
      <c r="DE418" s="82"/>
    </row>
    <row r="419" spans="102:115">
      <c r="CX419" s="94"/>
      <c r="CY419" s="124"/>
      <c r="CZ419" s="124"/>
      <c r="DA419" s="166"/>
      <c r="DB419" s="82"/>
      <c r="DC419" s="82"/>
      <c r="DD419" s="82"/>
      <c r="DE419" s="82"/>
    </row>
    <row r="420" spans="102:115">
      <c r="CX420" s="94"/>
      <c r="CY420" s="124"/>
      <c r="CZ420" s="124"/>
      <c r="DA420" s="166"/>
      <c r="DB420" s="82"/>
      <c r="DC420" s="82"/>
      <c r="DD420" s="82"/>
      <c r="DE420" s="82"/>
    </row>
    <row r="421" spans="102:115">
      <c r="CX421" s="94"/>
      <c r="CY421" s="94"/>
      <c r="CZ421" s="94"/>
      <c r="DA421" s="125"/>
      <c r="DB421" s="125"/>
      <c r="DC421" s="125"/>
      <c r="DD421" s="126"/>
      <c r="DE421" s="126"/>
    </row>
    <row r="422" spans="102:115">
      <c r="CX422" s="126" t="s">
        <v>471</v>
      </c>
      <c r="CY422" s="94"/>
      <c r="CZ422" s="94"/>
      <c r="DA422" s="99"/>
      <c r="DB422" s="1831" t="s">
        <v>947</v>
      </c>
      <c r="DC422" s="1831" t="s">
        <v>1089</v>
      </c>
      <c r="DD422" s="1831" t="s">
        <v>138</v>
      </c>
    </row>
    <row r="423" spans="102:115">
      <c r="CX423" s="97" t="s">
        <v>533</v>
      </c>
      <c r="CY423" s="97" t="s">
        <v>1038</v>
      </c>
      <c r="CZ423" s="94"/>
      <c r="DA423" s="97"/>
      <c r="DB423" s="97" t="s">
        <v>1090</v>
      </c>
      <c r="DC423" s="97" t="s">
        <v>1091</v>
      </c>
      <c r="DD423" s="97" t="s">
        <v>1092</v>
      </c>
      <c r="DE423" s="99" t="s">
        <v>258</v>
      </c>
    </row>
    <row r="424" spans="102:115">
      <c r="CX424" s="169"/>
      <c r="CY424" s="94"/>
      <c r="CZ424" s="94"/>
      <c r="DA424" s="126"/>
      <c r="DB424" s="126" t="s">
        <v>580</v>
      </c>
      <c r="DC424" s="126" t="s">
        <v>580</v>
      </c>
      <c r="DD424" s="126" t="s">
        <v>580</v>
      </c>
      <c r="DE424" s="126" t="s">
        <v>580</v>
      </c>
    </row>
    <row r="425" spans="102:115">
      <c r="CX425" s="126">
        <v>1</v>
      </c>
      <c r="CY425" s="127" t="s">
        <v>1054</v>
      </c>
      <c r="CZ425" s="94"/>
      <c r="DA425" s="134"/>
      <c r="DB425" s="2338"/>
      <c r="DC425" s="2338"/>
      <c r="DD425" s="87"/>
      <c r="DE425" s="87"/>
    </row>
    <row r="426" spans="102:115">
      <c r="CX426" s="126">
        <v>2</v>
      </c>
      <c r="CY426" s="128" t="str">
        <f>AW166</f>
        <v>March 2024</v>
      </c>
      <c r="CZ426" s="94"/>
      <c r="DA426" s="100"/>
      <c r="DB426" s="100">
        <v>-5412122</v>
      </c>
      <c r="DC426" s="100">
        <v>-1099932</v>
      </c>
      <c r="DD426" s="100">
        <v>-42917</v>
      </c>
      <c r="DE426" s="170">
        <f t="shared" ref="DE426:DE437" si="47">SUM(DB426:DD426)</f>
        <v>-6554971</v>
      </c>
      <c r="DG426" s="28"/>
      <c r="DH426" s="28"/>
      <c r="DI426" s="28"/>
      <c r="DJ426" s="28"/>
      <c r="DK426" s="28"/>
    </row>
    <row r="427" spans="102:115">
      <c r="CX427" s="126">
        <f t="shared" ref="CX427:CX455" si="48">1+CX426</f>
        <v>3</v>
      </c>
      <c r="CY427" s="128" t="str">
        <f t="shared" ref="CY427:CY437" si="49">AW167</f>
        <v>April</v>
      </c>
      <c r="CZ427" s="94"/>
      <c r="DA427" s="100"/>
      <c r="DB427" s="100">
        <v>-1138497</v>
      </c>
      <c r="DC427" s="100">
        <v>-992094</v>
      </c>
      <c r="DD427" s="100">
        <v>0</v>
      </c>
      <c r="DE427" s="170">
        <f t="shared" si="47"/>
        <v>-2130591</v>
      </c>
      <c r="DG427" s="28"/>
      <c r="DH427" s="28"/>
      <c r="DI427" s="28"/>
      <c r="DJ427" s="28"/>
      <c r="DK427" s="28"/>
    </row>
    <row r="428" spans="102:115">
      <c r="CX428" s="126">
        <f t="shared" si="48"/>
        <v>4</v>
      </c>
      <c r="CY428" s="128" t="str">
        <f t="shared" si="49"/>
        <v>May</v>
      </c>
      <c r="CZ428" s="94"/>
      <c r="DA428" s="100"/>
      <c r="DB428" s="100">
        <v>-2321060</v>
      </c>
      <c r="DC428" s="100">
        <v>-150768</v>
      </c>
      <c r="DD428" s="100">
        <v>-183536</v>
      </c>
      <c r="DE428" s="170">
        <f t="shared" si="47"/>
        <v>-2655364</v>
      </c>
      <c r="DG428" s="28"/>
      <c r="DH428" s="28"/>
      <c r="DI428" s="28"/>
      <c r="DJ428" s="28"/>
      <c r="DK428" s="28"/>
    </row>
    <row r="429" spans="102:115">
      <c r="CX429" s="126">
        <f t="shared" si="48"/>
        <v>5</v>
      </c>
      <c r="CY429" s="128" t="str">
        <f t="shared" si="49"/>
        <v>June</v>
      </c>
      <c r="CZ429" s="94"/>
      <c r="DA429" s="100"/>
      <c r="DB429" s="100">
        <v>-5455528</v>
      </c>
      <c r="DC429" s="100">
        <v>-2443241</v>
      </c>
      <c r="DD429" s="100">
        <v>-77690</v>
      </c>
      <c r="DE429" s="170">
        <f t="shared" si="47"/>
        <v>-7976459</v>
      </c>
      <c r="DG429" s="28"/>
      <c r="DH429" s="28"/>
      <c r="DI429" s="28"/>
      <c r="DJ429" s="28"/>
      <c r="DK429" s="28"/>
    </row>
    <row r="430" spans="102:115">
      <c r="CX430" s="126">
        <f t="shared" si="48"/>
        <v>6</v>
      </c>
      <c r="CY430" s="128" t="str">
        <f t="shared" si="49"/>
        <v>July</v>
      </c>
      <c r="CZ430" s="94"/>
      <c r="DA430" s="100"/>
      <c r="DB430" s="100">
        <v>-2846850</v>
      </c>
      <c r="DC430" s="100">
        <v>-1169661</v>
      </c>
      <c r="DD430" s="100">
        <v>-40022</v>
      </c>
      <c r="DE430" s="170">
        <f t="shared" si="47"/>
        <v>-4056533</v>
      </c>
      <c r="DG430" s="28"/>
      <c r="DH430" s="28"/>
      <c r="DI430" s="28"/>
      <c r="DJ430" s="28"/>
      <c r="DK430" s="28"/>
    </row>
    <row r="431" spans="102:115">
      <c r="CX431" s="126">
        <f t="shared" si="48"/>
        <v>7</v>
      </c>
      <c r="CY431" s="128" t="str">
        <f t="shared" si="49"/>
        <v>August</v>
      </c>
      <c r="CZ431" s="94"/>
      <c r="DA431" s="100"/>
      <c r="DB431" s="100">
        <v>-901423</v>
      </c>
      <c r="DC431" s="100">
        <v>-1129214</v>
      </c>
      <c r="DD431" s="100">
        <v>-36746</v>
      </c>
      <c r="DE431" s="170">
        <f t="shared" si="47"/>
        <v>-2067383</v>
      </c>
      <c r="DG431" s="28"/>
      <c r="DH431" s="28"/>
      <c r="DI431" s="28"/>
      <c r="DJ431" s="28"/>
      <c r="DK431" s="28"/>
    </row>
    <row r="432" spans="102:115">
      <c r="CX432" s="126">
        <f t="shared" si="48"/>
        <v>8</v>
      </c>
      <c r="CY432" s="128" t="str">
        <f t="shared" si="49"/>
        <v>September</v>
      </c>
      <c r="CZ432" s="82"/>
      <c r="DA432" s="100"/>
      <c r="DB432" s="100">
        <v>-6438240</v>
      </c>
      <c r="DC432" s="100">
        <v>-1129214</v>
      </c>
      <c r="DD432" s="100">
        <v>-36746</v>
      </c>
      <c r="DE432" s="170">
        <f t="shared" si="47"/>
        <v>-7604200</v>
      </c>
      <c r="DG432" s="28"/>
      <c r="DH432" s="28"/>
      <c r="DI432" s="28"/>
      <c r="DJ432" s="28"/>
      <c r="DK432" s="28"/>
    </row>
    <row r="433" spans="102:115">
      <c r="CX433" s="126">
        <f t="shared" si="48"/>
        <v>9</v>
      </c>
      <c r="CY433" s="128" t="str">
        <f t="shared" si="49"/>
        <v>October</v>
      </c>
      <c r="CZ433" s="82"/>
      <c r="DA433" s="100"/>
      <c r="DB433" s="100">
        <v>-4678448</v>
      </c>
      <c r="DC433" s="100">
        <v>-1129214</v>
      </c>
      <c r="DD433" s="100">
        <v>-36746</v>
      </c>
      <c r="DE433" s="170">
        <f t="shared" si="47"/>
        <v>-5844408</v>
      </c>
      <c r="DG433" s="28"/>
      <c r="DH433" s="28"/>
      <c r="DI433" s="28"/>
      <c r="DJ433" s="28"/>
      <c r="DK433" s="28"/>
    </row>
    <row r="434" spans="102:115">
      <c r="CX434" s="126">
        <f t="shared" si="48"/>
        <v>10</v>
      </c>
      <c r="CY434" s="128" t="str">
        <f t="shared" si="49"/>
        <v>November</v>
      </c>
      <c r="CZ434" s="82"/>
      <c r="DA434" s="100"/>
      <c r="DB434" s="100">
        <v>-5187886</v>
      </c>
      <c r="DC434" s="100">
        <v>-1129214</v>
      </c>
      <c r="DD434" s="100">
        <v>-36746</v>
      </c>
      <c r="DE434" s="170">
        <f t="shared" si="47"/>
        <v>-6353846</v>
      </c>
      <c r="DG434" s="28"/>
      <c r="DH434" s="28"/>
      <c r="DI434" s="28"/>
      <c r="DJ434" s="28"/>
      <c r="DK434" s="28"/>
    </row>
    <row r="435" spans="102:115">
      <c r="CX435" s="126">
        <f t="shared" si="48"/>
        <v>11</v>
      </c>
      <c r="CY435" s="128" t="str">
        <f t="shared" si="49"/>
        <v>December</v>
      </c>
      <c r="CZ435" s="94"/>
      <c r="DA435" s="100"/>
      <c r="DB435" s="100">
        <v>-7309706</v>
      </c>
      <c r="DC435" s="100">
        <v>-1129214</v>
      </c>
      <c r="DD435" s="100">
        <v>-36746</v>
      </c>
      <c r="DE435" s="170">
        <f t="shared" si="47"/>
        <v>-8475666</v>
      </c>
      <c r="DG435" s="28"/>
      <c r="DH435" s="28"/>
      <c r="DI435" s="28"/>
      <c r="DJ435" s="28"/>
      <c r="DK435" s="28"/>
    </row>
    <row r="436" spans="102:115">
      <c r="CX436" s="126">
        <f t="shared" si="48"/>
        <v>12</v>
      </c>
      <c r="CY436" s="128" t="str">
        <f t="shared" si="49"/>
        <v>January 2025</v>
      </c>
      <c r="CZ436" s="94"/>
      <c r="DA436" s="100"/>
      <c r="DB436" s="100">
        <v>-8720385</v>
      </c>
      <c r="DC436" s="100">
        <v>-1129214</v>
      </c>
      <c r="DD436" s="100">
        <v>-36746</v>
      </c>
      <c r="DE436" s="170">
        <f t="shared" si="47"/>
        <v>-9886345</v>
      </c>
      <c r="DG436" s="28"/>
      <c r="DH436" s="28"/>
      <c r="DI436" s="28"/>
      <c r="DJ436" s="28"/>
      <c r="DK436" s="28"/>
    </row>
    <row r="437" spans="102:115">
      <c r="CX437" s="126">
        <f t="shared" si="48"/>
        <v>13</v>
      </c>
      <c r="CY437" s="128" t="str">
        <f t="shared" si="49"/>
        <v>February</v>
      </c>
      <c r="CZ437" s="94"/>
      <c r="DA437" s="100"/>
      <c r="DB437" s="100">
        <v>-4516953</v>
      </c>
      <c r="DC437" s="100">
        <v>-1129214</v>
      </c>
      <c r="DD437" s="100">
        <v>-36746</v>
      </c>
      <c r="DE437" s="170">
        <f t="shared" si="47"/>
        <v>-5682913</v>
      </c>
      <c r="DG437" s="28"/>
      <c r="DH437" s="28"/>
      <c r="DI437" s="28"/>
      <c r="DJ437" s="28"/>
      <c r="DK437" s="28"/>
    </row>
    <row r="438" spans="102:115">
      <c r="CX438" s="126">
        <f t="shared" si="48"/>
        <v>14</v>
      </c>
      <c r="CY438" s="94"/>
      <c r="CZ438" s="94"/>
      <c r="DA438" s="82"/>
      <c r="DB438" s="166"/>
      <c r="DC438" s="166"/>
      <c r="DD438" s="166"/>
      <c r="DE438" s="82"/>
    </row>
    <row r="439" spans="102:115">
      <c r="CX439" s="126">
        <f t="shared" si="48"/>
        <v>15</v>
      </c>
      <c r="CY439" s="127" t="s">
        <v>593</v>
      </c>
      <c r="CZ439" s="94"/>
      <c r="DA439" s="82"/>
      <c r="DB439" s="166"/>
      <c r="DC439" s="166"/>
      <c r="DD439" s="166"/>
      <c r="DE439" s="82"/>
    </row>
    <row r="440" spans="102:115">
      <c r="CX440" s="126">
        <f t="shared" si="48"/>
        <v>16</v>
      </c>
      <c r="CY440" s="128" t="str">
        <f>AW180</f>
        <v>June 2025</v>
      </c>
      <c r="CZ440" s="94"/>
      <c r="DA440" s="100"/>
      <c r="DB440" s="100">
        <v>-5437229</v>
      </c>
      <c r="DC440" s="100">
        <v>-1129214</v>
      </c>
      <c r="DD440" s="100">
        <v>-36746</v>
      </c>
      <c r="DE440" s="170">
        <f t="shared" ref="DE440:DE452" si="50">SUM(DB440:DD440)</f>
        <v>-6603189</v>
      </c>
      <c r="DG440" s="28"/>
      <c r="DH440" s="28"/>
      <c r="DI440" s="28"/>
      <c r="DJ440" s="28"/>
      <c r="DK440" s="28"/>
    </row>
    <row r="441" spans="102:115">
      <c r="CX441" s="126">
        <f t="shared" si="48"/>
        <v>17</v>
      </c>
      <c r="CY441" s="128" t="str">
        <f t="shared" ref="CY441:CY452" si="51">AW181</f>
        <v>July</v>
      </c>
      <c r="CZ441" s="94"/>
      <c r="DA441" s="100"/>
      <c r="DB441" s="100">
        <v>-9629116</v>
      </c>
      <c r="DC441" s="100">
        <v>-1129214</v>
      </c>
      <c r="DD441" s="100">
        <v>-36746</v>
      </c>
      <c r="DE441" s="170">
        <f t="shared" si="50"/>
        <v>-10795076</v>
      </c>
      <c r="DG441" s="28"/>
      <c r="DH441" s="28"/>
      <c r="DI441" s="28"/>
      <c r="DJ441" s="28"/>
      <c r="DK441" s="28"/>
    </row>
    <row r="442" spans="102:115">
      <c r="CX442" s="126">
        <f t="shared" si="48"/>
        <v>18</v>
      </c>
      <c r="CY442" s="128" t="str">
        <f t="shared" si="51"/>
        <v>August</v>
      </c>
      <c r="CZ442" s="94"/>
      <c r="DA442" s="100"/>
      <c r="DB442" s="100">
        <v>-8091286</v>
      </c>
      <c r="DC442" s="100">
        <v>-1129214</v>
      </c>
      <c r="DD442" s="100">
        <v>-36746</v>
      </c>
      <c r="DE442" s="170">
        <f t="shared" si="50"/>
        <v>-9257246</v>
      </c>
      <c r="DG442" s="28"/>
      <c r="DH442" s="28"/>
      <c r="DI442" s="28"/>
      <c r="DJ442" s="28"/>
      <c r="DK442" s="28"/>
    </row>
    <row r="443" spans="102:115">
      <c r="CX443" s="126">
        <f t="shared" si="48"/>
        <v>19</v>
      </c>
      <c r="CY443" s="128" t="str">
        <f t="shared" si="51"/>
        <v>September</v>
      </c>
      <c r="CZ443" s="94"/>
      <c r="DA443" s="100"/>
      <c r="DB443" s="100">
        <v>-6980688</v>
      </c>
      <c r="DC443" s="100">
        <v>-1129214</v>
      </c>
      <c r="DD443" s="100">
        <v>-36746</v>
      </c>
      <c r="DE443" s="170">
        <f t="shared" si="50"/>
        <v>-8146648</v>
      </c>
      <c r="DG443" s="28"/>
      <c r="DH443" s="28"/>
      <c r="DI443" s="28"/>
      <c r="DJ443" s="28"/>
      <c r="DK443" s="28"/>
    </row>
    <row r="444" spans="102:115">
      <c r="CX444" s="126">
        <f t="shared" si="48"/>
        <v>20</v>
      </c>
      <c r="CY444" s="128" t="str">
        <f t="shared" si="51"/>
        <v>October</v>
      </c>
      <c r="CZ444" s="94"/>
      <c r="DA444" s="100"/>
      <c r="DB444" s="100">
        <v>-5858864</v>
      </c>
      <c r="DC444" s="100">
        <v>-1129214</v>
      </c>
      <c r="DD444" s="100">
        <v>-36746</v>
      </c>
      <c r="DE444" s="170">
        <f t="shared" si="50"/>
        <v>-7024824</v>
      </c>
      <c r="DG444" s="28"/>
      <c r="DH444" s="28"/>
      <c r="DI444" s="28"/>
      <c r="DJ444" s="28"/>
      <c r="DK444" s="28"/>
    </row>
    <row r="445" spans="102:115">
      <c r="CX445" s="126">
        <f t="shared" si="48"/>
        <v>21</v>
      </c>
      <c r="CY445" s="128" t="str">
        <f t="shared" si="51"/>
        <v>November</v>
      </c>
      <c r="CZ445" s="94"/>
      <c r="DA445" s="100"/>
      <c r="DB445" s="100">
        <v>-5679881</v>
      </c>
      <c r="DC445" s="100">
        <v>-1129214</v>
      </c>
      <c r="DD445" s="100">
        <v>-36746</v>
      </c>
      <c r="DE445" s="170">
        <f t="shared" si="50"/>
        <v>-6845841</v>
      </c>
      <c r="DG445" s="28"/>
      <c r="DH445" s="28"/>
      <c r="DI445" s="28"/>
      <c r="DJ445" s="28"/>
      <c r="DK445" s="28"/>
    </row>
    <row r="446" spans="102:115">
      <c r="CX446" s="126">
        <f t="shared" si="48"/>
        <v>22</v>
      </c>
      <c r="CY446" s="128" t="str">
        <f t="shared" si="51"/>
        <v>December</v>
      </c>
      <c r="CZ446" s="94"/>
      <c r="DA446" s="100"/>
      <c r="DB446" s="100">
        <v>-5786202</v>
      </c>
      <c r="DC446" s="100">
        <v>-1129214</v>
      </c>
      <c r="DD446" s="100">
        <v>-36746</v>
      </c>
      <c r="DE446" s="170">
        <f t="shared" si="50"/>
        <v>-6952162</v>
      </c>
      <c r="DG446" s="28"/>
      <c r="DH446" s="28"/>
      <c r="DI446" s="28"/>
      <c r="DJ446" s="28"/>
      <c r="DK446" s="28"/>
    </row>
    <row r="447" spans="102:115">
      <c r="CX447" s="126">
        <f t="shared" si="48"/>
        <v>23</v>
      </c>
      <c r="CY447" s="128" t="str">
        <f t="shared" si="51"/>
        <v>January 2026</v>
      </c>
      <c r="CZ447" s="94"/>
      <c r="DA447" s="100"/>
      <c r="DB447" s="100">
        <v>-7254512</v>
      </c>
      <c r="DC447" s="100">
        <v>-1129214</v>
      </c>
      <c r="DD447" s="100">
        <v>-36746</v>
      </c>
      <c r="DE447" s="170">
        <f t="shared" si="50"/>
        <v>-8420472</v>
      </c>
      <c r="DG447" s="28"/>
      <c r="DH447" s="28"/>
      <c r="DI447" s="28"/>
      <c r="DJ447" s="28"/>
      <c r="DK447" s="28"/>
    </row>
    <row r="448" spans="102:115">
      <c r="CX448" s="126">
        <f t="shared" si="48"/>
        <v>24</v>
      </c>
      <c r="CY448" s="128" t="str">
        <f t="shared" si="51"/>
        <v>February</v>
      </c>
      <c r="CZ448" s="94"/>
      <c r="DA448" s="100"/>
      <c r="DB448" s="100">
        <v>-4438375</v>
      </c>
      <c r="DC448" s="100">
        <v>-1129214</v>
      </c>
      <c r="DD448" s="100">
        <v>-36746</v>
      </c>
      <c r="DE448" s="170">
        <f t="shared" si="50"/>
        <v>-5604335</v>
      </c>
      <c r="DG448" s="28"/>
      <c r="DH448" s="28"/>
      <c r="DI448" s="28"/>
      <c r="DJ448" s="28"/>
      <c r="DK448" s="28"/>
    </row>
    <row r="449" spans="102:115">
      <c r="CX449" s="126">
        <f t="shared" si="48"/>
        <v>25</v>
      </c>
      <c r="CY449" s="128" t="str">
        <f t="shared" si="51"/>
        <v>March</v>
      </c>
      <c r="CZ449" s="94"/>
      <c r="DA449" s="100"/>
      <c r="DB449" s="100">
        <v>-4241016</v>
      </c>
      <c r="DC449" s="100">
        <v>-1129214</v>
      </c>
      <c r="DD449" s="100">
        <v>-36746</v>
      </c>
      <c r="DE449" s="170">
        <f t="shared" si="50"/>
        <v>-5406976</v>
      </c>
      <c r="DG449" s="28"/>
      <c r="DH449" s="28"/>
      <c r="DI449" s="28"/>
      <c r="DJ449" s="28"/>
      <c r="DK449" s="28"/>
    </row>
    <row r="450" spans="102:115">
      <c r="CX450" s="126">
        <f t="shared" si="48"/>
        <v>26</v>
      </c>
      <c r="CY450" s="128" t="str">
        <f t="shared" si="51"/>
        <v>April</v>
      </c>
      <c r="CZ450" s="94"/>
      <c r="DA450" s="100"/>
      <c r="DB450" s="100">
        <v>-2749068</v>
      </c>
      <c r="DC450" s="100">
        <v>-1129214</v>
      </c>
      <c r="DD450" s="100">
        <v>-36746</v>
      </c>
      <c r="DE450" s="170">
        <f t="shared" si="50"/>
        <v>-3915028</v>
      </c>
      <c r="DG450" s="28"/>
      <c r="DH450" s="28"/>
      <c r="DI450" s="28"/>
      <c r="DJ450" s="28"/>
      <c r="DK450" s="28"/>
    </row>
    <row r="451" spans="102:115">
      <c r="CX451" s="126">
        <f t="shared" si="48"/>
        <v>27</v>
      </c>
      <c r="CY451" s="128" t="str">
        <f t="shared" si="51"/>
        <v>May</v>
      </c>
      <c r="CZ451" s="94"/>
      <c r="DA451" s="100"/>
      <c r="DB451" s="100">
        <v>-3067028</v>
      </c>
      <c r="DC451" s="100">
        <v>-1129214</v>
      </c>
      <c r="DD451" s="100">
        <v>-36746</v>
      </c>
      <c r="DE451" s="170">
        <f t="shared" si="50"/>
        <v>-4232988</v>
      </c>
      <c r="DG451" s="28"/>
      <c r="DH451" s="28"/>
      <c r="DI451" s="28"/>
      <c r="DJ451" s="28"/>
      <c r="DK451" s="28"/>
    </row>
    <row r="452" spans="102:115">
      <c r="CX452" s="126">
        <f t="shared" si="48"/>
        <v>28</v>
      </c>
      <c r="CY452" s="128" t="str">
        <f t="shared" si="51"/>
        <v>June</v>
      </c>
      <c r="CZ452" s="94"/>
      <c r="DA452" s="100"/>
      <c r="DB452" s="100">
        <v>-4959429</v>
      </c>
      <c r="DC452" s="100">
        <v>-1129214</v>
      </c>
      <c r="DD452" s="100">
        <v>-36746</v>
      </c>
      <c r="DE452" s="170">
        <f t="shared" si="50"/>
        <v>-6125389</v>
      </c>
      <c r="DG452" s="28"/>
      <c r="DH452" s="28"/>
      <c r="DI452" s="28"/>
      <c r="DJ452" s="28"/>
      <c r="DK452" s="28"/>
    </row>
    <row r="453" spans="102:115" ht="13.8" thickBot="1">
      <c r="CX453" s="126">
        <f t="shared" si="48"/>
        <v>29</v>
      </c>
      <c r="CY453" s="126" t="s">
        <v>258</v>
      </c>
      <c r="CZ453" s="94"/>
      <c r="DA453" s="166"/>
      <c r="DB453" s="1693">
        <f>SUM(DB440:DB452)</f>
        <v>-74172694</v>
      </c>
      <c r="DC453" s="1693">
        <f t="shared" ref="DC453" si="52">SUM(DC440:DC452)</f>
        <v>-14679782</v>
      </c>
      <c r="DD453" s="1693">
        <f t="shared" ref="DD453" si="53">SUM(DD440:DD452)</f>
        <v>-477698</v>
      </c>
      <c r="DE453" s="1693">
        <f>SUM(DE440:DE452)</f>
        <v>-89330174</v>
      </c>
    </row>
    <row r="454" spans="102:115" ht="13.8" thickTop="1">
      <c r="CX454" s="126">
        <f t="shared" si="48"/>
        <v>30</v>
      </c>
      <c r="CY454" s="94"/>
      <c r="CZ454" s="94"/>
      <c r="DA454" s="130"/>
      <c r="DB454" s="130"/>
      <c r="DC454" s="130"/>
      <c r="DD454" s="130"/>
      <c r="DE454" s="130"/>
    </row>
    <row r="455" spans="102:115" ht="13.8" thickBot="1">
      <c r="CX455" s="126">
        <f t="shared" si="48"/>
        <v>31</v>
      </c>
      <c r="CY455" s="169" t="s">
        <v>1040</v>
      </c>
      <c r="CZ455" s="94"/>
      <c r="DA455" s="166"/>
      <c r="DB455" s="1943">
        <f t="shared" ref="DB455:DC455" si="54">DB453/13</f>
        <v>-5705591.846153846</v>
      </c>
      <c r="DC455" s="1943">
        <f t="shared" si="54"/>
        <v>-1129214</v>
      </c>
      <c r="DD455" s="1943">
        <f t="shared" ref="DD455" si="55">DD453/13</f>
        <v>-36746</v>
      </c>
      <c r="DE455" s="1943">
        <f>DE453/13</f>
        <v>-6871551.846153846</v>
      </c>
    </row>
    <row r="456" spans="102:115" ht="13.8" thickTop="1">
      <c r="CX456" s="82"/>
      <c r="CY456" s="124"/>
      <c r="CZ456" s="124"/>
      <c r="DA456" s="130"/>
      <c r="DB456" s="130"/>
      <c r="DC456" s="130"/>
      <c r="DD456" s="130"/>
      <c r="DE456" s="130"/>
    </row>
    <row r="457" spans="102:115">
      <c r="CX457" s="82"/>
      <c r="CY457" s="124"/>
      <c r="CZ457" s="124"/>
      <c r="DA457" s="126"/>
      <c r="DB457" s="126"/>
      <c r="DC457" s="126"/>
      <c r="DD457" s="126"/>
      <c r="DE457" s="126" t="s">
        <v>552</v>
      </c>
    </row>
    <row r="458" spans="102:115">
      <c r="CX458" s="82"/>
      <c r="CY458" s="124"/>
      <c r="CZ458" s="124"/>
      <c r="DA458" s="106"/>
      <c r="DB458" s="106"/>
      <c r="DC458" s="106"/>
      <c r="DD458" s="106"/>
      <c r="DE458" s="106" t="s">
        <v>553</v>
      </c>
    </row>
    <row r="459" spans="102:115">
      <c r="CX459" s="82"/>
      <c r="CY459" s="124"/>
      <c r="CZ459" s="124"/>
      <c r="DA459" s="106"/>
      <c r="DB459" s="106"/>
      <c r="DC459" s="106"/>
      <c r="DD459" s="106"/>
      <c r="DE459" s="106" t="s">
        <v>1079</v>
      </c>
    </row>
    <row r="460" spans="102:115">
      <c r="CX460" s="126"/>
      <c r="CY460" s="94"/>
      <c r="CZ460" s="94"/>
      <c r="DA460" s="133"/>
      <c r="DB460" s="100"/>
      <c r="DC460" s="100"/>
      <c r="DD460" s="82"/>
      <c r="DE460" s="82"/>
    </row>
    <row r="461" spans="102:115">
      <c r="CX461" s="126"/>
      <c r="CY461" s="94" t="s">
        <v>1041</v>
      </c>
      <c r="CZ461" s="94"/>
      <c r="DA461" s="94"/>
      <c r="DB461" s="94"/>
      <c r="DC461" s="94"/>
      <c r="DD461" s="82"/>
      <c r="DE461" s="82"/>
    </row>
  </sheetData>
  <phoneticPr fontId="19" type="noConversion"/>
  <pageMargins left="1" right="1" top="1" bottom="0" header="0" footer="0"/>
  <pageSetup scale="84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3">
    <tabColor theme="4" tint="0.39997558519241921"/>
    <pageSetUpPr fitToPage="1"/>
  </sheetPr>
  <dimension ref="A1:R91"/>
  <sheetViews>
    <sheetView zoomScale="95" zoomScaleNormal="95" workbookViewId="0">
      <selection activeCell="L35" sqref="L35"/>
    </sheetView>
  </sheetViews>
  <sheetFormatPr defaultColWidth="8" defaultRowHeight="13.2"/>
  <cols>
    <col min="1" max="1" width="5.5546875" customWidth="1"/>
    <col min="2" max="2" width="1.44140625" customWidth="1"/>
    <col min="3" max="3" width="12.5546875" customWidth="1"/>
    <col min="4" max="4" width="1.44140625" customWidth="1"/>
    <col min="5" max="5" width="2.5546875" customWidth="1"/>
    <col min="6" max="6" width="47.44140625" customWidth="1"/>
    <col min="7" max="7" width="17.5546875" customWidth="1"/>
    <col min="8" max="8" width="4.33203125" customWidth="1"/>
    <col min="9" max="9" width="9.5546875" customWidth="1"/>
    <col min="10" max="10" width="10" customWidth="1"/>
    <col min="11" max="11" width="1.44140625" customWidth="1"/>
    <col min="12" max="12" width="16.44140625" customWidth="1"/>
    <col min="13" max="13" width="1.44140625" customWidth="1"/>
    <col min="14" max="14" width="16.5546875" customWidth="1"/>
    <col min="15" max="15" width="7.33203125" customWidth="1"/>
    <col min="16" max="16" width="19.44140625" customWidth="1"/>
    <col min="17" max="17" width="5.5546875" customWidth="1"/>
    <col min="18" max="18" width="5.44140625" customWidth="1"/>
  </cols>
  <sheetData>
    <row r="1" spans="1:18">
      <c r="A1" s="150" t="str">
        <f>COMPANY</f>
        <v>DUKE ENERGY KENTUCKY, INC.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49"/>
    </row>
    <row r="2" spans="1:18">
      <c r="A2" s="150" t="str">
        <f>CASE</f>
        <v>CASE NO. 2024-00354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49"/>
    </row>
    <row r="3" spans="1:18">
      <c r="A3" s="150" t="s">
        <v>1093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49"/>
    </row>
    <row r="4" spans="1:18">
      <c r="A4" s="47" t="str">
        <f>"AS OF " &amp;RIGHT(TESTYR,(LEN(TESTYR)-16))</f>
        <v>AS OF FEBRUARY 28, 2025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49"/>
    </row>
    <row r="5" spans="1:18">
      <c r="A5" s="1393" t="s">
        <v>55</v>
      </c>
      <c r="B5" s="150"/>
      <c r="C5" s="150"/>
      <c r="D5" s="150"/>
      <c r="E5" s="77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49"/>
    </row>
    <row r="6" spans="1:18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49"/>
    </row>
    <row r="7" spans="1:18">
      <c r="A7" s="149"/>
      <c r="B7" s="149"/>
      <c r="C7" s="149"/>
      <c r="D7" s="149"/>
      <c r="E7" s="149"/>
      <c r="F7" s="149"/>
      <c r="G7" s="149"/>
      <c r="H7" s="149"/>
      <c r="I7" s="153"/>
      <c r="J7" s="149"/>
      <c r="K7" s="149"/>
      <c r="L7" s="149"/>
      <c r="M7" s="149"/>
      <c r="N7" s="149"/>
      <c r="O7" s="153"/>
      <c r="P7" s="149"/>
      <c r="Q7" s="149"/>
      <c r="R7" s="149"/>
    </row>
    <row r="8" spans="1:18">
      <c r="A8" s="149" t="str">
        <f>Data</f>
        <v>DATA: "X" BASE PERIOD   FORECASTED PERIOD</v>
      </c>
      <c r="B8" s="149"/>
      <c r="C8" s="149"/>
      <c r="D8" s="149"/>
      <c r="E8" s="149"/>
      <c r="F8" s="149"/>
      <c r="G8" s="149"/>
      <c r="H8" s="149"/>
      <c r="I8" s="153"/>
      <c r="J8" s="149"/>
      <c r="K8" s="149"/>
      <c r="L8" s="149"/>
      <c r="M8" s="149"/>
      <c r="N8" s="149"/>
      <c r="O8" s="151" t="s">
        <v>1094</v>
      </c>
      <c r="P8" s="149"/>
      <c r="Q8" s="149"/>
      <c r="R8" s="149"/>
    </row>
    <row r="9" spans="1:18">
      <c r="A9" s="149" t="str">
        <f>Type</f>
        <v xml:space="preserve">TYPE OF FILING:  "X" ORIGINAL   UPDATED    REVISED  </v>
      </c>
      <c r="B9" s="149"/>
      <c r="C9" s="149"/>
      <c r="D9" s="149"/>
      <c r="E9" s="149"/>
      <c r="F9" s="149"/>
      <c r="G9" s="149"/>
      <c r="H9" s="149"/>
      <c r="I9" s="153"/>
      <c r="J9" s="149"/>
      <c r="K9" s="149"/>
      <c r="L9" s="149"/>
      <c r="M9" s="149"/>
      <c r="N9" s="149"/>
      <c r="O9" s="151" t="s">
        <v>571</v>
      </c>
      <c r="P9" s="149"/>
      <c r="Q9" s="149"/>
      <c r="R9" s="149"/>
    </row>
    <row r="10" spans="1:18">
      <c r="A10" s="151" t="s">
        <v>1095</v>
      </c>
      <c r="B10" s="149"/>
      <c r="C10" s="149"/>
      <c r="D10" s="149"/>
      <c r="E10" s="149"/>
      <c r="F10" s="149"/>
      <c r="G10" s="149"/>
      <c r="H10" s="149"/>
      <c r="I10" s="153"/>
      <c r="J10" s="149"/>
      <c r="K10" s="149"/>
      <c r="L10" s="149"/>
      <c r="M10" s="149"/>
      <c r="N10" s="149"/>
      <c r="O10" s="151" t="s">
        <v>468</v>
      </c>
      <c r="P10" s="149"/>
      <c r="Q10" s="149"/>
      <c r="R10" s="149"/>
    </row>
    <row r="11" spans="1:18">
      <c r="A11" s="149"/>
      <c r="B11" s="149"/>
      <c r="C11" s="149"/>
      <c r="D11" s="149"/>
      <c r="E11" s="149"/>
      <c r="F11" s="149"/>
      <c r="G11" s="149"/>
      <c r="H11" s="149"/>
      <c r="I11" s="153"/>
      <c r="J11" s="149"/>
      <c r="K11" s="149"/>
      <c r="L11" s="149"/>
      <c r="M11" s="149"/>
      <c r="N11" s="149"/>
      <c r="O11" s="82" t="str">
        <f>_WIT3</f>
        <v>J. R. PANIZZA</v>
      </c>
      <c r="P11" s="149"/>
      <c r="Q11" s="149"/>
      <c r="R11" s="149"/>
    </row>
    <row r="12" spans="1:18">
      <c r="A12" s="1478"/>
      <c r="B12" s="1478"/>
      <c r="C12" s="1478"/>
      <c r="D12" s="1478"/>
      <c r="E12" s="1478"/>
      <c r="F12" s="1478"/>
      <c r="G12" s="1478"/>
      <c r="H12" s="1478"/>
      <c r="I12" s="1479"/>
      <c r="J12" s="1478"/>
      <c r="K12" s="1478"/>
      <c r="L12" s="1478"/>
      <c r="M12" s="149"/>
      <c r="N12" s="149"/>
      <c r="O12" s="153"/>
      <c r="P12" s="149"/>
      <c r="Q12" s="149"/>
      <c r="R12" s="149"/>
    </row>
    <row r="13" spans="1:18">
      <c r="A13" s="149"/>
      <c r="B13" s="149"/>
      <c r="C13" s="149"/>
      <c r="D13" s="149"/>
      <c r="E13" s="149"/>
      <c r="F13" s="149"/>
      <c r="G13" s="153"/>
      <c r="H13" s="149"/>
      <c r="I13" s="153"/>
      <c r="J13" s="149"/>
      <c r="K13" s="149"/>
      <c r="L13" s="149"/>
      <c r="M13" s="2120"/>
      <c r="N13" s="2120"/>
      <c r="O13" s="2121"/>
      <c r="P13" s="2121" t="s">
        <v>1096</v>
      </c>
      <c r="Q13" s="149"/>
      <c r="R13" s="149"/>
    </row>
    <row r="14" spans="1:18">
      <c r="A14" s="153" t="s">
        <v>471</v>
      </c>
      <c r="B14" s="149"/>
      <c r="C14" s="153" t="s">
        <v>1045</v>
      </c>
      <c r="D14" s="150"/>
      <c r="E14" s="149"/>
      <c r="F14" s="149"/>
      <c r="G14" s="153" t="s">
        <v>972</v>
      </c>
      <c r="H14" s="149"/>
      <c r="I14" s="150" t="s">
        <v>937</v>
      </c>
      <c r="J14" s="150"/>
      <c r="K14" s="149"/>
      <c r="L14" s="153" t="s">
        <v>1006</v>
      </c>
      <c r="M14" s="149"/>
      <c r="N14" s="149"/>
      <c r="O14" s="153"/>
      <c r="P14" s="153" t="s">
        <v>1006</v>
      </c>
      <c r="Q14" s="149"/>
      <c r="R14" s="149"/>
    </row>
    <row r="15" spans="1:18">
      <c r="A15" s="153" t="s">
        <v>475</v>
      </c>
      <c r="B15" s="149"/>
      <c r="C15" s="153" t="s">
        <v>941</v>
      </c>
      <c r="D15" s="150"/>
      <c r="E15" s="150" t="s">
        <v>476</v>
      </c>
      <c r="F15" s="150"/>
      <c r="G15" s="153" t="s">
        <v>974</v>
      </c>
      <c r="H15" s="149"/>
      <c r="I15" s="153" t="s">
        <v>1012</v>
      </c>
      <c r="J15" s="153" t="s">
        <v>420</v>
      </c>
      <c r="K15" s="149"/>
      <c r="L15" s="153" t="s">
        <v>975</v>
      </c>
      <c r="M15" s="149"/>
      <c r="N15" s="153" t="s">
        <v>1097</v>
      </c>
      <c r="O15" s="153"/>
      <c r="P15" s="153" t="s">
        <v>975</v>
      </c>
      <c r="Q15" s="149"/>
      <c r="R15" s="149"/>
    </row>
    <row r="16" spans="1:18">
      <c r="A16" s="1478"/>
      <c r="B16" s="1478"/>
      <c r="C16" s="1478"/>
      <c r="D16" s="1478"/>
      <c r="E16" s="1478"/>
      <c r="F16" s="1478"/>
      <c r="G16" s="1480"/>
      <c r="H16" s="1478"/>
      <c r="I16" s="1479"/>
      <c r="J16" s="1478"/>
      <c r="K16" s="1478"/>
      <c r="L16" s="1478"/>
      <c r="M16" s="149"/>
      <c r="N16" s="149"/>
      <c r="O16" s="153"/>
      <c r="P16" s="149"/>
      <c r="Q16" s="149"/>
      <c r="R16" s="149"/>
    </row>
    <row r="17" spans="1:18">
      <c r="A17" s="149"/>
      <c r="B17" s="149"/>
      <c r="C17" s="149"/>
      <c r="D17" s="149"/>
      <c r="E17" s="149"/>
      <c r="F17" s="149"/>
      <c r="G17" s="156" t="s">
        <v>506</v>
      </c>
      <c r="H17" s="149"/>
      <c r="I17" s="157" t="s">
        <v>510</v>
      </c>
      <c r="J17" s="150"/>
      <c r="K17" s="149"/>
      <c r="L17" s="156" t="s">
        <v>519</v>
      </c>
      <c r="M17" s="2120"/>
      <c r="N17" s="2121" t="s">
        <v>911</v>
      </c>
      <c r="O17" s="2121"/>
      <c r="P17" s="2121" t="s">
        <v>976</v>
      </c>
      <c r="Q17" s="149"/>
      <c r="R17" s="149"/>
    </row>
    <row r="18" spans="1:18">
      <c r="A18" s="149"/>
      <c r="B18" s="149"/>
      <c r="C18" s="149"/>
      <c r="D18" s="149"/>
      <c r="E18" s="149"/>
      <c r="F18" s="149"/>
      <c r="G18" s="159"/>
      <c r="H18" s="159"/>
      <c r="I18" s="160"/>
      <c r="J18" s="159"/>
      <c r="K18" s="159"/>
      <c r="L18" s="159"/>
      <c r="M18" s="149"/>
      <c r="N18" s="149"/>
      <c r="O18" s="153"/>
      <c r="P18" s="149"/>
      <c r="Q18" s="149"/>
      <c r="R18" s="149"/>
    </row>
    <row r="19" spans="1:18">
      <c r="A19" s="153">
        <v>1</v>
      </c>
      <c r="B19" s="149"/>
      <c r="C19" s="153">
        <v>255</v>
      </c>
      <c r="D19" s="149"/>
      <c r="E19" s="149" t="s">
        <v>1098</v>
      </c>
      <c r="F19" s="149"/>
      <c r="G19" s="148"/>
      <c r="H19" s="159"/>
      <c r="I19" s="160"/>
      <c r="J19" s="159"/>
      <c r="K19" s="159"/>
      <c r="L19" s="159"/>
      <c r="M19" s="159"/>
      <c r="N19" s="159"/>
      <c r="O19" s="160"/>
      <c r="P19" s="159"/>
      <c r="Q19" s="149"/>
      <c r="R19" s="149"/>
    </row>
    <row r="20" spans="1:18">
      <c r="A20" s="153">
        <f>A19+1</f>
        <v>2</v>
      </c>
      <c r="B20" s="149"/>
      <c r="C20" s="153"/>
      <c r="D20" s="149"/>
      <c r="E20" s="149"/>
      <c r="F20" s="149" t="s">
        <v>1099</v>
      </c>
      <c r="G20" s="1106">
        <v>0</v>
      </c>
      <c r="H20" s="159"/>
      <c r="I20" s="160" t="s">
        <v>428</v>
      </c>
      <c r="J20" s="159">
        <f>VLOOKUP(I20,ALLOCTABLE,2)</f>
        <v>100</v>
      </c>
      <c r="K20" s="159"/>
      <c r="L20" s="159">
        <f>ROUND(G20*(J20/100),0)</f>
        <v>0</v>
      </c>
      <c r="M20" s="159"/>
      <c r="N20" s="159">
        <v>0</v>
      </c>
      <c r="O20" s="2002" t="s">
        <v>858</v>
      </c>
      <c r="P20" s="159">
        <f>L20+N20</f>
        <v>0</v>
      </c>
      <c r="Q20" s="149"/>
      <c r="R20" s="149"/>
    </row>
    <row r="21" spans="1:18">
      <c r="A21" s="153">
        <f t="shared" ref="A21:A27" si="0">A20+1</f>
        <v>3</v>
      </c>
      <c r="B21" s="149"/>
      <c r="C21" s="153"/>
      <c r="D21" s="149"/>
      <c r="E21" s="149"/>
      <c r="F21" s="149" t="s">
        <v>1100</v>
      </c>
      <c r="G21" s="167">
        <f>'WPB-6''s'!L48</f>
        <v>0</v>
      </c>
      <c r="H21" s="159"/>
      <c r="I21" s="160" t="s">
        <v>428</v>
      </c>
      <c r="J21" s="159">
        <f>VLOOKUP(I21,ALLOCTABLE,2)</f>
        <v>100</v>
      </c>
      <c r="K21" s="159"/>
      <c r="L21" s="159">
        <f>ROUND(G21*(J21/100),0)</f>
        <v>0</v>
      </c>
      <c r="M21" s="159"/>
      <c r="N21" s="159">
        <f>-L21</f>
        <v>0</v>
      </c>
      <c r="O21" s="2002" t="s">
        <v>858</v>
      </c>
      <c r="P21" s="159">
        <f>L21+N21</f>
        <v>0</v>
      </c>
      <c r="Q21" s="149"/>
      <c r="R21" s="149"/>
    </row>
    <row r="22" spans="1:18">
      <c r="A22" s="153">
        <f t="shared" si="0"/>
        <v>4</v>
      </c>
      <c r="B22" s="149"/>
      <c r="C22" s="153"/>
      <c r="D22" s="149"/>
      <c r="E22" s="149"/>
      <c r="F22" s="149" t="s">
        <v>1101</v>
      </c>
      <c r="G22" s="167">
        <f>'WPB-6''s'!L49</f>
        <v>0</v>
      </c>
      <c r="H22" s="159"/>
      <c r="I22" s="160" t="s">
        <v>428</v>
      </c>
      <c r="J22" s="159">
        <f>VLOOKUP(I22,ALLOCTABLE,2)</f>
        <v>100</v>
      </c>
      <c r="K22" s="159"/>
      <c r="L22" s="159">
        <f>ROUND(G22*(J22/100),0)</f>
        <v>0</v>
      </c>
      <c r="M22" s="159"/>
      <c r="N22" s="159">
        <f>-L22</f>
        <v>0</v>
      </c>
      <c r="O22" s="2002" t="s">
        <v>858</v>
      </c>
      <c r="P22" s="159">
        <f>L22+N22</f>
        <v>0</v>
      </c>
      <c r="Q22" s="149"/>
      <c r="R22" s="149"/>
    </row>
    <row r="23" spans="1:18">
      <c r="A23" s="153">
        <f t="shared" si="0"/>
        <v>5</v>
      </c>
      <c r="B23" s="149"/>
      <c r="C23" s="153"/>
      <c r="D23" s="149"/>
      <c r="E23" s="149"/>
      <c r="F23" s="149" t="s">
        <v>1102</v>
      </c>
      <c r="G23" s="1481">
        <f>'WPB-6''s'!L50</f>
        <v>-5135704</v>
      </c>
      <c r="H23" s="159"/>
      <c r="I23" s="160" t="s">
        <v>428</v>
      </c>
      <c r="J23" s="159">
        <f>VLOOKUP(I23,ALLOCTABLE,2)</f>
        <v>100</v>
      </c>
      <c r="K23" s="159"/>
      <c r="L23" s="1482">
        <f>ROUND(G23*(J23/100),0)</f>
        <v>-5135704</v>
      </c>
      <c r="M23" s="159"/>
      <c r="N23" s="159">
        <f>-L23</f>
        <v>5135704</v>
      </c>
      <c r="O23" s="2002" t="s">
        <v>858</v>
      </c>
      <c r="P23" s="159">
        <f>L23+N23</f>
        <v>0</v>
      </c>
      <c r="Q23" s="149"/>
      <c r="R23" s="149"/>
    </row>
    <row r="24" spans="1:18" ht="13.8" thickBot="1">
      <c r="A24" s="153">
        <f t="shared" si="0"/>
        <v>6</v>
      </c>
      <c r="B24" s="149"/>
      <c r="C24" s="153"/>
      <c r="D24" s="149"/>
      <c r="E24" s="149" t="s">
        <v>1103</v>
      </c>
      <c r="F24" s="149"/>
      <c r="G24" s="1694">
        <f>SUM(G19:G23)</f>
        <v>-5135704</v>
      </c>
      <c r="H24" s="159"/>
      <c r="I24" s="160"/>
      <c r="J24" s="159"/>
      <c r="K24" s="159"/>
      <c r="L24" s="1694">
        <f>SUM(L19:L23)</f>
        <v>-5135704</v>
      </c>
      <c r="M24" s="159"/>
      <c r="N24" s="1694">
        <f>SUM(N19:N23)</f>
        <v>5135704</v>
      </c>
      <c r="O24" s="160"/>
      <c r="P24" s="1694">
        <f>SUM(P19:P23)</f>
        <v>0</v>
      </c>
      <c r="Q24" s="1107" t="s">
        <v>1104</v>
      </c>
      <c r="R24" s="149"/>
    </row>
    <row r="25" spans="1:18" ht="13.8" thickTop="1">
      <c r="A25" s="153">
        <f t="shared" si="0"/>
        <v>7</v>
      </c>
      <c r="B25" s="149"/>
      <c r="C25" s="153"/>
      <c r="D25" s="149"/>
      <c r="E25" s="149"/>
      <c r="F25" s="149"/>
      <c r="G25" s="159"/>
      <c r="H25" s="159"/>
      <c r="I25" s="160"/>
      <c r="J25" s="159"/>
      <c r="K25" s="159"/>
      <c r="L25" s="159"/>
      <c r="M25" s="159"/>
      <c r="N25" s="159"/>
      <c r="O25" s="160"/>
      <c r="P25" s="159"/>
      <c r="Q25" s="149"/>
      <c r="R25" s="149"/>
    </row>
    <row r="26" spans="1:18">
      <c r="A26" s="153">
        <f t="shared" si="0"/>
        <v>8</v>
      </c>
      <c r="B26" s="149"/>
      <c r="C26" s="153" t="s">
        <v>1105</v>
      </c>
      <c r="D26" s="149"/>
      <c r="E26" s="149" t="s">
        <v>1106</v>
      </c>
      <c r="F26" s="149"/>
      <c r="G26" s="148"/>
      <c r="H26" s="159"/>
      <c r="I26" s="160"/>
      <c r="J26" s="159"/>
      <c r="K26" s="159"/>
      <c r="L26" s="159"/>
      <c r="M26" s="159"/>
      <c r="N26" s="159"/>
      <c r="O26" s="160"/>
      <c r="P26" s="159"/>
      <c r="Q26" s="149"/>
      <c r="R26" s="149"/>
    </row>
    <row r="27" spans="1:18" ht="13.8" thickBot="1">
      <c r="A27" s="153">
        <f t="shared" si="0"/>
        <v>9</v>
      </c>
      <c r="B27" s="149"/>
      <c r="C27" s="1108" t="s">
        <v>1107</v>
      </c>
      <c r="D27" s="149"/>
      <c r="E27" s="1107" t="s">
        <v>1108</v>
      </c>
      <c r="F27" s="149"/>
      <c r="G27" s="1944">
        <f>'WPB-6''s'!L59</f>
        <v>-204717084</v>
      </c>
      <c r="H27" s="159"/>
      <c r="I27" s="160" t="s">
        <v>428</v>
      </c>
      <c r="J27" s="159">
        <f>VLOOKUP(I27,ALLOCTABLE,2)</f>
        <v>100</v>
      </c>
      <c r="K27" s="159"/>
      <c r="L27" s="1945">
        <f>ROUND(G27*(J27/100),0)</f>
        <v>-204717084</v>
      </c>
      <c r="M27" s="159"/>
      <c r="N27" s="1945">
        <v>0</v>
      </c>
      <c r="O27" s="160"/>
      <c r="P27" s="1944">
        <f>L27+N27</f>
        <v>-204717084</v>
      </c>
      <c r="Q27" s="1107" t="s">
        <v>856</v>
      </c>
      <c r="R27" s="149"/>
    </row>
    <row r="28" spans="1:18" ht="13.8" thickTop="1">
      <c r="A28" s="1270">
        <f>A27+1</f>
        <v>10</v>
      </c>
      <c r="B28" s="1265"/>
      <c r="C28" s="1270"/>
      <c r="D28" s="1265"/>
      <c r="E28" s="1266"/>
      <c r="F28" s="1266"/>
      <c r="G28" s="1271"/>
      <c r="H28" s="1271"/>
      <c r="I28" s="2002"/>
      <c r="J28" s="1271"/>
      <c r="K28" s="1271"/>
      <c r="L28" s="1272"/>
      <c r="M28" s="1271"/>
      <c r="N28" s="1272"/>
      <c r="O28" s="2002"/>
      <c r="P28" s="1272"/>
      <c r="Q28" s="1107"/>
      <c r="R28" s="149"/>
    </row>
    <row r="29" spans="1:18" ht="13.8" thickBot="1">
      <c r="A29" s="1270">
        <f>A28+1</f>
        <v>11</v>
      </c>
      <c r="B29" s="1265"/>
      <c r="C29" s="1270">
        <v>254</v>
      </c>
      <c r="D29" s="1265"/>
      <c r="E29" s="1265" t="s">
        <v>1109</v>
      </c>
      <c r="F29" s="1266"/>
      <c r="G29" s="1946">
        <f>'WPB-6''s'!L64</f>
        <v>-46754717</v>
      </c>
      <c r="H29" s="1271"/>
      <c r="I29" s="2002" t="s">
        <v>428</v>
      </c>
      <c r="J29" s="1271">
        <v>100</v>
      </c>
      <c r="K29" s="1271"/>
      <c r="L29" s="2003">
        <f>ROUND(G29*(J29/100),0)</f>
        <v>-46754717</v>
      </c>
      <c r="M29" s="1271"/>
      <c r="N29" s="1945">
        <v>0</v>
      </c>
      <c r="O29" s="2002"/>
      <c r="P29" s="2003">
        <f>L29+N29</f>
        <v>-46754717</v>
      </c>
      <c r="Q29" s="1265" t="s">
        <v>857</v>
      </c>
      <c r="R29" s="149"/>
    </row>
    <row r="30" spans="1:18" ht="13.8" thickTop="1">
      <c r="A30" s="1940">
        <f>A29+1</f>
        <v>12</v>
      </c>
      <c r="B30" s="149"/>
      <c r="C30" s="153"/>
      <c r="D30" s="149"/>
      <c r="E30" s="169"/>
      <c r="F30" s="169"/>
      <c r="G30" s="159"/>
      <c r="H30" s="166"/>
      <c r="I30" s="160"/>
      <c r="J30" s="159"/>
      <c r="K30" s="159"/>
      <c r="L30" s="1109"/>
      <c r="M30" s="159"/>
      <c r="N30" s="1109"/>
      <c r="O30" s="160"/>
      <c r="P30" s="1109"/>
      <c r="Q30" s="149"/>
      <c r="R30" s="149"/>
    </row>
    <row r="31" spans="1:18" ht="13.8" thickBot="1">
      <c r="A31" s="1940">
        <f>A30+1</f>
        <v>13</v>
      </c>
      <c r="C31" s="10">
        <v>182</v>
      </c>
      <c r="E31" s="40" t="s">
        <v>1110</v>
      </c>
      <c r="F31" s="40"/>
      <c r="G31" s="1941">
        <f>'WPB-6''s'!L67</f>
        <v>-271209</v>
      </c>
      <c r="H31" s="28"/>
      <c r="I31" s="2004" t="s">
        <v>428</v>
      </c>
      <c r="J31" s="2005">
        <v>100</v>
      </c>
      <c r="K31" s="28"/>
      <c r="L31" s="1939">
        <f>ROUND(G31*(J31/100),0)</f>
        <v>-271209</v>
      </c>
      <c r="M31" s="28"/>
      <c r="N31" s="1939">
        <v>0</v>
      </c>
      <c r="O31" s="2001"/>
      <c r="P31" s="1939">
        <f>L31+N31</f>
        <v>-271209</v>
      </c>
      <c r="Q31" s="1265" t="s">
        <v>857</v>
      </c>
    </row>
    <row r="32" spans="1:18" ht="13.8" thickTop="1">
      <c r="A32" s="149"/>
      <c r="B32" s="149"/>
      <c r="C32" s="149"/>
      <c r="D32" s="149"/>
      <c r="E32" s="149"/>
      <c r="F32" s="169"/>
      <c r="G32" s="149"/>
      <c r="H32" s="94"/>
      <c r="I32" s="153"/>
      <c r="J32" s="149"/>
      <c r="K32" s="149"/>
      <c r="L32" s="149"/>
      <c r="M32" s="149"/>
      <c r="N32" s="149"/>
      <c r="O32" s="153"/>
      <c r="P32" s="149"/>
      <c r="Q32" s="149"/>
      <c r="R32" s="149"/>
    </row>
    <row r="33" spans="1:18">
      <c r="A33" s="149"/>
      <c r="B33" s="1110" t="s">
        <v>1111</v>
      </c>
      <c r="C33" s="1265"/>
      <c r="D33" s="1265"/>
      <c r="E33" s="1265"/>
      <c r="F33" s="1265"/>
      <c r="G33" s="94"/>
      <c r="H33" s="94"/>
      <c r="I33" s="153"/>
      <c r="J33" s="149"/>
      <c r="K33" s="149"/>
      <c r="L33" s="149"/>
      <c r="M33" s="149"/>
      <c r="N33" s="149"/>
      <c r="O33" s="153"/>
      <c r="P33" s="149"/>
      <c r="Q33" s="149"/>
      <c r="R33" s="149"/>
    </row>
    <row r="34" spans="1:18">
      <c r="A34" s="149"/>
      <c r="B34" s="149"/>
      <c r="C34" s="1266" t="s">
        <v>1112</v>
      </c>
      <c r="D34" s="1265"/>
      <c r="E34" s="1265"/>
      <c r="F34" s="1265"/>
      <c r="G34" s="149"/>
      <c r="H34" s="149"/>
      <c r="I34" s="153"/>
      <c r="J34" s="149"/>
      <c r="K34" s="149"/>
      <c r="L34" s="149"/>
      <c r="M34" s="149"/>
      <c r="N34" s="149"/>
      <c r="O34" s="153"/>
      <c r="P34" s="149"/>
      <c r="Q34" s="149"/>
      <c r="R34" s="149"/>
    </row>
    <row r="35" spans="1:18">
      <c r="A35" s="149"/>
      <c r="B35" s="149"/>
      <c r="C35" s="1266" t="s">
        <v>1113</v>
      </c>
      <c r="D35" s="1265"/>
      <c r="E35" s="1265"/>
      <c r="F35" s="1265"/>
      <c r="G35" s="149"/>
      <c r="H35" s="149"/>
      <c r="I35" s="153"/>
      <c r="J35" s="149"/>
      <c r="K35" s="149"/>
      <c r="L35" s="149"/>
      <c r="M35" s="149"/>
      <c r="N35" s="149"/>
      <c r="O35" s="153"/>
      <c r="P35" s="149"/>
      <c r="Q35" s="149"/>
      <c r="R35" s="149"/>
    </row>
    <row r="36" spans="1:18">
      <c r="A36" s="149"/>
      <c r="B36" s="149"/>
      <c r="C36" s="1266" t="s">
        <v>1114</v>
      </c>
      <c r="D36" s="1265"/>
      <c r="E36" s="1265"/>
      <c r="F36" s="1265"/>
      <c r="G36" s="149"/>
      <c r="H36" s="149"/>
      <c r="I36" s="153"/>
      <c r="J36" s="149"/>
      <c r="K36" s="149"/>
      <c r="L36" s="149"/>
      <c r="M36" s="149"/>
      <c r="N36" s="149"/>
      <c r="O36" s="153"/>
      <c r="P36" s="149"/>
      <c r="Q36" s="149"/>
      <c r="R36" s="149"/>
    </row>
    <row r="37" spans="1:18">
      <c r="A37" s="149"/>
      <c r="B37" s="149"/>
      <c r="C37" s="1266" t="s">
        <v>1115</v>
      </c>
      <c r="D37" s="1265"/>
      <c r="E37" s="1265"/>
      <c r="F37" s="1265"/>
      <c r="G37" s="149"/>
      <c r="H37" s="149"/>
      <c r="I37" s="153"/>
      <c r="J37" s="149"/>
      <c r="K37" s="149"/>
      <c r="L37" s="149"/>
      <c r="M37" s="149"/>
      <c r="N37" s="149"/>
      <c r="O37" s="153"/>
      <c r="P37" s="149"/>
      <c r="Q37" s="149"/>
      <c r="R37" s="149"/>
    </row>
    <row r="38" spans="1:18">
      <c r="A38" s="149"/>
      <c r="B38" s="149"/>
      <c r="C38" s="1266" t="s">
        <v>1116</v>
      </c>
      <c r="D38" s="1265"/>
      <c r="E38" s="1265"/>
      <c r="F38" s="1265"/>
      <c r="G38" s="149"/>
      <c r="H38" s="149"/>
      <c r="I38" s="153"/>
      <c r="J38" s="149"/>
      <c r="K38" s="149"/>
      <c r="L38" s="149"/>
      <c r="M38" s="149"/>
      <c r="N38" s="149"/>
      <c r="O38" s="153"/>
      <c r="P38" s="149"/>
      <c r="Q38" s="149"/>
      <c r="R38" s="149"/>
    </row>
    <row r="39" spans="1:18">
      <c r="A39" s="149"/>
      <c r="B39" s="149"/>
      <c r="C39" s="1267"/>
      <c r="D39" s="1265"/>
      <c r="E39" s="1265"/>
      <c r="F39" s="1265"/>
      <c r="G39" s="149"/>
      <c r="H39" s="149"/>
      <c r="I39" s="153"/>
      <c r="J39" s="149"/>
      <c r="K39" s="149"/>
      <c r="L39" s="149"/>
      <c r="M39" s="149"/>
      <c r="N39" s="149"/>
      <c r="O39" s="153"/>
      <c r="P39" s="149"/>
      <c r="Q39" s="149"/>
      <c r="R39" s="149"/>
    </row>
    <row r="40" spans="1:18">
      <c r="A40" s="149"/>
      <c r="B40" s="149"/>
      <c r="C40" s="1268" t="s">
        <v>1117</v>
      </c>
      <c r="D40" s="1265"/>
      <c r="E40" s="1265"/>
      <c r="F40" s="1265"/>
      <c r="G40" s="149"/>
      <c r="H40" s="149"/>
      <c r="I40" s="153"/>
      <c r="J40" s="149"/>
      <c r="K40" s="149"/>
      <c r="L40" s="149"/>
      <c r="M40" s="149"/>
      <c r="N40" s="149"/>
      <c r="O40" s="153"/>
      <c r="P40" s="149"/>
      <c r="Q40" s="149"/>
      <c r="R40" s="149"/>
    </row>
    <row r="41" spans="1:18">
      <c r="A41" s="149"/>
      <c r="B41" s="149"/>
      <c r="C41" s="1269" t="s">
        <v>1118</v>
      </c>
      <c r="D41" s="1265"/>
      <c r="E41" s="1265"/>
      <c r="F41" s="1265"/>
      <c r="G41" s="149"/>
      <c r="H41" s="149"/>
      <c r="I41" s="153"/>
      <c r="J41" s="149"/>
      <c r="K41" s="149"/>
      <c r="L41" s="149"/>
      <c r="M41" s="149"/>
      <c r="N41" s="149"/>
      <c r="O41" s="153"/>
      <c r="P41" s="149"/>
      <c r="Q41" s="149"/>
      <c r="R41" s="149"/>
    </row>
    <row r="42" spans="1:18">
      <c r="A42" s="149"/>
      <c r="B42" s="149"/>
      <c r="C42" s="1267" t="s">
        <v>1119</v>
      </c>
      <c r="D42" s="1265"/>
      <c r="E42" s="1265"/>
      <c r="F42" s="1265"/>
      <c r="G42" s="149"/>
      <c r="H42" s="149"/>
      <c r="I42" s="153"/>
      <c r="J42" s="149"/>
      <c r="K42" s="149"/>
      <c r="L42" s="149"/>
      <c r="M42" s="149"/>
      <c r="N42" s="149"/>
      <c r="O42" s="153"/>
      <c r="P42" s="149"/>
      <c r="Q42" s="149"/>
      <c r="R42" s="149"/>
    </row>
    <row r="43" spans="1:18">
      <c r="A43" s="149"/>
      <c r="B43" s="149"/>
      <c r="C43" s="149"/>
      <c r="D43" s="149"/>
      <c r="E43" s="149"/>
      <c r="F43" s="149"/>
      <c r="G43" s="149"/>
      <c r="H43" s="149"/>
      <c r="I43" s="153"/>
      <c r="J43" s="149"/>
      <c r="K43" s="149"/>
      <c r="L43" s="149"/>
      <c r="M43" s="150"/>
      <c r="N43" s="150"/>
      <c r="O43" s="150"/>
      <c r="P43" s="150"/>
      <c r="Q43" s="150"/>
      <c r="R43" s="150"/>
    </row>
    <row r="44" spans="1:18">
      <c r="A44" s="149"/>
      <c r="B44" s="149"/>
      <c r="C44" s="149"/>
      <c r="D44" s="149"/>
      <c r="E44" s="149"/>
      <c r="F44" s="149"/>
      <c r="G44" s="149"/>
      <c r="H44" s="149"/>
      <c r="I44" s="153"/>
      <c r="J44" s="149"/>
      <c r="K44" s="149"/>
      <c r="L44" s="149"/>
      <c r="M44" s="150"/>
      <c r="N44" s="770"/>
      <c r="O44" s="150"/>
      <c r="P44" s="150"/>
      <c r="Q44" s="150"/>
      <c r="R44" s="150"/>
    </row>
    <row r="45" spans="1:18">
      <c r="A45" s="150" t="str">
        <f>COMPANY</f>
        <v>DUKE ENERGY KENTUCKY, INC.</v>
      </c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49"/>
    </row>
    <row r="46" spans="1:18">
      <c r="A46" s="150" t="str">
        <f>CASE</f>
        <v>CASE NO. 2024-00354</v>
      </c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49"/>
    </row>
    <row r="47" spans="1:18">
      <c r="A47" s="150" t="s">
        <v>1093</v>
      </c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49"/>
    </row>
    <row r="48" spans="1:18">
      <c r="A48" s="47" t="str">
        <f>"AS OF " &amp;RIGHT(Forecast,(LEN(Forecast)-16))</f>
        <v>AS OF JUNE 30, 2026</v>
      </c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49"/>
    </row>
    <row r="49" spans="1:18">
      <c r="A49" s="150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49"/>
    </row>
    <row r="50" spans="1:18">
      <c r="A50" s="150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49"/>
    </row>
    <row r="51" spans="1:18">
      <c r="A51" s="149"/>
      <c r="B51" s="149"/>
      <c r="C51" s="149"/>
      <c r="D51" s="149"/>
      <c r="E51" s="149"/>
      <c r="F51" s="149"/>
      <c r="G51" s="149"/>
      <c r="H51" s="149"/>
      <c r="I51" s="153"/>
      <c r="J51" s="149"/>
      <c r="K51" s="149"/>
      <c r="L51" s="149"/>
      <c r="M51" s="149"/>
      <c r="N51" s="149"/>
      <c r="O51" s="153"/>
      <c r="P51" s="149"/>
      <c r="Q51" s="149"/>
      <c r="R51" s="149"/>
    </row>
    <row r="52" spans="1:18">
      <c r="A52" s="149" t="str">
        <f>DataF</f>
        <v>DATA:  BASE PERIOD  "X" FORECASTED PERIOD</v>
      </c>
      <c r="B52" s="149"/>
      <c r="C52" s="149"/>
      <c r="D52" s="149"/>
      <c r="E52" s="149"/>
      <c r="F52" s="149"/>
      <c r="G52" s="149"/>
      <c r="H52" s="149"/>
      <c r="I52" s="153"/>
      <c r="J52" s="149"/>
      <c r="K52" s="149"/>
      <c r="L52" s="149"/>
      <c r="M52" s="149"/>
      <c r="N52" s="149"/>
      <c r="O52" s="151" t="s">
        <v>1094</v>
      </c>
      <c r="P52" s="149"/>
      <c r="Q52" s="149"/>
      <c r="R52" s="149"/>
    </row>
    <row r="53" spans="1:18">
      <c r="A53" s="149" t="str">
        <f>Type</f>
        <v xml:space="preserve">TYPE OF FILING:  "X" ORIGINAL   UPDATED    REVISED  </v>
      </c>
      <c r="B53" s="149"/>
      <c r="C53" s="149"/>
      <c r="D53" s="149"/>
      <c r="E53" s="149"/>
      <c r="F53" s="149"/>
      <c r="G53" s="149"/>
      <c r="H53" s="149"/>
      <c r="I53" s="153"/>
      <c r="J53" s="149"/>
      <c r="K53" s="149"/>
      <c r="L53" s="149"/>
      <c r="M53" s="149"/>
      <c r="N53" s="149"/>
      <c r="O53" s="151" t="s">
        <v>590</v>
      </c>
      <c r="P53" s="149"/>
      <c r="Q53" s="149"/>
      <c r="R53" s="149"/>
    </row>
    <row r="54" spans="1:18">
      <c r="A54" s="151" t="s">
        <v>3166</v>
      </c>
      <c r="B54" s="149"/>
      <c r="C54" s="149"/>
      <c r="D54" s="149"/>
      <c r="E54" s="149"/>
      <c r="F54" s="149"/>
      <c r="G54" s="149"/>
      <c r="H54" s="149"/>
      <c r="I54" s="153"/>
      <c r="J54" s="149"/>
      <c r="K54" s="149"/>
      <c r="L54" s="149"/>
      <c r="M54" s="149"/>
      <c r="N54" s="149"/>
      <c r="O54" s="151" t="s">
        <v>468</v>
      </c>
      <c r="P54" s="149"/>
      <c r="Q54" s="149"/>
      <c r="R54" s="149"/>
    </row>
    <row r="55" spans="1:18">
      <c r="A55" s="149"/>
      <c r="B55" s="149"/>
      <c r="C55" s="149"/>
      <c r="D55" s="149"/>
      <c r="E55" s="149"/>
      <c r="F55" s="149"/>
      <c r="G55" s="149"/>
      <c r="H55" s="149"/>
      <c r="I55" s="153"/>
      <c r="J55" s="149"/>
      <c r="K55" s="149"/>
      <c r="L55" s="149"/>
      <c r="M55" s="149"/>
      <c r="N55" s="149"/>
      <c r="O55" s="82" t="str">
        <f>_WIT3</f>
        <v>J. R. PANIZZA</v>
      </c>
      <c r="P55" s="149"/>
      <c r="Q55" s="149"/>
      <c r="R55" s="149"/>
    </row>
    <row r="56" spans="1:18">
      <c r="A56" s="1478"/>
      <c r="B56" s="1478"/>
      <c r="C56" s="1478"/>
      <c r="D56" s="1478"/>
      <c r="E56" s="1478"/>
      <c r="F56" s="1478"/>
      <c r="G56" s="1478"/>
      <c r="H56" s="1478"/>
      <c r="I56" s="1479"/>
      <c r="J56" s="1478"/>
      <c r="K56" s="1478"/>
      <c r="L56" s="1478"/>
      <c r="M56" s="149"/>
      <c r="N56" s="149"/>
      <c r="O56" s="153"/>
      <c r="P56" s="149"/>
      <c r="Q56" s="149"/>
      <c r="R56" s="149"/>
    </row>
    <row r="57" spans="1:18">
      <c r="A57" s="149"/>
      <c r="B57" s="149"/>
      <c r="C57" s="149"/>
      <c r="D57" s="149"/>
      <c r="E57" s="149"/>
      <c r="F57" s="149"/>
      <c r="G57" s="153" t="s">
        <v>1120</v>
      </c>
      <c r="H57" s="149"/>
      <c r="I57" s="153"/>
      <c r="J57" s="149"/>
      <c r="K57" s="149"/>
      <c r="L57" s="149"/>
      <c r="M57" s="2120"/>
      <c r="N57" s="2120"/>
      <c r="O57" s="2121"/>
      <c r="P57" s="2120"/>
      <c r="Q57" s="149"/>
      <c r="R57" s="149"/>
    </row>
    <row r="58" spans="1:18">
      <c r="A58" s="149"/>
      <c r="B58" s="149"/>
      <c r="C58" s="149"/>
      <c r="D58" s="150"/>
      <c r="E58" s="149"/>
      <c r="F58" s="149"/>
      <c r="G58" s="153" t="s">
        <v>1121</v>
      </c>
      <c r="H58" s="149"/>
      <c r="I58" s="153"/>
      <c r="J58" s="149"/>
      <c r="K58" s="149"/>
      <c r="L58" s="149"/>
      <c r="M58" s="149"/>
      <c r="N58" s="149"/>
      <c r="O58" s="153"/>
      <c r="P58" s="153" t="s">
        <v>1096</v>
      </c>
      <c r="Q58" s="149"/>
      <c r="R58" s="149"/>
    </row>
    <row r="59" spans="1:18">
      <c r="A59" s="153" t="s">
        <v>471</v>
      </c>
      <c r="B59" s="149"/>
      <c r="C59" s="153" t="s">
        <v>1045</v>
      </c>
      <c r="D59" s="150"/>
      <c r="E59" s="149"/>
      <c r="F59" s="149"/>
      <c r="G59" s="153" t="s">
        <v>500</v>
      </c>
      <c r="H59" s="149"/>
      <c r="I59" s="150" t="s">
        <v>937</v>
      </c>
      <c r="J59" s="150"/>
      <c r="K59" s="149"/>
      <c r="L59" s="153" t="s">
        <v>1006</v>
      </c>
      <c r="M59" s="149"/>
      <c r="N59" s="149"/>
      <c r="O59" s="153"/>
      <c r="P59" s="153" t="s">
        <v>1006</v>
      </c>
      <c r="Q59" s="149"/>
      <c r="R59" s="149"/>
    </row>
    <row r="60" spans="1:18">
      <c r="A60" s="153" t="s">
        <v>475</v>
      </c>
      <c r="B60" s="149"/>
      <c r="C60" s="153" t="s">
        <v>941</v>
      </c>
      <c r="D60" s="150"/>
      <c r="E60" s="150" t="s">
        <v>476</v>
      </c>
      <c r="F60" s="150"/>
      <c r="G60" s="153" t="s">
        <v>478</v>
      </c>
      <c r="H60" s="149"/>
      <c r="I60" s="153" t="s">
        <v>1012</v>
      </c>
      <c r="J60" s="153" t="s">
        <v>420</v>
      </c>
      <c r="K60" s="149"/>
      <c r="L60" s="153" t="s">
        <v>975</v>
      </c>
      <c r="M60" s="149"/>
      <c r="N60" s="153" t="s">
        <v>1097</v>
      </c>
      <c r="O60" s="153"/>
      <c r="P60" s="153" t="s">
        <v>975</v>
      </c>
      <c r="Q60" s="149"/>
      <c r="R60" s="149"/>
    </row>
    <row r="61" spans="1:18">
      <c r="A61" s="1478"/>
      <c r="B61" s="1478"/>
      <c r="C61" s="1478"/>
      <c r="D61" s="1478"/>
      <c r="E61" s="1478"/>
      <c r="F61" s="1478"/>
      <c r="G61" s="1480"/>
      <c r="H61" s="1478"/>
      <c r="I61" s="1479"/>
      <c r="J61" s="1478"/>
      <c r="K61" s="1478"/>
      <c r="L61" s="1478"/>
      <c r="M61" s="149"/>
      <c r="N61" s="149"/>
      <c r="O61" s="153"/>
      <c r="P61" s="149"/>
      <c r="Q61" s="149"/>
      <c r="R61" s="149"/>
    </row>
    <row r="62" spans="1:18">
      <c r="A62" s="149"/>
      <c r="B62" s="149"/>
      <c r="C62" s="149"/>
      <c r="D62" s="149"/>
      <c r="E62" s="149"/>
      <c r="F62" s="149"/>
      <c r="G62" s="156" t="s">
        <v>506</v>
      </c>
      <c r="H62" s="149"/>
      <c r="I62" s="157" t="s">
        <v>510</v>
      </c>
      <c r="J62" s="150"/>
      <c r="K62" s="149"/>
      <c r="L62" s="156" t="s">
        <v>519</v>
      </c>
      <c r="M62" s="2120"/>
      <c r="N62" s="2121" t="s">
        <v>911</v>
      </c>
      <c r="O62" s="2121"/>
      <c r="P62" s="2121" t="s">
        <v>976</v>
      </c>
      <c r="Q62" s="149"/>
      <c r="R62" s="149"/>
    </row>
    <row r="63" spans="1:18">
      <c r="A63" s="149"/>
      <c r="B63" s="149"/>
      <c r="C63" s="149"/>
      <c r="D63" s="149"/>
      <c r="E63" s="149"/>
      <c r="F63" s="149"/>
      <c r="G63" s="159"/>
      <c r="H63" s="159"/>
      <c r="I63" s="160"/>
      <c r="J63" s="159"/>
      <c r="K63" s="159"/>
      <c r="L63" s="159"/>
      <c r="M63" s="149"/>
      <c r="N63" s="149"/>
      <c r="O63" s="153"/>
      <c r="P63" s="149"/>
      <c r="Q63" s="149"/>
      <c r="R63" s="149"/>
    </row>
    <row r="64" spans="1:18">
      <c r="A64" s="153">
        <v>1</v>
      </c>
      <c r="B64" s="149"/>
      <c r="C64" s="153">
        <v>255</v>
      </c>
      <c r="D64" s="149"/>
      <c r="E64" s="149" t="s">
        <v>1098</v>
      </c>
      <c r="F64" s="149"/>
      <c r="G64" s="148"/>
      <c r="H64" s="159"/>
      <c r="I64" s="160"/>
      <c r="J64" s="159"/>
      <c r="K64" s="159"/>
      <c r="L64" s="159"/>
      <c r="M64" s="159"/>
      <c r="N64" s="159"/>
      <c r="O64" s="160"/>
      <c r="P64" s="159"/>
      <c r="Q64" s="149"/>
      <c r="R64" s="149"/>
    </row>
    <row r="65" spans="1:18">
      <c r="A65" s="153">
        <v>2</v>
      </c>
      <c r="B65" s="149"/>
      <c r="C65" s="153"/>
      <c r="D65" s="149"/>
      <c r="E65" s="149"/>
      <c r="F65" s="149" t="s">
        <v>1099</v>
      </c>
      <c r="G65" s="167">
        <f>'WPB-6''s'!T136</f>
        <v>0</v>
      </c>
      <c r="H65" s="159"/>
      <c r="I65" s="160" t="s">
        <v>428</v>
      </c>
      <c r="J65" s="159">
        <f>VLOOKUP(I65,ALLOCTABLE,2)</f>
        <v>100</v>
      </c>
      <c r="K65" s="159"/>
      <c r="L65" s="159">
        <f>ROUND(G65*(J65/100),0)</f>
        <v>0</v>
      </c>
      <c r="M65" s="159"/>
      <c r="N65" s="159">
        <v>0</v>
      </c>
      <c r="O65" s="160"/>
      <c r="P65" s="159">
        <f>L65+N65</f>
        <v>0</v>
      </c>
      <c r="Q65" s="149"/>
      <c r="R65" s="149"/>
    </row>
    <row r="66" spans="1:18">
      <c r="A66" s="153">
        <v>3</v>
      </c>
      <c r="B66" s="149"/>
      <c r="C66" s="153"/>
      <c r="D66" s="149"/>
      <c r="E66" s="149"/>
      <c r="F66" s="149" t="s">
        <v>1100</v>
      </c>
      <c r="G66" s="167">
        <f>'WPB-6''s'!T137</f>
        <v>0</v>
      </c>
      <c r="H66" s="159"/>
      <c r="I66" s="160" t="s">
        <v>428</v>
      </c>
      <c r="J66" s="159">
        <f>VLOOKUP(I66,ALLOCTABLE,2)</f>
        <v>100</v>
      </c>
      <c r="K66" s="159"/>
      <c r="L66" s="159">
        <f>ROUND(G66*(J66/100),0)</f>
        <v>0</v>
      </c>
      <c r="M66" s="159"/>
      <c r="N66" s="159">
        <f>-L66</f>
        <v>0</v>
      </c>
      <c r="O66" s="160" t="s">
        <v>857</v>
      </c>
      <c r="P66" s="159">
        <f>L66+N66</f>
        <v>0</v>
      </c>
      <c r="Q66" s="149"/>
      <c r="R66" s="149"/>
    </row>
    <row r="67" spans="1:18">
      <c r="A67" s="153">
        <v>4</v>
      </c>
      <c r="B67" s="149"/>
      <c r="C67" s="153"/>
      <c r="D67" s="149"/>
      <c r="E67" s="149"/>
      <c r="F67" s="149" t="s">
        <v>1101</v>
      </c>
      <c r="G67" s="167">
        <f>'WPB-6''s'!T138</f>
        <v>0</v>
      </c>
      <c r="H67" s="159"/>
      <c r="I67" s="160" t="s">
        <v>428</v>
      </c>
      <c r="J67" s="159">
        <f>VLOOKUP(I67,ALLOCTABLE,2)</f>
        <v>100</v>
      </c>
      <c r="K67" s="159"/>
      <c r="L67" s="159">
        <f>ROUND(G67*(J67/100),0)</f>
        <v>0</v>
      </c>
      <c r="M67" s="159"/>
      <c r="N67" s="159">
        <f>-L67</f>
        <v>0</v>
      </c>
      <c r="O67" s="160" t="s">
        <v>857</v>
      </c>
      <c r="P67" s="159">
        <f>L67+N67</f>
        <v>0</v>
      </c>
      <c r="Q67" s="149"/>
      <c r="R67" s="149"/>
    </row>
    <row r="68" spans="1:18">
      <c r="A68" s="153">
        <v>5</v>
      </c>
      <c r="B68" s="149"/>
      <c r="C68" s="153"/>
      <c r="D68" s="149"/>
      <c r="E68" s="149"/>
      <c r="F68" s="149" t="s">
        <v>1102</v>
      </c>
      <c r="G68" s="1481">
        <f>'WPB-6''s'!T139</f>
        <v>-5135704</v>
      </c>
      <c r="H68" s="159"/>
      <c r="I68" s="160" t="s">
        <v>428</v>
      </c>
      <c r="J68" s="159">
        <f>VLOOKUP(I68,ALLOCTABLE,2)</f>
        <v>100</v>
      </c>
      <c r="K68" s="159"/>
      <c r="L68" s="1482">
        <f>ROUND(G68*(J68/100),0)</f>
        <v>-5135704</v>
      </c>
      <c r="M68" s="159"/>
      <c r="N68" s="1482">
        <f>-L68</f>
        <v>5135704</v>
      </c>
      <c r="O68" s="160" t="s">
        <v>857</v>
      </c>
      <c r="P68" s="1482">
        <f>L68+N68</f>
        <v>0</v>
      </c>
      <c r="Q68" s="149"/>
      <c r="R68" s="149"/>
    </row>
    <row r="69" spans="1:18" ht="13.8" thickBot="1">
      <c r="A69" s="153">
        <v>6</v>
      </c>
      <c r="B69" s="149"/>
      <c r="C69" s="153"/>
      <c r="D69" s="149"/>
      <c r="E69" s="149" t="s">
        <v>1103</v>
      </c>
      <c r="F69" s="149"/>
      <c r="G69" s="1945">
        <f>SUM(G64:G68)</f>
        <v>-5135704</v>
      </c>
      <c r="H69" s="159"/>
      <c r="I69" s="160"/>
      <c r="J69" s="159"/>
      <c r="K69" s="159"/>
      <c r="L69" s="1945">
        <f>SUM(L64:L68)</f>
        <v>-5135704</v>
      </c>
      <c r="M69" s="159"/>
      <c r="N69" s="1945">
        <f>SUM(N64:N68)</f>
        <v>5135704</v>
      </c>
      <c r="O69" s="160"/>
      <c r="P69" s="1945">
        <f>SUM(P64:P68)</f>
        <v>0</v>
      </c>
      <c r="Q69" s="1107" t="s">
        <v>1104</v>
      </c>
      <c r="R69" s="149"/>
    </row>
    <row r="70" spans="1:18" ht="13.8" thickTop="1">
      <c r="A70" s="153">
        <v>7</v>
      </c>
      <c r="B70" s="149"/>
      <c r="C70" s="153"/>
      <c r="D70" s="149"/>
      <c r="E70" s="149"/>
      <c r="F70" s="149"/>
      <c r="G70" s="1109"/>
      <c r="H70" s="159"/>
      <c r="I70" s="160"/>
      <c r="J70" s="159"/>
      <c r="K70" s="159"/>
      <c r="L70" s="1109"/>
      <c r="M70" s="159"/>
      <c r="N70" s="1109"/>
      <c r="O70" s="160"/>
      <c r="P70" s="1109"/>
      <c r="Q70" s="1107"/>
      <c r="R70" s="149"/>
    </row>
    <row r="71" spans="1:18">
      <c r="A71" s="153">
        <v>8</v>
      </c>
      <c r="B71" s="149"/>
      <c r="C71" s="1108"/>
      <c r="D71" s="149"/>
      <c r="E71" s="149" t="s">
        <v>1106</v>
      </c>
      <c r="F71" s="149"/>
      <c r="G71" s="148"/>
      <c r="H71" s="159"/>
      <c r="I71" s="160"/>
      <c r="J71" s="159"/>
      <c r="K71" s="159"/>
      <c r="L71" s="159"/>
      <c r="M71" s="159"/>
      <c r="N71" s="159"/>
      <c r="O71" s="160"/>
      <c r="P71" s="159"/>
      <c r="Q71" s="149"/>
      <c r="R71" s="149"/>
    </row>
    <row r="72" spans="1:18" ht="13.8" thickBot="1">
      <c r="A72" s="153">
        <v>9</v>
      </c>
      <c r="B72" s="149"/>
      <c r="C72" s="1108" t="s">
        <v>1122</v>
      </c>
      <c r="D72" s="149"/>
      <c r="E72" s="149" t="s">
        <v>1123</v>
      </c>
      <c r="F72" s="149"/>
      <c r="G72" s="1945">
        <f>'WPB-6''s'!T153+'WPB-6''s'!T148</f>
        <v>-209892493</v>
      </c>
      <c r="H72" s="159"/>
      <c r="I72" s="160" t="s">
        <v>428</v>
      </c>
      <c r="J72" s="159">
        <f>VLOOKUP(I72,ALLOCTABLE,2)</f>
        <v>100</v>
      </c>
      <c r="K72" s="159"/>
      <c r="L72" s="1945">
        <f>ROUND(G72*(J72/100),0)</f>
        <v>-209892493</v>
      </c>
      <c r="M72" s="159"/>
      <c r="N72" s="1947">
        <f>'WPB-6''s'!AB266+'WPB-6''s'!AM288</f>
        <v>-3306094</v>
      </c>
      <c r="O72" s="160" t="s">
        <v>3167</v>
      </c>
      <c r="P72" s="1945">
        <f>L72+N72</f>
        <v>-213198587</v>
      </c>
      <c r="Q72" s="1107" t="s">
        <v>856</v>
      </c>
      <c r="R72" s="149"/>
    </row>
    <row r="73" spans="1:18" ht="13.8" thickTop="1">
      <c r="A73" s="153">
        <v>10</v>
      </c>
      <c r="B73" s="149"/>
      <c r="C73" s="153"/>
      <c r="D73" s="149"/>
      <c r="E73" s="169"/>
      <c r="F73" s="169"/>
      <c r="G73" s="1109"/>
      <c r="H73" s="166"/>
      <c r="I73" s="160"/>
      <c r="J73" s="159"/>
      <c r="K73" s="159"/>
      <c r="L73" s="1109"/>
      <c r="M73" s="159"/>
      <c r="N73" s="1109"/>
      <c r="O73" s="160"/>
      <c r="P73" s="1109"/>
      <c r="Q73" s="149"/>
      <c r="R73" s="149"/>
    </row>
    <row r="74" spans="1:18" ht="13.8" thickBot="1">
      <c r="A74" s="153">
        <v>11</v>
      </c>
      <c r="B74" s="149"/>
      <c r="C74" s="153">
        <v>254</v>
      </c>
      <c r="D74" s="149"/>
      <c r="E74" s="149" t="s">
        <v>1109</v>
      </c>
      <c r="F74" s="169"/>
      <c r="G74" s="1945">
        <f>'WPB-6''s'!T163</f>
        <v>-44290651</v>
      </c>
      <c r="H74" s="166"/>
      <c r="I74" s="160" t="s">
        <v>428</v>
      </c>
      <c r="J74" s="159">
        <f>VLOOKUP(I74,ALLOCTABLE,2)</f>
        <v>100</v>
      </c>
      <c r="K74" s="159"/>
      <c r="L74" s="1945">
        <f>ROUND(G74*(J74/100),0)</f>
        <v>-44290651</v>
      </c>
      <c r="M74" s="159"/>
      <c r="N74" s="1945">
        <v>0</v>
      </c>
      <c r="O74" s="160"/>
      <c r="P74" s="1945">
        <f>L74+N74</f>
        <v>-44290651</v>
      </c>
      <c r="Q74" s="1107" t="s">
        <v>859</v>
      </c>
      <c r="R74" s="149"/>
    </row>
    <row r="75" spans="1:18" ht="13.8" thickTop="1">
      <c r="A75" s="10">
        <v>12</v>
      </c>
      <c r="F75" s="40"/>
      <c r="G75" s="28"/>
      <c r="H75" s="28"/>
      <c r="I75" s="2001"/>
      <c r="J75" s="28"/>
      <c r="K75" s="28"/>
      <c r="L75" s="28"/>
      <c r="M75" s="28"/>
      <c r="N75" s="28"/>
      <c r="O75" s="2001"/>
      <c r="P75" s="28"/>
      <c r="Q75" s="1928"/>
    </row>
    <row r="76" spans="1:18" ht="13.8" thickBot="1">
      <c r="A76" s="10">
        <v>13</v>
      </c>
      <c r="C76" s="10">
        <v>182</v>
      </c>
      <c r="E76" s="40" t="s">
        <v>1110</v>
      </c>
      <c r="F76" s="40"/>
      <c r="G76" s="1937">
        <f>'WPB-6''s'!T166</f>
        <v>-225242</v>
      </c>
      <c r="H76" s="28"/>
      <c r="I76" s="1744" t="s">
        <v>428</v>
      </c>
      <c r="J76" s="1745">
        <f>VLOOKUP(I76,ALLOCTABLE,2)</f>
        <v>100</v>
      </c>
      <c r="K76" s="28"/>
      <c r="L76" s="1937">
        <f>ROUND(G76*(J76/100),0)</f>
        <v>-225242</v>
      </c>
      <c r="M76" s="28"/>
      <c r="N76" s="1935">
        <v>0</v>
      </c>
      <c r="O76" s="2001"/>
      <c r="P76" s="1937">
        <f>L76+N76</f>
        <v>-225242</v>
      </c>
      <c r="Q76" s="1107" t="s">
        <v>859</v>
      </c>
    </row>
    <row r="77" spans="1:18" ht="13.8" thickTop="1">
      <c r="A77" s="149"/>
      <c r="B77" s="149"/>
      <c r="C77" s="149"/>
      <c r="D77" s="149"/>
      <c r="E77" s="149"/>
      <c r="F77" s="169"/>
      <c r="G77" s="149"/>
      <c r="H77" s="94"/>
      <c r="I77" s="153"/>
      <c r="J77" s="149"/>
      <c r="K77" s="149"/>
      <c r="L77" s="149"/>
      <c r="M77" s="149"/>
      <c r="N77" s="149"/>
      <c r="O77" s="153"/>
      <c r="P77" s="149"/>
      <c r="Q77" s="149"/>
      <c r="R77" s="149"/>
    </row>
    <row r="78" spans="1:18">
      <c r="A78" s="149"/>
      <c r="B78" s="149"/>
      <c r="C78" s="149"/>
      <c r="D78" s="149"/>
      <c r="E78" s="149"/>
      <c r="F78" s="169"/>
      <c r="G78" s="149"/>
      <c r="H78" s="94"/>
      <c r="I78" s="153"/>
      <c r="J78" s="149"/>
      <c r="K78" s="149"/>
      <c r="L78" s="149"/>
      <c r="M78" s="149"/>
      <c r="N78" s="149"/>
      <c r="O78" s="153"/>
      <c r="P78" s="149"/>
      <c r="Q78" s="149"/>
      <c r="R78" s="149"/>
    </row>
    <row r="79" spans="1:18">
      <c r="A79" s="149"/>
      <c r="B79" s="149"/>
      <c r="C79" s="149"/>
      <c r="D79" s="149"/>
      <c r="E79" s="149"/>
      <c r="F79" s="169"/>
      <c r="G79" s="149"/>
      <c r="H79" s="94"/>
      <c r="I79" s="153"/>
      <c r="J79" s="149"/>
      <c r="K79" s="149"/>
      <c r="L79" s="149"/>
      <c r="M79" s="149"/>
      <c r="N79" s="149"/>
      <c r="O79" s="153"/>
      <c r="P79" s="149"/>
      <c r="Q79" s="149"/>
      <c r="R79" s="149"/>
    </row>
    <row r="80" spans="1:18">
      <c r="A80" s="149"/>
      <c r="B80" s="1110" t="s">
        <v>1111</v>
      </c>
      <c r="C80" s="149"/>
      <c r="D80" s="149"/>
      <c r="E80" s="149"/>
      <c r="F80" s="94"/>
      <c r="G80" s="94"/>
      <c r="H80" s="94"/>
      <c r="I80" s="153"/>
      <c r="J80" s="149"/>
      <c r="K80" s="149"/>
      <c r="L80" s="149"/>
      <c r="M80" s="149"/>
      <c r="N80" s="149"/>
      <c r="O80" s="153"/>
      <c r="P80" s="149"/>
      <c r="Q80" s="149"/>
      <c r="R80" s="149"/>
    </row>
    <row r="81" spans="1:18">
      <c r="A81" s="149"/>
      <c r="B81" s="149"/>
      <c r="C81" s="151" t="s">
        <v>1112</v>
      </c>
      <c r="D81" s="149"/>
      <c r="E81" s="149"/>
      <c r="F81" s="149"/>
      <c r="G81" s="149"/>
      <c r="H81" s="149"/>
      <c r="I81" s="153"/>
      <c r="J81" s="149"/>
      <c r="K81" s="149"/>
      <c r="L81" s="149"/>
      <c r="M81" s="149"/>
      <c r="N81" s="149"/>
      <c r="O81" s="153"/>
      <c r="P81" s="149"/>
      <c r="Q81" s="149"/>
      <c r="R81" s="149"/>
    </row>
    <row r="82" spans="1:18">
      <c r="A82" s="149"/>
      <c r="B82" s="149"/>
      <c r="C82" s="151" t="s">
        <v>1113</v>
      </c>
      <c r="D82" s="149"/>
      <c r="E82" s="149"/>
      <c r="F82" s="149"/>
      <c r="G82" s="149"/>
      <c r="H82" s="149"/>
      <c r="I82" s="153"/>
      <c r="J82" s="149"/>
      <c r="K82" s="149"/>
      <c r="L82" s="149"/>
      <c r="M82" s="149"/>
      <c r="N82" s="149"/>
      <c r="O82" s="153"/>
      <c r="P82" s="149"/>
      <c r="Q82" s="149"/>
      <c r="R82" s="149"/>
    </row>
    <row r="83" spans="1:18">
      <c r="A83" s="149"/>
      <c r="B83" s="149"/>
      <c r="C83" s="151" t="s">
        <v>1114</v>
      </c>
      <c r="D83" s="149"/>
      <c r="E83" s="149"/>
      <c r="F83" s="149"/>
      <c r="G83" s="149"/>
      <c r="H83" s="149"/>
      <c r="I83" s="153"/>
      <c r="J83" s="149"/>
      <c r="K83" s="149"/>
      <c r="L83" s="149"/>
      <c r="M83" s="149"/>
      <c r="N83" s="149"/>
      <c r="O83" s="153"/>
      <c r="P83" s="149"/>
      <c r="Q83" s="149"/>
      <c r="R83" s="149"/>
    </row>
    <row r="84" spans="1:18">
      <c r="A84" s="149"/>
      <c r="B84" s="149"/>
      <c r="C84" s="151" t="s">
        <v>1124</v>
      </c>
      <c r="D84" s="149"/>
      <c r="E84" s="149"/>
      <c r="F84" s="149"/>
      <c r="G84" s="149"/>
      <c r="H84" s="149"/>
      <c r="I84" s="153"/>
      <c r="J84" s="149"/>
      <c r="K84" s="149"/>
      <c r="L84" s="149"/>
      <c r="M84" s="149"/>
      <c r="N84" s="149"/>
      <c r="O84" s="153"/>
      <c r="P84" s="149"/>
      <c r="Q84" s="149"/>
      <c r="R84" s="149"/>
    </row>
    <row r="85" spans="1:18">
      <c r="A85" s="149"/>
      <c r="B85" s="149"/>
      <c r="C85" s="1107" t="s">
        <v>1125</v>
      </c>
      <c r="D85" s="149"/>
      <c r="E85" s="149"/>
      <c r="F85" s="149"/>
      <c r="G85" s="149"/>
      <c r="H85" s="149"/>
      <c r="I85" s="153"/>
      <c r="J85" s="149"/>
      <c r="K85" s="149"/>
      <c r="L85" s="149"/>
      <c r="M85" s="149"/>
      <c r="N85" s="149"/>
      <c r="O85" s="153"/>
      <c r="P85" s="149"/>
      <c r="Q85" s="149"/>
      <c r="R85" s="149"/>
    </row>
    <row r="86" spans="1:18">
      <c r="C86" s="151" t="s">
        <v>1126</v>
      </c>
    </row>
    <row r="87" spans="1:18">
      <c r="C87" s="151" t="s">
        <v>3165</v>
      </c>
    </row>
    <row r="89" spans="1:18">
      <c r="C89" s="1268" t="s">
        <v>1117</v>
      </c>
      <c r="D89" s="1265"/>
      <c r="E89" s="1265"/>
      <c r="F89" s="1265"/>
    </row>
    <row r="90" spans="1:18">
      <c r="C90" s="1269" t="s">
        <v>1118</v>
      </c>
      <c r="D90" s="1265"/>
      <c r="E90" s="1265"/>
      <c r="F90" s="1265"/>
    </row>
    <row r="91" spans="1:18">
      <c r="C91" s="1267" t="s">
        <v>1119</v>
      </c>
      <c r="D91" s="1265"/>
      <c r="E91" s="1265"/>
      <c r="F91" s="1265"/>
    </row>
  </sheetData>
  <phoneticPr fontId="19" type="noConversion"/>
  <hyperlinks>
    <hyperlink ref="A5" location="Sch_A" display="." xr:uid="{00000000-0004-0000-1C00-000000000000}"/>
  </hyperlinks>
  <pageMargins left="1" right="0" top="1" bottom="0" header="0.5" footer="0"/>
  <pageSetup scale="7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4">
    <tabColor theme="4" tint="0.39997558519241921"/>
    <pageSetUpPr fitToPage="1"/>
  </sheetPr>
  <dimension ref="A1:AN289"/>
  <sheetViews>
    <sheetView topLeftCell="A157" zoomScale="90" zoomScaleNormal="90" workbookViewId="0">
      <selection activeCell="I177" sqref="I177"/>
    </sheetView>
  </sheetViews>
  <sheetFormatPr defaultColWidth="8" defaultRowHeight="13.2"/>
  <cols>
    <col min="1" max="1" width="7.5546875" customWidth="1"/>
    <col min="2" max="2" width="1.5546875" customWidth="1"/>
    <col min="3" max="3" width="9" customWidth="1"/>
    <col min="4" max="4" width="1.44140625" customWidth="1"/>
    <col min="5" max="5" width="45.44140625" customWidth="1"/>
    <col min="6" max="17" width="15.44140625" customWidth="1"/>
    <col min="18" max="19" width="15.5546875" customWidth="1"/>
    <col min="20" max="20" width="16.44140625" customWidth="1"/>
    <col min="21" max="21" width="1.44140625" customWidth="1"/>
    <col min="22" max="22" width="5" customWidth="1"/>
    <col min="23" max="23" width="4.88671875" customWidth="1"/>
    <col min="24" max="24" width="9.109375" customWidth="1"/>
    <col min="25" max="25" width="4.88671875" customWidth="1"/>
    <col min="26" max="26" width="54.88671875" customWidth="1"/>
    <col min="27" max="27" width="4.88671875" customWidth="1"/>
    <col min="28" max="28" width="18.5546875" customWidth="1"/>
    <col min="29" max="29" width="9.5546875" bestFit="1" customWidth="1"/>
    <col min="30" max="30" width="9.5546875" customWidth="1"/>
    <col min="31" max="31" width="7.109375" bestFit="1" customWidth="1"/>
    <col min="32" max="32" width="13.88671875" customWidth="1"/>
    <col min="33" max="33" width="7.44140625" bestFit="1" customWidth="1"/>
    <col min="34" max="35" width="13.88671875" bestFit="1" customWidth="1"/>
    <col min="36" max="36" width="7.88671875" bestFit="1" customWidth="1"/>
    <col min="37" max="37" width="11.33203125" bestFit="1" customWidth="1"/>
    <col min="38" max="38" width="17.5546875" customWidth="1"/>
    <col min="39" max="39" width="13.88671875" bestFit="1" customWidth="1"/>
    <col min="40" max="40" width="10.5546875" bestFit="1" customWidth="1"/>
  </cols>
  <sheetData>
    <row r="1" spans="1:29">
      <c r="A1" s="149" t="str">
        <f>COMPANY</f>
        <v>DUKE ENERGY KENTUCKY, INC.</v>
      </c>
      <c r="B1" s="150"/>
      <c r="C1" s="149"/>
      <c r="D1" s="150"/>
      <c r="E1" s="150"/>
      <c r="F1" s="150"/>
      <c r="G1" s="150"/>
      <c r="H1" s="150"/>
      <c r="I1" s="150"/>
      <c r="J1" s="150"/>
      <c r="K1" s="151" t="s">
        <v>1127</v>
      </c>
      <c r="L1" s="151"/>
      <c r="M1" s="150"/>
      <c r="N1" s="149"/>
      <c r="O1" s="149"/>
      <c r="P1" s="149"/>
      <c r="Q1" s="149"/>
      <c r="R1" s="94"/>
      <c r="S1" s="150"/>
      <c r="T1" s="94"/>
      <c r="U1" s="150"/>
      <c r="V1" s="150"/>
      <c r="W1" s="94"/>
      <c r="X1" s="94"/>
      <c r="Y1" s="94"/>
      <c r="Z1" s="94"/>
      <c r="AA1" s="94"/>
      <c r="AB1" s="94"/>
      <c r="AC1" s="94"/>
    </row>
    <row r="2" spans="1:29">
      <c r="A2" s="149" t="str">
        <f>CASE</f>
        <v>CASE NO. 2024-00354</v>
      </c>
      <c r="B2" s="150"/>
      <c r="C2" s="149"/>
      <c r="D2" s="150"/>
      <c r="E2" s="150"/>
      <c r="F2" s="150"/>
      <c r="G2" s="150"/>
      <c r="H2" s="150"/>
      <c r="I2" s="150"/>
      <c r="J2" s="150"/>
      <c r="K2" s="151" t="s">
        <v>468</v>
      </c>
      <c r="L2" s="151"/>
      <c r="M2" s="150"/>
      <c r="N2" s="159"/>
      <c r="O2" s="159"/>
      <c r="P2" s="159"/>
      <c r="Q2" s="159"/>
      <c r="R2" s="94"/>
      <c r="S2" s="150"/>
      <c r="T2" s="94"/>
      <c r="U2" s="150"/>
      <c r="V2" s="150"/>
      <c r="W2" s="94"/>
      <c r="X2" s="166"/>
      <c r="Y2" s="166"/>
      <c r="Z2" s="166"/>
      <c r="AA2" s="166"/>
      <c r="AB2" s="166"/>
      <c r="AC2" s="166"/>
    </row>
    <row r="3" spans="1:29">
      <c r="A3" s="149" t="s">
        <v>1093</v>
      </c>
      <c r="B3" s="150"/>
      <c r="C3" s="149"/>
      <c r="D3" s="150"/>
      <c r="E3" s="150"/>
      <c r="F3" s="150"/>
      <c r="G3" s="150"/>
      <c r="H3" s="150"/>
      <c r="I3" s="150"/>
      <c r="J3" s="150"/>
      <c r="K3" s="151" t="str">
        <f>_WIT3</f>
        <v>J. R. PANIZZA</v>
      </c>
      <c r="L3" s="151"/>
      <c r="M3" s="150"/>
      <c r="N3" s="159"/>
      <c r="O3" s="159"/>
      <c r="P3" s="159"/>
      <c r="Q3" s="159"/>
      <c r="R3" s="94"/>
      <c r="S3" s="150"/>
      <c r="T3" s="94"/>
      <c r="U3" s="150"/>
      <c r="V3" s="150"/>
      <c r="W3" s="94"/>
      <c r="X3" s="166"/>
      <c r="Y3" s="166"/>
      <c r="Z3" s="166"/>
      <c r="AA3" s="166"/>
      <c r="AB3" s="166"/>
      <c r="AC3" s="166"/>
    </row>
    <row r="4" spans="1:29">
      <c r="A4" s="149" t="str">
        <f>Data</f>
        <v>DATA: "X" BASE PERIOD   FORECASTED PERIOD</v>
      </c>
      <c r="B4" s="150"/>
      <c r="C4" s="149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9"/>
      <c r="O4" s="159"/>
      <c r="P4" s="159"/>
      <c r="Q4" s="159"/>
      <c r="R4" s="150"/>
      <c r="S4" s="150"/>
      <c r="T4" s="150"/>
      <c r="U4" s="150"/>
      <c r="V4" s="150"/>
      <c r="W4" s="94"/>
      <c r="X4" s="166"/>
      <c r="Y4" s="166"/>
      <c r="Z4" s="166"/>
      <c r="AA4" s="166"/>
      <c r="AB4" s="166"/>
      <c r="AC4" s="166"/>
    </row>
    <row r="5" spans="1:29">
      <c r="A5" s="95" t="s">
        <v>1128</v>
      </c>
      <c r="B5" s="150"/>
      <c r="C5" s="150"/>
      <c r="D5" s="150"/>
      <c r="E5" s="770"/>
      <c r="F5" s="150"/>
      <c r="G5" s="152"/>
      <c r="H5" s="152"/>
      <c r="I5" s="152"/>
      <c r="J5" s="152"/>
      <c r="K5" s="152"/>
      <c r="L5" s="152"/>
      <c r="M5" s="152"/>
      <c r="N5" s="159"/>
      <c r="O5" s="159"/>
      <c r="P5" s="159"/>
      <c r="Q5" s="159"/>
      <c r="R5" s="150"/>
      <c r="S5" s="150"/>
      <c r="T5" s="150"/>
      <c r="U5" s="150"/>
      <c r="V5" s="150"/>
      <c r="W5" s="94"/>
      <c r="X5" s="166"/>
      <c r="Y5" s="166"/>
      <c r="Z5" s="166"/>
      <c r="AA5" s="166"/>
      <c r="AB5" s="166"/>
      <c r="AC5" s="166"/>
    </row>
    <row r="6" spans="1:29">
      <c r="A6" s="1393" t="s">
        <v>55</v>
      </c>
      <c r="B6" s="150"/>
      <c r="C6" s="150"/>
      <c r="D6" s="150"/>
      <c r="E6" s="150"/>
      <c r="F6" s="774"/>
      <c r="G6" s="774"/>
      <c r="H6" s="774"/>
      <c r="I6" s="774"/>
      <c r="J6" s="774"/>
      <c r="K6" s="774"/>
      <c r="L6" s="774"/>
      <c r="M6" s="152"/>
      <c r="N6" s="774"/>
      <c r="O6" s="774"/>
      <c r="P6" s="774"/>
      <c r="Q6" s="160"/>
      <c r="R6" s="150"/>
      <c r="S6" s="150"/>
      <c r="T6" s="150"/>
      <c r="U6" s="150"/>
      <c r="V6" s="150"/>
      <c r="W6" s="94"/>
      <c r="X6" s="166"/>
      <c r="Y6" s="166"/>
      <c r="Z6" s="166"/>
      <c r="AA6" s="166"/>
      <c r="AB6" s="166"/>
      <c r="AC6" s="166"/>
    </row>
    <row r="7" spans="1:29">
      <c r="A7" s="95"/>
      <c r="B7" s="150"/>
      <c r="C7" s="150"/>
      <c r="D7" s="150"/>
      <c r="E7" s="150"/>
      <c r="F7" s="774"/>
      <c r="G7" s="774"/>
      <c r="H7" s="774"/>
      <c r="I7" s="774"/>
      <c r="J7" s="774"/>
      <c r="K7" s="774"/>
      <c r="L7" s="774"/>
      <c r="M7" s="152"/>
      <c r="N7" s="774"/>
      <c r="O7" s="774"/>
      <c r="P7" s="774"/>
      <c r="Q7" s="160"/>
      <c r="R7" s="150"/>
      <c r="S7" s="150"/>
      <c r="T7" s="150"/>
      <c r="U7" s="150"/>
      <c r="V7" s="150"/>
      <c r="W7" s="94"/>
      <c r="X7" s="166"/>
      <c r="Y7" s="166"/>
      <c r="Z7" s="166"/>
      <c r="AA7" s="166"/>
      <c r="AB7" s="166"/>
      <c r="AC7" s="166"/>
    </row>
    <row r="8" spans="1:29">
      <c r="A8" s="150"/>
      <c r="B8" s="150"/>
      <c r="C8" s="150"/>
      <c r="D8" s="150"/>
      <c r="E8" s="150"/>
      <c r="F8" s="774"/>
      <c r="G8" s="774"/>
      <c r="H8" s="774"/>
      <c r="I8" s="774"/>
      <c r="J8" s="774"/>
      <c r="K8" s="774"/>
      <c r="L8" s="774"/>
      <c r="M8" s="152"/>
      <c r="N8" s="774"/>
      <c r="O8" s="774"/>
      <c r="P8" s="774"/>
      <c r="Q8" s="160"/>
      <c r="R8" s="150"/>
      <c r="S8" s="150"/>
      <c r="T8" s="150"/>
      <c r="U8" s="150"/>
      <c r="V8" s="150"/>
      <c r="W8" s="94"/>
      <c r="X8" s="166"/>
      <c r="Y8" s="166"/>
      <c r="Z8" s="166"/>
      <c r="AA8" s="166"/>
      <c r="AB8" s="166"/>
      <c r="AC8" s="166"/>
    </row>
    <row r="9" spans="1:29">
      <c r="A9" s="149"/>
      <c r="B9" s="149"/>
      <c r="C9" s="149"/>
      <c r="D9" s="149"/>
      <c r="E9" s="149"/>
      <c r="F9" s="774"/>
      <c r="G9" s="774"/>
      <c r="H9" s="774"/>
      <c r="I9" s="774"/>
      <c r="J9" s="774"/>
      <c r="K9" s="774"/>
      <c r="L9" s="774"/>
      <c r="M9" s="152"/>
      <c r="N9" s="774"/>
      <c r="O9" s="774"/>
      <c r="P9" s="774"/>
      <c r="Q9" s="774"/>
      <c r="R9" s="149"/>
      <c r="S9" s="149"/>
      <c r="T9" s="149"/>
      <c r="U9" s="149"/>
      <c r="V9" s="153"/>
      <c r="W9" s="94"/>
      <c r="X9" s="166"/>
      <c r="Y9" s="166"/>
      <c r="Z9" s="166"/>
      <c r="AA9" s="166"/>
      <c r="AB9" s="166"/>
      <c r="AC9" s="166"/>
    </row>
    <row r="10" spans="1:29">
      <c r="A10" s="1478"/>
      <c r="B10" s="1478"/>
      <c r="C10" s="1478"/>
      <c r="D10" s="1478"/>
      <c r="E10" s="1478"/>
      <c r="F10" s="1483"/>
      <c r="G10" s="1483"/>
      <c r="H10" s="1483"/>
      <c r="I10" s="1483"/>
      <c r="J10" s="1483"/>
      <c r="K10" s="1483"/>
      <c r="L10" s="1483"/>
      <c r="M10" s="154"/>
      <c r="N10" s="1483"/>
      <c r="O10" s="1483"/>
      <c r="P10" s="1483"/>
      <c r="Q10" s="1483"/>
      <c r="R10" s="149"/>
      <c r="S10" s="149"/>
      <c r="T10" s="149"/>
      <c r="U10" s="149"/>
      <c r="V10" s="153"/>
      <c r="W10" s="94"/>
      <c r="X10" s="166"/>
      <c r="Y10" s="166"/>
      <c r="Z10" s="166"/>
      <c r="AA10" s="166"/>
      <c r="AB10" s="166"/>
      <c r="AC10" s="166"/>
    </row>
    <row r="11" spans="1:29">
      <c r="A11" s="149"/>
      <c r="B11" s="149"/>
      <c r="C11" s="149"/>
      <c r="D11" s="149"/>
      <c r="E11" s="149"/>
      <c r="F11" s="153"/>
      <c r="G11" s="153"/>
      <c r="H11" s="153"/>
      <c r="I11" s="153"/>
      <c r="J11" s="153"/>
      <c r="K11" s="153"/>
      <c r="L11" s="153"/>
      <c r="M11" s="149"/>
      <c r="N11" s="153"/>
      <c r="O11" s="153"/>
      <c r="P11" s="153"/>
      <c r="Q11" s="153"/>
      <c r="R11" s="149"/>
      <c r="S11" s="149"/>
      <c r="T11" s="149"/>
      <c r="U11" s="153"/>
      <c r="V11" s="153"/>
      <c r="W11" s="94"/>
      <c r="X11" s="166"/>
      <c r="Y11" s="166"/>
      <c r="Z11" s="166"/>
      <c r="AA11" s="166"/>
      <c r="AB11" s="166"/>
      <c r="AC11" s="166"/>
    </row>
    <row r="12" spans="1:29">
      <c r="A12" s="153" t="s">
        <v>471</v>
      </c>
      <c r="B12" s="149"/>
      <c r="C12" s="153" t="s">
        <v>1045</v>
      </c>
      <c r="D12" s="150"/>
      <c r="E12" s="149"/>
      <c r="F12" s="656" t="s">
        <v>1129</v>
      </c>
      <c r="G12" s="754" t="s">
        <v>1130</v>
      </c>
      <c r="H12" s="656" t="s">
        <v>1131</v>
      </c>
      <c r="I12" s="656" t="s">
        <v>1132</v>
      </c>
      <c r="J12" s="656" t="s">
        <v>1133</v>
      </c>
      <c r="K12" s="656" t="s">
        <v>1134</v>
      </c>
      <c r="L12" s="656" t="s">
        <v>1135</v>
      </c>
      <c r="N12" s="656" t="s">
        <v>1136</v>
      </c>
      <c r="O12" s="656" t="s">
        <v>1137</v>
      </c>
      <c r="P12" s="656" t="s">
        <v>1138</v>
      </c>
      <c r="Q12" s="656" t="s">
        <v>1139</v>
      </c>
      <c r="R12" s="94"/>
      <c r="S12" s="94"/>
      <c r="T12" s="153"/>
      <c r="U12" s="153"/>
      <c r="V12" s="153"/>
      <c r="W12" s="94"/>
      <c r="X12" s="166"/>
      <c r="Y12" s="166"/>
      <c r="Z12" s="166"/>
      <c r="AA12" s="166"/>
      <c r="AB12" s="166"/>
      <c r="AC12" s="166"/>
    </row>
    <row r="13" spans="1:29">
      <c r="A13" s="153" t="s">
        <v>475</v>
      </c>
      <c r="B13" s="149"/>
      <c r="C13" s="153" t="s">
        <v>941</v>
      </c>
      <c r="D13" s="150"/>
      <c r="E13" s="150" t="s">
        <v>476</v>
      </c>
      <c r="F13" s="755">
        <v>2024</v>
      </c>
      <c r="G13" s="657">
        <f>$F$13</f>
        <v>2024</v>
      </c>
      <c r="H13" s="657">
        <f t="shared" ref="H13:J13" si="0">$F$13</f>
        <v>2024</v>
      </c>
      <c r="I13" s="657">
        <f t="shared" si="0"/>
        <v>2024</v>
      </c>
      <c r="J13" s="657">
        <f t="shared" si="0"/>
        <v>2024</v>
      </c>
      <c r="K13" s="755">
        <v>2025</v>
      </c>
      <c r="L13" s="657">
        <f>$K$13</f>
        <v>2025</v>
      </c>
      <c r="N13" s="657">
        <f>$K$13</f>
        <v>2025</v>
      </c>
      <c r="O13" s="657">
        <f>$K$13</f>
        <v>2025</v>
      </c>
      <c r="P13" s="657">
        <f>O13</f>
        <v>2025</v>
      </c>
      <c r="Q13" s="657">
        <f>O13</f>
        <v>2025</v>
      </c>
      <c r="R13" s="94"/>
      <c r="S13" s="94"/>
      <c r="T13" s="155"/>
      <c r="U13" s="153"/>
      <c r="V13" s="153"/>
      <c r="W13" s="94"/>
      <c r="X13" s="166"/>
      <c r="Y13" s="166"/>
      <c r="Z13" s="166"/>
      <c r="AA13" s="166"/>
      <c r="AB13" s="166"/>
      <c r="AC13" s="166"/>
    </row>
    <row r="14" spans="1:29">
      <c r="A14" s="1478"/>
      <c r="B14" s="1478"/>
      <c r="C14" s="1478"/>
      <c r="D14" s="1478"/>
      <c r="E14" s="1478"/>
      <c r="F14" s="1484"/>
      <c r="G14" s="1484"/>
      <c r="H14" s="1484"/>
      <c r="I14" s="1484"/>
      <c r="J14" s="1478"/>
      <c r="K14" s="1478"/>
      <c r="L14" s="1408"/>
      <c r="N14" s="1408"/>
      <c r="O14" s="1408"/>
      <c r="P14" s="1408"/>
      <c r="Q14" s="1408"/>
      <c r="R14" s="94"/>
      <c r="S14" s="94"/>
      <c r="T14" s="149"/>
      <c r="U14" s="149"/>
      <c r="V14" s="153"/>
      <c r="W14" s="94"/>
      <c r="X14" s="166"/>
      <c r="Y14" s="166"/>
      <c r="Z14" s="166"/>
      <c r="AA14" s="166"/>
      <c r="AB14" s="166"/>
      <c r="AC14" s="166"/>
    </row>
    <row r="15" spans="1:29">
      <c r="A15" s="149"/>
      <c r="B15" s="149"/>
      <c r="C15" s="149"/>
      <c r="D15" s="149"/>
      <c r="E15" s="149"/>
      <c r="F15" s="156"/>
      <c r="G15" s="156"/>
      <c r="H15" s="157"/>
      <c r="I15" s="157"/>
      <c r="J15" s="149"/>
      <c r="K15" s="149"/>
      <c r="L15" s="94"/>
      <c r="N15" s="94"/>
      <c r="O15" s="94"/>
      <c r="P15" s="94"/>
      <c r="Q15" s="94"/>
      <c r="R15" s="94"/>
      <c r="S15" s="94"/>
      <c r="T15" s="149"/>
      <c r="U15" s="153"/>
      <c r="V15" s="153"/>
      <c r="W15" s="94"/>
      <c r="X15" s="166"/>
      <c r="Y15" s="166"/>
      <c r="Z15" s="166"/>
      <c r="AA15" s="166"/>
      <c r="AB15" s="166"/>
      <c r="AC15" s="166"/>
    </row>
    <row r="16" spans="1:29">
      <c r="A16" s="153">
        <v>1</v>
      </c>
      <c r="B16" s="149"/>
      <c r="C16" s="158" t="s">
        <v>1140</v>
      </c>
      <c r="D16" s="149"/>
      <c r="E16" s="149"/>
      <c r="F16" s="159"/>
      <c r="G16" s="159"/>
      <c r="H16" s="160"/>
      <c r="I16" s="160"/>
      <c r="J16" s="159"/>
      <c r="K16" s="159"/>
      <c r="L16" s="94"/>
      <c r="N16" s="94"/>
      <c r="O16" s="94"/>
      <c r="P16" s="94"/>
      <c r="Q16" s="94"/>
      <c r="R16" s="94"/>
      <c r="S16" s="94"/>
      <c r="T16" s="149"/>
      <c r="U16" s="149"/>
      <c r="V16" s="153"/>
      <c r="W16" s="94"/>
      <c r="X16" s="166"/>
      <c r="Y16" s="166"/>
      <c r="Z16" s="166"/>
      <c r="AA16" s="166"/>
      <c r="AB16" s="166"/>
      <c r="AC16" s="166"/>
    </row>
    <row r="17" spans="1:29" ht="13.8" thickBot="1">
      <c r="A17" s="153">
        <f t="shared" ref="A17:A48" si="1">+A16+1</f>
        <v>2</v>
      </c>
      <c r="B17" s="149"/>
      <c r="C17" s="153">
        <v>252050</v>
      </c>
      <c r="D17" s="149"/>
      <c r="E17" s="149" t="s">
        <v>1141</v>
      </c>
      <c r="F17" s="1936">
        <v>2528681</v>
      </c>
      <c r="G17" s="1937">
        <f t="shared" ref="G17:L17" si="2">F17</f>
        <v>2528681</v>
      </c>
      <c r="H17" s="1937">
        <f t="shared" si="2"/>
        <v>2528681</v>
      </c>
      <c r="I17" s="1937">
        <f t="shared" si="2"/>
        <v>2528681</v>
      </c>
      <c r="J17" s="1937">
        <f t="shared" si="2"/>
        <v>2528681</v>
      </c>
      <c r="K17" s="1937">
        <f t="shared" si="2"/>
        <v>2528681</v>
      </c>
      <c r="L17" s="1937">
        <f t="shared" si="2"/>
        <v>2528681</v>
      </c>
      <c r="M17" s="28"/>
      <c r="N17" s="1937">
        <f>L17</f>
        <v>2528681</v>
      </c>
      <c r="O17" s="1937">
        <f>N17</f>
        <v>2528681</v>
      </c>
      <c r="P17" s="1937">
        <f>O17</f>
        <v>2528681</v>
      </c>
      <c r="Q17" s="1937">
        <f>P17</f>
        <v>2528681</v>
      </c>
      <c r="R17" s="1256"/>
      <c r="S17" s="94"/>
      <c r="T17" s="159"/>
      <c r="U17" s="161"/>
      <c r="V17" s="159"/>
      <c r="W17" s="94"/>
      <c r="X17" s="166"/>
      <c r="Y17" s="166"/>
      <c r="Z17" s="166"/>
      <c r="AA17" s="166"/>
      <c r="AB17" s="166"/>
      <c r="AC17" s="166"/>
    </row>
    <row r="18" spans="1:29" ht="13.8" thickTop="1">
      <c r="A18" s="153">
        <f t="shared" si="1"/>
        <v>3</v>
      </c>
      <c r="B18" s="149"/>
      <c r="C18" s="153"/>
      <c r="D18" s="149"/>
      <c r="E18" s="149"/>
      <c r="F18" s="1745"/>
      <c r="G18" s="1745"/>
      <c r="H18" s="1744"/>
      <c r="I18" s="1744"/>
      <c r="J18" s="1745"/>
      <c r="K18" s="1745"/>
      <c r="L18" s="1741"/>
      <c r="M18" s="28"/>
      <c r="N18" s="1741"/>
      <c r="O18" s="1741"/>
      <c r="P18" s="1741"/>
      <c r="Q18" s="1741"/>
      <c r="R18" s="1256"/>
      <c r="S18" s="94"/>
      <c r="T18" s="159"/>
      <c r="U18" s="149"/>
      <c r="V18" s="159"/>
      <c r="W18" s="94"/>
      <c r="X18" s="166"/>
      <c r="Y18" s="166"/>
      <c r="Z18" s="166"/>
      <c r="AA18" s="166"/>
      <c r="AB18" s="166"/>
      <c r="AC18" s="166"/>
    </row>
    <row r="19" spans="1:29">
      <c r="A19" s="153">
        <f t="shared" si="1"/>
        <v>4</v>
      </c>
      <c r="B19" s="149"/>
      <c r="C19" s="153">
        <v>255</v>
      </c>
      <c r="D19" s="149"/>
      <c r="E19" s="149" t="s">
        <v>1142</v>
      </c>
      <c r="F19" s="1741"/>
      <c r="G19" s="1741"/>
      <c r="H19" s="1741"/>
      <c r="I19" s="1741"/>
      <c r="J19" s="1741"/>
      <c r="K19" s="1741"/>
      <c r="L19" s="1741"/>
      <c r="M19" s="28"/>
      <c r="N19" s="1741"/>
      <c r="O19" s="1741"/>
      <c r="P19" s="1741"/>
      <c r="Q19" s="1741"/>
      <c r="R19" s="1256"/>
      <c r="S19" s="94"/>
      <c r="T19" s="94"/>
      <c r="U19" s="149"/>
      <c r="V19" s="159"/>
      <c r="W19" s="94"/>
      <c r="X19" s="166"/>
      <c r="Y19" s="166"/>
      <c r="Z19" s="166"/>
      <c r="AA19" s="166"/>
      <c r="AB19" s="166"/>
      <c r="AC19" s="166"/>
    </row>
    <row r="20" spans="1:29">
      <c r="A20" s="153">
        <f t="shared" si="1"/>
        <v>5</v>
      </c>
      <c r="B20" s="149"/>
      <c r="C20" s="153"/>
      <c r="D20" s="149"/>
      <c r="E20" s="162" t="s">
        <v>1099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K20" s="61">
        <v>0</v>
      </c>
      <c r="L20" s="61">
        <v>0</v>
      </c>
      <c r="M20" s="28"/>
      <c r="N20" s="61">
        <v>0</v>
      </c>
      <c r="O20" s="61">
        <v>0</v>
      </c>
      <c r="P20" s="61">
        <v>0</v>
      </c>
      <c r="Q20" s="61">
        <v>0</v>
      </c>
      <c r="R20" s="1256"/>
      <c r="S20" s="94"/>
      <c r="T20" s="159"/>
      <c r="U20" s="149"/>
      <c r="V20" s="159"/>
      <c r="W20" s="94"/>
      <c r="X20" s="166"/>
      <c r="Y20" s="166"/>
      <c r="Z20" s="166"/>
      <c r="AA20" s="166"/>
      <c r="AB20" s="166"/>
      <c r="AC20" s="166"/>
    </row>
    <row r="21" spans="1:29">
      <c r="A21" s="153">
        <f t="shared" si="1"/>
        <v>6</v>
      </c>
      <c r="B21" s="149"/>
      <c r="C21" s="153"/>
      <c r="D21" s="149"/>
      <c r="E21" s="162" t="s">
        <v>1100</v>
      </c>
      <c r="F21" s="61">
        <v>0</v>
      </c>
      <c r="G21" s="61">
        <v>0</v>
      </c>
      <c r="H21" s="61">
        <v>0</v>
      </c>
      <c r="I21" s="61">
        <v>0</v>
      </c>
      <c r="J21" s="61">
        <v>0</v>
      </c>
      <c r="K21" s="61">
        <v>0</v>
      </c>
      <c r="L21" s="61">
        <v>0</v>
      </c>
      <c r="M21" s="28"/>
      <c r="N21" s="61">
        <v>0</v>
      </c>
      <c r="O21" s="61">
        <v>0</v>
      </c>
      <c r="P21" s="61">
        <v>0</v>
      </c>
      <c r="Q21" s="61">
        <v>0</v>
      </c>
      <c r="R21" s="1256"/>
      <c r="S21" s="94"/>
      <c r="T21" s="159"/>
      <c r="U21" s="149"/>
      <c r="V21" s="159"/>
      <c r="W21" s="94"/>
      <c r="X21" s="166"/>
      <c r="Y21" s="166"/>
      <c r="Z21" s="166"/>
      <c r="AA21" s="166"/>
      <c r="AB21" s="166"/>
      <c r="AC21" s="166"/>
    </row>
    <row r="22" spans="1:29">
      <c r="A22" s="153">
        <f t="shared" si="1"/>
        <v>7</v>
      </c>
      <c r="B22" s="149"/>
      <c r="C22" s="153"/>
      <c r="D22" s="149"/>
      <c r="E22" s="162" t="s">
        <v>1101</v>
      </c>
      <c r="F22" s="61">
        <v>0</v>
      </c>
      <c r="G22" s="61">
        <v>0</v>
      </c>
      <c r="H22" s="61">
        <v>0</v>
      </c>
      <c r="I22" s="61">
        <v>0</v>
      </c>
      <c r="J22" s="61">
        <v>0</v>
      </c>
      <c r="K22" s="61">
        <v>0</v>
      </c>
      <c r="L22" s="61">
        <v>0</v>
      </c>
      <c r="M22" s="28"/>
      <c r="N22" s="61">
        <v>0</v>
      </c>
      <c r="O22" s="61">
        <v>0</v>
      </c>
      <c r="P22" s="61">
        <v>0</v>
      </c>
      <c r="Q22" s="61">
        <v>0</v>
      </c>
      <c r="R22" s="1256"/>
      <c r="S22" s="94"/>
      <c r="T22" s="159"/>
      <c r="U22" s="149"/>
      <c r="V22" s="159"/>
      <c r="W22" s="94"/>
      <c r="X22" s="166"/>
      <c r="Y22" s="166"/>
      <c r="Z22" s="166"/>
      <c r="AA22" s="166"/>
      <c r="AB22" s="166"/>
      <c r="AC22" s="166"/>
    </row>
    <row r="23" spans="1:29">
      <c r="A23" s="153">
        <f t="shared" si="1"/>
        <v>8</v>
      </c>
      <c r="B23" s="149"/>
      <c r="C23" s="153"/>
      <c r="D23" s="149"/>
      <c r="E23" s="738" t="s">
        <v>1102</v>
      </c>
      <c r="F23" s="1808">
        <v>0</v>
      </c>
      <c r="G23" s="1808">
        <v>0</v>
      </c>
      <c r="H23" s="1808">
        <v>0</v>
      </c>
      <c r="I23" s="1808">
        <v>0</v>
      </c>
      <c r="J23" s="1808">
        <v>0</v>
      </c>
      <c r="K23" s="1808">
        <v>0</v>
      </c>
      <c r="L23" s="1808">
        <v>0</v>
      </c>
      <c r="M23" s="28"/>
      <c r="N23" s="1808">
        <v>0</v>
      </c>
      <c r="O23" s="1808">
        <v>0</v>
      </c>
      <c r="P23" s="1808">
        <v>0</v>
      </c>
      <c r="Q23" s="1808">
        <v>0</v>
      </c>
      <c r="R23" s="1256"/>
      <c r="S23" s="94"/>
      <c r="T23" s="159"/>
      <c r="U23" s="149"/>
      <c r="V23" s="159"/>
      <c r="W23" s="94"/>
      <c r="X23" s="166"/>
      <c r="Y23" s="166"/>
      <c r="Z23" s="166"/>
      <c r="AA23" s="166"/>
      <c r="AB23" s="166"/>
      <c r="AC23" s="166"/>
    </row>
    <row r="24" spans="1:29" ht="13.8" thickBot="1">
      <c r="A24" s="153">
        <f t="shared" si="1"/>
        <v>9</v>
      </c>
      <c r="B24" s="149"/>
      <c r="C24" s="153"/>
      <c r="D24" s="94"/>
      <c r="E24" s="149" t="s">
        <v>1103</v>
      </c>
      <c r="F24" s="1937">
        <f>SUM(F20:F23)</f>
        <v>0</v>
      </c>
      <c r="G24" s="1937">
        <f t="shared" ref="G24:N24" si="3">SUM(G20:G23)</f>
        <v>0</v>
      </c>
      <c r="H24" s="1937">
        <f t="shared" si="3"/>
        <v>0</v>
      </c>
      <c r="I24" s="1937">
        <f t="shared" si="3"/>
        <v>0</v>
      </c>
      <c r="J24" s="1937">
        <f t="shared" si="3"/>
        <v>0</v>
      </c>
      <c r="K24" s="1937">
        <f t="shared" si="3"/>
        <v>0</v>
      </c>
      <c r="L24" s="1937">
        <f t="shared" si="3"/>
        <v>0</v>
      </c>
      <c r="M24" s="28"/>
      <c r="N24" s="1937">
        <f t="shared" si="3"/>
        <v>0</v>
      </c>
      <c r="O24" s="1937">
        <f t="shared" ref="O24" si="4">SUM(O20:O23)</f>
        <v>0</v>
      </c>
      <c r="P24" s="1937">
        <f t="shared" ref="P24" si="5">SUM(P20:P23)</f>
        <v>0</v>
      </c>
      <c r="Q24" s="1937">
        <f t="shared" ref="Q24" si="6">SUM(Q20:Q23)</f>
        <v>0</v>
      </c>
      <c r="R24" s="1256"/>
      <c r="S24" s="94"/>
      <c r="T24" s="159"/>
      <c r="U24" s="149"/>
      <c r="V24" s="159"/>
      <c r="W24" s="94"/>
      <c r="X24" s="166"/>
      <c r="Y24" s="166"/>
      <c r="Z24" s="166"/>
      <c r="AA24" s="166"/>
      <c r="AB24" s="166"/>
      <c r="AC24" s="166"/>
    </row>
    <row r="25" spans="1:29" ht="13.8" thickTop="1">
      <c r="A25" s="153">
        <f t="shared" si="1"/>
        <v>10</v>
      </c>
      <c r="B25" s="149"/>
      <c r="C25" s="153"/>
      <c r="D25" s="94"/>
      <c r="E25" s="149"/>
      <c r="F25" s="1745"/>
      <c r="G25" s="1745"/>
      <c r="H25" s="1744"/>
      <c r="I25" s="1744"/>
      <c r="J25" s="1745"/>
      <c r="K25" s="1745"/>
      <c r="L25" s="1741"/>
      <c r="M25" s="28"/>
      <c r="N25" s="1741"/>
      <c r="O25" s="1741"/>
      <c r="P25" s="1741"/>
      <c r="Q25" s="1741"/>
      <c r="R25" s="1256"/>
      <c r="S25" s="94"/>
      <c r="T25" s="159"/>
      <c r="U25" s="149"/>
      <c r="V25" s="159"/>
      <c r="W25" s="94"/>
      <c r="X25" s="166"/>
      <c r="Y25" s="166"/>
      <c r="Z25" s="166"/>
      <c r="AA25" s="166"/>
      <c r="AB25" s="166"/>
      <c r="AC25" s="166"/>
    </row>
    <row r="26" spans="1:29">
      <c r="A26" s="153">
        <f t="shared" si="1"/>
        <v>11</v>
      </c>
      <c r="B26" s="149"/>
      <c r="C26" s="153"/>
      <c r="D26" s="149"/>
      <c r="E26" s="149" t="s">
        <v>1143</v>
      </c>
      <c r="F26" s="1743"/>
      <c r="G26" s="1743"/>
      <c r="H26" s="1744"/>
      <c r="I26" s="1744"/>
      <c r="J26" s="1745"/>
      <c r="K26" s="1745"/>
      <c r="L26" s="1741"/>
      <c r="M26" s="28"/>
      <c r="N26" s="1741"/>
      <c r="O26" s="1741"/>
      <c r="P26" s="1741"/>
      <c r="Q26" s="1741"/>
      <c r="R26" s="1256"/>
      <c r="S26" s="94"/>
      <c r="T26" s="159"/>
      <c r="U26" s="149"/>
      <c r="V26" s="159"/>
      <c r="W26" s="94"/>
      <c r="X26" s="166"/>
      <c r="Y26" s="166"/>
      <c r="Z26" s="166"/>
      <c r="AA26" s="166"/>
      <c r="AB26" s="166"/>
      <c r="AC26" s="166"/>
    </row>
    <row r="27" spans="1:29">
      <c r="A27" s="153">
        <f t="shared" si="1"/>
        <v>12</v>
      </c>
      <c r="B27" s="149"/>
      <c r="C27" s="153">
        <v>190</v>
      </c>
      <c r="D27" s="149"/>
      <c r="E27" s="164" t="s">
        <v>1144</v>
      </c>
      <c r="F27" s="61">
        <v>7698087</v>
      </c>
      <c r="G27" s="61">
        <v>8350033</v>
      </c>
      <c r="H27" s="61">
        <v>8623157</v>
      </c>
      <c r="I27" s="61">
        <v>8482171</v>
      </c>
      <c r="J27" s="61">
        <v>8755296</v>
      </c>
      <c r="K27" s="61">
        <v>8777502</v>
      </c>
      <c r="L27" s="61">
        <v>8799708</v>
      </c>
      <c r="M27" s="28"/>
      <c r="N27" s="61">
        <v>8821914</v>
      </c>
      <c r="O27" s="61">
        <v>8844120</v>
      </c>
      <c r="P27" s="61">
        <v>8866326</v>
      </c>
      <c r="Q27" s="61">
        <v>8888532</v>
      </c>
      <c r="R27" s="1256"/>
      <c r="S27" s="94"/>
      <c r="T27" s="159"/>
      <c r="U27" s="159"/>
      <c r="V27" s="159"/>
      <c r="W27" s="94"/>
      <c r="X27" s="166"/>
      <c r="Y27" s="166"/>
      <c r="Z27" s="166"/>
      <c r="AA27" s="166"/>
      <c r="AB27" s="166"/>
      <c r="AC27" s="166"/>
    </row>
    <row r="28" spans="1:29">
      <c r="A28" s="153">
        <f t="shared" si="1"/>
        <v>13</v>
      </c>
      <c r="B28" s="149"/>
      <c r="C28" s="153"/>
      <c r="D28" s="149"/>
      <c r="E28" s="164"/>
      <c r="F28" s="61"/>
      <c r="G28" s="61"/>
      <c r="H28" s="61"/>
      <c r="I28" s="61"/>
      <c r="J28" s="61"/>
      <c r="K28" s="61"/>
      <c r="L28" s="61"/>
      <c r="M28" s="28"/>
      <c r="N28" s="61"/>
      <c r="O28" s="61"/>
      <c r="P28" s="61"/>
      <c r="Q28" s="61"/>
      <c r="R28" s="1256"/>
      <c r="S28" s="94"/>
      <c r="T28" s="159"/>
      <c r="U28" s="159"/>
      <c r="V28" s="159"/>
      <c r="W28" s="94"/>
      <c r="X28" s="166"/>
      <c r="Y28" s="166"/>
      <c r="Z28" s="166"/>
      <c r="AA28" s="166"/>
      <c r="AB28" s="166"/>
      <c r="AC28" s="166"/>
    </row>
    <row r="29" spans="1:29">
      <c r="A29" s="153">
        <f t="shared" si="1"/>
        <v>14</v>
      </c>
      <c r="B29" s="149"/>
      <c r="C29" s="153">
        <v>282</v>
      </c>
      <c r="D29" s="149"/>
      <c r="E29" s="164" t="s">
        <v>1145</v>
      </c>
      <c r="F29" s="61">
        <v>-40533316</v>
      </c>
      <c r="G29" s="61">
        <v>-40845570</v>
      </c>
      <c r="H29" s="61">
        <v>-41181957</v>
      </c>
      <c r="I29" s="61">
        <v>-41516963</v>
      </c>
      <c r="J29" s="61">
        <v>-41860965</v>
      </c>
      <c r="K29" s="61">
        <v>-42016293</v>
      </c>
      <c r="L29" s="61">
        <v>-42169256</v>
      </c>
      <c r="M29" s="28"/>
      <c r="N29" s="61">
        <v>-42318550</v>
      </c>
      <c r="O29" s="61">
        <v>-42463970</v>
      </c>
      <c r="P29" s="61">
        <v>-42605303</v>
      </c>
      <c r="Q29" s="61">
        <v>-42742938</v>
      </c>
      <c r="R29" s="1256"/>
      <c r="S29" s="94"/>
      <c r="T29" s="159"/>
      <c r="U29" s="159"/>
      <c r="V29" s="159"/>
      <c r="W29" s="94"/>
      <c r="X29" s="166"/>
      <c r="Y29" s="166"/>
      <c r="Z29" s="166"/>
      <c r="AA29" s="166"/>
      <c r="AB29" s="166"/>
      <c r="AC29" s="166"/>
    </row>
    <row r="30" spans="1:29">
      <c r="A30" s="153">
        <f t="shared" si="1"/>
        <v>15</v>
      </c>
      <c r="B30" s="149"/>
      <c r="C30" s="153">
        <v>282</v>
      </c>
      <c r="D30" s="149"/>
      <c r="E30" s="164" t="s">
        <v>1146</v>
      </c>
      <c r="F30" s="61">
        <v>-61943093</v>
      </c>
      <c r="G30" s="61">
        <v>-62238952</v>
      </c>
      <c r="H30" s="61">
        <v>-62535224</v>
      </c>
      <c r="I30" s="61">
        <v>-62813452</v>
      </c>
      <c r="J30" s="61">
        <v>-63094938</v>
      </c>
      <c r="K30" s="61">
        <v>-63417856</v>
      </c>
      <c r="L30" s="61">
        <v>-63740018</v>
      </c>
      <c r="M30" s="28"/>
      <c r="N30" s="61">
        <v>-64061586</v>
      </c>
      <c r="O30" s="61">
        <v>-64381747</v>
      </c>
      <c r="P30" s="61">
        <v>-64702720</v>
      </c>
      <c r="Q30" s="61">
        <v>-65024409</v>
      </c>
      <c r="R30" s="1256"/>
      <c r="S30" s="94"/>
      <c r="T30" s="159"/>
      <c r="U30" s="159"/>
      <c r="V30" s="159"/>
      <c r="W30" s="94"/>
      <c r="X30" s="166"/>
      <c r="Y30" s="166"/>
      <c r="Z30" s="166"/>
      <c r="AA30" s="166"/>
      <c r="AB30" s="166"/>
      <c r="AC30" s="166"/>
    </row>
    <row r="31" spans="1:29">
      <c r="A31" s="153">
        <f t="shared" si="1"/>
        <v>16</v>
      </c>
      <c r="B31" s="149"/>
      <c r="C31" s="153">
        <v>283</v>
      </c>
      <c r="D31" s="149"/>
      <c r="E31" s="164" t="s">
        <v>1147</v>
      </c>
      <c r="F31" s="61">
        <v>-2872852</v>
      </c>
      <c r="G31" s="61">
        <v>-2872356</v>
      </c>
      <c r="H31" s="61">
        <v>-2871861</v>
      </c>
      <c r="I31" s="61">
        <v>-2871366</v>
      </c>
      <c r="J31" s="61">
        <v>-2870871</v>
      </c>
      <c r="K31" s="61">
        <v>-2870375</v>
      </c>
      <c r="L31" s="61">
        <v>-2869880</v>
      </c>
      <c r="M31" s="28"/>
      <c r="N31" s="61">
        <v>-2869385</v>
      </c>
      <c r="O31" s="61">
        <v>-2868889</v>
      </c>
      <c r="P31" s="61">
        <v>-2868394</v>
      </c>
      <c r="Q31" s="61">
        <v>-2867899</v>
      </c>
      <c r="R31" s="1256"/>
      <c r="S31" s="94"/>
      <c r="T31" s="159"/>
      <c r="U31" s="159"/>
      <c r="V31" s="159"/>
      <c r="W31" s="94"/>
      <c r="X31" s="166"/>
      <c r="Y31" s="166"/>
      <c r="Z31" s="166"/>
      <c r="AA31" s="166"/>
      <c r="AB31" s="166"/>
      <c r="AC31" s="166"/>
    </row>
    <row r="32" spans="1:29">
      <c r="A32" s="153">
        <f t="shared" si="1"/>
        <v>17</v>
      </c>
      <c r="B32" s="149"/>
      <c r="C32" s="153">
        <v>283</v>
      </c>
      <c r="D32" s="149"/>
      <c r="E32" s="164" t="s">
        <v>1148</v>
      </c>
      <c r="F32" s="1808">
        <v>0</v>
      </c>
      <c r="G32" s="1808">
        <v>0</v>
      </c>
      <c r="H32" s="1808">
        <v>0</v>
      </c>
      <c r="I32" s="1808">
        <v>0</v>
      </c>
      <c r="J32" s="1808">
        <v>0</v>
      </c>
      <c r="K32" s="1808">
        <v>0</v>
      </c>
      <c r="L32" s="1808">
        <v>0</v>
      </c>
      <c r="M32" s="28"/>
      <c r="N32" s="1808">
        <v>0</v>
      </c>
      <c r="O32" s="1808">
        <v>0</v>
      </c>
      <c r="P32" s="1808">
        <v>0</v>
      </c>
      <c r="Q32" s="1808">
        <v>0</v>
      </c>
      <c r="R32" s="1256"/>
      <c r="S32" s="94"/>
      <c r="T32" s="159"/>
      <c r="U32" s="159"/>
      <c r="V32" s="159"/>
      <c r="W32" s="94"/>
      <c r="X32" s="166"/>
      <c r="Y32" s="166"/>
      <c r="Z32" s="166"/>
      <c r="AA32" s="166"/>
      <c r="AB32" s="166"/>
      <c r="AC32" s="166"/>
    </row>
    <row r="33" spans="1:29" ht="13.8" thickBot="1">
      <c r="A33" s="153">
        <f t="shared" si="1"/>
        <v>18</v>
      </c>
      <c r="B33" s="149"/>
      <c r="C33" s="153"/>
      <c r="D33" s="149"/>
      <c r="E33" s="149" t="s">
        <v>1123</v>
      </c>
      <c r="F33" s="1948">
        <f t="shared" ref="F33:L33" si="7">SUM(F27:F32)</f>
        <v>-97651174</v>
      </c>
      <c r="G33" s="1948">
        <f t="shared" si="7"/>
        <v>-97606845</v>
      </c>
      <c r="H33" s="1948">
        <f t="shared" si="7"/>
        <v>-97965885</v>
      </c>
      <c r="I33" s="1948">
        <f t="shared" si="7"/>
        <v>-98719610</v>
      </c>
      <c r="J33" s="1948">
        <f t="shared" si="7"/>
        <v>-99071478</v>
      </c>
      <c r="K33" s="1948">
        <f t="shared" si="7"/>
        <v>-99527022</v>
      </c>
      <c r="L33" s="1948">
        <f t="shared" si="7"/>
        <v>-99979446</v>
      </c>
      <c r="M33" s="28"/>
      <c r="N33" s="1948">
        <f>SUM(N27:N32)</f>
        <v>-100427607</v>
      </c>
      <c r="O33" s="1948">
        <f>SUM(O27:O32)</f>
        <v>-100870486</v>
      </c>
      <c r="P33" s="1948">
        <f>SUM(P27:P32)</f>
        <v>-101310091</v>
      </c>
      <c r="Q33" s="1948">
        <f>SUM(Q27:Q32)</f>
        <v>-101746714</v>
      </c>
      <c r="R33" s="1256"/>
      <c r="S33" s="94"/>
      <c r="T33" s="148"/>
      <c r="U33" s="159"/>
      <c r="V33" s="159"/>
      <c r="W33" s="94"/>
      <c r="X33" s="166"/>
      <c r="Y33" s="166"/>
      <c r="Z33" s="166"/>
      <c r="AA33" s="166"/>
      <c r="AB33" s="166"/>
      <c r="AC33" s="166"/>
    </row>
    <row r="34" spans="1:29" ht="13.8" thickTop="1">
      <c r="A34" s="153">
        <f t="shared" si="1"/>
        <v>19</v>
      </c>
      <c r="B34" s="149"/>
      <c r="C34" s="153"/>
      <c r="D34" s="149"/>
      <c r="E34" s="149"/>
      <c r="F34" s="1743"/>
      <c r="G34" s="1743"/>
      <c r="H34" s="1743"/>
      <c r="I34" s="1743"/>
      <c r="J34" s="1743"/>
      <c r="K34" s="1743"/>
      <c r="L34" s="1743"/>
      <c r="M34" s="28"/>
      <c r="N34" s="1743"/>
      <c r="O34" s="1743"/>
      <c r="P34" s="1743"/>
      <c r="Q34" s="1743"/>
      <c r="R34" s="1256"/>
      <c r="S34" s="94"/>
      <c r="T34" s="148"/>
      <c r="U34" s="159"/>
      <c r="V34" s="159"/>
      <c r="W34" s="94"/>
      <c r="X34" s="166"/>
      <c r="Y34" s="166"/>
      <c r="Z34" s="166"/>
      <c r="AA34" s="166"/>
      <c r="AB34" s="166"/>
      <c r="AC34" s="166"/>
    </row>
    <row r="35" spans="1:29">
      <c r="A35" s="153">
        <f t="shared" si="1"/>
        <v>20</v>
      </c>
      <c r="B35" s="149"/>
      <c r="C35" s="33"/>
      <c r="D35" s="29"/>
      <c r="E35" s="29" t="s">
        <v>1149</v>
      </c>
      <c r="F35" s="1742"/>
      <c r="G35" s="1742"/>
      <c r="H35" s="1742"/>
      <c r="I35" s="1742"/>
      <c r="J35" s="1742"/>
      <c r="K35" s="1742"/>
      <c r="L35" s="1742"/>
      <c r="M35" s="28"/>
      <c r="N35" s="1742"/>
      <c r="O35" s="1742"/>
      <c r="P35" s="1742"/>
      <c r="Q35" s="1742"/>
      <c r="R35" s="1256"/>
      <c r="S35" s="94"/>
      <c r="T35" s="148"/>
      <c r="U35" s="159"/>
      <c r="V35" s="159"/>
      <c r="W35" s="94"/>
      <c r="X35" s="166"/>
      <c r="Y35" s="166"/>
      <c r="Z35" s="166"/>
      <c r="AA35" s="166"/>
      <c r="AB35" s="166"/>
      <c r="AC35" s="166"/>
    </row>
    <row r="36" spans="1:29">
      <c r="A36" s="153">
        <f t="shared" si="1"/>
        <v>21</v>
      </c>
      <c r="B36" s="149"/>
      <c r="C36" s="33">
        <v>254</v>
      </c>
      <c r="D36" s="29"/>
      <c r="E36" s="1201" t="s">
        <v>1150</v>
      </c>
      <c r="F36" s="643">
        <v>-29708068</v>
      </c>
      <c r="G36" s="643">
        <v>-29666401</v>
      </c>
      <c r="H36" s="643">
        <v>-29624735</v>
      </c>
      <c r="I36" s="643">
        <v>-29583068</v>
      </c>
      <c r="J36" s="643">
        <v>-29541401</v>
      </c>
      <c r="K36" s="643">
        <v>-29499735</v>
      </c>
      <c r="L36" s="643">
        <v>-29458068</v>
      </c>
      <c r="M36" s="28"/>
      <c r="N36" s="61">
        <v>-29416401</v>
      </c>
      <c r="O36" s="61">
        <v>-29374735</v>
      </c>
      <c r="P36" s="61">
        <v>-29333068</v>
      </c>
      <c r="Q36" s="61">
        <v>-29291401</v>
      </c>
      <c r="R36" s="1256"/>
      <c r="S36" s="94"/>
      <c r="T36" s="148"/>
      <c r="U36" s="159"/>
      <c r="V36" s="159"/>
      <c r="W36" s="94"/>
      <c r="X36" s="166"/>
      <c r="Y36" s="166"/>
      <c r="Z36" s="166"/>
      <c r="AA36" s="166"/>
      <c r="AB36" s="166"/>
      <c r="AC36" s="166"/>
    </row>
    <row r="37" spans="1:29">
      <c r="A37" s="153">
        <f t="shared" si="1"/>
        <v>22</v>
      </c>
      <c r="B37" s="149"/>
      <c r="C37" s="33">
        <v>254</v>
      </c>
      <c r="D37" s="29"/>
      <c r="E37" s="1201" t="s">
        <v>1151</v>
      </c>
      <c r="F37" s="1809">
        <v>-389891</v>
      </c>
      <c r="G37" s="1809">
        <v>-372186</v>
      </c>
      <c r="H37" s="1809">
        <v>-364594</v>
      </c>
      <c r="I37" s="1809">
        <v>-357001</v>
      </c>
      <c r="J37" s="1809">
        <v>-349409</v>
      </c>
      <c r="K37" s="1809">
        <v>-341817</v>
      </c>
      <c r="L37" s="1809">
        <v>-334225</v>
      </c>
      <c r="M37" s="28"/>
      <c r="N37" s="1808">
        <v>-326632</v>
      </c>
      <c r="O37" s="1808">
        <v>-319040</v>
      </c>
      <c r="P37" s="1808">
        <v>-311448</v>
      </c>
      <c r="Q37" s="1808">
        <v>-303855</v>
      </c>
      <c r="R37" s="1256"/>
      <c r="S37" s="94"/>
      <c r="T37" s="148"/>
      <c r="U37" s="159"/>
      <c r="V37" s="159"/>
      <c r="W37" s="94"/>
      <c r="X37" s="166"/>
      <c r="Y37" s="166"/>
      <c r="Z37" s="166"/>
      <c r="AA37" s="166"/>
      <c r="AB37" s="166"/>
      <c r="AC37" s="166"/>
    </row>
    <row r="38" spans="1:29" ht="13.8" thickBot="1">
      <c r="A38" s="153">
        <f t="shared" si="1"/>
        <v>23</v>
      </c>
      <c r="B38" s="149"/>
      <c r="C38" s="33"/>
      <c r="D38" s="29"/>
      <c r="E38" s="29" t="s">
        <v>1109</v>
      </c>
      <c r="F38" s="1938">
        <f t="shared" ref="F38" si="8">SUM(F36:F37)</f>
        <v>-30097959</v>
      </c>
      <c r="G38" s="1938">
        <f t="shared" ref="G38" si="9">SUM(G36:G37)</f>
        <v>-30038587</v>
      </c>
      <c r="H38" s="1938">
        <f t="shared" ref="H38" si="10">SUM(H36:H37)</f>
        <v>-29989329</v>
      </c>
      <c r="I38" s="1938">
        <f t="shared" ref="I38" si="11">SUM(I36:I37)</f>
        <v>-29940069</v>
      </c>
      <c r="J38" s="1938">
        <f t="shared" ref="J38" si="12">SUM(J36:J37)</f>
        <v>-29890810</v>
      </c>
      <c r="K38" s="1938">
        <f t="shared" ref="K38" si="13">SUM(K36:K37)</f>
        <v>-29841552</v>
      </c>
      <c r="L38" s="1938">
        <f t="shared" ref="L38" si="14">SUM(L36:L37)</f>
        <v>-29792293</v>
      </c>
      <c r="M38" s="28"/>
      <c r="N38" s="1938">
        <f>SUM(N36:N37)</f>
        <v>-29743033</v>
      </c>
      <c r="O38" s="1938">
        <f>SUM(O36:O37)</f>
        <v>-29693775</v>
      </c>
      <c r="P38" s="1938">
        <f>SUM(P36:P37)</f>
        <v>-29644516</v>
      </c>
      <c r="Q38" s="1938">
        <f>SUM(Q36:Q37)</f>
        <v>-29595256</v>
      </c>
      <c r="R38" s="1256"/>
      <c r="S38" s="94"/>
      <c r="T38" s="148"/>
      <c r="U38" s="159"/>
      <c r="V38" s="159"/>
      <c r="W38" s="94"/>
      <c r="X38" s="166"/>
      <c r="Y38" s="166"/>
      <c r="Z38" s="166"/>
      <c r="AA38" s="166"/>
      <c r="AB38" s="166"/>
      <c r="AC38" s="166"/>
    </row>
    <row r="39" spans="1:29" ht="13.8" thickTop="1">
      <c r="A39" s="153">
        <f t="shared" si="1"/>
        <v>24</v>
      </c>
      <c r="B39" s="149"/>
      <c r="C39" s="153"/>
      <c r="D39" s="149"/>
      <c r="E39" s="149"/>
      <c r="F39" s="165"/>
      <c r="G39" s="165"/>
      <c r="H39" s="165"/>
      <c r="I39" s="165"/>
      <c r="J39" s="165"/>
      <c r="K39" s="165"/>
      <c r="L39" s="1741"/>
      <c r="M39" s="28"/>
      <c r="N39" s="1741"/>
      <c r="O39" s="1741"/>
      <c r="P39" s="1741"/>
      <c r="Q39" s="1741"/>
      <c r="R39" s="1256"/>
      <c r="S39" s="94"/>
      <c r="T39" s="165"/>
      <c r="U39" s="159"/>
      <c r="V39" s="159"/>
      <c r="W39" s="94"/>
      <c r="X39" s="166"/>
      <c r="Y39" s="166"/>
      <c r="Z39" s="166"/>
      <c r="AA39" s="166"/>
      <c r="AB39" s="166"/>
      <c r="AC39" s="166"/>
    </row>
    <row r="40" spans="1:29">
      <c r="A40" s="1736">
        <f t="shared" si="1"/>
        <v>25</v>
      </c>
      <c r="B40" s="1739"/>
      <c r="C40" s="10"/>
      <c r="E40" t="s">
        <v>1152</v>
      </c>
      <c r="F40" s="1742"/>
      <c r="G40" s="1742"/>
      <c r="H40" s="1742"/>
      <c r="I40" s="1742"/>
      <c r="J40" s="1742"/>
      <c r="K40" s="1742"/>
      <c r="L40" s="1742"/>
      <c r="M40" s="28"/>
      <c r="N40" s="1742"/>
      <c r="O40" s="1742"/>
      <c r="P40" s="1742"/>
      <c r="Q40" s="1742"/>
      <c r="R40" s="1256"/>
      <c r="S40" s="1256"/>
      <c r="T40" s="1743"/>
      <c r="U40" s="1745"/>
      <c r="V40" s="1745"/>
      <c r="W40" s="1256"/>
      <c r="X40" s="1741"/>
      <c r="Y40" s="1741"/>
      <c r="Z40" s="1741"/>
      <c r="AA40" s="1741"/>
      <c r="AB40" s="1741"/>
      <c r="AC40" s="1741"/>
    </row>
    <row r="41" spans="1:29" ht="13.8" thickBot="1">
      <c r="A41" s="1736">
        <f t="shared" si="1"/>
        <v>26</v>
      </c>
      <c r="B41" s="1739"/>
      <c r="C41" s="10">
        <v>182</v>
      </c>
      <c r="E41" s="1201" t="s">
        <v>1151</v>
      </c>
      <c r="F41" s="1933">
        <v>-336839</v>
      </c>
      <c r="G41" s="1933">
        <v>-321771</v>
      </c>
      <c r="H41" s="1933">
        <v>-316748</v>
      </c>
      <c r="I41" s="1933">
        <v>-311726</v>
      </c>
      <c r="J41" s="1933">
        <v>-306703</v>
      </c>
      <c r="K41" s="1933">
        <v>-301680</v>
      </c>
      <c r="L41" s="1933">
        <v>-296657</v>
      </c>
      <c r="M41" s="28"/>
      <c r="N41" s="1934">
        <v>-291635</v>
      </c>
      <c r="O41" s="1934">
        <v>-286612</v>
      </c>
      <c r="P41" s="1934">
        <v>-281589</v>
      </c>
      <c r="Q41" s="1934">
        <v>-276566</v>
      </c>
      <c r="R41" s="1256"/>
      <c r="S41" s="1256"/>
      <c r="T41" s="1743"/>
      <c r="U41" s="1745"/>
      <c r="V41" s="1745"/>
      <c r="W41" s="1256"/>
      <c r="X41" s="1741"/>
      <c r="Y41" s="1741"/>
      <c r="Z41" s="1741"/>
      <c r="AA41" s="1741"/>
      <c r="AB41" s="1741"/>
      <c r="AC41" s="1741"/>
    </row>
    <row r="42" spans="1:29" ht="13.8" thickTop="1">
      <c r="A42" s="1736">
        <f t="shared" si="1"/>
        <v>27</v>
      </c>
      <c r="B42" s="1739"/>
      <c r="C42" s="10"/>
      <c r="E42" s="1201"/>
      <c r="F42" s="643"/>
      <c r="G42" s="643"/>
      <c r="H42" s="643"/>
      <c r="I42" s="643"/>
      <c r="J42" s="643"/>
      <c r="K42" s="643"/>
      <c r="L42" s="643"/>
      <c r="M42" s="28"/>
      <c r="N42" s="61"/>
      <c r="O42" s="61"/>
      <c r="P42" s="61"/>
      <c r="Q42" s="61"/>
      <c r="R42" s="1256"/>
      <c r="S42" s="1256"/>
      <c r="T42" s="1743"/>
      <c r="U42" s="1745"/>
      <c r="V42" s="1745"/>
      <c r="W42" s="1256"/>
      <c r="X42" s="1741"/>
      <c r="Y42" s="1741"/>
      <c r="Z42" s="1741"/>
      <c r="AA42" s="1741"/>
      <c r="AB42" s="1741"/>
      <c r="AC42" s="1741"/>
    </row>
    <row r="43" spans="1:29">
      <c r="A43" s="153">
        <f t="shared" si="1"/>
        <v>28</v>
      </c>
      <c r="B43" s="94"/>
      <c r="C43" s="158" t="s">
        <v>1153</v>
      </c>
      <c r="D43" s="149"/>
      <c r="E43" s="149"/>
      <c r="F43" s="1745"/>
      <c r="G43" s="1745"/>
      <c r="H43" s="1745"/>
      <c r="I43" s="1745"/>
      <c r="J43" s="1745"/>
      <c r="K43" s="1745"/>
      <c r="L43" s="1745"/>
      <c r="M43" s="28"/>
      <c r="N43" s="1745"/>
      <c r="O43" s="1745"/>
      <c r="P43" s="1745"/>
      <c r="Q43" s="1745"/>
      <c r="R43" s="1256"/>
      <c r="S43" s="94"/>
      <c r="T43" s="149"/>
      <c r="U43" s="94"/>
      <c r="V43" s="94"/>
      <c r="W43" s="94"/>
      <c r="X43" s="166"/>
      <c r="Y43" s="166"/>
      <c r="Z43" s="166"/>
      <c r="AA43" s="166"/>
      <c r="AB43" s="166"/>
      <c r="AC43" s="166"/>
    </row>
    <row r="44" spans="1:29" ht="13.8" thickBot="1">
      <c r="A44" s="153">
        <f t="shared" si="1"/>
        <v>29</v>
      </c>
      <c r="B44" s="94"/>
      <c r="C44" s="153">
        <v>252</v>
      </c>
      <c r="D44" s="149"/>
      <c r="E44" s="149" t="s">
        <v>1141</v>
      </c>
      <c r="F44" s="1936">
        <v>0</v>
      </c>
      <c r="G44" s="1936">
        <v>0</v>
      </c>
      <c r="H44" s="1936">
        <v>0</v>
      </c>
      <c r="I44" s="1936">
        <v>0</v>
      </c>
      <c r="J44" s="1936">
        <v>0</v>
      </c>
      <c r="K44" s="1936">
        <v>0</v>
      </c>
      <c r="L44" s="1936">
        <v>0</v>
      </c>
      <c r="M44" s="28"/>
      <c r="N44" s="1936">
        <v>0</v>
      </c>
      <c r="O44" s="1936">
        <v>0</v>
      </c>
      <c r="P44" s="1936">
        <v>0</v>
      </c>
      <c r="Q44" s="1936">
        <v>0</v>
      </c>
      <c r="R44" s="1256"/>
      <c r="S44" s="94"/>
      <c r="T44" s="159"/>
      <c r="U44" s="94"/>
      <c r="V44" s="94"/>
      <c r="W44" s="94"/>
      <c r="X44" s="166"/>
      <c r="Y44" s="166"/>
      <c r="Z44" s="166"/>
      <c r="AA44" s="166"/>
      <c r="AB44" s="166"/>
      <c r="AC44" s="166"/>
    </row>
    <row r="45" spans="1:29" ht="13.8" thickTop="1">
      <c r="A45" s="153">
        <f t="shared" si="1"/>
        <v>30</v>
      </c>
      <c r="B45" s="94"/>
      <c r="C45" s="153"/>
      <c r="D45" s="149"/>
      <c r="E45" s="149"/>
      <c r="F45" s="1745"/>
      <c r="G45" s="1745"/>
      <c r="H45" s="1744"/>
      <c r="I45" s="1744"/>
      <c r="J45" s="1745"/>
      <c r="K45" s="1745"/>
      <c r="L45" s="1741"/>
      <c r="M45" s="28"/>
      <c r="N45" s="1741"/>
      <c r="O45" s="1741"/>
      <c r="P45" s="1741"/>
      <c r="Q45" s="1741"/>
      <c r="R45" s="1256"/>
      <c r="S45" s="94"/>
      <c r="T45" s="159"/>
      <c r="U45" s="94"/>
      <c r="V45" s="94"/>
      <c r="W45" s="94"/>
      <c r="X45" s="166"/>
      <c r="Y45" s="166"/>
      <c r="Z45" s="166"/>
      <c r="AA45" s="166"/>
      <c r="AB45" s="166"/>
      <c r="AC45" s="166"/>
    </row>
    <row r="46" spans="1:29">
      <c r="A46" s="153">
        <f t="shared" si="1"/>
        <v>31</v>
      </c>
      <c r="B46" s="94"/>
      <c r="C46" s="153">
        <v>255</v>
      </c>
      <c r="D46" s="149"/>
      <c r="E46" s="149" t="s">
        <v>1142</v>
      </c>
      <c r="F46" s="1741"/>
      <c r="G46" s="1741"/>
      <c r="H46" s="1741"/>
      <c r="I46" s="1741"/>
      <c r="J46" s="1741"/>
      <c r="K46" s="1741"/>
      <c r="L46" s="1741"/>
      <c r="M46" s="28"/>
      <c r="N46" s="1741"/>
      <c r="O46" s="1741"/>
      <c r="P46" s="1741"/>
      <c r="Q46" s="1741"/>
      <c r="R46" s="1256"/>
      <c r="S46" s="94"/>
      <c r="T46" s="159"/>
      <c r="U46" s="94"/>
      <c r="V46" s="94"/>
      <c r="W46" s="94"/>
      <c r="X46" s="166"/>
      <c r="Y46" s="166"/>
      <c r="Z46" s="166"/>
      <c r="AA46" s="166"/>
      <c r="AB46" s="166"/>
      <c r="AC46" s="166"/>
    </row>
    <row r="47" spans="1:29">
      <c r="A47" s="153">
        <f t="shared" si="1"/>
        <v>32</v>
      </c>
      <c r="B47" s="94"/>
      <c r="C47" s="153"/>
      <c r="D47" s="149"/>
      <c r="E47" s="162" t="s">
        <v>1099</v>
      </c>
      <c r="F47" s="163">
        <v>0</v>
      </c>
      <c r="G47" s="163">
        <v>0</v>
      </c>
      <c r="H47" s="163">
        <v>0</v>
      </c>
      <c r="I47" s="163">
        <v>0</v>
      </c>
      <c r="J47" s="163">
        <v>0</v>
      </c>
      <c r="K47" s="163">
        <v>0</v>
      </c>
      <c r="L47" s="163">
        <v>0</v>
      </c>
      <c r="M47" s="28"/>
      <c r="N47" s="163">
        <v>0</v>
      </c>
      <c r="O47" s="163">
        <v>0</v>
      </c>
      <c r="P47" s="163">
        <v>0</v>
      </c>
      <c r="Q47" s="163">
        <v>0</v>
      </c>
      <c r="R47" s="1256"/>
      <c r="S47" s="94"/>
      <c r="T47" s="159"/>
      <c r="U47" s="94"/>
      <c r="V47" s="94"/>
      <c r="W47" s="94"/>
      <c r="X47" s="166"/>
      <c r="Y47" s="166"/>
      <c r="Z47" s="166"/>
      <c r="AA47" s="166"/>
      <c r="AB47" s="166"/>
      <c r="AC47" s="166"/>
    </row>
    <row r="48" spans="1:29">
      <c r="A48" s="153">
        <f t="shared" si="1"/>
        <v>33</v>
      </c>
      <c r="B48" s="94"/>
      <c r="C48" s="153"/>
      <c r="D48" s="149"/>
      <c r="E48" s="162" t="s">
        <v>1100</v>
      </c>
      <c r="F48" s="163">
        <v>0</v>
      </c>
      <c r="G48" s="163">
        <v>0</v>
      </c>
      <c r="H48" s="163">
        <v>0</v>
      </c>
      <c r="I48" s="163">
        <v>0</v>
      </c>
      <c r="J48" s="163">
        <v>0</v>
      </c>
      <c r="K48" s="163">
        <v>0</v>
      </c>
      <c r="L48" s="163">
        <v>0</v>
      </c>
      <c r="M48" s="28"/>
      <c r="N48" s="163">
        <v>0</v>
      </c>
      <c r="O48" s="163">
        <v>0</v>
      </c>
      <c r="P48" s="163">
        <v>0</v>
      </c>
      <c r="Q48" s="163">
        <v>0</v>
      </c>
      <c r="R48" s="1256"/>
      <c r="S48" s="94"/>
      <c r="T48" s="159"/>
      <c r="U48" s="94"/>
      <c r="V48" s="94"/>
      <c r="W48" s="94"/>
      <c r="X48" s="166"/>
      <c r="Y48" s="166"/>
      <c r="Z48" s="166"/>
      <c r="AA48" s="166"/>
      <c r="AB48" s="166"/>
      <c r="AC48" s="166"/>
    </row>
    <row r="49" spans="1:29">
      <c r="A49" s="153">
        <f t="shared" ref="A49:A80" si="15">+A48+1</f>
        <v>34</v>
      </c>
      <c r="B49" s="94"/>
      <c r="C49" s="153"/>
      <c r="D49" s="149"/>
      <c r="E49" s="162" t="s">
        <v>1101</v>
      </c>
      <c r="F49" s="163">
        <v>0</v>
      </c>
      <c r="G49" s="163">
        <v>0</v>
      </c>
      <c r="H49" s="163">
        <v>0</v>
      </c>
      <c r="I49" s="163">
        <v>0</v>
      </c>
      <c r="J49" s="163">
        <v>0</v>
      </c>
      <c r="K49" s="163">
        <v>0</v>
      </c>
      <c r="L49" s="163">
        <v>0</v>
      </c>
      <c r="M49" s="28"/>
      <c r="N49" s="163">
        <v>0</v>
      </c>
      <c r="O49" s="163">
        <v>0</v>
      </c>
      <c r="P49" s="163">
        <v>0</v>
      </c>
      <c r="Q49" s="163">
        <v>0</v>
      </c>
      <c r="R49" s="1256"/>
      <c r="S49" s="94"/>
      <c r="T49" s="159"/>
      <c r="U49" s="94"/>
      <c r="V49" s="94"/>
      <c r="W49" s="94"/>
      <c r="X49" s="166"/>
      <c r="Y49" s="166"/>
      <c r="Z49" s="166"/>
      <c r="AA49" s="166"/>
      <c r="AB49" s="166"/>
      <c r="AC49" s="166"/>
    </row>
    <row r="50" spans="1:29">
      <c r="A50" s="153">
        <f t="shared" si="15"/>
        <v>35</v>
      </c>
      <c r="B50" s="94"/>
      <c r="C50" s="153"/>
      <c r="D50" s="149"/>
      <c r="E50" s="738" t="s">
        <v>1102</v>
      </c>
      <c r="F50" s="1810">
        <v>-5135704</v>
      </c>
      <c r="G50" s="1810">
        <v>-5135704</v>
      </c>
      <c r="H50" s="1810">
        <v>-5135704</v>
      </c>
      <c r="I50" s="1810">
        <v>-5135704</v>
      </c>
      <c r="J50" s="1810">
        <v>-5135704</v>
      </c>
      <c r="K50" s="1810">
        <v>-5135704</v>
      </c>
      <c r="L50" s="1810">
        <v>-5135704</v>
      </c>
      <c r="M50" s="28"/>
      <c r="N50" s="1810">
        <v>-5135704</v>
      </c>
      <c r="O50" s="1810">
        <v>-5135704</v>
      </c>
      <c r="P50" s="1810">
        <v>-5135704</v>
      </c>
      <c r="Q50" s="1810">
        <v>-5135704</v>
      </c>
      <c r="R50" s="1256"/>
      <c r="S50" s="94"/>
      <c r="T50" s="159"/>
      <c r="U50" s="94"/>
      <c r="V50" s="94"/>
      <c r="W50" s="94"/>
      <c r="X50" s="166"/>
      <c r="Y50" s="166"/>
      <c r="Z50" s="166"/>
      <c r="AA50" s="166"/>
      <c r="AB50" s="166"/>
      <c r="AC50" s="166"/>
    </row>
    <row r="51" spans="1:29" ht="13.8" thickBot="1">
      <c r="A51" s="153">
        <f t="shared" si="15"/>
        <v>36</v>
      </c>
      <c r="B51" s="94"/>
      <c r="C51" s="153"/>
      <c r="D51" s="149"/>
      <c r="E51" s="149" t="s">
        <v>1103</v>
      </c>
      <c r="F51" s="1937">
        <f>SUM(F47:F50)</f>
        <v>-5135704</v>
      </c>
      <c r="G51" s="1937">
        <f t="shared" ref="G51:Q51" si="16">SUM(G47:G50)</f>
        <v>-5135704</v>
      </c>
      <c r="H51" s="1937">
        <f t="shared" si="16"/>
        <v>-5135704</v>
      </c>
      <c r="I51" s="1937">
        <f t="shared" si="16"/>
        <v>-5135704</v>
      </c>
      <c r="J51" s="1937">
        <f t="shared" si="16"/>
        <v>-5135704</v>
      </c>
      <c r="K51" s="1937">
        <f t="shared" si="16"/>
        <v>-5135704</v>
      </c>
      <c r="L51" s="1937">
        <f t="shared" si="16"/>
        <v>-5135704</v>
      </c>
      <c r="M51" s="28"/>
      <c r="N51" s="1937">
        <f t="shared" si="16"/>
        <v>-5135704</v>
      </c>
      <c r="O51" s="1937">
        <f t="shared" si="16"/>
        <v>-5135704</v>
      </c>
      <c r="P51" s="1937">
        <f t="shared" si="16"/>
        <v>-5135704</v>
      </c>
      <c r="Q51" s="1937">
        <f t="shared" si="16"/>
        <v>-5135704</v>
      </c>
      <c r="R51" s="1256"/>
      <c r="S51" s="94"/>
      <c r="T51" s="159"/>
      <c r="U51" s="94"/>
      <c r="V51" s="94"/>
      <c r="W51" s="94"/>
      <c r="X51" s="166"/>
      <c r="Y51" s="166"/>
      <c r="Z51" s="166"/>
      <c r="AA51" s="166"/>
      <c r="AB51" s="166"/>
      <c r="AC51" s="166"/>
    </row>
    <row r="52" spans="1:29" ht="13.8" thickTop="1">
      <c r="A52" s="153">
        <f t="shared" si="15"/>
        <v>37</v>
      </c>
      <c r="B52" s="94"/>
      <c r="C52" s="153"/>
      <c r="D52" s="149"/>
      <c r="E52" s="149"/>
      <c r="F52" s="1745"/>
      <c r="G52" s="1745"/>
      <c r="H52" s="1745"/>
      <c r="I52" s="1745"/>
      <c r="J52" s="1745"/>
      <c r="K52" s="1745"/>
      <c r="L52" s="1745"/>
      <c r="M52" s="1745"/>
      <c r="N52" s="1745"/>
      <c r="O52" s="1745"/>
      <c r="P52" s="1745"/>
      <c r="Q52" s="1745"/>
      <c r="R52" s="1256"/>
      <c r="S52" s="94"/>
      <c r="T52" s="159"/>
      <c r="U52" s="94"/>
      <c r="V52" s="94"/>
      <c r="W52" s="94"/>
      <c r="X52" s="166"/>
      <c r="Y52" s="166"/>
      <c r="Z52" s="166"/>
      <c r="AA52" s="166"/>
      <c r="AB52" s="166"/>
      <c r="AC52" s="166"/>
    </row>
    <row r="53" spans="1:29">
      <c r="A53" s="153">
        <f t="shared" si="15"/>
        <v>38</v>
      </c>
      <c r="B53" s="94"/>
      <c r="C53" s="153"/>
      <c r="D53" s="149"/>
      <c r="E53" s="149" t="s">
        <v>1143</v>
      </c>
      <c r="F53" s="1745"/>
      <c r="G53" s="1745"/>
      <c r="H53" s="1745"/>
      <c r="I53" s="1745"/>
      <c r="J53" s="1745"/>
      <c r="K53" s="1745"/>
      <c r="L53" s="1745"/>
      <c r="M53" s="1745"/>
      <c r="N53" s="1745"/>
      <c r="O53" s="1745"/>
      <c r="P53" s="1745"/>
      <c r="Q53" s="1745"/>
      <c r="R53" s="1256"/>
      <c r="S53" s="94"/>
      <c r="T53" s="159"/>
      <c r="U53" s="94"/>
      <c r="V53" s="94"/>
      <c r="W53" s="94"/>
      <c r="X53" s="166"/>
      <c r="Y53" s="166"/>
      <c r="Z53" s="166"/>
      <c r="AA53" s="166"/>
      <c r="AB53" s="166"/>
      <c r="AC53" s="166"/>
    </row>
    <row r="54" spans="1:29">
      <c r="A54" s="153">
        <f t="shared" si="15"/>
        <v>39</v>
      </c>
      <c r="B54" s="94"/>
      <c r="C54" s="153">
        <v>190</v>
      </c>
      <c r="D54" s="149"/>
      <c r="E54" s="164" t="s">
        <v>1144</v>
      </c>
      <c r="F54" s="163">
        <v>18680684</v>
      </c>
      <c r="G54" s="163">
        <v>20186123</v>
      </c>
      <c r="H54" s="163">
        <v>20807645</v>
      </c>
      <c r="I54" s="163">
        <v>21811721</v>
      </c>
      <c r="J54" s="163">
        <v>22433242</v>
      </c>
      <c r="K54" s="163">
        <v>22492214</v>
      </c>
      <c r="L54" s="163">
        <v>22551185</v>
      </c>
      <c r="M54" s="28"/>
      <c r="N54" s="163">
        <v>22610157</v>
      </c>
      <c r="O54" s="163">
        <v>22669128</v>
      </c>
      <c r="P54" s="163">
        <v>22728100</v>
      </c>
      <c r="Q54" s="163">
        <v>22787071</v>
      </c>
      <c r="R54" s="1256"/>
      <c r="S54" s="94"/>
      <c r="T54" s="159"/>
      <c r="U54" s="94"/>
      <c r="V54" s="94"/>
      <c r="W54" s="94"/>
      <c r="X54" s="166"/>
      <c r="Y54" s="166"/>
      <c r="Z54" s="166"/>
      <c r="AA54" s="166"/>
      <c r="AB54" s="166"/>
      <c r="AC54" s="166"/>
    </row>
    <row r="55" spans="1:29">
      <c r="A55" s="153">
        <f t="shared" si="15"/>
        <v>40</v>
      </c>
      <c r="B55" s="94"/>
      <c r="C55" s="153">
        <v>281</v>
      </c>
      <c r="D55" s="149"/>
      <c r="E55" s="164" t="s">
        <v>1154</v>
      </c>
      <c r="F55" s="163">
        <v>0</v>
      </c>
      <c r="G55" s="163">
        <v>0</v>
      </c>
      <c r="H55" s="163">
        <v>0</v>
      </c>
      <c r="I55" s="163">
        <v>0</v>
      </c>
      <c r="J55" s="163">
        <v>0</v>
      </c>
      <c r="K55" s="163">
        <v>0</v>
      </c>
      <c r="L55" s="163">
        <v>0</v>
      </c>
      <c r="M55" s="28"/>
      <c r="N55" s="163">
        <v>0</v>
      </c>
      <c r="O55" s="163">
        <v>0</v>
      </c>
      <c r="P55" s="163">
        <v>0</v>
      </c>
      <c r="Q55" s="163">
        <v>0</v>
      </c>
      <c r="R55" s="1256"/>
      <c r="S55" s="94"/>
      <c r="T55" s="159"/>
      <c r="U55" s="94"/>
      <c r="V55" s="94"/>
      <c r="W55" s="94"/>
      <c r="X55" s="166"/>
      <c r="Y55" s="166"/>
      <c r="Z55" s="166"/>
      <c r="AA55" s="166"/>
      <c r="AB55" s="166"/>
      <c r="AC55" s="166"/>
    </row>
    <row r="56" spans="1:29">
      <c r="A56" s="153">
        <f t="shared" si="15"/>
        <v>41</v>
      </c>
      <c r="B56" s="94"/>
      <c r="C56" s="153">
        <v>282</v>
      </c>
      <c r="D56" s="149"/>
      <c r="E56" s="164" t="s">
        <v>1145</v>
      </c>
      <c r="F56" s="163">
        <v>-140293846</v>
      </c>
      <c r="G56" s="163">
        <v>-141423212</v>
      </c>
      <c r="H56" s="163">
        <v>-142377995</v>
      </c>
      <c r="I56" s="163">
        <v>-143350200</v>
      </c>
      <c r="J56" s="163">
        <v>-144357827</v>
      </c>
      <c r="K56" s="163">
        <v>-145167109</v>
      </c>
      <c r="L56" s="163">
        <v>-146000921</v>
      </c>
      <c r="M56" s="28">
        <v>0</v>
      </c>
      <c r="N56" s="163">
        <v>-146940957</v>
      </c>
      <c r="O56" s="163">
        <v>-147743110</v>
      </c>
      <c r="P56" s="163">
        <v>-148787399</v>
      </c>
      <c r="Q56" s="163">
        <v>-149635589</v>
      </c>
      <c r="R56" s="1256"/>
      <c r="S56" s="94"/>
      <c r="T56" s="159"/>
      <c r="U56" s="94"/>
      <c r="V56" s="94"/>
      <c r="W56" s="94"/>
      <c r="X56" s="166"/>
      <c r="Y56" s="166"/>
      <c r="Z56" s="166"/>
      <c r="AA56" s="166"/>
      <c r="AB56" s="166"/>
      <c r="AC56" s="166"/>
    </row>
    <row r="57" spans="1:29">
      <c r="A57" s="153">
        <f t="shared" si="15"/>
        <v>42</v>
      </c>
      <c r="B57" s="94"/>
      <c r="C57" s="153">
        <v>282</v>
      </c>
      <c r="D57" s="149"/>
      <c r="E57" s="164" t="s">
        <v>1146</v>
      </c>
      <c r="F57" s="163">
        <v>-66166935</v>
      </c>
      <c r="G57" s="163">
        <v>-65943900</v>
      </c>
      <c r="H57" s="163">
        <v>-65714598</v>
      </c>
      <c r="I57" s="163">
        <v>-65478696</v>
      </c>
      <c r="J57" s="163">
        <v>-65235661</v>
      </c>
      <c r="K57" s="163">
        <v>-65019625</v>
      </c>
      <c r="L57" s="163">
        <v>-64804888</v>
      </c>
      <c r="M57" s="28">
        <v>0</v>
      </c>
      <c r="N57" s="163">
        <v>-64652327</v>
      </c>
      <c r="O57" s="163">
        <v>-64438629</v>
      </c>
      <c r="P57" s="163">
        <v>-64243365</v>
      </c>
      <c r="Q57" s="163">
        <v>-64223965</v>
      </c>
      <c r="R57" s="1256"/>
      <c r="S57" s="94"/>
      <c r="T57" s="159"/>
      <c r="U57" s="94"/>
      <c r="V57" s="94"/>
      <c r="W57" s="94"/>
      <c r="X57" s="166"/>
      <c r="Y57" s="166"/>
      <c r="Z57" s="166"/>
      <c r="AA57" s="166"/>
      <c r="AB57" s="166"/>
      <c r="AC57" s="166"/>
    </row>
    <row r="58" spans="1:29">
      <c r="A58" s="153">
        <f t="shared" si="15"/>
        <v>43</v>
      </c>
      <c r="B58" s="94"/>
      <c r="C58" s="153">
        <v>283</v>
      </c>
      <c r="D58" s="149"/>
      <c r="E58" s="164" t="s">
        <v>1155</v>
      </c>
      <c r="F58" s="1810">
        <v>-17375376</v>
      </c>
      <c r="G58" s="1810">
        <v>-17221803</v>
      </c>
      <c r="H58" s="1810">
        <v>-17068230</v>
      </c>
      <c r="I58" s="1810">
        <v>-16914657</v>
      </c>
      <c r="J58" s="1810">
        <v>-16761084</v>
      </c>
      <c r="K58" s="1810">
        <v>-16611772</v>
      </c>
      <c r="L58" s="1810">
        <v>-16462460</v>
      </c>
      <c r="M58" s="28"/>
      <c r="N58" s="1810">
        <v>-16313148</v>
      </c>
      <c r="O58" s="1810">
        <v>-16163836</v>
      </c>
      <c r="P58" s="1810">
        <v>-16017252</v>
      </c>
      <c r="Q58" s="1810">
        <v>-15870668</v>
      </c>
      <c r="R58" s="1256"/>
      <c r="S58" s="94"/>
      <c r="T58" s="159"/>
      <c r="U58" s="94"/>
      <c r="V58" s="94"/>
      <c r="W58" s="94"/>
      <c r="X58" s="166"/>
      <c r="Y58" s="166"/>
      <c r="Z58" s="166"/>
      <c r="AA58" s="166"/>
      <c r="AB58" s="166"/>
      <c r="AC58" s="166"/>
    </row>
    <row r="59" spans="1:29" ht="13.8" thickBot="1">
      <c r="A59" s="153">
        <f t="shared" si="15"/>
        <v>44</v>
      </c>
      <c r="B59" s="94"/>
      <c r="C59" s="153"/>
      <c r="D59" s="149"/>
      <c r="E59" s="149" t="s">
        <v>1123</v>
      </c>
      <c r="F59" s="1948">
        <f t="shared" ref="F59:Q59" si="17">SUM(F54:F58)</f>
        <v>-205155473</v>
      </c>
      <c r="G59" s="1948">
        <f t="shared" si="17"/>
        <v>-204402792</v>
      </c>
      <c r="H59" s="1948">
        <f t="shared" si="17"/>
        <v>-204353178</v>
      </c>
      <c r="I59" s="1948">
        <f t="shared" si="17"/>
        <v>-203931832</v>
      </c>
      <c r="J59" s="1948">
        <f t="shared" si="17"/>
        <v>-203921330</v>
      </c>
      <c r="K59" s="1948">
        <f t="shared" si="17"/>
        <v>-204306292</v>
      </c>
      <c r="L59" s="1948">
        <f t="shared" si="17"/>
        <v>-204717084</v>
      </c>
      <c r="M59" s="28"/>
      <c r="N59" s="1948">
        <f t="shared" si="17"/>
        <v>-205296275</v>
      </c>
      <c r="O59" s="1948">
        <f t="shared" si="17"/>
        <v>-205676447</v>
      </c>
      <c r="P59" s="1948">
        <f t="shared" si="17"/>
        <v>-206319916</v>
      </c>
      <c r="Q59" s="1948">
        <f t="shared" si="17"/>
        <v>-206943151</v>
      </c>
      <c r="R59" s="1256"/>
      <c r="S59" s="94"/>
      <c r="T59" s="165"/>
      <c r="U59" s="94"/>
      <c r="V59" s="94"/>
      <c r="W59" s="94"/>
      <c r="X59" s="166"/>
      <c r="Y59" s="166"/>
      <c r="Z59" s="166"/>
      <c r="AA59" s="166"/>
      <c r="AB59" s="166"/>
      <c r="AC59" s="166"/>
    </row>
    <row r="60" spans="1:29" ht="13.8" thickTop="1">
      <c r="A60" s="153">
        <f t="shared" si="15"/>
        <v>45</v>
      </c>
      <c r="B60" s="94"/>
      <c r="C60" s="153"/>
      <c r="D60" s="149"/>
      <c r="E60" s="149"/>
      <c r="F60" s="165"/>
      <c r="G60" s="165"/>
      <c r="H60" s="165"/>
      <c r="I60" s="165"/>
      <c r="J60" s="165"/>
      <c r="K60" s="165"/>
      <c r="L60" s="1741"/>
      <c r="M60" s="28"/>
      <c r="N60" s="1741"/>
      <c r="O60" s="1741"/>
      <c r="P60" s="1741"/>
      <c r="Q60" s="1741"/>
      <c r="R60" s="1256"/>
      <c r="S60" s="94"/>
      <c r="T60" s="165"/>
      <c r="U60" s="94"/>
      <c r="V60" s="94"/>
      <c r="W60" s="94"/>
      <c r="X60" s="166"/>
      <c r="Y60" s="166"/>
      <c r="Z60" s="166"/>
      <c r="AA60" s="166"/>
      <c r="AB60" s="166"/>
      <c r="AC60" s="166"/>
    </row>
    <row r="61" spans="1:29">
      <c r="A61" s="153">
        <f t="shared" si="15"/>
        <v>46</v>
      </c>
      <c r="B61" s="94"/>
      <c r="C61" s="33"/>
      <c r="D61" s="29"/>
      <c r="E61" s="29" t="s">
        <v>1149</v>
      </c>
      <c r="F61" s="1742"/>
      <c r="G61" s="1742"/>
      <c r="H61" s="1742"/>
      <c r="I61" s="1742"/>
      <c r="J61" s="1742"/>
      <c r="K61" s="1742"/>
      <c r="L61" s="1742"/>
      <c r="M61" s="1742"/>
      <c r="N61" s="1742"/>
      <c r="O61" s="1742"/>
      <c r="P61" s="1742"/>
      <c r="Q61" s="1742"/>
      <c r="R61" s="1256"/>
      <c r="S61" s="94"/>
      <c r="T61" s="165"/>
      <c r="U61" s="94"/>
      <c r="V61" s="94"/>
      <c r="W61" s="94"/>
      <c r="X61" s="166"/>
      <c r="Y61" s="166"/>
      <c r="Z61" s="166"/>
      <c r="AA61" s="166"/>
      <c r="AB61" s="166"/>
      <c r="AC61" s="166"/>
    </row>
    <row r="62" spans="1:29">
      <c r="A62" s="153">
        <f t="shared" si="15"/>
        <v>47</v>
      </c>
      <c r="B62" s="94"/>
      <c r="C62" s="33">
        <v>254</v>
      </c>
      <c r="D62" s="29"/>
      <c r="E62" s="1201" t="s">
        <v>1150</v>
      </c>
      <c r="F62" s="61">
        <v>-43858598</v>
      </c>
      <c r="G62" s="61">
        <v>-43800265</v>
      </c>
      <c r="H62" s="61">
        <v>-43741931</v>
      </c>
      <c r="I62" s="61">
        <v>-43295722</v>
      </c>
      <c r="J62" s="61">
        <v>-43213560</v>
      </c>
      <c r="K62" s="61">
        <v>-43118124</v>
      </c>
      <c r="L62" s="61">
        <v>-43022687</v>
      </c>
      <c r="M62" s="28"/>
      <c r="N62" s="61">
        <v>-42927251</v>
      </c>
      <c r="O62" s="61">
        <v>-42831814</v>
      </c>
      <c r="P62" s="61">
        <v>-42736378</v>
      </c>
      <c r="Q62" s="61">
        <v>-42640941</v>
      </c>
      <c r="R62" s="1256"/>
      <c r="S62" s="94"/>
      <c r="T62" s="165"/>
      <c r="U62" s="94"/>
      <c r="V62" s="94"/>
      <c r="W62" s="94"/>
      <c r="X62" s="166"/>
      <c r="Y62" s="166"/>
      <c r="Z62" s="166"/>
      <c r="AA62" s="166"/>
      <c r="AB62" s="166"/>
      <c r="AC62" s="166"/>
    </row>
    <row r="63" spans="1:29">
      <c r="A63" s="153">
        <f t="shared" si="15"/>
        <v>48</v>
      </c>
      <c r="B63" s="94"/>
      <c r="C63" s="33">
        <v>254</v>
      </c>
      <c r="D63" s="29"/>
      <c r="E63" s="1201" t="s">
        <v>1151</v>
      </c>
      <c r="F63" s="1808">
        <v>-5472146</v>
      </c>
      <c r="G63" s="1808">
        <v>-5163694</v>
      </c>
      <c r="H63" s="1808">
        <v>-4877361</v>
      </c>
      <c r="I63" s="1808">
        <v>-4591028</v>
      </c>
      <c r="J63" s="1808">
        <v>-4304695</v>
      </c>
      <c r="K63" s="1808">
        <v>-4018362</v>
      </c>
      <c r="L63" s="1808">
        <v>-3732030</v>
      </c>
      <c r="M63" s="28"/>
      <c r="N63" s="61">
        <v>-3445697</v>
      </c>
      <c r="O63" s="61">
        <v>-3159364</v>
      </c>
      <c r="P63" s="61">
        <v>-2873031</v>
      </c>
      <c r="Q63" s="61">
        <v>-2586698</v>
      </c>
      <c r="R63" s="1256"/>
      <c r="S63" s="94"/>
      <c r="T63" s="165"/>
      <c r="U63" s="94"/>
      <c r="V63" s="94"/>
      <c r="W63" s="94"/>
      <c r="X63" s="166"/>
      <c r="Y63" s="166"/>
      <c r="Z63" s="166"/>
      <c r="AA63" s="166"/>
      <c r="AB63" s="166"/>
      <c r="AC63" s="166"/>
    </row>
    <row r="64" spans="1:29" ht="13.8" thickBot="1">
      <c r="A64" s="153">
        <f t="shared" si="15"/>
        <v>49</v>
      </c>
      <c r="B64" s="94"/>
      <c r="C64" s="33"/>
      <c r="D64" s="29"/>
      <c r="E64" s="29" t="s">
        <v>1109</v>
      </c>
      <c r="F64" s="1938">
        <f>SUM(F62:F63)</f>
        <v>-49330744</v>
      </c>
      <c r="G64" s="1938">
        <f t="shared" ref="G64:L64" si="18">SUM(G62:G63)</f>
        <v>-48963959</v>
      </c>
      <c r="H64" s="1938">
        <f t="shared" si="18"/>
        <v>-48619292</v>
      </c>
      <c r="I64" s="1938">
        <f t="shared" si="18"/>
        <v>-47886750</v>
      </c>
      <c r="J64" s="1938">
        <f t="shared" si="18"/>
        <v>-47518255</v>
      </c>
      <c r="K64" s="1938">
        <f t="shared" si="18"/>
        <v>-47136486</v>
      </c>
      <c r="L64" s="1938">
        <f t="shared" si="18"/>
        <v>-46754717</v>
      </c>
      <c r="M64" s="28"/>
      <c r="N64" s="1938">
        <f>SUM(N62:N63)</f>
        <v>-46372948</v>
      </c>
      <c r="O64" s="1938">
        <f>SUM(O62:O63)</f>
        <v>-45991178</v>
      </c>
      <c r="P64" s="1938">
        <f>SUM(P62:P63)</f>
        <v>-45609409</v>
      </c>
      <c r="Q64" s="1938">
        <f>SUM(Q62:Q63)</f>
        <v>-45227639</v>
      </c>
      <c r="R64" s="1256"/>
      <c r="S64" s="94"/>
      <c r="T64" s="165"/>
      <c r="U64" s="94"/>
      <c r="V64" s="94"/>
      <c r="W64" s="94"/>
      <c r="X64" s="166"/>
      <c r="Y64" s="166"/>
      <c r="Z64" s="166"/>
      <c r="AA64" s="166"/>
      <c r="AB64" s="166"/>
      <c r="AC64" s="166"/>
    </row>
    <row r="65" spans="1:29" ht="13.8" thickTop="1">
      <c r="A65" s="153">
        <f t="shared" si="15"/>
        <v>50</v>
      </c>
      <c r="B65" s="94"/>
      <c r="C65" s="153"/>
      <c r="D65" s="149"/>
      <c r="E65" s="149"/>
      <c r="F65" s="165"/>
      <c r="G65" s="165"/>
      <c r="H65" s="165"/>
      <c r="I65" s="165"/>
      <c r="J65" s="165"/>
      <c r="K65" s="165"/>
      <c r="L65" s="1741"/>
      <c r="M65" s="28"/>
      <c r="N65" s="1741"/>
      <c r="O65" s="1741"/>
      <c r="P65" s="1741"/>
      <c r="Q65" s="1741"/>
      <c r="R65" s="1256"/>
      <c r="S65" s="94"/>
      <c r="T65" s="165"/>
      <c r="U65" s="94"/>
      <c r="V65" s="94"/>
      <c r="W65" s="94"/>
      <c r="X65" s="166"/>
      <c r="Y65" s="166"/>
      <c r="Z65" s="166"/>
      <c r="AA65" s="166"/>
      <c r="AB65" s="166"/>
      <c r="AC65" s="166"/>
    </row>
    <row r="66" spans="1:29">
      <c r="A66" s="1736">
        <f t="shared" si="15"/>
        <v>51</v>
      </c>
      <c r="B66" s="1256"/>
      <c r="C66" s="10"/>
      <c r="E66" t="s">
        <v>1152</v>
      </c>
      <c r="F66" s="1742"/>
      <c r="G66" s="1742"/>
      <c r="H66" s="1742"/>
      <c r="I66" s="1742"/>
      <c r="J66" s="1742"/>
      <c r="K66" s="1742"/>
      <c r="L66" s="1742"/>
      <c r="M66" s="1742"/>
      <c r="N66" s="1742"/>
      <c r="O66" s="1742"/>
      <c r="P66" s="1742"/>
      <c r="Q66" s="1742"/>
      <c r="R66" s="1256"/>
      <c r="S66" s="1256"/>
      <c r="T66" s="165"/>
      <c r="U66" s="1256"/>
      <c r="V66" s="1256"/>
      <c r="W66" s="1256"/>
      <c r="X66" s="1741"/>
      <c r="Y66" s="1741"/>
      <c r="Z66" s="1741"/>
      <c r="AA66" s="1741"/>
      <c r="AB66" s="1741"/>
      <c r="AC66" s="1741"/>
    </row>
    <row r="67" spans="1:29" ht="13.8" thickBot="1">
      <c r="A67" s="1736">
        <f t="shared" si="15"/>
        <v>52</v>
      </c>
      <c r="B67" s="1256"/>
      <c r="C67" s="10">
        <v>182</v>
      </c>
      <c r="E67" s="1201" t="s">
        <v>1151</v>
      </c>
      <c r="F67" s="1934">
        <v>-307983</v>
      </c>
      <c r="G67" s="1934">
        <v>-294193</v>
      </c>
      <c r="H67" s="1934">
        <v>-289596</v>
      </c>
      <c r="I67" s="1934">
        <v>-285000</v>
      </c>
      <c r="J67" s="1934">
        <v>-280403</v>
      </c>
      <c r="K67" s="1934">
        <v>-275806</v>
      </c>
      <c r="L67" s="1934">
        <v>-271209</v>
      </c>
      <c r="M67" s="28"/>
      <c r="N67" s="1934">
        <v>-266613</v>
      </c>
      <c r="O67" s="1934">
        <v>-262016</v>
      </c>
      <c r="P67" s="1934">
        <v>-257419</v>
      </c>
      <c r="Q67" s="1934">
        <v>-252822</v>
      </c>
      <c r="R67" s="1256"/>
      <c r="S67" s="1256"/>
      <c r="T67" s="165"/>
      <c r="U67" s="1256"/>
      <c r="V67" s="1256"/>
      <c r="W67" s="1256"/>
      <c r="X67" s="1741"/>
      <c r="Y67" s="1741"/>
      <c r="Z67" s="1741"/>
      <c r="AA67" s="1741"/>
      <c r="AB67" s="1741"/>
      <c r="AC67" s="1741"/>
    </row>
    <row r="68" spans="1:29" ht="13.8" thickTop="1">
      <c r="A68" s="1736">
        <f t="shared" si="15"/>
        <v>53</v>
      </c>
      <c r="B68" s="1256"/>
      <c r="C68" s="10"/>
      <c r="E68" s="1201"/>
      <c r="F68" s="61"/>
      <c r="G68" s="61"/>
      <c r="H68" s="61"/>
      <c r="I68" s="61"/>
      <c r="J68" s="61"/>
      <c r="K68" s="61"/>
      <c r="L68" s="61"/>
      <c r="M68" s="28"/>
      <c r="N68" s="61"/>
      <c r="O68" s="61"/>
      <c r="P68" s="61"/>
      <c r="Q68" s="61"/>
      <c r="R68" s="1256"/>
      <c r="S68" s="1256"/>
      <c r="T68" s="165"/>
      <c r="U68" s="1256"/>
      <c r="V68" s="1256"/>
      <c r="W68" s="1256"/>
      <c r="X68" s="1741"/>
      <c r="Y68" s="1741"/>
      <c r="Z68" s="1741"/>
      <c r="AA68" s="1741"/>
      <c r="AB68" s="1741"/>
      <c r="AC68" s="1741"/>
    </row>
    <row r="69" spans="1:29">
      <c r="A69" s="153">
        <f t="shared" si="15"/>
        <v>54</v>
      </c>
      <c r="B69" s="94"/>
      <c r="C69" s="158" t="s">
        <v>1156</v>
      </c>
      <c r="D69" s="149"/>
      <c r="E69" s="149"/>
      <c r="F69" s="1745"/>
      <c r="G69" s="1745"/>
      <c r="H69" s="1745"/>
      <c r="I69" s="1745"/>
      <c r="J69" s="1745"/>
      <c r="K69" s="1745"/>
      <c r="L69" s="1745"/>
      <c r="M69" s="1745"/>
      <c r="N69" s="1745"/>
      <c r="O69" s="1745"/>
      <c r="P69" s="1745"/>
      <c r="Q69" s="1745"/>
      <c r="R69" s="1256"/>
      <c r="S69" s="94"/>
      <c r="T69" s="159"/>
      <c r="U69" s="94"/>
      <c r="V69" s="94"/>
      <c r="W69" s="94"/>
      <c r="X69" s="166"/>
      <c r="Y69" s="166"/>
      <c r="Z69" s="166"/>
      <c r="AA69" s="166"/>
      <c r="AB69" s="166"/>
      <c r="AC69" s="166"/>
    </row>
    <row r="70" spans="1:29">
      <c r="A70" s="153">
        <f t="shared" si="15"/>
        <v>55</v>
      </c>
      <c r="B70" s="94"/>
      <c r="C70" s="149"/>
      <c r="D70" s="149"/>
      <c r="E70" s="149"/>
      <c r="F70" s="1745"/>
      <c r="G70" s="1745"/>
      <c r="H70" s="1745"/>
      <c r="I70" s="1745"/>
      <c r="J70" s="1745"/>
      <c r="K70" s="1745"/>
      <c r="L70" s="1745"/>
      <c r="M70" s="28"/>
      <c r="N70" s="1745"/>
      <c r="O70" s="1745"/>
      <c r="P70" s="1745"/>
      <c r="Q70" s="1745"/>
      <c r="R70" s="1256"/>
      <c r="S70" s="94"/>
      <c r="T70" s="159"/>
      <c r="U70" s="94"/>
      <c r="V70" s="94"/>
      <c r="W70" s="94"/>
      <c r="X70" s="166"/>
      <c r="Y70" s="166"/>
      <c r="Z70" s="166"/>
      <c r="AA70" s="166"/>
      <c r="AB70" s="166"/>
      <c r="AC70" s="166"/>
    </row>
    <row r="71" spans="1:29">
      <c r="A71" s="153">
        <f t="shared" si="15"/>
        <v>56</v>
      </c>
      <c r="B71" s="94"/>
      <c r="C71" s="153">
        <v>255</v>
      </c>
      <c r="D71" s="149"/>
      <c r="E71" s="149" t="s">
        <v>1142</v>
      </c>
      <c r="F71" s="163"/>
      <c r="G71" s="163"/>
      <c r="H71" s="163"/>
      <c r="I71" s="163"/>
      <c r="J71" s="163"/>
      <c r="K71" s="163"/>
      <c r="L71" s="163"/>
      <c r="M71" s="28"/>
      <c r="N71" s="163"/>
      <c r="O71" s="163"/>
      <c r="P71" s="163"/>
      <c r="Q71" s="163"/>
      <c r="R71" s="1256"/>
      <c r="S71" s="94"/>
      <c r="T71" s="159"/>
      <c r="U71" s="94"/>
      <c r="V71" s="94"/>
      <c r="W71" s="94"/>
      <c r="X71" s="166"/>
      <c r="Y71" s="166"/>
      <c r="Z71" s="166"/>
      <c r="AA71" s="166"/>
      <c r="AB71" s="166"/>
      <c r="AC71" s="166"/>
    </row>
    <row r="72" spans="1:29">
      <c r="A72" s="153">
        <f t="shared" si="15"/>
        <v>57</v>
      </c>
      <c r="B72" s="94"/>
      <c r="C72" s="153"/>
      <c r="D72" s="149"/>
      <c r="E72" s="162" t="s">
        <v>1099</v>
      </c>
      <c r="F72" s="163">
        <v>0</v>
      </c>
      <c r="G72" s="163">
        <v>0</v>
      </c>
      <c r="H72" s="163">
        <v>0</v>
      </c>
      <c r="I72" s="163">
        <v>0</v>
      </c>
      <c r="J72" s="163">
        <v>0</v>
      </c>
      <c r="K72" s="163">
        <v>0</v>
      </c>
      <c r="L72" s="163">
        <v>0</v>
      </c>
      <c r="M72" s="28"/>
      <c r="N72" s="163">
        <v>0</v>
      </c>
      <c r="O72" s="163">
        <v>0</v>
      </c>
      <c r="P72" s="163">
        <v>0</v>
      </c>
      <c r="Q72" s="163">
        <v>0</v>
      </c>
      <c r="R72" s="1256"/>
      <c r="S72" s="94"/>
      <c r="T72" s="159"/>
      <c r="U72" s="94"/>
      <c r="V72" s="94"/>
      <c r="W72" s="94"/>
      <c r="X72" s="166"/>
      <c r="Y72" s="166"/>
      <c r="Z72" s="166"/>
      <c r="AA72" s="166"/>
      <c r="AB72" s="166"/>
      <c r="AC72" s="166"/>
    </row>
    <row r="73" spans="1:29">
      <c r="A73" s="153">
        <f t="shared" si="15"/>
        <v>58</v>
      </c>
      <c r="B73" s="94"/>
      <c r="C73" s="153"/>
      <c r="D73" s="149"/>
      <c r="E73" s="162" t="s">
        <v>1100</v>
      </c>
      <c r="F73" s="163">
        <v>0</v>
      </c>
      <c r="G73" s="163">
        <v>0</v>
      </c>
      <c r="H73" s="163">
        <v>0</v>
      </c>
      <c r="I73" s="163">
        <v>0</v>
      </c>
      <c r="J73" s="163">
        <v>0</v>
      </c>
      <c r="K73" s="163">
        <v>0</v>
      </c>
      <c r="L73" s="163">
        <v>0</v>
      </c>
      <c r="M73" s="28"/>
      <c r="N73" s="163">
        <v>0</v>
      </c>
      <c r="O73" s="163">
        <v>0</v>
      </c>
      <c r="P73" s="163">
        <v>0</v>
      </c>
      <c r="Q73" s="163">
        <v>0</v>
      </c>
      <c r="R73" s="1256"/>
      <c r="S73" s="94"/>
      <c r="T73" s="159"/>
      <c r="U73" s="94"/>
      <c r="V73" s="94"/>
      <c r="W73" s="94"/>
      <c r="X73" s="166"/>
      <c r="Y73" s="166"/>
      <c r="Z73" s="166"/>
      <c r="AA73" s="166"/>
      <c r="AB73" s="166"/>
      <c r="AC73" s="166"/>
    </row>
    <row r="74" spans="1:29">
      <c r="A74" s="153">
        <f t="shared" si="15"/>
        <v>59</v>
      </c>
      <c r="B74" s="94"/>
      <c r="C74" s="153"/>
      <c r="D74" s="149"/>
      <c r="E74" s="162" t="s">
        <v>1101</v>
      </c>
      <c r="F74" s="1810">
        <v>0</v>
      </c>
      <c r="G74" s="1810">
        <v>0</v>
      </c>
      <c r="H74" s="1810">
        <v>0</v>
      </c>
      <c r="I74" s="1810">
        <v>0</v>
      </c>
      <c r="J74" s="1810">
        <v>0</v>
      </c>
      <c r="K74" s="1810">
        <v>0</v>
      </c>
      <c r="L74" s="1810">
        <v>0</v>
      </c>
      <c r="M74" s="28"/>
      <c r="N74" s="1810">
        <v>0</v>
      </c>
      <c r="O74" s="1810">
        <v>0</v>
      </c>
      <c r="P74" s="1810">
        <v>0</v>
      </c>
      <c r="Q74" s="1810">
        <v>0</v>
      </c>
      <c r="R74" s="1256"/>
      <c r="S74" s="94"/>
      <c r="T74" s="159"/>
      <c r="U74" s="94"/>
      <c r="V74" s="94"/>
      <c r="W74" s="94"/>
      <c r="X74" s="166"/>
      <c r="Y74" s="166"/>
      <c r="Z74" s="166"/>
      <c r="AA74" s="166"/>
      <c r="AB74" s="166"/>
      <c r="AC74" s="166"/>
    </row>
    <row r="75" spans="1:29" ht="13.8" thickBot="1">
      <c r="A75" s="153">
        <f t="shared" si="15"/>
        <v>60</v>
      </c>
      <c r="B75" s="94"/>
      <c r="C75" s="153"/>
      <c r="D75" s="149"/>
      <c r="E75" s="149" t="s">
        <v>1103</v>
      </c>
      <c r="F75" s="1740">
        <f t="shared" ref="F75:L75" si="19">SUM(F73:F74)</f>
        <v>0</v>
      </c>
      <c r="G75" s="1937">
        <f t="shared" si="19"/>
        <v>0</v>
      </c>
      <c r="H75" s="1937">
        <f t="shared" si="19"/>
        <v>0</v>
      </c>
      <c r="I75" s="1937">
        <f t="shared" si="19"/>
        <v>0</v>
      </c>
      <c r="J75" s="1937">
        <f t="shared" si="19"/>
        <v>0</v>
      </c>
      <c r="K75" s="1937">
        <f t="shared" si="19"/>
        <v>0</v>
      </c>
      <c r="L75" s="1937">
        <f t="shared" si="19"/>
        <v>0</v>
      </c>
      <c r="M75" s="28"/>
      <c r="N75" s="1937">
        <f>SUM(N73:N74)</f>
        <v>0</v>
      </c>
      <c r="O75" s="1937">
        <f>SUM(O73:O74)</f>
        <v>0</v>
      </c>
      <c r="P75" s="1937">
        <f>SUM(P73:P74)</f>
        <v>0</v>
      </c>
      <c r="Q75" s="1937">
        <f>SUM(Q73:Q74)</f>
        <v>0</v>
      </c>
      <c r="R75" s="1256"/>
      <c r="S75" s="94"/>
      <c r="T75" s="159"/>
      <c r="U75" s="94"/>
      <c r="V75" s="94"/>
      <c r="W75" s="94"/>
      <c r="X75" s="166"/>
      <c r="Y75" s="166"/>
      <c r="Z75" s="166"/>
      <c r="AA75" s="166"/>
      <c r="AB75" s="166"/>
      <c r="AC75" s="166"/>
    </row>
    <row r="76" spans="1:29" ht="13.8" thickTop="1">
      <c r="A76" s="153">
        <f t="shared" si="15"/>
        <v>61</v>
      </c>
      <c r="B76" s="94"/>
      <c r="C76" s="153"/>
      <c r="D76" s="149"/>
      <c r="E76" s="149"/>
      <c r="F76" s="1745"/>
      <c r="G76" s="1745"/>
      <c r="H76" s="1744"/>
      <c r="I76" s="1744"/>
      <c r="J76" s="1745"/>
      <c r="K76" s="1745"/>
      <c r="L76" s="1741"/>
      <c r="M76" s="28"/>
      <c r="N76" s="1741"/>
      <c r="O76" s="1741"/>
      <c r="P76" s="1741"/>
      <c r="Q76" s="1741"/>
      <c r="R76" s="1256"/>
      <c r="S76" s="94"/>
      <c r="T76" s="159"/>
      <c r="U76" s="94"/>
      <c r="V76" s="94"/>
      <c r="W76" s="94"/>
      <c r="X76" s="166"/>
      <c r="Y76" s="166"/>
      <c r="Z76" s="166"/>
      <c r="AA76" s="166"/>
      <c r="AB76" s="166"/>
      <c r="AC76" s="166"/>
    </row>
    <row r="77" spans="1:29">
      <c r="A77" s="153">
        <f t="shared" si="15"/>
        <v>62</v>
      </c>
      <c r="B77" s="94"/>
      <c r="C77" s="153"/>
      <c r="D77" s="149"/>
      <c r="E77" s="149" t="s">
        <v>1143</v>
      </c>
      <c r="F77" s="1743"/>
      <c r="G77" s="1743"/>
      <c r="H77" s="1744"/>
      <c r="I77" s="1744"/>
      <c r="J77" s="1745"/>
      <c r="K77" s="1745"/>
      <c r="L77" s="1741"/>
      <c r="M77" s="28"/>
      <c r="N77" s="1741"/>
      <c r="O77" s="1741"/>
      <c r="P77" s="1741"/>
      <c r="Q77" s="1741"/>
      <c r="R77" s="1256"/>
      <c r="S77" s="94"/>
      <c r="T77" s="159"/>
      <c r="U77" s="94"/>
      <c r="V77" s="94"/>
      <c r="W77" s="94"/>
      <c r="X77" s="166"/>
      <c r="Y77" s="166"/>
      <c r="Z77" s="166"/>
      <c r="AA77" s="166"/>
      <c r="AB77" s="166"/>
      <c r="AC77" s="166"/>
    </row>
    <row r="78" spans="1:29">
      <c r="A78" s="153">
        <f t="shared" si="15"/>
        <v>63</v>
      </c>
      <c r="B78" s="94"/>
      <c r="C78" s="153">
        <v>190</v>
      </c>
      <c r="D78" s="149"/>
      <c r="E78" s="164" t="s">
        <v>1144</v>
      </c>
      <c r="F78" s="61">
        <v>-1033876</v>
      </c>
      <c r="G78" s="643">
        <v>-1033876</v>
      </c>
      <c r="H78" s="643">
        <v>-1033876</v>
      </c>
      <c r="I78" s="643">
        <v>-1033876</v>
      </c>
      <c r="J78" s="643">
        <v>-1033876</v>
      </c>
      <c r="K78" s="643">
        <v>-1033876</v>
      </c>
      <c r="L78" s="643">
        <v>-1033876</v>
      </c>
      <c r="M78" s="28"/>
      <c r="N78" s="61">
        <v>-1033876</v>
      </c>
      <c r="O78" s="61">
        <v>-1033876</v>
      </c>
      <c r="P78" s="61">
        <v>-1033876</v>
      </c>
      <c r="Q78" s="61">
        <v>-1033876</v>
      </c>
      <c r="R78" s="1256"/>
      <c r="S78" s="94"/>
      <c r="T78" s="159"/>
      <c r="U78" s="94"/>
      <c r="V78" s="94"/>
      <c r="W78" s="94"/>
      <c r="X78" s="166"/>
      <c r="Y78" s="166"/>
      <c r="Z78" s="166"/>
      <c r="AA78" s="166"/>
      <c r="AB78" s="166"/>
      <c r="AC78" s="166"/>
    </row>
    <row r="79" spans="1:29">
      <c r="A79" s="153">
        <f t="shared" si="15"/>
        <v>64</v>
      </c>
      <c r="B79" s="94"/>
      <c r="C79" s="153">
        <v>282</v>
      </c>
      <c r="D79" s="149"/>
      <c r="E79" s="164" t="s">
        <v>1145</v>
      </c>
      <c r="F79" s="61">
        <v>-3329600</v>
      </c>
      <c r="G79" s="643">
        <v>-3368271</v>
      </c>
      <c r="H79" s="643">
        <v>-3399544</v>
      </c>
      <c r="I79" s="643">
        <v>-3423754</v>
      </c>
      <c r="J79" s="643">
        <v>-3443646</v>
      </c>
      <c r="K79" s="643">
        <v>-3461094</v>
      </c>
      <c r="L79" s="643">
        <v>-3481562</v>
      </c>
      <c r="M79" s="28"/>
      <c r="N79" s="61">
        <v>-3505513</v>
      </c>
      <c r="O79" s="61">
        <v>-3533891</v>
      </c>
      <c r="P79" s="61">
        <v>-3572894</v>
      </c>
      <c r="Q79" s="61">
        <v>-3620629</v>
      </c>
      <c r="R79" s="1256"/>
      <c r="S79" s="94"/>
      <c r="T79" s="159"/>
      <c r="U79" s="94"/>
      <c r="V79" s="94"/>
      <c r="W79" s="94"/>
      <c r="X79" s="166"/>
      <c r="Y79" s="166"/>
      <c r="Z79" s="166"/>
      <c r="AA79" s="166"/>
      <c r="AB79" s="166"/>
      <c r="AC79" s="166"/>
    </row>
    <row r="80" spans="1:29">
      <c r="A80" s="153">
        <f t="shared" si="15"/>
        <v>65</v>
      </c>
      <c r="B80" s="94"/>
      <c r="C80" s="153">
        <v>282</v>
      </c>
      <c r="D80" s="149"/>
      <c r="E80" s="164" t="s">
        <v>1146</v>
      </c>
      <c r="F80" s="61">
        <v>-29524888</v>
      </c>
      <c r="G80" s="643">
        <v>-29364958</v>
      </c>
      <c r="H80" s="643">
        <v>-29205027</v>
      </c>
      <c r="I80" s="643">
        <v>-29045096</v>
      </c>
      <c r="J80" s="643">
        <v>-28885165</v>
      </c>
      <c r="K80" s="643">
        <v>-28725235</v>
      </c>
      <c r="L80" s="643">
        <v>-28565304</v>
      </c>
      <c r="M80" s="28"/>
      <c r="N80" s="61">
        <v>-28405373</v>
      </c>
      <c r="O80" s="61">
        <v>-28245442</v>
      </c>
      <c r="P80" s="61">
        <v>-28085512</v>
      </c>
      <c r="Q80" s="61">
        <v>-27925581</v>
      </c>
      <c r="R80" s="1256"/>
      <c r="S80" s="94"/>
      <c r="T80" s="159"/>
      <c r="U80" s="94"/>
      <c r="V80" s="94"/>
      <c r="W80" s="94"/>
      <c r="X80" s="166"/>
      <c r="Y80" s="166"/>
      <c r="Z80" s="166"/>
      <c r="AA80" s="166"/>
      <c r="AB80" s="166"/>
      <c r="AC80" s="166"/>
    </row>
    <row r="81" spans="1:29">
      <c r="A81" s="153">
        <f t="shared" ref="A81:A87" si="20">+A80+1</f>
        <v>66</v>
      </c>
      <c r="B81" s="94"/>
      <c r="C81" s="153">
        <v>283</v>
      </c>
      <c r="D81" s="149"/>
      <c r="E81" s="164" t="s">
        <v>1155</v>
      </c>
      <c r="F81" s="1808">
        <v>0</v>
      </c>
      <c r="G81" s="1808">
        <v>0</v>
      </c>
      <c r="H81" s="1808">
        <v>0</v>
      </c>
      <c r="I81" s="1808">
        <v>0</v>
      </c>
      <c r="J81" s="1808">
        <v>0</v>
      </c>
      <c r="K81" s="1808">
        <v>0</v>
      </c>
      <c r="L81" s="1808">
        <v>0</v>
      </c>
      <c r="M81" s="28"/>
      <c r="N81" s="1808">
        <v>0</v>
      </c>
      <c r="O81" s="1808">
        <v>0</v>
      </c>
      <c r="P81" s="1808">
        <v>0</v>
      </c>
      <c r="Q81" s="1808">
        <v>0</v>
      </c>
      <c r="R81" s="1256"/>
      <c r="S81" s="94"/>
      <c r="T81" s="159"/>
      <c r="U81" s="94"/>
      <c r="V81" s="94"/>
      <c r="W81" s="94"/>
      <c r="X81" s="166"/>
      <c r="Y81" s="166"/>
      <c r="Z81" s="166"/>
      <c r="AA81" s="166"/>
      <c r="AB81" s="166"/>
      <c r="AC81" s="166"/>
    </row>
    <row r="82" spans="1:29" ht="13.8" thickBot="1">
      <c r="A82" s="153">
        <f t="shared" si="20"/>
        <v>67</v>
      </c>
      <c r="B82" s="94"/>
      <c r="C82" s="153"/>
      <c r="D82" s="149"/>
      <c r="E82" s="149" t="s">
        <v>1123</v>
      </c>
      <c r="F82" s="1948">
        <f t="shared" ref="F82:Q82" si="21">SUM(F78:F81)</f>
        <v>-33888364</v>
      </c>
      <c r="G82" s="1948">
        <f t="shared" si="21"/>
        <v>-33767105</v>
      </c>
      <c r="H82" s="1948">
        <f t="shared" si="21"/>
        <v>-33638447</v>
      </c>
      <c r="I82" s="1948">
        <f t="shared" si="21"/>
        <v>-33502726</v>
      </c>
      <c r="J82" s="1948">
        <f t="shared" si="21"/>
        <v>-33362687</v>
      </c>
      <c r="K82" s="1948">
        <f t="shared" si="21"/>
        <v>-33220205</v>
      </c>
      <c r="L82" s="1948">
        <f t="shared" si="21"/>
        <v>-33080742</v>
      </c>
      <c r="M82" s="1741"/>
      <c r="N82" s="1948">
        <f t="shared" si="21"/>
        <v>-32944762</v>
      </c>
      <c r="O82" s="1948">
        <f t="shared" si="21"/>
        <v>-32813209</v>
      </c>
      <c r="P82" s="1948">
        <f t="shared" si="21"/>
        <v>-32692282</v>
      </c>
      <c r="Q82" s="1948">
        <f t="shared" si="21"/>
        <v>-32580086</v>
      </c>
      <c r="R82" s="1256"/>
      <c r="S82" s="94"/>
      <c r="T82" s="94"/>
      <c r="U82" s="94"/>
      <c r="V82" s="94"/>
      <c r="W82" s="94"/>
      <c r="X82" s="166"/>
      <c r="Y82" s="166"/>
      <c r="Z82" s="166"/>
      <c r="AA82" s="166"/>
      <c r="AB82" s="166"/>
      <c r="AC82" s="166"/>
    </row>
    <row r="83" spans="1:29" ht="13.8" thickTop="1">
      <c r="A83" s="153">
        <f t="shared" si="20"/>
        <v>68</v>
      </c>
      <c r="B83" s="94"/>
      <c r="C83" s="153"/>
      <c r="D83" s="149"/>
      <c r="E83" s="149"/>
      <c r="F83" s="1743"/>
      <c r="G83" s="1743"/>
      <c r="H83" s="1743"/>
      <c r="I83" s="1743"/>
      <c r="J83" s="1743"/>
      <c r="K83" s="1743"/>
      <c r="L83" s="1256"/>
      <c r="M83" s="1256"/>
      <c r="N83" s="1256"/>
      <c r="O83" s="1256"/>
      <c r="P83" s="1256"/>
      <c r="Q83" s="1256"/>
      <c r="R83" s="1256"/>
      <c r="S83" s="94"/>
      <c r="T83" s="94"/>
      <c r="U83" s="94"/>
      <c r="V83" s="94"/>
      <c r="W83" s="94"/>
      <c r="X83" s="166"/>
      <c r="Y83" s="166"/>
      <c r="Z83" s="166"/>
      <c r="AA83" s="166"/>
      <c r="AB83" s="166"/>
      <c r="AC83" s="166"/>
    </row>
    <row r="84" spans="1:29">
      <c r="A84" s="153">
        <f t="shared" si="20"/>
        <v>69</v>
      </c>
      <c r="B84" s="149"/>
      <c r="C84" s="33"/>
      <c r="D84" s="29"/>
      <c r="E84" s="29" t="s">
        <v>1149</v>
      </c>
      <c r="F84" s="1742"/>
      <c r="G84" s="1742"/>
      <c r="H84" s="1742"/>
      <c r="I84" s="1742"/>
      <c r="J84" s="1742"/>
      <c r="K84" s="1742"/>
      <c r="L84" s="1742"/>
      <c r="N84" s="1742"/>
      <c r="O84" s="1742"/>
      <c r="P84" s="1742"/>
      <c r="Q84" s="1742"/>
      <c r="R84" s="1739"/>
      <c r="S84" s="149"/>
      <c r="T84" s="149"/>
      <c r="U84" s="94"/>
      <c r="V84" s="94"/>
      <c r="W84" s="94"/>
      <c r="X84" s="166"/>
      <c r="Y84" s="166"/>
      <c r="Z84" s="166"/>
      <c r="AA84" s="166"/>
      <c r="AB84" s="166"/>
      <c r="AC84" s="166"/>
    </row>
    <row r="85" spans="1:29">
      <c r="A85" s="153">
        <f t="shared" si="20"/>
        <v>70</v>
      </c>
      <c r="B85" s="149"/>
      <c r="C85" s="10">
        <v>254</v>
      </c>
      <c r="E85" s="1201" t="s">
        <v>1150</v>
      </c>
      <c r="F85" s="1742"/>
      <c r="G85" s="1742"/>
      <c r="H85" s="1742"/>
      <c r="I85" s="1742"/>
      <c r="J85" s="1742"/>
      <c r="K85" s="1742"/>
      <c r="L85" s="1742"/>
      <c r="N85" s="1742"/>
      <c r="O85" s="1742"/>
      <c r="P85" s="1742"/>
      <c r="Q85" s="1742"/>
      <c r="R85" s="1739"/>
      <c r="S85" s="149"/>
      <c r="T85" s="149"/>
      <c r="U85" s="94"/>
      <c r="V85" s="94"/>
      <c r="W85" s="94"/>
      <c r="X85" s="166"/>
      <c r="Y85" s="166"/>
      <c r="Z85" s="166"/>
      <c r="AA85" s="166"/>
      <c r="AB85" s="166"/>
      <c r="AC85" s="166"/>
    </row>
    <row r="86" spans="1:29">
      <c r="A86" s="153">
        <f t="shared" si="20"/>
        <v>71</v>
      </c>
      <c r="B86" s="149"/>
      <c r="C86" s="33">
        <v>254</v>
      </c>
      <c r="D86" s="29"/>
      <c r="E86" s="1201" t="s">
        <v>1151</v>
      </c>
      <c r="F86" s="1811"/>
      <c r="G86" s="1811"/>
      <c r="H86" s="1811"/>
      <c r="I86" s="1811"/>
      <c r="J86" s="1811"/>
      <c r="K86" s="1811"/>
      <c r="L86" s="1811"/>
      <c r="N86" s="1742"/>
      <c r="O86" s="1742"/>
      <c r="P86" s="1742"/>
      <c r="Q86" s="1742"/>
      <c r="R86" s="1739"/>
      <c r="S86" s="149"/>
      <c r="T86" s="149"/>
      <c r="U86" s="94"/>
      <c r="V86" s="94"/>
      <c r="W86" s="94"/>
      <c r="X86" s="166"/>
      <c r="Y86" s="166"/>
      <c r="Z86" s="166"/>
      <c r="AA86" s="166"/>
      <c r="AB86" s="166"/>
      <c r="AC86" s="166"/>
    </row>
    <row r="87" spans="1:29" ht="13.8" thickBot="1">
      <c r="A87" s="153">
        <f t="shared" si="20"/>
        <v>72</v>
      </c>
      <c r="B87" s="149"/>
      <c r="C87" s="33"/>
      <c r="D87" s="29"/>
      <c r="E87" s="29" t="s">
        <v>1109</v>
      </c>
      <c r="F87" s="1938"/>
      <c r="G87" s="1938"/>
      <c r="H87" s="1938"/>
      <c r="I87" s="1938"/>
      <c r="J87" s="1938"/>
      <c r="K87" s="1938"/>
      <c r="L87" s="1938"/>
      <c r="N87" s="1938"/>
      <c r="O87" s="1938"/>
      <c r="P87" s="1938"/>
      <c r="Q87" s="1938"/>
      <c r="R87" s="1739"/>
      <c r="S87" s="149"/>
      <c r="T87" s="149"/>
      <c r="U87" s="94"/>
      <c r="V87" s="94"/>
      <c r="W87" s="94"/>
      <c r="X87" s="166"/>
      <c r="Y87" s="166"/>
      <c r="Z87" s="166"/>
      <c r="AA87" s="166"/>
      <c r="AB87" s="166"/>
      <c r="AC87" s="166"/>
    </row>
    <row r="88" spans="1:29" ht="13.8" thickTop="1">
      <c r="A88" s="149"/>
      <c r="B88" s="149"/>
      <c r="C88" s="149"/>
      <c r="D88" s="149"/>
      <c r="E88" s="149"/>
      <c r="F88" s="1739"/>
      <c r="G88" s="1739"/>
      <c r="H88" s="1739"/>
      <c r="I88" s="1739"/>
      <c r="J88" s="1739"/>
      <c r="K88" s="1739"/>
      <c r="L88" s="1739"/>
      <c r="M88" s="1739"/>
      <c r="N88" s="1739"/>
      <c r="O88" s="1739"/>
      <c r="P88" s="1739"/>
      <c r="Q88" s="1739"/>
      <c r="R88" s="1739"/>
      <c r="S88" s="149"/>
      <c r="T88" s="149"/>
      <c r="U88" s="94"/>
      <c r="V88" s="94"/>
      <c r="W88" s="94"/>
      <c r="X88" s="166"/>
      <c r="Y88" s="166"/>
      <c r="Z88" s="166"/>
      <c r="AA88" s="166"/>
      <c r="AB88" s="166"/>
      <c r="AC88" s="166"/>
    </row>
    <row r="89" spans="1:29">
      <c r="A89" s="149"/>
      <c r="B89" s="149"/>
      <c r="C89" s="149"/>
      <c r="D89" s="149"/>
      <c r="E89" s="149"/>
      <c r="F89" s="1739"/>
      <c r="G89" s="1739"/>
      <c r="H89" s="1739"/>
      <c r="I89" s="1739"/>
      <c r="J89" s="1739"/>
      <c r="K89" s="1739"/>
      <c r="L89" s="1739"/>
      <c r="M89" s="1739"/>
      <c r="N89" s="1739"/>
      <c r="O89" s="1739"/>
      <c r="P89" s="1739"/>
      <c r="Q89" s="1739"/>
      <c r="R89" s="1739"/>
      <c r="S89" s="149"/>
      <c r="T89" s="149"/>
      <c r="U89" s="94"/>
      <c r="V89" s="94"/>
      <c r="W89" s="94"/>
      <c r="X89" s="166"/>
      <c r="Y89" s="166"/>
      <c r="Z89" s="166"/>
      <c r="AA89" s="166"/>
      <c r="AB89" s="166"/>
      <c r="AC89" s="166"/>
    </row>
    <row r="90" spans="1:29">
      <c r="A90" s="149"/>
      <c r="B90" s="149"/>
      <c r="C90" s="149"/>
      <c r="D90" s="149"/>
      <c r="E90" s="149"/>
      <c r="F90" s="1739"/>
      <c r="G90" s="1739"/>
      <c r="H90" s="1739"/>
      <c r="I90" s="1739"/>
      <c r="J90" s="1739"/>
      <c r="K90" s="1739"/>
      <c r="L90" s="1739"/>
      <c r="M90" s="1739"/>
      <c r="N90" s="1739"/>
      <c r="O90" s="1739"/>
      <c r="P90" s="1739"/>
      <c r="Q90" s="1739"/>
      <c r="R90" s="1739"/>
      <c r="S90" s="149"/>
      <c r="T90" s="149"/>
      <c r="U90" s="94"/>
      <c r="V90" s="94"/>
      <c r="W90" s="94"/>
      <c r="X90" s="166"/>
      <c r="Y90" s="166"/>
      <c r="Z90" s="166"/>
      <c r="AA90" s="166"/>
      <c r="AB90" s="166"/>
      <c r="AC90" s="166"/>
    </row>
    <row r="91" spans="1:29">
      <c r="A91" s="149"/>
      <c r="B91" s="149"/>
      <c r="C91" s="149"/>
      <c r="D91" s="149"/>
      <c r="E91" s="149"/>
      <c r="F91" s="1739"/>
      <c r="G91" s="1739"/>
      <c r="H91" s="1739"/>
      <c r="I91" s="1739"/>
      <c r="J91" s="1739"/>
      <c r="K91" s="1739"/>
      <c r="L91" s="1739"/>
      <c r="M91" s="1739"/>
      <c r="N91" s="1739"/>
      <c r="O91" s="1739"/>
      <c r="P91" s="1739"/>
      <c r="Q91" s="1739"/>
      <c r="R91" s="1739"/>
      <c r="S91" s="149"/>
      <c r="T91" s="149"/>
      <c r="U91" s="94"/>
      <c r="V91" s="94"/>
      <c r="W91" s="94"/>
      <c r="X91" s="166"/>
      <c r="Y91" s="166"/>
      <c r="Z91" s="166"/>
      <c r="AA91" s="166"/>
      <c r="AB91" s="166"/>
      <c r="AC91" s="166"/>
    </row>
    <row r="92" spans="1:29">
      <c r="A92" s="149" t="str">
        <f>COMPANY</f>
        <v>DUKE ENERGY KENTUCKY, INC.</v>
      </c>
      <c r="B92" s="150"/>
      <c r="C92" s="149"/>
      <c r="D92" s="150"/>
      <c r="E92" s="150"/>
      <c r="F92" s="1738"/>
      <c r="G92" s="1741"/>
      <c r="H92" s="1741"/>
      <c r="I92" s="1741"/>
      <c r="J92" s="1741"/>
      <c r="K92" s="1741"/>
      <c r="L92" s="1741"/>
      <c r="M92" s="1741"/>
      <c r="N92" s="1741"/>
      <c r="O92" s="1741"/>
      <c r="P92" s="1741"/>
      <c r="Q92" s="1738"/>
      <c r="R92" s="1738"/>
      <c r="S92" s="151" t="s">
        <v>1157</v>
      </c>
      <c r="T92" s="94"/>
      <c r="U92" s="94"/>
      <c r="V92" s="94"/>
      <c r="W92" s="94"/>
      <c r="X92" s="166"/>
      <c r="Y92" s="166"/>
      <c r="Z92" s="166"/>
      <c r="AA92" s="166"/>
      <c r="AB92" s="166"/>
      <c r="AC92" s="166"/>
    </row>
    <row r="93" spans="1:29">
      <c r="A93" s="149" t="str">
        <f>CASE</f>
        <v>CASE NO. 2024-00354</v>
      </c>
      <c r="B93" s="150"/>
      <c r="C93" s="149"/>
      <c r="D93" s="150"/>
      <c r="E93" s="150"/>
      <c r="F93" s="1738"/>
      <c r="G93" s="1738"/>
      <c r="H93" s="1738"/>
      <c r="I93" s="1738"/>
      <c r="J93" s="1738"/>
      <c r="K93" s="1738"/>
      <c r="L93" s="1738"/>
      <c r="M93" s="1738"/>
      <c r="N93" s="1738"/>
      <c r="O93" s="1738"/>
      <c r="P93" s="1738"/>
      <c r="Q93" s="1738"/>
      <c r="R93" s="1738"/>
      <c r="S93" s="151" t="s">
        <v>468</v>
      </c>
      <c r="T93" s="94"/>
      <c r="U93" s="94"/>
      <c r="V93" s="94"/>
      <c r="W93" s="94"/>
      <c r="X93" s="166"/>
      <c r="Y93" s="166"/>
      <c r="Z93" s="166"/>
      <c r="AA93" s="166"/>
      <c r="AB93" s="166"/>
      <c r="AC93" s="166"/>
    </row>
    <row r="94" spans="1:29">
      <c r="A94" s="149" t="str">
        <f>A3</f>
        <v>CERTAIN DEFERRED CREDITS AND ACCUMULATED DEFERRED INCOME TAXES</v>
      </c>
      <c r="B94" s="150"/>
      <c r="C94" s="149"/>
      <c r="D94" s="150"/>
      <c r="E94" s="150"/>
      <c r="F94" s="1738"/>
      <c r="G94" s="1738"/>
      <c r="H94" s="1738"/>
      <c r="I94" s="1738"/>
      <c r="J94" s="1738"/>
      <c r="K94" s="1738"/>
      <c r="L94" s="1738"/>
      <c r="M94" s="1738"/>
      <c r="N94" s="1738"/>
      <c r="O94" s="1738"/>
      <c r="P94" s="1738"/>
      <c r="Q94" s="1738"/>
      <c r="R94" s="1738"/>
      <c r="S94" s="151" t="str">
        <f>_WIT3</f>
        <v>J. R. PANIZZA</v>
      </c>
      <c r="T94" s="94"/>
      <c r="U94" s="94"/>
      <c r="V94" s="94"/>
      <c r="W94" s="94"/>
      <c r="X94" s="166"/>
      <c r="Y94" s="166"/>
      <c r="Z94" s="166"/>
      <c r="AA94" s="166"/>
      <c r="AB94" s="166"/>
      <c r="AC94" s="166"/>
    </row>
    <row r="95" spans="1:29">
      <c r="A95" s="149" t="str">
        <f>DataF</f>
        <v>DATA:  BASE PERIOD  "X" FORECASTED PERIOD</v>
      </c>
      <c r="B95" s="150"/>
      <c r="C95" s="149"/>
      <c r="D95" s="150"/>
      <c r="E95" s="150"/>
      <c r="F95" s="1738"/>
      <c r="G95" s="1738"/>
      <c r="H95" s="1738"/>
      <c r="I95" s="1738"/>
      <c r="J95" s="1738"/>
      <c r="K95" s="1738"/>
      <c r="L95" s="1738"/>
      <c r="M95" s="1738"/>
      <c r="N95" s="1738"/>
      <c r="O95" s="1738"/>
      <c r="P95" s="1738"/>
      <c r="Q95" s="1738"/>
      <c r="R95" s="1738"/>
      <c r="S95" s="150"/>
      <c r="T95" s="149"/>
      <c r="U95" s="94"/>
      <c r="V95" s="94"/>
      <c r="W95" s="94"/>
      <c r="X95" s="166"/>
      <c r="Y95" s="166"/>
      <c r="Z95" s="166"/>
      <c r="AA95" s="166"/>
      <c r="AB95" s="166"/>
      <c r="AC95" s="166"/>
    </row>
    <row r="96" spans="1:29">
      <c r="A96" s="95" t="s">
        <v>1158</v>
      </c>
      <c r="B96" s="150"/>
      <c r="C96" s="150"/>
      <c r="D96" s="150"/>
      <c r="E96" s="150"/>
      <c r="F96" s="1738"/>
      <c r="G96" s="1737"/>
      <c r="H96" s="1737"/>
      <c r="I96" s="1737"/>
      <c r="J96" s="1737"/>
      <c r="K96" s="1737"/>
      <c r="L96" s="1737"/>
      <c r="M96" s="1737"/>
      <c r="N96" s="1737"/>
      <c r="O96" s="1737"/>
      <c r="P96" s="1737"/>
      <c r="Q96" s="1737"/>
      <c r="R96" s="1737"/>
      <c r="S96" s="150"/>
      <c r="T96" s="150"/>
      <c r="U96" s="94"/>
      <c r="V96" s="94"/>
      <c r="W96" s="94"/>
      <c r="X96" s="166"/>
      <c r="Y96" s="166"/>
      <c r="Z96" s="166"/>
      <c r="AA96" s="166"/>
      <c r="AB96" s="166"/>
      <c r="AC96" s="166"/>
    </row>
    <row r="97" spans="1:32">
      <c r="A97" s="150"/>
      <c r="B97" s="150"/>
      <c r="C97" s="150"/>
      <c r="D97" s="150"/>
      <c r="E97" s="150"/>
      <c r="F97" s="1738"/>
      <c r="G97" s="1737"/>
      <c r="H97" s="1737"/>
      <c r="I97" s="1737"/>
      <c r="J97" s="1737"/>
      <c r="K97" s="1737"/>
      <c r="L97" s="1737"/>
      <c r="M97" s="1737"/>
      <c r="N97" s="1737"/>
      <c r="O97" s="1737"/>
      <c r="P97" s="1737"/>
      <c r="Q97" s="1737"/>
      <c r="R97" s="1737"/>
      <c r="S97" s="150"/>
      <c r="T97" s="150"/>
      <c r="U97" s="94"/>
      <c r="V97" s="94"/>
      <c r="W97" s="94"/>
      <c r="X97" s="166"/>
      <c r="Y97" s="166"/>
      <c r="Z97" s="166"/>
      <c r="AA97" s="166"/>
      <c r="AB97" s="166"/>
      <c r="AC97" s="166"/>
    </row>
    <row r="98" spans="1:32">
      <c r="A98" s="149"/>
      <c r="B98" s="149"/>
      <c r="C98" s="149"/>
      <c r="D98" s="149"/>
      <c r="E98" s="149"/>
      <c r="F98" s="1739"/>
      <c r="G98" s="1737"/>
      <c r="H98" s="1737"/>
      <c r="I98" s="1737"/>
      <c r="J98" s="1737"/>
      <c r="K98" s="1737"/>
      <c r="L98" s="1737"/>
      <c r="M98" s="1737"/>
      <c r="N98" s="1737"/>
      <c r="O98" s="1737"/>
      <c r="P98" s="1737"/>
      <c r="Q98" s="1737"/>
      <c r="R98" s="1737"/>
      <c r="S98" s="149"/>
      <c r="T98" s="153"/>
      <c r="U98" s="94"/>
      <c r="V98" s="94"/>
      <c r="W98" s="94"/>
      <c r="X98" s="166"/>
      <c r="Y98" s="166"/>
      <c r="Z98" s="166"/>
      <c r="AA98" s="166"/>
      <c r="AB98" s="166"/>
      <c r="AC98" s="166"/>
    </row>
    <row r="99" spans="1:32">
      <c r="A99" s="1478"/>
      <c r="B99" s="1478"/>
      <c r="C99" s="1478"/>
      <c r="D99" s="1478"/>
      <c r="E99" s="1478"/>
      <c r="F99" s="1812"/>
      <c r="G99" s="1812"/>
      <c r="H99" s="1812"/>
      <c r="I99" s="1812"/>
      <c r="J99" s="1812"/>
      <c r="K99" s="1812"/>
      <c r="L99" s="1812"/>
      <c r="M99" s="1812"/>
      <c r="N99" s="1812"/>
      <c r="O99" s="1812"/>
      <c r="P99" s="1813"/>
      <c r="Q99" s="1813"/>
      <c r="R99" s="1812"/>
      <c r="S99" s="149"/>
      <c r="T99" s="153"/>
      <c r="U99" s="94"/>
      <c r="V99" s="94"/>
      <c r="W99" s="94"/>
      <c r="X99" s="166"/>
      <c r="Y99" s="166"/>
      <c r="Z99" s="166"/>
      <c r="AA99" s="166"/>
      <c r="AB99" s="166"/>
      <c r="AC99" s="166"/>
    </row>
    <row r="100" spans="1:32">
      <c r="A100" s="149"/>
      <c r="B100" s="149"/>
      <c r="C100" s="149"/>
      <c r="D100" s="149"/>
      <c r="E100" s="149"/>
      <c r="F100" s="1736"/>
      <c r="G100" s="1736"/>
      <c r="H100" s="1736"/>
      <c r="I100" s="1736"/>
      <c r="J100" s="1736"/>
      <c r="K100" s="1736"/>
      <c r="L100" s="1736"/>
      <c r="M100" s="1736"/>
      <c r="N100" s="1736"/>
      <c r="O100" s="1736"/>
      <c r="P100" s="1736"/>
      <c r="Q100" s="1736"/>
      <c r="R100" s="1739"/>
      <c r="S100" s="2120"/>
      <c r="T100" s="2121"/>
      <c r="U100" s="94"/>
      <c r="V100" s="94"/>
      <c r="W100" s="94"/>
      <c r="X100" s="166"/>
      <c r="Y100" s="166"/>
      <c r="Z100" s="166"/>
      <c r="AA100" s="166"/>
      <c r="AB100" s="166"/>
      <c r="AC100" s="166"/>
    </row>
    <row r="101" spans="1:32">
      <c r="A101" s="153" t="s">
        <v>471</v>
      </c>
      <c r="B101" s="149"/>
      <c r="C101" s="153" t="s">
        <v>1045</v>
      </c>
      <c r="D101" s="150"/>
      <c r="E101" s="149"/>
      <c r="F101" s="1735" t="str">
        <f>Q12</f>
        <v>JUNE</v>
      </c>
      <c r="G101" s="1734" t="s">
        <v>1159</v>
      </c>
      <c r="H101" s="1733" t="s">
        <v>1129</v>
      </c>
      <c r="I101" s="1735" t="s">
        <v>1130</v>
      </c>
      <c r="J101" s="1734" t="s">
        <v>1131</v>
      </c>
      <c r="K101" s="1735" t="s">
        <v>1132</v>
      </c>
      <c r="L101" s="1734" t="s">
        <v>1133</v>
      </c>
      <c r="M101" s="1735" t="s">
        <v>1134</v>
      </c>
      <c r="N101" s="1734" t="s">
        <v>1135</v>
      </c>
      <c r="O101" s="1735" t="s">
        <v>1136</v>
      </c>
      <c r="P101" s="1733" t="s">
        <v>1137</v>
      </c>
      <c r="Q101" s="1734" t="s">
        <v>1138</v>
      </c>
      <c r="R101" s="1733" t="s">
        <v>1139</v>
      </c>
      <c r="S101" s="153"/>
      <c r="T101" s="153" t="s">
        <v>1160</v>
      </c>
      <c r="U101" s="94"/>
      <c r="V101" s="94"/>
      <c r="W101" s="94"/>
      <c r="X101" s="166"/>
      <c r="Y101" s="166"/>
      <c r="Z101" s="166"/>
      <c r="AA101" s="166"/>
      <c r="AB101" s="166"/>
      <c r="AC101" s="166"/>
    </row>
    <row r="102" spans="1:32">
      <c r="A102" s="153" t="s">
        <v>475</v>
      </c>
      <c r="B102" s="149"/>
      <c r="C102" s="153" t="s">
        <v>941</v>
      </c>
      <c r="D102" s="150"/>
      <c r="E102" s="150" t="s">
        <v>476</v>
      </c>
      <c r="F102" s="1733">
        <f>Q13</f>
        <v>2025</v>
      </c>
      <c r="G102" s="1733">
        <f>$F$13+1</f>
        <v>2025</v>
      </c>
      <c r="H102" s="1733">
        <f t="shared" ref="H102:L102" si="22">$F$13+1</f>
        <v>2025</v>
      </c>
      <c r="I102" s="1733">
        <f t="shared" si="22"/>
        <v>2025</v>
      </c>
      <c r="J102" s="1733">
        <f t="shared" si="22"/>
        <v>2025</v>
      </c>
      <c r="K102" s="1733">
        <f t="shared" si="22"/>
        <v>2025</v>
      </c>
      <c r="L102" s="1733">
        <f t="shared" si="22"/>
        <v>2025</v>
      </c>
      <c r="M102" s="1733">
        <f t="shared" ref="M102:Q102" si="23">$F$13+2</f>
        <v>2026</v>
      </c>
      <c r="N102" s="1733">
        <f t="shared" si="23"/>
        <v>2026</v>
      </c>
      <c r="O102" s="1733">
        <f t="shared" si="23"/>
        <v>2026</v>
      </c>
      <c r="P102" s="1733">
        <f t="shared" si="23"/>
        <v>2026</v>
      </c>
      <c r="Q102" s="1733">
        <f t="shared" si="23"/>
        <v>2026</v>
      </c>
      <c r="R102" s="1733">
        <f>$F$13+2</f>
        <v>2026</v>
      </c>
      <c r="S102" s="155" t="s">
        <v>972</v>
      </c>
      <c r="T102" s="153" t="s">
        <v>1161</v>
      </c>
      <c r="U102" s="94"/>
      <c r="V102" s="94"/>
      <c r="W102" s="94"/>
      <c r="X102" s="166"/>
      <c r="Y102" s="166"/>
      <c r="Z102" s="166"/>
      <c r="AA102" s="166"/>
      <c r="AB102" s="166"/>
      <c r="AC102" s="166"/>
    </row>
    <row r="103" spans="1:32">
      <c r="A103" s="1478"/>
      <c r="B103" s="1478"/>
      <c r="C103" s="1478"/>
      <c r="D103" s="1478"/>
      <c r="E103" s="1478"/>
      <c r="F103" s="1814"/>
      <c r="G103" s="1815">
        <v>31</v>
      </c>
      <c r="H103" s="1815">
        <v>31</v>
      </c>
      <c r="I103" s="1815">
        <v>30</v>
      </c>
      <c r="J103" s="1815">
        <v>31</v>
      </c>
      <c r="K103" s="1815">
        <v>30</v>
      </c>
      <c r="L103" s="1815">
        <v>31</v>
      </c>
      <c r="M103" s="1815">
        <v>31</v>
      </c>
      <c r="N103" s="1815">
        <v>28</v>
      </c>
      <c r="O103" s="1815">
        <v>31</v>
      </c>
      <c r="P103" s="1815">
        <v>30</v>
      </c>
      <c r="Q103" s="1815">
        <v>31</v>
      </c>
      <c r="R103" s="1815">
        <v>30</v>
      </c>
      <c r="S103" s="1317">
        <f>SUM(F103:R103)</f>
        <v>365</v>
      </c>
      <c r="T103" s="153"/>
      <c r="U103" s="94"/>
      <c r="V103" s="94"/>
      <c r="W103" s="94"/>
      <c r="X103" s="166"/>
      <c r="Y103" s="166"/>
      <c r="Z103" s="166"/>
      <c r="AA103" s="166"/>
      <c r="AB103" s="166"/>
      <c r="AC103" s="166"/>
    </row>
    <row r="104" spans="1:32">
      <c r="A104" s="149"/>
      <c r="B104" s="149"/>
      <c r="C104" s="149"/>
      <c r="D104" s="149"/>
      <c r="E104" s="149"/>
      <c r="F104" s="1732"/>
      <c r="G104" s="1732"/>
      <c r="H104" s="1732"/>
      <c r="I104" s="1732"/>
      <c r="J104" s="1732"/>
      <c r="K104" s="1732"/>
      <c r="L104" s="1732"/>
      <c r="M104" s="1732"/>
      <c r="N104" s="1732"/>
      <c r="O104" s="1732"/>
      <c r="P104" s="1731"/>
      <c r="Q104" s="1731"/>
      <c r="R104" s="1739"/>
      <c r="S104" s="2120"/>
      <c r="T104" s="2121"/>
      <c r="U104" s="94"/>
      <c r="V104" s="94"/>
      <c r="W104" s="94"/>
      <c r="X104" s="166"/>
      <c r="Y104" s="166"/>
      <c r="Z104" s="166"/>
      <c r="AA104" s="166"/>
      <c r="AB104" s="166"/>
      <c r="AC104" s="166"/>
    </row>
    <row r="105" spans="1:32">
      <c r="A105" s="153">
        <v>1</v>
      </c>
      <c r="B105" s="149"/>
      <c r="C105" s="158" t="s">
        <v>1140</v>
      </c>
      <c r="D105" s="149"/>
      <c r="E105" s="149"/>
      <c r="F105" s="1745"/>
      <c r="G105" s="1745"/>
      <c r="H105" s="1745"/>
      <c r="I105" s="1745"/>
      <c r="J105" s="1745"/>
      <c r="K105" s="1745"/>
      <c r="L105" s="1745"/>
      <c r="M105" s="1745"/>
      <c r="N105" s="1745"/>
      <c r="O105" s="1745"/>
      <c r="P105" s="1744"/>
      <c r="Q105" s="1744"/>
      <c r="R105" s="1745"/>
      <c r="S105" s="149"/>
      <c r="T105" s="153"/>
      <c r="U105" s="94"/>
      <c r="V105" s="94"/>
      <c r="W105" s="94"/>
      <c r="X105" s="166"/>
      <c r="Y105" s="166"/>
      <c r="Z105" s="166"/>
      <c r="AA105" s="166"/>
      <c r="AB105" s="166"/>
      <c r="AC105" s="166"/>
    </row>
    <row r="106" spans="1:32" ht="13.8" thickBot="1">
      <c r="A106" s="153">
        <f t="shared" ref="A106:A137" si="24">A105+1</f>
        <v>2</v>
      </c>
      <c r="B106" s="149"/>
      <c r="C106" s="153">
        <v>252050</v>
      </c>
      <c r="D106" s="149"/>
      <c r="E106" s="149" t="s">
        <v>1141</v>
      </c>
      <c r="F106" s="1937">
        <f>Q17</f>
        <v>2528681</v>
      </c>
      <c r="G106" s="1937">
        <f>F106</f>
        <v>2528681</v>
      </c>
      <c r="H106" s="1937">
        <f t="shared" ref="H106:R106" si="25">G106</f>
        <v>2528681</v>
      </c>
      <c r="I106" s="1937">
        <f t="shared" si="25"/>
        <v>2528681</v>
      </c>
      <c r="J106" s="1937">
        <f t="shared" si="25"/>
        <v>2528681</v>
      </c>
      <c r="K106" s="1937">
        <f t="shared" si="25"/>
        <v>2528681</v>
      </c>
      <c r="L106" s="1937">
        <f t="shared" si="25"/>
        <v>2528681</v>
      </c>
      <c r="M106" s="1937">
        <f t="shared" si="25"/>
        <v>2528681</v>
      </c>
      <c r="N106" s="1937">
        <f t="shared" si="25"/>
        <v>2528681</v>
      </c>
      <c r="O106" s="1937">
        <f t="shared" si="25"/>
        <v>2528681</v>
      </c>
      <c r="P106" s="1937">
        <f t="shared" si="25"/>
        <v>2528681</v>
      </c>
      <c r="Q106" s="1937">
        <f t="shared" si="25"/>
        <v>2528681</v>
      </c>
      <c r="R106" s="1937">
        <f t="shared" si="25"/>
        <v>2528681</v>
      </c>
      <c r="S106" s="1945">
        <f>SUM(F106:R106)</f>
        <v>32872853</v>
      </c>
      <c r="T106" s="1945">
        <f>ROUND(S106/13,0)</f>
        <v>2528681</v>
      </c>
      <c r="U106" s="94"/>
      <c r="V106" s="94"/>
      <c r="W106" s="94"/>
      <c r="X106" s="166"/>
      <c r="Y106" s="166"/>
      <c r="Z106" s="166"/>
      <c r="AA106" s="166"/>
      <c r="AB106" s="166"/>
      <c r="AC106" s="166"/>
    </row>
    <row r="107" spans="1:32" ht="13.8" thickTop="1">
      <c r="A107" s="153">
        <f t="shared" si="24"/>
        <v>3</v>
      </c>
      <c r="B107" s="149"/>
      <c r="C107" s="153"/>
      <c r="D107" s="149"/>
      <c r="E107" s="149"/>
      <c r="F107" s="1745"/>
      <c r="G107" s="1745"/>
      <c r="H107" s="1745"/>
      <c r="I107" s="1745"/>
      <c r="J107" s="1745"/>
      <c r="K107" s="1745"/>
      <c r="L107" s="1745"/>
      <c r="M107" s="1745"/>
      <c r="N107" s="1745"/>
      <c r="O107" s="1745"/>
      <c r="P107" s="1744"/>
      <c r="Q107" s="1744"/>
      <c r="R107" s="1745"/>
      <c r="S107" s="159"/>
      <c r="T107" s="159"/>
      <c r="U107" s="94"/>
      <c r="V107" s="94"/>
      <c r="W107" s="94"/>
      <c r="X107" s="166"/>
      <c r="Y107" s="166"/>
      <c r="Z107" s="166"/>
      <c r="AA107" s="166"/>
      <c r="AB107" s="166"/>
      <c r="AC107" s="166"/>
    </row>
    <row r="108" spans="1:32">
      <c r="A108" s="153">
        <f t="shared" si="24"/>
        <v>4</v>
      </c>
      <c r="B108" s="149"/>
      <c r="C108" s="153">
        <v>255</v>
      </c>
      <c r="D108" s="149"/>
      <c r="E108" s="149" t="s">
        <v>1142</v>
      </c>
      <c r="F108" s="1745"/>
      <c r="G108" s="1745"/>
      <c r="H108" s="1745"/>
      <c r="I108" s="1745"/>
      <c r="J108" s="1745"/>
      <c r="K108" s="1745"/>
      <c r="L108" s="1745"/>
      <c r="M108" s="1745"/>
      <c r="N108" s="1745"/>
      <c r="O108" s="1745"/>
      <c r="P108" s="1744"/>
      <c r="Q108" s="1744"/>
      <c r="R108" s="1745"/>
      <c r="S108" s="159"/>
      <c r="T108" s="159"/>
      <c r="U108" s="94"/>
      <c r="V108" s="94"/>
      <c r="W108" s="94"/>
      <c r="X108" s="166"/>
      <c r="Y108" s="166"/>
      <c r="Z108" s="166"/>
      <c r="AA108" s="166"/>
      <c r="AB108" s="166"/>
      <c r="AC108" s="166"/>
    </row>
    <row r="109" spans="1:32">
      <c r="A109" s="153">
        <f t="shared" si="24"/>
        <v>5</v>
      </c>
      <c r="B109" s="149"/>
      <c r="C109" s="94"/>
      <c r="D109" s="149"/>
      <c r="E109" s="162" t="s">
        <v>1099</v>
      </c>
      <c r="F109" s="1745">
        <f>Q20</f>
        <v>0</v>
      </c>
      <c r="G109" s="163">
        <v>0</v>
      </c>
      <c r="H109" s="163">
        <v>0</v>
      </c>
      <c r="I109" s="163">
        <v>0</v>
      </c>
      <c r="J109" s="163">
        <v>0</v>
      </c>
      <c r="K109" s="163">
        <v>0</v>
      </c>
      <c r="L109" s="163">
        <v>0</v>
      </c>
      <c r="M109" s="163">
        <v>0</v>
      </c>
      <c r="N109" s="163">
        <v>0</v>
      </c>
      <c r="O109" s="163">
        <v>0</v>
      </c>
      <c r="P109" s="163">
        <v>0</v>
      </c>
      <c r="Q109" s="163">
        <v>0</v>
      </c>
      <c r="R109" s="163">
        <v>0</v>
      </c>
      <c r="S109" s="159">
        <f>SUM(F109:R109)</f>
        <v>0</v>
      </c>
      <c r="T109" s="159">
        <f>ROUND(S109/13,0)</f>
        <v>0</v>
      </c>
      <c r="U109" s="94"/>
      <c r="V109" s="94"/>
      <c r="W109" s="94"/>
      <c r="X109" s="166"/>
      <c r="Y109" s="166"/>
      <c r="Z109" s="166"/>
      <c r="AA109" s="166"/>
      <c r="AB109" s="166"/>
      <c r="AC109" s="166"/>
      <c r="AD109" s="166"/>
      <c r="AE109" s="166"/>
      <c r="AF109" s="166"/>
    </row>
    <row r="110" spans="1:32">
      <c r="A110" s="153">
        <f t="shared" si="24"/>
        <v>6</v>
      </c>
      <c r="B110" s="149"/>
      <c r="C110" s="153"/>
      <c r="D110" s="149"/>
      <c r="E110" s="162" t="s">
        <v>1100</v>
      </c>
      <c r="F110" s="1745">
        <f>Q21</f>
        <v>0</v>
      </c>
      <c r="G110" s="163">
        <v>0</v>
      </c>
      <c r="H110" s="163">
        <v>0</v>
      </c>
      <c r="I110" s="163">
        <v>0</v>
      </c>
      <c r="J110" s="163">
        <v>0</v>
      </c>
      <c r="K110" s="163">
        <v>0</v>
      </c>
      <c r="L110" s="163">
        <v>0</v>
      </c>
      <c r="M110" s="163">
        <v>0</v>
      </c>
      <c r="N110" s="163">
        <v>0</v>
      </c>
      <c r="O110" s="163">
        <v>0</v>
      </c>
      <c r="P110" s="163">
        <v>0</v>
      </c>
      <c r="Q110" s="163">
        <v>0</v>
      </c>
      <c r="R110" s="163">
        <v>0</v>
      </c>
      <c r="S110" s="159">
        <f>SUM(F110:R110)</f>
        <v>0</v>
      </c>
      <c r="T110" s="159">
        <f>ROUND(S110/13,0)</f>
        <v>0</v>
      </c>
      <c r="U110" s="94"/>
      <c r="V110" s="94"/>
      <c r="W110" s="94"/>
      <c r="X110" s="166"/>
      <c r="Y110" s="166"/>
      <c r="Z110" s="166"/>
      <c r="AA110" s="166"/>
      <c r="AB110" s="166"/>
      <c r="AC110" s="166"/>
      <c r="AD110" s="166"/>
      <c r="AE110" s="166"/>
      <c r="AF110" s="166"/>
    </row>
    <row r="111" spans="1:32">
      <c r="A111" s="153">
        <f t="shared" si="24"/>
        <v>7</v>
      </c>
      <c r="B111" s="149"/>
      <c r="C111" s="153"/>
      <c r="D111" s="149"/>
      <c r="E111" s="162" t="s">
        <v>1101</v>
      </c>
      <c r="F111" s="1745">
        <f>Q22</f>
        <v>0</v>
      </c>
      <c r="G111" s="163">
        <v>0</v>
      </c>
      <c r="H111" s="163">
        <v>0</v>
      </c>
      <c r="I111" s="163">
        <v>0</v>
      </c>
      <c r="J111" s="163">
        <v>0</v>
      </c>
      <c r="K111" s="163">
        <v>0</v>
      </c>
      <c r="L111" s="163">
        <v>0</v>
      </c>
      <c r="M111" s="163">
        <v>0</v>
      </c>
      <c r="N111" s="163">
        <v>0</v>
      </c>
      <c r="O111" s="163">
        <v>0</v>
      </c>
      <c r="P111" s="163">
        <v>0</v>
      </c>
      <c r="Q111" s="163">
        <v>0</v>
      </c>
      <c r="R111" s="163">
        <v>0</v>
      </c>
      <c r="S111" s="159">
        <f>SUM(F111:R111)</f>
        <v>0</v>
      </c>
      <c r="T111" s="159">
        <f>ROUND(S111/13,0)</f>
        <v>0</v>
      </c>
      <c r="U111" s="94"/>
      <c r="V111" s="94"/>
      <c r="W111" s="94"/>
      <c r="X111" s="166"/>
      <c r="Y111" s="166"/>
      <c r="Z111" s="166"/>
      <c r="AA111" s="166"/>
      <c r="AB111" s="166"/>
      <c r="AC111" s="166"/>
      <c r="AD111" s="166"/>
      <c r="AE111" s="166"/>
      <c r="AF111" s="166"/>
    </row>
    <row r="112" spans="1:32">
      <c r="A112" s="153">
        <f t="shared" si="24"/>
        <v>8</v>
      </c>
      <c r="B112" s="149"/>
      <c r="C112" s="153"/>
      <c r="D112" s="149"/>
      <c r="E112" s="738" t="s">
        <v>1102</v>
      </c>
      <c r="F112" s="1816">
        <f>Q23</f>
        <v>0</v>
      </c>
      <c r="G112" s="163">
        <v>0</v>
      </c>
      <c r="H112" s="163">
        <v>0</v>
      </c>
      <c r="I112" s="163">
        <v>0</v>
      </c>
      <c r="J112" s="163">
        <v>0</v>
      </c>
      <c r="K112" s="163">
        <v>0</v>
      </c>
      <c r="L112" s="163">
        <v>0</v>
      </c>
      <c r="M112" s="163">
        <v>0</v>
      </c>
      <c r="N112" s="163">
        <v>0</v>
      </c>
      <c r="O112" s="163">
        <v>0</v>
      </c>
      <c r="P112" s="163">
        <v>0</v>
      </c>
      <c r="Q112" s="163">
        <v>0</v>
      </c>
      <c r="R112" s="163">
        <v>0</v>
      </c>
      <c r="S112" s="159">
        <f>SUM(F112:R112)</f>
        <v>0</v>
      </c>
      <c r="T112" s="1482">
        <f>ROUND(S112/13,0)</f>
        <v>0</v>
      </c>
      <c r="U112" s="94"/>
      <c r="V112" s="94"/>
      <c r="W112" s="94"/>
      <c r="X112" s="166"/>
      <c r="Y112" s="166"/>
      <c r="Z112" s="166"/>
      <c r="AA112" s="166"/>
      <c r="AB112" s="166"/>
      <c r="AC112" s="166"/>
      <c r="AD112" s="166"/>
      <c r="AE112" s="166"/>
      <c r="AF112" s="166"/>
    </row>
    <row r="113" spans="1:32" ht="13.8" thickBot="1">
      <c r="A113" s="153">
        <f t="shared" si="24"/>
        <v>9</v>
      </c>
      <c r="B113" s="149"/>
      <c r="C113" s="153"/>
      <c r="D113" s="149"/>
      <c r="E113" s="149" t="s">
        <v>1103</v>
      </c>
      <c r="F113" s="1937">
        <f>SUM(F109:F112)</f>
        <v>0</v>
      </c>
      <c r="G113" s="1740">
        <f t="shared" ref="G113:T113" si="26">SUM(G109:G112)</f>
        <v>0</v>
      </c>
      <c r="H113" s="1740">
        <f t="shared" si="26"/>
        <v>0</v>
      </c>
      <c r="I113" s="1740">
        <f t="shared" si="26"/>
        <v>0</v>
      </c>
      <c r="J113" s="1740">
        <f t="shared" si="26"/>
        <v>0</v>
      </c>
      <c r="K113" s="1740">
        <f t="shared" si="26"/>
        <v>0</v>
      </c>
      <c r="L113" s="1740">
        <f t="shared" si="26"/>
        <v>0</v>
      </c>
      <c r="M113" s="1740">
        <f t="shared" si="26"/>
        <v>0</v>
      </c>
      <c r="N113" s="1740">
        <f t="shared" si="26"/>
        <v>0</v>
      </c>
      <c r="O113" s="1740">
        <f t="shared" si="26"/>
        <v>0</v>
      </c>
      <c r="P113" s="1740">
        <f t="shared" si="26"/>
        <v>0</v>
      </c>
      <c r="Q113" s="1740">
        <f t="shared" si="26"/>
        <v>0</v>
      </c>
      <c r="R113" s="1740">
        <f t="shared" si="26"/>
        <v>0</v>
      </c>
      <c r="S113" s="1694">
        <f t="shared" si="26"/>
        <v>0</v>
      </c>
      <c r="T113" s="1945">
        <f t="shared" si="26"/>
        <v>0</v>
      </c>
      <c r="U113" s="94"/>
      <c r="V113" s="94"/>
      <c r="W113" s="94"/>
      <c r="X113" s="166"/>
      <c r="Y113" s="166"/>
      <c r="Z113" s="166"/>
      <c r="AA113" s="166"/>
      <c r="AB113" s="166"/>
      <c r="AC113" s="166"/>
      <c r="AD113" s="166"/>
      <c r="AE113" s="166"/>
      <c r="AF113" s="166"/>
    </row>
    <row r="114" spans="1:32" ht="13.8" thickTop="1">
      <c r="A114" s="153">
        <f t="shared" si="24"/>
        <v>10</v>
      </c>
      <c r="B114" s="149"/>
      <c r="C114" s="153"/>
      <c r="D114" s="149"/>
      <c r="E114" s="149"/>
      <c r="F114" s="1745"/>
      <c r="G114" s="1745"/>
      <c r="H114" s="1745"/>
      <c r="I114" s="1745"/>
      <c r="J114" s="1745"/>
      <c r="K114" s="1745"/>
      <c r="L114" s="1745"/>
      <c r="M114" s="1745"/>
      <c r="N114" s="1745"/>
      <c r="O114" s="1745"/>
      <c r="P114" s="1744"/>
      <c r="Q114" s="1744"/>
      <c r="R114" s="1745"/>
      <c r="S114" s="159"/>
      <c r="T114" s="159"/>
      <c r="U114" s="94"/>
      <c r="V114" s="94"/>
      <c r="W114" s="94"/>
      <c r="X114" s="166"/>
      <c r="Y114" s="166"/>
      <c r="Z114" s="166"/>
      <c r="AA114" s="166"/>
      <c r="AB114" s="166"/>
      <c r="AC114" s="166"/>
      <c r="AD114" s="166"/>
      <c r="AE114" s="166"/>
      <c r="AF114" s="166"/>
    </row>
    <row r="115" spans="1:32">
      <c r="A115" s="153">
        <f t="shared" si="24"/>
        <v>11</v>
      </c>
      <c r="B115" s="149"/>
      <c r="C115" s="153"/>
      <c r="D115" s="149"/>
      <c r="E115" s="149" t="s">
        <v>1143</v>
      </c>
      <c r="F115" s="1743"/>
      <c r="G115" s="1743"/>
      <c r="H115" s="1743"/>
      <c r="I115" s="1743"/>
      <c r="J115" s="1743"/>
      <c r="K115" s="1743"/>
      <c r="L115" s="1743"/>
      <c r="M115" s="1743"/>
      <c r="N115" s="1743"/>
      <c r="O115" s="1743"/>
      <c r="P115" s="1744"/>
      <c r="Q115" s="1744"/>
      <c r="R115" s="1745"/>
      <c r="S115" s="159"/>
      <c r="T115" s="159"/>
      <c r="U115" s="94"/>
      <c r="V115" s="94"/>
      <c r="W115" s="94"/>
      <c r="X115" s="166"/>
      <c r="Y115" s="166"/>
      <c r="Z115" s="166"/>
      <c r="AA115" s="166"/>
      <c r="AB115" s="166"/>
      <c r="AC115" s="166"/>
      <c r="AD115" s="166"/>
      <c r="AE115" s="166"/>
      <c r="AF115" s="166"/>
    </row>
    <row r="116" spans="1:32">
      <c r="A116" s="153">
        <f t="shared" si="24"/>
        <v>12</v>
      </c>
      <c r="B116" s="149"/>
      <c r="C116" s="153">
        <v>190</v>
      </c>
      <c r="D116" s="149"/>
      <c r="E116" s="164" t="s">
        <v>1144</v>
      </c>
      <c r="F116" s="1743">
        <f>Q27</f>
        <v>8888532</v>
      </c>
      <c r="G116" s="61">
        <v>8910738</v>
      </c>
      <c r="H116" s="61">
        <v>8932944</v>
      </c>
      <c r="I116" s="61">
        <v>8787723</v>
      </c>
      <c r="J116" s="61">
        <v>8809929</v>
      </c>
      <c r="K116" s="61">
        <v>8832135</v>
      </c>
      <c r="L116" s="61">
        <v>8854341</v>
      </c>
      <c r="M116" s="61">
        <v>8892011</v>
      </c>
      <c r="N116" s="61">
        <v>8929682</v>
      </c>
      <c r="O116" s="61">
        <v>8967352</v>
      </c>
      <c r="P116" s="61">
        <v>9005022</v>
      </c>
      <c r="Q116" s="61">
        <v>9042692</v>
      </c>
      <c r="R116" s="61">
        <v>9080362</v>
      </c>
      <c r="S116" s="159">
        <f>SUM(F116:R116)</f>
        <v>115933463</v>
      </c>
      <c r="T116" s="159">
        <f>ROUND(S116/13,0)</f>
        <v>8917959</v>
      </c>
      <c r="U116" s="94"/>
      <c r="V116" s="94"/>
      <c r="W116" s="94"/>
      <c r="X116" s="166"/>
      <c r="Y116" s="166"/>
      <c r="Z116" s="166"/>
      <c r="AA116" s="166"/>
      <c r="AB116" s="166"/>
      <c r="AC116" s="166"/>
      <c r="AD116" s="166"/>
      <c r="AE116" s="166"/>
      <c r="AF116" s="166"/>
    </row>
    <row r="117" spans="1:32">
      <c r="A117" s="153">
        <f t="shared" si="24"/>
        <v>13</v>
      </c>
      <c r="B117" s="149"/>
      <c r="C117" s="153"/>
      <c r="D117" s="149"/>
      <c r="E117" s="164"/>
      <c r="F117" s="1743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159"/>
      <c r="T117" s="159"/>
      <c r="U117" s="94"/>
      <c r="V117" s="94"/>
      <c r="W117" s="94"/>
      <c r="X117" s="166"/>
      <c r="Y117" s="166"/>
      <c r="Z117" s="166"/>
      <c r="AA117" s="166"/>
      <c r="AB117" s="166"/>
      <c r="AC117" s="166"/>
      <c r="AD117" s="166"/>
      <c r="AE117" s="166"/>
      <c r="AF117" s="166"/>
    </row>
    <row r="118" spans="1:32">
      <c r="A118" s="153">
        <f t="shared" si="24"/>
        <v>14</v>
      </c>
      <c r="B118" s="149"/>
      <c r="C118" s="153">
        <v>282</v>
      </c>
      <c r="D118" s="149"/>
      <c r="E118" s="164" t="s">
        <v>1145</v>
      </c>
      <c r="F118" s="1743">
        <f>Q29</f>
        <v>-42742938</v>
      </c>
      <c r="G118" s="61">
        <v>-42876666</v>
      </c>
      <c r="H118" s="61">
        <v>-43006329</v>
      </c>
      <c r="I118" s="61">
        <v>-43132377</v>
      </c>
      <c r="J118" s="61">
        <v>-43254591</v>
      </c>
      <c r="K118" s="61">
        <v>-43399687</v>
      </c>
      <c r="L118" s="61">
        <v>-43557817</v>
      </c>
      <c r="M118" s="61">
        <v>-43851589</v>
      </c>
      <c r="N118" s="61">
        <v>-44144098</v>
      </c>
      <c r="O118" s="61">
        <v>-44434883</v>
      </c>
      <c r="P118" s="61">
        <v>-44723714</v>
      </c>
      <c r="Q118" s="61">
        <v>-45010351</v>
      </c>
      <c r="R118" s="61">
        <v>-45295231</v>
      </c>
      <c r="S118" s="159">
        <f>SUM(F118:R118)</f>
        <v>-569430271</v>
      </c>
      <c r="T118" s="159">
        <f>ROUND(S118/13,0)</f>
        <v>-43802329</v>
      </c>
      <c r="U118" s="94"/>
      <c r="V118" s="94"/>
      <c r="W118" s="94"/>
      <c r="X118" s="166"/>
      <c r="Y118" s="166"/>
      <c r="Z118" s="166"/>
      <c r="AA118" s="166"/>
      <c r="AB118" s="166"/>
      <c r="AC118" s="166"/>
      <c r="AD118" s="166"/>
      <c r="AE118" s="166"/>
      <c r="AF118" s="166"/>
    </row>
    <row r="119" spans="1:32">
      <c r="A119" s="153">
        <f t="shared" si="24"/>
        <v>15</v>
      </c>
      <c r="B119" s="149"/>
      <c r="C119" s="153">
        <v>282</v>
      </c>
      <c r="D119" s="149"/>
      <c r="E119" s="164" t="s">
        <v>1146</v>
      </c>
      <c r="F119" s="1743">
        <f>Q30</f>
        <v>-65024409</v>
      </c>
      <c r="G119" s="61">
        <v>-65345839</v>
      </c>
      <c r="H119" s="61">
        <v>-65666487</v>
      </c>
      <c r="I119" s="61">
        <v>-65986576</v>
      </c>
      <c r="J119" s="61">
        <v>-66305575</v>
      </c>
      <c r="K119" s="61">
        <v>-66624839</v>
      </c>
      <c r="L119" s="61">
        <v>-66925384</v>
      </c>
      <c r="M119" s="61">
        <v>-67244805</v>
      </c>
      <c r="N119" s="61">
        <v>-67563522</v>
      </c>
      <c r="O119" s="61">
        <v>-67881150</v>
      </c>
      <c r="P119" s="61">
        <v>-68197438</v>
      </c>
      <c r="Q119" s="61">
        <v>-68512886</v>
      </c>
      <c r="R119" s="61">
        <v>-68827211</v>
      </c>
      <c r="S119" s="159">
        <f>SUM(F119:R119)</f>
        <v>-870106121</v>
      </c>
      <c r="T119" s="159">
        <f>ROUND(S119/13,0)</f>
        <v>-66931240</v>
      </c>
      <c r="U119" s="94"/>
      <c r="V119" s="94"/>
      <c r="W119" s="94"/>
      <c r="X119" s="166"/>
      <c r="Y119" s="166"/>
      <c r="Z119" s="166"/>
      <c r="AA119" s="166"/>
      <c r="AB119" s="166"/>
      <c r="AC119" s="166"/>
      <c r="AD119" s="166"/>
      <c r="AE119" s="166"/>
      <c r="AF119" s="166"/>
    </row>
    <row r="120" spans="1:32">
      <c r="A120" s="153">
        <f t="shared" si="24"/>
        <v>16</v>
      </c>
      <c r="B120" s="149"/>
      <c r="C120" s="153">
        <v>283</v>
      </c>
      <c r="D120" s="149"/>
      <c r="E120" s="164" t="s">
        <v>1147</v>
      </c>
      <c r="F120" s="1743">
        <f>Q31</f>
        <v>-2867899</v>
      </c>
      <c r="G120" s="61">
        <v>-2867603</v>
      </c>
      <c r="H120" s="61">
        <v>-2867506</v>
      </c>
      <c r="I120" s="61">
        <v>-2867409</v>
      </c>
      <c r="J120" s="61">
        <v>-2867312</v>
      </c>
      <c r="K120" s="61">
        <v>-2867215</v>
      </c>
      <c r="L120" s="61">
        <v>-2867118</v>
      </c>
      <c r="M120" s="61">
        <v>-2867021</v>
      </c>
      <c r="N120" s="61">
        <v>-2866924</v>
      </c>
      <c r="O120" s="61">
        <v>-2866827</v>
      </c>
      <c r="P120" s="61">
        <v>-2866730</v>
      </c>
      <c r="Q120" s="61">
        <v>-2866633</v>
      </c>
      <c r="R120" s="61">
        <v>-2866536</v>
      </c>
      <c r="S120" s="159">
        <f>SUM(F120:R120)</f>
        <v>-37272733</v>
      </c>
      <c r="T120" s="159">
        <f>ROUND(S120/13,0)</f>
        <v>-2867133</v>
      </c>
      <c r="U120" s="94"/>
      <c r="V120" s="94"/>
      <c r="W120" s="94"/>
      <c r="X120" s="166"/>
      <c r="Y120" s="166"/>
      <c r="Z120" s="166"/>
      <c r="AA120" s="166"/>
      <c r="AB120" s="166"/>
      <c r="AC120" s="166"/>
      <c r="AD120" s="166"/>
      <c r="AE120" s="166"/>
      <c r="AF120" s="166"/>
    </row>
    <row r="121" spans="1:32">
      <c r="A121" s="153">
        <f t="shared" si="24"/>
        <v>17</v>
      </c>
      <c r="B121" s="149"/>
      <c r="C121" s="153">
        <v>283</v>
      </c>
      <c r="D121" s="149"/>
      <c r="E121" s="164" t="s">
        <v>1148</v>
      </c>
      <c r="F121" s="1743">
        <f>Q32</f>
        <v>0</v>
      </c>
      <c r="G121" s="61">
        <v>0</v>
      </c>
      <c r="H121" s="61">
        <v>0</v>
      </c>
      <c r="I121" s="61">
        <v>0</v>
      </c>
      <c r="J121" s="61">
        <v>0</v>
      </c>
      <c r="K121" s="61">
        <v>0</v>
      </c>
      <c r="L121" s="61">
        <v>0</v>
      </c>
      <c r="M121" s="61">
        <v>0</v>
      </c>
      <c r="N121" s="61">
        <v>0</v>
      </c>
      <c r="O121" s="61">
        <v>0</v>
      </c>
      <c r="P121" s="61">
        <v>0</v>
      </c>
      <c r="Q121" s="61">
        <v>0</v>
      </c>
      <c r="R121" s="61">
        <v>0</v>
      </c>
      <c r="S121" s="159">
        <f>SUM(F121:R121)</f>
        <v>0</v>
      </c>
      <c r="T121" s="1482">
        <f>ROUND(S121/13,0)</f>
        <v>0</v>
      </c>
      <c r="U121" s="94"/>
      <c r="V121" s="94"/>
      <c r="W121" s="94"/>
      <c r="X121" s="166"/>
      <c r="Y121" s="166"/>
      <c r="Z121" s="166"/>
      <c r="AA121" s="166"/>
      <c r="AB121" s="166"/>
      <c r="AC121" s="166"/>
      <c r="AD121" s="166"/>
      <c r="AE121" s="166"/>
      <c r="AF121" s="166"/>
    </row>
    <row r="122" spans="1:32" ht="13.8" thickBot="1">
      <c r="A122" s="153">
        <f t="shared" si="24"/>
        <v>18</v>
      </c>
      <c r="B122" s="149"/>
      <c r="C122" s="153"/>
      <c r="D122" s="149"/>
      <c r="E122" s="149" t="s">
        <v>1123</v>
      </c>
      <c r="F122" s="1730">
        <f t="shared" ref="F122:S122" si="27">SUM(F116:F121)</f>
        <v>-101746714</v>
      </c>
      <c r="G122" s="1730">
        <f t="shared" si="27"/>
        <v>-102179370</v>
      </c>
      <c r="H122" s="1730">
        <f t="shared" si="27"/>
        <v>-102607378</v>
      </c>
      <c r="I122" s="1730">
        <f t="shared" si="27"/>
        <v>-103198639</v>
      </c>
      <c r="J122" s="1730">
        <f t="shared" si="27"/>
        <v>-103617549</v>
      </c>
      <c r="K122" s="1730">
        <f t="shared" si="27"/>
        <v>-104059606</v>
      </c>
      <c r="L122" s="1730">
        <f t="shared" si="27"/>
        <v>-104495978</v>
      </c>
      <c r="M122" s="1730">
        <f t="shared" si="27"/>
        <v>-105071404</v>
      </c>
      <c r="N122" s="1730">
        <f t="shared" si="27"/>
        <v>-105644862</v>
      </c>
      <c r="O122" s="1730">
        <f t="shared" si="27"/>
        <v>-106215508</v>
      </c>
      <c r="P122" s="1730">
        <f t="shared" si="27"/>
        <v>-106782860</v>
      </c>
      <c r="Q122" s="1730">
        <f t="shared" si="27"/>
        <v>-107347178</v>
      </c>
      <c r="R122" s="1730">
        <f t="shared" si="27"/>
        <v>-107908616</v>
      </c>
      <c r="S122" s="1695">
        <f t="shared" si="27"/>
        <v>-1360875662</v>
      </c>
      <c r="T122" s="1945">
        <f>SUM(T116:T121)</f>
        <v>-104682743</v>
      </c>
      <c r="U122" s="94"/>
      <c r="V122" s="94"/>
      <c r="W122" s="94"/>
      <c r="X122" s="166"/>
      <c r="Y122" s="166"/>
      <c r="Z122" s="166"/>
      <c r="AA122" s="166"/>
      <c r="AB122" s="166"/>
      <c r="AC122" s="166"/>
      <c r="AD122" s="166"/>
      <c r="AE122" s="166"/>
      <c r="AF122" s="166"/>
    </row>
    <row r="123" spans="1:32" ht="13.8" thickTop="1">
      <c r="A123" s="153">
        <f t="shared" si="24"/>
        <v>19</v>
      </c>
      <c r="B123" s="149"/>
      <c r="C123" s="153"/>
      <c r="D123" s="149"/>
      <c r="E123" s="149"/>
      <c r="F123" s="1743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94"/>
      <c r="V123" s="94"/>
      <c r="W123" s="94"/>
      <c r="X123" s="166"/>
      <c r="Y123" s="166"/>
      <c r="Z123" s="166"/>
      <c r="AA123" s="166"/>
      <c r="AB123" s="166"/>
      <c r="AC123" s="166"/>
      <c r="AD123" s="166"/>
      <c r="AE123" s="166"/>
      <c r="AF123" s="166"/>
    </row>
    <row r="124" spans="1:32">
      <c r="A124" s="153">
        <f t="shared" si="24"/>
        <v>20</v>
      </c>
      <c r="B124" s="149"/>
      <c r="C124" s="33"/>
      <c r="D124" s="29"/>
      <c r="E124" s="29" t="s">
        <v>1149</v>
      </c>
      <c r="F124" s="1742"/>
      <c r="G124" s="1742"/>
      <c r="H124" s="1742"/>
      <c r="I124" s="1742"/>
      <c r="J124" s="1742"/>
      <c r="K124" s="1742"/>
      <c r="L124" s="1742"/>
      <c r="N124" s="1742"/>
      <c r="O124" s="1742"/>
      <c r="P124" s="1742"/>
      <c r="Q124" s="1742"/>
      <c r="R124" s="28"/>
      <c r="S124" s="30"/>
      <c r="T124" s="1200"/>
      <c r="U124" s="94"/>
      <c r="V124" s="94"/>
      <c r="W124" s="94"/>
      <c r="X124" s="166"/>
      <c r="Y124" s="166"/>
      <c r="Z124" s="166"/>
      <c r="AA124" s="166"/>
      <c r="AB124" s="166"/>
      <c r="AC124" s="166"/>
      <c r="AD124" s="166"/>
      <c r="AE124" s="166"/>
      <c r="AF124" s="166"/>
    </row>
    <row r="125" spans="1:32">
      <c r="A125" s="153">
        <f t="shared" si="24"/>
        <v>21</v>
      </c>
      <c r="B125" s="149"/>
      <c r="C125" s="33">
        <v>254</v>
      </c>
      <c r="D125" s="29"/>
      <c r="E125" s="1201" t="s">
        <v>1150</v>
      </c>
      <c r="F125" s="28">
        <f>Q36</f>
        <v>-29291401</v>
      </c>
      <c r="G125" s="163">
        <v>-29249735</v>
      </c>
      <c r="H125" s="163">
        <v>-29208068</v>
      </c>
      <c r="I125" s="163">
        <v>-29166401</v>
      </c>
      <c r="J125" s="163">
        <v>-29124735</v>
      </c>
      <c r="K125" s="163">
        <v>-29083068</v>
      </c>
      <c r="L125" s="163">
        <v>-29041401</v>
      </c>
      <c r="M125" s="163">
        <v>-28999735</v>
      </c>
      <c r="N125" s="163">
        <v>-28958068</v>
      </c>
      <c r="O125" s="163">
        <v>-28916401</v>
      </c>
      <c r="P125" s="163">
        <v>-28874735</v>
      </c>
      <c r="Q125" s="163">
        <v>-28833068</v>
      </c>
      <c r="R125" s="163">
        <v>-28791401</v>
      </c>
      <c r="S125" s="159">
        <f>SUM(F125:R125)</f>
        <v>-377538217</v>
      </c>
      <c r="T125" s="159">
        <f>ROUND(S125/13,0)</f>
        <v>-29041401</v>
      </c>
      <c r="U125" s="94"/>
      <c r="V125" s="94"/>
      <c r="W125" s="94"/>
      <c r="X125" s="166"/>
      <c r="Y125" s="166"/>
      <c r="Z125" s="166"/>
      <c r="AA125" s="166"/>
      <c r="AB125" s="166"/>
      <c r="AC125" s="166"/>
      <c r="AD125" s="166"/>
      <c r="AE125" s="166"/>
      <c r="AF125" s="166"/>
    </row>
    <row r="126" spans="1:32">
      <c r="A126" s="153">
        <f t="shared" si="24"/>
        <v>22</v>
      </c>
      <c r="B126" s="149"/>
      <c r="C126" s="33">
        <v>254</v>
      </c>
      <c r="D126" s="29"/>
      <c r="E126" s="1201" t="s">
        <v>1151</v>
      </c>
      <c r="F126" s="28">
        <f>Q37</f>
        <v>-303855</v>
      </c>
      <c r="G126" s="163">
        <v>-296263</v>
      </c>
      <c r="H126" s="163">
        <v>-288671</v>
      </c>
      <c r="I126" s="163">
        <v>-281078</v>
      </c>
      <c r="J126" s="163">
        <v>-273486</v>
      </c>
      <c r="K126" s="163">
        <v>-265894</v>
      </c>
      <c r="L126" s="163">
        <v>-258301</v>
      </c>
      <c r="M126" s="163">
        <v>-250709</v>
      </c>
      <c r="N126" s="163">
        <v>-243117</v>
      </c>
      <c r="O126" s="163">
        <v>-235524</v>
      </c>
      <c r="P126" s="163">
        <v>-227932</v>
      </c>
      <c r="Q126" s="163">
        <v>-220340</v>
      </c>
      <c r="R126" s="163">
        <v>-212747</v>
      </c>
      <c r="S126" s="159">
        <f>SUM(F126:R126)</f>
        <v>-3357917</v>
      </c>
      <c r="T126" s="159">
        <f>ROUND(S126/13,0)</f>
        <v>-258301</v>
      </c>
      <c r="U126" s="94"/>
      <c r="V126" s="94"/>
      <c r="W126" s="94"/>
      <c r="X126" s="166"/>
      <c r="Y126" s="166"/>
      <c r="Z126" s="166"/>
      <c r="AA126" s="166"/>
      <c r="AB126" s="166"/>
      <c r="AC126" s="166"/>
      <c r="AD126" s="166"/>
      <c r="AE126" s="166"/>
      <c r="AF126" s="166"/>
    </row>
    <row r="127" spans="1:32" ht="13.8" thickBot="1">
      <c r="A127" s="153">
        <f t="shared" si="24"/>
        <v>23</v>
      </c>
      <c r="B127" s="149"/>
      <c r="C127" s="33"/>
      <c r="D127" s="29"/>
      <c r="E127" s="29" t="s">
        <v>1109</v>
      </c>
      <c r="F127" s="1729">
        <f>SUM(F125:F126)</f>
        <v>-29595256</v>
      </c>
      <c r="G127" s="1729">
        <f t="shared" ref="G127:R127" si="28">SUM(G125:G126)</f>
        <v>-29545998</v>
      </c>
      <c r="H127" s="1729">
        <f t="shared" si="28"/>
        <v>-29496739</v>
      </c>
      <c r="I127" s="1729">
        <f t="shared" si="28"/>
        <v>-29447479</v>
      </c>
      <c r="J127" s="1729">
        <f t="shared" si="28"/>
        <v>-29398221</v>
      </c>
      <c r="K127" s="1729">
        <f t="shared" si="28"/>
        <v>-29348962</v>
      </c>
      <c r="L127" s="1729">
        <f t="shared" si="28"/>
        <v>-29299702</v>
      </c>
      <c r="M127" s="1729">
        <f t="shared" si="28"/>
        <v>-29250444</v>
      </c>
      <c r="N127" s="1729">
        <f t="shared" si="28"/>
        <v>-29201185</v>
      </c>
      <c r="O127" s="1729">
        <f t="shared" si="28"/>
        <v>-29151925</v>
      </c>
      <c r="P127" s="1729">
        <f t="shared" si="28"/>
        <v>-29102667</v>
      </c>
      <c r="Q127" s="1729">
        <f t="shared" si="28"/>
        <v>-29053408</v>
      </c>
      <c r="R127" s="1729">
        <f t="shared" si="28"/>
        <v>-29004148</v>
      </c>
      <c r="S127" s="1696">
        <f>SUM(S125:S126)</f>
        <v>-380896134</v>
      </c>
      <c r="T127" s="1696">
        <f>SUM(T125:T126)</f>
        <v>-29299702</v>
      </c>
      <c r="U127" s="94"/>
      <c r="V127" s="94"/>
      <c r="W127" s="94"/>
      <c r="X127" s="166"/>
      <c r="Y127" s="166"/>
      <c r="Z127" s="166"/>
      <c r="AA127" s="166"/>
      <c r="AB127" s="166"/>
      <c r="AC127" s="166"/>
      <c r="AD127" s="166"/>
      <c r="AE127" s="166"/>
      <c r="AF127" s="166"/>
    </row>
    <row r="128" spans="1:32" ht="13.8" thickTop="1">
      <c r="A128" s="153">
        <f t="shared" si="24"/>
        <v>24</v>
      </c>
      <c r="B128" s="149"/>
      <c r="C128" s="33"/>
      <c r="D128" s="29"/>
      <c r="E128" s="29"/>
      <c r="F128" s="1742"/>
      <c r="G128" s="1742"/>
      <c r="H128" s="1742"/>
      <c r="I128" s="1742"/>
      <c r="J128" s="1742"/>
      <c r="K128" s="1742"/>
      <c r="L128" s="1742"/>
      <c r="M128" s="1742"/>
      <c r="N128" s="1742"/>
      <c r="O128" s="1742"/>
      <c r="P128" s="1742"/>
      <c r="Q128" s="1742"/>
      <c r="R128" s="1742"/>
      <c r="S128" s="1200"/>
      <c r="T128" s="1200"/>
      <c r="U128" s="94"/>
      <c r="V128" s="94"/>
      <c r="W128" s="94"/>
      <c r="X128" s="166"/>
      <c r="Y128" s="166"/>
      <c r="Z128" s="166"/>
      <c r="AA128" s="166"/>
      <c r="AB128" s="166"/>
      <c r="AC128" s="166"/>
      <c r="AD128" s="166"/>
      <c r="AE128" s="166"/>
      <c r="AF128" s="166"/>
    </row>
    <row r="129" spans="1:32">
      <c r="A129" s="1736">
        <f t="shared" si="24"/>
        <v>25</v>
      </c>
      <c r="B129" s="1739"/>
      <c r="C129" s="10"/>
      <c r="E129" t="s">
        <v>1152</v>
      </c>
      <c r="F129" s="1742"/>
      <c r="G129" s="1742"/>
      <c r="H129" s="1742"/>
      <c r="I129" s="1742"/>
      <c r="J129" s="1742"/>
      <c r="K129" s="1742"/>
      <c r="L129" s="1742"/>
      <c r="N129" s="1742"/>
      <c r="O129" s="1742"/>
      <c r="P129" s="1742"/>
      <c r="Q129" s="1742"/>
      <c r="R129" s="28"/>
      <c r="S129" s="28"/>
      <c r="T129" s="1742"/>
      <c r="U129" s="1256"/>
      <c r="V129" s="1256"/>
      <c r="W129" s="1256"/>
      <c r="X129" s="1741"/>
      <c r="Y129" s="1741"/>
      <c r="Z129" s="1741"/>
      <c r="AA129" s="1741"/>
      <c r="AB129" s="1741"/>
      <c r="AC129" s="1741"/>
      <c r="AD129" s="1741"/>
      <c r="AE129" s="1741"/>
      <c r="AF129" s="1741"/>
    </row>
    <row r="130" spans="1:32" ht="13.8" thickBot="1">
      <c r="A130" s="1736">
        <f t="shared" si="24"/>
        <v>26</v>
      </c>
      <c r="B130" s="1739"/>
      <c r="C130" s="10">
        <v>182</v>
      </c>
      <c r="E130" s="1201" t="s">
        <v>1151</v>
      </c>
      <c r="F130" s="1935">
        <f>Q41</f>
        <v>-276566</v>
      </c>
      <c r="G130" s="1936">
        <v>-271544</v>
      </c>
      <c r="H130" s="1936">
        <v>-266521</v>
      </c>
      <c r="I130" s="1936">
        <v>-261498</v>
      </c>
      <c r="J130" s="1936">
        <v>-256476</v>
      </c>
      <c r="K130" s="1936">
        <v>-251453</v>
      </c>
      <c r="L130" s="1936">
        <v>-246430</v>
      </c>
      <c r="M130" s="1936">
        <v>-241407</v>
      </c>
      <c r="N130" s="1936">
        <v>-236385</v>
      </c>
      <c r="O130" s="1936">
        <v>-231362</v>
      </c>
      <c r="P130" s="1936">
        <v>-226339</v>
      </c>
      <c r="Q130" s="1936">
        <v>-221317</v>
      </c>
      <c r="R130" s="1936">
        <v>-216294</v>
      </c>
      <c r="S130" s="1937">
        <f>SUM(F130:R130)</f>
        <v>-3203592</v>
      </c>
      <c r="T130" s="1937">
        <f>ROUND(S130/13,0)</f>
        <v>-246430</v>
      </c>
      <c r="U130" s="1256"/>
      <c r="V130" s="1256"/>
      <c r="W130" s="1256"/>
      <c r="X130" s="1741"/>
      <c r="Y130" s="1741"/>
      <c r="Z130" s="1741"/>
      <c r="AA130" s="1741"/>
      <c r="AB130" s="1741"/>
      <c r="AC130" s="1741"/>
      <c r="AD130" s="1741"/>
      <c r="AE130" s="1741"/>
      <c r="AF130" s="1741"/>
    </row>
    <row r="131" spans="1:32" ht="13.8" thickTop="1">
      <c r="A131" s="153">
        <f t="shared" si="24"/>
        <v>27</v>
      </c>
      <c r="B131" s="149"/>
      <c r="C131" s="153"/>
      <c r="D131" s="149"/>
      <c r="E131" s="149"/>
      <c r="F131" s="1743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94"/>
      <c r="V131" s="94"/>
      <c r="W131" s="94"/>
      <c r="X131" s="166"/>
      <c r="Y131" s="166"/>
      <c r="Z131" s="166"/>
      <c r="AA131" s="166"/>
      <c r="AB131" s="166"/>
      <c r="AC131" s="166"/>
      <c r="AD131" s="166"/>
      <c r="AE131" s="166"/>
      <c r="AF131" s="166"/>
    </row>
    <row r="132" spans="1:32">
      <c r="A132" s="153">
        <f t="shared" si="24"/>
        <v>28</v>
      </c>
      <c r="B132" s="94"/>
      <c r="C132" s="158" t="s">
        <v>1153</v>
      </c>
      <c r="D132" s="149"/>
      <c r="E132" s="149"/>
      <c r="F132" s="1745"/>
      <c r="G132" s="1745"/>
      <c r="H132" s="1745"/>
      <c r="I132" s="1745"/>
      <c r="J132" s="1745"/>
      <c r="K132" s="1745"/>
      <c r="L132" s="1745"/>
      <c r="M132" s="1745"/>
      <c r="N132" s="1745"/>
      <c r="O132" s="1745"/>
      <c r="P132" s="1745"/>
      <c r="Q132" s="1745"/>
      <c r="R132" s="1745"/>
      <c r="S132" s="159"/>
      <c r="T132" s="160"/>
      <c r="U132" s="94"/>
      <c r="V132" s="94"/>
      <c r="W132" s="94"/>
      <c r="X132" s="166"/>
      <c r="Y132" s="166"/>
      <c r="Z132" s="166"/>
      <c r="AA132" s="166"/>
      <c r="AB132" s="166"/>
      <c r="AC132" s="166"/>
      <c r="AD132" s="166"/>
      <c r="AE132" s="166"/>
      <c r="AF132" s="166"/>
    </row>
    <row r="133" spans="1:32" ht="13.8" thickBot="1">
      <c r="A133" s="153">
        <f t="shared" si="24"/>
        <v>29</v>
      </c>
      <c r="B133" s="94"/>
      <c r="C133" s="153">
        <v>252</v>
      </c>
      <c r="D133" s="149"/>
      <c r="E133" s="149" t="s">
        <v>1141</v>
      </c>
      <c r="F133" s="1937">
        <v>0</v>
      </c>
      <c r="G133" s="1936">
        <v>0</v>
      </c>
      <c r="H133" s="1936">
        <v>0</v>
      </c>
      <c r="I133" s="1936">
        <v>0</v>
      </c>
      <c r="J133" s="1936">
        <v>0</v>
      </c>
      <c r="K133" s="1936">
        <v>0</v>
      </c>
      <c r="L133" s="1936">
        <v>0</v>
      </c>
      <c r="M133" s="1936">
        <v>0</v>
      </c>
      <c r="N133" s="1936">
        <v>0</v>
      </c>
      <c r="O133" s="1936">
        <v>0</v>
      </c>
      <c r="P133" s="1936">
        <v>0</v>
      </c>
      <c r="Q133" s="1936">
        <v>0</v>
      </c>
      <c r="R133" s="1936">
        <v>0</v>
      </c>
      <c r="S133" s="1945">
        <f>SUM(F133:R133)</f>
        <v>0</v>
      </c>
      <c r="T133" s="1945">
        <f>ROUND(S133/13,0)</f>
        <v>0</v>
      </c>
      <c r="U133" s="94"/>
      <c r="V133" s="94"/>
      <c r="W133" s="94"/>
      <c r="X133" s="166"/>
      <c r="Y133" s="166"/>
      <c r="Z133" s="166"/>
      <c r="AA133" s="166"/>
      <c r="AB133" s="166"/>
      <c r="AC133" s="166"/>
      <c r="AD133" s="166"/>
      <c r="AE133" s="166"/>
      <c r="AF133" s="166"/>
    </row>
    <row r="134" spans="1:32" ht="13.8" thickTop="1">
      <c r="A134" s="153">
        <f t="shared" si="24"/>
        <v>30</v>
      </c>
      <c r="B134" s="94"/>
      <c r="C134" s="153"/>
      <c r="D134" s="149"/>
      <c r="E134" s="149"/>
      <c r="F134" s="1745"/>
      <c r="G134" s="1745"/>
      <c r="H134" s="1745"/>
      <c r="I134" s="1745"/>
      <c r="J134" s="1745"/>
      <c r="K134" s="1745"/>
      <c r="L134" s="1745"/>
      <c r="M134" s="1745"/>
      <c r="N134" s="1745"/>
      <c r="O134" s="1745"/>
      <c r="P134" s="1744"/>
      <c r="Q134" s="1744"/>
      <c r="R134" s="1745"/>
      <c r="S134" s="159"/>
      <c r="T134" s="159"/>
      <c r="U134" s="94"/>
      <c r="V134" s="94"/>
      <c r="W134" s="94"/>
      <c r="X134" s="166"/>
      <c r="Y134" s="166"/>
      <c r="Z134" s="166"/>
      <c r="AA134" s="166"/>
      <c r="AB134" s="166"/>
      <c r="AC134" s="166"/>
      <c r="AD134" s="166"/>
      <c r="AE134" s="166"/>
      <c r="AF134" s="166"/>
    </row>
    <row r="135" spans="1:32">
      <c r="A135" s="153">
        <f t="shared" si="24"/>
        <v>31</v>
      </c>
      <c r="B135" s="94"/>
      <c r="C135" s="153">
        <v>255</v>
      </c>
      <c r="D135" s="149"/>
      <c r="E135" s="149" t="s">
        <v>1142</v>
      </c>
      <c r="F135" s="1745"/>
      <c r="G135" s="1745"/>
      <c r="H135" s="1745"/>
      <c r="I135" s="1745"/>
      <c r="J135" s="1745"/>
      <c r="K135" s="1745"/>
      <c r="L135" s="1745"/>
      <c r="M135" s="1745"/>
      <c r="N135" s="1745"/>
      <c r="O135" s="1745"/>
      <c r="P135" s="1744"/>
      <c r="Q135" s="1744"/>
      <c r="R135" s="1745"/>
      <c r="S135" s="159"/>
      <c r="T135" s="159"/>
      <c r="U135" s="94"/>
      <c r="V135" s="94"/>
      <c r="W135" s="94"/>
      <c r="X135" s="166"/>
      <c r="Y135" s="166"/>
      <c r="Z135" s="166"/>
      <c r="AA135" s="166"/>
      <c r="AB135" s="166"/>
      <c r="AC135" s="166"/>
      <c r="AD135" s="166"/>
      <c r="AE135" s="166"/>
      <c r="AF135" s="166"/>
    </row>
    <row r="136" spans="1:32">
      <c r="A136" s="153">
        <f t="shared" si="24"/>
        <v>32</v>
      </c>
      <c r="B136" s="94"/>
      <c r="C136" s="153"/>
      <c r="D136" s="149"/>
      <c r="E136" s="162" t="s">
        <v>1099</v>
      </c>
      <c r="F136" s="1745">
        <f>Q47</f>
        <v>0</v>
      </c>
      <c r="G136" s="163">
        <v>0</v>
      </c>
      <c r="H136" s="163">
        <v>0</v>
      </c>
      <c r="I136" s="163">
        <v>0</v>
      </c>
      <c r="J136" s="163">
        <v>0</v>
      </c>
      <c r="K136" s="163">
        <v>0</v>
      </c>
      <c r="L136" s="163">
        <v>0</v>
      </c>
      <c r="M136" s="163">
        <v>0</v>
      </c>
      <c r="N136" s="163">
        <v>0</v>
      </c>
      <c r="O136" s="163">
        <v>0</v>
      </c>
      <c r="P136" s="163">
        <v>0</v>
      </c>
      <c r="Q136" s="163">
        <v>0</v>
      </c>
      <c r="R136" s="163">
        <v>0</v>
      </c>
      <c r="S136" s="159">
        <f>SUM(F136:R136)</f>
        <v>0</v>
      </c>
      <c r="T136" s="159">
        <f>ROUND(S136/13,0)</f>
        <v>0</v>
      </c>
      <c r="U136" s="94"/>
      <c r="V136" s="94"/>
      <c r="W136" s="94"/>
      <c r="X136" s="166"/>
      <c r="Y136" s="166"/>
      <c r="Z136" s="166"/>
      <c r="AA136" s="166"/>
      <c r="AB136" s="166"/>
      <c r="AC136" s="166"/>
      <c r="AD136" s="166"/>
      <c r="AE136" s="166"/>
      <c r="AF136" s="166"/>
    </row>
    <row r="137" spans="1:32">
      <c r="A137" s="153">
        <f t="shared" si="24"/>
        <v>33</v>
      </c>
      <c r="B137" s="94"/>
      <c r="C137" s="153"/>
      <c r="D137" s="149"/>
      <c r="E137" s="162" t="s">
        <v>1100</v>
      </c>
      <c r="F137" s="1745">
        <f>Q48</f>
        <v>0</v>
      </c>
      <c r="G137" s="163">
        <v>0</v>
      </c>
      <c r="H137" s="163">
        <v>0</v>
      </c>
      <c r="I137" s="163">
        <v>0</v>
      </c>
      <c r="J137" s="163">
        <v>0</v>
      </c>
      <c r="K137" s="163">
        <v>0</v>
      </c>
      <c r="L137" s="163">
        <v>0</v>
      </c>
      <c r="M137" s="163">
        <v>0</v>
      </c>
      <c r="N137" s="163">
        <v>0</v>
      </c>
      <c r="O137" s="163">
        <v>0</v>
      </c>
      <c r="P137" s="163">
        <v>0</v>
      </c>
      <c r="Q137" s="163">
        <v>0</v>
      </c>
      <c r="R137" s="163">
        <v>0</v>
      </c>
      <c r="S137" s="159">
        <f>SUM(F137:R137)</f>
        <v>0</v>
      </c>
      <c r="T137" s="159">
        <f>ROUND(S137/13,0)</f>
        <v>0</v>
      </c>
      <c r="U137" s="94"/>
      <c r="V137" s="94"/>
      <c r="W137" s="94"/>
      <c r="X137" s="166"/>
      <c r="Y137" s="166"/>
      <c r="Z137" s="166"/>
      <c r="AA137" s="166"/>
      <c r="AB137" s="166"/>
      <c r="AC137" s="166"/>
      <c r="AD137" s="166"/>
      <c r="AE137" s="166"/>
      <c r="AF137" s="166"/>
    </row>
    <row r="138" spans="1:32">
      <c r="A138" s="153">
        <f t="shared" ref="A138:A167" si="29">A137+1</f>
        <v>34</v>
      </c>
      <c r="B138" s="94"/>
      <c r="C138" s="153"/>
      <c r="D138" s="149"/>
      <c r="E138" s="162" t="s">
        <v>1101</v>
      </c>
      <c r="F138" s="1745">
        <f>Q49</f>
        <v>0</v>
      </c>
      <c r="G138" s="163">
        <v>0</v>
      </c>
      <c r="H138" s="163">
        <v>0</v>
      </c>
      <c r="I138" s="163">
        <v>0</v>
      </c>
      <c r="J138" s="163">
        <v>0</v>
      </c>
      <c r="K138" s="163">
        <v>0</v>
      </c>
      <c r="L138" s="163">
        <v>0</v>
      </c>
      <c r="M138" s="163">
        <v>0</v>
      </c>
      <c r="N138" s="163">
        <v>0</v>
      </c>
      <c r="O138" s="163">
        <v>0</v>
      </c>
      <c r="P138" s="163">
        <v>0</v>
      </c>
      <c r="Q138" s="163">
        <v>0</v>
      </c>
      <c r="R138" s="163">
        <v>0</v>
      </c>
      <c r="S138" s="159">
        <f>SUM(F138:R138)</f>
        <v>0</v>
      </c>
      <c r="T138" s="159">
        <f>ROUND(S138/13,0)</f>
        <v>0</v>
      </c>
      <c r="U138" s="94"/>
      <c r="V138" s="94"/>
      <c r="W138" s="94"/>
      <c r="X138" s="166"/>
      <c r="Y138" s="166"/>
      <c r="Z138" s="166"/>
      <c r="AA138" s="166"/>
      <c r="AB138" s="166"/>
      <c r="AC138" s="166"/>
      <c r="AD138" s="166"/>
      <c r="AE138" s="166"/>
      <c r="AF138" s="166"/>
    </row>
    <row r="139" spans="1:32">
      <c r="A139" s="153">
        <f t="shared" si="29"/>
        <v>35</v>
      </c>
      <c r="B139" s="94"/>
      <c r="C139" s="153"/>
      <c r="D139" s="149"/>
      <c r="E139" s="738" t="s">
        <v>1102</v>
      </c>
      <c r="F139" s="1745">
        <f>Q50</f>
        <v>-5135704</v>
      </c>
      <c r="G139" s="163">
        <v>-5135704</v>
      </c>
      <c r="H139" s="163">
        <v>-5135704</v>
      </c>
      <c r="I139" s="163">
        <v>-5135704</v>
      </c>
      <c r="J139" s="163">
        <v>-5135704</v>
      </c>
      <c r="K139" s="163">
        <v>-5135704</v>
      </c>
      <c r="L139" s="163">
        <v>-5135704</v>
      </c>
      <c r="M139" s="163">
        <v>-5135704</v>
      </c>
      <c r="N139" s="163">
        <v>-5135704</v>
      </c>
      <c r="O139" s="163">
        <v>-5135704</v>
      </c>
      <c r="P139" s="163">
        <v>-5135704</v>
      </c>
      <c r="Q139" s="163">
        <v>-5135704</v>
      </c>
      <c r="R139" s="163">
        <v>-5135704</v>
      </c>
      <c r="S139" s="159">
        <f>SUM(F139:R139)</f>
        <v>-66764152</v>
      </c>
      <c r="T139" s="159">
        <f>ROUND(S139/13,0)</f>
        <v>-5135704</v>
      </c>
      <c r="U139" s="94"/>
      <c r="V139" s="94"/>
      <c r="W139" s="94"/>
      <c r="X139" s="166"/>
      <c r="Y139" s="166"/>
      <c r="Z139" s="166"/>
      <c r="AA139" s="166"/>
      <c r="AB139" s="166"/>
      <c r="AC139" s="166"/>
      <c r="AD139" s="166"/>
      <c r="AE139" s="166"/>
      <c r="AF139" s="166"/>
    </row>
    <row r="140" spans="1:32" ht="13.8" thickBot="1">
      <c r="A140" s="153">
        <f t="shared" si="29"/>
        <v>36</v>
      </c>
      <c r="B140" s="94"/>
      <c r="C140" s="153"/>
      <c r="D140" s="149"/>
      <c r="E140" s="149" t="s">
        <v>1103</v>
      </c>
      <c r="F140" s="1740">
        <f>SUM(F136:F139)</f>
        <v>-5135704</v>
      </c>
      <c r="G140" s="1740">
        <f t="shared" ref="G140:T140" si="30">SUM(G136:G139)</f>
        <v>-5135704</v>
      </c>
      <c r="H140" s="1740">
        <f t="shared" si="30"/>
        <v>-5135704</v>
      </c>
      <c r="I140" s="1740">
        <f t="shared" si="30"/>
        <v>-5135704</v>
      </c>
      <c r="J140" s="1740">
        <f t="shared" si="30"/>
        <v>-5135704</v>
      </c>
      <c r="K140" s="1740">
        <f t="shared" si="30"/>
        <v>-5135704</v>
      </c>
      <c r="L140" s="1740">
        <f t="shared" si="30"/>
        <v>-5135704</v>
      </c>
      <c r="M140" s="1740">
        <f t="shared" si="30"/>
        <v>-5135704</v>
      </c>
      <c r="N140" s="1740">
        <f t="shared" si="30"/>
        <v>-5135704</v>
      </c>
      <c r="O140" s="1740">
        <f t="shared" si="30"/>
        <v>-5135704</v>
      </c>
      <c r="P140" s="1740">
        <f t="shared" si="30"/>
        <v>-5135704</v>
      </c>
      <c r="Q140" s="1740">
        <f t="shared" si="30"/>
        <v>-5135704</v>
      </c>
      <c r="R140" s="1740">
        <f t="shared" si="30"/>
        <v>-5135704</v>
      </c>
      <c r="S140" s="1694">
        <f t="shared" si="30"/>
        <v>-66764152</v>
      </c>
      <c r="T140" s="1694">
        <f t="shared" si="30"/>
        <v>-5135704</v>
      </c>
      <c r="U140" s="94"/>
      <c r="V140" s="94"/>
      <c r="W140" s="94"/>
      <c r="X140" s="166"/>
      <c r="Y140" s="166"/>
      <c r="Z140" s="166"/>
      <c r="AA140" s="166"/>
      <c r="AB140" s="166"/>
      <c r="AC140" s="166"/>
      <c r="AD140" s="166"/>
      <c r="AE140" s="166"/>
      <c r="AF140" s="166"/>
    </row>
    <row r="141" spans="1:32" ht="13.8" thickTop="1">
      <c r="A141" s="153">
        <f t="shared" si="29"/>
        <v>37</v>
      </c>
      <c r="B141" s="94"/>
      <c r="C141" s="153"/>
      <c r="D141" s="149"/>
      <c r="E141" s="149"/>
      <c r="F141" s="1745"/>
      <c r="G141" s="1745"/>
      <c r="H141" s="1745"/>
      <c r="I141" s="1745"/>
      <c r="J141" s="1745"/>
      <c r="K141" s="1745"/>
      <c r="L141" s="1745"/>
      <c r="M141" s="1745"/>
      <c r="N141" s="1745"/>
      <c r="O141" s="1745"/>
      <c r="P141" s="1745"/>
      <c r="Q141" s="1745"/>
      <c r="R141" s="1745"/>
      <c r="S141" s="159"/>
      <c r="T141" s="159"/>
      <c r="U141" s="94"/>
      <c r="V141" s="94"/>
      <c r="W141" s="94"/>
      <c r="X141" s="166"/>
      <c r="Y141" s="166"/>
      <c r="Z141" s="166"/>
      <c r="AA141" s="166"/>
      <c r="AB141" s="166"/>
      <c r="AC141" s="166"/>
      <c r="AD141" s="166"/>
      <c r="AE141" s="166"/>
      <c r="AF141" s="166"/>
    </row>
    <row r="142" spans="1:32">
      <c r="A142" s="153">
        <f t="shared" si="29"/>
        <v>38</v>
      </c>
      <c r="B142" s="94"/>
      <c r="C142" s="153"/>
      <c r="D142" s="149"/>
      <c r="E142" s="149" t="s">
        <v>1143</v>
      </c>
      <c r="F142" s="1743"/>
      <c r="G142" s="1745"/>
      <c r="H142" s="1745"/>
      <c r="I142" s="1745"/>
      <c r="J142" s="1745"/>
      <c r="K142" s="1745"/>
      <c r="L142" s="1745"/>
      <c r="M142" s="1745"/>
      <c r="N142" s="1745"/>
      <c r="O142" s="1745"/>
      <c r="P142" s="1745"/>
      <c r="Q142" s="1745"/>
      <c r="R142" s="1745"/>
      <c r="S142" s="159"/>
      <c r="T142" s="159"/>
      <c r="U142" s="94"/>
      <c r="V142" s="94"/>
      <c r="W142" s="94"/>
      <c r="X142" s="166"/>
      <c r="Y142" s="166"/>
      <c r="Z142" s="166"/>
      <c r="AA142" s="166"/>
      <c r="AB142" s="166"/>
      <c r="AC142" s="166"/>
      <c r="AD142" s="166"/>
      <c r="AE142" s="166"/>
      <c r="AF142" s="166"/>
    </row>
    <row r="143" spans="1:32">
      <c r="A143" s="153">
        <f t="shared" si="29"/>
        <v>39</v>
      </c>
      <c r="B143" s="94"/>
      <c r="C143" s="153">
        <v>190</v>
      </c>
      <c r="D143" s="149"/>
      <c r="E143" s="164" t="s">
        <v>1144</v>
      </c>
      <c r="F143" s="1743">
        <f>Q54</f>
        <v>22787071</v>
      </c>
      <c r="G143" s="163">
        <v>22846043</v>
      </c>
      <c r="H143" s="163">
        <v>22905014</v>
      </c>
      <c r="I143" s="163">
        <v>22573323</v>
      </c>
      <c r="J143" s="163">
        <v>22632295</v>
      </c>
      <c r="K143" s="163">
        <v>22691266</v>
      </c>
      <c r="L143" s="163">
        <v>22750238</v>
      </c>
      <c r="M143" s="163">
        <v>22846450</v>
      </c>
      <c r="N143" s="163">
        <v>22942661</v>
      </c>
      <c r="O143" s="163">
        <v>23038873</v>
      </c>
      <c r="P143" s="163">
        <v>23135085</v>
      </c>
      <c r="Q143" s="163">
        <v>23231297</v>
      </c>
      <c r="R143" s="163">
        <v>23327509</v>
      </c>
      <c r="S143" s="159">
        <f>SUM(F143:R143)</f>
        <v>297707125</v>
      </c>
      <c r="T143" s="159">
        <f>ROUND(S143/13,0)</f>
        <v>22900548</v>
      </c>
      <c r="U143" s="94"/>
      <c r="V143" s="166"/>
      <c r="W143" s="94"/>
      <c r="X143" s="166"/>
      <c r="Y143" s="166"/>
      <c r="Z143" s="166"/>
      <c r="AA143" s="166"/>
      <c r="AB143" s="166"/>
      <c r="AC143" s="166"/>
      <c r="AD143" s="166"/>
      <c r="AE143" s="166"/>
      <c r="AF143" s="166"/>
    </row>
    <row r="144" spans="1:32">
      <c r="A144" s="153">
        <f t="shared" si="29"/>
        <v>40</v>
      </c>
      <c r="B144" s="94"/>
      <c r="C144" s="153">
        <v>281</v>
      </c>
      <c r="D144" s="149"/>
      <c r="E144" s="164" t="s">
        <v>1154</v>
      </c>
      <c r="F144" s="1743">
        <f>Q55</f>
        <v>0</v>
      </c>
      <c r="G144" s="163">
        <v>0</v>
      </c>
      <c r="H144" s="163">
        <v>0</v>
      </c>
      <c r="I144" s="163">
        <v>0</v>
      </c>
      <c r="J144" s="163">
        <v>0</v>
      </c>
      <c r="K144" s="163">
        <v>0</v>
      </c>
      <c r="L144" s="163">
        <v>0</v>
      </c>
      <c r="M144" s="163">
        <v>0</v>
      </c>
      <c r="N144" s="163">
        <v>0</v>
      </c>
      <c r="O144" s="163">
        <v>0</v>
      </c>
      <c r="P144" s="163">
        <v>0</v>
      </c>
      <c r="Q144" s="163">
        <v>0</v>
      </c>
      <c r="R144" s="163">
        <v>0</v>
      </c>
      <c r="S144" s="159">
        <f>SUM(F144:R144)</f>
        <v>0</v>
      </c>
      <c r="T144" s="159">
        <f>ROUND(S144/13,0)</f>
        <v>0</v>
      </c>
      <c r="U144" s="94"/>
      <c r="V144" s="94"/>
      <c r="W144" s="94"/>
      <c r="X144" s="166"/>
      <c r="Y144" s="166"/>
      <c r="Z144" s="166"/>
      <c r="AA144" s="166"/>
      <c r="AB144" s="166"/>
      <c r="AC144" s="166"/>
      <c r="AD144" s="166"/>
      <c r="AE144" s="166"/>
      <c r="AF144" s="166"/>
    </row>
    <row r="145" spans="1:32">
      <c r="A145" s="153">
        <f t="shared" si="29"/>
        <v>41</v>
      </c>
      <c r="B145" s="94"/>
      <c r="C145" s="153">
        <v>282</v>
      </c>
      <c r="D145" s="149"/>
      <c r="E145" s="164" t="s">
        <v>1162</v>
      </c>
      <c r="F145" s="1743">
        <f>Q56</f>
        <v>-149635589</v>
      </c>
      <c r="G145" s="163">
        <v>-150420770</v>
      </c>
      <c r="H145" s="163">
        <v>-151236885</v>
      </c>
      <c r="I145" s="163">
        <v>-152290345</v>
      </c>
      <c r="J145" s="163">
        <v>-153200505</v>
      </c>
      <c r="K145" s="163">
        <v>-154012787</v>
      </c>
      <c r="L145" s="163">
        <v>-154781890</v>
      </c>
      <c r="M145" s="163">
        <v>-155534608</v>
      </c>
      <c r="N145" s="163">
        <v>-156254882</v>
      </c>
      <c r="O145" s="163">
        <v>-156947551</v>
      </c>
      <c r="P145" s="163">
        <v>-157627224</v>
      </c>
      <c r="Q145" s="163">
        <v>-158303079</v>
      </c>
      <c r="R145" s="163">
        <v>-159004989</v>
      </c>
      <c r="S145" s="159">
        <f>SUM(F145:R145)</f>
        <v>-2009251104</v>
      </c>
      <c r="T145" s="159"/>
      <c r="U145" s="94"/>
      <c r="V145" s="166"/>
      <c r="W145" s="94"/>
      <c r="X145" s="166"/>
      <c r="Y145" s="166"/>
      <c r="Z145" s="166"/>
      <c r="AA145" s="166"/>
      <c r="AB145" s="166"/>
      <c r="AC145" s="166"/>
      <c r="AD145" s="166"/>
      <c r="AE145" s="166"/>
      <c r="AF145" s="166"/>
    </row>
    <row r="146" spans="1:32">
      <c r="A146" s="153">
        <f t="shared" si="29"/>
        <v>42</v>
      </c>
      <c r="B146" s="94"/>
      <c r="C146" s="153">
        <v>282</v>
      </c>
      <c r="D146" s="149"/>
      <c r="E146" s="164" t="s">
        <v>1146</v>
      </c>
      <c r="F146" s="1743">
        <f>Q57</f>
        <v>-64223965</v>
      </c>
      <c r="G146" s="163">
        <v>-63996976</v>
      </c>
      <c r="H146" s="163">
        <v>-63767984</v>
      </c>
      <c r="I146" s="163">
        <v>-63675125</v>
      </c>
      <c r="J146" s="163">
        <v>-63653182</v>
      </c>
      <c r="K146" s="163">
        <v>-63728134</v>
      </c>
      <c r="L146" s="163">
        <v>-63977293</v>
      </c>
      <c r="M146" s="163">
        <v>-63713172</v>
      </c>
      <c r="N146" s="163">
        <v>-63451793</v>
      </c>
      <c r="O146" s="163">
        <v>-63240384</v>
      </c>
      <c r="P146" s="163">
        <v>-62974272</v>
      </c>
      <c r="Q146" s="163">
        <v>-62863791</v>
      </c>
      <c r="R146" s="163">
        <v>-62740895</v>
      </c>
      <c r="S146" s="159">
        <f>SUM(F146:R146)</f>
        <v>-826006966</v>
      </c>
      <c r="T146" s="159"/>
      <c r="U146" s="94"/>
      <c r="V146" s="94"/>
      <c r="W146" s="94"/>
      <c r="X146" s="166"/>
      <c r="Y146" s="166"/>
      <c r="Z146" s="166"/>
      <c r="AA146" s="166"/>
      <c r="AB146" s="166"/>
      <c r="AC146" s="166"/>
      <c r="AD146" s="166"/>
      <c r="AE146" s="166"/>
      <c r="AF146" s="166"/>
    </row>
    <row r="147" spans="1:32">
      <c r="A147" s="153">
        <f t="shared" si="29"/>
        <v>43</v>
      </c>
      <c r="B147" s="94"/>
      <c r="C147" s="153">
        <v>283</v>
      </c>
      <c r="D147" s="149"/>
      <c r="E147" s="164" t="s">
        <v>1155</v>
      </c>
      <c r="F147" s="1817">
        <f>Q58</f>
        <v>-15870668</v>
      </c>
      <c r="G147" s="163">
        <v>-15724548</v>
      </c>
      <c r="H147" s="163">
        <v>-15578893</v>
      </c>
      <c r="I147" s="163">
        <v>-15433238</v>
      </c>
      <c r="J147" s="163">
        <v>-15287583</v>
      </c>
      <c r="K147" s="163">
        <v>-15141928</v>
      </c>
      <c r="L147" s="163">
        <v>-14996273</v>
      </c>
      <c r="M147" s="163">
        <v>-14850617</v>
      </c>
      <c r="N147" s="163">
        <v>-14704962</v>
      </c>
      <c r="O147" s="163">
        <v>-14559307</v>
      </c>
      <c r="P147" s="163">
        <v>-14413652</v>
      </c>
      <c r="Q147" s="163">
        <v>-14267997</v>
      </c>
      <c r="R147" s="163">
        <v>-14122342</v>
      </c>
      <c r="S147" s="159">
        <f>SUM(F147:R147)</f>
        <v>-194952008</v>
      </c>
      <c r="T147" s="159">
        <f>ROUND(S147/13,0)</f>
        <v>-14996308</v>
      </c>
      <c r="U147" s="94"/>
      <c r="V147" s="166"/>
      <c r="W147" s="94"/>
      <c r="X147" s="166"/>
      <c r="Y147" s="166"/>
      <c r="Z147" s="166"/>
      <c r="AA147" s="166"/>
      <c r="AB147" s="166"/>
      <c r="AC147" s="166"/>
      <c r="AD147" s="166"/>
      <c r="AE147" s="166"/>
      <c r="AF147" s="166"/>
    </row>
    <row r="148" spans="1:32" ht="13.8" thickBot="1">
      <c r="A148" s="153">
        <f t="shared" si="29"/>
        <v>44</v>
      </c>
      <c r="B148" s="94"/>
      <c r="C148" s="153"/>
      <c r="D148" s="149"/>
      <c r="E148" s="149" t="s">
        <v>1123</v>
      </c>
      <c r="F148" s="1948">
        <f>SUM(F143:F147)</f>
        <v>-206943151</v>
      </c>
      <c r="G148" s="1730">
        <f t="shared" ref="G148:R148" si="31">SUM(G143:G147)</f>
        <v>-207296251</v>
      </c>
      <c r="H148" s="1730">
        <f t="shared" si="31"/>
        <v>-207678748</v>
      </c>
      <c r="I148" s="1730">
        <f t="shared" si="31"/>
        <v>-208825385</v>
      </c>
      <c r="J148" s="1730">
        <f t="shared" si="31"/>
        <v>-209508975</v>
      </c>
      <c r="K148" s="1730">
        <f t="shared" si="31"/>
        <v>-210191583</v>
      </c>
      <c r="L148" s="1730">
        <f t="shared" si="31"/>
        <v>-211005218</v>
      </c>
      <c r="M148" s="1730">
        <f t="shared" si="31"/>
        <v>-211251947</v>
      </c>
      <c r="N148" s="1730">
        <f t="shared" si="31"/>
        <v>-211468976</v>
      </c>
      <c r="O148" s="1730">
        <f t="shared" si="31"/>
        <v>-211708369</v>
      </c>
      <c r="P148" s="1730">
        <f t="shared" si="31"/>
        <v>-211880063</v>
      </c>
      <c r="Q148" s="1730">
        <f t="shared" si="31"/>
        <v>-212203570</v>
      </c>
      <c r="R148" s="1730">
        <f t="shared" si="31"/>
        <v>-212540717</v>
      </c>
      <c r="S148" s="1695">
        <f>SUM(S143:S147)</f>
        <v>-2732502953</v>
      </c>
      <c r="T148" s="1694">
        <f>SUM(T143:T147)</f>
        <v>7904240</v>
      </c>
      <c r="U148" s="94"/>
      <c r="V148" s="166"/>
      <c r="W148" s="94"/>
      <c r="X148" s="166"/>
      <c r="Y148" s="166"/>
      <c r="Z148" s="166"/>
      <c r="AA148" s="166"/>
      <c r="AB148" s="166"/>
      <c r="AC148" s="166"/>
      <c r="AD148" s="166"/>
      <c r="AE148" s="166"/>
      <c r="AF148" s="166"/>
    </row>
    <row r="149" spans="1:32" ht="13.8" thickTop="1">
      <c r="A149" s="153">
        <f t="shared" si="29"/>
        <v>45</v>
      </c>
      <c r="B149" s="94"/>
      <c r="C149" s="153"/>
      <c r="D149" s="149"/>
      <c r="E149" s="149"/>
      <c r="F149" s="1743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94"/>
      <c r="V149" s="94"/>
      <c r="W149" s="94"/>
      <c r="X149" s="166"/>
      <c r="Y149" s="166"/>
      <c r="Z149" s="166"/>
      <c r="AA149" s="166"/>
      <c r="AB149" s="166"/>
      <c r="AC149" s="166"/>
      <c r="AD149" s="166"/>
      <c r="AE149" s="166"/>
      <c r="AF149" s="166"/>
    </row>
    <row r="150" spans="1:32">
      <c r="A150" s="153">
        <f t="shared" si="29"/>
        <v>46</v>
      </c>
      <c r="B150" s="94"/>
      <c r="C150" s="33"/>
      <c r="D150" s="29"/>
      <c r="E150" s="29" t="s">
        <v>1163</v>
      </c>
      <c r="F150" s="1742"/>
      <c r="G150" s="1199">
        <f t="shared" ref="G150:Q150" si="32">(G145+G146)-(F145+F146)</f>
        <v>-558192</v>
      </c>
      <c r="H150" s="1199">
        <f t="shared" si="32"/>
        <v>-587123</v>
      </c>
      <c r="I150" s="1199">
        <f t="shared" si="32"/>
        <v>-960601</v>
      </c>
      <c r="J150" s="1199">
        <f t="shared" si="32"/>
        <v>-888217</v>
      </c>
      <c r="K150" s="1199">
        <f t="shared" si="32"/>
        <v>-887234</v>
      </c>
      <c r="L150" s="1199">
        <f t="shared" si="32"/>
        <v>-1018262</v>
      </c>
      <c r="M150" s="1199">
        <f t="shared" si="32"/>
        <v>-488597</v>
      </c>
      <c r="N150" s="1199">
        <f t="shared" si="32"/>
        <v>-458895</v>
      </c>
      <c r="O150" s="1199">
        <f t="shared" si="32"/>
        <v>-481260</v>
      </c>
      <c r="P150" s="1199">
        <f t="shared" si="32"/>
        <v>-413561</v>
      </c>
      <c r="Q150" s="1199">
        <f t="shared" si="32"/>
        <v>-565374</v>
      </c>
      <c r="R150" s="1199">
        <f>(R145+R146)-(Q145+Q146)</f>
        <v>-579014</v>
      </c>
      <c r="S150" s="1199"/>
      <c r="T150" s="1199"/>
      <c r="U150" s="94"/>
      <c r="V150" s="94"/>
      <c r="W150" s="94"/>
      <c r="X150" s="166"/>
      <c r="Y150" s="166"/>
      <c r="Z150" s="166"/>
      <c r="AA150" s="166"/>
      <c r="AB150" s="166"/>
      <c r="AC150" s="166"/>
      <c r="AD150" s="166"/>
      <c r="AE150" s="166"/>
      <c r="AF150" s="166"/>
    </row>
    <row r="151" spans="1:32">
      <c r="A151" s="153">
        <f t="shared" si="29"/>
        <v>47</v>
      </c>
      <c r="B151" s="94"/>
      <c r="C151" s="33"/>
      <c r="D151" s="29"/>
      <c r="E151" s="29" t="s">
        <v>1164</v>
      </c>
      <c r="F151" s="1742"/>
      <c r="G151" s="1199">
        <f>$S$103-SUM(G$103)+1</f>
        <v>335</v>
      </c>
      <c r="H151" s="1199">
        <f>$S$103-SUM(G$103:H$103)+1</f>
        <v>304</v>
      </c>
      <c r="I151" s="1199">
        <f>$S$103-SUM(G$103:I$103)+1</f>
        <v>274</v>
      </c>
      <c r="J151" s="1199">
        <f>$S$103-SUM(G$103:J$103)+1</f>
        <v>243</v>
      </c>
      <c r="K151" s="1199">
        <f>$S$103-SUM(G$103:K$103)+1</f>
        <v>213</v>
      </c>
      <c r="L151" s="1199">
        <f>$S$103-SUM(G$103:L$103)+1</f>
        <v>182</v>
      </c>
      <c r="M151" s="1199">
        <f>$S$103-SUM(G$103:M$103)+1</f>
        <v>151</v>
      </c>
      <c r="N151" s="1199">
        <f>$S$103-SUM(G$103:N$103)+1</f>
        <v>123</v>
      </c>
      <c r="O151" s="1199">
        <f>$S$103-SUM(G$103:O$103)+1</f>
        <v>92</v>
      </c>
      <c r="P151" s="1199">
        <f>$S$103-SUM(G$103:P$103)+1</f>
        <v>62</v>
      </c>
      <c r="Q151" s="1199">
        <f>$S$103-SUM(G$103:Q$103)+1</f>
        <v>31</v>
      </c>
      <c r="R151" s="1199">
        <f>$S$103-SUM(G$103:R$103)+1</f>
        <v>1</v>
      </c>
      <c r="S151" s="1199"/>
      <c r="T151" s="1199"/>
      <c r="U151" s="94"/>
      <c r="V151" s="94"/>
      <c r="W151" s="94"/>
      <c r="X151" s="166"/>
      <c r="Y151" s="166"/>
      <c r="Z151" s="166"/>
      <c r="AA151" s="166"/>
      <c r="AB151" s="166"/>
      <c r="AC151" s="166"/>
      <c r="AD151" s="166"/>
      <c r="AE151" s="166"/>
      <c r="AF151" s="166"/>
    </row>
    <row r="152" spans="1:32">
      <c r="A152" s="153">
        <f t="shared" si="29"/>
        <v>48</v>
      </c>
      <c r="B152" s="94"/>
      <c r="C152" s="33"/>
      <c r="D152" s="29"/>
      <c r="E152" t="s">
        <v>1165</v>
      </c>
      <c r="F152" s="1811"/>
      <c r="G152" s="1280">
        <f>ROUND(G150*(G151/$S$103),0)</f>
        <v>-512313</v>
      </c>
      <c r="H152" s="1280">
        <f t="shared" ref="H152:R152" si="33">ROUND(H150*(H151/$S$103),0)</f>
        <v>-489001</v>
      </c>
      <c r="I152" s="1280">
        <f t="shared" si="33"/>
        <v>-721109</v>
      </c>
      <c r="J152" s="1280">
        <f t="shared" si="33"/>
        <v>-591334</v>
      </c>
      <c r="K152" s="1280">
        <f t="shared" si="33"/>
        <v>-517756</v>
      </c>
      <c r="L152" s="1280">
        <f t="shared" si="33"/>
        <v>-507736</v>
      </c>
      <c r="M152" s="1280">
        <f t="shared" si="33"/>
        <v>-202132</v>
      </c>
      <c r="N152" s="1280">
        <f t="shared" si="33"/>
        <v>-154641</v>
      </c>
      <c r="O152" s="1280">
        <f t="shared" si="33"/>
        <v>-121304</v>
      </c>
      <c r="P152" s="1280">
        <f t="shared" si="33"/>
        <v>-70249</v>
      </c>
      <c r="Q152" s="1280">
        <f t="shared" si="33"/>
        <v>-48018</v>
      </c>
      <c r="R152" s="1280">
        <f t="shared" si="33"/>
        <v>-1586</v>
      </c>
      <c r="S152" s="1485"/>
      <c r="T152" s="1199"/>
      <c r="U152" s="94"/>
      <c r="V152" s="94"/>
      <c r="W152" s="94"/>
      <c r="X152" s="166"/>
      <c r="Y152" s="166"/>
      <c r="Z152" s="166"/>
      <c r="AA152" s="166"/>
      <c r="AB152" s="166"/>
      <c r="AC152" s="166"/>
      <c r="AD152" s="166"/>
      <c r="AE152" s="166"/>
      <c r="AF152" s="166"/>
    </row>
    <row r="153" spans="1:32" ht="13.8" thickBot="1">
      <c r="A153" s="153">
        <f t="shared" si="29"/>
        <v>49</v>
      </c>
      <c r="B153" s="94"/>
      <c r="C153" s="33"/>
      <c r="D153" s="29"/>
      <c r="E153" s="29" t="s">
        <v>1166</v>
      </c>
      <c r="F153" s="1938"/>
      <c r="G153" s="1729">
        <f>SUM($F$145:$F$146)+SUM($G$152)</f>
        <v>-214371867</v>
      </c>
      <c r="H153" s="1729">
        <f>SUM($F$145:$F$146)+SUM($G$152:H152)</f>
        <v>-214860868</v>
      </c>
      <c r="I153" s="1729">
        <f>SUM($F$145:$F$146)+SUM($G$152:I152)</f>
        <v>-215581977</v>
      </c>
      <c r="J153" s="1729">
        <f>SUM($F$145:$F$146)+SUM($G$152:J152)</f>
        <v>-216173311</v>
      </c>
      <c r="K153" s="1729">
        <f>SUM($F$145:$F$146)+SUM($G$152:K152)</f>
        <v>-216691067</v>
      </c>
      <c r="L153" s="1729">
        <f>SUM($F$145:$F$146)+SUM($G$152:L152)</f>
        <v>-217198803</v>
      </c>
      <c r="M153" s="1729">
        <f>SUM($F$145:$F$146)+SUM($G$152:M152)</f>
        <v>-217400935</v>
      </c>
      <c r="N153" s="1729">
        <f>SUM($F$145:$F$146)+SUM($G$152:N152)</f>
        <v>-217555576</v>
      </c>
      <c r="O153" s="1729">
        <f>SUM($F$145:$F$146)+SUM($G$152:O152)</f>
        <v>-217676880</v>
      </c>
      <c r="P153" s="1729">
        <f>SUM($F$145:$F$146)+SUM($G$152:P152)</f>
        <v>-217747129</v>
      </c>
      <c r="Q153" s="1729">
        <f>SUM($F$145:$F$146)+SUM($G$152:Q152)</f>
        <v>-217795147</v>
      </c>
      <c r="R153" s="1729">
        <f>SUM($F$145:$F$146)+SUM($G$152:R152)</f>
        <v>-217796733</v>
      </c>
      <c r="S153" s="1949"/>
      <c r="T153" s="1697">
        <f>+F145+F146+SUM(G152:R152)</f>
        <v>-217796733</v>
      </c>
      <c r="U153" s="94"/>
      <c r="V153" s="94"/>
      <c r="W153" s="94"/>
      <c r="X153" s="166"/>
      <c r="Y153" s="166"/>
      <c r="Z153" s="166"/>
      <c r="AA153" s="166"/>
      <c r="AB153" s="166"/>
      <c r="AC153" s="166"/>
      <c r="AD153" s="166"/>
      <c r="AE153" s="166"/>
      <c r="AF153" s="166"/>
    </row>
    <row r="154" spans="1:32" ht="13.8" thickTop="1">
      <c r="A154" s="153">
        <f t="shared" si="29"/>
        <v>50</v>
      </c>
      <c r="B154" s="94"/>
      <c r="C154" s="33"/>
      <c r="D154" s="29"/>
      <c r="E154" s="29"/>
      <c r="F154" s="1742"/>
      <c r="G154" s="1199"/>
      <c r="H154" s="1199"/>
      <c r="I154" s="1199"/>
      <c r="J154" s="1199"/>
      <c r="K154" s="1199"/>
      <c r="L154" s="1199"/>
      <c r="M154" s="1199"/>
      <c r="N154" s="1199"/>
      <c r="O154" s="1199"/>
      <c r="P154" s="1199"/>
      <c r="Q154" s="1199"/>
      <c r="R154" s="1199"/>
      <c r="S154" s="1199"/>
      <c r="T154" s="1199"/>
      <c r="U154" s="94"/>
      <c r="V154" s="94"/>
      <c r="W154" s="94"/>
      <c r="X154" s="166"/>
      <c r="Y154" s="166"/>
      <c r="Z154" s="166"/>
      <c r="AA154" s="166"/>
      <c r="AB154" s="166"/>
      <c r="AC154" s="166"/>
      <c r="AD154" s="166"/>
      <c r="AE154" s="166"/>
      <c r="AF154" s="166"/>
    </row>
    <row r="155" spans="1:32">
      <c r="A155" s="153">
        <f t="shared" si="29"/>
        <v>51</v>
      </c>
      <c r="B155" s="94"/>
      <c r="C155" s="33"/>
      <c r="D155" s="29"/>
      <c r="E155" s="29" t="s">
        <v>1149</v>
      </c>
      <c r="F155" s="1742"/>
      <c r="G155" s="1742"/>
      <c r="H155" s="1742"/>
      <c r="I155" s="1742"/>
      <c r="J155" s="1742"/>
      <c r="K155" s="1742"/>
      <c r="L155" s="1742"/>
      <c r="N155" s="1742"/>
      <c r="O155" s="1256"/>
      <c r="P155" s="1742"/>
      <c r="Q155" s="1742"/>
      <c r="R155" s="28"/>
      <c r="S155" s="30"/>
      <c r="T155" s="1200"/>
      <c r="U155" s="94"/>
      <c r="V155" s="94"/>
      <c r="W155" s="94"/>
      <c r="X155" s="166"/>
      <c r="Y155" s="166"/>
      <c r="Z155" s="166"/>
      <c r="AA155" s="166"/>
      <c r="AB155" s="166"/>
      <c r="AC155" s="166"/>
      <c r="AD155" s="166"/>
      <c r="AE155" s="166"/>
      <c r="AF155" s="166"/>
    </row>
    <row r="156" spans="1:32">
      <c r="A156" s="153">
        <f t="shared" si="29"/>
        <v>52</v>
      </c>
      <c r="B156" s="94"/>
      <c r="C156" s="33">
        <v>254</v>
      </c>
      <c r="D156" s="29"/>
      <c r="E156" s="1201" t="s">
        <v>1150</v>
      </c>
      <c r="F156" s="1742">
        <f>Q62</f>
        <v>-42640941</v>
      </c>
      <c r="G156" s="61">
        <v>-42545505</v>
      </c>
      <c r="H156" s="61">
        <v>-42450068</v>
      </c>
      <c r="I156" s="61">
        <v>-42354632</v>
      </c>
      <c r="J156" s="61">
        <v>-42259195</v>
      </c>
      <c r="K156" s="61">
        <v>-42163759</v>
      </c>
      <c r="L156" s="61">
        <v>-42068322</v>
      </c>
      <c r="M156" s="61">
        <v>-41971325</v>
      </c>
      <c r="N156" s="61">
        <v>-41874328</v>
      </c>
      <c r="O156" s="61">
        <v>-41777332</v>
      </c>
      <c r="P156" s="61">
        <v>-41680335</v>
      </c>
      <c r="Q156" s="61">
        <v>-41583338</v>
      </c>
      <c r="R156" s="61">
        <v>-41486341</v>
      </c>
      <c r="S156" s="30">
        <f>SUM(F156:R156)</f>
        <v>-546855421</v>
      </c>
      <c r="T156" s="30">
        <f>ROUND(S156/13,0)</f>
        <v>-42065802</v>
      </c>
      <c r="U156" s="94"/>
      <c r="V156" s="94"/>
      <c r="W156" s="94"/>
      <c r="X156" s="166"/>
      <c r="Y156" s="166"/>
      <c r="Z156" s="166"/>
      <c r="AA156" s="166"/>
      <c r="AB156" s="166"/>
      <c r="AC156" s="166"/>
      <c r="AD156" s="166"/>
      <c r="AE156" s="166"/>
      <c r="AF156" s="166"/>
    </row>
    <row r="157" spans="1:32">
      <c r="A157" s="153">
        <f t="shared" si="29"/>
        <v>53</v>
      </c>
      <c r="B157" s="94"/>
      <c r="C157" s="33">
        <v>254</v>
      </c>
      <c r="D157" s="29"/>
      <c r="E157" s="1201" t="s">
        <v>1151</v>
      </c>
      <c r="F157" s="1811">
        <f>Q63</f>
        <v>-2586698</v>
      </c>
      <c r="G157" s="61">
        <v>-2518498</v>
      </c>
      <c r="H157" s="61">
        <v>-2450297</v>
      </c>
      <c r="I157" s="61">
        <v>-2382096</v>
      </c>
      <c r="J157" s="61">
        <v>-2313895</v>
      </c>
      <c r="K157" s="61">
        <v>-2245694</v>
      </c>
      <c r="L157" s="61">
        <v>-2177493</v>
      </c>
      <c r="M157" s="61">
        <v>-2109293</v>
      </c>
      <c r="N157" s="61">
        <v>-2041092</v>
      </c>
      <c r="O157" s="61">
        <v>-1972891</v>
      </c>
      <c r="P157" s="61">
        <v>-1904690</v>
      </c>
      <c r="Q157" s="61">
        <v>-1836489</v>
      </c>
      <c r="R157" s="61">
        <v>-1768288</v>
      </c>
      <c r="S157" s="30">
        <f>SUM(F157:R157)</f>
        <v>-28307414</v>
      </c>
      <c r="T157" s="30">
        <f>ROUND(S157/13,0)</f>
        <v>-2177493</v>
      </c>
      <c r="U157" s="94"/>
      <c r="V157" s="94"/>
      <c r="W157" s="94"/>
      <c r="X157" s="166"/>
      <c r="Y157" s="166"/>
      <c r="Z157" s="166"/>
      <c r="AA157" s="166"/>
      <c r="AB157" s="166"/>
      <c r="AC157" s="166"/>
      <c r="AD157" s="166"/>
      <c r="AE157" s="166"/>
      <c r="AF157" s="166"/>
    </row>
    <row r="158" spans="1:32" ht="13.8" thickBot="1">
      <c r="A158" s="153">
        <f t="shared" si="29"/>
        <v>54</v>
      </c>
      <c r="B158" s="94"/>
      <c r="C158" s="33"/>
      <c r="D158" s="29"/>
      <c r="E158" s="29" t="s">
        <v>1109</v>
      </c>
      <c r="F158" s="1938">
        <f>SUM(F156:F157)</f>
        <v>-45227639</v>
      </c>
      <c r="G158" s="1729">
        <f t="shared" ref="G158:R158" si="34">SUM(G156:G157)</f>
        <v>-45064003</v>
      </c>
      <c r="H158" s="1729">
        <f t="shared" si="34"/>
        <v>-44900365</v>
      </c>
      <c r="I158" s="1729">
        <f t="shared" si="34"/>
        <v>-44736728</v>
      </c>
      <c r="J158" s="1729">
        <f t="shared" si="34"/>
        <v>-44573090</v>
      </c>
      <c r="K158" s="1729">
        <f t="shared" si="34"/>
        <v>-44409453</v>
      </c>
      <c r="L158" s="1729">
        <f t="shared" si="34"/>
        <v>-44245815</v>
      </c>
      <c r="M158" s="1729">
        <f t="shared" si="34"/>
        <v>-44080618</v>
      </c>
      <c r="N158" s="1729">
        <f t="shared" si="34"/>
        <v>-43915420</v>
      </c>
      <c r="O158" s="1729">
        <f t="shared" si="34"/>
        <v>-43750223</v>
      </c>
      <c r="P158" s="1729">
        <f t="shared" si="34"/>
        <v>-43585025</v>
      </c>
      <c r="Q158" s="1729">
        <f t="shared" si="34"/>
        <v>-43419827</v>
      </c>
      <c r="R158" s="1729">
        <f t="shared" si="34"/>
        <v>-43254629</v>
      </c>
      <c r="S158" s="1696">
        <f t="shared" ref="S158" si="35">SUM(S156:S157)</f>
        <v>-575162835</v>
      </c>
      <c r="T158" s="1696">
        <f>ROUND(SUM(T156:T157),0)</f>
        <v>-44243295</v>
      </c>
      <c r="U158" s="94"/>
      <c r="V158" s="94"/>
      <c r="W158" s="94"/>
      <c r="X158" s="166"/>
      <c r="Y158" s="166"/>
      <c r="Z158" s="166"/>
      <c r="AA158" s="166"/>
      <c r="AB158" s="166"/>
      <c r="AC158" s="166"/>
      <c r="AD158" s="166"/>
      <c r="AE158" s="166"/>
      <c r="AF158" s="166"/>
    </row>
    <row r="159" spans="1:32" ht="13.8" thickTop="1">
      <c r="A159" s="153">
        <f t="shared" si="29"/>
        <v>55</v>
      </c>
      <c r="B159" s="94"/>
      <c r="C159" s="153"/>
      <c r="D159" s="149"/>
      <c r="E159" s="149"/>
      <c r="F159" s="1743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94"/>
      <c r="V159" s="94"/>
      <c r="W159" s="94"/>
      <c r="X159" s="166"/>
      <c r="Y159" s="166"/>
      <c r="Z159" s="166"/>
      <c r="AA159" s="166"/>
      <c r="AB159" s="166"/>
      <c r="AC159" s="166"/>
      <c r="AD159" s="166"/>
      <c r="AE159" s="166"/>
      <c r="AF159" s="166"/>
    </row>
    <row r="160" spans="1:32">
      <c r="A160" s="153">
        <f t="shared" si="29"/>
        <v>56</v>
      </c>
      <c r="B160" s="94"/>
      <c r="C160" s="153"/>
      <c r="D160" s="149"/>
      <c r="E160" s="29" t="s">
        <v>1167</v>
      </c>
      <c r="F160" s="1199"/>
      <c r="G160" s="1199">
        <f t="shared" ref="G160:R160" si="36">G156-F156</f>
        <v>95436</v>
      </c>
      <c r="H160" s="1199">
        <f t="shared" si="36"/>
        <v>95437</v>
      </c>
      <c r="I160" s="1199">
        <f t="shared" si="36"/>
        <v>95436</v>
      </c>
      <c r="J160" s="1199">
        <f t="shared" si="36"/>
        <v>95437</v>
      </c>
      <c r="K160" s="1199">
        <f t="shared" si="36"/>
        <v>95436</v>
      </c>
      <c r="L160" s="1199">
        <f t="shared" si="36"/>
        <v>95437</v>
      </c>
      <c r="M160" s="1199">
        <f t="shared" si="36"/>
        <v>96997</v>
      </c>
      <c r="N160" s="1199">
        <f t="shared" si="36"/>
        <v>96997</v>
      </c>
      <c r="O160" s="1199">
        <f t="shared" si="36"/>
        <v>96996</v>
      </c>
      <c r="P160" s="1199">
        <f t="shared" si="36"/>
        <v>96997</v>
      </c>
      <c r="Q160" s="1199">
        <f t="shared" si="36"/>
        <v>96997</v>
      </c>
      <c r="R160" s="1199">
        <f t="shared" si="36"/>
        <v>96997</v>
      </c>
      <c r="S160" s="30"/>
      <c r="T160" s="1199">
        <f>F156+G162+H162+I162+J162+K162+L162+M162+N162+O162+P162+Q162+R162</f>
        <v>-42113158</v>
      </c>
      <c r="U160" s="94"/>
      <c r="V160" s="94"/>
      <c r="W160" s="94"/>
      <c r="X160" s="166"/>
      <c r="Y160" s="166"/>
      <c r="Z160" s="166"/>
      <c r="AA160" s="166"/>
      <c r="AB160" s="166"/>
      <c r="AC160" s="166"/>
      <c r="AD160" s="166"/>
      <c r="AE160" s="166"/>
      <c r="AF160" s="166"/>
    </row>
    <row r="161" spans="1:32">
      <c r="A161" s="153">
        <f t="shared" si="29"/>
        <v>57</v>
      </c>
      <c r="B161" s="94"/>
      <c r="C161" s="153"/>
      <c r="D161" s="149"/>
      <c r="E161" s="29" t="s">
        <v>1164</v>
      </c>
      <c r="F161" s="1280"/>
      <c r="G161" s="1280">
        <f t="shared" ref="G161:R161" si="37">G151</f>
        <v>335</v>
      </c>
      <c r="H161" s="1280">
        <f t="shared" si="37"/>
        <v>304</v>
      </c>
      <c r="I161" s="1280">
        <f t="shared" si="37"/>
        <v>274</v>
      </c>
      <c r="J161" s="1280">
        <f t="shared" si="37"/>
        <v>243</v>
      </c>
      <c r="K161" s="1280">
        <f t="shared" si="37"/>
        <v>213</v>
      </c>
      <c r="L161" s="1280">
        <f t="shared" si="37"/>
        <v>182</v>
      </c>
      <c r="M161" s="1280">
        <f t="shared" si="37"/>
        <v>151</v>
      </c>
      <c r="N161" s="1280">
        <f t="shared" si="37"/>
        <v>123</v>
      </c>
      <c r="O161" s="1280">
        <f t="shared" si="37"/>
        <v>92</v>
      </c>
      <c r="P161" s="1280">
        <f t="shared" si="37"/>
        <v>62</v>
      </c>
      <c r="Q161" s="1280">
        <f t="shared" si="37"/>
        <v>31</v>
      </c>
      <c r="R161" s="1280">
        <f t="shared" si="37"/>
        <v>1</v>
      </c>
      <c r="S161" s="1485"/>
      <c r="T161" s="1280">
        <f>T157</f>
        <v>-2177493</v>
      </c>
      <c r="U161" s="94"/>
      <c r="V161" s="94"/>
      <c r="W161" s="94"/>
      <c r="X161" s="166"/>
      <c r="Y161" s="166"/>
      <c r="Z161" s="166"/>
      <c r="AA161" s="166"/>
      <c r="AB161" s="166"/>
      <c r="AC161" s="166"/>
      <c r="AD161" s="166"/>
      <c r="AE161" s="166"/>
      <c r="AF161" s="166"/>
    </row>
    <row r="162" spans="1:32">
      <c r="A162" s="153">
        <f t="shared" si="29"/>
        <v>58</v>
      </c>
      <c r="B162" s="94"/>
      <c r="C162" s="153"/>
      <c r="D162" s="149"/>
      <c r="E162" s="29" t="s">
        <v>1168</v>
      </c>
      <c r="F162" s="1199"/>
      <c r="G162" s="1742">
        <f>ROUND(G160*(G161/$S$103),0)</f>
        <v>87592</v>
      </c>
      <c r="H162" s="1742">
        <f>ROUND(H160*(H161/$S$103),0)</f>
        <v>79487</v>
      </c>
      <c r="I162" s="1742">
        <f>ROUND(I160*(I161/$S$103),0)</f>
        <v>71642</v>
      </c>
      <c r="J162" s="1742">
        <f>ROUND(J160*(J161/$S$103),0)</f>
        <v>63538</v>
      </c>
      <c r="K162" s="1742">
        <f>ROUND(K160*(K161/$S$103),0)</f>
        <v>55693</v>
      </c>
      <c r="L162" s="1742">
        <f t="shared" ref="L162:R162" si="38">ROUND(L160*(L161/$S$103),0)</f>
        <v>47588</v>
      </c>
      <c r="M162" s="1742">
        <f t="shared" si="38"/>
        <v>40128</v>
      </c>
      <c r="N162" s="1742">
        <f t="shared" si="38"/>
        <v>32687</v>
      </c>
      <c r="O162" s="1742">
        <f t="shared" si="38"/>
        <v>24448</v>
      </c>
      <c r="P162" s="1742">
        <f t="shared" si="38"/>
        <v>16476</v>
      </c>
      <c r="Q162" s="1742">
        <f t="shared" si="38"/>
        <v>8238</v>
      </c>
      <c r="R162" s="1742">
        <f t="shared" si="38"/>
        <v>266</v>
      </c>
      <c r="S162" s="30"/>
      <c r="T162" s="1199"/>
      <c r="U162" s="94"/>
      <c r="V162" s="94"/>
      <c r="W162" s="94"/>
      <c r="X162" s="166"/>
      <c r="Y162" s="166"/>
      <c r="Z162" s="166"/>
      <c r="AA162" s="166"/>
      <c r="AB162" s="166"/>
      <c r="AC162" s="166"/>
      <c r="AD162" s="166"/>
      <c r="AE162" s="166"/>
      <c r="AF162" s="166"/>
    </row>
    <row r="163" spans="1:32" ht="13.8" thickBot="1">
      <c r="A163" s="153">
        <f t="shared" si="29"/>
        <v>59</v>
      </c>
      <c r="B163" s="94"/>
      <c r="C163" s="153"/>
      <c r="D163" s="149"/>
      <c r="E163" s="29" t="s">
        <v>1169</v>
      </c>
      <c r="F163" s="1697"/>
      <c r="G163" s="1729">
        <f>F156+G162</f>
        <v>-42553349</v>
      </c>
      <c r="H163" s="1729">
        <f>$F$156+SUM($G$162:H162)</f>
        <v>-42473862</v>
      </c>
      <c r="I163" s="1729">
        <f>$F$156+SUM($G$162:I162)</f>
        <v>-42402220</v>
      </c>
      <c r="J163" s="1729">
        <f>$F$156+SUM($G$162:J162)</f>
        <v>-42338682</v>
      </c>
      <c r="K163" s="1729">
        <f>$F$156+SUM($G$162:K162)</f>
        <v>-42282989</v>
      </c>
      <c r="L163" s="1729">
        <f>$F$156+SUM($G$162:L162)</f>
        <v>-42235401</v>
      </c>
      <c r="M163" s="1729">
        <f>$F$156+SUM($G$162:M162)</f>
        <v>-42195273</v>
      </c>
      <c r="N163" s="1729">
        <f>$F$156+SUM($G$162:N162)</f>
        <v>-42162586</v>
      </c>
      <c r="O163" s="1729">
        <f>$F$156+SUM($G$162:O162)</f>
        <v>-42138138</v>
      </c>
      <c r="P163" s="1729">
        <f>$F$156+SUM($G$162:P162)</f>
        <v>-42121662</v>
      </c>
      <c r="Q163" s="1729">
        <f>$F$156+SUM($G$162:Q162)</f>
        <v>-42113424</v>
      </c>
      <c r="R163" s="1729">
        <f>$F$156+SUM($G$162:R162)</f>
        <v>-42113158</v>
      </c>
      <c r="S163" s="1729">
        <f>SUM(S161:S162)</f>
        <v>0</v>
      </c>
      <c r="T163" s="1696">
        <f>T160+T161</f>
        <v>-44290651</v>
      </c>
      <c r="U163" s="94"/>
      <c r="V163" s="94"/>
      <c r="W163" s="94"/>
      <c r="X163" s="166"/>
      <c r="Y163" s="166"/>
      <c r="Z163" s="166"/>
      <c r="AA163" s="166"/>
      <c r="AB163" s="166"/>
      <c r="AC163" s="166"/>
      <c r="AD163" s="166"/>
      <c r="AE163" s="166"/>
      <c r="AF163" s="166"/>
    </row>
    <row r="164" spans="1:32" ht="13.8" thickTop="1">
      <c r="A164" s="153">
        <f t="shared" si="29"/>
        <v>60</v>
      </c>
      <c r="B164" s="94"/>
      <c r="C164" s="153"/>
      <c r="D164" s="149"/>
      <c r="E164" s="149"/>
      <c r="F164" s="1743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94"/>
      <c r="V164" s="94"/>
      <c r="W164" s="94"/>
      <c r="X164" s="166"/>
      <c r="Y164" s="166"/>
      <c r="Z164" s="166"/>
      <c r="AA164" s="166"/>
      <c r="AB164" s="166"/>
      <c r="AC164" s="166"/>
      <c r="AD164" s="166"/>
      <c r="AE164" s="166"/>
      <c r="AF164" s="166"/>
    </row>
    <row r="165" spans="1:32">
      <c r="A165" s="1736">
        <f t="shared" si="29"/>
        <v>61</v>
      </c>
      <c r="B165" s="1256"/>
      <c r="C165" s="10"/>
      <c r="E165" t="s">
        <v>1152</v>
      </c>
      <c r="F165" s="1742"/>
      <c r="G165" s="1742"/>
      <c r="H165" s="1742"/>
      <c r="I165" s="1742"/>
      <c r="J165" s="1742"/>
      <c r="K165" s="1742"/>
      <c r="L165" s="1742"/>
      <c r="N165" s="1742"/>
      <c r="O165" s="1256"/>
      <c r="P165" s="1742"/>
      <c r="Q165" s="1742"/>
      <c r="R165" s="28"/>
      <c r="S165" s="28"/>
      <c r="T165" s="1742"/>
      <c r="U165" s="1256"/>
      <c r="V165" s="1256"/>
      <c r="W165" s="1256"/>
      <c r="X165" s="1741"/>
      <c r="Y165" s="1741"/>
      <c r="Z165" s="1741"/>
      <c r="AA165" s="1741"/>
      <c r="AB165" s="1741"/>
      <c r="AC165" s="1741"/>
      <c r="AD165" s="1741"/>
      <c r="AE165" s="1741"/>
      <c r="AF165" s="1741"/>
    </row>
    <row r="166" spans="1:32" ht="13.8" thickBot="1">
      <c r="A166" s="1736">
        <f t="shared" si="29"/>
        <v>62</v>
      </c>
      <c r="B166" s="1256"/>
      <c r="C166" s="10">
        <v>182</v>
      </c>
      <c r="E166" s="1201" t="s">
        <v>1151</v>
      </c>
      <c r="F166" s="1938">
        <f>+Q67</f>
        <v>-252822</v>
      </c>
      <c r="G166" s="1934">
        <v>-248226</v>
      </c>
      <c r="H166" s="1934">
        <v>-243629</v>
      </c>
      <c r="I166" s="1934">
        <v>-239032</v>
      </c>
      <c r="J166" s="1934">
        <v>-234435</v>
      </c>
      <c r="K166" s="1934">
        <v>-229839</v>
      </c>
      <c r="L166" s="1934">
        <v>-225242</v>
      </c>
      <c r="M166" s="1934">
        <v>-220645</v>
      </c>
      <c r="N166" s="1934">
        <v>-216048</v>
      </c>
      <c r="O166" s="1934">
        <v>-211452</v>
      </c>
      <c r="P166" s="1934">
        <v>-206855</v>
      </c>
      <c r="Q166" s="1934">
        <v>-202258</v>
      </c>
      <c r="R166" s="1934">
        <v>-197661</v>
      </c>
      <c r="S166" s="1942">
        <f>SUM(F166:R166)</f>
        <v>-2928144</v>
      </c>
      <c r="T166" s="1935">
        <f>ROUND(S166/13,0)</f>
        <v>-225242</v>
      </c>
      <c r="U166" s="1256"/>
      <c r="V166" s="1256"/>
      <c r="W166" s="1256"/>
      <c r="X166" s="1741"/>
      <c r="Y166" s="1741"/>
      <c r="Z166" s="1741"/>
      <c r="AA166" s="1741"/>
      <c r="AB166" s="1741"/>
      <c r="AC166" s="1741"/>
      <c r="AD166" s="1741"/>
      <c r="AE166" s="1741"/>
      <c r="AF166" s="1741"/>
    </row>
    <row r="167" spans="1:32" ht="13.8" thickTop="1">
      <c r="A167" s="1736">
        <f t="shared" si="29"/>
        <v>63</v>
      </c>
      <c r="B167" s="1256"/>
      <c r="C167" s="1736"/>
      <c r="D167" s="1739"/>
      <c r="E167" s="1739"/>
      <c r="F167" s="1743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256"/>
      <c r="V167" s="1256"/>
      <c r="W167" s="1256"/>
      <c r="X167" s="1741"/>
      <c r="Y167" s="1741"/>
      <c r="Z167" s="1741"/>
      <c r="AA167" s="1741"/>
      <c r="AB167" s="1741"/>
      <c r="AC167" s="1741"/>
      <c r="AD167" s="1741"/>
      <c r="AE167" s="1741"/>
      <c r="AF167" s="1741"/>
    </row>
    <row r="168" spans="1:32">
      <c r="A168" s="153">
        <f>A164+1</f>
        <v>61</v>
      </c>
      <c r="B168" s="94"/>
      <c r="C168" s="158" t="s">
        <v>1156</v>
      </c>
      <c r="D168" s="149"/>
      <c r="E168" s="149"/>
      <c r="F168" s="1741"/>
      <c r="G168" s="1741"/>
      <c r="H168" s="1741"/>
      <c r="I168" s="1741"/>
      <c r="J168" s="1741"/>
      <c r="K168" s="1741"/>
      <c r="L168" s="1741"/>
      <c r="M168" s="1741"/>
      <c r="N168" s="1741"/>
      <c r="O168" s="1741"/>
      <c r="P168" s="1741"/>
      <c r="Q168" s="1741"/>
      <c r="R168" s="1741"/>
      <c r="S168" s="94"/>
      <c r="T168" s="94"/>
      <c r="U168" s="94"/>
      <c r="V168" s="94"/>
      <c r="W168" s="94"/>
      <c r="X168" s="166"/>
      <c r="Y168" s="166"/>
      <c r="Z168" s="166"/>
      <c r="AA168" s="166"/>
      <c r="AB168" s="166"/>
      <c r="AC168" s="166"/>
      <c r="AD168" s="166"/>
      <c r="AE168" s="166"/>
      <c r="AF168" s="166"/>
    </row>
    <row r="169" spans="1:32">
      <c r="A169" s="153">
        <f t="shared" ref="A169:A186" si="39">A168+1</f>
        <v>62</v>
      </c>
      <c r="B169" s="94"/>
      <c r="C169" s="149"/>
      <c r="D169" s="149"/>
      <c r="E169" s="149"/>
      <c r="F169" s="1741"/>
      <c r="G169" s="1741"/>
      <c r="H169" s="1741"/>
      <c r="I169" s="1741"/>
      <c r="J169" s="1741"/>
      <c r="K169" s="1741"/>
      <c r="L169" s="1741"/>
      <c r="M169" s="1741"/>
      <c r="N169" s="1741"/>
      <c r="O169" s="1741"/>
      <c r="P169" s="1741"/>
      <c r="Q169" s="1741"/>
      <c r="R169" s="1741"/>
      <c r="S169" s="94"/>
      <c r="T169" s="94"/>
      <c r="U169" s="94"/>
      <c r="V169" s="94"/>
      <c r="W169" s="94"/>
      <c r="X169" s="166"/>
      <c r="Y169" s="166"/>
      <c r="Z169" s="166"/>
      <c r="AA169" s="166"/>
      <c r="AB169" s="166"/>
      <c r="AC169" s="166"/>
      <c r="AD169" s="166"/>
      <c r="AE169" s="166"/>
      <c r="AF169" s="166"/>
    </row>
    <row r="170" spans="1:32">
      <c r="A170" s="153">
        <f t="shared" si="39"/>
        <v>63</v>
      </c>
      <c r="B170" s="94"/>
      <c r="C170" s="153">
        <v>255</v>
      </c>
      <c r="D170" s="149"/>
      <c r="E170" s="149" t="s">
        <v>1142</v>
      </c>
      <c r="F170" s="1745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59"/>
      <c r="T170" s="159"/>
      <c r="U170" s="94"/>
      <c r="V170" s="94"/>
      <c r="W170" s="168"/>
      <c r="X170" s="166"/>
      <c r="Y170" s="166"/>
      <c r="Z170" s="166"/>
      <c r="AA170" s="166"/>
      <c r="AB170" s="166"/>
      <c r="AC170" s="166"/>
      <c r="AD170" s="166"/>
      <c r="AE170" s="166"/>
      <c r="AF170" s="166"/>
    </row>
    <row r="171" spans="1:32">
      <c r="A171" s="153">
        <f t="shared" si="39"/>
        <v>64</v>
      </c>
      <c r="B171" s="94"/>
      <c r="C171" s="153"/>
      <c r="D171" s="149"/>
      <c r="E171" s="162" t="s">
        <v>1099</v>
      </c>
      <c r="F171" s="1743">
        <f>Q72</f>
        <v>0</v>
      </c>
      <c r="G171" s="163">
        <v>0</v>
      </c>
      <c r="H171" s="163">
        <v>0</v>
      </c>
      <c r="I171" s="163">
        <v>0</v>
      </c>
      <c r="J171" s="163">
        <v>0</v>
      </c>
      <c r="K171" s="163">
        <v>0</v>
      </c>
      <c r="L171" s="163">
        <v>0</v>
      </c>
      <c r="M171" s="163">
        <v>0</v>
      </c>
      <c r="N171" s="163">
        <v>0</v>
      </c>
      <c r="O171" s="163">
        <v>0</v>
      </c>
      <c r="P171" s="163">
        <v>0</v>
      </c>
      <c r="Q171" s="163">
        <v>0</v>
      </c>
      <c r="R171" s="163">
        <v>0</v>
      </c>
      <c r="S171" s="159">
        <f>SUM(F171:R171)</f>
        <v>0</v>
      </c>
      <c r="T171" s="159">
        <f>ROUND(S171/13,0)</f>
        <v>0</v>
      </c>
      <c r="U171" s="94"/>
      <c r="V171" s="94"/>
      <c r="W171" s="168"/>
      <c r="X171" s="166"/>
      <c r="Y171" s="166"/>
      <c r="Z171" s="166"/>
      <c r="AA171" s="166"/>
      <c r="AB171" s="166"/>
      <c r="AC171" s="166"/>
      <c r="AD171" s="166"/>
      <c r="AE171" s="166"/>
      <c r="AF171" s="166"/>
    </row>
    <row r="172" spans="1:32">
      <c r="A172" s="153">
        <f t="shared" si="39"/>
        <v>65</v>
      </c>
      <c r="B172" s="94"/>
      <c r="C172" s="153"/>
      <c r="D172" s="149"/>
      <c r="E172" s="162" t="s">
        <v>1100</v>
      </c>
      <c r="F172" s="1743">
        <f>Q73</f>
        <v>0</v>
      </c>
      <c r="G172" s="163">
        <v>0</v>
      </c>
      <c r="H172" s="163">
        <v>0</v>
      </c>
      <c r="I172" s="163">
        <v>0</v>
      </c>
      <c r="J172" s="163">
        <v>0</v>
      </c>
      <c r="K172" s="163">
        <v>0</v>
      </c>
      <c r="L172" s="163">
        <v>0</v>
      </c>
      <c r="M172" s="163">
        <v>0</v>
      </c>
      <c r="N172" s="163">
        <v>0</v>
      </c>
      <c r="O172" s="163">
        <v>0</v>
      </c>
      <c r="P172" s="163">
        <v>0</v>
      </c>
      <c r="Q172" s="163">
        <v>0</v>
      </c>
      <c r="R172" s="163">
        <v>0</v>
      </c>
      <c r="S172" s="159">
        <f>SUM(F172:R172)</f>
        <v>0</v>
      </c>
      <c r="T172" s="159">
        <f>ROUND(S172/13,0)</f>
        <v>0</v>
      </c>
      <c r="U172" s="94"/>
      <c r="V172" s="94"/>
      <c r="W172" s="168"/>
      <c r="X172" s="166"/>
      <c r="Y172" s="166"/>
      <c r="Z172" s="166"/>
      <c r="AA172" s="166"/>
      <c r="AB172" s="166"/>
      <c r="AC172" s="166"/>
      <c r="AD172" s="166"/>
      <c r="AE172" s="166"/>
      <c r="AF172" s="166"/>
    </row>
    <row r="173" spans="1:32">
      <c r="A173" s="153">
        <f t="shared" si="39"/>
        <v>66</v>
      </c>
      <c r="B173" s="94"/>
      <c r="C173" s="153"/>
      <c r="D173" s="149"/>
      <c r="E173" s="162" t="s">
        <v>1101</v>
      </c>
      <c r="F173" s="1743">
        <f>Q74</f>
        <v>0</v>
      </c>
      <c r="G173" s="163">
        <v>0</v>
      </c>
      <c r="H173" s="163">
        <v>0</v>
      </c>
      <c r="I173" s="163">
        <v>0</v>
      </c>
      <c r="J173" s="163">
        <v>0</v>
      </c>
      <c r="K173" s="163">
        <v>0</v>
      </c>
      <c r="L173" s="163">
        <v>0</v>
      </c>
      <c r="M173" s="163">
        <v>0</v>
      </c>
      <c r="N173" s="163">
        <v>0</v>
      </c>
      <c r="O173" s="163">
        <v>0</v>
      </c>
      <c r="P173" s="163">
        <v>0</v>
      </c>
      <c r="Q173" s="163">
        <v>0</v>
      </c>
      <c r="R173" s="163">
        <v>0</v>
      </c>
      <c r="S173" s="159">
        <f>SUM(F173:R173)</f>
        <v>0</v>
      </c>
      <c r="T173" s="1482">
        <f>ROUND(S173/13,0)</f>
        <v>0</v>
      </c>
      <c r="U173" s="94"/>
      <c r="V173" s="94"/>
      <c r="W173" s="168"/>
      <c r="X173" s="166"/>
      <c r="Y173" s="166"/>
      <c r="Z173" s="166"/>
      <c r="AA173" s="166"/>
      <c r="AB173" s="166"/>
      <c r="AC173" s="166"/>
      <c r="AD173" s="166"/>
      <c r="AE173" s="166"/>
      <c r="AF173" s="166"/>
    </row>
    <row r="174" spans="1:32" ht="13.8" thickBot="1">
      <c r="A174" s="153">
        <f t="shared" si="39"/>
        <v>67</v>
      </c>
      <c r="B174" s="94"/>
      <c r="C174" s="153"/>
      <c r="D174" s="149"/>
      <c r="E174" s="149" t="s">
        <v>1103</v>
      </c>
      <c r="F174" s="1740">
        <f>SUM(F172:F173)</f>
        <v>0</v>
      </c>
      <c r="G174" s="1740">
        <f>SUM(G172:G173)</f>
        <v>0</v>
      </c>
      <c r="H174" s="1740">
        <f t="shared" ref="H174:R174" si="40">SUM(H172:H173)</f>
        <v>0</v>
      </c>
      <c r="I174" s="1740">
        <f t="shared" si="40"/>
        <v>0</v>
      </c>
      <c r="J174" s="1740">
        <f t="shared" si="40"/>
        <v>0</v>
      </c>
      <c r="K174" s="1740">
        <f t="shared" si="40"/>
        <v>0</v>
      </c>
      <c r="L174" s="1740">
        <f t="shared" si="40"/>
        <v>0</v>
      </c>
      <c r="M174" s="1740">
        <f t="shared" si="40"/>
        <v>0</v>
      </c>
      <c r="N174" s="1740">
        <f t="shared" si="40"/>
        <v>0</v>
      </c>
      <c r="O174" s="1740">
        <f t="shared" si="40"/>
        <v>0</v>
      </c>
      <c r="P174" s="1740">
        <f t="shared" si="40"/>
        <v>0</v>
      </c>
      <c r="Q174" s="1740">
        <f t="shared" si="40"/>
        <v>0</v>
      </c>
      <c r="R174" s="1740">
        <f t="shared" si="40"/>
        <v>0</v>
      </c>
      <c r="S174" s="1695">
        <f>SUM(S170:S173)</f>
        <v>0</v>
      </c>
      <c r="T174" s="1945">
        <f>SUM(T170:T173)</f>
        <v>0</v>
      </c>
      <c r="U174" s="94"/>
      <c r="V174" s="94"/>
      <c r="W174" s="168"/>
      <c r="X174" s="166"/>
      <c r="Y174" s="166"/>
      <c r="Z174" s="166"/>
      <c r="AA174" s="166"/>
      <c r="AB174" s="166"/>
      <c r="AC174" s="166"/>
      <c r="AD174" s="166"/>
      <c r="AE174" s="166"/>
      <c r="AF174" s="166"/>
    </row>
    <row r="175" spans="1:32" ht="13.8" thickTop="1">
      <c r="A175" s="153">
        <f t="shared" si="39"/>
        <v>68</v>
      </c>
      <c r="B175" s="94"/>
      <c r="C175" s="153"/>
      <c r="D175" s="149"/>
      <c r="E175" s="149"/>
      <c r="F175" s="1741"/>
      <c r="G175" s="1256"/>
      <c r="H175" s="1256"/>
      <c r="I175" s="1256"/>
      <c r="J175" s="1256"/>
      <c r="K175" s="1256"/>
      <c r="L175" s="1256"/>
      <c r="M175" s="1256"/>
      <c r="N175" s="1256"/>
      <c r="O175" s="1256"/>
      <c r="P175" s="1256"/>
      <c r="Q175" s="1256"/>
      <c r="R175" s="1256"/>
      <c r="S175" s="94"/>
      <c r="T175" s="94"/>
      <c r="U175" s="94"/>
      <c r="V175" s="94"/>
      <c r="W175" s="168"/>
      <c r="X175" s="166"/>
      <c r="Y175" s="166"/>
      <c r="Z175" s="166"/>
      <c r="AA175" s="166"/>
      <c r="AB175" s="166"/>
      <c r="AC175" s="166"/>
      <c r="AD175" s="166"/>
      <c r="AE175" s="166"/>
      <c r="AF175" s="166"/>
    </row>
    <row r="176" spans="1:32">
      <c r="A176" s="153">
        <f t="shared" si="39"/>
        <v>69</v>
      </c>
      <c r="B176" s="94"/>
      <c r="C176" s="153"/>
      <c r="D176" s="149"/>
      <c r="E176" s="149" t="s">
        <v>1143</v>
      </c>
      <c r="F176" s="1741"/>
      <c r="G176" s="1256"/>
      <c r="H176" s="1256"/>
      <c r="I176" s="1256"/>
      <c r="J176" s="1256"/>
      <c r="K176" s="1256"/>
      <c r="L176" s="1256"/>
      <c r="M176" s="1256"/>
      <c r="N176" s="1256"/>
      <c r="O176" s="1256"/>
      <c r="P176" s="1256"/>
      <c r="Q176" s="1256"/>
      <c r="R176" s="1256"/>
      <c r="S176" s="94"/>
      <c r="T176" s="94"/>
      <c r="U176" s="94"/>
      <c r="V176" s="94"/>
      <c r="W176" s="168"/>
      <c r="X176" s="166"/>
      <c r="Y176" s="166"/>
      <c r="Z176" s="166"/>
      <c r="AA176" s="166"/>
      <c r="AB176" s="166"/>
      <c r="AC176" s="166"/>
      <c r="AD176" s="166"/>
      <c r="AE176" s="166"/>
      <c r="AF176" s="166"/>
    </row>
    <row r="177" spans="1:32">
      <c r="A177" s="153">
        <f t="shared" si="39"/>
        <v>70</v>
      </c>
      <c r="B177" s="94"/>
      <c r="C177" s="153">
        <v>190</v>
      </c>
      <c r="D177" s="149"/>
      <c r="E177" s="164" t="s">
        <v>1144</v>
      </c>
      <c r="F177" s="1741">
        <f>Q78</f>
        <v>-1033876</v>
      </c>
      <c r="G177" s="61">
        <v>-1033876</v>
      </c>
      <c r="H177" s="61">
        <v>-1033876</v>
      </c>
      <c r="I177" s="61">
        <v>-1033876</v>
      </c>
      <c r="J177" s="61">
        <v>-1033876</v>
      </c>
      <c r="K177" s="61">
        <v>-1033876</v>
      </c>
      <c r="L177" s="61">
        <v>-1033876</v>
      </c>
      <c r="M177" s="61">
        <v>-1033876</v>
      </c>
      <c r="N177" s="61">
        <v>-1033876</v>
      </c>
      <c r="O177" s="61">
        <v>-1033876</v>
      </c>
      <c r="P177" s="61">
        <v>-1033876</v>
      </c>
      <c r="Q177" s="61">
        <v>-1033876</v>
      </c>
      <c r="R177" s="61">
        <v>-1033876</v>
      </c>
      <c r="S177" s="159">
        <f>SUM(F177:R177)</f>
        <v>-13440388</v>
      </c>
      <c r="T177" s="159">
        <f>ROUND(S177/13,0)</f>
        <v>-1033876</v>
      </c>
      <c r="U177" s="94"/>
      <c r="V177" s="94"/>
      <c r="W177" s="168"/>
      <c r="X177" s="166"/>
      <c r="Y177" s="166"/>
      <c r="Z177" s="166"/>
      <c r="AA177" s="166"/>
      <c r="AB177" s="166"/>
      <c r="AC177" s="166"/>
      <c r="AD177" s="166"/>
      <c r="AE177" s="166"/>
      <c r="AF177" s="166"/>
    </row>
    <row r="178" spans="1:32">
      <c r="A178" s="153">
        <f t="shared" si="39"/>
        <v>71</v>
      </c>
      <c r="B178" s="94"/>
      <c r="C178" s="153">
        <v>282</v>
      </c>
      <c r="D178" s="149"/>
      <c r="E178" s="164" t="s">
        <v>1162</v>
      </c>
      <c r="F178" s="1741">
        <f>Q79</f>
        <v>-3620629</v>
      </c>
      <c r="G178" s="61">
        <v>-3672878</v>
      </c>
      <c r="H178" s="61">
        <v>-3730702</v>
      </c>
      <c r="I178" s="61">
        <v>-3782000</v>
      </c>
      <c r="J178" s="61">
        <v>-3832607</v>
      </c>
      <c r="K178" s="61">
        <v>-3877989</v>
      </c>
      <c r="L178" s="61">
        <v>-3915187</v>
      </c>
      <c r="M178" s="61">
        <v>-3933131</v>
      </c>
      <c r="N178" s="61">
        <v>-3955361</v>
      </c>
      <c r="O178" s="61">
        <v>-3983487</v>
      </c>
      <c r="P178" s="61">
        <v>-4016858</v>
      </c>
      <c r="Q178" s="61">
        <v>-4051514</v>
      </c>
      <c r="R178" s="61">
        <v>-4082972</v>
      </c>
      <c r="S178" s="159">
        <f>SUM(F178:R178)</f>
        <v>-50455315</v>
      </c>
      <c r="T178" s="159">
        <f>ROUND(S178/13,0)</f>
        <v>-3881178</v>
      </c>
      <c r="U178" s="94"/>
      <c r="V178" s="94"/>
      <c r="W178" s="168"/>
      <c r="X178" s="166"/>
      <c r="Y178" s="166"/>
      <c r="Z178" s="166"/>
      <c r="AA178" s="166"/>
      <c r="AB178" s="166"/>
      <c r="AC178" s="166"/>
      <c r="AD178" s="166"/>
      <c r="AE178" s="166"/>
      <c r="AF178" s="166"/>
    </row>
    <row r="179" spans="1:32">
      <c r="A179" s="153">
        <f t="shared" si="39"/>
        <v>72</v>
      </c>
      <c r="B179" s="94"/>
      <c r="C179" s="153">
        <v>282</v>
      </c>
      <c r="D179" s="149"/>
      <c r="E179" s="164" t="s">
        <v>1146</v>
      </c>
      <c r="F179" s="1741">
        <f>Q80</f>
        <v>-27925581</v>
      </c>
      <c r="G179" s="61">
        <v>-27765650</v>
      </c>
      <c r="H179" s="61">
        <v>-27605719</v>
      </c>
      <c r="I179" s="61">
        <v>-27445789</v>
      </c>
      <c r="J179" s="61">
        <v>-27285858</v>
      </c>
      <c r="K179" s="61">
        <v>-27125927</v>
      </c>
      <c r="L179" s="61">
        <v>-26965996</v>
      </c>
      <c r="M179" s="61">
        <v>-26806066</v>
      </c>
      <c r="N179" s="61">
        <v>-26646135</v>
      </c>
      <c r="O179" s="61">
        <v>-26486204</v>
      </c>
      <c r="P179" s="61">
        <v>-26326273</v>
      </c>
      <c r="Q179" s="61">
        <v>-26166343</v>
      </c>
      <c r="R179" s="61">
        <v>-26006412</v>
      </c>
      <c r="S179" s="159">
        <f>SUM(F179:R179)</f>
        <v>-350557953</v>
      </c>
      <c r="T179" s="159">
        <f>ROUND(S179/13,0)</f>
        <v>-26965996</v>
      </c>
      <c r="U179" s="94"/>
      <c r="V179" s="94"/>
      <c r="W179" s="168"/>
      <c r="X179" s="166"/>
      <c r="Y179" s="166"/>
      <c r="Z179" s="166"/>
      <c r="AA179" s="166"/>
      <c r="AB179" s="166"/>
      <c r="AC179" s="166"/>
      <c r="AD179" s="166"/>
      <c r="AE179" s="166"/>
      <c r="AF179" s="166"/>
    </row>
    <row r="180" spans="1:32">
      <c r="A180" s="153">
        <f t="shared" si="39"/>
        <v>73</v>
      </c>
      <c r="B180" s="94"/>
      <c r="C180" s="153">
        <v>283</v>
      </c>
      <c r="D180" s="149"/>
      <c r="E180" s="164" t="s">
        <v>1155</v>
      </c>
      <c r="F180" s="1741">
        <f>Q81</f>
        <v>0</v>
      </c>
      <c r="G180" s="61">
        <v>0</v>
      </c>
      <c r="H180" s="61">
        <v>0</v>
      </c>
      <c r="I180" s="61">
        <v>0</v>
      </c>
      <c r="J180" s="61">
        <v>0</v>
      </c>
      <c r="K180" s="61">
        <v>0</v>
      </c>
      <c r="L180" s="61">
        <v>0</v>
      </c>
      <c r="M180" s="61">
        <v>0</v>
      </c>
      <c r="N180" s="61">
        <v>0</v>
      </c>
      <c r="O180" s="61">
        <v>0</v>
      </c>
      <c r="P180" s="61">
        <v>0</v>
      </c>
      <c r="Q180" s="61">
        <v>0</v>
      </c>
      <c r="R180" s="61">
        <v>0</v>
      </c>
      <c r="S180" s="1482">
        <f>SUM(F180:R180)</f>
        <v>0</v>
      </c>
      <c r="T180" s="1482">
        <f>ROUND(S180/13,0)</f>
        <v>0</v>
      </c>
      <c r="U180" s="94"/>
      <c r="V180" s="94"/>
      <c r="W180" s="168"/>
      <c r="X180" s="166"/>
      <c r="Y180" s="166"/>
      <c r="Z180" s="166"/>
      <c r="AA180" s="166"/>
      <c r="AB180" s="166"/>
      <c r="AC180" s="166"/>
      <c r="AD180" s="166"/>
      <c r="AE180" s="166"/>
      <c r="AF180" s="166"/>
    </row>
    <row r="181" spans="1:32" ht="13.8" thickBot="1">
      <c r="A181" s="153">
        <f t="shared" si="39"/>
        <v>74</v>
      </c>
      <c r="B181" s="94"/>
      <c r="C181" s="153"/>
      <c r="D181" s="149"/>
      <c r="E181" s="149" t="s">
        <v>1123</v>
      </c>
      <c r="F181" s="1730">
        <f>SUM(F177:F180)</f>
        <v>-32580086</v>
      </c>
      <c r="G181" s="1730">
        <f>SUM(G177:G180)</f>
        <v>-32472404</v>
      </c>
      <c r="H181" s="1730">
        <f t="shared" ref="H181:R181" si="41">SUM(H177:H180)</f>
        <v>-32370297</v>
      </c>
      <c r="I181" s="1730">
        <f t="shared" si="41"/>
        <v>-32261665</v>
      </c>
      <c r="J181" s="1730">
        <f t="shared" si="41"/>
        <v>-32152341</v>
      </c>
      <c r="K181" s="1730">
        <f t="shared" si="41"/>
        <v>-32037792</v>
      </c>
      <c r="L181" s="1730">
        <f t="shared" si="41"/>
        <v>-31915059</v>
      </c>
      <c r="M181" s="1730">
        <f t="shared" si="41"/>
        <v>-31773073</v>
      </c>
      <c r="N181" s="1730">
        <f t="shared" si="41"/>
        <v>-31635372</v>
      </c>
      <c r="O181" s="1730">
        <f t="shared" si="41"/>
        <v>-31503567</v>
      </c>
      <c r="P181" s="1730">
        <f t="shared" si="41"/>
        <v>-31377007</v>
      </c>
      <c r="Q181" s="1730">
        <f t="shared" si="41"/>
        <v>-31251733</v>
      </c>
      <c r="R181" s="1730">
        <f t="shared" si="41"/>
        <v>-31123260</v>
      </c>
      <c r="S181" s="1944">
        <f>SUM(S177:S180)</f>
        <v>-414453656</v>
      </c>
      <c r="T181" s="1945">
        <f>SUM(T177:T180)</f>
        <v>-31881050</v>
      </c>
      <c r="U181" s="94"/>
      <c r="V181" s="94"/>
      <c r="W181" s="168"/>
      <c r="X181" s="166"/>
      <c r="Y181" s="166"/>
      <c r="Z181" s="166"/>
      <c r="AA181" s="166"/>
      <c r="AB181" s="166"/>
      <c r="AC181" s="166"/>
      <c r="AD181" s="166"/>
      <c r="AE181" s="166"/>
      <c r="AF181" s="166"/>
    </row>
    <row r="182" spans="1:32" ht="13.8" thickTop="1">
      <c r="A182" s="153">
        <f t="shared" si="39"/>
        <v>75</v>
      </c>
      <c r="B182" s="94"/>
      <c r="C182" s="94"/>
      <c r="D182" s="94"/>
      <c r="E182" s="94"/>
      <c r="F182" s="166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166"/>
      <c r="Y182" s="166"/>
      <c r="Z182" s="166"/>
      <c r="AA182" s="166"/>
      <c r="AB182" s="166"/>
      <c r="AC182" s="166"/>
      <c r="AD182" s="166"/>
      <c r="AE182" s="166"/>
      <c r="AF182" s="166"/>
    </row>
    <row r="183" spans="1:32">
      <c r="A183" s="153">
        <f t="shared" si="39"/>
        <v>76</v>
      </c>
      <c r="B183" s="94"/>
      <c r="C183" s="33"/>
      <c r="D183" s="29"/>
      <c r="E183" s="29" t="s">
        <v>1149</v>
      </c>
      <c r="F183" s="1200"/>
      <c r="G183" s="1200"/>
      <c r="H183" s="1200"/>
      <c r="I183" s="1200"/>
      <c r="J183" s="1200"/>
      <c r="K183" s="1200"/>
      <c r="L183" s="1200"/>
      <c r="N183" s="1200"/>
      <c r="O183" s="1200"/>
      <c r="P183" s="1200"/>
      <c r="Q183" s="1200"/>
      <c r="R183" s="29"/>
      <c r="S183" s="29"/>
      <c r="T183" s="1200"/>
      <c r="U183" s="94"/>
      <c r="V183" s="94"/>
      <c r="W183" s="94"/>
      <c r="X183" s="166"/>
      <c r="Y183" s="166"/>
      <c r="Z183" s="166"/>
      <c r="AA183" s="166"/>
      <c r="AB183" s="166"/>
      <c r="AC183" s="166"/>
      <c r="AD183" s="166"/>
      <c r="AE183" s="166"/>
      <c r="AF183" s="166"/>
    </row>
    <row r="184" spans="1:32">
      <c r="A184" s="153">
        <f t="shared" si="39"/>
        <v>77</v>
      </c>
      <c r="B184" s="94"/>
      <c r="C184" s="33">
        <v>254</v>
      </c>
      <c r="D184" s="29"/>
      <c r="E184" s="1201" t="s">
        <v>1150</v>
      </c>
      <c r="F184" s="1200"/>
      <c r="G184" s="1200"/>
      <c r="H184" s="1200"/>
      <c r="I184" s="1200"/>
      <c r="J184" s="1200"/>
      <c r="K184" s="1200"/>
      <c r="L184" s="1200"/>
      <c r="N184" s="1200"/>
      <c r="O184" s="1200"/>
      <c r="P184" s="1200"/>
      <c r="Q184" s="1200"/>
      <c r="R184" s="29"/>
      <c r="S184" s="29"/>
      <c r="T184" s="1200"/>
      <c r="U184" s="94"/>
      <c r="V184" s="94"/>
      <c r="W184" s="94"/>
      <c r="X184" s="166"/>
      <c r="Y184" s="166"/>
      <c r="Z184" s="166"/>
      <c r="AA184" s="166"/>
      <c r="AB184" s="166"/>
      <c r="AC184" s="166"/>
      <c r="AD184" s="166"/>
      <c r="AE184" s="166"/>
      <c r="AF184" s="166"/>
    </row>
    <row r="185" spans="1:32">
      <c r="A185" s="153">
        <f t="shared" si="39"/>
        <v>78</v>
      </c>
      <c r="B185" s="94"/>
      <c r="C185" s="33">
        <v>254</v>
      </c>
      <c r="D185" s="29"/>
      <c r="E185" s="1201" t="s">
        <v>1151</v>
      </c>
      <c r="F185" s="1289"/>
      <c r="G185" s="1289"/>
      <c r="H185" s="1289"/>
      <c r="I185" s="1289"/>
      <c r="J185" s="1289"/>
      <c r="K185" s="1289"/>
      <c r="L185" s="1289"/>
      <c r="M185" s="1289"/>
      <c r="N185" s="1289"/>
      <c r="O185" s="1289"/>
      <c r="P185" s="1289"/>
      <c r="Q185" s="1289"/>
      <c r="R185" s="1289"/>
      <c r="S185" s="1289"/>
      <c r="T185" s="1289"/>
      <c r="U185" s="94"/>
      <c r="V185" s="94"/>
      <c r="W185" s="94"/>
      <c r="X185" s="166"/>
      <c r="Y185" s="166"/>
      <c r="Z185" s="166"/>
      <c r="AA185" s="166"/>
      <c r="AB185" s="166"/>
      <c r="AC185" s="166"/>
      <c r="AD185" s="166"/>
      <c r="AE185" s="166"/>
      <c r="AF185" s="166"/>
    </row>
    <row r="186" spans="1:32" ht="13.8" thickBot="1">
      <c r="A186" s="153">
        <f t="shared" si="39"/>
        <v>79</v>
      </c>
      <c r="B186" s="94"/>
      <c r="C186" s="33"/>
      <c r="D186" s="29"/>
      <c r="E186" s="29" t="s">
        <v>1109</v>
      </c>
      <c r="F186" s="1949"/>
      <c r="G186" s="1949"/>
      <c r="H186" s="1949"/>
      <c r="I186" s="1949"/>
      <c r="J186" s="1949"/>
      <c r="K186" s="1949"/>
      <c r="L186" s="1949"/>
      <c r="M186" s="1949"/>
      <c r="N186" s="1949"/>
      <c r="O186" s="1949"/>
      <c r="P186" s="1949"/>
      <c r="Q186" s="1949"/>
      <c r="R186" s="1949"/>
      <c r="S186" s="1949"/>
      <c r="T186" s="1949"/>
      <c r="U186" s="94"/>
      <c r="V186" s="94"/>
      <c r="W186" s="94"/>
      <c r="X186" s="166"/>
      <c r="Y186" s="166"/>
      <c r="Z186" s="166"/>
      <c r="AA186" s="166"/>
      <c r="AB186" s="166"/>
      <c r="AC186" s="166"/>
      <c r="AD186" s="166"/>
      <c r="AE186" s="166"/>
      <c r="AF186" s="166"/>
    </row>
    <row r="187" spans="1:32" ht="13.8" thickTop="1">
      <c r="A187" s="94"/>
      <c r="B187" s="94"/>
      <c r="C187" s="94"/>
      <c r="D187" s="94"/>
      <c r="E187" s="94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</row>
    <row r="188" spans="1:32">
      <c r="A188" s="94"/>
      <c r="B188" s="94"/>
      <c r="C188" s="94"/>
      <c r="D188" s="94"/>
      <c r="E188" s="94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</row>
    <row r="189" spans="1:32">
      <c r="A189" s="94"/>
      <c r="B189" s="94"/>
      <c r="C189" s="94"/>
      <c r="D189" s="94"/>
      <c r="E189" s="94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</row>
    <row r="190" spans="1:32">
      <c r="A190" s="94"/>
      <c r="B190" s="94"/>
      <c r="C190" s="94"/>
      <c r="D190" s="94"/>
      <c r="E190" s="94"/>
      <c r="F190" s="166">
        <f t="shared" ref="F190:R190" si="42">F181+F148+F122</f>
        <v>-341269951</v>
      </c>
      <c r="G190" s="166">
        <f t="shared" si="42"/>
        <v>-341948025</v>
      </c>
      <c r="H190" s="166">
        <f t="shared" si="42"/>
        <v>-342656423</v>
      </c>
      <c r="I190" s="166">
        <f t="shared" si="42"/>
        <v>-344285689</v>
      </c>
      <c r="J190" s="166">
        <f t="shared" si="42"/>
        <v>-345278865</v>
      </c>
      <c r="K190" s="166">
        <f t="shared" si="42"/>
        <v>-346288981</v>
      </c>
      <c r="L190" s="166">
        <f t="shared" si="42"/>
        <v>-347416255</v>
      </c>
      <c r="M190" s="166">
        <f t="shared" si="42"/>
        <v>-348096424</v>
      </c>
      <c r="N190" s="166">
        <f t="shared" si="42"/>
        <v>-348749210</v>
      </c>
      <c r="O190" s="166">
        <f t="shared" si="42"/>
        <v>-349427444</v>
      </c>
      <c r="P190" s="166">
        <f t="shared" si="42"/>
        <v>-350039930</v>
      </c>
      <c r="Q190" s="166">
        <f t="shared" si="42"/>
        <v>-350802481</v>
      </c>
      <c r="R190" s="166">
        <f t="shared" si="42"/>
        <v>-351572593</v>
      </c>
      <c r="S190" s="166"/>
      <c r="T190" s="166">
        <f>T181+T148+T122</f>
        <v>-128659553</v>
      </c>
      <c r="U190" s="94"/>
      <c r="V190" s="94"/>
      <c r="W190" s="94"/>
      <c r="X190" s="94"/>
      <c r="Y190" s="94"/>
      <c r="Z190" s="94"/>
      <c r="AA190" s="94"/>
      <c r="AB190" s="94"/>
      <c r="AC190" s="94"/>
    </row>
    <row r="191" spans="1:32">
      <c r="A191" s="94"/>
      <c r="B191" s="94"/>
      <c r="C191" s="94"/>
      <c r="D191" s="94"/>
      <c r="E191" s="94"/>
      <c r="F191" s="28"/>
      <c r="S191" s="166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</row>
    <row r="192" spans="1:32">
      <c r="A192" s="94"/>
      <c r="B192" s="94"/>
      <c r="C192" s="94"/>
      <c r="D192" s="94"/>
      <c r="E192" s="94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94"/>
      <c r="V192" s="94"/>
      <c r="W192" s="94"/>
      <c r="X192" s="94"/>
      <c r="Y192" s="94"/>
      <c r="Z192" s="94"/>
      <c r="AA192" s="94"/>
      <c r="AB192" s="94"/>
      <c r="AC192" s="94"/>
    </row>
    <row r="193" spans="1:29">
      <c r="A193" s="94"/>
      <c r="B193" s="94"/>
      <c r="C193" s="94"/>
      <c r="D193" s="94"/>
      <c r="E193" s="94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49"/>
      <c r="Q193" s="94"/>
      <c r="R193" s="97"/>
      <c r="S193" s="97"/>
      <c r="T193" s="166"/>
      <c r="U193" s="94"/>
      <c r="V193" s="94"/>
      <c r="W193" s="94"/>
      <c r="X193" s="94"/>
      <c r="Y193" s="94"/>
      <c r="Z193" s="94"/>
      <c r="AA193" s="94"/>
      <c r="AB193" s="94"/>
      <c r="AC193" s="94"/>
    </row>
    <row r="194" spans="1:29">
      <c r="A194" s="94"/>
      <c r="B194" s="94"/>
      <c r="C194" s="94"/>
      <c r="D194" s="94"/>
      <c r="E194" s="94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4"/>
      <c r="Q194" s="94"/>
      <c r="R194" s="166"/>
      <c r="S194" s="166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</row>
    <row r="195" spans="1:29">
      <c r="A195" s="94"/>
      <c r="B195" s="94"/>
      <c r="C195" s="94"/>
      <c r="D195" s="94"/>
      <c r="E195" s="94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4"/>
      <c r="Q195" s="94"/>
      <c r="R195" s="166"/>
      <c r="S195" s="166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</row>
    <row r="196" spans="1:29">
      <c r="A196" s="94"/>
      <c r="B196" s="94"/>
      <c r="C196" s="94"/>
      <c r="D196" s="94"/>
      <c r="E196" s="94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4"/>
      <c r="Q196" s="94"/>
      <c r="R196" s="166"/>
      <c r="S196" s="166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</row>
    <row r="197" spans="1:29">
      <c r="A197" s="94"/>
      <c r="B197" s="94"/>
      <c r="C197" s="94"/>
      <c r="D197" s="94"/>
      <c r="E197" s="94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4"/>
      <c r="Q197" s="94"/>
      <c r="R197" s="166"/>
      <c r="S197" s="166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</row>
    <row r="198" spans="1:29">
      <c r="A198" s="94"/>
      <c r="B198" s="94"/>
      <c r="C198" s="94"/>
      <c r="D198" s="94"/>
      <c r="E198" s="94"/>
      <c r="F198" s="166"/>
      <c r="G198" s="94"/>
      <c r="H198" s="94"/>
      <c r="I198" s="94"/>
      <c r="J198" s="94"/>
      <c r="K198" s="94"/>
      <c r="L198" s="94"/>
      <c r="M198" s="94"/>
      <c r="N198" s="94"/>
      <c r="O198" s="94"/>
      <c r="P198" s="164"/>
      <c r="Q198" s="94"/>
      <c r="R198" s="166"/>
      <c r="S198" s="166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</row>
    <row r="199" spans="1:29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149"/>
      <c r="Q199" s="94"/>
      <c r="R199" s="166"/>
      <c r="S199" s="166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</row>
    <row r="200" spans="1:29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</row>
    <row r="201" spans="1:29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</row>
    <row r="202" spans="1:29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 t="str">
        <f>COMPANY</f>
        <v>DUKE ENERGY KENTUCKY, INC.</v>
      </c>
      <c r="W202" s="150"/>
      <c r="X202" s="150"/>
      <c r="Y202" s="150"/>
      <c r="Z202" s="150"/>
      <c r="AA202" s="151" t="s">
        <v>1170</v>
      </c>
      <c r="AC202" s="94"/>
    </row>
    <row r="203" spans="1:29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 t="str">
        <f>CASE</f>
        <v>CASE NO. 2024-00354</v>
      </c>
      <c r="W203" s="150"/>
      <c r="X203" s="150"/>
      <c r="Y203" s="150"/>
      <c r="Z203" s="150"/>
      <c r="AA203" s="151" t="s">
        <v>468</v>
      </c>
      <c r="AC203" s="94"/>
    </row>
    <row r="204" spans="1:29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169" t="s">
        <v>1093</v>
      </c>
      <c r="W204" s="150"/>
      <c r="X204" s="150"/>
      <c r="Y204" s="150"/>
      <c r="Z204" s="150"/>
      <c r="AA204" s="151" t="str">
        <f>_WIT3</f>
        <v>J. R. PANIZZA</v>
      </c>
      <c r="AC204" s="94"/>
    </row>
    <row r="205" spans="1:29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169" t="s">
        <v>1171</v>
      </c>
      <c r="W205" s="150"/>
      <c r="X205" s="150"/>
      <c r="Y205" s="150"/>
      <c r="Z205" s="150"/>
      <c r="AA205" s="150"/>
      <c r="AB205" s="150"/>
      <c r="AC205" s="94"/>
    </row>
    <row r="206" spans="1:29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W206" s="150"/>
      <c r="X206" s="150"/>
      <c r="Y206" s="150"/>
      <c r="Z206" s="150"/>
      <c r="AA206" s="150"/>
      <c r="AB206" s="150"/>
      <c r="AC206" s="94"/>
    </row>
    <row r="207" spans="1:29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150"/>
      <c r="W207" s="150"/>
      <c r="X207" s="150"/>
      <c r="Y207" s="150"/>
      <c r="Z207" s="150"/>
      <c r="AA207" s="150"/>
      <c r="AB207" s="150"/>
      <c r="AC207" s="94"/>
    </row>
    <row r="208" spans="1:29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149"/>
      <c r="W208" s="149"/>
      <c r="X208" s="149"/>
      <c r="Y208" s="149"/>
      <c r="Z208" s="149"/>
      <c r="AA208" s="149"/>
      <c r="AB208" s="149"/>
      <c r="AC208" s="94"/>
    </row>
    <row r="209" spans="1:29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1478"/>
      <c r="W209" s="1478"/>
      <c r="X209" s="1478"/>
      <c r="Y209" s="1478"/>
      <c r="Z209" s="1478"/>
      <c r="AA209" s="1478"/>
      <c r="AB209" s="149"/>
      <c r="AC209" s="94"/>
    </row>
    <row r="210" spans="1:29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149"/>
      <c r="W210" s="149"/>
      <c r="X210" s="149"/>
      <c r="Y210" s="149"/>
      <c r="Z210" s="149"/>
      <c r="AA210" s="149"/>
      <c r="AB210" s="2120"/>
      <c r="AC210" s="94"/>
    </row>
    <row r="211" spans="1:29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153" t="s">
        <v>471</v>
      </c>
      <c r="W211" s="149"/>
      <c r="X211" s="153" t="s">
        <v>1045</v>
      </c>
      <c r="Y211" s="150"/>
      <c r="Z211" s="149"/>
      <c r="AA211" s="149"/>
      <c r="AB211" s="149"/>
      <c r="AC211" s="94"/>
    </row>
    <row r="212" spans="1:29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153" t="s">
        <v>475</v>
      </c>
      <c r="W212" s="149"/>
      <c r="X212" s="153" t="s">
        <v>941</v>
      </c>
      <c r="Y212" s="150"/>
      <c r="Z212" s="150" t="s">
        <v>476</v>
      </c>
      <c r="AA212" s="150"/>
      <c r="AB212" s="153" t="s">
        <v>1097</v>
      </c>
      <c r="AC212" s="94"/>
    </row>
    <row r="213" spans="1:29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1478"/>
      <c r="W213" s="1478"/>
      <c r="X213" s="1478"/>
      <c r="Y213" s="1478"/>
      <c r="Z213" s="1478"/>
      <c r="AA213" s="1478"/>
      <c r="AB213" s="149"/>
      <c r="AC213" s="94"/>
    </row>
    <row r="214" spans="1:29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149"/>
      <c r="W214" s="149"/>
      <c r="X214" s="149"/>
      <c r="Y214" s="149"/>
      <c r="Z214" s="149"/>
      <c r="AA214" s="149"/>
      <c r="AB214" s="2121"/>
      <c r="AC214" s="94"/>
    </row>
    <row r="215" spans="1:29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149"/>
      <c r="W215" s="149"/>
      <c r="X215" s="153">
        <v>190</v>
      </c>
      <c r="Y215" s="149"/>
      <c r="Z215" s="149"/>
      <c r="AA215" s="149"/>
      <c r="AB215" s="149"/>
      <c r="AC215" s="94"/>
    </row>
    <row r="216" spans="1:29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153">
        <v>1</v>
      </c>
      <c r="W216" s="149"/>
      <c r="X216" s="153"/>
      <c r="Y216" s="149"/>
      <c r="Z216" s="149" t="s">
        <v>1172</v>
      </c>
      <c r="AA216" s="149"/>
      <c r="AB216" s="1721">
        <v>701659</v>
      </c>
      <c r="AC216" s="731"/>
    </row>
    <row r="217" spans="1:29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153">
        <f t="shared" ref="V217:V266" si="43">V216+1</f>
        <v>2</v>
      </c>
      <c r="W217" s="149"/>
      <c r="X217" s="153"/>
      <c r="Y217" s="149"/>
      <c r="Z217" s="149" t="s">
        <v>1173</v>
      </c>
      <c r="AA217" s="149"/>
      <c r="AB217" s="1721">
        <v>7002</v>
      </c>
      <c r="AC217" s="731"/>
    </row>
    <row r="218" spans="1:29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153">
        <f t="shared" si="43"/>
        <v>3</v>
      </c>
      <c r="W218" s="149"/>
      <c r="X218" s="153"/>
      <c r="Y218" s="149"/>
      <c r="Z218" s="149" t="s">
        <v>1174</v>
      </c>
      <c r="AA218" s="149"/>
      <c r="AB218" s="1721">
        <v>1018374</v>
      </c>
      <c r="AC218" s="731"/>
    </row>
    <row r="219" spans="1:29">
      <c r="A219" s="94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153">
        <f t="shared" si="43"/>
        <v>4</v>
      </c>
      <c r="W219" s="149"/>
      <c r="X219" s="153"/>
      <c r="Y219" s="149"/>
      <c r="Z219" s="149" t="s">
        <v>1175</v>
      </c>
      <c r="AA219" s="149"/>
      <c r="AB219" s="1721">
        <v>788559</v>
      </c>
      <c r="AC219" s="731"/>
    </row>
    <row r="220" spans="1:29">
      <c r="A220" s="94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153">
        <f t="shared" si="43"/>
        <v>5</v>
      </c>
      <c r="W220" s="149"/>
      <c r="X220" s="153"/>
      <c r="Y220" s="149"/>
      <c r="Z220" s="149" t="s">
        <v>1176</v>
      </c>
      <c r="AA220" s="149"/>
      <c r="AB220" s="1721">
        <v>-28017</v>
      </c>
      <c r="AC220" s="731"/>
    </row>
    <row r="221" spans="1:29">
      <c r="A221" s="94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153">
        <f t="shared" si="43"/>
        <v>6</v>
      </c>
      <c r="W221" s="149"/>
      <c r="X221" s="153"/>
      <c r="Y221" s="149"/>
      <c r="Z221" s="149" t="s">
        <v>1177</v>
      </c>
      <c r="AA221" s="149"/>
      <c r="AB221" s="1721">
        <v>1838</v>
      </c>
      <c r="AC221" s="731"/>
    </row>
    <row r="222" spans="1:29">
      <c r="A222" s="94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153">
        <f t="shared" si="43"/>
        <v>7</v>
      </c>
      <c r="W222" s="149"/>
      <c r="X222" s="1108"/>
      <c r="Y222" s="149"/>
      <c r="Z222" s="149" t="s">
        <v>1178</v>
      </c>
      <c r="AA222" s="149"/>
      <c r="AB222" s="1721">
        <v>1117405</v>
      </c>
      <c r="AC222" s="731"/>
    </row>
    <row r="223" spans="1:29">
      <c r="A223" s="94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153">
        <f t="shared" si="43"/>
        <v>8</v>
      </c>
      <c r="W223" s="149"/>
      <c r="Z223" s="149" t="s">
        <v>1179</v>
      </c>
      <c r="AA223" s="149"/>
      <c r="AB223" s="1721">
        <v>298767</v>
      </c>
      <c r="AC223" s="731"/>
    </row>
    <row r="224" spans="1:29">
      <c r="A224" s="94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153">
        <f t="shared" si="43"/>
        <v>9</v>
      </c>
      <c r="W224" s="149"/>
      <c r="X224" s="153"/>
      <c r="Y224" s="149"/>
      <c r="Z224" s="149" t="s">
        <v>1180</v>
      </c>
      <c r="AA224" s="149"/>
      <c r="AB224" s="1721">
        <v>48027</v>
      </c>
      <c r="AC224" s="731"/>
    </row>
    <row r="225" spans="1:29">
      <c r="A225" s="94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153">
        <f t="shared" si="43"/>
        <v>10</v>
      </c>
      <c r="Z225" s="149" t="s">
        <v>1181</v>
      </c>
      <c r="AA225" s="149"/>
      <c r="AB225" s="1721">
        <v>722177</v>
      </c>
      <c r="AC225" s="731"/>
    </row>
    <row r="226" spans="1:29">
      <c r="A226" s="94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153">
        <f t="shared" si="43"/>
        <v>11</v>
      </c>
      <c r="Z226" s="149" t="s">
        <v>1182</v>
      </c>
      <c r="AA226" s="149"/>
      <c r="AB226" s="1721">
        <v>6778</v>
      </c>
      <c r="AC226" s="731"/>
    </row>
    <row r="227" spans="1:29">
      <c r="A227" s="94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153">
        <f t="shared" si="43"/>
        <v>12</v>
      </c>
      <c r="Z227" s="149" t="s">
        <v>1183</v>
      </c>
      <c r="AA227" s="149"/>
      <c r="AB227" s="1721">
        <v>45087</v>
      </c>
      <c r="AC227" s="731"/>
    </row>
    <row r="228" spans="1:29">
      <c r="A228" s="94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153">
        <f t="shared" si="43"/>
        <v>13</v>
      </c>
      <c r="Z228" s="149" t="s">
        <v>1184</v>
      </c>
      <c r="AA228" s="149"/>
      <c r="AB228" s="1721">
        <v>116688</v>
      </c>
      <c r="AC228" s="731"/>
    </row>
    <row r="229" spans="1:29">
      <c r="A229" s="94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153">
        <f t="shared" si="43"/>
        <v>14</v>
      </c>
      <c r="Z229" s="149" t="s">
        <v>1185</v>
      </c>
      <c r="AA229" s="149"/>
      <c r="AB229" s="1721">
        <v>592172</v>
      </c>
      <c r="AC229" s="731"/>
    </row>
    <row r="230" spans="1:29">
      <c r="A230" s="94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153">
        <f t="shared" si="43"/>
        <v>15</v>
      </c>
      <c r="Z230" s="149" t="s">
        <v>1186</v>
      </c>
      <c r="AA230" s="149"/>
      <c r="AB230" s="1721">
        <v>-4729</v>
      </c>
      <c r="AC230" s="731"/>
    </row>
    <row r="231" spans="1:29">
      <c r="A231" s="94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153">
        <f t="shared" si="43"/>
        <v>16</v>
      </c>
      <c r="Z231" s="149" t="s">
        <v>1187</v>
      </c>
      <c r="AA231" s="149"/>
      <c r="AB231" s="1721">
        <v>1516370</v>
      </c>
      <c r="AC231" s="731"/>
    </row>
    <row r="232" spans="1:29">
      <c r="A232" s="94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153">
        <f t="shared" si="43"/>
        <v>17</v>
      </c>
      <c r="Z232" s="149" t="s">
        <v>1188</v>
      </c>
      <c r="AA232" s="149"/>
      <c r="AB232" s="1721">
        <v>4431658</v>
      </c>
      <c r="AC232" s="731"/>
    </row>
    <row r="233" spans="1:29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153">
        <f t="shared" si="43"/>
        <v>18</v>
      </c>
      <c r="Z233" s="149" t="s">
        <v>1189</v>
      </c>
      <c r="AA233" s="149"/>
      <c r="AB233" s="1721">
        <v>6</v>
      </c>
      <c r="AC233" s="731"/>
    </row>
    <row r="234" spans="1:29">
      <c r="A234" s="94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153">
        <f t="shared" si="43"/>
        <v>19</v>
      </c>
      <c r="Z234" s="149" t="s">
        <v>1190</v>
      </c>
      <c r="AA234" s="149"/>
      <c r="AB234" s="1721">
        <v>-1148722</v>
      </c>
      <c r="AC234" s="731"/>
    </row>
    <row r="235" spans="1:29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153">
        <f t="shared" si="43"/>
        <v>20</v>
      </c>
      <c r="Z235" s="149" t="s">
        <v>1191</v>
      </c>
      <c r="AA235" s="149"/>
      <c r="AB235" s="1721">
        <v>-40763</v>
      </c>
      <c r="AC235" s="731"/>
    </row>
    <row r="236" spans="1:29">
      <c r="A236" s="94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153">
        <f t="shared" si="43"/>
        <v>21</v>
      </c>
      <c r="Z236" s="149" t="s">
        <v>1192</v>
      </c>
      <c r="AA236" s="149"/>
      <c r="AB236" s="1721">
        <v>103698</v>
      </c>
      <c r="AC236" s="731"/>
    </row>
    <row r="237" spans="1:29">
      <c r="A237" s="94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153">
        <f t="shared" si="43"/>
        <v>22</v>
      </c>
      <c r="Z237" s="149" t="s">
        <v>1193</v>
      </c>
      <c r="AA237" s="149"/>
      <c r="AB237" s="1721">
        <v>3670</v>
      </c>
      <c r="AC237" s="731"/>
    </row>
    <row r="238" spans="1:29">
      <c r="A238" s="94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153">
        <f t="shared" si="43"/>
        <v>23</v>
      </c>
      <c r="Z238" s="149" t="s">
        <v>1194</v>
      </c>
      <c r="AA238" s="149"/>
      <c r="AB238" s="1721">
        <v>487914</v>
      </c>
      <c r="AC238" s="731"/>
    </row>
    <row r="239" spans="1:29">
      <c r="A239" s="94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153">
        <f t="shared" si="43"/>
        <v>24</v>
      </c>
      <c r="Z239" s="149" t="s">
        <v>1195</v>
      </c>
      <c r="AA239" s="149"/>
      <c r="AB239" s="1721">
        <v>363897</v>
      </c>
      <c r="AC239" s="731"/>
    </row>
    <row r="240" spans="1:29">
      <c r="A240" s="94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153">
        <f t="shared" si="43"/>
        <v>25</v>
      </c>
      <c r="AC240" s="94"/>
    </row>
    <row r="241" spans="1:29">
      <c r="A241" s="94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153">
        <f t="shared" si="43"/>
        <v>26</v>
      </c>
      <c r="X241" s="149" t="s">
        <v>1196</v>
      </c>
      <c r="AB241" s="1247">
        <f>SUM(AB216:AB239)</f>
        <v>11149515</v>
      </c>
      <c r="AC241" s="94"/>
    </row>
    <row r="242" spans="1:29">
      <c r="A242" s="94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153">
        <f t="shared" si="43"/>
        <v>27</v>
      </c>
      <c r="X242" s="1484" t="s">
        <v>1197</v>
      </c>
      <c r="Y242" s="1818"/>
      <c r="Z242" s="1818"/>
      <c r="AA242" s="1818"/>
      <c r="AB242" s="1819">
        <v>11194084</v>
      </c>
      <c r="AC242" s="1256"/>
    </row>
    <row r="243" spans="1:29">
      <c r="A243" s="94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153">
        <f t="shared" si="43"/>
        <v>28</v>
      </c>
      <c r="AC243" s="94"/>
    </row>
    <row r="244" spans="1:29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153">
        <f t="shared" si="43"/>
        <v>29</v>
      </c>
      <c r="X244" s="10">
        <v>283</v>
      </c>
      <c r="AC244" s="94"/>
    </row>
    <row r="245" spans="1:29">
      <c r="A245" s="94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153">
        <f t="shared" si="43"/>
        <v>30</v>
      </c>
      <c r="X245" s="10"/>
      <c r="Z245" s="149" t="s">
        <v>1198</v>
      </c>
      <c r="AA245" s="149"/>
      <c r="AB245" s="1721">
        <v>-36761</v>
      </c>
      <c r="AC245" s="731"/>
    </row>
    <row r="246" spans="1:29">
      <c r="A246" s="94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153">
        <f t="shared" si="43"/>
        <v>31</v>
      </c>
      <c r="Z246" s="149" t="s">
        <v>1199</v>
      </c>
      <c r="AA246" s="149"/>
      <c r="AB246" s="1721">
        <v>697553</v>
      </c>
      <c r="AC246" s="731"/>
    </row>
    <row r="247" spans="1:29">
      <c r="A247" s="94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153">
        <f t="shared" si="43"/>
        <v>32</v>
      </c>
      <c r="Z247" s="149" t="s">
        <v>1200</v>
      </c>
      <c r="AA247" s="149"/>
      <c r="AB247" s="1751">
        <v>1</v>
      </c>
      <c r="AC247" s="731"/>
    </row>
    <row r="248" spans="1:29">
      <c r="A248" s="94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153">
        <f t="shared" si="43"/>
        <v>33</v>
      </c>
      <c r="Z248" s="149" t="s">
        <v>1201</v>
      </c>
      <c r="AA248" s="149"/>
      <c r="AB248" s="1721">
        <v>-4957778</v>
      </c>
      <c r="AC248" s="731"/>
    </row>
    <row r="249" spans="1:29">
      <c r="A249" s="94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153">
        <f t="shared" si="43"/>
        <v>34</v>
      </c>
      <c r="Z249" s="149" t="s">
        <v>1202</v>
      </c>
      <c r="AA249" s="149"/>
      <c r="AB249" s="1721">
        <v>-1543</v>
      </c>
      <c r="AC249" s="731"/>
    </row>
    <row r="250" spans="1:29">
      <c r="A250" s="94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153">
        <f t="shared" si="43"/>
        <v>35</v>
      </c>
      <c r="Z250" s="149" t="s">
        <v>1203</v>
      </c>
      <c r="AA250" s="149"/>
      <c r="AB250" s="1721">
        <v>-307215</v>
      </c>
      <c r="AC250" s="731"/>
    </row>
    <row r="251" spans="1:29">
      <c r="A251" s="94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153">
        <f t="shared" si="43"/>
        <v>36</v>
      </c>
      <c r="Z251" s="149" t="s">
        <v>1204</v>
      </c>
      <c r="AA251" s="149"/>
      <c r="AB251" s="1721">
        <v>1189400</v>
      </c>
      <c r="AC251" s="731"/>
    </row>
    <row r="252" spans="1:29">
      <c r="A252" s="94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153">
        <f t="shared" si="43"/>
        <v>37</v>
      </c>
      <c r="Z252" s="149" t="s">
        <v>1205</v>
      </c>
      <c r="AA252" s="149"/>
      <c r="AB252" s="1721">
        <v>-296702</v>
      </c>
      <c r="AC252" s="731"/>
    </row>
    <row r="253" spans="1:29">
      <c r="A253" s="94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153">
        <f t="shared" si="43"/>
        <v>38</v>
      </c>
      <c r="Z253" s="149" t="s">
        <v>1206</v>
      </c>
      <c r="AA253" s="149"/>
      <c r="AB253" s="1721">
        <v>3093318</v>
      </c>
      <c r="AC253" s="731"/>
    </row>
    <row r="254" spans="1:29">
      <c r="A254" s="94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153">
        <f t="shared" si="43"/>
        <v>39</v>
      </c>
      <c r="Z254" s="149" t="s">
        <v>1207</v>
      </c>
      <c r="AA254" s="149"/>
      <c r="AB254" s="1721">
        <v>925688</v>
      </c>
      <c r="AC254" s="731"/>
    </row>
    <row r="255" spans="1:29">
      <c r="A255" s="94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153">
        <f t="shared" si="43"/>
        <v>40</v>
      </c>
      <c r="Z255" s="149" t="s">
        <v>1208</v>
      </c>
      <c r="AA255" s="149"/>
      <c r="AB255" s="1721">
        <v>-8733</v>
      </c>
      <c r="AC255" s="731"/>
    </row>
    <row r="256" spans="1:29">
      <c r="A256" s="94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153">
        <f t="shared" si="43"/>
        <v>41</v>
      </c>
      <c r="Z256" s="149" t="s">
        <v>1209</v>
      </c>
      <c r="AA256" s="149"/>
      <c r="AB256" s="1721">
        <v>-642315</v>
      </c>
      <c r="AC256" s="731"/>
    </row>
    <row r="257" spans="1:40">
      <c r="A257" s="94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153">
        <f t="shared" si="43"/>
        <v>42</v>
      </c>
      <c r="Z257" s="149" t="s">
        <v>1210</v>
      </c>
      <c r="AA257" s="149"/>
      <c r="AB257" s="1721">
        <v>-204653</v>
      </c>
      <c r="AC257" s="731"/>
    </row>
    <row r="258" spans="1:40">
      <c r="A258" s="94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153">
        <f t="shared" si="43"/>
        <v>43</v>
      </c>
      <c r="Z258" s="149" t="s">
        <v>1211</v>
      </c>
      <c r="AA258" s="149"/>
      <c r="AB258" s="1721">
        <v>-1347079</v>
      </c>
      <c r="AC258" s="731"/>
    </row>
    <row r="259" spans="1:40">
      <c r="A259" s="94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153">
        <f t="shared" si="43"/>
        <v>44</v>
      </c>
      <c r="Z259" s="149" t="s">
        <v>1212</v>
      </c>
      <c r="AA259" s="149"/>
      <c r="AB259" s="1721">
        <v>-229</v>
      </c>
      <c r="AC259" s="731"/>
    </row>
    <row r="260" spans="1:40">
      <c r="A260" s="94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153">
        <f t="shared" si="43"/>
        <v>45</v>
      </c>
      <c r="Z260" s="149" t="s">
        <v>1213</v>
      </c>
      <c r="AA260" s="149"/>
      <c r="AB260" s="1721">
        <v>-112475</v>
      </c>
      <c r="AC260" s="731"/>
    </row>
    <row r="261" spans="1:40">
      <c r="A261" s="94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153">
        <f t="shared" si="43"/>
        <v>46</v>
      </c>
      <c r="Z261" s="149" t="s">
        <v>1214</v>
      </c>
      <c r="AA261" s="149"/>
      <c r="AB261" s="1721">
        <v>-3655921</v>
      </c>
      <c r="AC261" s="94"/>
    </row>
    <row r="262" spans="1:40">
      <c r="A262" s="94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153">
        <f t="shared" si="43"/>
        <v>47</v>
      </c>
      <c r="AC262" s="94"/>
    </row>
    <row r="263" spans="1:40">
      <c r="A263" s="94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153">
        <f t="shared" si="43"/>
        <v>48</v>
      </c>
      <c r="X263" s="149" t="s">
        <v>1215</v>
      </c>
      <c r="AB263" s="1247">
        <f>SUM(AB245:AB261)</f>
        <v>-5665444</v>
      </c>
      <c r="AC263" s="94"/>
    </row>
    <row r="264" spans="1:40">
      <c r="A264" s="94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153">
        <f t="shared" si="43"/>
        <v>49</v>
      </c>
      <c r="X264" s="1484" t="s">
        <v>1216</v>
      </c>
      <c r="Y264" s="1818"/>
      <c r="Z264" s="1818"/>
      <c r="AA264" s="1818"/>
      <c r="AB264" s="1819">
        <v>5919298</v>
      </c>
      <c r="AC264" s="1256"/>
    </row>
    <row r="265" spans="1:40">
      <c r="A265" s="94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153">
        <f t="shared" si="43"/>
        <v>50</v>
      </c>
      <c r="AC265" s="94"/>
    </row>
    <row r="266" spans="1:40" ht="13.8" thickBot="1">
      <c r="A266" s="94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153">
        <f t="shared" si="43"/>
        <v>51</v>
      </c>
      <c r="X266" s="1108" t="s">
        <v>1217</v>
      </c>
      <c r="Y266" s="149"/>
      <c r="Z266" s="149" t="s">
        <v>1218</v>
      </c>
      <c r="AA266" s="149"/>
      <c r="AB266" s="1945">
        <f>-(AB242-AB264)</f>
        <v>-5274786</v>
      </c>
      <c r="AC266" s="94"/>
    </row>
    <row r="267" spans="1:40" ht="13.8" thickTop="1">
      <c r="A267" s="94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153"/>
      <c r="X267" s="1108"/>
      <c r="Y267" s="149"/>
      <c r="Z267" s="149"/>
      <c r="AA267" s="149"/>
      <c r="AB267" s="159"/>
      <c r="AC267" s="94"/>
    </row>
    <row r="268" spans="1:40" ht="14.4">
      <c r="A268" s="94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 t="str">
        <f>COMPANY</f>
        <v>DUKE ENERGY KENTUCKY, INC.</v>
      </c>
      <c r="AE268" s="1847"/>
      <c r="AF268" s="1848"/>
      <c r="AG268" s="1848"/>
      <c r="AH268" s="1849"/>
      <c r="AI268" s="1849"/>
      <c r="AJ268" s="1850"/>
      <c r="AL268" s="151" t="s">
        <v>1219</v>
      </c>
      <c r="AM268" s="1851"/>
      <c r="AN268" s="1838"/>
    </row>
    <row r="269" spans="1:40" ht="14.4">
      <c r="A269" s="94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 t="str">
        <f>CASE</f>
        <v>CASE NO. 2024-00354</v>
      </c>
      <c r="AE269" s="1847"/>
      <c r="AF269" s="1848"/>
      <c r="AG269" s="1848"/>
      <c r="AH269" s="1849"/>
      <c r="AI269" s="1849"/>
      <c r="AJ269" s="1850"/>
      <c r="AL269" s="151" t="s">
        <v>468</v>
      </c>
      <c r="AM269" s="1851"/>
      <c r="AN269" s="1838"/>
    </row>
    <row r="270" spans="1:40" ht="15.75" customHeight="1">
      <c r="A270" s="94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169" t="s">
        <v>40</v>
      </c>
      <c r="AE270" s="1852"/>
      <c r="AF270" s="1852"/>
      <c r="AG270" s="1852"/>
      <c r="AH270" s="1853"/>
      <c r="AI270" s="1853"/>
      <c r="AJ270" s="1854"/>
      <c r="AL270" s="151" t="str">
        <f>_WIT3</f>
        <v>J. R. PANIZZA</v>
      </c>
      <c r="AM270" s="1855"/>
      <c r="AN270" s="1841"/>
    </row>
    <row r="271" spans="1:40" ht="14.4">
      <c r="A271" s="94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169" t="s">
        <v>1220</v>
      </c>
      <c r="AE271" s="1852"/>
      <c r="AF271" s="1852"/>
      <c r="AG271" s="1852"/>
      <c r="AH271" s="1852"/>
      <c r="AI271" s="1852"/>
      <c r="AJ271" s="1852"/>
      <c r="AK271" s="1852"/>
      <c r="AL271" s="1852"/>
      <c r="AM271" s="1852"/>
      <c r="AN271" s="1840"/>
    </row>
    <row r="272" spans="1:40" ht="14.4">
      <c r="A272" s="94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1852"/>
      <c r="AE272" s="1852"/>
      <c r="AG272" s="1852"/>
      <c r="AH272" s="1852"/>
      <c r="AI272" s="1852"/>
      <c r="AJ272" s="1852"/>
      <c r="AK272" s="1852"/>
      <c r="AL272" s="1852"/>
      <c r="AM272" s="1852"/>
      <c r="AN272" s="1840"/>
    </row>
    <row r="273" spans="1:40" ht="14.4">
      <c r="A273" s="94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1856"/>
      <c r="AE273" s="1857"/>
      <c r="AF273" s="1865"/>
      <c r="AG273" s="1857"/>
      <c r="AH273" s="1857"/>
      <c r="AI273" s="1857"/>
      <c r="AJ273" s="1857"/>
      <c r="AK273" s="1857"/>
      <c r="AL273" s="1858" t="s">
        <v>1221</v>
      </c>
      <c r="AM273" s="1858" t="s">
        <v>1221</v>
      </c>
      <c r="AN273" s="1840"/>
    </row>
    <row r="274" spans="1:40" ht="14.4">
      <c r="A274" s="94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1857"/>
      <c r="AE274" s="1858"/>
      <c r="AF274" s="1858" t="s">
        <v>1222</v>
      </c>
      <c r="AG274" s="1858" t="s">
        <v>1223</v>
      </c>
      <c r="AH274" s="1858" t="s">
        <v>1224</v>
      </c>
      <c r="AI274" s="1858" t="s">
        <v>1224</v>
      </c>
      <c r="AJ274" s="1858" t="s">
        <v>1225</v>
      </c>
      <c r="AK274" s="1858" t="s">
        <v>1226</v>
      </c>
      <c r="AL274" s="1858" t="s">
        <v>1224</v>
      </c>
      <c r="AM274" s="1858" t="s">
        <v>1224</v>
      </c>
      <c r="AN274" s="1840"/>
    </row>
    <row r="275" spans="1:40" ht="14.4">
      <c r="A275" s="94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1857"/>
      <c r="AE275" s="1859" t="s">
        <v>1227</v>
      </c>
      <c r="AF275" s="1859" t="s">
        <v>1228</v>
      </c>
      <c r="AG275" s="1859" t="s">
        <v>848</v>
      </c>
      <c r="AH275" s="1859" t="s">
        <v>1229</v>
      </c>
      <c r="AI275" s="1859" t="s">
        <v>1230</v>
      </c>
      <c r="AJ275" s="1859" t="s">
        <v>1231</v>
      </c>
      <c r="AK275" s="1859" t="s">
        <v>1232</v>
      </c>
      <c r="AL275" s="1859" t="s">
        <v>1230</v>
      </c>
      <c r="AM275" s="1859" t="s">
        <v>1229</v>
      </c>
      <c r="AN275" s="1840"/>
    </row>
    <row r="276" spans="1:40" ht="14.4">
      <c r="V276" s="94"/>
      <c r="W276" s="94"/>
      <c r="X276" s="94"/>
      <c r="Y276" s="94"/>
      <c r="Z276" s="94"/>
      <c r="AA276" s="94"/>
      <c r="AB276" s="94"/>
      <c r="AD276" s="1857" t="s">
        <v>1233</v>
      </c>
      <c r="AE276" s="1860">
        <v>45839</v>
      </c>
      <c r="AF276" s="1866">
        <v>1336262</v>
      </c>
      <c r="AG276" s="1998">
        <f t="shared" ref="AG276:AG287" si="44">COMPTAX</f>
        <v>0.24925115</v>
      </c>
      <c r="AH276" s="1861">
        <f>ROUND(AF276*AG276,0)</f>
        <v>333065</v>
      </c>
      <c r="AI276" s="1999">
        <f>AH276</f>
        <v>333065</v>
      </c>
      <c r="AJ276" s="1862">
        <v>31</v>
      </c>
      <c r="AK276" s="1862">
        <f>365-SUM(AJ276:AJ276)+1</f>
        <v>335</v>
      </c>
      <c r="AL276" s="1999">
        <f>ROUND(+AI276*AK276/$AJ$288,0)</f>
        <v>305690</v>
      </c>
      <c r="AM276" s="1862">
        <f>AL276</f>
        <v>305690</v>
      </c>
      <c r="AN276" s="1996"/>
    </row>
    <row r="277" spans="1:40" ht="14.4">
      <c r="AD277" s="1857" t="s">
        <v>1233</v>
      </c>
      <c r="AE277" s="1860">
        <v>45870</v>
      </c>
      <c r="AF277" s="1866">
        <v>1336941</v>
      </c>
      <c r="AG277" s="1998">
        <f t="shared" si="44"/>
        <v>0.24925115</v>
      </c>
      <c r="AH277" s="1861">
        <f>ROUND(AF277*AG277+AH276,0)</f>
        <v>666299</v>
      </c>
      <c r="AI277" s="1863">
        <f t="shared" ref="AI277:AI279" si="45">+AH277-AH276</f>
        <v>333234</v>
      </c>
      <c r="AJ277" s="1862">
        <v>28</v>
      </c>
      <c r="AK277" s="1862">
        <f>365-SUM(AJ276:AJ277)+1</f>
        <v>307</v>
      </c>
      <c r="AL277" s="1999">
        <f t="shared" ref="AL277:AL287" si="46">ROUND(+AI277*AK277/$AJ$288,0)</f>
        <v>280282</v>
      </c>
      <c r="AM277" s="1862">
        <f t="shared" ref="AM277" si="47">+AM276+AL277</f>
        <v>585972</v>
      </c>
      <c r="AN277" s="1996"/>
    </row>
    <row r="278" spans="1:40" ht="14.4">
      <c r="AD278" s="1857" t="s">
        <v>1233</v>
      </c>
      <c r="AE278" s="1860">
        <v>45901</v>
      </c>
      <c r="AF278" s="1866">
        <v>1391191</v>
      </c>
      <c r="AG278" s="1998">
        <f t="shared" si="44"/>
        <v>0.24925115</v>
      </c>
      <c r="AH278" s="1861">
        <f t="shared" ref="AH278:AH287" si="48">ROUND(AF278*AG278+AH277,0)</f>
        <v>1013055</v>
      </c>
      <c r="AI278" s="1863">
        <f t="shared" si="45"/>
        <v>346756</v>
      </c>
      <c r="AJ278" s="1862">
        <v>31</v>
      </c>
      <c r="AK278" s="1862">
        <f>365-SUM(AJ276:AJ278)+1</f>
        <v>276</v>
      </c>
      <c r="AL278" s="1999">
        <f t="shared" si="46"/>
        <v>262205</v>
      </c>
      <c r="AM278" s="1862">
        <f>+AM277+AL278</f>
        <v>848177</v>
      </c>
      <c r="AN278" s="1996"/>
    </row>
    <row r="279" spans="1:40" ht="14.4">
      <c r="AD279" s="1857" t="s">
        <v>1233</v>
      </c>
      <c r="AE279" s="1860">
        <v>45931</v>
      </c>
      <c r="AF279" s="1866">
        <v>1403859</v>
      </c>
      <c r="AG279" s="1998">
        <f t="shared" si="44"/>
        <v>0.24925115</v>
      </c>
      <c r="AH279" s="1861">
        <f t="shared" si="48"/>
        <v>1362968</v>
      </c>
      <c r="AI279" s="1863">
        <f t="shared" si="45"/>
        <v>349913</v>
      </c>
      <c r="AJ279" s="1862">
        <v>30</v>
      </c>
      <c r="AK279" s="1862">
        <f>365-SUM(AJ276:AJ279)+1</f>
        <v>246</v>
      </c>
      <c r="AL279" s="1999">
        <f t="shared" si="46"/>
        <v>235832</v>
      </c>
      <c r="AM279" s="1862">
        <f t="shared" ref="AM279:AM285" si="49">+AM278+AL279</f>
        <v>1084009</v>
      </c>
      <c r="AN279" s="1996"/>
    </row>
    <row r="280" spans="1:40" ht="14.4">
      <c r="AD280" s="1857" t="s">
        <v>1233</v>
      </c>
      <c r="AE280" s="1860">
        <v>45962</v>
      </c>
      <c r="AF280" s="1866">
        <v>1470456</v>
      </c>
      <c r="AG280" s="1998">
        <f t="shared" si="44"/>
        <v>0.24925115</v>
      </c>
      <c r="AH280" s="1861">
        <f t="shared" si="48"/>
        <v>1729481</v>
      </c>
      <c r="AI280" s="1863">
        <f>+AH280-AH279</f>
        <v>366513</v>
      </c>
      <c r="AJ280" s="1862">
        <v>31</v>
      </c>
      <c r="AK280" s="1862">
        <f>365-SUM(AJ276:AJ280)+1</f>
        <v>215</v>
      </c>
      <c r="AL280" s="1999">
        <f t="shared" si="46"/>
        <v>215891</v>
      </c>
      <c r="AM280" s="1862">
        <f t="shared" si="49"/>
        <v>1299900</v>
      </c>
      <c r="AN280" s="1996"/>
    </row>
    <row r="281" spans="1:40" ht="14.4">
      <c r="AD281" s="1857" t="s">
        <v>1233</v>
      </c>
      <c r="AE281" s="1860">
        <v>45992</v>
      </c>
      <c r="AF281" s="1866">
        <v>1574031</v>
      </c>
      <c r="AG281" s="1998">
        <f t="shared" si="44"/>
        <v>0.24925115</v>
      </c>
      <c r="AH281" s="1861">
        <f t="shared" si="48"/>
        <v>2121810</v>
      </c>
      <c r="AI281" s="1863">
        <f>+AH281-AH280</f>
        <v>392329</v>
      </c>
      <c r="AJ281" s="1862">
        <v>30</v>
      </c>
      <c r="AK281" s="1862">
        <f>365-SUM(AJ276:AJ281)+1</f>
        <v>185</v>
      </c>
      <c r="AL281" s="1999">
        <f t="shared" si="46"/>
        <v>198852</v>
      </c>
      <c r="AM281" s="1862">
        <f t="shared" si="49"/>
        <v>1498752</v>
      </c>
      <c r="AN281" s="1996"/>
    </row>
    <row r="282" spans="1:40" ht="14.4">
      <c r="AD282" s="1857" t="s">
        <v>1233</v>
      </c>
      <c r="AE282" s="1860">
        <v>46023</v>
      </c>
      <c r="AF282" s="1866">
        <v>1457298</v>
      </c>
      <c r="AG282" s="1998">
        <f t="shared" si="44"/>
        <v>0.24925115</v>
      </c>
      <c r="AH282" s="1861">
        <f t="shared" si="48"/>
        <v>2485043</v>
      </c>
      <c r="AI282" s="1863">
        <f t="shared" ref="AI282:AI287" si="50">+AH282-AH281</f>
        <v>363233</v>
      </c>
      <c r="AJ282" s="1862">
        <v>31</v>
      </c>
      <c r="AK282" s="1862">
        <f>365-SUM(AJ276:AJ282)+1</f>
        <v>154</v>
      </c>
      <c r="AL282" s="1999">
        <f t="shared" si="46"/>
        <v>153254</v>
      </c>
      <c r="AM282" s="1862">
        <f t="shared" si="49"/>
        <v>1652006</v>
      </c>
      <c r="AN282" s="1996"/>
    </row>
    <row r="283" spans="1:40" ht="14.4">
      <c r="AD283" s="1857" t="s">
        <v>1233</v>
      </c>
      <c r="AE283" s="1860">
        <v>46054</v>
      </c>
      <c r="AF283" s="1866">
        <v>1468264</v>
      </c>
      <c r="AG283" s="1998">
        <f t="shared" si="44"/>
        <v>0.24925115</v>
      </c>
      <c r="AH283" s="1861">
        <f t="shared" si="48"/>
        <v>2851009</v>
      </c>
      <c r="AI283" s="1863">
        <f t="shared" si="50"/>
        <v>365966</v>
      </c>
      <c r="AJ283" s="1862">
        <v>31</v>
      </c>
      <c r="AK283" s="1862">
        <f>365-SUM(AJ276:AJ283)+1</f>
        <v>123</v>
      </c>
      <c r="AL283" s="1999">
        <f t="shared" si="46"/>
        <v>123326</v>
      </c>
      <c r="AM283" s="1862">
        <f t="shared" si="49"/>
        <v>1775332</v>
      </c>
      <c r="AN283" s="1996"/>
    </row>
    <row r="284" spans="1:40" ht="14.4">
      <c r="AD284" s="1857" t="s">
        <v>1233</v>
      </c>
      <c r="AE284" s="1860">
        <v>46082</v>
      </c>
      <c r="AF284" s="1866">
        <v>1510495</v>
      </c>
      <c r="AG284" s="1998">
        <f t="shared" si="44"/>
        <v>0.24925115</v>
      </c>
      <c r="AH284" s="1861">
        <f t="shared" si="48"/>
        <v>3227502</v>
      </c>
      <c r="AI284" s="1863">
        <f t="shared" si="50"/>
        <v>376493</v>
      </c>
      <c r="AJ284" s="1862">
        <v>30</v>
      </c>
      <c r="AK284" s="1862">
        <f>365-SUM(AJ276:AJ284)+1</f>
        <v>93</v>
      </c>
      <c r="AL284" s="1999">
        <f t="shared" si="46"/>
        <v>95928</v>
      </c>
      <c r="AM284" s="1862">
        <f t="shared" si="49"/>
        <v>1871260</v>
      </c>
      <c r="AN284" s="1996"/>
    </row>
    <row r="285" spans="1:40" ht="14.4">
      <c r="AD285" s="1857" t="s">
        <v>1233</v>
      </c>
      <c r="AE285" s="1860">
        <v>46113</v>
      </c>
      <c r="AF285" s="1866">
        <v>1485948</v>
      </c>
      <c r="AG285" s="1998">
        <f t="shared" si="44"/>
        <v>0.24925115</v>
      </c>
      <c r="AH285" s="1861">
        <f t="shared" si="48"/>
        <v>3597876</v>
      </c>
      <c r="AI285" s="1863">
        <f t="shared" si="50"/>
        <v>370374</v>
      </c>
      <c r="AJ285" s="1862">
        <v>31</v>
      </c>
      <c r="AK285" s="1862">
        <f>365-SUM(AJ276:AJ285)+1</f>
        <v>62</v>
      </c>
      <c r="AL285" s="1999">
        <f t="shared" si="46"/>
        <v>62913</v>
      </c>
      <c r="AM285" s="1862">
        <f t="shared" si="49"/>
        <v>1934173</v>
      </c>
      <c r="AN285" s="1996"/>
    </row>
    <row r="286" spans="1:40" ht="14.4">
      <c r="AD286" s="1857" t="s">
        <v>1233</v>
      </c>
      <c r="AE286" s="1860">
        <v>46143</v>
      </c>
      <c r="AF286" s="1866">
        <v>1531045</v>
      </c>
      <c r="AG286" s="1998">
        <f t="shared" si="44"/>
        <v>0.24925115</v>
      </c>
      <c r="AH286" s="1861">
        <f t="shared" si="48"/>
        <v>3979491</v>
      </c>
      <c r="AI286" s="1863">
        <f t="shared" si="50"/>
        <v>381615</v>
      </c>
      <c r="AJ286" s="1862">
        <v>30</v>
      </c>
      <c r="AK286" s="1862">
        <f>365-SUM(AJ276:AJ286)+1</f>
        <v>32</v>
      </c>
      <c r="AL286" s="1999">
        <f t="shared" si="46"/>
        <v>33457</v>
      </c>
      <c r="AM286" s="1862">
        <f>+AM285+AL286</f>
        <v>1967630</v>
      </c>
      <c r="AN286" s="1996"/>
    </row>
    <row r="287" spans="1:40" ht="14.4">
      <c r="AD287" s="1857" t="s">
        <v>1233</v>
      </c>
      <c r="AE287" s="1860">
        <v>46174</v>
      </c>
      <c r="AF287" s="1997">
        <v>1555901</v>
      </c>
      <c r="AG287" s="1998">
        <f t="shared" si="44"/>
        <v>0.24925115</v>
      </c>
      <c r="AH287" s="1861">
        <f t="shared" si="48"/>
        <v>4367301</v>
      </c>
      <c r="AI287" s="1863">
        <f t="shared" si="50"/>
        <v>387810</v>
      </c>
      <c r="AJ287" s="1862">
        <v>31</v>
      </c>
      <c r="AK287" s="1862">
        <f>365-SUM(AJ276:AJ287)+1</f>
        <v>1</v>
      </c>
      <c r="AL287" s="1999">
        <f t="shared" si="46"/>
        <v>1062</v>
      </c>
      <c r="AM287" s="1862">
        <f t="shared" ref="AM287" si="51">+AM286+AL287</f>
        <v>1968692</v>
      </c>
      <c r="AN287" s="1996"/>
    </row>
    <row r="288" spans="1:40" ht="15" thickBot="1">
      <c r="AD288" s="1862" t="s">
        <v>1234</v>
      </c>
      <c r="AE288" s="1847"/>
      <c r="AF288" s="1995">
        <f>SUM(AF276:AF287)</f>
        <v>17521691</v>
      </c>
      <c r="AG288" s="2000"/>
      <c r="AH288" s="2122">
        <f>ROUND(SUM(AH276:AH287)/13,0)</f>
        <v>2133454</v>
      </c>
      <c r="AI288" s="1863"/>
      <c r="AJ288" s="1864">
        <f>SUM(AJ276:AJ287)</f>
        <v>365</v>
      </c>
      <c r="AK288" s="1862"/>
      <c r="AL288" s="2123">
        <f>SUM(AL276:AL287)</f>
        <v>1968692</v>
      </c>
      <c r="AM288" s="2124">
        <f>+AM287</f>
        <v>1968692</v>
      </c>
      <c r="AN288" s="1840"/>
    </row>
    <row r="289" spans="30:40" ht="15" thickTop="1">
      <c r="AD289" s="1840"/>
      <c r="AE289" s="1840"/>
      <c r="AF289" s="1839"/>
      <c r="AG289" s="1838"/>
      <c r="AH289" s="1842" t="s">
        <v>382</v>
      </c>
      <c r="AI289" s="1842"/>
      <c r="AJ289" s="1843"/>
      <c r="AK289" s="1843"/>
      <c r="AL289" s="1844"/>
      <c r="AM289" s="1845"/>
      <c r="AN289" s="1846"/>
    </row>
  </sheetData>
  <phoneticPr fontId="19" type="noConversion"/>
  <hyperlinks>
    <hyperlink ref="A6" location="Sch_A" display="." xr:uid="{00000000-0004-0000-1D00-000000000000}"/>
  </hyperlinks>
  <pageMargins left="1" right="0.5" top="1" bottom="0.25" header="0.5" footer="0.5"/>
  <pageSetup orientation="landscape" blackAndWhite="1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5">
    <tabColor theme="4" tint="0.39997558519241921"/>
    <pageSetUpPr fitToPage="1"/>
  </sheetPr>
  <dimension ref="A1:AE104"/>
  <sheetViews>
    <sheetView zoomScale="106" zoomScaleNormal="106" workbookViewId="0"/>
  </sheetViews>
  <sheetFormatPr defaultColWidth="8" defaultRowHeight="13.2"/>
  <cols>
    <col min="1" max="1" width="7.44140625" customWidth="1"/>
    <col min="2" max="2" width="1" customWidth="1"/>
    <col min="3" max="3" width="11.5546875" customWidth="1"/>
    <col min="4" max="4" width="1" customWidth="1"/>
    <col min="5" max="5" width="49" customWidth="1"/>
    <col min="6" max="6" width="2.5546875" customWidth="1"/>
    <col min="7" max="7" width="16.44140625" customWidth="1"/>
    <col min="8" max="8" width="0.5546875" customWidth="1"/>
    <col min="9" max="9" width="16" customWidth="1"/>
    <col min="10" max="10" width="0.5546875" customWidth="1"/>
    <col min="11" max="11" width="57.5546875" customWidth="1"/>
    <col min="12" max="12" width="7.5546875" customWidth="1"/>
    <col min="13" max="13" width="1.44140625" customWidth="1"/>
    <col min="14" max="14" width="39" customWidth="1"/>
    <col min="15" max="15" width="20.44140625" customWidth="1"/>
    <col min="16" max="17" width="17.44140625" customWidth="1"/>
    <col min="18" max="18" width="21.44140625" customWidth="1"/>
    <col min="19" max="19" width="5.44140625" customWidth="1"/>
    <col min="20" max="20" width="19.44140625" customWidth="1"/>
    <col min="21" max="21" width="16.5546875" customWidth="1"/>
    <col min="22" max="22" width="8.44140625" customWidth="1"/>
    <col min="23" max="23" width="1.44140625" customWidth="1"/>
    <col min="24" max="24" width="11.44140625" customWidth="1"/>
    <col min="25" max="25" width="0.5546875" customWidth="1"/>
    <col min="26" max="26" width="40.44140625" customWidth="1"/>
    <col min="27" max="27" width="52.44140625" customWidth="1"/>
    <col min="28" max="28" width="1.44140625" customWidth="1"/>
    <col min="29" max="29" width="44.44140625" customWidth="1"/>
  </cols>
  <sheetData>
    <row r="1" spans="1:31">
      <c r="A1" s="1089" t="str">
        <f>COMPANY</f>
        <v>DUKE ENERGY KENTUCKY, INC.</v>
      </c>
      <c r="B1" s="1089"/>
      <c r="C1" s="1089"/>
      <c r="D1" s="1089"/>
      <c r="E1" s="1089"/>
      <c r="F1" s="1089"/>
      <c r="G1" s="1089"/>
      <c r="H1" s="1089"/>
      <c r="I1" s="1089"/>
      <c r="J1" s="1089"/>
      <c r="K1" s="1089"/>
      <c r="L1" s="1090"/>
      <c r="M1" s="1090"/>
      <c r="N1" s="1090"/>
      <c r="O1" s="1090"/>
      <c r="P1" s="1090"/>
      <c r="Q1" s="1090"/>
      <c r="R1" s="1090"/>
      <c r="S1" s="1090"/>
      <c r="T1" s="1090"/>
      <c r="U1" s="1090"/>
      <c r="V1" s="1090"/>
      <c r="W1" s="1090"/>
      <c r="X1" s="1090"/>
      <c r="Y1" s="1090"/>
      <c r="Z1" s="1090"/>
      <c r="AA1" s="1090"/>
      <c r="AB1" s="1090"/>
      <c r="AC1" s="1090"/>
      <c r="AD1" s="1090"/>
      <c r="AE1" s="1090"/>
    </row>
    <row r="2" spans="1:31">
      <c r="A2" s="1089" t="str">
        <f>CASE</f>
        <v>CASE NO. 2024-00354</v>
      </c>
      <c r="B2" s="1089"/>
      <c r="C2" s="1089"/>
      <c r="D2" s="1089"/>
      <c r="E2" s="1089"/>
      <c r="F2" s="1089"/>
      <c r="G2" s="1089"/>
      <c r="H2" s="1089"/>
      <c r="I2" s="1089"/>
      <c r="J2" s="1089"/>
      <c r="K2" s="1089"/>
      <c r="L2" s="1090"/>
      <c r="M2" s="1090"/>
      <c r="N2" s="1090"/>
      <c r="O2" s="1090"/>
      <c r="P2" s="1090"/>
      <c r="Q2" s="1090"/>
      <c r="R2" s="1090"/>
      <c r="S2" s="1090"/>
      <c r="T2" s="1090"/>
      <c r="U2" s="1090"/>
      <c r="V2" s="1090"/>
      <c r="W2" s="1090"/>
      <c r="X2" s="1090"/>
      <c r="Y2" s="1090"/>
      <c r="Z2" s="1090"/>
      <c r="AA2" s="1090"/>
      <c r="AB2" s="1090"/>
      <c r="AC2" s="1090"/>
      <c r="AD2" s="1090"/>
      <c r="AE2" s="1090"/>
    </row>
    <row r="3" spans="1:31">
      <c r="A3" s="1089" t="s">
        <v>1235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90"/>
      <c r="M3" s="1090"/>
      <c r="N3" s="1090"/>
      <c r="O3" s="1090"/>
      <c r="P3" s="1090"/>
      <c r="Q3" s="1090"/>
      <c r="R3" s="1090"/>
      <c r="S3" s="1090"/>
      <c r="T3" s="1090"/>
      <c r="U3" s="1090"/>
      <c r="V3" s="1090"/>
      <c r="W3" s="1090"/>
      <c r="X3" s="1090"/>
      <c r="Y3" s="1090"/>
      <c r="Z3" s="1090"/>
      <c r="AA3" s="1090"/>
      <c r="AB3" s="1090"/>
      <c r="AC3" s="1090"/>
      <c r="AD3" s="1090"/>
      <c r="AE3" s="1090"/>
    </row>
    <row r="4" spans="1:31">
      <c r="A4" s="1089" t="str">
        <f>PeriodF</f>
        <v>FOR THE TWELVE MONTHS ENDED JUNE 30, 2026</v>
      </c>
      <c r="B4" s="1089"/>
      <c r="C4" s="1089"/>
      <c r="D4" s="1089"/>
      <c r="E4" s="1089"/>
      <c r="F4" s="1089"/>
      <c r="G4" s="1089"/>
      <c r="H4" s="1089"/>
      <c r="I4" s="1089"/>
      <c r="J4" s="1089"/>
      <c r="K4" s="1089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</row>
    <row r="5" spans="1:31">
      <c r="A5" s="1393" t="s">
        <v>55</v>
      </c>
      <c r="B5" s="1090"/>
      <c r="C5" s="1090"/>
      <c r="D5" s="1090"/>
      <c r="E5" s="1090"/>
      <c r="F5" s="1090"/>
      <c r="G5" s="1090"/>
      <c r="H5" s="1090"/>
      <c r="I5" s="1090"/>
      <c r="J5" s="1090"/>
      <c r="K5" s="1090"/>
      <c r="L5" s="1090"/>
      <c r="M5" s="1090"/>
      <c r="N5" s="1090"/>
      <c r="O5" s="1090"/>
      <c r="P5" s="1090"/>
      <c r="Q5" s="1090"/>
      <c r="R5" s="1090"/>
      <c r="S5" s="1090"/>
      <c r="T5" s="1090"/>
      <c r="U5" s="1090"/>
      <c r="V5" s="1090"/>
      <c r="W5" s="1090"/>
      <c r="X5" s="1090"/>
      <c r="Y5" s="1090"/>
      <c r="Z5" s="1090"/>
      <c r="AA5" s="1090"/>
      <c r="AB5" s="1090"/>
      <c r="AC5" s="1090"/>
      <c r="AD5" s="1090"/>
      <c r="AE5" s="1090"/>
    </row>
    <row r="6" spans="1:31">
      <c r="A6" s="1090" t="str">
        <f>DataF</f>
        <v>DATA:  BASE PERIOD  "X" FORECASTED PERIOD</v>
      </c>
      <c r="B6" s="1090"/>
      <c r="C6" s="1090"/>
      <c r="D6" s="1090"/>
      <c r="E6" s="1090"/>
      <c r="F6" s="1090"/>
      <c r="G6" s="1090"/>
      <c r="H6" s="1090"/>
      <c r="I6" s="1090"/>
      <c r="J6" s="1090"/>
      <c r="K6" s="1091" t="s">
        <v>1236</v>
      </c>
      <c r="L6" s="1090"/>
      <c r="M6" s="1090"/>
      <c r="N6" s="1090"/>
      <c r="O6" s="1090"/>
      <c r="P6" s="1090"/>
      <c r="Q6" s="1090"/>
      <c r="R6" s="1090"/>
      <c r="S6" s="1090"/>
      <c r="T6" s="1090"/>
      <c r="U6" s="1090"/>
      <c r="V6" s="1090"/>
      <c r="W6" s="1090"/>
      <c r="X6" s="1090"/>
      <c r="Y6" s="1090"/>
      <c r="Z6" s="1090"/>
      <c r="AA6" s="1090"/>
      <c r="AB6" s="1090"/>
      <c r="AC6" s="1090"/>
      <c r="AD6" s="1090"/>
      <c r="AE6" s="1090"/>
    </row>
    <row r="7" spans="1:31">
      <c r="A7" s="1090" t="str">
        <f>Type</f>
        <v xml:space="preserve">TYPE OF FILING:  "X" ORIGINAL   UPDATED    REVISED  </v>
      </c>
      <c r="B7" s="1090"/>
      <c r="C7" s="1090"/>
      <c r="D7" s="1090"/>
      <c r="E7" s="1090"/>
      <c r="F7" s="1090"/>
      <c r="G7" s="1090"/>
      <c r="H7" s="1090"/>
      <c r="I7" s="1090"/>
      <c r="J7" s="1090"/>
      <c r="K7" s="1091" t="s">
        <v>1237</v>
      </c>
      <c r="L7" s="1090"/>
      <c r="M7" s="1090"/>
      <c r="N7" s="1090"/>
      <c r="O7" s="1090"/>
      <c r="P7" s="1090"/>
      <c r="Q7" s="1090"/>
      <c r="R7" s="1090"/>
      <c r="S7" s="1090"/>
      <c r="T7" s="1090"/>
      <c r="U7" s="1090"/>
      <c r="V7" s="1090"/>
      <c r="W7" s="1090"/>
      <c r="X7" s="1090"/>
      <c r="Y7" s="1090"/>
      <c r="Z7" s="1090"/>
      <c r="AA7" s="1090"/>
      <c r="AB7" s="1090"/>
      <c r="AC7" s="1090"/>
      <c r="AD7" s="1090"/>
      <c r="AE7" s="1090"/>
    </row>
    <row r="8" spans="1:31">
      <c r="A8" s="1091" t="s">
        <v>694</v>
      </c>
      <c r="B8" s="1090"/>
      <c r="C8" s="1090"/>
      <c r="D8" s="1090"/>
      <c r="E8" s="1090"/>
      <c r="F8" s="1090"/>
      <c r="G8" s="1090"/>
      <c r="H8" s="1090"/>
      <c r="I8" s="1090"/>
      <c r="J8" s="1090"/>
      <c r="K8" s="1091" t="s">
        <v>1238</v>
      </c>
      <c r="L8" s="1090"/>
      <c r="M8" s="1090"/>
      <c r="N8" s="1090"/>
      <c r="O8" s="1090"/>
      <c r="P8" s="1090"/>
      <c r="Q8" s="1090"/>
      <c r="R8" s="1090"/>
      <c r="S8" s="1090"/>
      <c r="T8" s="1090"/>
      <c r="U8" s="1090"/>
      <c r="V8" s="1090"/>
      <c r="W8" s="1090"/>
      <c r="X8" s="1090"/>
      <c r="Y8" s="1090"/>
      <c r="Z8" s="1090"/>
      <c r="AA8" s="1090"/>
      <c r="AB8" s="1090"/>
      <c r="AC8" s="1090"/>
      <c r="AD8" s="1090"/>
      <c r="AE8" s="1090"/>
    </row>
    <row r="9" spans="1:31">
      <c r="A9" s="1090"/>
      <c r="B9" s="1090"/>
      <c r="C9" s="1090"/>
      <c r="D9" s="1090"/>
      <c r="E9" s="1090"/>
      <c r="F9" s="1090"/>
      <c r="G9" s="1090"/>
      <c r="H9" s="1090"/>
      <c r="I9" s="1090"/>
      <c r="J9" s="1090"/>
      <c r="K9" s="1091" t="str">
        <f>"                "&amp;_WIT2</f>
        <v xml:space="preserve">                J. E. ZIOLKOWSKI</v>
      </c>
      <c r="L9" s="1090"/>
      <c r="M9" s="1090"/>
      <c r="N9" s="1090"/>
      <c r="O9" s="1090"/>
      <c r="P9" s="1090"/>
      <c r="Q9" s="1090"/>
      <c r="R9" s="1090"/>
      <c r="S9" s="1090"/>
      <c r="T9" s="1090"/>
      <c r="U9" s="1090"/>
      <c r="V9" s="1090"/>
      <c r="W9" s="1090"/>
      <c r="X9" s="1090"/>
      <c r="Y9" s="1090"/>
      <c r="Z9" s="1090"/>
      <c r="AA9" s="1090"/>
      <c r="AB9" s="1090"/>
      <c r="AC9" s="1090"/>
      <c r="AD9" s="1090"/>
      <c r="AE9" s="1090"/>
    </row>
    <row r="10" spans="1:31">
      <c r="A10" s="1486"/>
      <c r="B10" s="1486"/>
      <c r="C10" s="1486"/>
      <c r="D10" s="1486"/>
      <c r="E10" s="1486"/>
      <c r="F10" s="1486"/>
      <c r="G10" s="1486"/>
      <c r="H10" s="1486"/>
      <c r="I10" s="1486"/>
      <c r="J10" s="1486"/>
      <c r="K10" s="1486"/>
      <c r="L10" s="1092"/>
      <c r="M10" s="1090"/>
      <c r="N10" s="1090"/>
      <c r="O10" s="1090"/>
      <c r="P10" s="1090"/>
      <c r="Q10" s="1090"/>
      <c r="R10" s="1090"/>
      <c r="S10" s="1090"/>
      <c r="T10" s="1090"/>
      <c r="U10" s="1090"/>
      <c r="V10" s="1090"/>
      <c r="W10" s="1090"/>
      <c r="X10" s="1090"/>
      <c r="Y10" s="1090"/>
      <c r="Z10" s="1090"/>
      <c r="AA10" s="1090"/>
      <c r="AB10" s="1090"/>
      <c r="AC10" s="1090"/>
      <c r="AD10" s="1090"/>
      <c r="AE10" s="1090"/>
    </row>
    <row r="11" spans="1:31">
      <c r="A11" s="1090"/>
      <c r="B11" s="1090"/>
      <c r="C11" s="1090"/>
      <c r="D11" s="1090"/>
      <c r="E11" s="1090"/>
      <c r="F11" s="1090"/>
      <c r="G11" s="1090"/>
      <c r="H11" s="1090"/>
      <c r="I11" s="1090"/>
      <c r="J11" s="1093"/>
      <c r="K11" s="1093" t="s">
        <v>1239</v>
      </c>
      <c r="L11" s="1090"/>
      <c r="M11" s="1090"/>
      <c r="N11" s="1090"/>
      <c r="O11" s="1090"/>
      <c r="P11" s="1090"/>
      <c r="Q11" s="1090"/>
      <c r="R11" s="1090"/>
      <c r="S11" s="1090"/>
      <c r="T11" s="1090"/>
      <c r="U11" s="1090"/>
      <c r="V11" s="1090"/>
      <c r="W11" s="1090"/>
      <c r="X11" s="1090"/>
      <c r="Y11" s="1090"/>
      <c r="Z11" s="1090"/>
      <c r="AA11" s="1090"/>
      <c r="AB11" s="1090"/>
      <c r="AC11" s="1090"/>
      <c r="AD11" s="1090"/>
      <c r="AE11" s="1090"/>
    </row>
    <row r="12" spans="1:31">
      <c r="A12" s="1093" t="s">
        <v>471</v>
      </c>
      <c r="B12" s="1090"/>
      <c r="C12" s="1093" t="s">
        <v>1045</v>
      </c>
      <c r="D12" s="1090"/>
      <c r="E12" s="1093" t="s">
        <v>1045</v>
      </c>
      <c r="F12" s="1090"/>
      <c r="G12" s="1089" t="s">
        <v>937</v>
      </c>
      <c r="H12" s="1089"/>
      <c r="I12" s="1089"/>
      <c r="J12" s="1093"/>
      <c r="K12" s="1093" t="s">
        <v>1240</v>
      </c>
      <c r="L12" s="1090"/>
      <c r="M12" s="1090"/>
      <c r="N12" s="1090"/>
      <c r="O12" s="1090"/>
      <c r="P12" s="1090"/>
      <c r="Q12" s="1090"/>
      <c r="R12" s="1090"/>
      <c r="S12" s="1090"/>
      <c r="T12" s="1090"/>
      <c r="U12" s="1090"/>
      <c r="V12" s="1090"/>
      <c r="W12" s="1090"/>
      <c r="X12" s="1090"/>
      <c r="Y12" s="1090"/>
      <c r="Z12" s="1090"/>
      <c r="AA12" s="1090"/>
      <c r="AB12" s="1090"/>
      <c r="AC12" s="1090"/>
      <c r="AD12" s="1090"/>
      <c r="AE12" s="1090"/>
    </row>
    <row r="13" spans="1:31">
      <c r="A13" s="1093" t="s">
        <v>475</v>
      </c>
      <c r="B13" s="1090"/>
      <c r="C13" s="1093" t="s">
        <v>941</v>
      </c>
      <c r="D13" s="1090"/>
      <c r="E13" s="1093" t="s">
        <v>1241</v>
      </c>
      <c r="F13" s="1090"/>
      <c r="G13" s="1093" t="s">
        <v>1012</v>
      </c>
      <c r="H13" s="1090"/>
      <c r="I13" s="1093" t="s">
        <v>420</v>
      </c>
      <c r="J13" s="1093"/>
      <c r="K13" s="1093" t="s">
        <v>1008</v>
      </c>
      <c r="L13" s="1090"/>
      <c r="M13" s="1090"/>
      <c r="N13" s="1090"/>
      <c r="O13" s="1090"/>
      <c r="P13" s="1090"/>
      <c r="Q13" s="1090"/>
      <c r="R13" s="1090"/>
      <c r="S13" s="1090"/>
      <c r="T13" s="1090"/>
      <c r="U13" s="1090"/>
      <c r="V13" s="1090"/>
      <c r="W13" s="1090"/>
      <c r="X13" s="1090"/>
      <c r="Y13" s="1090"/>
      <c r="Z13" s="1090"/>
      <c r="AA13" s="1090"/>
      <c r="AB13" s="1090"/>
      <c r="AC13" s="1090"/>
      <c r="AD13" s="1090"/>
      <c r="AE13" s="1090"/>
    </row>
    <row r="14" spans="1:31">
      <c r="A14" s="1486"/>
      <c r="B14" s="1486"/>
      <c r="C14" s="1486"/>
      <c r="D14" s="1486"/>
      <c r="E14" s="1486"/>
      <c r="F14" s="1486"/>
      <c r="G14" s="1486"/>
      <c r="H14" s="1486"/>
      <c r="I14" s="1486"/>
      <c r="J14" s="1486"/>
      <c r="K14" s="1486"/>
      <c r="L14" s="1092"/>
      <c r="M14" s="1090"/>
      <c r="N14" s="1090"/>
      <c r="O14" s="1090"/>
      <c r="P14" s="1090"/>
      <c r="Q14" s="1090"/>
      <c r="R14" s="1090"/>
      <c r="S14" s="1090"/>
      <c r="T14" s="1090"/>
      <c r="U14" s="1090"/>
      <c r="V14" s="1090"/>
      <c r="W14" s="1090"/>
      <c r="X14" s="1090"/>
      <c r="Y14" s="1090"/>
      <c r="Z14" s="1090"/>
      <c r="AA14" s="1090"/>
      <c r="AB14" s="1090"/>
      <c r="AC14" s="1090"/>
      <c r="AD14" s="1090"/>
      <c r="AE14" s="1090"/>
    </row>
    <row r="15" spans="1:31">
      <c r="A15" s="173"/>
      <c r="B15" s="1090"/>
      <c r="C15" s="1093"/>
      <c r="D15" s="1090"/>
      <c r="E15" s="1093"/>
      <c r="F15" s="1090"/>
      <c r="G15" s="1093"/>
      <c r="H15" s="1090"/>
      <c r="I15" s="1093"/>
      <c r="J15" s="1090"/>
      <c r="K15" s="1093"/>
      <c r="L15" s="1090"/>
      <c r="M15" s="1090"/>
      <c r="N15" s="1090"/>
      <c r="O15" s="1090"/>
      <c r="P15" s="1090"/>
      <c r="Q15" s="1090"/>
      <c r="R15" s="1090"/>
      <c r="S15" s="1090"/>
      <c r="T15" s="1090"/>
      <c r="U15" s="1090"/>
      <c r="V15" s="1090"/>
      <c r="W15" s="1090"/>
      <c r="X15" s="1090"/>
      <c r="Y15" s="1090"/>
      <c r="Z15" s="1090"/>
      <c r="AA15" s="1090"/>
      <c r="AB15" s="1090"/>
      <c r="AC15" s="1090"/>
      <c r="AD15" s="1090"/>
      <c r="AE15" s="1090"/>
    </row>
    <row r="16" spans="1:31">
      <c r="A16" s="1090"/>
      <c r="B16" s="1090"/>
      <c r="C16" s="1090"/>
      <c r="D16" s="1090"/>
      <c r="E16" s="1090"/>
      <c r="F16" s="1090"/>
      <c r="G16" s="1090"/>
      <c r="H16" s="1090"/>
      <c r="I16" s="1090"/>
      <c r="J16" s="1090"/>
      <c r="K16" s="1090"/>
      <c r="L16" s="1090"/>
      <c r="M16" s="1090"/>
      <c r="N16" s="1090"/>
      <c r="O16" s="1090"/>
      <c r="P16" s="1090"/>
      <c r="Q16" s="1090"/>
      <c r="R16" s="1090"/>
      <c r="S16" s="1090"/>
      <c r="T16" s="1090"/>
      <c r="U16" s="1090"/>
      <c r="V16" s="1090"/>
      <c r="W16" s="1090"/>
      <c r="X16" s="1090"/>
      <c r="Y16" s="1090"/>
      <c r="Z16" s="1090"/>
      <c r="AA16" s="1090"/>
      <c r="AB16" s="1090"/>
      <c r="AC16" s="1090"/>
      <c r="AD16" s="1090"/>
      <c r="AE16" s="1090"/>
    </row>
    <row r="17" spans="1:31">
      <c r="A17" s="174"/>
      <c r="B17" s="1090"/>
      <c r="C17" s="173"/>
      <c r="D17" s="1090"/>
      <c r="E17" s="1090"/>
      <c r="F17" s="1090"/>
      <c r="G17" s="1094"/>
      <c r="H17" s="1090"/>
      <c r="I17" s="175"/>
      <c r="J17" s="174"/>
      <c r="K17" s="176"/>
      <c r="L17" s="1090"/>
      <c r="M17" s="1090"/>
      <c r="N17" s="1090"/>
      <c r="O17" s="1090"/>
      <c r="P17" s="1090"/>
      <c r="Q17" s="1090"/>
      <c r="R17" s="1090"/>
      <c r="S17" s="1090"/>
      <c r="T17" s="1090"/>
      <c r="U17" s="1090"/>
      <c r="V17" s="1090"/>
      <c r="W17" s="1090"/>
      <c r="X17" s="1090"/>
      <c r="Y17" s="1090"/>
      <c r="Z17" s="1090"/>
      <c r="AA17" s="1090"/>
      <c r="AB17" s="1090"/>
      <c r="AC17" s="1090"/>
      <c r="AD17" s="1090"/>
      <c r="AE17" s="1090"/>
    </row>
    <row r="18" spans="1:31">
      <c r="A18" s="1089" t="s">
        <v>1242</v>
      </c>
      <c r="B18" s="1089"/>
      <c r="C18" s="1089"/>
      <c r="D18" s="1089"/>
      <c r="E18" s="1089"/>
      <c r="F18" s="1089"/>
      <c r="G18" s="1089"/>
      <c r="H18" s="1089"/>
      <c r="I18" s="1089"/>
      <c r="J18" s="1089"/>
      <c r="K18" s="1089"/>
      <c r="L18" s="1090"/>
      <c r="M18" s="1090"/>
      <c r="N18" s="1090"/>
      <c r="O18" s="1090"/>
      <c r="P18" s="1090"/>
      <c r="Q18" s="1090"/>
      <c r="R18" s="1090"/>
      <c r="S18" s="1090"/>
      <c r="T18" s="1090"/>
      <c r="U18" s="1090"/>
      <c r="V18" s="1090"/>
      <c r="W18" s="1090"/>
      <c r="X18" s="1090"/>
      <c r="Y18" s="1090"/>
      <c r="Z18" s="1090"/>
      <c r="AA18" s="1090"/>
      <c r="AB18" s="1090"/>
      <c r="AC18" s="1090"/>
      <c r="AD18" s="1090"/>
      <c r="AE18" s="1090"/>
    </row>
    <row r="19" spans="1:31">
      <c r="A19" s="174"/>
      <c r="B19" s="1090"/>
      <c r="C19" s="173"/>
      <c r="D19" s="1090"/>
      <c r="E19" s="1091"/>
      <c r="F19" s="1090"/>
      <c r="G19" s="1094"/>
      <c r="H19" s="1090"/>
      <c r="I19" s="174"/>
      <c r="J19" s="1090"/>
      <c r="K19" s="1090"/>
      <c r="L19" s="1090"/>
      <c r="M19" s="1090"/>
      <c r="N19" s="1090"/>
      <c r="O19" s="1090"/>
      <c r="P19" s="1090"/>
      <c r="Q19" s="1090"/>
      <c r="R19" s="1090"/>
      <c r="S19" s="1090"/>
      <c r="T19" s="1090"/>
      <c r="U19" s="1090"/>
      <c r="V19" s="1090"/>
      <c r="W19" s="1090"/>
      <c r="X19" s="1090"/>
      <c r="Y19" s="1090"/>
      <c r="Z19" s="1090"/>
      <c r="AA19" s="1090"/>
      <c r="AB19" s="1090"/>
      <c r="AC19" s="1090"/>
      <c r="AD19" s="1090"/>
      <c r="AE19" s="1090"/>
    </row>
    <row r="20" spans="1:31">
      <c r="A20" s="174"/>
      <c r="B20" s="1090"/>
      <c r="C20" s="173"/>
      <c r="D20" s="1090"/>
      <c r="E20" s="1091"/>
      <c r="F20" s="1090"/>
      <c r="G20" s="1094"/>
      <c r="H20" s="1090"/>
      <c r="I20" s="175"/>
      <c r="J20" s="174"/>
      <c r="K20" s="176"/>
      <c r="L20" s="1090"/>
      <c r="M20" s="1090"/>
      <c r="N20" s="1090"/>
      <c r="O20" s="1090"/>
      <c r="P20" s="1090"/>
      <c r="Q20" s="1090"/>
      <c r="R20" s="1090"/>
      <c r="S20" s="1090"/>
      <c r="T20" s="1090"/>
      <c r="U20" s="1090"/>
      <c r="V20" s="1090"/>
      <c r="W20" s="1090"/>
      <c r="X20" s="1090"/>
      <c r="Y20" s="1090"/>
      <c r="Z20" s="1090"/>
      <c r="AA20" s="1090"/>
      <c r="AB20" s="1090"/>
      <c r="AC20" s="1090"/>
      <c r="AD20" s="1090"/>
      <c r="AE20" s="1090"/>
    </row>
    <row r="21" spans="1:31">
      <c r="A21" s="174"/>
      <c r="B21" s="1090"/>
      <c r="C21" s="173"/>
      <c r="D21" s="1090"/>
      <c r="E21" s="1090"/>
      <c r="F21" s="1090"/>
      <c r="G21" s="1095"/>
      <c r="H21" s="1090"/>
      <c r="I21" s="174"/>
      <c r="J21" s="1090"/>
      <c r="K21" s="1090"/>
      <c r="L21" s="1090"/>
      <c r="M21" s="1090"/>
      <c r="N21" s="1090"/>
      <c r="O21" s="1090"/>
      <c r="P21" s="1090"/>
      <c r="Q21" s="1090"/>
      <c r="R21" s="1090"/>
      <c r="S21" s="1090"/>
      <c r="T21" s="1090"/>
      <c r="U21" s="1090"/>
      <c r="V21" s="1090"/>
      <c r="W21" s="1090"/>
      <c r="X21" s="1090"/>
      <c r="Y21" s="1090"/>
      <c r="Z21" s="1090"/>
      <c r="AA21" s="1090"/>
      <c r="AB21" s="1090"/>
      <c r="AC21" s="1090"/>
      <c r="AD21" s="1090"/>
      <c r="AE21" s="1090"/>
    </row>
    <row r="22" spans="1:31">
      <c r="A22" s="174"/>
      <c r="B22" s="1090"/>
      <c r="C22" s="1093"/>
      <c r="D22" s="1090"/>
      <c r="E22" s="1091"/>
      <c r="F22" s="1090"/>
      <c r="G22" s="1094"/>
      <c r="H22" s="1090"/>
      <c r="I22" s="175"/>
      <c r="J22" s="174"/>
      <c r="K22" s="176"/>
      <c r="L22" s="1090"/>
      <c r="M22" s="1090"/>
      <c r="N22" s="1090"/>
      <c r="O22" s="1090"/>
      <c r="P22" s="1090"/>
      <c r="Q22" s="1090"/>
      <c r="R22" s="1090"/>
      <c r="S22" s="1090"/>
      <c r="T22" s="1090"/>
      <c r="U22" s="1090"/>
      <c r="V22" s="1090"/>
      <c r="W22" s="1090"/>
      <c r="X22" s="1090"/>
      <c r="Y22" s="1090"/>
      <c r="Z22" s="1090"/>
      <c r="AA22" s="1090"/>
      <c r="AB22" s="1090"/>
      <c r="AC22" s="1090"/>
      <c r="AD22" s="1090"/>
      <c r="AE22" s="1090"/>
    </row>
    <row r="23" spans="1:31">
      <c r="A23" s="174"/>
      <c r="B23" s="1090"/>
      <c r="C23" s="1090"/>
      <c r="D23" s="1090"/>
      <c r="E23" s="1091"/>
      <c r="F23" s="1090"/>
      <c r="G23" s="1094"/>
      <c r="H23" s="1090"/>
      <c r="I23" s="175"/>
      <c r="J23" s="174"/>
      <c r="K23" s="176"/>
      <c r="L23" s="1090"/>
      <c r="M23" s="1090"/>
      <c r="N23" s="1090"/>
      <c r="O23" s="1090"/>
      <c r="P23" s="1090"/>
      <c r="Q23" s="1090"/>
      <c r="R23" s="1090"/>
      <c r="S23" s="1090"/>
      <c r="T23" s="1090"/>
      <c r="U23" s="1090"/>
      <c r="V23" s="1090"/>
      <c r="W23" s="1090"/>
      <c r="X23" s="1090"/>
      <c r="Y23" s="1090"/>
      <c r="Z23" s="1090"/>
      <c r="AA23" s="1090"/>
      <c r="AB23" s="1090"/>
      <c r="AC23" s="1090"/>
      <c r="AD23" s="1090"/>
      <c r="AE23" s="1090"/>
    </row>
    <row r="24" spans="1:31">
      <c r="A24" s="174"/>
      <c r="B24" s="1090"/>
      <c r="C24" s="1090"/>
      <c r="D24" s="1090"/>
      <c r="E24" s="1090"/>
      <c r="F24" s="1090"/>
      <c r="G24" s="1095"/>
      <c r="H24" s="1090"/>
      <c r="I24" s="174"/>
      <c r="J24" s="1090"/>
      <c r="K24" s="1090"/>
      <c r="L24" s="1090"/>
      <c r="M24" s="1090"/>
      <c r="N24" s="1090"/>
      <c r="O24" s="1090"/>
      <c r="P24" s="1090"/>
      <c r="Q24" s="1090"/>
      <c r="R24" s="1090"/>
      <c r="S24" s="1090"/>
      <c r="T24" s="1090"/>
      <c r="U24" s="1090"/>
      <c r="V24" s="1090"/>
      <c r="W24" s="1090"/>
      <c r="X24" s="1090"/>
      <c r="Y24" s="1090"/>
      <c r="Z24" s="1090"/>
      <c r="AA24" s="1090"/>
      <c r="AB24" s="1090"/>
      <c r="AC24" s="1090"/>
      <c r="AD24" s="1090"/>
      <c r="AE24" s="1090"/>
    </row>
    <row r="25" spans="1:31">
      <c r="A25" s="174"/>
      <c r="B25" s="1090"/>
      <c r="C25" s="1093"/>
      <c r="D25" s="1090"/>
      <c r="E25" s="1091"/>
      <c r="F25" s="1090"/>
      <c r="G25" s="1095"/>
      <c r="H25" s="1090"/>
      <c r="I25" s="174"/>
      <c r="J25" s="1090"/>
      <c r="K25" s="1090"/>
      <c r="L25" s="1090"/>
      <c r="M25" s="1090"/>
      <c r="N25" s="1090"/>
      <c r="O25" s="1090"/>
      <c r="P25" s="1090"/>
      <c r="Q25" s="1090"/>
      <c r="R25" s="1090"/>
      <c r="S25" s="1090"/>
      <c r="T25" s="1090"/>
      <c r="U25" s="1090"/>
      <c r="V25" s="1090"/>
      <c r="W25" s="1090"/>
      <c r="X25" s="1090"/>
      <c r="Y25" s="1090"/>
      <c r="Z25" s="1090"/>
      <c r="AA25" s="1090"/>
      <c r="AB25" s="1090"/>
      <c r="AC25" s="1090"/>
      <c r="AD25" s="1090"/>
      <c r="AE25" s="1090"/>
    </row>
    <row r="26" spans="1:31">
      <c r="A26" s="174"/>
      <c r="B26" s="1090"/>
      <c r="C26" s="1090"/>
      <c r="D26" s="1090"/>
      <c r="E26" s="1091"/>
      <c r="F26" s="1090"/>
      <c r="G26" s="1094"/>
      <c r="H26" s="1090"/>
      <c r="I26" s="175"/>
      <c r="J26" s="174"/>
      <c r="K26" s="176"/>
      <c r="L26" s="1090"/>
      <c r="M26" s="1090"/>
      <c r="N26" s="1090"/>
      <c r="O26" s="1090"/>
      <c r="P26" s="1090"/>
      <c r="Q26" s="1090"/>
      <c r="R26" s="1090"/>
      <c r="S26" s="1090"/>
      <c r="T26" s="1090"/>
      <c r="U26" s="1090"/>
      <c r="V26" s="1090"/>
      <c r="W26" s="1090"/>
      <c r="X26" s="1090"/>
      <c r="Y26" s="1090"/>
      <c r="Z26" s="1090"/>
      <c r="AA26" s="1090"/>
      <c r="AB26" s="1090"/>
      <c r="AC26" s="1090"/>
      <c r="AD26" s="1090"/>
      <c r="AE26" s="1090"/>
    </row>
    <row r="27" spans="1:31">
      <c r="A27" s="174"/>
      <c r="B27" s="1090"/>
      <c r="C27" s="1090"/>
      <c r="D27" s="1090"/>
      <c r="E27" s="1091"/>
      <c r="F27" s="1090"/>
      <c r="G27" s="1094"/>
      <c r="H27" s="1090"/>
      <c r="I27" s="175"/>
      <c r="J27" s="174"/>
      <c r="K27" s="176"/>
      <c r="L27" s="1090"/>
      <c r="M27" s="1090"/>
      <c r="N27" s="1090"/>
      <c r="O27" s="1090"/>
      <c r="P27" s="1090"/>
      <c r="Q27" s="1090"/>
      <c r="R27" s="1090"/>
      <c r="S27" s="1090"/>
      <c r="T27" s="1090"/>
      <c r="U27" s="1090"/>
      <c r="V27" s="1090"/>
      <c r="W27" s="1090"/>
      <c r="X27" s="1090"/>
      <c r="Y27" s="1090"/>
      <c r="Z27" s="1090"/>
      <c r="AA27" s="1090"/>
      <c r="AB27" s="1090"/>
      <c r="AC27" s="1090"/>
      <c r="AD27" s="1090"/>
      <c r="AE27" s="1090"/>
    </row>
    <row r="28" spans="1:31">
      <c r="A28" s="174"/>
      <c r="B28" s="1090"/>
      <c r="C28" s="1090"/>
      <c r="D28" s="1090"/>
      <c r="E28" s="1091"/>
      <c r="F28" s="1090"/>
      <c r="G28" s="1094"/>
      <c r="H28" s="1090"/>
      <c r="I28" s="175"/>
      <c r="J28" s="174"/>
      <c r="K28" s="176"/>
      <c r="L28" s="1090"/>
      <c r="M28" s="1090"/>
      <c r="N28" s="1090"/>
      <c r="O28" s="1090"/>
      <c r="P28" s="1090"/>
      <c r="Q28" s="1090"/>
      <c r="R28" s="1090"/>
      <c r="S28" s="1090"/>
      <c r="T28" s="1090"/>
      <c r="U28" s="1090"/>
      <c r="V28" s="1090"/>
      <c r="W28" s="1090"/>
      <c r="X28" s="1090"/>
      <c r="Y28" s="1090"/>
      <c r="Z28" s="1090"/>
      <c r="AA28" s="1090"/>
      <c r="AB28" s="1090"/>
      <c r="AC28" s="1090"/>
      <c r="AD28" s="1090"/>
      <c r="AE28" s="1090"/>
    </row>
    <row r="29" spans="1:31">
      <c r="A29" s="174"/>
      <c r="B29" s="1090"/>
      <c r="C29" s="1090"/>
      <c r="D29" s="1090"/>
      <c r="E29" s="1090"/>
      <c r="F29" s="1090"/>
      <c r="G29" s="1095"/>
      <c r="H29" s="1090"/>
      <c r="I29" s="174"/>
      <c r="J29" s="1090"/>
      <c r="K29" s="1090"/>
      <c r="L29" s="1090"/>
      <c r="M29" s="1090"/>
      <c r="N29" s="1090"/>
      <c r="O29" s="1090"/>
      <c r="P29" s="1090"/>
      <c r="Q29" s="1090"/>
      <c r="R29" s="1090"/>
      <c r="S29" s="1090"/>
      <c r="T29" s="1090"/>
      <c r="U29" s="1090"/>
      <c r="V29" s="1090"/>
      <c r="W29" s="1090"/>
      <c r="X29" s="1090"/>
      <c r="Y29" s="1090"/>
      <c r="Z29" s="1090"/>
      <c r="AA29" s="1090"/>
      <c r="AB29" s="1090"/>
      <c r="AC29" s="1090"/>
      <c r="AD29" s="1090"/>
      <c r="AE29" s="1090"/>
    </row>
    <row r="30" spans="1:31">
      <c r="A30" s="174"/>
      <c r="B30" s="1090"/>
      <c r="C30" s="1093"/>
      <c r="D30" s="1090"/>
      <c r="E30" s="1091"/>
      <c r="F30" s="1090"/>
      <c r="G30" s="1095"/>
      <c r="H30" s="1090"/>
      <c r="I30" s="174"/>
      <c r="J30" s="1090"/>
      <c r="K30" s="1090"/>
      <c r="L30" s="1090"/>
      <c r="M30" s="1090"/>
      <c r="N30" s="1090"/>
      <c r="O30" s="1090"/>
      <c r="P30" s="1090"/>
      <c r="Q30" s="1090"/>
      <c r="R30" s="1090"/>
      <c r="S30" s="1090"/>
      <c r="T30" s="1090"/>
      <c r="U30" s="1090"/>
      <c r="V30" s="1090"/>
      <c r="W30" s="1090"/>
      <c r="X30" s="1090"/>
      <c r="Y30" s="1090"/>
      <c r="Z30" s="1090"/>
      <c r="AA30" s="1090"/>
      <c r="AB30" s="1090"/>
      <c r="AC30" s="1090"/>
      <c r="AD30" s="1090"/>
      <c r="AE30" s="1090"/>
    </row>
    <row r="31" spans="1:31">
      <c r="A31" s="174"/>
      <c r="B31" s="1090"/>
      <c r="C31" s="1090"/>
      <c r="D31" s="1090"/>
      <c r="E31" s="1091"/>
      <c r="F31" s="1090"/>
      <c r="G31" s="177"/>
      <c r="H31" s="1090"/>
      <c r="I31" s="175"/>
      <c r="J31" s="174"/>
      <c r="K31" s="176"/>
      <c r="L31" s="1090"/>
      <c r="M31" s="1090"/>
      <c r="N31" s="1090"/>
      <c r="O31" s="1090"/>
      <c r="P31" s="1090"/>
      <c r="Q31" s="1090"/>
      <c r="R31" s="1090"/>
      <c r="S31" s="1090"/>
      <c r="T31" s="1090"/>
      <c r="U31" s="1090"/>
      <c r="V31" s="1090"/>
      <c r="W31" s="1090"/>
      <c r="X31" s="1090"/>
      <c r="Y31" s="1090"/>
      <c r="Z31" s="1090"/>
      <c r="AA31" s="1090"/>
      <c r="AB31" s="1090"/>
      <c r="AC31" s="1090"/>
      <c r="AD31" s="1090"/>
      <c r="AE31" s="1090"/>
    </row>
    <row r="32" spans="1:31">
      <c r="A32" s="174"/>
      <c r="B32" s="1090"/>
      <c r="C32" s="1090"/>
      <c r="D32" s="1090"/>
      <c r="E32" s="1091"/>
      <c r="F32" s="1090"/>
      <c r="G32" s="177"/>
      <c r="H32" s="1090"/>
      <c r="I32" s="175"/>
      <c r="J32" s="174"/>
      <c r="K32" s="176"/>
      <c r="L32" s="1090"/>
      <c r="M32" s="1090"/>
      <c r="N32" s="1090"/>
      <c r="O32" s="1090"/>
      <c r="P32" s="1090"/>
      <c r="Q32" s="1090"/>
      <c r="R32" s="1090"/>
      <c r="S32" s="1090"/>
      <c r="T32" s="1090"/>
      <c r="U32" s="1090"/>
      <c r="V32" s="1090"/>
      <c r="W32" s="1090"/>
      <c r="X32" s="1090"/>
      <c r="Y32" s="1090"/>
      <c r="Z32" s="1090"/>
      <c r="AA32" s="1090"/>
      <c r="AB32" s="1090"/>
      <c r="AC32" s="1090"/>
      <c r="AD32" s="1090"/>
      <c r="AE32" s="1090"/>
    </row>
    <row r="33" spans="1:31">
      <c r="A33" s="174"/>
      <c r="B33" s="1090"/>
      <c r="C33" s="1090"/>
      <c r="D33" s="1090"/>
      <c r="E33" s="1091"/>
      <c r="F33" s="1090"/>
      <c r="G33" s="177"/>
      <c r="H33" s="1090"/>
      <c r="I33" s="175"/>
      <c r="J33" s="174"/>
      <c r="K33" s="176"/>
      <c r="L33" s="1090"/>
      <c r="M33" s="1090"/>
      <c r="N33" s="1090"/>
      <c r="O33" s="1090"/>
      <c r="P33" s="1090"/>
      <c r="Q33" s="1090"/>
      <c r="R33" s="1090"/>
      <c r="S33" s="1090"/>
      <c r="T33" s="1090"/>
      <c r="U33" s="1090"/>
      <c r="V33" s="1090"/>
      <c r="W33" s="1090"/>
      <c r="X33" s="1090"/>
      <c r="Y33" s="1090"/>
      <c r="Z33" s="1090"/>
      <c r="AA33" s="1090"/>
      <c r="AB33" s="1090"/>
      <c r="AC33" s="1090"/>
      <c r="AD33" s="1090"/>
      <c r="AE33" s="1090"/>
    </row>
    <row r="34" spans="1:31">
      <c r="A34" s="174"/>
      <c r="B34" s="1090"/>
      <c r="C34" s="1090"/>
      <c r="D34" s="1090"/>
      <c r="E34" s="1091"/>
      <c r="F34" s="1090"/>
      <c r="G34" s="177"/>
      <c r="H34" s="1090"/>
      <c r="I34" s="178"/>
      <c r="J34" s="174"/>
      <c r="K34" s="176"/>
      <c r="L34" s="1090"/>
      <c r="M34" s="1090"/>
      <c r="N34" s="1090"/>
      <c r="O34" s="1090"/>
      <c r="P34" s="1090"/>
      <c r="Q34" s="1090"/>
      <c r="R34" s="1090"/>
      <c r="S34" s="1090"/>
      <c r="T34" s="1090"/>
      <c r="U34" s="1090"/>
      <c r="V34" s="1090"/>
      <c r="W34" s="1090"/>
      <c r="X34" s="1090"/>
      <c r="Y34" s="1090"/>
      <c r="Z34" s="1090"/>
      <c r="AA34" s="1090"/>
      <c r="AB34" s="1090"/>
      <c r="AC34" s="1090"/>
      <c r="AD34" s="1090"/>
      <c r="AE34" s="1090"/>
    </row>
    <row r="35" spans="1:31">
      <c r="A35" s="1091"/>
      <c r="B35" s="1090"/>
      <c r="C35" s="1090"/>
      <c r="D35" s="1090"/>
      <c r="E35" s="1095"/>
      <c r="F35" s="1090"/>
      <c r="G35" s="1090"/>
      <c r="H35" s="1090"/>
      <c r="I35" s="1090"/>
      <c r="J35" s="1090"/>
      <c r="K35" s="1090"/>
      <c r="L35" s="1090"/>
      <c r="M35" s="1090"/>
      <c r="N35" s="1090"/>
      <c r="O35" s="1090"/>
      <c r="P35" s="1090"/>
      <c r="Q35" s="1090"/>
      <c r="R35" s="1090"/>
      <c r="S35" s="1090"/>
      <c r="T35" s="1090"/>
      <c r="U35" s="1090"/>
      <c r="V35" s="1090"/>
      <c r="W35" s="1090"/>
      <c r="X35" s="1090"/>
      <c r="Y35" s="1090"/>
      <c r="Z35" s="1090"/>
      <c r="AA35" s="1090"/>
      <c r="AB35" s="1090"/>
      <c r="AC35" s="1090"/>
      <c r="AD35" s="1090"/>
      <c r="AE35" s="1090"/>
    </row>
    <row r="36" spans="1:31">
      <c r="A36" s="1090"/>
      <c r="B36" s="1090"/>
      <c r="C36" s="1090"/>
      <c r="D36" s="1090"/>
      <c r="E36" s="1095"/>
      <c r="F36" s="1090"/>
      <c r="G36" s="1090"/>
      <c r="H36" s="1090"/>
      <c r="I36" s="1090"/>
      <c r="J36" s="1090"/>
      <c r="K36" s="1090"/>
      <c r="L36" s="1090"/>
      <c r="M36" s="1090"/>
      <c r="N36" s="1090"/>
      <c r="O36" s="1090"/>
      <c r="P36" s="1090"/>
      <c r="Q36" s="1090"/>
      <c r="R36" s="1090"/>
      <c r="S36" s="1090"/>
      <c r="T36" s="1090"/>
      <c r="U36" s="1090"/>
      <c r="V36" s="1090"/>
      <c r="W36" s="1090"/>
      <c r="X36" s="1090"/>
      <c r="Y36" s="1090"/>
      <c r="Z36" s="1090"/>
      <c r="AA36" s="1090"/>
      <c r="AB36" s="1090"/>
      <c r="AC36" s="1090"/>
      <c r="AD36" s="1090"/>
      <c r="AE36" s="1090"/>
    </row>
    <row r="37" spans="1:31">
      <c r="A37" s="1090"/>
      <c r="B37" s="1090"/>
      <c r="C37" s="1090"/>
      <c r="D37" s="1090"/>
      <c r="E37" s="1095"/>
      <c r="F37" s="1090"/>
      <c r="G37" s="1090"/>
      <c r="H37" s="1090"/>
      <c r="I37" s="1090"/>
      <c r="J37" s="1090"/>
      <c r="K37" s="1090"/>
      <c r="L37" s="1090"/>
      <c r="M37" s="1090"/>
      <c r="N37" s="1090"/>
      <c r="O37" s="1090"/>
      <c r="P37" s="1090"/>
      <c r="Q37" s="1090"/>
      <c r="R37" s="1090"/>
      <c r="S37" s="1090"/>
      <c r="T37" s="1090"/>
      <c r="U37" s="1090"/>
      <c r="V37" s="1090"/>
      <c r="W37" s="1090"/>
      <c r="X37" s="1090"/>
      <c r="Y37" s="1090"/>
      <c r="Z37" s="1090"/>
      <c r="AA37" s="1090"/>
      <c r="AB37" s="1090"/>
      <c r="AC37" s="1090"/>
      <c r="AD37" s="1090"/>
      <c r="AE37" s="1090"/>
    </row>
    <row r="38" spans="1:31">
      <c r="A38" s="1090"/>
      <c r="B38" s="1090"/>
      <c r="C38" s="1090"/>
      <c r="D38" s="1090"/>
      <c r="E38" s="1095"/>
      <c r="F38" s="1090"/>
      <c r="G38" s="1090"/>
      <c r="H38" s="1090"/>
      <c r="I38" s="1090"/>
      <c r="J38" s="1090"/>
      <c r="K38" s="1090"/>
      <c r="L38" s="1090"/>
      <c r="M38" s="1090"/>
      <c r="N38" s="1090"/>
      <c r="O38" s="1090"/>
      <c r="P38" s="1090"/>
      <c r="Q38" s="1090"/>
      <c r="R38" s="1090"/>
      <c r="S38" s="1090"/>
      <c r="T38" s="1090"/>
      <c r="U38" s="1090"/>
      <c r="V38" s="1090"/>
      <c r="W38" s="1090"/>
      <c r="X38" s="1090"/>
      <c r="Y38" s="1090"/>
      <c r="Z38" s="1090"/>
      <c r="AA38" s="1090"/>
      <c r="AB38" s="1090"/>
      <c r="AC38" s="1090"/>
      <c r="AD38" s="1090"/>
      <c r="AE38" s="1090"/>
    </row>
    <row r="39" spans="1:31">
      <c r="A39" s="1090"/>
      <c r="B39" s="1090"/>
      <c r="C39" s="1090"/>
      <c r="D39" s="1090"/>
      <c r="E39" s="1095"/>
      <c r="F39" s="1090"/>
      <c r="G39" s="1090"/>
      <c r="H39" s="1090"/>
      <c r="I39" s="1090"/>
      <c r="J39" s="1090"/>
      <c r="K39" s="1090"/>
      <c r="L39" s="1090"/>
      <c r="M39" s="1090"/>
      <c r="N39" s="1090"/>
      <c r="O39" s="1090"/>
      <c r="P39" s="1090"/>
      <c r="Q39" s="1090"/>
      <c r="R39" s="1090"/>
      <c r="S39" s="1090"/>
      <c r="T39" s="1090"/>
      <c r="U39" s="1090"/>
      <c r="V39" s="1090"/>
      <c r="W39" s="1090"/>
      <c r="X39" s="1090"/>
      <c r="Y39" s="1090"/>
      <c r="Z39" s="1090"/>
      <c r="AA39" s="1090"/>
      <c r="AB39" s="1090"/>
      <c r="AC39" s="1090"/>
      <c r="AD39" s="1090"/>
      <c r="AE39" s="1090"/>
    </row>
    <row r="40" spans="1:31">
      <c r="A40" s="1090"/>
      <c r="B40" s="1090"/>
      <c r="C40" s="1090"/>
      <c r="D40" s="1090"/>
      <c r="E40" s="1095"/>
      <c r="F40" s="1090"/>
      <c r="G40" s="1090"/>
      <c r="H40" s="1090"/>
      <c r="I40" s="1090"/>
      <c r="J40" s="1090"/>
      <c r="K40" s="1090"/>
      <c r="L40" s="1089" t="str">
        <f>LOGO!B5</f>
        <v>DUKE ENERGY KENTUCKY, INC.</v>
      </c>
      <c r="M40" s="1089"/>
      <c r="N40" s="1089"/>
      <c r="O40" s="1089"/>
      <c r="P40" s="1089"/>
      <c r="Q40" s="1089"/>
      <c r="R40" s="1089"/>
      <c r="S40" s="1089"/>
      <c r="T40" s="1089"/>
      <c r="U40" s="1089"/>
      <c r="V40" s="1090"/>
      <c r="W40" s="1090"/>
      <c r="X40" s="1090"/>
      <c r="Y40" s="1090"/>
      <c r="Z40" s="1090"/>
      <c r="AA40" s="1090"/>
      <c r="AB40" s="1090"/>
      <c r="AC40" s="1090"/>
      <c r="AD40" s="1090"/>
      <c r="AE40" s="1090"/>
    </row>
    <row r="41" spans="1:31">
      <c r="A41" s="1090"/>
      <c r="B41" s="1090"/>
      <c r="C41" s="1090"/>
      <c r="D41" s="1090"/>
      <c r="E41" s="1095"/>
      <c r="F41" s="1090"/>
      <c r="G41" s="1090"/>
      <c r="H41" s="1090"/>
      <c r="I41" s="1090"/>
      <c r="J41" s="1090"/>
      <c r="K41" s="1090"/>
      <c r="L41" s="1089" t="str">
        <f>LOGO!B6</f>
        <v>CASE NO. 2024-00354</v>
      </c>
      <c r="M41" s="1089"/>
      <c r="N41" s="1089"/>
      <c r="O41" s="1089"/>
      <c r="P41" s="1089"/>
      <c r="Q41" s="1089"/>
      <c r="R41" s="1089"/>
      <c r="S41" s="1089"/>
      <c r="T41" s="1089"/>
      <c r="U41" s="1089"/>
      <c r="V41" s="1090"/>
      <c r="W41" s="1090"/>
      <c r="X41" s="1090"/>
      <c r="Y41" s="1090"/>
      <c r="Z41" s="1090"/>
      <c r="AA41" s="1090"/>
      <c r="AB41" s="1090"/>
      <c r="AC41" s="1090"/>
      <c r="AD41" s="1090"/>
      <c r="AE41" s="1090"/>
    </row>
    <row r="42" spans="1:31">
      <c r="A42" s="1090"/>
      <c r="B42" s="1090"/>
      <c r="C42" s="1090"/>
      <c r="D42" s="1090"/>
      <c r="E42" s="1095"/>
      <c r="F42" s="1090"/>
      <c r="G42" s="1090"/>
      <c r="H42" s="1090"/>
      <c r="I42" s="1090"/>
      <c r="J42" s="1090"/>
      <c r="K42" s="1090"/>
      <c r="L42" s="1089" t="s">
        <v>1243</v>
      </c>
      <c r="M42" s="1089"/>
      <c r="N42" s="1089"/>
      <c r="O42" s="1089"/>
      <c r="P42" s="1089"/>
      <c r="Q42" s="1089"/>
      <c r="R42" s="1089"/>
      <c r="S42" s="1089"/>
      <c r="T42" s="1089"/>
      <c r="U42" s="1089"/>
      <c r="V42" s="1090"/>
      <c r="W42" s="1090"/>
      <c r="X42" s="1090"/>
      <c r="Y42" s="1090"/>
      <c r="Z42" s="1090"/>
      <c r="AA42" s="1090"/>
      <c r="AB42" s="1090"/>
      <c r="AC42" s="1090"/>
      <c r="AD42" s="1090"/>
      <c r="AE42" s="1090"/>
    </row>
    <row r="43" spans="1:31">
      <c r="A43" s="1090"/>
      <c r="B43" s="1090"/>
      <c r="C43" s="1090"/>
      <c r="D43" s="1090"/>
      <c r="E43" s="1095"/>
      <c r="F43" s="1090"/>
      <c r="G43" s="1090"/>
      <c r="H43" s="1090"/>
      <c r="I43" s="1090"/>
      <c r="J43" s="1090"/>
      <c r="K43" s="1090"/>
      <c r="L43" s="1089" t="str">
        <f>LOGO!B8</f>
        <v>FOR THE TWELVE MONTHS ENDED JUNE 30, 2026</v>
      </c>
      <c r="M43" s="1089"/>
      <c r="N43" s="1089"/>
      <c r="O43" s="1089"/>
      <c r="P43" s="1089"/>
      <c r="Q43" s="1089"/>
      <c r="R43" s="1089"/>
      <c r="S43" s="1089"/>
      <c r="T43" s="1089"/>
      <c r="U43" s="1089"/>
      <c r="V43" s="1090"/>
      <c r="W43" s="1090"/>
      <c r="X43" s="1090"/>
      <c r="Y43" s="1090"/>
      <c r="Z43" s="1090"/>
      <c r="AA43" s="1090"/>
      <c r="AB43" s="1090"/>
      <c r="AC43" s="1090"/>
      <c r="AD43" s="1090"/>
      <c r="AE43" s="1090"/>
    </row>
    <row r="44" spans="1:31">
      <c r="A44" s="1090"/>
      <c r="B44" s="1090"/>
      <c r="C44" s="1090"/>
      <c r="D44" s="1090"/>
      <c r="E44" s="1095"/>
      <c r="F44" s="1090"/>
      <c r="G44" s="1090"/>
      <c r="H44" s="1090"/>
      <c r="I44" s="1090"/>
      <c r="J44" s="1090"/>
      <c r="K44" s="1090"/>
      <c r="L44" s="1090"/>
      <c r="M44" s="1090"/>
      <c r="N44" s="1090"/>
      <c r="O44" s="1090"/>
      <c r="P44" s="1090"/>
      <c r="Q44" s="1090"/>
      <c r="R44" s="1090"/>
      <c r="S44" s="1090"/>
      <c r="T44" s="1090"/>
      <c r="U44" s="1090"/>
      <c r="V44" s="1090"/>
      <c r="W44" s="1090"/>
      <c r="X44" s="1090"/>
      <c r="Y44" s="1090"/>
      <c r="Z44" s="1090"/>
      <c r="AA44" s="1090"/>
      <c r="AB44" s="1090"/>
      <c r="AC44" s="1090"/>
      <c r="AD44" s="1090"/>
      <c r="AE44" s="1090"/>
    </row>
    <row r="45" spans="1:31">
      <c r="A45" s="1090"/>
      <c r="B45" s="1090"/>
      <c r="C45" s="1090"/>
      <c r="D45" s="1090"/>
      <c r="E45" s="1095"/>
      <c r="F45" s="1090"/>
      <c r="G45" s="1090"/>
      <c r="H45" s="1090"/>
      <c r="I45" s="1090"/>
      <c r="J45" s="1090"/>
      <c r="K45" s="1090"/>
      <c r="L45" s="1090" t="str">
        <f>LOGO!B12</f>
        <v>DATA: "X" BASE PERIOD   FORECASTED PERIOD</v>
      </c>
      <c r="M45" s="1090"/>
      <c r="N45" s="1090"/>
      <c r="O45" s="1090"/>
      <c r="P45" s="1090"/>
      <c r="Q45" s="1090"/>
      <c r="R45" s="1090"/>
      <c r="S45" s="1090"/>
      <c r="T45" s="1091" t="s">
        <v>1244</v>
      </c>
      <c r="U45" s="1090"/>
      <c r="V45" s="1090"/>
      <c r="W45" s="1090"/>
      <c r="X45" s="1090"/>
      <c r="Y45" s="1090"/>
      <c r="Z45" s="1090"/>
      <c r="AA45" s="1090"/>
      <c r="AB45" s="1090"/>
      <c r="AC45" s="1090"/>
      <c r="AD45" s="1090"/>
      <c r="AE45" s="1090"/>
    </row>
    <row r="46" spans="1:31">
      <c r="A46" s="1090"/>
      <c r="B46" s="1090"/>
      <c r="C46" s="1090"/>
      <c r="D46" s="1090"/>
      <c r="E46" s="1095"/>
      <c r="F46" s="1090"/>
      <c r="G46" s="1090"/>
      <c r="H46" s="1090"/>
      <c r="I46" s="1090"/>
      <c r="J46" s="1090"/>
      <c r="K46" s="1090"/>
      <c r="L46" s="1090" t="str">
        <f>LOGO!B15</f>
        <v xml:space="preserve">TYPE OF FILING:  "X" ORIGINAL   UPDATED    REVISED  </v>
      </c>
      <c r="M46" s="1090"/>
      <c r="N46" s="1090"/>
      <c r="O46" s="1090"/>
      <c r="P46" s="1090"/>
      <c r="Q46" s="1090"/>
      <c r="R46" s="1090"/>
      <c r="S46" s="1090"/>
      <c r="T46" s="1091" t="s">
        <v>466</v>
      </c>
      <c r="U46" s="1090"/>
      <c r="V46" s="1090"/>
      <c r="W46" s="1090"/>
      <c r="X46" s="1090"/>
      <c r="Y46" s="1090"/>
      <c r="Z46" s="1090"/>
      <c r="AA46" s="1090"/>
      <c r="AB46" s="1090"/>
      <c r="AC46" s="1090"/>
      <c r="AD46" s="1090"/>
      <c r="AE46" s="1090"/>
    </row>
    <row r="47" spans="1:31">
      <c r="A47" s="1090"/>
      <c r="B47" s="1090"/>
      <c r="C47" s="1090"/>
      <c r="D47" s="1090"/>
      <c r="E47" s="1090"/>
      <c r="F47" s="1090"/>
      <c r="G47" s="1090"/>
      <c r="H47" s="1090"/>
      <c r="I47" s="1090"/>
      <c r="J47" s="1090"/>
      <c r="K47" s="1090"/>
      <c r="L47" s="1091" t="s">
        <v>694</v>
      </c>
      <c r="M47" s="1090"/>
      <c r="N47" s="1090"/>
      <c r="O47" s="1090"/>
      <c r="P47" s="1090"/>
      <c r="Q47" s="1090"/>
      <c r="R47" s="1090"/>
      <c r="S47" s="1090"/>
      <c r="T47" s="1091" t="s">
        <v>468</v>
      </c>
      <c r="U47" s="1090"/>
      <c r="V47" s="1090"/>
      <c r="W47" s="1090"/>
      <c r="X47" s="1090"/>
      <c r="Y47" s="1090"/>
      <c r="Z47" s="1090"/>
      <c r="AA47" s="1090"/>
      <c r="AB47" s="1090"/>
      <c r="AC47" s="1090"/>
      <c r="AD47" s="1090"/>
      <c r="AE47" s="1090"/>
    </row>
    <row r="48" spans="1:31">
      <c r="A48" s="1090"/>
      <c r="B48" s="1090"/>
      <c r="C48" s="1090"/>
      <c r="D48" s="1090"/>
      <c r="E48" s="1090"/>
      <c r="F48" s="1090"/>
      <c r="G48" s="1090"/>
      <c r="H48" s="1090"/>
      <c r="I48" s="1090"/>
      <c r="J48" s="1090"/>
      <c r="K48" s="1090"/>
      <c r="L48" s="1090"/>
      <c r="M48" s="1090"/>
      <c r="N48" s="1090"/>
      <c r="O48" s="1090"/>
      <c r="P48" s="1090"/>
      <c r="Q48" s="1090"/>
      <c r="R48" s="1090"/>
      <c r="S48" s="1090"/>
      <c r="T48" s="1091" t="str">
        <f>_WIT2</f>
        <v>J. E. ZIOLKOWSKI</v>
      </c>
      <c r="U48" s="94"/>
      <c r="V48" s="1090"/>
      <c r="W48" s="1090"/>
      <c r="X48" s="1090"/>
      <c r="Y48" s="1090"/>
      <c r="Z48" s="1090"/>
      <c r="AA48" s="1090"/>
      <c r="AB48" s="1090"/>
      <c r="AC48" s="1090"/>
      <c r="AD48" s="1090"/>
      <c r="AE48" s="1090"/>
    </row>
    <row r="49" spans="1:31">
      <c r="A49" s="1090"/>
      <c r="B49" s="1090"/>
      <c r="C49" s="1090"/>
      <c r="D49" s="1090"/>
      <c r="E49" s="1090"/>
      <c r="F49" s="1090"/>
      <c r="G49" s="1090"/>
      <c r="H49" s="1090"/>
      <c r="I49" s="1090"/>
      <c r="J49" s="1090"/>
      <c r="K49" s="1090"/>
      <c r="L49" s="1486"/>
      <c r="M49" s="1486"/>
      <c r="N49" s="1486"/>
      <c r="O49" s="1486"/>
      <c r="P49" s="1486"/>
      <c r="Q49" s="1486"/>
      <c r="R49" s="1486"/>
      <c r="S49" s="1486"/>
      <c r="T49" s="1486"/>
      <c r="U49" s="1486"/>
      <c r="V49" s="1091"/>
      <c r="W49" s="1090"/>
      <c r="X49" s="1090"/>
      <c r="Y49" s="1090"/>
      <c r="Z49" s="1090"/>
      <c r="AA49" s="1090"/>
      <c r="AB49" s="1090"/>
      <c r="AC49" s="1090"/>
      <c r="AD49" s="1090"/>
      <c r="AE49" s="1090"/>
    </row>
    <row r="50" spans="1:31">
      <c r="A50" s="1090"/>
      <c r="B50" s="1090"/>
      <c r="C50" s="1090"/>
      <c r="D50" s="1090"/>
      <c r="E50" s="1090"/>
      <c r="F50" s="1090"/>
      <c r="G50" s="1090"/>
      <c r="H50" s="1090"/>
      <c r="I50" s="1090"/>
      <c r="J50" s="1090"/>
      <c r="K50" s="1090"/>
      <c r="L50" s="1090"/>
      <c r="M50" s="1090"/>
      <c r="N50" s="1090"/>
      <c r="O50" s="1090"/>
      <c r="P50" s="1093" t="s">
        <v>1097</v>
      </c>
      <c r="Q50" s="1093" t="s">
        <v>1096</v>
      </c>
      <c r="R50" s="1090"/>
      <c r="S50" s="1090"/>
      <c r="T50" s="1090"/>
      <c r="U50" s="1090"/>
      <c r="V50" s="1090"/>
      <c r="W50" s="1090"/>
      <c r="X50" s="1090"/>
      <c r="Y50" s="1090"/>
      <c r="Z50" s="1090"/>
      <c r="AA50" s="1090"/>
      <c r="AB50" s="1090"/>
      <c r="AC50" s="1090"/>
      <c r="AD50" s="1090"/>
      <c r="AE50" s="1090"/>
    </row>
    <row r="51" spans="1:31">
      <c r="A51" s="1090"/>
      <c r="B51" s="1090"/>
      <c r="C51" s="1090"/>
      <c r="D51" s="1090"/>
      <c r="E51" s="1090"/>
      <c r="F51" s="1090"/>
      <c r="G51" s="1090"/>
      <c r="H51" s="1090"/>
      <c r="I51" s="1090"/>
      <c r="J51" s="1090"/>
      <c r="K51" s="1090"/>
      <c r="L51" s="1090"/>
      <c r="M51" s="1090"/>
      <c r="N51" s="1090"/>
      <c r="O51" s="1093" t="s">
        <v>1245</v>
      </c>
      <c r="P51" s="1093" t="s">
        <v>1246</v>
      </c>
      <c r="Q51" s="1093" t="s">
        <v>1245</v>
      </c>
      <c r="R51" s="1090"/>
      <c r="S51" s="1093"/>
      <c r="T51" s="1090"/>
      <c r="U51" s="1093"/>
      <c r="V51" s="1090"/>
      <c r="W51" s="1090"/>
      <c r="X51" s="1090"/>
      <c r="Y51" s="1090"/>
      <c r="Z51" s="1090"/>
      <c r="AA51" s="1090"/>
      <c r="AB51" s="1090"/>
      <c r="AC51" s="1090"/>
      <c r="AD51" s="1090"/>
      <c r="AE51" s="1090"/>
    </row>
    <row r="52" spans="1:31">
      <c r="A52" s="1090"/>
      <c r="B52" s="1090"/>
      <c r="C52" s="1090"/>
      <c r="D52" s="1090"/>
      <c r="E52" s="1090"/>
      <c r="F52" s="1090"/>
      <c r="G52" s="1090"/>
      <c r="H52" s="1090"/>
      <c r="I52" s="1090"/>
      <c r="J52" s="1090"/>
      <c r="K52" s="1090"/>
      <c r="L52" s="1093" t="s">
        <v>471</v>
      </c>
      <c r="M52" s="1090"/>
      <c r="N52" s="1093" t="s">
        <v>1247</v>
      </c>
      <c r="O52" s="1093" t="s">
        <v>972</v>
      </c>
      <c r="P52" s="1093" t="s">
        <v>974</v>
      </c>
      <c r="Q52" s="1093" t="s">
        <v>1248</v>
      </c>
      <c r="R52" s="1093" t="s">
        <v>1249</v>
      </c>
      <c r="S52" s="1093"/>
      <c r="T52" s="2415" t="s">
        <v>1250</v>
      </c>
      <c r="U52" s="2415"/>
      <c r="V52" s="1090"/>
      <c r="W52" s="1090"/>
      <c r="X52" s="1090"/>
      <c r="Y52" s="1090"/>
      <c r="Z52" s="1090"/>
      <c r="AA52" s="1090"/>
      <c r="AB52" s="1090"/>
      <c r="AC52" s="1090"/>
      <c r="AD52" s="1090"/>
      <c r="AE52" s="1090"/>
    </row>
    <row r="53" spans="1:31">
      <c r="A53" s="1090"/>
      <c r="B53" s="1090"/>
      <c r="C53" s="1090"/>
      <c r="D53" s="1090"/>
      <c r="E53" s="1090"/>
      <c r="F53" s="1090"/>
      <c r="G53" s="1090"/>
      <c r="H53" s="1090"/>
      <c r="I53" s="1090"/>
      <c r="J53" s="1090"/>
      <c r="K53" s="1090"/>
      <c r="L53" s="1093" t="s">
        <v>475</v>
      </c>
      <c r="M53" s="1090"/>
      <c r="N53" s="1093" t="s">
        <v>1251</v>
      </c>
      <c r="O53" s="1093" t="s">
        <v>974</v>
      </c>
      <c r="P53" s="1093" t="s">
        <v>1245</v>
      </c>
      <c r="Q53" s="1093" t="s">
        <v>974</v>
      </c>
      <c r="R53" s="1093" t="s">
        <v>1252</v>
      </c>
      <c r="S53" s="1093"/>
      <c r="T53" s="2415" t="s">
        <v>420</v>
      </c>
      <c r="U53" s="2415"/>
      <c r="V53" s="1090"/>
      <c r="W53" s="1090"/>
      <c r="X53" s="1090"/>
      <c r="Y53" s="1090"/>
      <c r="Z53" s="1090"/>
      <c r="AA53" s="1090"/>
      <c r="AB53" s="1090"/>
      <c r="AC53" s="1090"/>
      <c r="AD53" s="1090"/>
      <c r="AE53" s="1090"/>
    </row>
    <row r="54" spans="1:31">
      <c r="A54" s="1090"/>
      <c r="B54" s="1090"/>
      <c r="C54" s="1090"/>
      <c r="D54" s="1090"/>
      <c r="E54" s="1090"/>
      <c r="F54" s="1090"/>
      <c r="G54" s="1090"/>
      <c r="H54" s="1090"/>
      <c r="I54" s="1090"/>
      <c r="J54" s="1090"/>
      <c r="K54" s="1090"/>
      <c r="L54" s="1487" t="s">
        <v>853</v>
      </c>
      <c r="M54" s="1486"/>
      <c r="N54" s="1487" t="s">
        <v>1104</v>
      </c>
      <c r="O54" s="1487" t="s">
        <v>856</v>
      </c>
      <c r="P54" s="1487" t="s">
        <v>857</v>
      </c>
      <c r="Q54" s="1487" t="s">
        <v>1253</v>
      </c>
      <c r="R54" s="1487" t="s">
        <v>859</v>
      </c>
      <c r="S54" s="1486"/>
      <c r="T54" s="2416" t="s">
        <v>1254</v>
      </c>
      <c r="U54" s="2416"/>
      <c r="V54" s="1091"/>
      <c r="W54" s="1090"/>
      <c r="X54" s="1090"/>
      <c r="Y54" s="1090"/>
      <c r="Z54" s="1090"/>
      <c r="AA54" s="1090"/>
      <c r="AB54" s="1090"/>
      <c r="AC54" s="1090"/>
      <c r="AD54" s="1090"/>
      <c r="AE54" s="1090"/>
    </row>
    <row r="55" spans="1:31">
      <c r="A55" s="1090"/>
      <c r="B55" s="1090"/>
      <c r="C55" s="1090"/>
      <c r="D55" s="1090"/>
      <c r="E55" s="1090"/>
      <c r="F55" s="1090"/>
      <c r="G55" s="1090"/>
      <c r="H55" s="1090"/>
      <c r="I55" s="1090"/>
      <c r="J55" s="1090"/>
      <c r="K55" s="1090"/>
      <c r="L55" s="1090"/>
      <c r="M55" s="1090"/>
      <c r="N55" s="1090"/>
      <c r="O55" s="1096"/>
      <c r="P55" s="1090"/>
      <c r="Q55" s="1090"/>
      <c r="R55" s="1090"/>
      <c r="S55" s="1090"/>
      <c r="T55" s="1090"/>
      <c r="U55" s="173"/>
      <c r="V55" s="1090"/>
      <c r="W55" s="1090"/>
      <c r="X55" s="1090"/>
      <c r="Y55" s="1090"/>
      <c r="Z55" s="1090"/>
      <c r="AA55" s="1090"/>
      <c r="AB55" s="1090"/>
      <c r="AC55" s="1090"/>
      <c r="AD55" s="1090"/>
      <c r="AE55" s="1090"/>
    </row>
    <row r="56" spans="1:31">
      <c r="A56" s="1090"/>
      <c r="B56" s="1090"/>
      <c r="C56" s="1090"/>
      <c r="D56" s="1090"/>
      <c r="E56" s="1090"/>
      <c r="F56" s="1090"/>
      <c r="G56" s="1090"/>
      <c r="H56" s="1090"/>
      <c r="I56" s="1090"/>
      <c r="J56" s="1090"/>
      <c r="K56" s="1090"/>
      <c r="L56" s="1090"/>
      <c r="M56" s="1090"/>
      <c r="N56" s="1091"/>
      <c r="O56" s="1097"/>
      <c r="P56" s="1098"/>
      <c r="Q56" s="1098"/>
      <c r="R56" s="1097"/>
      <c r="S56" s="1098"/>
      <c r="T56" s="1099"/>
      <c r="U56" s="173"/>
      <c r="V56" s="1090"/>
      <c r="W56" s="1090"/>
      <c r="X56" s="1090"/>
      <c r="Y56" s="1090"/>
      <c r="Z56" s="1090"/>
      <c r="AA56" s="1090"/>
      <c r="AB56" s="1090"/>
      <c r="AC56" s="1090"/>
      <c r="AD56" s="1090"/>
      <c r="AE56" s="1090"/>
    </row>
    <row r="57" spans="1:31">
      <c r="A57" s="1090"/>
      <c r="B57" s="1090"/>
      <c r="C57" s="1090"/>
      <c r="D57" s="1090"/>
      <c r="E57" s="1090"/>
      <c r="F57" s="1090"/>
      <c r="G57" s="1090"/>
      <c r="H57" s="1090"/>
      <c r="I57" s="1090"/>
      <c r="J57" s="1090"/>
      <c r="K57" s="1090"/>
      <c r="L57" s="1090"/>
      <c r="M57" s="1090"/>
      <c r="N57" s="1091"/>
      <c r="O57" s="1090"/>
      <c r="P57" s="1100"/>
      <c r="Q57" s="1100"/>
      <c r="R57" s="1101"/>
      <c r="S57" s="1100"/>
      <c r="T57" s="1099"/>
      <c r="U57" s="173"/>
      <c r="V57" s="1090"/>
      <c r="W57" s="1090"/>
      <c r="X57" s="1090"/>
      <c r="Y57" s="1090"/>
      <c r="Z57" s="1090"/>
      <c r="AA57" s="1090"/>
      <c r="AB57" s="1090"/>
      <c r="AC57" s="1090"/>
      <c r="AD57" s="1090"/>
      <c r="AE57" s="1090"/>
    </row>
    <row r="58" spans="1:31">
      <c r="A58" s="1090"/>
      <c r="B58" s="1090"/>
      <c r="C58" s="1090"/>
      <c r="D58" s="1090"/>
      <c r="E58" s="1090"/>
      <c r="F58" s="1090"/>
      <c r="G58" s="1090"/>
      <c r="H58" s="1090"/>
      <c r="I58" s="1090"/>
      <c r="J58" s="1090"/>
      <c r="K58" s="1090"/>
      <c r="L58" s="1089" t="s">
        <v>1242</v>
      </c>
      <c r="M58" s="1089"/>
      <c r="N58" s="1089"/>
      <c r="O58" s="1089"/>
      <c r="P58" s="1089"/>
      <c r="Q58" s="1089"/>
      <c r="R58" s="1089"/>
      <c r="S58" s="1089"/>
      <c r="T58" s="1089"/>
      <c r="U58" s="1089"/>
      <c r="V58" s="1090"/>
      <c r="W58" s="1090"/>
      <c r="X58" s="1090"/>
      <c r="Y58" s="1090"/>
      <c r="Z58" s="1090"/>
      <c r="AA58" s="1090"/>
      <c r="AB58" s="1090"/>
      <c r="AC58" s="1090"/>
      <c r="AD58" s="1090"/>
      <c r="AE58" s="1090"/>
    </row>
    <row r="59" spans="1:31">
      <c r="A59" s="1090"/>
      <c r="B59" s="1090"/>
      <c r="C59" s="1090"/>
      <c r="D59" s="1090"/>
      <c r="E59" s="1090"/>
      <c r="F59" s="1090"/>
      <c r="G59" s="1090"/>
      <c r="H59" s="1090"/>
      <c r="I59" s="1090"/>
      <c r="J59" s="1090"/>
      <c r="K59" s="1090"/>
      <c r="L59" s="1090"/>
      <c r="M59" s="1090"/>
      <c r="N59" s="1091"/>
      <c r="O59" s="1101"/>
      <c r="P59" s="1090"/>
      <c r="Q59" s="1090"/>
      <c r="R59" s="1101"/>
      <c r="S59" s="1090"/>
      <c r="T59" s="1099"/>
      <c r="U59" s="173"/>
      <c r="V59" s="1090"/>
      <c r="W59" s="1090"/>
      <c r="X59" s="1090"/>
      <c r="Y59" s="1090"/>
      <c r="Z59" s="1090"/>
      <c r="AA59" s="1090"/>
      <c r="AB59" s="1090"/>
      <c r="AC59" s="1090"/>
      <c r="AD59" s="1090"/>
      <c r="AE59" s="1090"/>
    </row>
    <row r="60" spans="1:31">
      <c r="A60" s="1090"/>
      <c r="B60" s="1090"/>
      <c r="C60" s="1090"/>
      <c r="D60" s="1090"/>
      <c r="E60" s="1090"/>
      <c r="F60" s="1090"/>
      <c r="G60" s="1090"/>
      <c r="H60" s="1090"/>
      <c r="I60" s="1090"/>
      <c r="J60" s="1090"/>
      <c r="K60" s="1090"/>
      <c r="L60" s="1090"/>
      <c r="M60" s="1090"/>
      <c r="N60" s="1091"/>
      <c r="O60" s="1102"/>
      <c r="P60" s="1098"/>
      <c r="Q60" s="1098"/>
      <c r="R60" s="1102"/>
      <c r="S60" s="1098"/>
      <c r="T60" s="1099"/>
      <c r="U60" s="1093"/>
      <c r="V60" s="1090"/>
      <c r="W60" s="1090"/>
      <c r="X60" s="1090"/>
      <c r="Y60" s="1090"/>
      <c r="Z60" s="1090"/>
      <c r="AA60" s="1090"/>
      <c r="AB60" s="1090"/>
      <c r="AC60" s="1090"/>
      <c r="AD60" s="1090"/>
      <c r="AE60" s="1090"/>
    </row>
    <row r="61" spans="1:31">
      <c r="A61" s="1090"/>
      <c r="B61" s="1090"/>
      <c r="C61" s="1090"/>
      <c r="D61" s="1090"/>
      <c r="E61" s="1090"/>
      <c r="F61" s="1090"/>
      <c r="G61" s="1090"/>
      <c r="H61" s="1090"/>
      <c r="I61" s="1090"/>
      <c r="J61" s="1090"/>
      <c r="K61" s="1090"/>
      <c r="L61" s="1090"/>
      <c r="M61" s="1090"/>
      <c r="N61" s="1091"/>
      <c r="O61" s="1103"/>
      <c r="P61" s="1091"/>
      <c r="Q61" s="1091"/>
      <c r="R61" s="1103"/>
      <c r="S61" s="1091"/>
      <c r="T61" s="1099"/>
      <c r="U61" s="173"/>
      <c r="V61" s="1090"/>
      <c r="W61" s="1090"/>
      <c r="X61" s="1090"/>
      <c r="Y61" s="1090"/>
      <c r="Z61" s="1090"/>
      <c r="AA61" s="1090"/>
      <c r="AB61" s="1090"/>
      <c r="AC61" s="1090"/>
      <c r="AD61" s="1090"/>
      <c r="AE61" s="1090"/>
    </row>
    <row r="62" spans="1:31">
      <c r="A62" s="1090"/>
      <c r="B62" s="1090"/>
      <c r="C62" s="1090"/>
      <c r="D62" s="1090"/>
      <c r="E62" s="1090"/>
      <c r="F62" s="1090"/>
      <c r="G62" s="1090"/>
      <c r="H62" s="1090"/>
      <c r="I62" s="1090"/>
      <c r="J62" s="1090"/>
      <c r="K62" s="1090"/>
      <c r="L62" s="1090"/>
      <c r="M62" s="1090"/>
      <c r="N62" s="1091"/>
      <c r="O62" s="1103"/>
      <c r="P62" s="1098"/>
      <c r="Q62" s="1098"/>
      <c r="R62" s="1103"/>
      <c r="S62" s="1098"/>
      <c r="T62" s="1099"/>
      <c r="U62" s="173"/>
      <c r="V62" s="1090"/>
      <c r="W62" s="1090"/>
      <c r="X62" s="1090"/>
      <c r="Y62" s="1090"/>
      <c r="Z62" s="1090"/>
      <c r="AA62" s="1090"/>
      <c r="AB62" s="1090"/>
      <c r="AC62" s="1090"/>
      <c r="AD62" s="1090"/>
      <c r="AE62" s="1090"/>
    </row>
    <row r="63" spans="1:31">
      <c r="A63" s="1090"/>
      <c r="B63" s="1090"/>
      <c r="C63" s="1090"/>
      <c r="D63" s="1090"/>
      <c r="E63" s="1090"/>
      <c r="F63" s="1090"/>
      <c r="G63" s="1090"/>
      <c r="H63" s="1090"/>
      <c r="I63" s="1090"/>
      <c r="J63" s="1090"/>
      <c r="K63" s="1090"/>
      <c r="L63" s="1090"/>
      <c r="M63" s="1090"/>
      <c r="N63" s="1091"/>
      <c r="O63" s="1104"/>
      <c r="P63" s="1098"/>
      <c r="Q63" s="1098"/>
      <c r="R63" s="1104"/>
      <c r="S63" s="1098"/>
      <c r="T63" s="1099"/>
      <c r="U63" s="173"/>
      <c r="V63" s="1090"/>
      <c r="W63" s="1090"/>
      <c r="X63" s="1090"/>
      <c r="Y63" s="1090"/>
      <c r="Z63" s="1090"/>
      <c r="AA63" s="1090"/>
      <c r="AB63" s="1090"/>
      <c r="AC63" s="1090"/>
      <c r="AD63" s="1090"/>
      <c r="AE63" s="1090"/>
    </row>
    <row r="64" spans="1:31">
      <c r="A64" s="1090"/>
      <c r="B64" s="1090"/>
      <c r="C64" s="1090"/>
      <c r="D64" s="1090"/>
      <c r="E64" s="1090"/>
      <c r="F64" s="1090"/>
      <c r="G64" s="1090"/>
      <c r="H64" s="1090"/>
      <c r="I64" s="1090"/>
      <c r="J64" s="1090"/>
      <c r="K64" s="1090"/>
      <c r="L64" s="1090"/>
      <c r="M64" s="1090"/>
      <c r="N64" s="1091"/>
      <c r="O64" s="1101"/>
      <c r="P64" s="1100"/>
      <c r="Q64" s="1100"/>
      <c r="R64" s="1101"/>
      <c r="S64" s="1100"/>
      <c r="T64" s="1099"/>
      <c r="U64" s="173"/>
      <c r="V64" s="1090"/>
      <c r="W64" s="1090"/>
      <c r="X64" s="1090"/>
      <c r="Y64" s="1090"/>
      <c r="Z64" s="1090"/>
      <c r="AA64" s="1090"/>
      <c r="AB64" s="1090"/>
      <c r="AC64" s="1090"/>
      <c r="AD64" s="1090"/>
      <c r="AE64" s="1090"/>
    </row>
    <row r="65" spans="1:31">
      <c r="A65" s="1090"/>
      <c r="B65" s="1090"/>
      <c r="C65" s="1090"/>
      <c r="D65" s="1090"/>
      <c r="E65" s="1090"/>
      <c r="F65" s="1090"/>
      <c r="G65" s="1090"/>
      <c r="H65" s="1090"/>
      <c r="I65" s="1090"/>
      <c r="J65" s="1090"/>
      <c r="K65" s="1090"/>
      <c r="L65" s="1090"/>
      <c r="M65" s="1090"/>
      <c r="N65" s="1091"/>
      <c r="O65" s="1102"/>
      <c r="P65" s="1098"/>
      <c r="Q65" s="1100"/>
      <c r="R65" s="1102"/>
      <c r="S65" s="1098"/>
      <c r="T65" s="1099"/>
      <c r="U65" s="1093"/>
      <c r="V65" s="1090"/>
      <c r="W65" s="1090"/>
      <c r="X65" s="1090"/>
      <c r="Y65" s="1090"/>
      <c r="Z65" s="1090"/>
      <c r="AA65" s="1090"/>
      <c r="AB65" s="1090"/>
      <c r="AC65" s="1090"/>
      <c r="AD65" s="1090"/>
      <c r="AE65" s="1090"/>
    </row>
    <row r="66" spans="1:31">
      <c r="A66" s="1090"/>
      <c r="B66" s="1090"/>
      <c r="C66" s="1090"/>
      <c r="D66" s="1090"/>
      <c r="E66" s="1090"/>
      <c r="F66" s="1090"/>
      <c r="G66" s="1090"/>
      <c r="H66" s="1090"/>
      <c r="I66" s="1090"/>
      <c r="J66" s="1090"/>
      <c r="K66" s="1090"/>
      <c r="L66" s="1090"/>
      <c r="M66" s="1090"/>
      <c r="N66" s="1091"/>
      <c r="O66" s="1100"/>
      <c r="P66" s="1100"/>
      <c r="Q66" s="1100"/>
      <c r="R66" s="1100"/>
      <c r="S66" s="1100"/>
      <c r="T66" s="1102"/>
      <c r="U66" s="1091"/>
      <c r="V66" s="1090"/>
      <c r="W66" s="1090"/>
      <c r="X66" s="1090"/>
      <c r="Y66" s="1090"/>
      <c r="Z66" s="1090"/>
      <c r="AA66" s="1090"/>
      <c r="AB66" s="1090"/>
      <c r="AC66" s="1090"/>
      <c r="AD66" s="1090"/>
      <c r="AE66" s="1090"/>
    </row>
    <row r="67" spans="1:31">
      <c r="A67" s="1090"/>
      <c r="B67" s="1090"/>
      <c r="C67" s="1090"/>
      <c r="D67" s="1090"/>
      <c r="E67" s="1090"/>
      <c r="F67" s="1090"/>
      <c r="G67" s="1090"/>
      <c r="H67" s="1090"/>
      <c r="I67" s="1090"/>
      <c r="J67" s="1090"/>
      <c r="K67" s="1090"/>
      <c r="L67" s="1090"/>
      <c r="M67" s="1090"/>
      <c r="N67" s="1091"/>
      <c r="O67" s="1100"/>
      <c r="P67" s="1100"/>
      <c r="Q67" s="1100"/>
      <c r="R67" s="1100"/>
      <c r="S67" s="1100"/>
      <c r="T67" s="1102"/>
      <c r="U67" s="1091"/>
      <c r="V67" s="1090"/>
      <c r="W67" s="1090"/>
      <c r="X67" s="1090"/>
      <c r="Y67" s="1090"/>
      <c r="Z67" s="1090"/>
      <c r="AA67" s="1090"/>
      <c r="AB67" s="1090"/>
      <c r="AC67" s="1090"/>
      <c r="AD67" s="1090"/>
      <c r="AE67" s="1090"/>
    </row>
    <row r="68" spans="1:31">
      <c r="A68" s="1090"/>
      <c r="B68" s="1090"/>
      <c r="C68" s="1090"/>
      <c r="D68" s="1090"/>
      <c r="E68" s="1090"/>
      <c r="F68" s="1090"/>
      <c r="G68" s="1090"/>
      <c r="H68" s="1090"/>
      <c r="I68" s="1090"/>
      <c r="J68" s="1090"/>
      <c r="K68" s="1090"/>
      <c r="L68" s="1090"/>
      <c r="M68" s="1090"/>
      <c r="N68" s="1091"/>
      <c r="O68" s="1100"/>
      <c r="P68" s="1100"/>
      <c r="Q68" s="1100"/>
      <c r="R68" s="1100"/>
      <c r="S68" s="1100"/>
      <c r="T68" s="1102"/>
      <c r="U68" s="1091"/>
      <c r="V68" s="1090"/>
      <c r="W68" s="1090"/>
      <c r="X68" s="1090"/>
      <c r="Y68" s="1090"/>
      <c r="Z68" s="1090"/>
      <c r="AA68" s="1090"/>
      <c r="AB68" s="1090"/>
      <c r="AC68" s="1090"/>
      <c r="AD68" s="1090"/>
      <c r="AE68" s="1090"/>
    </row>
    <row r="69" spans="1:31">
      <c r="A69" s="1090"/>
      <c r="B69" s="1090"/>
      <c r="C69" s="1090"/>
      <c r="D69" s="1090"/>
      <c r="E69" s="1090"/>
      <c r="F69" s="1090"/>
      <c r="G69" s="1090"/>
      <c r="H69" s="1090"/>
      <c r="I69" s="1090"/>
      <c r="J69" s="1090"/>
      <c r="K69" s="1090"/>
      <c r="L69" s="1090"/>
      <c r="M69" s="1090"/>
      <c r="N69" s="1091"/>
      <c r="O69" s="1100"/>
      <c r="P69" s="1100"/>
      <c r="Q69" s="1100"/>
      <c r="R69" s="1100"/>
      <c r="S69" s="1100"/>
      <c r="T69" s="1102"/>
      <c r="U69" s="1091"/>
      <c r="V69" s="1090"/>
      <c r="W69" s="1090"/>
      <c r="X69" s="1090"/>
      <c r="Y69" s="1090"/>
      <c r="Z69" s="1090"/>
      <c r="AA69" s="1090"/>
      <c r="AB69" s="1090"/>
      <c r="AC69" s="1090"/>
      <c r="AD69" s="1090"/>
      <c r="AE69" s="1090"/>
    </row>
    <row r="70" spans="1:31">
      <c r="A70" s="1090"/>
      <c r="B70" s="1090"/>
      <c r="C70" s="1090"/>
      <c r="D70" s="1090"/>
      <c r="E70" s="1090"/>
      <c r="F70" s="1090"/>
      <c r="G70" s="1090"/>
      <c r="H70" s="1090"/>
      <c r="I70" s="1090"/>
      <c r="J70" s="1090"/>
      <c r="K70" s="1090"/>
      <c r="L70" s="1090"/>
      <c r="M70" s="1090"/>
      <c r="N70" s="1090"/>
      <c r="O70" s="1090"/>
      <c r="P70" s="1090"/>
      <c r="Q70" s="1090"/>
      <c r="R70" s="1090"/>
      <c r="S70" s="1090"/>
      <c r="T70" s="1090"/>
      <c r="U70" s="1090"/>
      <c r="V70" s="1090"/>
      <c r="W70" s="1090"/>
      <c r="X70" s="1090"/>
      <c r="Y70" s="1090"/>
      <c r="Z70" s="1090"/>
      <c r="AA70" s="1090"/>
      <c r="AB70" s="1090"/>
      <c r="AC70" s="1090"/>
      <c r="AD70" s="1090"/>
      <c r="AE70" s="1090"/>
    </row>
    <row r="71" spans="1:31">
      <c r="A71" s="1090"/>
      <c r="B71" s="1090"/>
      <c r="C71" s="1090"/>
      <c r="D71" s="1090"/>
      <c r="E71" s="1090"/>
      <c r="F71" s="1090"/>
      <c r="G71" s="1090"/>
      <c r="H71" s="1090"/>
      <c r="I71" s="1090"/>
      <c r="J71" s="1090"/>
      <c r="K71" s="1090"/>
      <c r="L71" s="1090"/>
      <c r="M71" s="1090"/>
      <c r="N71" s="1090"/>
      <c r="O71" s="1090"/>
      <c r="P71" s="1090"/>
      <c r="Q71" s="1090"/>
      <c r="R71" s="1090"/>
      <c r="S71" s="1090"/>
      <c r="T71" s="1090"/>
      <c r="U71" s="1090"/>
      <c r="V71" s="1090"/>
      <c r="W71" s="1090"/>
      <c r="X71" s="1090"/>
      <c r="Y71" s="1090"/>
      <c r="Z71" s="1090"/>
      <c r="AA71" s="1090"/>
      <c r="AB71" s="1090"/>
      <c r="AC71" s="1090"/>
      <c r="AD71" s="1090"/>
      <c r="AE71" s="1090"/>
    </row>
    <row r="72" spans="1:31">
      <c r="A72" s="1090"/>
      <c r="B72" s="1090"/>
      <c r="C72" s="1090"/>
      <c r="D72" s="1090"/>
      <c r="E72" s="1090"/>
      <c r="F72" s="1090"/>
      <c r="G72" s="1090"/>
      <c r="H72" s="1090"/>
      <c r="I72" s="1090"/>
      <c r="J72" s="1090"/>
      <c r="K72" s="1090"/>
      <c r="L72" s="1090"/>
      <c r="M72" s="1090"/>
      <c r="N72" s="1090"/>
      <c r="O72" s="1090"/>
      <c r="P72" s="1090"/>
      <c r="Q72" s="1090"/>
      <c r="R72" s="1090"/>
      <c r="S72" s="1090"/>
      <c r="T72" s="1090"/>
      <c r="U72" s="1090"/>
      <c r="V72" s="1089" t="str">
        <f>LOGO!B5</f>
        <v>DUKE ENERGY KENTUCKY, INC.</v>
      </c>
      <c r="W72" s="1089"/>
      <c r="X72" s="1089"/>
      <c r="Y72" s="1089"/>
      <c r="Z72" s="1089"/>
      <c r="AA72" s="1089"/>
      <c r="AB72" s="1089"/>
      <c r="AC72" s="1089"/>
      <c r="AD72" s="1090"/>
      <c r="AE72" s="1090"/>
    </row>
    <row r="73" spans="1:31">
      <c r="A73" s="1090"/>
      <c r="B73" s="1090"/>
      <c r="C73" s="1090"/>
      <c r="D73" s="1090"/>
      <c r="E73" s="1090"/>
      <c r="F73" s="1090"/>
      <c r="G73" s="1090"/>
      <c r="H73" s="1090"/>
      <c r="I73" s="1090"/>
      <c r="J73" s="1090"/>
      <c r="K73" s="1090"/>
      <c r="L73" s="1090"/>
      <c r="M73" s="1090"/>
      <c r="N73" s="1090"/>
      <c r="O73" s="1090"/>
      <c r="P73" s="1090"/>
      <c r="Q73" s="1090"/>
      <c r="R73" s="1090"/>
      <c r="S73" s="1090"/>
      <c r="T73" s="1090"/>
      <c r="U73" s="1090"/>
      <c r="V73" s="1089" t="str">
        <f>LOGO!B6</f>
        <v>CASE NO. 2024-00354</v>
      </c>
      <c r="W73" s="1089"/>
      <c r="X73" s="1089"/>
      <c r="Y73" s="1089"/>
      <c r="Z73" s="1089"/>
      <c r="AA73" s="1089"/>
      <c r="AB73" s="1089"/>
      <c r="AC73" s="1089"/>
      <c r="AD73" s="1090"/>
      <c r="AE73" s="1090"/>
    </row>
    <row r="74" spans="1:31">
      <c r="A74" s="1090"/>
      <c r="B74" s="1090"/>
      <c r="C74" s="1090"/>
      <c r="D74" s="1090"/>
      <c r="E74" s="1090"/>
      <c r="F74" s="1090"/>
      <c r="G74" s="1090"/>
      <c r="H74" s="1090"/>
      <c r="I74" s="1090"/>
      <c r="J74" s="1090"/>
      <c r="K74" s="1090"/>
      <c r="L74" s="1090"/>
      <c r="M74" s="1090"/>
      <c r="N74" s="1090"/>
      <c r="O74" s="1090"/>
      <c r="P74" s="1090"/>
      <c r="Q74" s="1090"/>
      <c r="R74" s="1090"/>
      <c r="S74" s="1090"/>
      <c r="T74" s="1090"/>
      <c r="U74" s="1090"/>
      <c r="V74" s="1089" t="s">
        <v>1255</v>
      </c>
      <c r="W74" s="1089"/>
      <c r="X74" s="1089"/>
      <c r="Y74" s="1089"/>
      <c r="Z74" s="1089"/>
      <c r="AA74" s="1089"/>
      <c r="AB74" s="1089"/>
      <c r="AC74" s="1089"/>
      <c r="AD74" s="1090"/>
      <c r="AE74" s="1090"/>
    </row>
    <row r="75" spans="1:31">
      <c r="A75" s="1090"/>
      <c r="B75" s="1090"/>
      <c r="C75" s="1090"/>
      <c r="D75" s="1090"/>
      <c r="E75" s="1090"/>
      <c r="F75" s="1090"/>
      <c r="G75" s="1090"/>
      <c r="H75" s="1090"/>
      <c r="I75" s="1090"/>
      <c r="J75" s="1090"/>
      <c r="K75" s="1090"/>
      <c r="L75" s="1090"/>
      <c r="M75" s="1090"/>
      <c r="N75" s="1090"/>
      <c r="O75" s="1090"/>
      <c r="P75" s="1090"/>
      <c r="Q75" s="1090"/>
      <c r="R75" s="1090"/>
      <c r="S75" s="1090"/>
      <c r="T75" s="1090"/>
      <c r="U75" s="1090"/>
      <c r="V75" s="1089" t="s">
        <v>1256</v>
      </c>
      <c r="W75" s="1089"/>
      <c r="X75" s="1089"/>
      <c r="Y75" s="1089"/>
      <c r="Z75" s="1089"/>
      <c r="AA75" s="1089"/>
      <c r="AB75" s="1089"/>
      <c r="AC75" s="1089"/>
      <c r="AD75" s="1090"/>
      <c r="AE75" s="1090"/>
    </row>
    <row r="76" spans="1:31">
      <c r="A76" s="1090"/>
      <c r="B76" s="1090"/>
      <c r="C76" s="1090"/>
      <c r="D76" s="1090"/>
      <c r="E76" s="1090"/>
      <c r="F76" s="1090"/>
      <c r="G76" s="1090"/>
      <c r="H76" s="1090"/>
      <c r="I76" s="1090"/>
      <c r="J76" s="1090"/>
      <c r="K76" s="1090"/>
      <c r="L76" s="1090"/>
      <c r="M76" s="1090"/>
      <c r="N76" s="1090"/>
      <c r="O76" s="1090"/>
      <c r="P76" s="1090"/>
      <c r="Q76" s="1090"/>
      <c r="R76" s="1090"/>
      <c r="S76" s="1090"/>
      <c r="T76" s="1090"/>
      <c r="U76" s="1090"/>
      <c r="V76" s="1089" t="str">
        <f>LOGO!B10</f>
        <v>12 MONTHS ENDED FEBRUARY 28, 2025</v>
      </c>
      <c r="W76" s="1089"/>
      <c r="X76" s="1089"/>
      <c r="Y76" s="1089"/>
      <c r="Z76" s="1089"/>
      <c r="AA76" s="1089"/>
      <c r="AB76" s="1089"/>
      <c r="AC76" s="1089"/>
      <c r="AD76" s="1090"/>
      <c r="AE76" s="1090"/>
    </row>
    <row r="77" spans="1:31">
      <c r="A77" s="1090"/>
      <c r="B77" s="1090"/>
      <c r="C77" s="1090"/>
      <c r="D77" s="1090"/>
      <c r="E77" s="1090"/>
      <c r="F77" s="1090"/>
      <c r="G77" s="1090"/>
      <c r="H77" s="1090"/>
      <c r="I77" s="1090"/>
      <c r="J77" s="1090"/>
      <c r="K77" s="1090"/>
      <c r="L77" s="1090"/>
      <c r="M77" s="1090"/>
      <c r="N77" s="1090"/>
      <c r="O77" s="1090"/>
      <c r="P77" s="1090"/>
      <c r="Q77" s="1090"/>
      <c r="R77" s="1090"/>
      <c r="S77" s="1090"/>
      <c r="T77" s="1090"/>
      <c r="U77" s="1090"/>
      <c r="V77" s="1090"/>
      <c r="W77" s="1090"/>
      <c r="X77" s="1090"/>
      <c r="Y77" s="1090"/>
      <c r="Z77" s="1090"/>
      <c r="AA77" s="1090"/>
      <c r="AB77" s="1090"/>
      <c r="AC77" s="1090"/>
      <c r="AD77" s="1090"/>
      <c r="AE77" s="1090"/>
    </row>
    <row r="78" spans="1:31">
      <c r="A78" s="1090"/>
      <c r="B78" s="1090"/>
      <c r="C78" s="1090"/>
      <c r="D78" s="1090"/>
      <c r="E78" s="1090"/>
      <c r="F78" s="1090"/>
      <c r="G78" s="1090"/>
      <c r="H78" s="1090"/>
      <c r="I78" s="1090"/>
      <c r="J78" s="1090"/>
      <c r="K78" s="1090"/>
      <c r="L78" s="1090"/>
      <c r="M78" s="1090"/>
      <c r="N78" s="1090"/>
      <c r="O78" s="1090"/>
      <c r="P78" s="1090"/>
      <c r="Q78" s="1090"/>
      <c r="R78" s="1090"/>
      <c r="S78" s="1090"/>
      <c r="T78" s="1090"/>
      <c r="U78" s="1090"/>
      <c r="V78" s="1090"/>
      <c r="W78" s="1090"/>
      <c r="X78" s="1090"/>
      <c r="Y78" s="1090"/>
      <c r="Z78" s="1090"/>
      <c r="AA78" s="1090"/>
      <c r="AB78" s="1090"/>
      <c r="AC78" s="1090"/>
      <c r="AD78" s="1090"/>
      <c r="AE78" s="1090"/>
    </row>
    <row r="79" spans="1:31">
      <c r="A79" s="1090"/>
      <c r="B79" s="1090"/>
      <c r="C79" s="1090"/>
      <c r="D79" s="1090"/>
      <c r="E79" s="1090"/>
      <c r="F79" s="1090"/>
      <c r="G79" s="1090"/>
      <c r="H79" s="1090"/>
      <c r="I79" s="1090"/>
      <c r="J79" s="1090"/>
      <c r="K79" s="1090"/>
      <c r="L79" s="1090"/>
      <c r="M79" s="1090"/>
      <c r="N79" s="1090"/>
      <c r="O79" s="1090"/>
      <c r="P79" s="1090"/>
      <c r="Q79" s="1090"/>
      <c r="R79" s="1090"/>
      <c r="S79" s="1090"/>
      <c r="T79" s="1090"/>
      <c r="U79" s="1090"/>
      <c r="V79" s="1090" t="str">
        <f>LOGO!B12</f>
        <v>DATA: "X" BASE PERIOD   FORECASTED PERIOD</v>
      </c>
      <c r="W79" s="1090"/>
      <c r="X79" s="1090"/>
      <c r="Y79" s="1090"/>
      <c r="Z79" s="1090"/>
      <c r="AA79" s="1090"/>
      <c r="AB79" s="1090"/>
      <c r="AC79" s="1105" t="s">
        <v>1257</v>
      </c>
      <c r="AD79" s="1090"/>
      <c r="AE79" s="1090"/>
    </row>
    <row r="80" spans="1:31">
      <c r="A80" s="1090"/>
      <c r="B80" s="1090"/>
      <c r="C80" s="1090"/>
      <c r="D80" s="1090"/>
      <c r="E80" s="1090"/>
      <c r="F80" s="1090"/>
      <c r="G80" s="1090"/>
      <c r="H80" s="1090"/>
      <c r="I80" s="1090"/>
      <c r="J80" s="1090"/>
      <c r="K80" s="1090"/>
      <c r="L80" s="1090"/>
      <c r="M80" s="1090"/>
      <c r="N80" s="1090"/>
      <c r="O80" s="1090"/>
      <c r="P80" s="1090"/>
      <c r="Q80" s="1090"/>
      <c r="R80" s="1090"/>
      <c r="S80" s="1090"/>
      <c r="T80" s="1090"/>
      <c r="U80" s="1090"/>
      <c r="V80" s="1090" t="str">
        <f>LOGO!B15</f>
        <v xml:space="preserve">TYPE OF FILING:  "X" ORIGINAL   UPDATED    REVISED  </v>
      </c>
      <c r="W80" s="1090"/>
      <c r="X80" s="1090"/>
      <c r="Y80" s="1090"/>
      <c r="Z80" s="1090"/>
      <c r="AA80" s="1090"/>
      <c r="AB80" s="1090"/>
      <c r="AC80" s="1105" t="s">
        <v>466</v>
      </c>
      <c r="AD80" s="1090"/>
      <c r="AE80" s="1090"/>
    </row>
    <row r="81" spans="1:31">
      <c r="A81" s="1090"/>
      <c r="B81" s="1090"/>
      <c r="C81" s="1090"/>
      <c r="D81" s="1090"/>
      <c r="E81" s="1090"/>
      <c r="F81" s="1090"/>
      <c r="G81" s="1090"/>
      <c r="H81" s="1090"/>
      <c r="I81" s="1090"/>
      <c r="J81" s="1090"/>
      <c r="K81" s="1090"/>
      <c r="L81" s="1090"/>
      <c r="M81" s="1090"/>
      <c r="N81" s="1090"/>
      <c r="O81" s="1090"/>
      <c r="P81" s="1090"/>
      <c r="Q81" s="1090"/>
      <c r="R81" s="1090"/>
      <c r="S81" s="1090"/>
      <c r="T81" s="1090"/>
      <c r="U81" s="1090"/>
      <c r="V81" s="1091" t="s">
        <v>694</v>
      </c>
      <c r="W81" s="1090"/>
      <c r="X81" s="1090"/>
      <c r="Y81" s="1090"/>
      <c r="Z81" s="1090"/>
      <c r="AA81" s="1090"/>
      <c r="AB81" s="1090"/>
      <c r="AC81" s="1105" t="s">
        <v>468</v>
      </c>
      <c r="AD81" s="1090"/>
      <c r="AE81" s="1090"/>
    </row>
    <row r="82" spans="1:31">
      <c r="A82" s="1090"/>
      <c r="B82" s="1090"/>
      <c r="C82" s="1090"/>
      <c r="D82" s="1090"/>
      <c r="E82" s="1090"/>
      <c r="F82" s="1090"/>
      <c r="G82" s="1090"/>
      <c r="H82" s="1090"/>
      <c r="I82" s="1090"/>
      <c r="J82" s="1090"/>
      <c r="K82" s="1090"/>
      <c r="L82" s="1090"/>
      <c r="M82" s="1090"/>
      <c r="N82" s="1090"/>
      <c r="O82" s="1090"/>
      <c r="P82" s="1090"/>
      <c r="Q82" s="1090"/>
      <c r="R82" s="1090"/>
      <c r="S82" s="1090"/>
      <c r="T82" s="1090"/>
      <c r="U82" s="1090"/>
      <c r="V82" s="1090"/>
      <c r="W82" s="1090"/>
      <c r="X82" s="1090"/>
      <c r="Y82" s="1090"/>
      <c r="Z82" s="1090"/>
      <c r="AA82" s="1090"/>
      <c r="AB82" s="1090"/>
      <c r="AC82" s="1105" t="str">
        <f>_WIT2</f>
        <v>J. E. ZIOLKOWSKI</v>
      </c>
      <c r="AD82" s="1090"/>
      <c r="AE82" s="1090"/>
    </row>
    <row r="83" spans="1:31">
      <c r="A83" s="1090"/>
      <c r="B83" s="1090"/>
      <c r="C83" s="1090"/>
      <c r="D83" s="1090"/>
      <c r="E83" s="1090"/>
      <c r="F83" s="1090"/>
      <c r="G83" s="1090"/>
      <c r="H83" s="1090"/>
      <c r="I83" s="1090"/>
      <c r="J83" s="1090"/>
      <c r="K83" s="1090"/>
      <c r="L83" s="1090"/>
      <c r="M83" s="1090"/>
      <c r="N83" s="1090"/>
      <c r="O83" s="1090"/>
      <c r="P83" s="1090"/>
      <c r="Q83" s="1090"/>
      <c r="R83" s="1090"/>
      <c r="S83" s="1090"/>
      <c r="T83" s="1090"/>
      <c r="U83" s="1090"/>
      <c r="V83" s="1486"/>
      <c r="W83" s="1486"/>
      <c r="X83" s="1486"/>
      <c r="Y83" s="1486"/>
      <c r="Z83" s="1486"/>
      <c r="AA83" s="1486"/>
      <c r="AB83" s="1486"/>
      <c r="AC83" s="1486"/>
      <c r="AD83" s="1090"/>
      <c r="AE83" s="1090"/>
    </row>
    <row r="84" spans="1:31">
      <c r="A84" s="1090"/>
      <c r="B84" s="1090"/>
      <c r="C84" s="1090"/>
      <c r="D84" s="1090"/>
      <c r="E84" s="1090"/>
      <c r="F84" s="1090"/>
      <c r="G84" s="1090"/>
      <c r="H84" s="1090"/>
      <c r="I84" s="1090"/>
      <c r="J84" s="1090"/>
      <c r="K84" s="1090"/>
      <c r="L84" s="1090"/>
      <c r="M84" s="1090"/>
      <c r="N84" s="1090"/>
      <c r="O84" s="1090"/>
      <c r="P84" s="1090"/>
      <c r="Q84" s="1090"/>
      <c r="R84" s="1090"/>
      <c r="S84" s="1090"/>
      <c r="T84" s="1090"/>
      <c r="U84" s="1090"/>
      <c r="V84" s="1090"/>
      <c r="W84" s="1090"/>
      <c r="X84" s="1090"/>
      <c r="Y84" s="1090"/>
      <c r="Z84" s="1090"/>
      <c r="AA84" s="1090"/>
      <c r="AB84" s="1090"/>
      <c r="AC84" s="1090"/>
      <c r="AD84" s="1090"/>
      <c r="AE84" s="1090"/>
    </row>
    <row r="85" spans="1:31">
      <c r="A85" s="1090"/>
      <c r="B85" s="1090"/>
      <c r="C85" s="1090"/>
      <c r="D85" s="1090"/>
      <c r="E85" s="1090"/>
      <c r="F85" s="1090"/>
      <c r="G85" s="1090"/>
      <c r="H85" s="1090"/>
      <c r="I85" s="1090"/>
      <c r="J85" s="1090"/>
      <c r="K85" s="1090"/>
      <c r="L85" s="1090"/>
      <c r="M85" s="1090"/>
      <c r="N85" s="1090"/>
      <c r="O85" s="1090"/>
      <c r="P85" s="1090"/>
      <c r="Q85" s="1090"/>
      <c r="R85" s="1090"/>
      <c r="S85" s="1090"/>
      <c r="T85" s="1090"/>
      <c r="U85" s="1090"/>
      <c r="V85" s="1093" t="s">
        <v>471</v>
      </c>
      <c r="W85" s="1090"/>
      <c r="X85" s="1093" t="s">
        <v>1045</v>
      </c>
      <c r="Y85" s="1090"/>
      <c r="Z85" s="1090"/>
      <c r="AA85" s="1090"/>
      <c r="AB85" s="1090"/>
      <c r="AC85" s="1090"/>
      <c r="AD85" s="1090"/>
      <c r="AE85" s="1090"/>
    </row>
    <row r="86" spans="1:31">
      <c r="A86" s="1090"/>
      <c r="B86" s="1090"/>
      <c r="C86" s="1090"/>
      <c r="D86" s="1090"/>
      <c r="E86" s="1090"/>
      <c r="F86" s="1090"/>
      <c r="G86" s="1090"/>
      <c r="H86" s="1090"/>
      <c r="I86" s="1090"/>
      <c r="J86" s="1090"/>
      <c r="K86" s="1090"/>
      <c r="L86" s="1090"/>
      <c r="M86" s="1090"/>
      <c r="N86" s="1090"/>
      <c r="O86" s="1090"/>
      <c r="P86" s="1090"/>
      <c r="Q86" s="1090"/>
      <c r="R86" s="1090"/>
      <c r="S86" s="1090"/>
      <c r="T86" s="1090"/>
      <c r="U86" s="1090"/>
      <c r="V86" s="1093" t="s">
        <v>475</v>
      </c>
      <c r="W86" s="1090"/>
      <c r="X86" s="1093" t="s">
        <v>941</v>
      </c>
      <c r="Y86" s="1090"/>
      <c r="Z86" s="1093" t="s">
        <v>476</v>
      </c>
      <c r="AA86" s="1093" t="s">
        <v>1258</v>
      </c>
      <c r="AB86" s="1090"/>
      <c r="AC86" s="1093" t="s">
        <v>1259</v>
      </c>
      <c r="AD86" s="1090"/>
      <c r="AE86" s="1090"/>
    </row>
    <row r="87" spans="1:31">
      <c r="A87" s="1090"/>
      <c r="B87" s="1090"/>
      <c r="C87" s="1090"/>
      <c r="D87" s="1090"/>
      <c r="E87" s="1090"/>
      <c r="F87" s="1090"/>
      <c r="G87" s="1090"/>
      <c r="H87" s="1090"/>
      <c r="I87" s="1090"/>
      <c r="J87" s="1090"/>
      <c r="K87" s="1090"/>
      <c r="L87" s="1090"/>
      <c r="M87" s="1090"/>
      <c r="N87" s="1090"/>
      <c r="O87" s="1090"/>
      <c r="P87" s="1090"/>
      <c r="Q87" s="1090"/>
      <c r="R87" s="1090"/>
      <c r="S87" s="1090"/>
      <c r="T87" s="1090"/>
      <c r="U87" s="1090"/>
      <c r="V87" s="1486"/>
      <c r="W87" s="1486"/>
      <c r="X87" s="1486"/>
      <c r="Y87" s="1486"/>
      <c r="Z87" s="1486"/>
      <c r="AA87" s="1486"/>
      <c r="AB87" s="1486"/>
      <c r="AC87" s="1486"/>
      <c r="AD87" s="1090"/>
      <c r="AE87" s="1090"/>
    </row>
    <row r="88" spans="1:31">
      <c r="A88" s="1090"/>
      <c r="B88" s="1090"/>
      <c r="C88" s="1090"/>
      <c r="D88" s="1090"/>
      <c r="E88" s="1090"/>
      <c r="F88" s="1090"/>
      <c r="G88" s="1090"/>
      <c r="H88" s="1090"/>
      <c r="I88" s="1090"/>
      <c r="J88" s="1090"/>
      <c r="K88" s="1090"/>
      <c r="L88" s="1090"/>
      <c r="M88" s="1090"/>
      <c r="N88" s="1090"/>
      <c r="O88" s="1090"/>
      <c r="P88" s="1090"/>
      <c r="Q88" s="1090"/>
      <c r="R88" s="1090"/>
      <c r="S88" s="1090"/>
      <c r="T88" s="1090"/>
      <c r="U88" s="1090"/>
      <c r="V88" s="1090"/>
      <c r="W88" s="1090"/>
      <c r="X88" s="1090"/>
      <c r="Y88" s="1090"/>
      <c r="Z88" s="1090"/>
      <c r="AA88" s="1090"/>
      <c r="AB88" s="1090"/>
      <c r="AC88" s="1090"/>
      <c r="AD88" s="1090"/>
      <c r="AE88" s="1090"/>
    </row>
    <row r="89" spans="1:31">
      <c r="A89" s="1090"/>
      <c r="B89" s="1090"/>
      <c r="C89" s="1090"/>
      <c r="D89" s="1090"/>
      <c r="E89" s="1090"/>
      <c r="F89" s="1090"/>
      <c r="G89" s="1090"/>
      <c r="H89" s="1090"/>
      <c r="I89" s="1090"/>
      <c r="J89" s="1090"/>
      <c r="K89" s="1090"/>
      <c r="L89" s="1090"/>
      <c r="M89" s="1090"/>
      <c r="N89" s="1090"/>
      <c r="O89" s="1090"/>
      <c r="P89" s="1090"/>
      <c r="Q89" s="1090"/>
      <c r="R89" s="1090"/>
      <c r="S89" s="1090"/>
      <c r="T89" s="1090"/>
      <c r="U89" s="1090"/>
      <c r="V89" s="1090"/>
      <c r="W89" s="1090"/>
      <c r="X89" s="1090"/>
      <c r="Y89" s="1091"/>
      <c r="Z89" s="176"/>
      <c r="AA89" s="1103"/>
      <c r="AB89" s="1103"/>
      <c r="AC89" s="1103"/>
      <c r="AD89" s="1090"/>
      <c r="AE89" s="1090"/>
    </row>
    <row r="90" spans="1:31">
      <c r="A90" s="1090"/>
      <c r="B90" s="1090"/>
      <c r="C90" s="1090"/>
      <c r="D90" s="1090"/>
      <c r="E90" s="1090"/>
      <c r="F90" s="1090"/>
      <c r="G90" s="1090"/>
      <c r="H90" s="1090"/>
      <c r="I90" s="1090"/>
      <c r="J90" s="1090"/>
      <c r="K90" s="1090"/>
      <c r="L90" s="1090"/>
      <c r="M90" s="1090"/>
      <c r="N90" s="1090"/>
      <c r="O90" s="1090"/>
      <c r="P90" s="1090"/>
      <c r="Q90" s="1090"/>
      <c r="R90" s="1090"/>
      <c r="S90" s="1090"/>
      <c r="T90" s="1090"/>
      <c r="U90" s="1090"/>
      <c r="V90" s="1090"/>
      <c r="W90" s="1090"/>
      <c r="X90" s="1090"/>
      <c r="Y90" s="1090"/>
      <c r="Z90" s="1090"/>
      <c r="AA90" s="1103"/>
      <c r="AB90" s="1103"/>
      <c r="AC90" s="1103"/>
      <c r="AD90" s="1090"/>
      <c r="AE90" s="1090"/>
    </row>
    <row r="91" spans="1:31">
      <c r="A91" s="1090"/>
      <c r="B91" s="1090"/>
      <c r="C91" s="1090"/>
      <c r="D91" s="1090"/>
      <c r="E91" s="1090"/>
      <c r="F91" s="1090"/>
      <c r="G91" s="1090"/>
      <c r="H91" s="1090"/>
      <c r="I91" s="1090"/>
      <c r="J91" s="1090"/>
      <c r="K91" s="1090"/>
      <c r="L91" s="1090"/>
      <c r="M91" s="1090"/>
      <c r="N91" s="1090"/>
      <c r="O91" s="1090"/>
      <c r="P91" s="1090"/>
      <c r="Q91" s="1090"/>
      <c r="R91" s="1090"/>
      <c r="S91" s="1090"/>
      <c r="T91" s="1090"/>
      <c r="U91" s="1090"/>
      <c r="V91" s="1089" t="s">
        <v>1242</v>
      </c>
      <c r="W91" s="1089"/>
      <c r="X91" s="1089"/>
      <c r="Y91" s="1089"/>
      <c r="Z91" s="1089"/>
      <c r="AA91" s="1089"/>
      <c r="AB91" s="1089"/>
      <c r="AC91" s="1089"/>
      <c r="AD91" s="1090"/>
      <c r="AE91" s="1090"/>
    </row>
    <row r="92" spans="1:31">
      <c r="A92" s="1090"/>
      <c r="B92" s="1090"/>
      <c r="C92" s="1090"/>
      <c r="D92" s="1090"/>
      <c r="E92" s="1090"/>
      <c r="F92" s="1090"/>
      <c r="G92" s="1090"/>
      <c r="H92" s="1090"/>
      <c r="I92" s="1090"/>
      <c r="J92" s="1090"/>
      <c r="K92" s="1090"/>
      <c r="L92" s="1090"/>
      <c r="M92" s="1090"/>
      <c r="N92" s="1090"/>
      <c r="O92" s="1090"/>
      <c r="P92" s="1090"/>
      <c r="Q92" s="1090"/>
      <c r="R92" s="1090"/>
      <c r="S92" s="1090"/>
      <c r="T92" s="1090"/>
      <c r="U92" s="1090"/>
      <c r="V92" s="1090"/>
      <c r="W92" s="173"/>
      <c r="X92" s="173"/>
      <c r="Y92" s="1091"/>
      <c r="Z92" s="1090"/>
      <c r="AA92" s="176"/>
      <c r="AB92" s="1103"/>
      <c r="AC92" s="1098"/>
      <c r="AD92" s="1090"/>
      <c r="AE92" s="1090"/>
    </row>
    <row r="93" spans="1:31">
      <c r="A93" s="1090"/>
      <c r="B93" s="1090"/>
      <c r="C93" s="1090"/>
      <c r="D93" s="1090"/>
      <c r="E93" s="1090"/>
      <c r="F93" s="1090"/>
      <c r="G93" s="1090"/>
      <c r="H93" s="1090"/>
      <c r="I93" s="1090"/>
      <c r="J93" s="1090"/>
      <c r="K93" s="1090"/>
      <c r="L93" s="1090"/>
      <c r="M93" s="1090"/>
      <c r="N93" s="1090"/>
      <c r="O93" s="1090"/>
      <c r="P93" s="1090"/>
      <c r="Q93" s="1090"/>
      <c r="R93" s="1090"/>
      <c r="S93" s="1090"/>
      <c r="T93" s="1090"/>
      <c r="U93" s="1090"/>
      <c r="V93" s="1090"/>
      <c r="W93" s="173"/>
      <c r="X93" s="173"/>
      <c r="Y93" s="1091"/>
      <c r="Z93" s="1090"/>
      <c r="AA93" s="176"/>
      <c r="AB93" s="1103"/>
      <c r="AC93" s="1098"/>
      <c r="AD93" s="1090"/>
      <c r="AE93" s="1090"/>
    </row>
    <row r="94" spans="1:31">
      <c r="A94" s="1090"/>
      <c r="B94" s="1090"/>
      <c r="C94" s="1090"/>
      <c r="D94" s="1090"/>
      <c r="E94" s="1090"/>
      <c r="F94" s="1090"/>
      <c r="G94" s="1090"/>
      <c r="H94" s="1090"/>
      <c r="I94" s="1090"/>
      <c r="J94" s="1090"/>
      <c r="K94" s="1090"/>
      <c r="L94" s="1090"/>
      <c r="M94" s="1090"/>
      <c r="N94" s="1090"/>
      <c r="O94" s="1090"/>
      <c r="P94" s="1090"/>
      <c r="Q94" s="1090"/>
      <c r="R94" s="1090"/>
      <c r="S94" s="1090"/>
      <c r="T94" s="1090"/>
      <c r="U94" s="1090"/>
      <c r="V94" s="1090"/>
      <c r="W94" s="173"/>
      <c r="X94" s="173"/>
      <c r="Y94" s="1090"/>
      <c r="Z94" s="1090"/>
      <c r="AA94" s="176"/>
      <c r="AB94" s="1103"/>
      <c r="AC94" s="1103"/>
      <c r="AD94" s="1090"/>
      <c r="AE94" s="1090"/>
    </row>
    <row r="95" spans="1:31">
      <c r="A95" s="1090"/>
      <c r="B95" s="1090"/>
      <c r="C95" s="1090"/>
      <c r="D95" s="1090"/>
      <c r="E95" s="1090"/>
      <c r="F95" s="1090"/>
      <c r="G95" s="1090"/>
      <c r="H95" s="1090"/>
      <c r="I95" s="1090"/>
      <c r="J95" s="1090"/>
      <c r="K95" s="1090"/>
      <c r="L95" s="1090"/>
      <c r="M95" s="1090"/>
      <c r="N95" s="1090"/>
      <c r="O95" s="1090"/>
      <c r="P95" s="1090"/>
      <c r="Q95" s="1090"/>
      <c r="R95" s="1090"/>
      <c r="S95" s="1090"/>
      <c r="T95" s="1090"/>
      <c r="U95" s="1090"/>
      <c r="V95" s="1090"/>
      <c r="W95" s="173"/>
      <c r="X95" s="173"/>
      <c r="Y95" s="1091"/>
      <c r="Z95" s="1090"/>
      <c r="AA95" s="176"/>
      <c r="AB95" s="1103"/>
      <c r="AC95" s="1103"/>
      <c r="AD95" s="1090"/>
      <c r="AE95" s="1090"/>
    </row>
    <row r="96" spans="1:31">
      <c r="A96" s="1090"/>
      <c r="B96" s="1090"/>
      <c r="C96" s="1090"/>
      <c r="D96" s="1090"/>
      <c r="E96" s="1090"/>
      <c r="F96" s="1090"/>
      <c r="G96" s="1090"/>
      <c r="H96" s="1090"/>
      <c r="I96" s="1090"/>
      <c r="J96" s="1090"/>
      <c r="K96" s="1090"/>
      <c r="L96" s="1090"/>
      <c r="M96" s="1090"/>
      <c r="N96" s="1090"/>
      <c r="O96" s="1090"/>
      <c r="P96" s="1090"/>
      <c r="Q96" s="1090"/>
      <c r="R96" s="1090"/>
      <c r="S96" s="1090"/>
      <c r="T96" s="1090"/>
      <c r="U96" s="1090"/>
      <c r="V96" s="1090"/>
      <c r="W96" s="1090"/>
      <c r="X96" s="1090"/>
      <c r="Y96" s="1091"/>
      <c r="Z96" s="1090"/>
      <c r="AA96" s="176"/>
      <c r="AB96" s="1103"/>
      <c r="AC96" s="1098"/>
      <c r="AD96" s="1090"/>
      <c r="AE96" s="1090"/>
    </row>
    <row r="97" spans="1:31">
      <c r="A97" s="1090"/>
      <c r="B97" s="1090"/>
      <c r="C97" s="1090"/>
      <c r="D97" s="1090"/>
      <c r="E97" s="1090"/>
      <c r="F97" s="1090"/>
      <c r="G97" s="1090"/>
      <c r="H97" s="1090"/>
      <c r="I97" s="1090"/>
      <c r="J97" s="1090"/>
      <c r="K97" s="1090"/>
      <c r="L97" s="1090"/>
      <c r="M97" s="1090"/>
      <c r="N97" s="1090"/>
      <c r="O97" s="1090"/>
      <c r="P97" s="1090"/>
      <c r="Q97" s="1090"/>
      <c r="R97" s="1090"/>
      <c r="S97" s="1090"/>
      <c r="T97" s="1090"/>
      <c r="U97" s="1090"/>
      <c r="V97" s="1090"/>
      <c r="W97" s="1090"/>
      <c r="X97" s="1090"/>
      <c r="Y97" s="1090"/>
      <c r="Z97" s="1090"/>
      <c r="AA97" s="176"/>
      <c r="AB97" s="1103"/>
      <c r="AC97" s="1103"/>
      <c r="AD97" s="1090"/>
      <c r="AE97" s="1090"/>
    </row>
    <row r="98" spans="1:31">
      <c r="A98" s="1090"/>
      <c r="B98" s="1090"/>
      <c r="C98" s="1090"/>
      <c r="D98" s="1090"/>
      <c r="E98" s="1090"/>
      <c r="F98" s="1090"/>
      <c r="G98" s="1090"/>
      <c r="H98" s="1090"/>
      <c r="I98" s="1090"/>
      <c r="J98" s="1090"/>
      <c r="K98" s="1090"/>
      <c r="L98" s="1090"/>
      <c r="M98" s="1090"/>
      <c r="N98" s="1090"/>
      <c r="O98" s="1090"/>
      <c r="P98" s="1090"/>
      <c r="Q98" s="1090"/>
      <c r="R98" s="1090"/>
      <c r="S98" s="1090"/>
      <c r="T98" s="1090"/>
      <c r="U98" s="1090"/>
      <c r="V98" s="1090"/>
      <c r="W98" s="1090"/>
      <c r="X98" s="1090"/>
      <c r="Y98" s="1090"/>
      <c r="Z98" s="1090"/>
      <c r="AA98" s="176"/>
      <c r="AB98" s="1103"/>
      <c r="AC98" s="1100"/>
      <c r="AD98" s="1090"/>
      <c r="AE98" s="1090"/>
    </row>
    <row r="99" spans="1:31">
      <c r="A99" s="1090"/>
      <c r="B99" s="1090"/>
      <c r="C99" s="1090"/>
      <c r="D99" s="1090"/>
      <c r="E99" s="1090"/>
      <c r="F99" s="1090"/>
      <c r="G99" s="1090"/>
      <c r="H99" s="1090"/>
      <c r="I99" s="1090"/>
      <c r="J99" s="1090"/>
      <c r="K99" s="1090"/>
      <c r="L99" s="1090"/>
      <c r="M99" s="1090"/>
      <c r="N99" s="1090"/>
      <c r="O99" s="1090"/>
      <c r="P99" s="1090"/>
      <c r="Q99" s="1090"/>
      <c r="R99" s="1090"/>
      <c r="S99" s="1090"/>
      <c r="T99" s="1090"/>
      <c r="U99" s="1090"/>
      <c r="V99" s="1090"/>
      <c r="W99" s="1090"/>
      <c r="X99" s="1090"/>
      <c r="Y99" s="1091"/>
      <c r="Z99" s="1090"/>
      <c r="AA99" s="176"/>
      <c r="AB99" s="1103"/>
      <c r="AC99" s="1100"/>
      <c r="AD99" s="1090"/>
      <c r="AE99" s="1090"/>
    </row>
    <row r="100" spans="1:31">
      <c r="A100" s="1090"/>
      <c r="B100" s="1090"/>
      <c r="C100" s="1090"/>
      <c r="D100" s="1090"/>
      <c r="E100" s="1090"/>
      <c r="F100" s="1090"/>
      <c r="G100" s="1090"/>
      <c r="H100" s="1090"/>
      <c r="I100" s="1090"/>
      <c r="J100" s="1090"/>
      <c r="K100" s="1090"/>
      <c r="L100" s="1090"/>
      <c r="M100" s="1090"/>
      <c r="N100" s="1090"/>
      <c r="O100" s="1090"/>
      <c r="P100" s="1090"/>
      <c r="Q100" s="1090"/>
      <c r="R100" s="1090"/>
      <c r="S100" s="1090"/>
      <c r="T100" s="1090"/>
      <c r="U100" s="1090"/>
      <c r="V100" s="1090"/>
      <c r="W100" s="1090"/>
      <c r="X100" s="1090"/>
      <c r="Y100" s="1090"/>
      <c r="Z100" s="1090"/>
      <c r="AA100" s="1100"/>
      <c r="AB100" s="1103"/>
      <c r="AC100" s="1100"/>
      <c r="AD100" s="1090"/>
      <c r="AE100" s="1090"/>
    </row>
    <row r="101" spans="1:31">
      <c r="A101" s="1090"/>
      <c r="B101" s="1090"/>
      <c r="C101" s="1090"/>
      <c r="D101" s="1090"/>
      <c r="E101" s="1090"/>
      <c r="F101" s="1090"/>
      <c r="G101" s="1090"/>
      <c r="H101" s="1090"/>
      <c r="I101" s="1090"/>
      <c r="J101" s="1090"/>
      <c r="K101" s="1090"/>
      <c r="L101" s="1090"/>
      <c r="M101" s="1090"/>
      <c r="N101" s="1090"/>
      <c r="O101" s="1090"/>
      <c r="P101" s="1090"/>
      <c r="Q101" s="1090"/>
      <c r="R101" s="1090"/>
      <c r="S101" s="1090"/>
      <c r="T101" s="1090"/>
      <c r="U101" s="1090"/>
      <c r="V101" s="1090"/>
      <c r="W101" s="173"/>
      <c r="X101" s="173"/>
      <c r="Y101" s="1091"/>
      <c r="Z101" s="1090"/>
      <c r="AA101" s="1100"/>
      <c r="AB101" s="1103"/>
      <c r="AC101" s="1100"/>
      <c r="AD101" s="1090"/>
      <c r="AE101" s="1090"/>
    </row>
    <row r="102" spans="1:31">
      <c r="A102" s="1090"/>
      <c r="B102" s="1090"/>
      <c r="C102" s="1090"/>
      <c r="D102" s="1090"/>
      <c r="E102" s="1090"/>
      <c r="F102" s="1090"/>
      <c r="G102" s="1090"/>
      <c r="H102" s="1090"/>
      <c r="I102" s="1090"/>
      <c r="J102" s="1090"/>
      <c r="K102" s="1090"/>
      <c r="L102" s="1090"/>
      <c r="M102" s="1090"/>
      <c r="N102" s="1090"/>
      <c r="O102" s="1090"/>
      <c r="P102" s="1090"/>
      <c r="Q102" s="1090"/>
      <c r="R102" s="1090"/>
      <c r="S102" s="1090"/>
      <c r="T102" s="1090"/>
      <c r="U102" s="1090"/>
      <c r="V102" s="1090"/>
      <c r="W102" s="173"/>
      <c r="X102" s="173"/>
      <c r="Y102" s="1091"/>
      <c r="Z102" s="1090"/>
      <c r="AA102" s="176"/>
      <c r="AB102" s="1103"/>
      <c r="AC102" s="1098"/>
      <c r="AD102" s="1090"/>
      <c r="AE102" s="1090"/>
    </row>
    <row r="103" spans="1:31">
      <c r="A103" s="1090"/>
      <c r="B103" s="1090"/>
      <c r="C103" s="1090"/>
      <c r="D103" s="1090"/>
      <c r="E103" s="1090"/>
      <c r="F103" s="1090"/>
      <c r="G103" s="1090"/>
      <c r="H103" s="1090"/>
      <c r="I103" s="1090"/>
      <c r="J103" s="1090"/>
      <c r="K103" s="1090"/>
      <c r="L103" s="1090"/>
      <c r="M103" s="1090"/>
      <c r="N103" s="1090"/>
      <c r="O103" s="1090"/>
      <c r="P103" s="1090"/>
      <c r="Q103" s="1090"/>
      <c r="R103" s="1090"/>
      <c r="S103" s="1090"/>
      <c r="T103" s="1090"/>
      <c r="U103" s="1090"/>
      <c r="V103" s="1090"/>
      <c r="W103" s="173"/>
      <c r="X103" s="173"/>
      <c r="Y103" s="1090"/>
      <c r="Z103" s="1090"/>
      <c r="AA103" s="1100"/>
      <c r="AB103" s="1103"/>
      <c r="AC103" s="1100"/>
      <c r="AD103" s="1090"/>
      <c r="AE103" s="1090"/>
    </row>
    <row r="104" spans="1:31">
      <c r="A104" s="1090"/>
      <c r="B104" s="1090"/>
      <c r="C104" s="1090"/>
      <c r="D104" s="1090"/>
      <c r="E104" s="1090"/>
      <c r="F104" s="1090"/>
      <c r="G104" s="1090"/>
      <c r="H104" s="1090"/>
      <c r="I104" s="1090"/>
      <c r="J104" s="1090"/>
      <c r="K104" s="1090"/>
      <c r="L104" s="1090"/>
      <c r="M104" s="1090"/>
      <c r="N104" s="1090"/>
      <c r="O104" s="1090"/>
      <c r="P104" s="1090"/>
      <c r="Q104" s="1090"/>
      <c r="R104" s="1090"/>
      <c r="S104" s="1090"/>
      <c r="T104" s="1090"/>
      <c r="U104" s="1090"/>
      <c r="V104" s="1090"/>
      <c r="W104" s="173"/>
      <c r="X104" s="173"/>
      <c r="Y104" s="1091"/>
      <c r="Z104" s="1090"/>
      <c r="AA104" s="176"/>
      <c r="AB104" s="1103"/>
      <c r="AC104" s="1098"/>
      <c r="AD104" s="1090"/>
      <c r="AE104" s="1090"/>
    </row>
  </sheetData>
  <mergeCells count="3">
    <mergeCell ref="T53:U53"/>
    <mergeCell ref="T52:U52"/>
    <mergeCell ref="T54:U54"/>
  </mergeCells>
  <phoneticPr fontId="19" type="noConversion"/>
  <hyperlinks>
    <hyperlink ref="A5" location="Sch_A" display="." xr:uid="{00000000-0004-0000-1E00-000000000000}"/>
  </hyperlinks>
  <pageMargins left="1" right="0" top="1" bottom="0" header="0" footer="0"/>
  <pageSetup scale="7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syncVertical="1" syncRef="D14" transitionEvaluation="1" transitionEntry="1" codeName="Sheet16">
    <tabColor theme="4" tint="0.39997558519241921"/>
    <pageSetUpPr fitToPage="1"/>
  </sheetPr>
  <dimension ref="A1:T206"/>
  <sheetViews>
    <sheetView zoomScale="70" zoomScaleNormal="70" workbookViewId="0">
      <pane xSplit="3" ySplit="13" topLeftCell="D14" activePane="bottomRight" state="frozen"/>
      <selection pane="topRight" activeCell="D1" sqref="D1"/>
      <selection pane="bottomLeft" activeCell="A14" sqref="A14"/>
      <selection pane="bottomRight" activeCell="H86" sqref="H86"/>
    </sheetView>
  </sheetViews>
  <sheetFormatPr defaultColWidth="17.5546875" defaultRowHeight="13.2"/>
  <cols>
    <col min="1" max="1" width="6.44140625" style="691" customWidth="1"/>
    <col min="2" max="2" width="1" style="691" customWidth="1"/>
    <col min="3" max="3" width="86.44140625" style="691" customWidth="1"/>
    <col min="4" max="4" width="18.44140625" style="691" customWidth="1"/>
    <col min="5" max="5" width="13.44140625" style="691" customWidth="1"/>
    <col min="6" max="6" width="18" style="691" bestFit="1" customWidth="1"/>
    <col min="7" max="7" width="14.44140625" style="691" customWidth="1"/>
    <col min="8" max="8" width="19.44140625" style="691" customWidth="1"/>
    <col min="9" max="9" width="12.44140625" style="691" customWidth="1"/>
    <col min="10" max="10" width="18" style="691" bestFit="1" customWidth="1"/>
    <col min="11" max="11" width="15.44140625" style="691" customWidth="1"/>
    <col min="12" max="12" width="18" style="691" bestFit="1" customWidth="1"/>
    <col min="13" max="13" width="14.5546875" style="691" customWidth="1"/>
    <col min="14" max="14" width="22.5546875" style="691" customWidth="1"/>
    <col min="15" max="15" width="14.5546875" style="691" customWidth="1"/>
    <col min="16" max="16" width="18" style="691" bestFit="1" customWidth="1"/>
    <col min="17" max="17" width="15.109375" style="691" customWidth="1"/>
    <col min="18" max="18" width="12.5546875" style="691" customWidth="1"/>
    <col min="19" max="19" width="18" style="691" customWidth="1"/>
    <col min="20" max="16384" width="17.5546875" style="691"/>
  </cols>
  <sheetData>
    <row r="1" spans="1:20" ht="15">
      <c r="A1" s="698" t="str">
        <f>COMPANY</f>
        <v>DUKE ENERGY KENTUCKY, INC.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  <c r="O1" s="698"/>
      <c r="P1" s="698"/>
      <c r="Q1" s="698"/>
      <c r="R1" s="692"/>
      <c r="S1" s="46"/>
      <c r="T1" s="692"/>
    </row>
    <row r="2" spans="1:20" ht="15">
      <c r="A2" s="698" t="str">
        <f>CASE</f>
        <v>CASE NO. 2024-00354</v>
      </c>
      <c r="B2" s="698"/>
      <c r="C2" s="698"/>
      <c r="D2" s="698"/>
      <c r="E2" s="698"/>
      <c r="F2" s="698"/>
      <c r="G2" s="698"/>
      <c r="H2" s="698"/>
      <c r="I2" s="698"/>
      <c r="J2" s="698"/>
      <c r="K2" s="698"/>
      <c r="L2" s="698"/>
      <c r="M2" s="698"/>
      <c r="N2" s="698"/>
      <c r="O2" s="698"/>
      <c r="P2" s="698"/>
      <c r="Q2" s="698"/>
      <c r="R2" s="692"/>
      <c r="S2" s="46"/>
      <c r="T2" s="692"/>
    </row>
    <row r="3" spans="1:20" ht="15">
      <c r="A3" s="698" t="s">
        <v>1260</v>
      </c>
      <c r="B3" s="698"/>
      <c r="C3" s="698"/>
      <c r="D3" s="698"/>
      <c r="E3" s="698"/>
      <c r="F3" s="698"/>
      <c r="G3" s="698"/>
      <c r="H3" s="698"/>
      <c r="I3" s="698"/>
      <c r="J3" s="698"/>
      <c r="K3" s="698"/>
      <c r="L3" s="698"/>
      <c r="M3" s="698"/>
      <c r="N3" s="698"/>
      <c r="O3" s="698"/>
      <c r="P3" s="698"/>
      <c r="Q3" s="698"/>
      <c r="R3" s="692"/>
      <c r="S3" s="46"/>
      <c r="T3" s="692"/>
    </row>
    <row r="4" spans="1:20" ht="15">
      <c r="A4" s="1084" t="s">
        <v>1261</v>
      </c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2"/>
      <c r="S4" s="692"/>
      <c r="T4" s="692"/>
    </row>
    <row r="5" spans="1:20" ht="15">
      <c r="A5" s="1393" t="s">
        <v>55</v>
      </c>
      <c r="B5" s="692"/>
      <c r="C5" s="692"/>
      <c r="D5" s="692"/>
      <c r="E5" s="692"/>
      <c r="F5" s="692"/>
      <c r="G5" s="692"/>
      <c r="H5" s="692"/>
      <c r="I5" s="692"/>
      <c r="J5" s="692"/>
      <c r="K5" s="692"/>
      <c r="L5" s="692"/>
      <c r="M5" s="692"/>
      <c r="N5" s="692"/>
      <c r="O5" s="692"/>
      <c r="P5" s="692"/>
      <c r="Q5" s="692"/>
      <c r="R5" s="692"/>
      <c r="S5" s="692"/>
      <c r="T5" s="692"/>
    </row>
    <row r="6" spans="1:20" ht="15">
      <c r="A6" s="46" t="str">
        <f>DataB</f>
        <v>DATA: "X" BASE PERIOD  "X" FORECASTED PERIOD</v>
      </c>
      <c r="B6" s="692"/>
      <c r="C6" s="692"/>
      <c r="D6" s="692"/>
      <c r="E6" s="692"/>
      <c r="F6" s="692"/>
      <c r="G6" s="692"/>
      <c r="H6" s="692"/>
      <c r="I6" s="692"/>
      <c r="J6" s="692"/>
      <c r="K6" s="692"/>
      <c r="L6" s="692"/>
      <c r="M6" s="692"/>
      <c r="N6" s="46" t="s">
        <v>1262</v>
      </c>
      <c r="O6" s="46"/>
      <c r="P6" s="692"/>
      <c r="Q6" s="692"/>
      <c r="R6" s="692"/>
      <c r="S6" s="692"/>
      <c r="T6" s="692"/>
    </row>
    <row r="7" spans="1:20" ht="15">
      <c r="A7" s="46" t="str">
        <f>Type</f>
        <v xml:space="preserve">TYPE OF FILING:  "X" ORIGINAL   UPDATED    REVISED  </v>
      </c>
      <c r="B7" s="692"/>
      <c r="C7" s="692"/>
      <c r="D7" s="692"/>
      <c r="E7" s="692"/>
      <c r="F7" s="692"/>
      <c r="G7" s="692"/>
      <c r="H7" s="692"/>
      <c r="I7" s="692"/>
      <c r="J7" s="692"/>
      <c r="K7" s="692"/>
      <c r="L7" s="692"/>
      <c r="M7" s="692"/>
      <c r="N7" s="46" t="s">
        <v>571</v>
      </c>
      <c r="O7" s="46"/>
      <c r="P7" s="692"/>
      <c r="Q7" s="692"/>
      <c r="R7" s="692"/>
      <c r="S7" s="692"/>
      <c r="T7" s="692"/>
    </row>
    <row r="8" spans="1:20" ht="15.6">
      <c r="A8" s="46" t="s">
        <v>694</v>
      </c>
      <c r="B8" s="692"/>
      <c r="C8" s="692"/>
      <c r="D8" s="1805"/>
      <c r="E8" s="1805"/>
      <c r="F8" s="1805"/>
      <c r="G8" s="692"/>
      <c r="H8" s="1803"/>
      <c r="I8" s="692"/>
      <c r="J8" s="692"/>
      <c r="K8" s="692"/>
      <c r="L8" s="692"/>
      <c r="M8" s="692"/>
      <c r="N8" s="692" t="s">
        <v>468</v>
      </c>
      <c r="O8" s="692"/>
      <c r="P8" s="692"/>
      <c r="Q8" s="692"/>
      <c r="R8" s="692"/>
      <c r="S8" s="692"/>
      <c r="T8" s="692"/>
    </row>
    <row r="9" spans="1:20" ht="15.6">
      <c r="A9" s="46"/>
      <c r="B9" s="692"/>
      <c r="C9" s="692"/>
      <c r="D9" s="1805"/>
      <c r="E9" s="1805"/>
      <c r="F9" s="1805"/>
      <c r="G9" s="692"/>
      <c r="H9" s="1803"/>
      <c r="I9" s="692"/>
      <c r="J9" s="692"/>
      <c r="K9" s="692"/>
      <c r="L9" s="692"/>
      <c r="M9" s="692"/>
      <c r="N9" s="692" t="str">
        <f>_WIT6</f>
        <v>G. S. CARPENTER / D. L. WEATHERSTON</v>
      </c>
      <c r="O9" s="692"/>
      <c r="P9" s="692"/>
      <c r="Q9" s="692"/>
      <c r="R9" s="692"/>
      <c r="S9" s="692"/>
      <c r="T9" s="692"/>
    </row>
    <row r="10" spans="1:20" ht="15">
      <c r="A10" s="46"/>
      <c r="B10" s="692"/>
      <c r="C10" s="692"/>
      <c r="D10" s="1805"/>
      <c r="E10" s="1805"/>
      <c r="F10" s="1805"/>
      <c r="G10" s="692"/>
      <c r="H10" s="1804"/>
      <c r="I10" s="692"/>
      <c r="J10" s="692"/>
      <c r="K10" s="692"/>
      <c r="L10" s="692"/>
      <c r="M10" s="692"/>
      <c r="N10" s="692"/>
      <c r="O10" s="692"/>
      <c r="P10" s="692"/>
      <c r="Q10" s="692"/>
      <c r="R10" s="692"/>
      <c r="S10" s="692"/>
      <c r="T10" s="692"/>
    </row>
    <row r="11" spans="1:20" ht="15">
      <c r="A11" s="692"/>
      <c r="B11" s="692"/>
      <c r="C11" s="692"/>
      <c r="D11" s="1773" t="s">
        <v>499</v>
      </c>
      <c r="E11" s="692"/>
      <c r="F11" s="692"/>
      <c r="G11" s="692"/>
      <c r="H11" s="1488"/>
      <c r="I11" s="1774"/>
      <c r="J11" s="1774"/>
      <c r="K11" s="1774"/>
      <c r="L11" s="1774"/>
      <c r="M11" s="1774"/>
      <c r="N11" s="1774"/>
      <c r="O11" s="1774"/>
      <c r="P11" s="1774"/>
      <c r="Q11" s="692"/>
      <c r="R11" s="692"/>
      <c r="S11" s="692"/>
      <c r="T11" s="692"/>
    </row>
    <row r="12" spans="1:20" ht="15">
      <c r="A12" s="696" t="s">
        <v>471</v>
      </c>
      <c r="B12" s="696"/>
      <c r="C12" s="696"/>
      <c r="D12" s="696" t="s">
        <v>474</v>
      </c>
      <c r="E12" s="696" t="s">
        <v>420</v>
      </c>
      <c r="F12" s="1775" t="s">
        <v>473</v>
      </c>
      <c r="G12" s="696" t="s">
        <v>420</v>
      </c>
      <c r="H12" s="692"/>
      <c r="I12" s="696" t="s">
        <v>420</v>
      </c>
      <c r="J12" s="692"/>
      <c r="K12" s="696" t="s">
        <v>420</v>
      </c>
      <c r="L12" s="692"/>
      <c r="M12" s="696" t="s">
        <v>420</v>
      </c>
      <c r="N12" s="692"/>
      <c r="O12" s="696" t="s">
        <v>420</v>
      </c>
      <c r="P12" s="692"/>
      <c r="Q12" s="2125" t="s">
        <v>420</v>
      </c>
      <c r="R12" s="692"/>
      <c r="S12" s="692"/>
      <c r="T12" s="692"/>
    </row>
    <row r="13" spans="1:20" ht="15">
      <c r="A13" s="1488" t="s">
        <v>533</v>
      </c>
      <c r="B13" s="696"/>
      <c r="C13" s="1488" t="s">
        <v>1263</v>
      </c>
      <c r="D13" s="1776" t="s">
        <v>478</v>
      </c>
      <c r="E13" s="1776" t="s">
        <v>1</v>
      </c>
      <c r="F13" s="1776" t="s">
        <v>478</v>
      </c>
      <c r="G13" s="1776" t="s">
        <v>1</v>
      </c>
      <c r="H13" s="1777">
        <v>2023</v>
      </c>
      <c r="I13" s="1776" t="s">
        <v>1</v>
      </c>
      <c r="J13" s="1488">
        <f>H13-1</f>
        <v>2022</v>
      </c>
      <c r="K13" s="1776" t="s">
        <v>1</v>
      </c>
      <c r="L13" s="1488">
        <f>J13-1</f>
        <v>2021</v>
      </c>
      <c r="M13" s="1776" t="s">
        <v>1</v>
      </c>
      <c r="N13" s="1488">
        <f>L13-1</f>
        <v>2020</v>
      </c>
      <c r="O13" s="1776" t="s">
        <v>1</v>
      </c>
      <c r="P13" s="1488">
        <f>N13-1</f>
        <v>2019</v>
      </c>
      <c r="Q13" s="1776" t="s">
        <v>1</v>
      </c>
      <c r="R13" s="692"/>
      <c r="S13" s="1488">
        <f>P13-1</f>
        <v>2018</v>
      </c>
      <c r="T13" s="692"/>
    </row>
    <row r="14" spans="1:20" ht="15.6">
      <c r="A14" s="692">
        <v>1</v>
      </c>
      <c r="B14" s="692"/>
      <c r="C14" s="1778" t="s">
        <v>1264</v>
      </c>
      <c r="D14" s="1778"/>
      <c r="E14" s="1778"/>
      <c r="F14" s="695"/>
      <c r="G14" s="695"/>
      <c r="H14" s="1779"/>
      <c r="I14" s="1779"/>
      <c r="J14" s="1779"/>
      <c r="K14" s="1780"/>
      <c r="L14" s="1779"/>
      <c r="M14" s="1779"/>
      <c r="N14" s="1779"/>
      <c r="O14" s="1779"/>
      <c r="P14" s="1779"/>
      <c r="Q14" s="1779"/>
      <c r="R14" s="1781"/>
      <c r="S14" s="1779"/>
      <c r="T14" s="693"/>
    </row>
    <row r="15" spans="1:20" ht="15.6">
      <c r="A15" s="692">
        <v>2</v>
      </c>
      <c r="B15" s="692"/>
      <c r="C15" s="1778" t="s">
        <v>1265</v>
      </c>
      <c r="D15" s="1778"/>
      <c r="E15" s="1778"/>
      <c r="F15" s="693"/>
      <c r="G15" s="693"/>
      <c r="H15" s="693"/>
      <c r="I15" s="693"/>
      <c r="J15" s="693"/>
      <c r="K15" s="693"/>
      <c r="L15" s="693"/>
      <c r="M15" s="693"/>
      <c r="N15" s="693"/>
      <c r="O15" s="693"/>
      <c r="P15" s="693"/>
      <c r="Q15" s="693"/>
      <c r="R15" s="693"/>
      <c r="S15" s="693"/>
      <c r="T15" s="693"/>
    </row>
    <row r="16" spans="1:20" ht="15">
      <c r="A16" s="692">
        <v>3</v>
      </c>
      <c r="B16" s="692"/>
      <c r="C16" s="46" t="s">
        <v>1266</v>
      </c>
      <c r="D16" s="2407">
        <v>3712350509.0652618</v>
      </c>
      <c r="E16" s="1782">
        <f>IF(F16=0,"-",ROUND((D16-F16)/ABS(F16),4))</f>
        <v>4.48E-2</v>
      </c>
      <c r="F16" s="2407">
        <v>3553101242.6279631</v>
      </c>
      <c r="G16" s="1782">
        <f>IF(H16=0,"-",ROUND((F16-H16)/ABS(H16),4))</f>
        <v>7.5700000000000003E-2</v>
      </c>
      <c r="H16" s="2407">
        <v>3303112339</v>
      </c>
      <c r="I16" s="1782">
        <f>IF(J16=0,"-",ROUND((H16-J16)/ABS(J16),4))</f>
        <v>5.1499999999999997E-2</v>
      </c>
      <c r="J16" s="2407">
        <v>3141482103</v>
      </c>
      <c r="K16" s="1782">
        <f>IF(L16=0,"-",ROUND((J16-L16)/ABS(L16),4))</f>
        <v>4.8399999999999999E-2</v>
      </c>
      <c r="L16" s="2407">
        <v>2996350732</v>
      </c>
      <c r="M16" s="1782">
        <f>IF(N16=0,"-",ROUND((L16-N16)/ABS(N16),4))</f>
        <v>3.9899999999999998E-2</v>
      </c>
      <c r="N16" s="2407">
        <v>2881491826</v>
      </c>
      <c r="O16" s="1782">
        <f>IF(P16=0,"-",ROUND((N16-P16)/ABS(P16),4))</f>
        <v>9.4299999999999995E-2</v>
      </c>
      <c r="P16" s="2407">
        <v>2633071836</v>
      </c>
      <c r="Q16" s="1782">
        <f>IF(S16=0,"-",ROUND((P16-S16)/ABS(S16),4))</f>
        <v>9.74E-2</v>
      </c>
      <c r="R16" s="693"/>
      <c r="S16" s="2407">
        <v>2399457684</v>
      </c>
      <c r="T16" s="693"/>
    </row>
    <row r="17" spans="1:20" ht="15">
      <c r="A17" s="692">
        <v>4</v>
      </c>
      <c r="B17" s="692"/>
      <c r="C17" s="46" t="s">
        <v>1267</v>
      </c>
      <c r="D17" s="2408">
        <v>146003990.44819239</v>
      </c>
      <c r="E17" s="1782">
        <f>IF(F17=0,"-",ROUND((D17-F17)/ABS(F17),4))</f>
        <v>0.67449999999999999</v>
      </c>
      <c r="F17" s="2408">
        <v>87190524.240576893</v>
      </c>
      <c r="G17" s="1782">
        <f>IF(H17=0,"-",ROUND((F17-H17)/ABS(H17),4))</f>
        <v>-9.8000000000000004E-2</v>
      </c>
      <c r="H17" s="2408">
        <v>96665887</v>
      </c>
      <c r="I17" s="1782">
        <f>IF(J17=0,"-",ROUND((H17-J17)/ABS(J17),4))</f>
        <v>-1.5E-3</v>
      </c>
      <c r="J17" s="2408">
        <v>96808176</v>
      </c>
      <c r="K17" s="1782">
        <f>IF(L17=0,"-",ROUND((J17-L17)/ABS(L17),4))</f>
        <v>5.7000000000000002E-3</v>
      </c>
      <c r="L17" s="2408">
        <v>96259188</v>
      </c>
      <c r="M17" s="1782">
        <f>IF(N17=0,"-",ROUND((L17-N17)/ABS(N17),4))</f>
        <v>0.3664</v>
      </c>
      <c r="N17" s="2411">
        <v>70446121</v>
      </c>
      <c r="O17" s="1782">
        <f>IF(P17=0,"-",ROUND((N17-P17)/ABS(P17),4))</f>
        <v>-0.38550000000000001</v>
      </c>
      <c r="P17" s="2411">
        <v>114642467</v>
      </c>
      <c r="Q17" s="1782">
        <f>IF(S17=0,"-",ROUND((P17-S17)/ABS(S17),4))</f>
        <v>-3.4700000000000002E-2</v>
      </c>
      <c r="R17" s="693"/>
      <c r="S17" s="2411">
        <v>118766446</v>
      </c>
      <c r="T17" s="693"/>
    </row>
    <row r="18" spans="1:20" ht="15">
      <c r="A18" s="692">
        <v>5</v>
      </c>
      <c r="B18" s="692"/>
      <c r="C18" s="46" t="s">
        <v>1268</v>
      </c>
      <c r="D18" s="667">
        <f>D17+D16</f>
        <v>3858354499.5134544</v>
      </c>
      <c r="E18" s="1782">
        <f>IF(F18=0,"-",ROUND((D18-F18)/ABS(F18),4))</f>
        <v>5.9900000000000002E-2</v>
      </c>
      <c r="F18" s="667">
        <f>F17+F16</f>
        <v>3640291766.8685398</v>
      </c>
      <c r="G18" s="1782">
        <f>IF(H18=0,"-",ROUND((F18-H18)/ABS(H18),4))</f>
        <v>7.0699999999999999E-2</v>
      </c>
      <c r="H18" s="667">
        <f>H17+H16</f>
        <v>3399778226</v>
      </c>
      <c r="I18" s="1782">
        <f>IF(J18=0,"-",ROUND((H18-J18)/ABS(J18),4))</f>
        <v>4.99E-2</v>
      </c>
      <c r="J18" s="667">
        <f>J17+J16</f>
        <v>3238290279</v>
      </c>
      <c r="K18" s="1782">
        <f>IF(L18=0,"-",ROUND((J18-L18)/ABS(L18),4))</f>
        <v>4.7100000000000003E-2</v>
      </c>
      <c r="L18" s="667">
        <f>L17+L16</f>
        <v>3092609920</v>
      </c>
      <c r="M18" s="1782">
        <f>IF(N18=0,"-",ROUND((L18-N18)/ABS(N18),4))</f>
        <v>4.7699999999999999E-2</v>
      </c>
      <c r="N18" s="667">
        <f>N17+N16</f>
        <v>2951937947</v>
      </c>
      <c r="O18" s="1782">
        <f>IF(P18=0,"-",ROUND((N18-P18)/ABS(P18),4))</f>
        <v>7.4300000000000005E-2</v>
      </c>
      <c r="P18" s="667">
        <f>P17+P16</f>
        <v>2747714303</v>
      </c>
      <c r="Q18" s="1782">
        <f>IF(S18=0,"-",ROUND((P18-S18)/ABS(S18),4))</f>
        <v>9.11E-2</v>
      </c>
      <c r="R18" s="693"/>
      <c r="S18" s="667">
        <f>S17+S16</f>
        <v>2518224130</v>
      </c>
      <c r="T18" s="693"/>
    </row>
    <row r="19" spans="1:20" ht="15">
      <c r="A19" s="692">
        <v>6</v>
      </c>
      <c r="B19" s="692"/>
      <c r="C19" s="46" t="s">
        <v>1269</v>
      </c>
      <c r="D19" s="2407">
        <v>1276259328.6270852</v>
      </c>
      <c r="E19" s="1782">
        <f>IF(F19=0,"-",ROUND((D19-F19)/ABS(F19),4))</f>
        <v>4.7899999999999998E-2</v>
      </c>
      <c r="F19" s="2407">
        <v>1217929509.7576401</v>
      </c>
      <c r="G19" s="1782">
        <f>IF(H19=0,"-",ROUND((F19-H19)/ABS(H19),4))</f>
        <v>8.2400000000000001E-2</v>
      </c>
      <c r="H19" s="2407">
        <v>1125191209</v>
      </c>
      <c r="I19" s="1782">
        <f>IF(J19=0,"-",ROUND((H19-J19)/ABS(J19),4))</f>
        <v>5.4100000000000002E-2</v>
      </c>
      <c r="J19" s="2407">
        <v>1067492714</v>
      </c>
      <c r="K19" s="1782">
        <f>IF(L19=0,"-",ROUND((J19-L19)/ABS(L19),4))</f>
        <v>-5.7999999999999996E-3</v>
      </c>
      <c r="L19" s="2407">
        <v>1073764061</v>
      </c>
      <c r="M19" s="1782">
        <f>IF(N19=0,"-",ROUND((L19-N19)/ABS(N19),4))</f>
        <v>2.7799999999999998E-2</v>
      </c>
      <c r="N19" s="2407">
        <v>1044742638</v>
      </c>
      <c r="O19" s="1782">
        <f>IF(P19=0,"-",ROUND((N19-P19)/ABS(P19),4))</f>
        <v>3.9300000000000002E-2</v>
      </c>
      <c r="P19" s="2407">
        <v>1005243913</v>
      </c>
      <c r="Q19" s="1782">
        <f>IF(S19=0,"-",ROUND((P19-S19)/ABS(S19),4))</f>
        <v>1.2800000000000001E-2</v>
      </c>
      <c r="R19" s="693"/>
      <c r="S19" s="2407">
        <v>992560885</v>
      </c>
      <c r="T19" s="693"/>
    </row>
    <row r="20" spans="1:20" ht="15">
      <c r="A20" s="692">
        <v>7</v>
      </c>
      <c r="B20" s="692"/>
      <c r="C20" s="46" t="s">
        <v>1270</v>
      </c>
      <c r="D20" s="2126">
        <f>D18-D19</f>
        <v>2582095170.8863692</v>
      </c>
      <c r="E20" s="1782">
        <f>IF(F20=0,"-",ROUND((D20-F20)/ABS(F20),4))</f>
        <v>6.59E-2</v>
      </c>
      <c r="F20" s="2126">
        <f>F18-F19</f>
        <v>2422362257.1108999</v>
      </c>
      <c r="G20" s="1782">
        <f>IF(H20=0,"-",ROUND((F20-H20)/ABS(H20),4))</f>
        <v>6.5000000000000002E-2</v>
      </c>
      <c r="H20" s="2126">
        <f>H18-H19</f>
        <v>2274587017</v>
      </c>
      <c r="I20" s="1782">
        <f>IF(J20=0,"-",ROUND((H20-J20)/ABS(J20),4))</f>
        <v>4.7800000000000002E-2</v>
      </c>
      <c r="J20" s="2126">
        <f>J18-J19</f>
        <v>2170797565</v>
      </c>
      <c r="K20" s="1782">
        <f>IF(L20=0,"-",ROUND((J20-L20)/ABS(L20),4))</f>
        <v>7.5300000000000006E-2</v>
      </c>
      <c r="L20" s="2126">
        <f>L18-L19</f>
        <v>2018845859</v>
      </c>
      <c r="M20" s="1782">
        <f>IF(N20=0,"-",ROUND((L20-N20)/ABS(N20),4))</f>
        <v>5.8500000000000003E-2</v>
      </c>
      <c r="N20" s="2126">
        <f>N18-N19</f>
        <v>1907195309</v>
      </c>
      <c r="O20" s="1782">
        <f>IF(P20=0,"-",ROUND((N20-P20)/ABS(P20),4))</f>
        <v>9.4500000000000001E-2</v>
      </c>
      <c r="P20" s="2126">
        <f>P18-P19</f>
        <v>1742470390</v>
      </c>
      <c r="Q20" s="1782">
        <f>IF(S20=0,"-",ROUND((P20-S20)/ABS(S20),4))</f>
        <v>0.1421</v>
      </c>
      <c r="R20" s="693"/>
      <c r="S20" s="2126">
        <f>S18-S19</f>
        <v>1525663245</v>
      </c>
      <c r="T20" s="693"/>
    </row>
    <row r="21" spans="1:20" ht="15.6">
      <c r="A21" s="692">
        <v>8</v>
      </c>
      <c r="B21" s="692"/>
      <c r="C21" s="1778" t="s">
        <v>1271</v>
      </c>
      <c r="D21" s="667"/>
      <c r="E21" s="667"/>
      <c r="F21" s="667"/>
      <c r="G21" s="667"/>
      <c r="H21" s="667"/>
      <c r="I21" s="667"/>
      <c r="J21" s="667"/>
      <c r="K21" s="667"/>
      <c r="L21" s="667"/>
      <c r="M21" s="667"/>
      <c r="N21" s="667"/>
      <c r="O21" s="667"/>
      <c r="P21" s="667"/>
      <c r="Q21" s="667"/>
      <c r="R21" s="693"/>
      <c r="S21" s="667"/>
      <c r="T21" s="693"/>
    </row>
    <row r="22" spans="1:20" ht="15">
      <c r="A22" s="692">
        <v>9</v>
      </c>
      <c r="B22" s="692"/>
      <c r="C22" s="46" t="s">
        <v>1272</v>
      </c>
      <c r="D22" s="2407">
        <v>29330.400000000001</v>
      </c>
      <c r="E22" s="1782">
        <f t="shared" ref="E22:E28" si="0">IF(F22=0,"-",ROUND((D22-F22)/ABS(F22),4))</f>
        <v>0</v>
      </c>
      <c r="F22" s="2407">
        <v>29330.400000000001</v>
      </c>
      <c r="G22" s="1782">
        <f t="shared" ref="G22:G28" si="1">IF(H22=0,"-",ROUND((F22-H22)/ABS(H22),4))</f>
        <v>-0.97760000000000002</v>
      </c>
      <c r="H22" s="2407">
        <v>1311314</v>
      </c>
      <c r="I22" s="1782">
        <f t="shared" ref="I22:I28" si="2">IF(J22=0,"-",ROUND((H22-J22)/ABS(J22),4))</f>
        <v>3.4299999999999997E-2</v>
      </c>
      <c r="J22" s="2407">
        <v>1267876</v>
      </c>
      <c r="K22" s="1782">
        <f t="shared" ref="K22:K28" si="3">IF(L22=0,"-",ROUND((J22-L22)/ABS(L22),4))</f>
        <v>1.6299999999999999E-2</v>
      </c>
      <c r="L22" s="2407">
        <v>1247563</v>
      </c>
      <c r="M22" s="1782">
        <f t="shared" ref="M22:M28" si="4">IF(N22=0,"-",ROUND((L22-N22)/ABS(N22),4))</f>
        <v>2.2200000000000001E-2</v>
      </c>
      <c r="N22" s="2407">
        <v>1220439</v>
      </c>
      <c r="O22" s="1782">
        <f t="shared" ref="O22:O28" si="5">IF(P22=0,"-",ROUND((N22-P22)/ABS(P22),4))</f>
        <v>-8.6E-3</v>
      </c>
      <c r="P22" s="2407">
        <v>1231001</v>
      </c>
      <c r="Q22" s="1782">
        <f t="shared" ref="Q22:Q28" si="6">IF(S22=0,"-",ROUND((P22-S22)/ABS(S22),4))</f>
        <v>0.2487</v>
      </c>
      <c r="R22" s="693"/>
      <c r="S22" s="2407">
        <v>985844</v>
      </c>
      <c r="T22" s="693"/>
    </row>
    <row r="23" spans="1:20" ht="15">
      <c r="A23" s="692">
        <v>10</v>
      </c>
      <c r="B23" s="692"/>
      <c r="C23" s="46" t="s">
        <v>1273</v>
      </c>
      <c r="D23" s="2407">
        <v>0</v>
      </c>
      <c r="E23" s="1782" t="str">
        <f t="shared" si="0"/>
        <v>-</v>
      </c>
      <c r="F23" s="2407">
        <v>0</v>
      </c>
      <c r="G23" s="1782">
        <f t="shared" si="1"/>
        <v>-1</v>
      </c>
      <c r="H23" s="2407">
        <v>3014</v>
      </c>
      <c r="I23" s="1782" t="str">
        <f t="shared" si="2"/>
        <v>-</v>
      </c>
      <c r="J23" s="2407">
        <v>0</v>
      </c>
      <c r="K23" s="1782" t="str">
        <f t="shared" si="3"/>
        <v>-</v>
      </c>
      <c r="L23" s="2407"/>
      <c r="M23" s="1782" t="str">
        <f t="shared" si="4"/>
        <v>-</v>
      </c>
      <c r="N23" s="2407">
        <v>0</v>
      </c>
      <c r="O23" s="1782" t="str">
        <f t="shared" si="5"/>
        <v>-</v>
      </c>
      <c r="P23" s="2407">
        <v>0</v>
      </c>
      <c r="Q23" s="1782" t="str">
        <f t="shared" si="6"/>
        <v>-</v>
      </c>
      <c r="R23" s="693"/>
      <c r="S23" s="2407">
        <v>0</v>
      </c>
      <c r="T23" s="693"/>
    </row>
    <row r="24" spans="1:20" ht="15">
      <c r="A24" s="692">
        <v>11</v>
      </c>
      <c r="B24" s="692"/>
      <c r="C24" s="46" t="s">
        <v>1274</v>
      </c>
      <c r="D24" s="2407">
        <v>0</v>
      </c>
      <c r="E24" s="1782" t="str">
        <f t="shared" si="0"/>
        <v>-</v>
      </c>
      <c r="F24" s="2407">
        <v>0</v>
      </c>
      <c r="G24" s="1782" t="str">
        <f t="shared" si="1"/>
        <v>-</v>
      </c>
      <c r="H24" s="2407"/>
      <c r="I24" s="1782" t="str">
        <f t="shared" si="2"/>
        <v>-</v>
      </c>
      <c r="J24" s="2407">
        <v>0</v>
      </c>
      <c r="K24" s="1782" t="str">
        <f t="shared" si="3"/>
        <v>-</v>
      </c>
      <c r="L24" s="2407"/>
      <c r="M24" s="1782" t="str">
        <f t="shared" si="4"/>
        <v>-</v>
      </c>
      <c r="N24" s="2407">
        <v>0</v>
      </c>
      <c r="O24" s="1782" t="str">
        <f t="shared" si="5"/>
        <v>-</v>
      </c>
      <c r="P24" s="2407">
        <v>0</v>
      </c>
      <c r="Q24" s="1782" t="str">
        <f t="shared" si="6"/>
        <v>-</v>
      </c>
      <c r="R24" s="693"/>
      <c r="S24" s="2407">
        <v>0</v>
      </c>
      <c r="T24" s="693"/>
    </row>
    <row r="25" spans="1:20" ht="15">
      <c r="A25" s="692">
        <v>12</v>
      </c>
      <c r="B25" s="692"/>
      <c r="C25" s="46" t="s">
        <v>1275</v>
      </c>
      <c r="D25" s="2407">
        <v>1500</v>
      </c>
      <c r="E25" s="1782">
        <f t="shared" si="0"/>
        <v>0</v>
      </c>
      <c r="F25" s="2407">
        <v>1500</v>
      </c>
      <c r="G25" s="1782">
        <f t="shared" si="1"/>
        <v>0</v>
      </c>
      <c r="H25" s="2407">
        <v>1500</v>
      </c>
      <c r="I25" s="1782">
        <f t="shared" si="2"/>
        <v>0</v>
      </c>
      <c r="J25" s="2407">
        <v>1500</v>
      </c>
      <c r="K25" s="1782">
        <f t="shared" si="3"/>
        <v>0</v>
      </c>
      <c r="L25" s="2407">
        <v>1500</v>
      </c>
      <c r="M25" s="1782">
        <f t="shared" si="4"/>
        <v>0</v>
      </c>
      <c r="N25" s="2407">
        <v>1500</v>
      </c>
      <c r="O25" s="1782">
        <f t="shared" si="5"/>
        <v>0</v>
      </c>
      <c r="P25" s="2407">
        <v>1500</v>
      </c>
      <c r="Q25" s="1782">
        <f t="shared" si="6"/>
        <v>0</v>
      </c>
      <c r="R25" s="693"/>
      <c r="S25" s="2407">
        <v>1500</v>
      </c>
      <c r="T25" s="693"/>
    </row>
    <row r="26" spans="1:20" ht="15">
      <c r="A26" s="692">
        <v>13</v>
      </c>
      <c r="B26" s="692"/>
      <c r="C26" s="46" t="s">
        <v>1276</v>
      </c>
      <c r="D26" s="2407">
        <v>19577792.589999903</v>
      </c>
      <c r="E26" s="1782">
        <f t="shared" si="0"/>
        <v>0</v>
      </c>
      <c r="F26" s="2407">
        <v>19577792.589999899</v>
      </c>
      <c r="G26" s="1782">
        <f t="shared" si="1"/>
        <v>6.7199999999999996E-2</v>
      </c>
      <c r="H26" s="2407">
        <v>18344727</v>
      </c>
      <c r="I26" s="1782">
        <f t="shared" si="2"/>
        <v>0.13550000000000001</v>
      </c>
      <c r="J26" s="2407">
        <v>16155189</v>
      </c>
      <c r="K26" s="1782">
        <f t="shared" si="3"/>
        <v>-1.38E-2</v>
      </c>
      <c r="L26" s="2407">
        <v>16381482</v>
      </c>
      <c r="M26" s="1782">
        <f t="shared" si="4"/>
        <v>0.27460000000000001</v>
      </c>
      <c r="N26" s="2407">
        <v>12851866</v>
      </c>
      <c r="O26" s="1782">
        <f t="shared" si="5"/>
        <v>0.31480000000000002</v>
      </c>
      <c r="P26" s="2407">
        <v>9774894</v>
      </c>
      <c r="Q26" s="1782">
        <f t="shared" si="6"/>
        <v>0.33339999999999997</v>
      </c>
      <c r="R26" s="693"/>
      <c r="S26" s="2407">
        <v>7330598</v>
      </c>
      <c r="T26" s="693"/>
    </row>
    <row r="27" spans="1:20" ht="15">
      <c r="A27" s="692">
        <v>14</v>
      </c>
      <c r="B27" s="692"/>
      <c r="C27" s="46" t="s">
        <v>1277</v>
      </c>
      <c r="D27" s="2407">
        <v>0</v>
      </c>
      <c r="E27" s="1782" t="str">
        <f t="shared" si="0"/>
        <v>-</v>
      </c>
      <c r="F27" s="2407">
        <v>0</v>
      </c>
      <c r="G27" s="1782">
        <f t="shared" si="1"/>
        <v>-1</v>
      </c>
      <c r="H27" s="2407">
        <v>85796</v>
      </c>
      <c r="I27" s="1782" t="str">
        <f t="shared" si="2"/>
        <v>-</v>
      </c>
      <c r="J27" s="2407">
        <v>0</v>
      </c>
      <c r="K27" s="1782">
        <f t="shared" si="3"/>
        <v>-1</v>
      </c>
      <c r="L27" s="2407">
        <v>111502</v>
      </c>
      <c r="M27" s="1782">
        <f t="shared" si="4"/>
        <v>-0.64910000000000001</v>
      </c>
      <c r="N27" s="2407">
        <v>317782</v>
      </c>
      <c r="O27" s="1782">
        <f t="shared" si="5"/>
        <v>-0.57589999999999997</v>
      </c>
      <c r="P27" s="2407">
        <v>749242</v>
      </c>
      <c r="Q27" s="1782">
        <f t="shared" si="6"/>
        <v>1.018</v>
      </c>
      <c r="R27" s="693"/>
      <c r="S27" s="2407">
        <v>371272</v>
      </c>
      <c r="T27" s="693"/>
    </row>
    <row r="28" spans="1:20" ht="15">
      <c r="A28" s="692">
        <v>15</v>
      </c>
      <c r="B28" s="692"/>
      <c r="C28" s="46" t="s">
        <v>1278</v>
      </c>
      <c r="D28" s="2126">
        <f>D22-D23+D24+D25+D26+D27</f>
        <v>19608622.989999902</v>
      </c>
      <c r="E28" s="1782">
        <f t="shared" si="0"/>
        <v>0</v>
      </c>
      <c r="F28" s="2126">
        <f>F22-F23+F24+F25+F26+F27</f>
        <v>19608622.989999898</v>
      </c>
      <c r="G28" s="1782">
        <f t="shared" si="1"/>
        <v>-6.7000000000000002E-3</v>
      </c>
      <c r="H28" s="2126">
        <f>H22-H23+H24+H25+H26+H27</f>
        <v>19740323</v>
      </c>
      <c r="I28" s="1782">
        <f t="shared" si="2"/>
        <v>0.13289999999999999</v>
      </c>
      <c r="J28" s="2126">
        <f>J22-J23+J24+J25+J26+J27</f>
        <v>17424565</v>
      </c>
      <c r="K28" s="1782">
        <f t="shared" si="3"/>
        <v>-1.7899999999999999E-2</v>
      </c>
      <c r="L28" s="2126">
        <f>L22-L23+L24+L25+L26+L27</f>
        <v>17742047</v>
      </c>
      <c r="M28" s="1782">
        <f t="shared" si="4"/>
        <v>0.23280000000000001</v>
      </c>
      <c r="N28" s="2126">
        <f>N22-N23+N24+N25+N26+N27</f>
        <v>14391587</v>
      </c>
      <c r="O28" s="1782">
        <f t="shared" si="5"/>
        <v>0.22409999999999999</v>
      </c>
      <c r="P28" s="2126">
        <f>P22-P23+P24+P25+P26+P27</f>
        <v>11756637</v>
      </c>
      <c r="Q28" s="1782">
        <f t="shared" si="6"/>
        <v>0.35299999999999998</v>
      </c>
      <c r="R28" s="693"/>
      <c r="S28" s="2126">
        <f>S22-S23+S24+S25+S26+S27</f>
        <v>8689214</v>
      </c>
      <c r="T28" s="693"/>
    </row>
    <row r="29" spans="1:20" ht="15.6">
      <c r="A29" s="692">
        <v>16</v>
      </c>
      <c r="B29" s="692"/>
      <c r="C29" s="1778" t="s">
        <v>1279</v>
      </c>
      <c r="D29" s="667"/>
      <c r="E29" s="667"/>
      <c r="F29" s="667"/>
      <c r="G29" s="667"/>
      <c r="H29" s="667"/>
      <c r="I29" s="667"/>
      <c r="J29" s="667"/>
      <c r="K29" s="667"/>
      <c r="L29" s="667"/>
      <c r="M29" s="667"/>
      <c r="N29" s="667"/>
      <c r="O29" s="667"/>
      <c r="P29" s="667"/>
      <c r="Q29" s="667"/>
      <c r="R29" s="693"/>
      <c r="S29" s="667"/>
      <c r="T29" s="693"/>
    </row>
    <row r="30" spans="1:20" ht="15">
      <c r="A30" s="692">
        <v>17</v>
      </c>
      <c r="B30" s="692"/>
      <c r="C30" s="46" t="s">
        <v>1280</v>
      </c>
      <c r="D30" s="2409">
        <v>14622305.271414416</v>
      </c>
      <c r="E30" s="1782">
        <f t="shared" ref="E30:E50" si="7">IF(F30=0,"-",ROUND((D30-F30)/ABS(F30),4))</f>
        <v>1.9845999999999999</v>
      </c>
      <c r="F30" s="2409">
        <v>4899266.9888174199</v>
      </c>
      <c r="G30" s="1782">
        <f t="shared" ref="G30:G50" si="8">IF(H30=0,"-",ROUND((F30-H30)/ABS(H30),4))</f>
        <v>0.59719999999999995</v>
      </c>
      <c r="H30" s="2409">
        <v>3067382</v>
      </c>
      <c r="I30" s="1782">
        <f t="shared" ref="I30:I50" si="9">IF(J30=0,"-",ROUND((H30-J30)/ABS(J30),4))</f>
        <v>-7.7899999999999997E-2</v>
      </c>
      <c r="J30" s="2407">
        <v>3326498</v>
      </c>
      <c r="K30" s="1782">
        <f t="shared" ref="K30:K50" si="10">IF(L30=0,"-",ROUND((J30-L30)/ABS(L30),4))</f>
        <v>-0.39329999999999998</v>
      </c>
      <c r="L30" s="2409">
        <v>5482547</v>
      </c>
      <c r="M30" s="1782">
        <f t="shared" ref="M30:M50" si="11">IF(N30=0,"-",ROUND((L30-N30)/ABS(N30),4))</f>
        <v>0.27589999999999998</v>
      </c>
      <c r="N30" s="2407">
        <v>4296974</v>
      </c>
      <c r="O30" s="1782">
        <f t="shared" ref="O30:O50" si="12">IF(P30=0,"-",ROUND((N30-P30)/ABS(P30),4))</f>
        <v>-0.3987</v>
      </c>
      <c r="P30" s="2407">
        <v>7145664</v>
      </c>
      <c r="Q30" s="1782">
        <f t="shared" ref="Q30:Q50" si="13">IF(S30=0,"-",ROUND((P30-S30)/ABS(S30),4))</f>
        <v>-8.0699999999999994E-2</v>
      </c>
      <c r="R30" s="693"/>
      <c r="S30" s="2407">
        <v>7772710</v>
      </c>
      <c r="T30" s="693"/>
    </row>
    <row r="31" spans="1:20" ht="15">
      <c r="A31" s="692">
        <v>18</v>
      </c>
      <c r="B31" s="692"/>
      <c r="C31" s="46" t="s">
        <v>1281</v>
      </c>
      <c r="D31" s="2409">
        <v>0</v>
      </c>
      <c r="E31" s="1782" t="str">
        <f t="shared" si="7"/>
        <v>-</v>
      </c>
      <c r="F31" s="2409">
        <v>0</v>
      </c>
      <c r="G31" s="1782" t="str">
        <f t="shared" si="8"/>
        <v>-</v>
      </c>
      <c r="H31" s="2409">
        <v>0</v>
      </c>
      <c r="I31" s="1782" t="str">
        <f t="shared" si="9"/>
        <v>-</v>
      </c>
      <c r="J31" s="2407">
        <v>0</v>
      </c>
      <c r="K31" s="1782" t="str">
        <f t="shared" si="10"/>
        <v>-</v>
      </c>
      <c r="L31" s="2409">
        <v>0</v>
      </c>
      <c r="M31" s="1782" t="str">
        <f t="shared" si="11"/>
        <v>-</v>
      </c>
      <c r="N31" s="2407">
        <v>0</v>
      </c>
      <c r="O31" s="1782" t="str">
        <f t="shared" si="12"/>
        <v>-</v>
      </c>
      <c r="P31" s="2407">
        <v>0</v>
      </c>
      <c r="Q31" s="1782" t="str">
        <f t="shared" si="13"/>
        <v>-</v>
      </c>
      <c r="R31" s="693"/>
      <c r="S31" s="2407">
        <v>0</v>
      </c>
      <c r="T31" s="693"/>
    </row>
    <row r="32" spans="1:20" ht="15">
      <c r="A32" s="692">
        <v>19</v>
      </c>
      <c r="B32" s="692"/>
      <c r="C32" s="46" t="s">
        <v>1282</v>
      </c>
      <c r="D32" s="2409">
        <v>0</v>
      </c>
      <c r="E32" s="1782" t="str">
        <f t="shared" si="7"/>
        <v>-</v>
      </c>
      <c r="F32" s="2409">
        <v>0</v>
      </c>
      <c r="G32" s="1782" t="str">
        <f t="shared" si="8"/>
        <v>-</v>
      </c>
      <c r="H32" s="2409">
        <v>0</v>
      </c>
      <c r="I32" s="1782" t="str">
        <f t="shared" si="9"/>
        <v>-</v>
      </c>
      <c r="J32" s="2407">
        <v>0</v>
      </c>
      <c r="K32" s="1782" t="str">
        <f t="shared" si="10"/>
        <v>-</v>
      </c>
      <c r="L32" s="2409">
        <v>0</v>
      </c>
      <c r="M32" s="1782" t="str">
        <f t="shared" si="11"/>
        <v>-</v>
      </c>
      <c r="N32" s="2407">
        <v>0</v>
      </c>
      <c r="O32" s="1782" t="str">
        <f t="shared" si="12"/>
        <v>-</v>
      </c>
      <c r="P32" s="2407">
        <v>0</v>
      </c>
      <c r="Q32" s="1782" t="str">
        <f t="shared" si="13"/>
        <v>-</v>
      </c>
      <c r="R32" s="693"/>
      <c r="S32" s="2407">
        <v>0</v>
      </c>
      <c r="T32" s="693"/>
    </row>
    <row r="33" spans="1:20" ht="15">
      <c r="A33" s="692">
        <v>20</v>
      </c>
      <c r="B33" s="692"/>
      <c r="C33" s="46" t="s">
        <v>1283</v>
      </c>
      <c r="D33" s="2409">
        <v>0</v>
      </c>
      <c r="E33" s="1782" t="str">
        <f t="shared" si="7"/>
        <v>-</v>
      </c>
      <c r="F33" s="2409">
        <v>0</v>
      </c>
      <c r="G33" s="1782" t="str">
        <f t="shared" si="8"/>
        <v>-</v>
      </c>
      <c r="H33" s="2409">
        <v>0</v>
      </c>
      <c r="I33" s="1782" t="str">
        <f t="shared" si="9"/>
        <v>-</v>
      </c>
      <c r="J33" s="2407">
        <v>0</v>
      </c>
      <c r="K33" s="1782" t="str">
        <f t="shared" si="10"/>
        <v>-</v>
      </c>
      <c r="L33" s="2409">
        <v>0</v>
      </c>
      <c r="M33" s="1782" t="str">
        <f t="shared" si="11"/>
        <v>-</v>
      </c>
      <c r="N33" s="2407">
        <v>0</v>
      </c>
      <c r="O33" s="1782" t="str">
        <f t="shared" si="12"/>
        <v>-</v>
      </c>
      <c r="P33" s="2407">
        <v>0</v>
      </c>
      <c r="Q33" s="1782" t="str">
        <f t="shared" si="13"/>
        <v>-</v>
      </c>
      <c r="R33" s="693"/>
      <c r="S33" s="2407">
        <v>0</v>
      </c>
      <c r="T33" s="693"/>
    </row>
    <row r="34" spans="1:20" ht="15">
      <c r="A34" s="692">
        <v>21</v>
      </c>
      <c r="B34" s="692"/>
      <c r="C34" s="46" t="s">
        <v>1284</v>
      </c>
      <c r="D34" s="2409">
        <v>103934983.55521892</v>
      </c>
      <c r="E34" s="1782">
        <f t="shared" si="7"/>
        <v>-6.4299999999999996E-2</v>
      </c>
      <c r="F34" s="2409">
        <v>111080319.566007</v>
      </c>
      <c r="G34" s="1782">
        <f t="shared" si="8"/>
        <v>4.6098999999999997</v>
      </c>
      <c r="H34" s="2409">
        <v>19800922</v>
      </c>
      <c r="I34" s="1782">
        <f t="shared" si="9"/>
        <v>-0.23719999999999999</v>
      </c>
      <c r="J34" s="2407">
        <v>25957928</v>
      </c>
      <c r="K34" s="1782">
        <f t="shared" si="10"/>
        <v>0.25430000000000003</v>
      </c>
      <c r="L34" s="2409">
        <v>20694604</v>
      </c>
      <c r="M34" s="1782">
        <f t="shared" si="11"/>
        <v>2.3197000000000001</v>
      </c>
      <c r="N34" s="2407">
        <v>6233908</v>
      </c>
      <c r="O34" s="1782">
        <f t="shared" si="12"/>
        <v>0.2717</v>
      </c>
      <c r="P34" s="2407">
        <v>4902218</v>
      </c>
      <c r="Q34" s="1782">
        <f t="shared" si="13"/>
        <v>-4.7999999999999996E-3</v>
      </c>
      <c r="R34" s="693"/>
      <c r="S34" s="2407">
        <v>4925759</v>
      </c>
      <c r="T34" s="693"/>
    </row>
    <row r="35" spans="1:20" ht="15">
      <c r="A35" s="692">
        <v>22</v>
      </c>
      <c r="B35" s="692"/>
      <c r="C35" s="46" t="s">
        <v>1285</v>
      </c>
      <c r="D35" s="2409">
        <v>443929.60999999917</v>
      </c>
      <c r="E35" s="1782">
        <f t="shared" si="7"/>
        <v>0</v>
      </c>
      <c r="F35" s="2409">
        <v>443929.609999999</v>
      </c>
      <c r="G35" s="1782">
        <f t="shared" si="8"/>
        <v>-0.76859999999999995</v>
      </c>
      <c r="H35" s="2409">
        <v>1918271</v>
      </c>
      <c r="I35" s="1782">
        <f t="shared" si="9"/>
        <v>0.18260000000000001</v>
      </c>
      <c r="J35" s="2407">
        <v>1622091</v>
      </c>
      <c r="K35" s="1782">
        <f t="shared" si="10"/>
        <v>-0.2429</v>
      </c>
      <c r="L35" s="2409">
        <v>2142390</v>
      </c>
      <c r="M35" s="1782">
        <f t="shared" si="11"/>
        <v>8.1299999999999997E-2</v>
      </c>
      <c r="N35" s="2407">
        <v>1981275</v>
      </c>
      <c r="O35" s="1782">
        <f t="shared" si="12"/>
        <v>-0.21609999999999999</v>
      </c>
      <c r="P35" s="2407">
        <v>2527496</v>
      </c>
      <c r="Q35" s="1782">
        <f t="shared" si="13"/>
        <v>-0.58499999999999996</v>
      </c>
      <c r="R35" s="693"/>
      <c r="S35" s="2407">
        <v>6089935</v>
      </c>
      <c r="T35" s="693"/>
    </row>
    <row r="36" spans="1:20" ht="15">
      <c r="A36" s="692">
        <v>23</v>
      </c>
      <c r="B36" s="692"/>
      <c r="C36" s="45" t="s">
        <v>1286</v>
      </c>
      <c r="D36" s="2409">
        <v>-4017612.5299999989</v>
      </c>
      <c r="E36" s="1782">
        <f t="shared" si="7"/>
        <v>0</v>
      </c>
      <c r="F36" s="2409">
        <v>-4017612.53</v>
      </c>
      <c r="G36" s="1782">
        <f t="shared" si="8"/>
        <v>-4.3886000000000003</v>
      </c>
      <c r="H36" s="2409">
        <v>-745575</v>
      </c>
      <c r="I36" s="1782">
        <f t="shared" si="9"/>
        <v>-0.40479999999999999</v>
      </c>
      <c r="J36" s="2407">
        <v>-530729</v>
      </c>
      <c r="K36" s="1782">
        <f t="shared" si="10"/>
        <v>-0.68530000000000002</v>
      </c>
      <c r="L36" s="2409">
        <v>-314921</v>
      </c>
      <c r="M36" s="1782">
        <f t="shared" si="11"/>
        <v>2.8299999999999999E-2</v>
      </c>
      <c r="N36" s="2407">
        <v>-324092</v>
      </c>
      <c r="O36" s="1782">
        <f t="shared" si="12"/>
        <v>-3.2300000000000002E-2</v>
      </c>
      <c r="P36" s="2407">
        <v>-313942</v>
      </c>
      <c r="Q36" s="1782">
        <f t="shared" si="13"/>
        <v>-0.42159999999999997</v>
      </c>
      <c r="R36" s="693"/>
      <c r="S36" s="2407">
        <v>-220841</v>
      </c>
      <c r="T36" s="693"/>
    </row>
    <row r="37" spans="1:20" ht="15">
      <c r="A37" s="692">
        <v>24</v>
      </c>
      <c r="B37" s="692"/>
      <c r="C37" s="46" t="s">
        <v>1287</v>
      </c>
      <c r="D37" s="2409">
        <v>0</v>
      </c>
      <c r="E37" s="1782" t="str">
        <f t="shared" si="7"/>
        <v>-</v>
      </c>
      <c r="F37" s="2409">
        <v>0</v>
      </c>
      <c r="G37" s="1782">
        <f t="shared" si="8"/>
        <v>-1</v>
      </c>
      <c r="H37" s="2409">
        <v>33756872</v>
      </c>
      <c r="I37" s="1782">
        <f t="shared" si="9"/>
        <v>-0.36720000000000003</v>
      </c>
      <c r="J37" s="2407">
        <v>53343537</v>
      </c>
      <c r="K37" s="1782">
        <f t="shared" si="10"/>
        <v>1.3817999999999999</v>
      </c>
      <c r="L37" s="2409">
        <v>22396503</v>
      </c>
      <c r="M37" s="1782">
        <f t="shared" si="11"/>
        <v>6.4899999999999999E-2</v>
      </c>
      <c r="N37" s="2407">
        <v>21030759</v>
      </c>
      <c r="O37" s="1782">
        <f t="shared" si="12"/>
        <v>0.312</v>
      </c>
      <c r="P37" s="2407">
        <v>16029153</v>
      </c>
      <c r="Q37" s="1782">
        <f t="shared" si="13"/>
        <v>-0.30520000000000003</v>
      </c>
      <c r="R37" s="693"/>
      <c r="S37" s="2407">
        <v>23069663</v>
      </c>
      <c r="T37" s="693"/>
    </row>
    <row r="38" spans="1:20" ht="15">
      <c r="A38" s="692">
        <v>25</v>
      </c>
      <c r="B38" s="692"/>
      <c r="C38" s="46" t="s">
        <v>1288</v>
      </c>
      <c r="D38" s="2409">
        <v>-151554.30000000374</v>
      </c>
      <c r="E38" s="1782">
        <f t="shared" si="7"/>
        <v>0</v>
      </c>
      <c r="F38" s="2409">
        <v>-151554.30000000371</v>
      </c>
      <c r="G38" s="1782">
        <f t="shared" si="8"/>
        <v>-1.0027999999999999</v>
      </c>
      <c r="H38" s="2409">
        <v>54654163</v>
      </c>
      <c r="I38" s="1782">
        <f t="shared" si="9"/>
        <v>24.124199999999998</v>
      </c>
      <c r="J38" s="2407">
        <v>2175359</v>
      </c>
      <c r="K38" s="1782">
        <f t="shared" si="10"/>
        <v>-0.7611</v>
      </c>
      <c r="L38" s="2409">
        <v>9106248</v>
      </c>
      <c r="M38" s="1782">
        <f t="shared" si="11"/>
        <v>3.5503999999999998</v>
      </c>
      <c r="N38" s="2407">
        <v>2001212</v>
      </c>
      <c r="O38" s="1782">
        <f t="shared" si="12"/>
        <v>-0.80159999999999998</v>
      </c>
      <c r="P38" s="2407">
        <v>10087278</v>
      </c>
      <c r="Q38" s="1782">
        <f t="shared" si="13"/>
        <v>1.0831999999999999</v>
      </c>
      <c r="R38" s="693"/>
      <c r="S38" s="2407">
        <v>4842266</v>
      </c>
      <c r="T38" s="693"/>
    </row>
    <row r="39" spans="1:20" ht="15">
      <c r="A39" s="692">
        <v>26</v>
      </c>
      <c r="B39" s="692"/>
      <c r="C39" s="46" t="s">
        <v>1289</v>
      </c>
      <c r="D39" s="2409">
        <v>58532263.826153815</v>
      </c>
      <c r="E39" s="1782">
        <f t="shared" si="7"/>
        <v>-0.1857</v>
      </c>
      <c r="F39" s="2409">
        <v>71877776.646666601</v>
      </c>
      <c r="G39" s="1782">
        <f t="shared" si="8"/>
        <v>7.0499999999999993E-2</v>
      </c>
      <c r="H39" s="2409">
        <v>67144183</v>
      </c>
      <c r="I39" s="1782">
        <f t="shared" si="9"/>
        <v>0.1522</v>
      </c>
      <c r="J39" s="2407">
        <v>58276337</v>
      </c>
      <c r="K39" s="1782">
        <f t="shared" si="10"/>
        <v>0.17649999999999999</v>
      </c>
      <c r="L39" s="2409">
        <v>49533602</v>
      </c>
      <c r="M39" s="1782">
        <f t="shared" si="11"/>
        <v>3.8800000000000001E-2</v>
      </c>
      <c r="N39" s="2407">
        <v>47682012</v>
      </c>
      <c r="O39" s="1782">
        <f t="shared" si="12"/>
        <v>-6.4999999999999997E-3</v>
      </c>
      <c r="P39" s="2407">
        <v>47992128</v>
      </c>
      <c r="Q39" s="1782">
        <f t="shared" si="13"/>
        <v>0.25119999999999998</v>
      </c>
      <c r="R39" s="692"/>
      <c r="S39" s="2407">
        <v>38355620</v>
      </c>
      <c r="T39" s="692"/>
    </row>
    <row r="40" spans="1:20" ht="15">
      <c r="A40" s="692">
        <v>27</v>
      </c>
      <c r="B40" s="692"/>
      <c r="C40" s="46" t="s">
        <v>1290</v>
      </c>
      <c r="D40" s="2409">
        <v>32004.619999999995</v>
      </c>
      <c r="E40" s="1782">
        <f t="shared" si="7"/>
        <v>0</v>
      </c>
      <c r="F40" s="2409">
        <v>32004.620000000003</v>
      </c>
      <c r="G40" s="1782">
        <f t="shared" si="8"/>
        <v>0.73280000000000001</v>
      </c>
      <c r="H40" s="2409">
        <v>18470</v>
      </c>
      <c r="I40" s="1782">
        <f t="shared" si="9"/>
        <v>0</v>
      </c>
      <c r="J40" s="2407">
        <v>18470</v>
      </c>
      <c r="K40" s="1782">
        <f t="shared" si="10"/>
        <v>-3.7499999999999999E-2</v>
      </c>
      <c r="L40" s="2409">
        <v>19189</v>
      </c>
      <c r="M40" s="1782">
        <f t="shared" si="11"/>
        <v>-3.6700000000000003E-2</v>
      </c>
      <c r="N40" s="2407">
        <v>19921</v>
      </c>
      <c r="O40" s="1782">
        <f t="shared" si="12"/>
        <v>-4.4699999999999997E-2</v>
      </c>
      <c r="P40" s="2407">
        <v>20854</v>
      </c>
      <c r="Q40" s="1782">
        <f t="shared" si="13"/>
        <v>-0.13139999999999999</v>
      </c>
      <c r="R40" s="693"/>
      <c r="S40" s="2407">
        <v>24008</v>
      </c>
      <c r="T40" s="693"/>
    </row>
    <row r="41" spans="1:20" ht="15">
      <c r="A41" s="692">
        <v>28</v>
      </c>
      <c r="B41" s="692"/>
      <c r="C41" s="46" t="s">
        <v>1291</v>
      </c>
      <c r="D41" s="2409">
        <v>0</v>
      </c>
      <c r="E41" s="1782" t="str">
        <f t="shared" si="7"/>
        <v>-</v>
      </c>
      <c r="F41" s="2409">
        <v>0</v>
      </c>
      <c r="G41" s="1782" t="str">
        <f t="shared" si="8"/>
        <v>-</v>
      </c>
      <c r="H41" s="2409">
        <v>0</v>
      </c>
      <c r="I41" s="1782" t="str">
        <f t="shared" si="9"/>
        <v>-</v>
      </c>
      <c r="J41" s="2407">
        <v>0</v>
      </c>
      <c r="K41" s="1782" t="str">
        <f t="shared" si="10"/>
        <v>-</v>
      </c>
      <c r="L41" s="2409">
        <v>0</v>
      </c>
      <c r="M41" s="1782" t="str">
        <f t="shared" si="11"/>
        <v>-</v>
      </c>
      <c r="N41" s="2407">
        <v>0</v>
      </c>
      <c r="O41" s="1782">
        <f t="shared" si="12"/>
        <v>-1</v>
      </c>
      <c r="P41" s="2407">
        <v>2660533</v>
      </c>
      <c r="Q41" s="1782">
        <f t="shared" si="13"/>
        <v>0.18779999999999999</v>
      </c>
      <c r="R41" s="693"/>
      <c r="S41" s="2407">
        <v>2239894</v>
      </c>
      <c r="T41" s="693"/>
    </row>
    <row r="42" spans="1:20" ht="15">
      <c r="A42" s="692">
        <v>29</v>
      </c>
      <c r="B42" s="692"/>
      <c r="C42" s="46" t="s">
        <v>1292</v>
      </c>
      <c r="D42" s="2409">
        <v>674985.58044557576</v>
      </c>
      <c r="E42" s="1782">
        <f t="shared" si="7"/>
        <v>-0.57640000000000002</v>
      </c>
      <c r="F42" s="2409">
        <v>1593367.6127036798</v>
      </c>
      <c r="G42" s="1782">
        <f t="shared" si="8"/>
        <v>2.8309000000000002</v>
      </c>
      <c r="H42" s="2409">
        <v>415920</v>
      </c>
      <c r="I42" s="1782">
        <f t="shared" si="9"/>
        <v>0.22289999999999999</v>
      </c>
      <c r="J42" s="2407">
        <v>340112</v>
      </c>
      <c r="K42" s="1782">
        <f t="shared" si="10"/>
        <v>-0.73709999999999998</v>
      </c>
      <c r="L42" s="2409">
        <v>1293934</v>
      </c>
      <c r="M42" s="1782">
        <f t="shared" si="11"/>
        <v>2.0171000000000001</v>
      </c>
      <c r="N42" s="2407">
        <v>428870</v>
      </c>
      <c r="O42" s="1782">
        <f t="shared" si="12"/>
        <v>1.46E-2</v>
      </c>
      <c r="P42" s="2407">
        <v>422679</v>
      </c>
      <c r="Q42" s="1782">
        <f t="shared" si="13"/>
        <v>-0.3342</v>
      </c>
      <c r="R42" s="693"/>
      <c r="S42" s="2407">
        <v>634866</v>
      </c>
      <c r="T42" s="693"/>
    </row>
    <row r="43" spans="1:20" ht="15">
      <c r="A43" s="692">
        <v>30</v>
      </c>
      <c r="B43" s="692"/>
      <c r="C43" s="46" t="s">
        <v>1293</v>
      </c>
      <c r="D43" s="2409">
        <v>0</v>
      </c>
      <c r="E43" s="1782" t="str">
        <f t="shared" si="7"/>
        <v>-</v>
      </c>
      <c r="F43" s="2409">
        <v>0</v>
      </c>
      <c r="G43" s="1782" t="str">
        <f t="shared" si="8"/>
        <v>-</v>
      </c>
      <c r="H43" s="2409">
        <v>0</v>
      </c>
      <c r="I43" s="1782" t="str">
        <f t="shared" si="9"/>
        <v>-</v>
      </c>
      <c r="J43" s="2407">
        <v>0</v>
      </c>
      <c r="K43" s="1782" t="str">
        <f t="shared" si="10"/>
        <v>-</v>
      </c>
      <c r="L43" s="2409">
        <v>0</v>
      </c>
      <c r="M43" s="1782" t="str">
        <f t="shared" si="11"/>
        <v>-</v>
      </c>
      <c r="N43" s="2407">
        <v>0</v>
      </c>
      <c r="O43" s="1782" t="str">
        <f t="shared" si="12"/>
        <v>-</v>
      </c>
      <c r="P43" s="2407">
        <v>0</v>
      </c>
      <c r="Q43" s="1782" t="str">
        <f t="shared" si="13"/>
        <v>-</v>
      </c>
      <c r="R43" s="693"/>
      <c r="S43" s="2407">
        <v>0</v>
      </c>
      <c r="T43" s="693"/>
    </row>
    <row r="44" spans="1:20" ht="15">
      <c r="A44" s="692">
        <v>31</v>
      </c>
      <c r="B44" s="692"/>
      <c r="C44" s="46" t="s">
        <v>1294</v>
      </c>
      <c r="D44" s="2409">
        <v>7047450.6999999899</v>
      </c>
      <c r="E44" s="1782">
        <f t="shared" si="7"/>
        <v>0</v>
      </c>
      <c r="F44" s="2409">
        <v>7047450.6999999899</v>
      </c>
      <c r="G44" s="1782">
        <f t="shared" si="8"/>
        <v>-0.53310000000000002</v>
      </c>
      <c r="H44" s="2409">
        <v>15093617</v>
      </c>
      <c r="I44" s="1782">
        <f t="shared" si="9"/>
        <v>-0.42030000000000001</v>
      </c>
      <c r="J44" s="2407">
        <v>26035509</v>
      </c>
      <c r="K44" s="1782">
        <f t="shared" si="10"/>
        <v>1.3919999999999999</v>
      </c>
      <c r="L44" s="2409">
        <v>10884227</v>
      </c>
      <c r="M44" s="1782">
        <f t="shared" si="11"/>
        <v>0.3841</v>
      </c>
      <c r="N44" s="2407">
        <v>7863991</v>
      </c>
      <c r="O44" s="1782">
        <f t="shared" si="12"/>
        <v>0.22770000000000001</v>
      </c>
      <c r="P44" s="2407">
        <v>6405394</v>
      </c>
      <c r="Q44" s="1782">
        <f t="shared" si="13"/>
        <v>0.3614</v>
      </c>
      <c r="R44" s="693"/>
      <c r="S44" s="2407">
        <v>4705042</v>
      </c>
      <c r="T44" s="693"/>
    </row>
    <row r="45" spans="1:20" ht="15">
      <c r="A45" s="692">
        <v>32</v>
      </c>
      <c r="B45" s="692"/>
      <c r="C45" s="46" t="s">
        <v>1295</v>
      </c>
      <c r="D45" s="2409">
        <v>2208926.8200000003</v>
      </c>
      <c r="E45" s="1782">
        <f t="shared" si="7"/>
        <v>0</v>
      </c>
      <c r="F45" s="2409">
        <v>2208926.8200000003</v>
      </c>
      <c r="G45" s="1782">
        <f t="shared" si="8"/>
        <v>0.23380000000000001</v>
      </c>
      <c r="H45" s="2409">
        <v>1790358</v>
      </c>
      <c r="I45" s="1782">
        <f t="shared" si="9"/>
        <v>-0.62709999999999999</v>
      </c>
      <c r="J45" s="2407">
        <v>4801453</v>
      </c>
      <c r="K45" s="1782">
        <f t="shared" si="10"/>
        <v>1.9349000000000001</v>
      </c>
      <c r="L45" s="2409">
        <v>1635966</v>
      </c>
      <c r="M45" s="1782">
        <f t="shared" si="11"/>
        <v>0.186</v>
      </c>
      <c r="N45" s="2407">
        <v>1379378</v>
      </c>
      <c r="O45" s="1782">
        <f t="shared" si="12"/>
        <v>-0.60670000000000002</v>
      </c>
      <c r="P45" s="2407">
        <v>3507191</v>
      </c>
      <c r="Q45" s="1782">
        <f t="shared" si="13"/>
        <v>-0.3831</v>
      </c>
      <c r="R45" s="693"/>
      <c r="S45" s="2407">
        <v>5684959</v>
      </c>
      <c r="T45" s="693"/>
    </row>
    <row r="46" spans="1:20" ht="15">
      <c r="A46" s="692">
        <v>33</v>
      </c>
      <c r="B46" s="692"/>
      <c r="C46" s="46" t="s">
        <v>1296</v>
      </c>
      <c r="D46" s="2409">
        <v>0</v>
      </c>
      <c r="E46" s="1782" t="str">
        <f t="shared" si="7"/>
        <v>-</v>
      </c>
      <c r="F46" s="2409">
        <v>0</v>
      </c>
      <c r="G46" s="1782">
        <f t="shared" si="8"/>
        <v>1</v>
      </c>
      <c r="H46" s="2409">
        <v>-85796</v>
      </c>
      <c r="I46" s="1782" t="str">
        <f t="shared" si="9"/>
        <v>-</v>
      </c>
      <c r="J46" s="2407">
        <v>0</v>
      </c>
      <c r="K46" s="1782">
        <f t="shared" si="10"/>
        <v>1</v>
      </c>
      <c r="L46" s="2409">
        <v>-111502</v>
      </c>
      <c r="M46" s="1782">
        <f t="shared" si="11"/>
        <v>0.64910000000000001</v>
      </c>
      <c r="N46" s="2407">
        <v>-317782</v>
      </c>
      <c r="O46" s="1782">
        <f t="shared" si="12"/>
        <v>0.57589999999999997</v>
      </c>
      <c r="P46" s="2407">
        <v>-749242</v>
      </c>
      <c r="Q46" s="1782" t="str">
        <f t="shared" si="13"/>
        <v>-</v>
      </c>
      <c r="R46" s="693"/>
      <c r="S46" s="2407">
        <v>0</v>
      </c>
      <c r="T46" s="693"/>
    </row>
    <row r="47" spans="1:20" ht="15">
      <c r="A47" s="692">
        <v>34</v>
      </c>
      <c r="B47" s="692"/>
      <c r="C47" s="46" t="s">
        <v>1297</v>
      </c>
      <c r="D47" s="2409">
        <v>0</v>
      </c>
      <c r="E47" s="1782" t="str">
        <f t="shared" si="7"/>
        <v>-</v>
      </c>
      <c r="F47" s="2409">
        <v>0</v>
      </c>
      <c r="G47" s="1782" t="str">
        <f t="shared" si="8"/>
        <v>-</v>
      </c>
      <c r="H47" s="2409">
        <v>0</v>
      </c>
      <c r="I47" s="1782" t="str">
        <f t="shared" si="9"/>
        <v>-</v>
      </c>
      <c r="J47" s="2407">
        <v>0</v>
      </c>
      <c r="K47" s="1782" t="str">
        <f t="shared" si="10"/>
        <v>-</v>
      </c>
      <c r="L47" s="2409">
        <v>0</v>
      </c>
      <c r="M47" s="1782" t="str">
        <f t="shared" si="11"/>
        <v>-</v>
      </c>
      <c r="N47" s="2407">
        <v>0</v>
      </c>
      <c r="O47" s="1782" t="str">
        <f t="shared" si="12"/>
        <v>-</v>
      </c>
      <c r="P47" s="2407">
        <v>0</v>
      </c>
      <c r="Q47" s="1782" t="str">
        <f t="shared" si="13"/>
        <v>-</v>
      </c>
      <c r="R47" s="693"/>
      <c r="S47" s="2407">
        <v>0</v>
      </c>
      <c r="T47" s="693"/>
    </row>
    <row r="48" spans="1:20" ht="15">
      <c r="A48" s="692">
        <v>35</v>
      </c>
      <c r="B48" s="692"/>
      <c r="C48" s="46" t="s">
        <v>1298</v>
      </c>
      <c r="D48" s="2409">
        <v>0</v>
      </c>
      <c r="E48" s="1782" t="str">
        <f t="shared" si="7"/>
        <v>-</v>
      </c>
      <c r="F48" s="2409">
        <v>0</v>
      </c>
      <c r="G48" s="1782" t="str">
        <f t="shared" si="8"/>
        <v>-</v>
      </c>
      <c r="H48" s="2409">
        <v>0</v>
      </c>
      <c r="I48" s="1782" t="str">
        <f t="shared" si="9"/>
        <v>-</v>
      </c>
      <c r="J48" s="2407">
        <v>0</v>
      </c>
      <c r="K48" s="1782" t="str">
        <f t="shared" si="10"/>
        <v>-</v>
      </c>
      <c r="L48" s="2409">
        <v>0</v>
      </c>
      <c r="M48" s="1782" t="str">
        <f t="shared" si="11"/>
        <v>-</v>
      </c>
      <c r="N48" s="2407">
        <v>0</v>
      </c>
      <c r="O48" s="1782" t="str">
        <f t="shared" si="12"/>
        <v>-</v>
      </c>
      <c r="P48" s="2407">
        <v>0</v>
      </c>
      <c r="Q48" s="1782" t="str">
        <f t="shared" si="13"/>
        <v>-</v>
      </c>
      <c r="R48" s="693"/>
      <c r="S48" s="2407">
        <v>0</v>
      </c>
      <c r="T48" s="693"/>
    </row>
    <row r="49" spans="1:20" ht="15">
      <c r="A49" s="692">
        <v>36</v>
      </c>
      <c r="B49" s="692"/>
      <c r="C49" s="46" t="s">
        <v>1299</v>
      </c>
      <c r="D49" s="2409">
        <v>4255</v>
      </c>
      <c r="E49" s="1782">
        <f t="shared" si="7"/>
        <v>0</v>
      </c>
      <c r="F49" s="2409">
        <v>4255</v>
      </c>
      <c r="G49" s="1782">
        <f t="shared" si="8"/>
        <v>0</v>
      </c>
      <c r="H49" s="2409">
        <v>4255</v>
      </c>
      <c r="I49" s="1782">
        <f t="shared" si="9"/>
        <v>-0.85709999999999997</v>
      </c>
      <c r="J49" s="2407">
        <v>29779</v>
      </c>
      <c r="K49" s="1782">
        <f t="shared" si="10"/>
        <v>6.4077000000000002</v>
      </c>
      <c r="L49" s="2409">
        <v>4020</v>
      </c>
      <c r="M49" s="1782">
        <f t="shared" si="11"/>
        <v>-0.81279999999999997</v>
      </c>
      <c r="N49" s="2407">
        <v>21480</v>
      </c>
      <c r="O49" s="1782">
        <f t="shared" si="12"/>
        <v>2.4584000000000001</v>
      </c>
      <c r="P49" s="2407">
        <v>6211</v>
      </c>
      <c r="Q49" s="1782">
        <f t="shared" si="13"/>
        <v>1.4843999999999999</v>
      </c>
      <c r="R49" s="693"/>
      <c r="S49" s="2407">
        <v>2500</v>
      </c>
      <c r="T49" s="693"/>
    </row>
    <row r="50" spans="1:20" ht="15">
      <c r="A50" s="692">
        <v>37</v>
      </c>
      <c r="B50" s="692"/>
      <c r="C50" s="46" t="s">
        <v>1300</v>
      </c>
      <c r="D50" s="2127">
        <f>SUM(D29:D49)</f>
        <v>183331938.15323272</v>
      </c>
      <c r="E50" s="1782">
        <f t="shared" si="7"/>
        <v>-5.9900000000000002E-2</v>
      </c>
      <c r="F50" s="2127">
        <f>SUM(F29:F49)</f>
        <v>195018130.7341947</v>
      </c>
      <c r="G50" s="1782">
        <f t="shared" si="8"/>
        <v>-9.1999999999999998E-3</v>
      </c>
      <c r="H50" s="2127">
        <f>SUM(H29:H49)</f>
        <v>196833042</v>
      </c>
      <c r="I50" s="1782">
        <f t="shared" si="9"/>
        <v>0.1222</v>
      </c>
      <c r="J50" s="2127">
        <f>SUM(J29:J49)</f>
        <v>175396344</v>
      </c>
      <c r="K50" s="1782">
        <f t="shared" si="10"/>
        <v>0.42870000000000003</v>
      </c>
      <c r="L50" s="2127">
        <f>SUM(L29:L49)</f>
        <v>122766807</v>
      </c>
      <c r="M50" s="1782">
        <f t="shared" si="11"/>
        <v>0.3301</v>
      </c>
      <c r="N50" s="2127">
        <f>SUM(N29:N49)</f>
        <v>92297906</v>
      </c>
      <c r="O50" s="1782">
        <f t="shared" si="12"/>
        <v>-8.2900000000000001E-2</v>
      </c>
      <c r="P50" s="2127">
        <f>SUM(P29:P49)</f>
        <v>100643615</v>
      </c>
      <c r="Q50" s="1782">
        <f t="shared" si="13"/>
        <v>2.5700000000000001E-2</v>
      </c>
      <c r="R50" s="693"/>
      <c r="S50" s="2126">
        <f>SUM(S29:S49)</f>
        <v>98126381</v>
      </c>
      <c r="T50" s="693"/>
    </row>
    <row r="51" spans="1:20" ht="15.6">
      <c r="A51" s="692">
        <v>38</v>
      </c>
      <c r="B51" s="692"/>
      <c r="C51" s="1778" t="s">
        <v>1301</v>
      </c>
      <c r="D51" s="1775"/>
      <c r="E51" s="667"/>
      <c r="F51" s="1775"/>
      <c r="G51" s="667"/>
      <c r="H51" s="1775"/>
      <c r="I51" s="667"/>
      <c r="J51" s="1775"/>
      <c r="K51" s="667"/>
      <c r="L51" s="1775"/>
      <c r="M51" s="667"/>
      <c r="N51" s="1775"/>
      <c r="O51" s="667"/>
      <c r="P51" s="1775"/>
      <c r="Q51" s="667"/>
      <c r="R51" s="693"/>
      <c r="S51" s="667"/>
      <c r="T51" s="693"/>
    </row>
    <row r="52" spans="1:20" ht="15">
      <c r="A52" s="692">
        <v>39</v>
      </c>
      <c r="B52" s="692"/>
      <c r="C52" s="46" t="s">
        <v>1302</v>
      </c>
      <c r="D52" s="2409">
        <v>528966.23999999987</v>
      </c>
      <c r="E52" s="1782">
        <f t="shared" ref="E52:E61" si="14">IF(F52=0,"-",ROUND((D52-F52)/ABS(F52),4))</f>
        <v>0</v>
      </c>
      <c r="F52" s="2409">
        <v>528966.24</v>
      </c>
      <c r="G52" s="1782">
        <f t="shared" ref="G52:G61" si="15">IF(H52=0,"-",ROUND((F52-H52)/ABS(H52),4))</f>
        <v>-0.78410000000000002</v>
      </c>
      <c r="H52" s="2409">
        <v>2449519</v>
      </c>
      <c r="I52" s="1782">
        <f t="shared" ref="I52:I61" si="16">IF(J52=0,"-",ROUND((H52-J52)/ABS(J52),4))</f>
        <v>-0.1371</v>
      </c>
      <c r="J52" s="2407">
        <v>2838745</v>
      </c>
      <c r="K52" s="1782">
        <f t="shared" ref="K52:K61" si="17">IF(L52=0,"-",ROUND((J52-L52)/ABS(L52),4))</f>
        <v>4.4400000000000002E-2</v>
      </c>
      <c r="L52" s="2409">
        <v>2718168</v>
      </c>
      <c r="M52" s="1782">
        <f t="shared" ref="M52:M61" si="18">IF(N52=0,"-",ROUND((L52-N52)/ABS(N52),4))</f>
        <v>-0.1273</v>
      </c>
      <c r="N52" s="2407">
        <v>3114783</v>
      </c>
      <c r="O52" s="1782">
        <f t="shared" ref="O52:O61" si="19">IF(P52=0,"-",ROUND((N52-P52)/ABS(P52),4))</f>
        <v>9.4999999999999998E-3</v>
      </c>
      <c r="P52" s="2407">
        <v>3085608</v>
      </c>
      <c r="Q52" s="1782">
        <f t="shared" ref="Q52:Q61" si="20">IF(S52=0,"-",ROUND((P52-S52)/ABS(S52),4))</f>
        <v>0.33250000000000002</v>
      </c>
      <c r="R52" s="693"/>
      <c r="S52" s="2407">
        <v>2315607</v>
      </c>
      <c r="T52" s="693"/>
    </row>
    <row r="53" spans="1:20" ht="15">
      <c r="A53" s="692">
        <v>40</v>
      </c>
      <c r="B53" s="692"/>
      <c r="C53" s="46" t="s">
        <v>1303</v>
      </c>
      <c r="D53" s="2409">
        <v>108328799.68414325</v>
      </c>
      <c r="E53" s="1782">
        <f t="shared" si="14"/>
        <v>-5.3199999999999997E-2</v>
      </c>
      <c r="F53" s="2409">
        <v>114419161.88777569</v>
      </c>
      <c r="G53" s="1782">
        <f t="shared" si="15"/>
        <v>-1.8700000000000001E-2</v>
      </c>
      <c r="H53" s="2409">
        <v>116599400</v>
      </c>
      <c r="I53" s="1782">
        <f t="shared" si="16"/>
        <v>0.1305</v>
      </c>
      <c r="J53" s="2407">
        <v>103143714</v>
      </c>
      <c r="K53" s="1782">
        <f t="shared" si="17"/>
        <v>-0.2666</v>
      </c>
      <c r="L53" s="2409">
        <v>140633411</v>
      </c>
      <c r="M53" s="1782">
        <f t="shared" si="18"/>
        <v>3.2899999999999999E-2</v>
      </c>
      <c r="N53" s="2407">
        <v>136150402</v>
      </c>
      <c r="O53" s="1782">
        <f t="shared" si="19"/>
        <v>3.0599999999999999E-2</v>
      </c>
      <c r="P53" s="2407">
        <v>132105622</v>
      </c>
      <c r="Q53" s="1782">
        <f t="shared" si="20"/>
        <v>-4.0000000000000002E-4</v>
      </c>
      <c r="R53" s="693"/>
      <c r="S53" s="2407">
        <v>132158744</v>
      </c>
      <c r="T53" s="692"/>
    </row>
    <row r="54" spans="1:20" ht="15">
      <c r="A54" s="692">
        <v>41</v>
      </c>
      <c r="B54" s="692"/>
      <c r="C54" s="46" t="s">
        <v>1304</v>
      </c>
      <c r="D54" s="2409">
        <v>1147081</v>
      </c>
      <c r="E54" s="1782">
        <f t="shared" si="14"/>
        <v>0</v>
      </c>
      <c r="F54" s="2409">
        <v>1147081</v>
      </c>
      <c r="G54" s="1782">
        <f t="shared" si="15"/>
        <v>0</v>
      </c>
      <c r="H54" s="2409">
        <v>1147081</v>
      </c>
      <c r="I54" s="1782">
        <f t="shared" si="16"/>
        <v>1.2915000000000001</v>
      </c>
      <c r="J54" s="2407">
        <v>500583</v>
      </c>
      <c r="K54" s="1782">
        <f t="shared" si="17"/>
        <v>0.28370000000000001</v>
      </c>
      <c r="L54" s="2409">
        <v>389939</v>
      </c>
      <c r="M54" s="1782">
        <f t="shared" si="18"/>
        <v>-0.128</v>
      </c>
      <c r="N54" s="2407">
        <v>447199</v>
      </c>
      <c r="O54" s="1782">
        <f t="shared" si="19"/>
        <v>0.2586</v>
      </c>
      <c r="P54" s="2407">
        <v>355305</v>
      </c>
      <c r="Q54" s="1782">
        <f t="shared" si="20"/>
        <v>2.7042999999999999</v>
      </c>
      <c r="R54" s="693"/>
      <c r="S54" s="2407">
        <v>95916</v>
      </c>
      <c r="T54" s="693"/>
    </row>
    <row r="55" spans="1:20" ht="15">
      <c r="A55" s="692">
        <v>42</v>
      </c>
      <c r="B55" s="692"/>
      <c r="C55" s="46" t="s">
        <v>1305</v>
      </c>
      <c r="D55" s="2409">
        <v>42578.769999999902</v>
      </c>
      <c r="E55" s="1782">
        <f t="shared" si="14"/>
        <v>0</v>
      </c>
      <c r="F55" s="2409">
        <v>42578.769999999902</v>
      </c>
      <c r="G55" s="1782">
        <f t="shared" si="15"/>
        <v>850.57539999999995</v>
      </c>
      <c r="H55" s="2409">
        <v>50</v>
      </c>
      <c r="I55" s="1782" t="str">
        <f t="shared" si="16"/>
        <v>-</v>
      </c>
      <c r="J55" s="2407">
        <v>0</v>
      </c>
      <c r="K55" s="1782">
        <f t="shared" si="17"/>
        <v>-1</v>
      </c>
      <c r="L55" s="2409">
        <v>5</v>
      </c>
      <c r="M55" s="1782">
        <f t="shared" si="18"/>
        <v>0.25</v>
      </c>
      <c r="N55" s="2407">
        <v>4</v>
      </c>
      <c r="O55" s="1782">
        <f t="shared" si="19"/>
        <v>-0.99909999999999999</v>
      </c>
      <c r="P55" s="2407">
        <v>4588</v>
      </c>
      <c r="Q55" s="1782">
        <f t="shared" si="20"/>
        <v>326.71429999999998</v>
      </c>
      <c r="R55" s="693"/>
      <c r="S55" s="2407">
        <v>14</v>
      </c>
      <c r="T55" s="693"/>
    </row>
    <row r="56" spans="1:20" ht="15">
      <c r="A56" s="692">
        <v>43</v>
      </c>
      <c r="B56" s="692"/>
      <c r="C56" s="46" t="s">
        <v>1306</v>
      </c>
      <c r="D56" s="2409">
        <v>0</v>
      </c>
      <c r="E56" s="1782" t="str">
        <f t="shared" si="14"/>
        <v>-</v>
      </c>
      <c r="F56" s="2409">
        <v>0</v>
      </c>
      <c r="G56" s="1782" t="str">
        <f t="shared" si="15"/>
        <v>-</v>
      </c>
      <c r="H56" s="2409">
        <v>0</v>
      </c>
      <c r="I56" s="1782" t="str">
        <f t="shared" si="16"/>
        <v>-</v>
      </c>
      <c r="J56" s="2407">
        <v>0</v>
      </c>
      <c r="K56" s="1782" t="str">
        <f t="shared" si="17"/>
        <v>-</v>
      </c>
      <c r="L56" s="2409">
        <v>0</v>
      </c>
      <c r="M56" s="1782" t="str">
        <f t="shared" si="18"/>
        <v>-</v>
      </c>
      <c r="N56" s="2407">
        <v>0</v>
      </c>
      <c r="O56" s="1782" t="str">
        <f t="shared" si="19"/>
        <v>-</v>
      </c>
      <c r="P56" s="2407">
        <v>0</v>
      </c>
      <c r="Q56" s="1782" t="str">
        <f t="shared" si="20"/>
        <v>-</v>
      </c>
      <c r="R56" s="693"/>
      <c r="S56" s="2407">
        <v>0</v>
      </c>
      <c r="T56" s="693"/>
    </row>
    <row r="57" spans="1:20" ht="15">
      <c r="A57" s="692">
        <v>44</v>
      </c>
      <c r="B57" s="692"/>
      <c r="C57" s="46" t="s">
        <v>1307</v>
      </c>
      <c r="D57" s="2409">
        <v>3619207.3481093207</v>
      </c>
      <c r="E57" s="1782">
        <f t="shared" si="14"/>
        <v>3.4299999999999997E-2</v>
      </c>
      <c r="F57" s="2409">
        <v>3499276.8824930289</v>
      </c>
      <c r="G57" s="1782">
        <f t="shared" si="15"/>
        <v>0.27929999999999999</v>
      </c>
      <c r="H57" s="2409">
        <v>2735310</v>
      </c>
      <c r="I57" s="1782">
        <f t="shared" si="16"/>
        <v>0.1507</v>
      </c>
      <c r="J57" s="2407">
        <v>2377047</v>
      </c>
      <c r="K57" s="1782">
        <f t="shared" si="17"/>
        <v>7.2800000000000004E-2</v>
      </c>
      <c r="L57" s="2409">
        <v>2215689</v>
      </c>
      <c r="M57" s="1782">
        <f t="shared" si="18"/>
        <v>2.76E-2</v>
      </c>
      <c r="N57" s="2407">
        <v>2156140</v>
      </c>
      <c r="O57" s="1782">
        <f t="shared" si="19"/>
        <v>-0.1497</v>
      </c>
      <c r="P57" s="2407">
        <v>2535761</v>
      </c>
      <c r="Q57" s="1782">
        <f t="shared" si="20"/>
        <v>-0.31530000000000002</v>
      </c>
      <c r="R57" s="693"/>
      <c r="S57" s="2407">
        <v>3703575</v>
      </c>
      <c r="T57" s="693"/>
    </row>
    <row r="58" spans="1:20" ht="15">
      <c r="A58" s="692">
        <v>45</v>
      </c>
      <c r="B58" s="692"/>
      <c r="C58" s="46" t="s">
        <v>1308</v>
      </c>
      <c r="D58" s="2409">
        <v>24702.439084755573</v>
      </c>
      <c r="E58" s="1782">
        <f t="shared" si="14"/>
        <v>-0.59789999999999999</v>
      </c>
      <c r="F58" s="2409">
        <v>61439.2699120049</v>
      </c>
      <c r="G58" s="1782">
        <f t="shared" si="15"/>
        <v>-0.60150000000000003</v>
      </c>
      <c r="H58" s="2409">
        <v>154181</v>
      </c>
      <c r="I58" s="1782">
        <f t="shared" si="16"/>
        <v>-0.43390000000000001</v>
      </c>
      <c r="J58" s="2407">
        <v>272341</v>
      </c>
      <c r="K58" s="1782">
        <f t="shared" si="17"/>
        <v>-0.30959999999999999</v>
      </c>
      <c r="L58" s="2409">
        <v>394481</v>
      </c>
      <c r="M58" s="1782">
        <f t="shared" si="18"/>
        <v>-0.23730000000000001</v>
      </c>
      <c r="N58" s="2407">
        <v>517204</v>
      </c>
      <c r="O58" s="1782">
        <f t="shared" si="19"/>
        <v>-0.24929999999999999</v>
      </c>
      <c r="P58" s="2407">
        <v>688982</v>
      </c>
      <c r="Q58" s="1782">
        <f t="shared" si="20"/>
        <v>-0.25269999999999998</v>
      </c>
      <c r="R58" s="693"/>
      <c r="S58" s="2407">
        <v>921958</v>
      </c>
      <c r="T58" s="693"/>
    </row>
    <row r="59" spans="1:20" ht="15">
      <c r="A59" s="692">
        <v>46</v>
      </c>
      <c r="B59" s="692"/>
      <c r="C59" s="46" t="s">
        <v>1309</v>
      </c>
      <c r="D59" s="2409">
        <v>0</v>
      </c>
      <c r="E59" s="1782" t="str">
        <f t="shared" si="14"/>
        <v>-</v>
      </c>
      <c r="F59" s="2409">
        <v>0</v>
      </c>
      <c r="G59" s="1782">
        <f t="shared" si="15"/>
        <v>-1</v>
      </c>
      <c r="H59" s="2409">
        <v>74710350</v>
      </c>
      <c r="I59" s="1782">
        <f t="shared" si="16"/>
        <v>3.3999999999999998E-3</v>
      </c>
      <c r="J59" s="2407">
        <v>74456012</v>
      </c>
      <c r="K59" s="1782">
        <f t="shared" si="17"/>
        <v>5.28E-2</v>
      </c>
      <c r="L59" s="2409">
        <v>70722124</v>
      </c>
      <c r="M59" s="1782">
        <f t="shared" si="18"/>
        <v>-3.4099999999999998E-2</v>
      </c>
      <c r="N59" s="2407">
        <v>73220723</v>
      </c>
      <c r="O59" s="1782">
        <f t="shared" si="19"/>
        <v>5.16E-2</v>
      </c>
      <c r="P59" s="2407">
        <v>69630737</v>
      </c>
      <c r="Q59" s="1782">
        <f t="shared" si="20"/>
        <v>-3.2800000000000003E-2</v>
      </c>
      <c r="R59" s="693"/>
      <c r="S59" s="2407">
        <v>71989018</v>
      </c>
      <c r="T59" s="693"/>
    </row>
    <row r="60" spans="1:20" ht="15">
      <c r="A60" s="692">
        <v>47</v>
      </c>
      <c r="B60" s="692"/>
      <c r="C60" s="46" t="s">
        <v>1310</v>
      </c>
      <c r="D60" s="2409">
        <v>-2812674</v>
      </c>
      <c r="E60" s="1782">
        <f t="shared" si="14"/>
        <v>0</v>
      </c>
      <c r="F60" s="2409">
        <v>-2812674</v>
      </c>
      <c r="G60" s="1782">
        <f t="shared" si="15"/>
        <v>0</v>
      </c>
      <c r="H60" s="2409">
        <v>-2812674</v>
      </c>
      <c r="I60" s="1782">
        <f t="shared" si="16"/>
        <v>-3.5981000000000001</v>
      </c>
      <c r="J60" s="2407">
        <v>1082583</v>
      </c>
      <c r="K60" s="1782">
        <f t="shared" si="17"/>
        <v>-4.07E-2</v>
      </c>
      <c r="L60" s="2409">
        <v>1128482</v>
      </c>
      <c r="M60" s="1782">
        <f t="shared" si="18"/>
        <v>1.3210999999999999</v>
      </c>
      <c r="N60" s="2407">
        <v>-3514021</v>
      </c>
      <c r="O60" s="1782">
        <f t="shared" si="19"/>
        <v>0.18260000000000001</v>
      </c>
      <c r="P60" s="2407">
        <v>-4298839</v>
      </c>
      <c r="Q60" s="1782">
        <f t="shared" si="20"/>
        <v>-26.156600000000001</v>
      </c>
      <c r="R60" s="693"/>
      <c r="S60" s="2407">
        <v>170883</v>
      </c>
      <c r="T60" s="693"/>
    </row>
    <row r="61" spans="1:20" ht="15">
      <c r="A61" s="692">
        <v>48</v>
      </c>
      <c r="B61" s="692"/>
      <c r="C61" s="46" t="s">
        <v>1311</v>
      </c>
      <c r="D61" s="2127">
        <f>SUM(D51:D60)</f>
        <v>110878661.48133731</v>
      </c>
      <c r="E61" s="1782">
        <f t="shared" si="14"/>
        <v>-5.1400000000000001E-2</v>
      </c>
      <c r="F61" s="2127">
        <f>SUM(F51:F60)</f>
        <v>116885830.05018072</v>
      </c>
      <c r="G61" s="1782">
        <f t="shared" si="15"/>
        <v>-0.40050000000000002</v>
      </c>
      <c r="H61" s="2127">
        <f>SUM(H51:H60)</f>
        <v>194983217</v>
      </c>
      <c r="I61" s="1782">
        <f t="shared" si="16"/>
        <v>5.5800000000000002E-2</v>
      </c>
      <c r="J61" s="2127">
        <f>SUM(J51:J60)</f>
        <v>184671025</v>
      </c>
      <c r="K61" s="1782">
        <f t="shared" si="17"/>
        <v>-0.1537</v>
      </c>
      <c r="L61" s="2127">
        <f>SUM(L51:L60)</f>
        <v>218202299</v>
      </c>
      <c r="M61" s="1782">
        <f t="shared" si="18"/>
        <v>2.8799999999999999E-2</v>
      </c>
      <c r="N61" s="2127">
        <f>SUM(N51:N60)</f>
        <v>212092434</v>
      </c>
      <c r="O61" s="1782">
        <f t="shared" si="19"/>
        <v>3.9100000000000003E-2</v>
      </c>
      <c r="P61" s="2127">
        <f>SUM(P51:P60)</f>
        <v>204107764</v>
      </c>
      <c r="Q61" s="1782">
        <f t="shared" si="20"/>
        <v>-3.4299999999999997E-2</v>
      </c>
      <c r="R61" s="693"/>
      <c r="S61" s="2126">
        <f>SUM(S51:S60)</f>
        <v>211355715</v>
      </c>
      <c r="T61" s="693"/>
    </row>
    <row r="62" spans="1:20" ht="15">
      <c r="A62" s="692">
        <v>49</v>
      </c>
      <c r="B62" s="692"/>
      <c r="C62" s="692"/>
      <c r="D62" s="667"/>
      <c r="E62" s="667"/>
      <c r="F62" s="667"/>
      <c r="G62" s="667"/>
      <c r="H62" s="667"/>
      <c r="I62" s="667"/>
      <c r="J62" s="667"/>
      <c r="K62" s="667"/>
      <c r="L62" s="667"/>
      <c r="M62" s="667"/>
      <c r="N62" s="667"/>
      <c r="O62" s="667"/>
      <c r="P62" s="667"/>
      <c r="Q62" s="667"/>
      <c r="R62" s="693"/>
      <c r="S62" s="667"/>
      <c r="T62" s="693"/>
    </row>
    <row r="63" spans="1:20" ht="15">
      <c r="A63" s="692">
        <v>50</v>
      </c>
      <c r="B63" s="692"/>
      <c r="C63" s="692"/>
      <c r="D63" s="667"/>
      <c r="E63" s="667"/>
      <c r="F63" s="667"/>
      <c r="G63" s="667"/>
      <c r="H63" s="667"/>
      <c r="I63" s="667"/>
      <c r="J63" s="667"/>
      <c r="K63" s="667"/>
      <c r="L63" s="667"/>
      <c r="M63" s="667"/>
      <c r="N63" s="667"/>
      <c r="O63" s="667"/>
      <c r="P63" s="667"/>
      <c r="Q63" s="667"/>
      <c r="R63" s="693"/>
      <c r="S63" s="667"/>
      <c r="T63" s="693"/>
    </row>
    <row r="64" spans="1:20" ht="15.6" thickBot="1">
      <c r="A64" s="692">
        <v>51</v>
      </c>
      <c r="B64" s="692"/>
      <c r="C64" s="46" t="s">
        <v>1312</v>
      </c>
      <c r="D64" s="1950">
        <f>D61+D50+D28+D20</f>
        <v>2895914393.5109391</v>
      </c>
      <c r="E64" s="1782">
        <f>IF(F64=0,"-",ROUND((D64-F64)/ABS(F64),4))</f>
        <v>5.16E-2</v>
      </c>
      <c r="F64" s="1950">
        <f>F61+F50+F28+F20</f>
        <v>2753874840.8852754</v>
      </c>
      <c r="G64" s="1782">
        <f>IF(H64=0,"-",ROUND((F64-H64)/ABS(H64),4))</f>
        <v>2.52E-2</v>
      </c>
      <c r="H64" s="1950">
        <f>H61+H50+H28+H20</f>
        <v>2686143599</v>
      </c>
      <c r="I64" s="1782">
        <f>IF(J64=0,"-",ROUND((H64-J64)/ABS(J64),4))</f>
        <v>5.4100000000000002E-2</v>
      </c>
      <c r="J64" s="1950">
        <f>J61+J50+J28+J20</f>
        <v>2548289499</v>
      </c>
      <c r="K64" s="1782">
        <f>IF(L64=0,"-",ROUND((J64-L64)/ABS(L64),4))</f>
        <v>7.1800000000000003E-2</v>
      </c>
      <c r="L64" s="1950">
        <f>L61+L50+L28+L20</f>
        <v>2377557012</v>
      </c>
      <c r="M64" s="1782">
        <f>IF(N64=0,"-",ROUND((L64-N64)/ABS(N64),4))</f>
        <v>6.8099999999999994E-2</v>
      </c>
      <c r="N64" s="1950">
        <f>N61+N50+N28+N20</f>
        <v>2225977236</v>
      </c>
      <c r="O64" s="1782">
        <f>IF(P64=0,"-",ROUND((N64-P64)/ABS(P64),4))</f>
        <v>8.1100000000000005E-2</v>
      </c>
      <c r="P64" s="1950">
        <f>P61+P50+P28+P20</f>
        <v>2058978406</v>
      </c>
      <c r="Q64" s="1782">
        <f>IF(S64=0,"-",ROUND((P64-S64)/ABS(S64),4))</f>
        <v>0.1167</v>
      </c>
      <c r="R64" s="693"/>
      <c r="S64" s="1950">
        <f>S61+S50+S28+S20</f>
        <v>1843834555</v>
      </c>
      <c r="T64" s="693"/>
    </row>
    <row r="65" spans="1:20" ht="15.6" thickTop="1">
      <c r="A65" s="692"/>
      <c r="B65" s="692"/>
      <c r="C65" s="692"/>
      <c r="D65" s="667"/>
      <c r="E65" s="692"/>
      <c r="F65" s="667"/>
      <c r="G65" s="667"/>
      <c r="H65" s="667"/>
      <c r="I65" s="667"/>
      <c r="J65" s="667"/>
      <c r="K65" s="667"/>
      <c r="L65" s="667"/>
      <c r="M65" s="667"/>
      <c r="N65" s="667"/>
      <c r="O65" s="667"/>
      <c r="P65" s="667"/>
      <c r="Q65" s="667"/>
      <c r="R65" s="693"/>
      <c r="S65" s="667"/>
      <c r="T65" s="693"/>
    </row>
    <row r="66" spans="1:20" ht="15">
      <c r="A66" s="692"/>
      <c r="B66" s="692"/>
      <c r="C66" s="1783" t="s">
        <v>1313</v>
      </c>
      <c r="D66" s="667"/>
      <c r="E66" s="692"/>
      <c r="F66" s="667"/>
      <c r="G66" s="1784"/>
      <c r="H66" s="667"/>
      <c r="I66" s="667"/>
      <c r="J66" s="667"/>
      <c r="K66" s="667"/>
      <c r="L66" s="667"/>
      <c r="M66" s="667"/>
      <c r="N66" s="667"/>
      <c r="O66" s="667"/>
      <c r="P66" s="667"/>
      <c r="Q66" s="667"/>
      <c r="R66" s="692"/>
      <c r="S66" s="667"/>
      <c r="T66" s="693"/>
    </row>
    <row r="67" spans="1:20" ht="15">
      <c r="A67" s="692"/>
      <c r="B67" s="692"/>
      <c r="C67" s="692"/>
      <c r="D67" s="667"/>
      <c r="E67" s="692"/>
      <c r="F67" s="667"/>
      <c r="G67" s="667"/>
      <c r="H67" s="667"/>
      <c r="I67" s="667"/>
      <c r="J67" s="667"/>
      <c r="K67" s="667"/>
      <c r="L67" s="667"/>
      <c r="M67" s="667"/>
      <c r="N67" s="667"/>
      <c r="O67" s="667"/>
      <c r="P67" s="667"/>
      <c r="Q67" s="667"/>
      <c r="R67" s="692"/>
      <c r="S67" s="692"/>
      <c r="T67" s="693"/>
    </row>
    <row r="68" spans="1:20" ht="15">
      <c r="A68" s="698" t="str">
        <f>A1</f>
        <v>DUKE ENERGY KENTUCKY, INC.</v>
      </c>
      <c r="B68" s="698"/>
      <c r="C68" s="698"/>
      <c r="D68" s="1785"/>
      <c r="E68" s="698"/>
      <c r="F68" s="1785"/>
      <c r="G68" s="1785"/>
      <c r="H68" s="1785"/>
      <c r="I68" s="1785"/>
      <c r="J68" s="1785"/>
      <c r="K68" s="1785"/>
      <c r="L68" s="1785"/>
      <c r="M68" s="1785"/>
      <c r="N68" s="1785"/>
      <c r="O68" s="1785"/>
      <c r="P68" s="1785"/>
      <c r="Q68" s="1785"/>
      <c r="R68" s="692"/>
      <c r="S68" s="692"/>
      <c r="T68" s="692"/>
    </row>
    <row r="69" spans="1:20" ht="15">
      <c r="A69" s="698" t="str">
        <f>A2</f>
        <v>CASE NO. 2024-00354</v>
      </c>
      <c r="B69" s="698"/>
      <c r="C69" s="698"/>
      <c r="D69" s="1785"/>
      <c r="E69" s="698"/>
      <c r="F69" s="1785"/>
      <c r="G69" s="1785"/>
      <c r="H69" s="1785"/>
      <c r="I69" s="1785"/>
      <c r="J69" s="1785"/>
      <c r="K69" s="1785"/>
      <c r="L69" s="1785"/>
      <c r="M69" s="1785"/>
      <c r="N69" s="1785"/>
      <c r="O69" s="1785"/>
      <c r="P69" s="1785"/>
      <c r="Q69" s="1785"/>
      <c r="R69" s="692"/>
      <c r="S69" s="692"/>
      <c r="T69" s="692"/>
    </row>
    <row r="70" spans="1:20" ht="15">
      <c r="A70" s="698" t="s">
        <v>1260</v>
      </c>
      <c r="B70" s="698"/>
      <c r="C70" s="698"/>
      <c r="D70" s="1785"/>
      <c r="E70" s="698"/>
      <c r="F70" s="1785"/>
      <c r="G70" s="1785"/>
      <c r="H70" s="1785"/>
      <c r="I70" s="1785"/>
      <c r="J70" s="1785"/>
      <c r="K70" s="1785"/>
      <c r="L70" s="1785"/>
      <c r="M70" s="1785"/>
      <c r="N70" s="1785"/>
      <c r="O70" s="1785"/>
      <c r="P70" s="1785"/>
      <c r="Q70" s="1785"/>
      <c r="R70" s="692"/>
      <c r="S70" s="692"/>
      <c r="T70" s="692"/>
    </row>
    <row r="71" spans="1:20" ht="15">
      <c r="A71" s="1084" t="str">
        <f>A4</f>
        <v>AS OF DECEMBER 31, 2019-2023 AND BASE AND FORECASTED PERIODS</v>
      </c>
      <c r="B71" s="698"/>
      <c r="C71" s="698"/>
      <c r="D71" s="1785"/>
      <c r="E71" s="698"/>
      <c r="F71" s="1785"/>
      <c r="G71" s="1785"/>
      <c r="H71" s="1785"/>
      <c r="I71" s="1785"/>
      <c r="J71" s="1785"/>
      <c r="K71" s="1785"/>
      <c r="L71" s="1785"/>
      <c r="M71" s="1785"/>
      <c r="N71" s="1785"/>
      <c r="O71" s="1785"/>
      <c r="P71" s="1785"/>
      <c r="Q71" s="1785"/>
      <c r="R71" s="692"/>
      <c r="S71" s="692"/>
      <c r="T71" s="692"/>
    </row>
    <row r="72" spans="1:20" ht="15">
      <c r="A72" s="46"/>
      <c r="B72" s="692"/>
      <c r="C72" s="692"/>
      <c r="D72" s="667"/>
      <c r="E72" s="692"/>
      <c r="F72" s="667"/>
      <c r="G72" s="667"/>
      <c r="H72" s="667"/>
      <c r="I72" s="667"/>
      <c r="J72" s="667"/>
      <c r="K72" s="667"/>
      <c r="L72" s="667"/>
      <c r="M72" s="667"/>
      <c r="N72" s="667"/>
      <c r="O72" s="667"/>
      <c r="P72" s="667"/>
      <c r="Q72" s="667"/>
      <c r="R72" s="692"/>
      <c r="S72" s="692"/>
      <c r="T72" s="692"/>
    </row>
    <row r="73" spans="1:20" ht="15">
      <c r="A73" s="46" t="str">
        <f>LOGO!$B$14</f>
        <v>DATA: "X" BASE PERIOD  "X" FORECASTED PERIOD</v>
      </c>
      <c r="B73" s="692"/>
      <c r="C73" s="692"/>
      <c r="D73" s="667"/>
      <c r="E73" s="692"/>
      <c r="F73" s="667"/>
      <c r="G73" s="667"/>
      <c r="H73" s="667"/>
      <c r="I73" s="667"/>
      <c r="J73" s="667"/>
      <c r="K73" s="667"/>
      <c r="L73" s="667"/>
      <c r="M73" s="667"/>
      <c r="N73" s="1784" t="s">
        <v>1262</v>
      </c>
      <c r="O73" s="1784"/>
      <c r="P73" s="667"/>
      <c r="Q73" s="667"/>
      <c r="R73" s="692"/>
      <c r="S73" s="692"/>
      <c r="T73" s="692"/>
    </row>
    <row r="74" spans="1:20" ht="15">
      <c r="A74" s="46" t="str">
        <f>A7</f>
        <v xml:space="preserve">TYPE OF FILING:  "X" ORIGINAL   UPDATED    REVISED  </v>
      </c>
      <c r="B74" s="692"/>
      <c r="C74" s="692"/>
      <c r="D74" s="667"/>
      <c r="E74" s="692"/>
      <c r="F74" s="667"/>
      <c r="G74" s="667"/>
      <c r="H74" s="667"/>
      <c r="I74" s="667"/>
      <c r="J74" s="667"/>
      <c r="K74" s="667"/>
      <c r="L74" s="667"/>
      <c r="M74" s="667"/>
      <c r="N74" s="1784" t="s">
        <v>590</v>
      </c>
      <c r="O74" s="1784"/>
      <c r="P74" s="667"/>
      <c r="Q74" s="667"/>
      <c r="R74" s="692"/>
      <c r="S74" s="692"/>
      <c r="T74" s="692"/>
    </row>
    <row r="75" spans="1:20" ht="15">
      <c r="A75" s="46" t="s">
        <v>694</v>
      </c>
      <c r="B75" s="692"/>
      <c r="C75" s="692"/>
      <c r="D75" s="667"/>
      <c r="E75" s="692"/>
      <c r="F75" s="667"/>
      <c r="G75" s="667"/>
      <c r="H75" s="667"/>
      <c r="I75" s="667"/>
      <c r="J75" s="667"/>
      <c r="K75" s="667"/>
      <c r="L75" s="667"/>
      <c r="M75" s="667"/>
      <c r="N75" s="667" t="s">
        <v>468</v>
      </c>
      <c r="O75" s="667"/>
      <c r="P75" s="667"/>
      <c r="Q75" s="667"/>
      <c r="R75" s="692"/>
      <c r="S75" s="692"/>
      <c r="T75" s="692"/>
    </row>
    <row r="76" spans="1:20" ht="15">
      <c r="A76" s="46"/>
      <c r="B76" s="692"/>
      <c r="C76" s="692"/>
      <c r="D76" s="667"/>
      <c r="E76" s="692"/>
      <c r="F76" s="667"/>
      <c r="G76" s="667"/>
      <c r="H76" s="667"/>
      <c r="I76" s="667"/>
      <c r="J76" s="667"/>
      <c r="K76" s="667"/>
      <c r="L76" s="667"/>
      <c r="M76" s="667"/>
      <c r="N76" s="667" t="str">
        <f>_WIT6</f>
        <v>G. S. CARPENTER / D. L. WEATHERSTON</v>
      </c>
      <c r="O76" s="667"/>
      <c r="P76" s="667"/>
      <c r="Q76" s="667"/>
      <c r="R76" s="692"/>
      <c r="S76" s="692"/>
      <c r="T76" s="692"/>
    </row>
    <row r="77" spans="1:20" ht="15">
      <c r="A77" s="46"/>
      <c r="B77" s="692"/>
      <c r="C77" s="692"/>
      <c r="D77" s="667"/>
      <c r="E77" s="692"/>
      <c r="F77" s="667"/>
      <c r="G77" s="667"/>
      <c r="H77" s="667"/>
      <c r="I77" s="667"/>
      <c r="J77" s="667"/>
      <c r="K77" s="667"/>
      <c r="L77" s="667"/>
      <c r="M77" s="667"/>
      <c r="N77" s="667"/>
      <c r="O77" s="667"/>
      <c r="P77" s="667"/>
      <c r="Q77" s="667"/>
      <c r="R77" s="692"/>
      <c r="S77" s="692"/>
      <c r="T77" s="692"/>
    </row>
    <row r="78" spans="1:20" ht="15">
      <c r="A78" s="692"/>
      <c r="B78" s="692"/>
      <c r="C78" s="692"/>
      <c r="D78" s="1773" t="s">
        <v>499</v>
      </c>
      <c r="E78" s="692"/>
      <c r="F78" s="692"/>
      <c r="G78" s="692"/>
      <c r="H78" s="1774" t="s">
        <v>1314</v>
      </c>
      <c r="I78" s="1774"/>
      <c r="J78" s="1774"/>
      <c r="K78" s="1774"/>
      <c r="L78" s="1774"/>
      <c r="M78" s="1774"/>
      <c r="N78" s="1774"/>
      <c r="O78" s="1774"/>
      <c r="P78" s="1774"/>
      <c r="Q78" s="692"/>
      <c r="R78" s="692"/>
      <c r="S78" s="692"/>
      <c r="T78" s="692"/>
    </row>
    <row r="79" spans="1:20" ht="15">
      <c r="A79" s="696" t="s">
        <v>471</v>
      </c>
      <c r="B79" s="696"/>
      <c r="C79" s="696"/>
      <c r="D79" s="696" t="s">
        <v>474</v>
      </c>
      <c r="E79" s="696" t="s">
        <v>420</v>
      </c>
      <c r="F79" s="1775" t="s">
        <v>473</v>
      </c>
      <c r="G79" s="696" t="s">
        <v>420</v>
      </c>
      <c r="H79" s="692"/>
      <c r="I79" s="696" t="s">
        <v>420</v>
      </c>
      <c r="J79" s="692"/>
      <c r="K79" s="696" t="s">
        <v>420</v>
      </c>
      <c r="L79" s="692"/>
      <c r="M79" s="696" t="s">
        <v>420</v>
      </c>
      <c r="N79" s="692"/>
      <c r="O79" s="696" t="s">
        <v>420</v>
      </c>
      <c r="P79" s="692"/>
      <c r="Q79" s="2125" t="s">
        <v>420</v>
      </c>
      <c r="R79" s="692"/>
      <c r="S79" s="692"/>
      <c r="T79" s="692"/>
    </row>
    <row r="80" spans="1:20" ht="15">
      <c r="A80" s="1488" t="s">
        <v>533</v>
      </c>
      <c r="B80" s="696"/>
      <c r="C80" s="1488" t="s">
        <v>1263</v>
      </c>
      <c r="D80" s="1776" t="s">
        <v>478</v>
      </c>
      <c r="E80" s="1776" t="s">
        <v>1</v>
      </c>
      <c r="F80" s="1776" t="s">
        <v>478</v>
      </c>
      <c r="G80" s="1776" t="s">
        <v>1</v>
      </c>
      <c r="H80" s="1777">
        <f>H13</f>
        <v>2023</v>
      </c>
      <c r="I80" s="1776" t="s">
        <v>1</v>
      </c>
      <c r="J80" s="1488">
        <f>H80-1</f>
        <v>2022</v>
      </c>
      <c r="K80" s="1776" t="s">
        <v>1</v>
      </c>
      <c r="L80" s="1488">
        <f>J80-1</f>
        <v>2021</v>
      </c>
      <c r="M80" s="1776" t="s">
        <v>1</v>
      </c>
      <c r="N80" s="1488">
        <f>L80-1</f>
        <v>2020</v>
      </c>
      <c r="O80" s="1776" t="s">
        <v>1</v>
      </c>
      <c r="P80" s="1488">
        <f>N80-1</f>
        <v>2019</v>
      </c>
      <c r="Q80" s="1776" t="s">
        <v>1</v>
      </c>
      <c r="R80" s="692"/>
      <c r="S80" s="1488">
        <f>P80-1</f>
        <v>2018</v>
      </c>
      <c r="T80" s="692"/>
    </row>
    <row r="81" spans="1:20" ht="15.6">
      <c r="A81" s="692">
        <v>1</v>
      </c>
      <c r="B81" s="692"/>
      <c r="C81" s="1778" t="s">
        <v>1315</v>
      </c>
      <c r="D81" s="667"/>
      <c r="E81" s="1778"/>
      <c r="F81" s="667"/>
      <c r="G81" s="667"/>
      <c r="H81" s="667"/>
      <c r="I81" s="667"/>
      <c r="J81" s="667"/>
      <c r="K81" s="667"/>
      <c r="L81" s="667"/>
      <c r="M81" s="667"/>
      <c r="N81" s="667"/>
      <c r="O81" s="667"/>
      <c r="P81" s="667"/>
      <c r="Q81" s="667"/>
      <c r="R81" s="692"/>
      <c r="S81" s="667"/>
      <c r="T81" s="693"/>
    </row>
    <row r="82" spans="1:20" ht="15.6">
      <c r="A82" s="692">
        <v>2</v>
      </c>
      <c r="B82" s="692"/>
      <c r="C82" s="1778" t="s">
        <v>1316</v>
      </c>
      <c r="D82" s="667"/>
      <c r="E82" s="1778"/>
      <c r="F82" s="667"/>
      <c r="G82" s="667"/>
      <c r="H82" s="667"/>
      <c r="I82" s="667"/>
      <c r="J82" s="667"/>
      <c r="K82" s="667"/>
      <c r="L82" s="667"/>
      <c r="M82" s="667"/>
      <c r="N82" s="667"/>
      <c r="O82" s="667"/>
      <c r="P82" s="667"/>
      <c r="Q82" s="667"/>
      <c r="R82" s="692"/>
      <c r="S82" s="667"/>
      <c r="T82" s="693"/>
    </row>
    <row r="83" spans="1:20" ht="15">
      <c r="A83" s="692">
        <v>3</v>
      </c>
      <c r="B83" s="692"/>
      <c r="C83" s="46" t="s">
        <v>1317</v>
      </c>
      <c r="D83" s="2407">
        <v>8779994.9999999925</v>
      </c>
      <c r="E83" s="1782">
        <f t="shared" ref="E83:E88" si="21">IF(F83=0,"-",ROUND((D83-F83)/ABS(F83),4))</f>
        <v>0</v>
      </c>
      <c r="F83" s="2407">
        <v>8779994.9999999907</v>
      </c>
      <c r="G83" s="1782">
        <f t="shared" ref="G83:G88" si="22">IF(H83=0,"-",ROUND((F83-H83)/ABS(H83),4))</f>
        <v>0</v>
      </c>
      <c r="H83" s="2407">
        <v>8779995</v>
      </c>
      <c r="I83" s="1782">
        <f t="shared" ref="I83:I88" si="23">IF(J83=0,"-",ROUND((H83-J83)/ABS(J83),4))</f>
        <v>0</v>
      </c>
      <c r="J83" s="2407">
        <v>8779995</v>
      </c>
      <c r="K83" s="1782">
        <f t="shared" ref="K83:K88" si="24">IF(L83=0,"-",ROUND((J83-L83)/ABS(L83),4))</f>
        <v>0</v>
      </c>
      <c r="L83" s="2407">
        <v>8779995</v>
      </c>
      <c r="M83" s="1782">
        <f t="shared" ref="M83:M88" si="25">IF(N83=0,"-",ROUND((L83-N83)/ABS(N83),4))</f>
        <v>0</v>
      </c>
      <c r="N83" s="2407">
        <v>8779995</v>
      </c>
      <c r="O83" s="1782">
        <f t="shared" ref="O83:O88" si="26">IF(P83=0,"-",ROUND((N83-P83)/ABS(P83),4))</f>
        <v>0</v>
      </c>
      <c r="P83" s="2407">
        <v>8779995</v>
      </c>
      <c r="Q83" s="1782">
        <f t="shared" ref="Q83:Q88" si="27">IF(S83=0,"-",ROUND((P83-S83)/ABS(S83),4))</f>
        <v>0</v>
      </c>
      <c r="R83" s="693"/>
      <c r="S83" s="2407">
        <v>8779995</v>
      </c>
      <c r="T83" s="693"/>
    </row>
    <row r="84" spans="1:20" ht="15">
      <c r="A84" s="692">
        <v>4</v>
      </c>
      <c r="B84" s="692"/>
      <c r="C84" s="46" t="s">
        <v>1318</v>
      </c>
      <c r="D84" s="2407">
        <v>18838946</v>
      </c>
      <c r="E84" s="1782">
        <f t="shared" si="21"/>
        <v>0</v>
      </c>
      <c r="F84" s="2407">
        <v>18838946</v>
      </c>
      <c r="G84" s="1782">
        <f t="shared" si="22"/>
        <v>0</v>
      </c>
      <c r="H84" s="2407">
        <v>18838946</v>
      </c>
      <c r="I84" s="1782">
        <f t="shared" si="23"/>
        <v>0</v>
      </c>
      <c r="J84" s="2407">
        <v>18838946</v>
      </c>
      <c r="K84" s="1782">
        <f t="shared" si="24"/>
        <v>0</v>
      </c>
      <c r="L84" s="2407">
        <v>18838946</v>
      </c>
      <c r="M84" s="1782">
        <f t="shared" si="25"/>
        <v>0</v>
      </c>
      <c r="N84" s="2407">
        <v>18838946</v>
      </c>
      <c r="O84" s="1782">
        <f t="shared" si="26"/>
        <v>0</v>
      </c>
      <c r="P84" s="2407">
        <v>18838946</v>
      </c>
      <c r="Q84" s="1782">
        <f t="shared" si="27"/>
        <v>0</v>
      </c>
      <c r="R84" s="693"/>
      <c r="S84" s="2407">
        <v>18838946</v>
      </c>
      <c r="T84" s="693"/>
    </row>
    <row r="85" spans="1:20" ht="15">
      <c r="A85" s="692">
        <v>5</v>
      </c>
      <c r="B85" s="692"/>
      <c r="C85" s="46" t="s">
        <v>1319</v>
      </c>
      <c r="D85" s="2407">
        <v>474372495.31000012</v>
      </c>
      <c r="E85" s="1782">
        <f t="shared" si="21"/>
        <v>0</v>
      </c>
      <c r="F85" s="2407">
        <v>474372495.31</v>
      </c>
      <c r="G85" s="1782">
        <f t="shared" si="22"/>
        <v>3.4299999999999997E-2</v>
      </c>
      <c r="H85" s="2407">
        <v>458655189</v>
      </c>
      <c r="I85" s="1782">
        <f t="shared" si="23"/>
        <v>0.67600000000000005</v>
      </c>
      <c r="J85" s="2407">
        <v>273655189</v>
      </c>
      <c r="K85" s="1782">
        <f t="shared" si="24"/>
        <v>0</v>
      </c>
      <c r="L85" s="2407">
        <v>273655189</v>
      </c>
      <c r="M85" s="1782">
        <f t="shared" si="25"/>
        <v>0.22359999999999999</v>
      </c>
      <c r="N85" s="2407">
        <v>223655189</v>
      </c>
      <c r="O85" s="1782">
        <f t="shared" si="26"/>
        <v>0.1258</v>
      </c>
      <c r="P85" s="2407">
        <v>198655189</v>
      </c>
      <c r="Q85" s="1782">
        <f t="shared" si="27"/>
        <v>0</v>
      </c>
      <c r="R85" s="693"/>
      <c r="S85" s="2407">
        <v>198655189</v>
      </c>
      <c r="T85" s="693"/>
    </row>
    <row r="86" spans="1:20" ht="15">
      <c r="A86" s="692">
        <v>6</v>
      </c>
      <c r="B86" s="692"/>
      <c r="C86" s="46" t="s">
        <v>1320</v>
      </c>
      <c r="D86" s="2410">
        <v>653402319.48543751</v>
      </c>
      <c r="E86" s="1782">
        <f t="shared" si="21"/>
        <v>7.0699999999999999E-2</v>
      </c>
      <c r="F86" s="2410">
        <v>610249251.35029089</v>
      </c>
      <c r="G86" s="1782">
        <f t="shared" si="22"/>
        <v>-5.2499999999999998E-2</v>
      </c>
      <c r="H86" s="2407">
        <v>644082572</v>
      </c>
      <c r="I86" s="1782">
        <f t="shared" si="23"/>
        <v>0.11260000000000001</v>
      </c>
      <c r="J86" s="2407">
        <v>578920356</v>
      </c>
      <c r="K86" s="1782">
        <f t="shared" si="24"/>
        <v>0.1125</v>
      </c>
      <c r="L86" s="2407">
        <v>520368340</v>
      </c>
      <c r="M86" s="1782">
        <f t="shared" si="25"/>
        <v>0.1144</v>
      </c>
      <c r="N86" s="2407">
        <v>466962760</v>
      </c>
      <c r="O86" s="1782">
        <f t="shared" si="26"/>
        <v>0.1149</v>
      </c>
      <c r="P86" s="2407">
        <v>418819464</v>
      </c>
      <c r="Q86" s="1782">
        <f t="shared" si="27"/>
        <v>0.1321</v>
      </c>
      <c r="R86" s="693"/>
      <c r="S86" s="2407">
        <v>369949518</v>
      </c>
      <c r="T86" s="693"/>
    </row>
    <row r="87" spans="1:20" ht="15">
      <c r="A87" s="692">
        <v>7</v>
      </c>
      <c r="B87" s="692"/>
      <c r="C87" s="46" t="s">
        <v>1321</v>
      </c>
      <c r="D87" s="2410"/>
      <c r="E87" s="1782" t="str">
        <f t="shared" si="21"/>
        <v>-</v>
      </c>
      <c r="F87" s="2213"/>
      <c r="G87" s="1782" t="str">
        <f t="shared" si="22"/>
        <v>-</v>
      </c>
      <c r="H87" s="2410"/>
      <c r="I87" s="1782" t="str">
        <f t="shared" si="23"/>
        <v>-</v>
      </c>
      <c r="J87" s="2407"/>
      <c r="K87" s="1782" t="str">
        <f t="shared" si="24"/>
        <v>-</v>
      </c>
      <c r="L87" s="2410">
        <v>0</v>
      </c>
      <c r="M87" s="1782" t="str">
        <f t="shared" si="25"/>
        <v>-</v>
      </c>
      <c r="N87" s="2407">
        <v>0</v>
      </c>
      <c r="O87" s="1782" t="str">
        <f t="shared" si="26"/>
        <v>-</v>
      </c>
      <c r="P87" s="2407">
        <v>0</v>
      </c>
      <c r="Q87" s="1782" t="str">
        <f t="shared" si="27"/>
        <v>-</v>
      </c>
      <c r="R87" s="693"/>
      <c r="S87" s="2407">
        <v>0</v>
      </c>
      <c r="T87" s="693"/>
    </row>
    <row r="88" spans="1:20" ht="15">
      <c r="A88" s="692">
        <v>8</v>
      </c>
      <c r="B88" s="692"/>
      <c r="C88" s="46" t="s">
        <v>1322</v>
      </c>
      <c r="D88" s="2126">
        <f>SUM(D83:D87)</f>
        <v>1155393755.7954376</v>
      </c>
      <c r="E88" s="1782">
        <f t="shared" si="21"/>
        <v>3.8800000000000001E-2</v>
      </c>
      <c r="F88" s="2126">
        <f>SUM(F83:F87)</f>
        <v>1112240687.660291</v>
      </c>
      <c r="G88" s="1782">
        <f t="shared" si="22"/>
        <v>-1.6E-2</v>
      </c>
      <c r="H88" s="2126">
        <f>SUM(H83:H87)</f>
        <v>1130356702</v>
      </c>
      <c r="I88" s="1782">
        <f t="shared" si="23"/>
        <v>0.28420000000000001</v>
      </c>
      <c r="J88" s="2126">
        <f>SUM(J83:J87)</f>
        <v>880194486</v>
      </c>
      <c r="K88" s="1782">
        <f t="shared" si="24"/>
        <v>7.1300000000000002E-2</v>
      </c>
      <c r="L88" s="2126">
        <f>SUM(L83:L87)</f>
        <v>821642470</v>
      </c>
      <c r="M88" s="1782">
        <f t="shared" si="25"/>
        <v>0.14399999999999999</v>
      </c>
      <c r="N88" s="2126">
        <f>SUM(N83:N87)</f>
        <v>718236890</v>
      </c>
      <c r="O88" s="1782">
        <f t="shared" si="26"/>
        <v>0.1134</v>
      </c>
      <c r="P88" s="2126">
        <f>SUM(P83:P87)</f>
        <v>645093594</v>
      </c>
      <c r="Q88" s="1782">
        <f t="shared" si="27"/>
        <v>8.2000000000000003E-2</v>
      </c>
      <c r="R88" s="693"/>
      <c r="S88" s="2126">
        <f>SUM(S83:S87)</f>
        <v>596223648</v>
      </c>
      <c r="T88" s="693"/>
    </row>
    <row r="89" spans="1:20" ht="15.6">
      <c r="A89" s="692">
        <v>9</v>
      </c>
      <c r="B89" s="692"/>
      <c r="C89" s="1778" t="s">
        <v>1323</v>
      </c>
      <c r="D89" s="667"/>
      <c r="E89" s="667"/>
      <c r="F89" s="667"/>
      <c r="G89" s="667"/>
      <c r="H89" s="667"/>
      <c r="I89" s="667"/>
      <c r="J89" s="667"/>
      <c r="K89" s="667"/>
      <c r="L89" s="2410"/>
      <c r="M89" s="667"/>
      <c r="N89" s="667"/>
      <c r="O89" s="667"/>
      <c r="P89" s="667"/>
      <c r="Q89" s="667"/>
      <c r="R89" s="693"/>
      <c r="S89" s="667"/>
      <c r="T89" s="693"/>
    </row>
    <row r="90" spans="1:20" ht="15">
      <c r="A90" s="692">
        <v>10</v>
      </c>
      <c r="B90" s="692"/>
      <c r="C90" s="46" t="s">
        <v>1324</v>
      </c>
      <c r="D90" s="2407">
        <v>25000000</v>
      </c>
      <c r="E90" s="1782">
        <f t="shared" ref="E90:E95" si="28">IF(F90=0,"-",ROUND((D90-F90)/ABS(F90),4))</f>
        <v>0</v>
      </c>
      <c r="F90" s="2407">
        <v>25000000</v>
      </c>
      <c r="G90" s="1782">
        <f t="shared" ref="G90:G95" si="29">IF(H90=0,"-",ROUND((F90-H90)/ABS(H90),4))</f>
        <v>0</v>
      </c>
      <c r="H90" s="2407">
        <v>25000000</v>
      </c>
      <c r="I90" s="1782">
        <f t="shared" ref="I90:I95" si="30">IF(J90=0,"-",ROUND((H90-J90)/ABS(J90),4))</f>
        <v>0</v>
      </c>
      <c r="J90" s="2407">
        <v>25000000</v>
      </c>
      <c r="K90" s="1782">
        <f t="shared" ref="K90:K95" si="31">IF(L90=0,"-",ROUND((J90-L90)/ABS(L90),4))</f>
        <v>0</v>
      </c>
      <c r="L90" s="2407">
        <v>25000000</v>
      </c>
      <c r="M90" s="1782">
        <f t="shared" ref="M90:M95" si="32">IF(N90=0,"-",ROUND((L90-N90)/ABS(N90),4))</f>
        <v>0</v>
      </c>
      <c r="N90" s="2407">
        <v>25000000</v>
      </c>
      <c r="O90" s="1782">
        <f t="shared" ref="O90:O95" si="33">IF(P90=0,"-",ROUND((N90-P90)/ABS(P90),4))</f>
        <v>0</v>
      </c>
      <c r="P90" s="2407">
        <v>25000000</v>
      </c>
      <c r="Q90" s="1782">
        <f t="shared" ref="Q90:Q95" si="34">IF(S90=0,"-",ROUND((P90-S90)/ABS(S90),4))</f>
        <v>0</v>
      </c>
      <c r="R90" s="693"/>
      <c r="S90" s="2407">
        <v>25000000</v>
      </c>
      <c r="T90" s="693"/>
    </row>
    <row r="91" spans="1:20" ht="15">
      <c r="A91" s="692">
        <v>11</v>
      </c>
      <c r="B91" s="692"/>
      <c r="C91" s="46" t="s">
        <v>1325</v>
      </c>
      <c r="D91" s="2407">
        <v>906665725.21006072</v>
      </c>
      <c r="E91" s="1782">
        <f t="shared" si="28"/>
        <v>0.1865</v>
      </c>
      <c r="F91" s="2407">
        <v>764141852.74372709</v>
      </c>
      <c r="G91" s="1782">
        <f t="shared" si="29"/>
        <v>0.12089999999999999</v>
      </c>
      <c r="H91" s="2407">
        <v>681720000</v>
      </c>
      <c r="I91" s="1782">
        <f t="shared" si="30"/>
        <v>-9.9099999999999994E-2</v>
      </c>
      <c r="J91" s="2407">
        <v>756720000</v>
      </c>
      <c r="K91" s="1782">
        <f t="shared" si="31"/>
        <v>7.0699999999999999E-2</v>
      </c>
      <c r="L91" s="2407">
        <v>706720000</v>
      </c>
      <c r="M91" s="1782">
        <f t="shared" si="32"/>
        <v>0</v>
      </c>
      <c r="N91" s="2407">
        <v>706720000</v>
      </c>
      <c r="O91" s="1782">
        <f t="shared" si="33"/>
        <v>0.1099</v>
      </c>
      <c r="P91" s="2407">
        <v>636720000</v>
      </c>
      <c r="Q91" s="1782">
        <f t="shared" si="34"/>
        <v>0.20880000000000001</v>
      </c>
      <c r="R91" s="693"/>
      <c r="S91" s="2407">
        <v>526720000</v>
      </c>
      <c r="T91" s="693"/>
    </row>
    <row r="92" spans="1:20" ht="15">
      <c r="A92" s="692">
        <v>12</v>
      </c>
      <c r="B92" s="692"/>
      <c r="C92" s="46" t="s">
        <v>1326</v>
      </c>
      <c r="D92" s="2407">
        <v>0</v>
      </c>
      <c r="E92" s="1782" t="str">
        <f t="shared" si="28"/>
        <v>-</v>
      </c>
      <c r="F92" s="2407">
        <v>0</v>
      </c>
      <c r="G92" s="1782" t="str">
        <f t="shared" si="29"/>
        <v>-</v>
      </c>
      <c r="H92" s="2407">
        <v>0</v>
      </c>
      <c r="I92" s="1782" t="str">
        <f t="shared" si="30"/>
        <v>-</v>
      </c>
      <c r="J92" s="2407">
        <v>0</v>
      </c>
      <c r="K92" s="1782" t="str">
        <f t="shared" si="31"/>
        <v>-</v>
      </c>
      <c r="L92" s="2407">
        <v>0</v>
      </c>
      <c r="M92" s="1782" t="str">
        <f t="shared" si="32"/>
        <v>-</v>
      </c>
      <c r="N92" s="2407">
        <v>0</v>
      </c>
      <c r="O92" s="1782" t="str">
        <f t="shared" si="33"/>
        <v>-</v>
      </c>
      <c r="P92" s="2407">
        <v>0</v>
      </c>
      <c r="Q92" s="1782" t="str">
        <f t="shared" si="34"/>
        <v>-</v>
      </c>
      <c r="R92" s="693"/>
      <c r="S92" s="2407">
        <v>0</v>
      </c>
      <c r="T92" s="693"/>
    </row>
    <row r="93" spans="1:20" ht="15">
      <c r="A93" s="692">
        <v>13</v>
      </c>
      <c r="B93" s="692"/>
      <c r="C93" s="46" t="s">
        <v>1327</v>
      </c>
      <c r="D93" s="2407">
        <v>124987.92724373525</v>
      </c>
      <c r="E93" s="1782">
        <f t="shared" si="28"/>
        <v>-7.5600000000000001E-2</v>
      </c>
      <c r="F93" s="2407">
        <v>135205.48988610401</v>
      </c>
      <c r="G93" s="1782">
        <f t="shared" si="29"/>
        <v>-9.5699999999999993E-2</v>
      </c>
      <c r="H93" s="2407">
        <v>149511</v>
      </c>
      <c r="I93" s="1782">
        <f t="shared" si="30"/>
        <v>-7.5800000000000006E-2</v>
      </c>
      <c r="J93" s="2407">
        <v>161775</v>
      </c>
      <c r="K93" s="1782">
        <f t="shared" si="31"/>
        <v>-7.0499999999999993E-2</v>
      </c>
      <c r="L93" s="2407">
        <v>174038</v>
      </c>
      <c r="M93" s="1782">
        <f t="shared" si="32"/>
        <v>-6.5799999999999997E-2</v>
      </c>
      <c r="N93" s="2407">
        <v>186301</v>
      </c>
      <c r="O93" s="1782">
        <f t="shared" si="33"/>
        <v>-6.1800000000000001E-2</v>
      </c>
      <c r="P93" s="2407">
        <v>198565</v>
      </c>
      <c r="Q93" s="1782">
        <f t="shared" si="34"/>
        <v>-0.16850000000000001</v>
      </c>
      <c r="R93" s="693"/>
      <c r="S93" s="2407">
        <v>238808</v>
      </c>
      <c r="T93" s="693"/>
    </row>
    <row r="94" spans="1:20" ht="15">
      <c r="A94" s="692">
        <v>14</v>
      </c>
      <c r="B94" s="692"/>
      <c r="C94" s="46" t="s">
        <v>1328</v>
      </c>
      <c r="D94" s="2407">
        <v>0</v>
      </c>
      <c r="E94" s="1782" t="str">
        <f t="shared" si="28"/>
        <v>-</v>
      </c>
      <c r="F94" s="2407">
        <v>0</v>
      </c>
      <c r="G94" s="1782" t="str">
        <f t="shared" si="29"/>
        <v>-</v>
      </c>
      <c r="H94" s="2407">
        <v>0</v>
      </c>
      <c r="I94" s="1782" t="str">
        <f t="shared" si="30"/>
        <v>-</v>
      </c>
      <c r="J94" s="2407">
        <v>0</v>
      </c>
      <c r="K94" s="1782" t="str">
        <f t="shared" si="31"/>
        <v>-</v>
      </c>
      <c r="L94" s="2407">
        <v>0</v>
      </c>
      <c r="M94" s="1782" t="str">
        <f t="shared" si="32"/>
        <v>-</v>
      </c>
      <c r="N94" s="2407">
        <v>0</v>
      </c>
      <c r="O94" s="1782" t="str">
        <f t="shared" si="33"/>
        <v>-</v>
      </c>
      <c r="P94" s="2407">
        <v>0</v>
      </c>
      <c r="Q94" s="1782" t="str">
        <f t="shared" si="34"/>
        <v>-</v>
      </c>
      <c r="R94" s="693"/>
      <c r="S94" s="2407">
        <v>0</v>
      </c>
      <c r="T94" s="693"/>
    </row>
    <row r="95" spans="1:20" ht="15">
      <c r="A95" s="692">
        <v>15</v>
      </c>
      <c r="B95" s="692"/>
      <c r="C95" s="46" t="s">
        <v>1329</v>
      </c>
      <c r="D95" s="2126">
        <f>SUM(D90:D92)-SUM(D93:D94)</f>
        <v>931540737.28281701</v>
      </c>
      <c r="E95" s="1782">
        <f t="shared" si="28"/>
        <v>0.1807</v>
      </c>
      <c r="F95" s="2126">
        <f>SUM(F90:F92)-SUM(F93:F94)</f>
        <v>789006647.25384104</v>
      </c>
      <c r="G95" s="1782">
        <f t="shared" si="29"/>
        <v>0.1167</v>
      </c>
      <c r="H95" s="2126">
        <f>SUM(H90:H92)-SUM(H93:H94)</f>
        <v>706570489</v>
      </c>
      <c r="I95" s="1782">
        <f t="shared" si="30"/>
        <v>-9.5899999999999999E-2</v>
      </c>
      <c r="J95" s="2126">
        <f>SUM(J90:J92)-SUM(J93:J94)</f>
        <v>781558225</v>
      </c>
      <c r="K95" s="1782">
        <f t="shared" si="31"/>
        <v>6.8400000000000002E-2</v>
      </c>
      <c r="L95" s="2126">
        <f>SUM(L90:L92)-SUM(L93:L94)</f>
        <v>731545962</v>
      </c>
      <c r="M95" s="1782">
        <f t="shared" si="32"/>
        <v>0</v>
      </c>
      <c r="N95" s="2126">
        <f>SUM(N90:N92)-SUM(N93:N94)</f>
        <v>731533699</v>
      </c>
      <c r="O95" s="1782">
        <f t="shared" si="33"/>
        <v>0.10580000000000001</v>
      </c>
      <c r="P95" s="2126">
        <f>SUM(P90:P92)-SUM(P93:P94)</f>
        <v>661521435</v>
      </c>
      <c r="Q95" s="1782">
        <f t="shared" si="34"/>
        <v>0.19950000000000001</v>
      </c>
      <c r="R95" s="693"/>
      <c r="S95" s="2126">
        <f>SUM(S90:S92)-SUM(S93:S94)</f>
        <v>551481192</v>
      </c>
      <c r="T95" s="693"/>
    </row>
    <row r="96" spans="1:20" ht="15.6">
      <c r="A96" s="692">
        <v>16</v>
      </c>
      <c r="B96" s="692"/>
      <c r="C96" s="1778" t="s">
        <v>1330</v>
      </c>
      <c r="D96" s="667"/>
      <c r="E96" s="667"/>
      <c r="F96" s="667"/>
      <c r="G96" s="667"/>
      <c r="H96" s="667"/>
      <c r="I96" s="667"/>
      <c r="J96" s="667"/>
      <c r="K96" s="667"/>
      <c r="L96" s="667"/>
      <c r="M96" s="667"/>
      <c r="N96" s="667"/>
      <c r="O96" s="667"/>
      <c r="P96" s="667"/>
      <c r="Q96" s="667"/>
      <c r="R96" s="693"/>
      <c r="S96" s="667"/>
      <c r="T96" s="693"/>
    </row>
    <row r="97" spans="1:20" ht="15">
      <c r="A97" s="692">
        <v>17</v>
      </c>
      <c r="B97" s="692"/>
      <c r="C97" s="46" t="s">
        <v>1331</v>
      </c>
      <c r="D97" s="2410">
        <v>5785941.8399999905</v>
      </c>
      <c r="E97" s="1782">
        <f t="shared" ref="E97:E104" si="35">IF(F97=0,"-",ROUND((D97-F97)/ABS(F97),4))</f>
        <v>0</v>
      </c>
      <c r="F97" s="2410">
        <v>5785941.8399999905</v>
      </c>
      <c r="G97" s="1782">
        <f t="shared" ref="G97:G104" si="36">IF(H97=0,"-",ROUND((F97-H97)/ABS(H97),4))</f>
        <v>-0.2276</v>
      </c>
      <c r="H97" s="2410">
        <v>7490743</v>
      </c>
      <c r="I97" s="1782">
        <f t="shared" ref="I97:I104" si="37">IF(J97=0,"-",ROUND((H97-J97)/ABS(J97),4))</f>
        <v>-6.7599999999999993E-2</v>
      </c>
      <c r="J97" s="2410">
        <v>8034225</v>
      </c>
      <c r="K97" s="1782">
        <f t="shared" ref="K97:K104" si="38">IF(L97=0,"-",ROUND((J97-L97)/ABS(L97),4))</f>
        <v>-4.1099999999999998E-2</v>
      </c>
      <c r="L97" s="2410">
        <v>8378503</v>
      </c>
      <c r="M97" s="1782">
        <f t="shared" ref="M97:M104" si="39">IF(N97=0,"-",ROUND((L97-N97)/ABS(N97),4))</f>
        <v>-3.6499999999999998E-2</v>
      </c>
      <c r="N97" s="2407">
        <v>8696322</v>
      </c>
      <c r="O97" s="1782">
        <f t="shared" ref="O97:O104" si="40">IF(P97=0,"-",ROUND((N97-P97)/ABS(P97),4))</f>
        <v>-3.2599999999999997E-2</v>
      </c>
      <c r="P97" s="2407">
        <v>8989259</v>
      </c>
      <c r="Q97" s="1782">
        <f t="shared" ref="Q97:Q104" si="41">IF(S97=0,"-",ROUND((P97-S97)/ABS(S97),4))</f>
        <v>47.851999999999997</v>
      </c>
      <c r="R97" s="693"/>
      <c r="S97" s="2407">
        <v>184010</v>
      </c>
      <c r="T97" s="693"/>
    </row>
    <row r="98" spans="1:20" ht="15">
      <c r="A98" s="692">
        <v>18</v>
      </c>
      <c r="B98" s="692"/>
      <c r="C98" s="46" t="s">
        <v>1332</v>
      </c>
      <c r="D98" s="2410">
        <v>-163543.15999999997</v>
      </c>
      <c r="E98" s="1782">
        <f t="shared" si="35"/>
        <v>0</v>
      </c>
      <c r="F98" s="2410">
        <v>-163543.16</v>
      </c>
      <c r="G98" s="1782">
        <f t="shared" si="36"/>
        <v>-3.2300000000000002E-2</v>
      </c>
      <c r="H98" s="2410">
        <v>-158424</v>
      </c>
      <c r="I98" s="1782">
        <f t="shared" si="37"/>
        <v>-0.23230000000000001</v>
      </c>
      <c r="J98" s="2410">
        <v>-128556</v>
      </c>
      <c r="K98" s="1782">
        <f t="shared" si="38"/>
        <v>-0.61119999999999997</v>
      </c>
      <c r="L98" s="2410">
        <v>-79788</v>
      </c>
      <c r="M98" s="1782">
        <f t="shared" si="39"/>
        <v>4.9399999999999999E-2</v>
      </c>
      <c r="N98" s="2407">
        <v>-83933</v>
      </c>
      <c r="O98" s="1782">
        <f t="shared" si="40"/>
        <v>-8.8400000000000006E-2</v>
      </c>
      <c r="P98" s="2407">
        <v>-77114</v>
      </c>
      <c r="Q98" s="1782">
        <f t="shared" si="41"/>
        <v>-0.87280000000000002</v>
      </c>
      <c r="R98" s="693"/>
      <c r="S98" s="2407">
        <v>-41175</v>
      </c>
      <c r="T98" s="693"/>
    </row>
    <row r="99" spans="1:20" ht="15">
      <c r="A99" s="692">
        <v>19</v>
      </c>
      <c r="B99" s="692"/>
      <c r="C99" s="46" t="s">
        <v>1333</v>
      </c>
      <c r="D99" s="2410">
        <v>30444138.402307685</v>
      </c>
      <c r="E99" s="1782">
        <f t="shared" si="35"/>
        <v>-3.1099999999999999E-2</v>
      </c>
      <c r="F99" s="2410">
        <v>31420928.460000001</v>
      </c>
      <c r="G99" s="1782">
        <f t="shared" si="36"/>
        <v>0.1678</v>
      </c>
      <c r="H99" s="2410">
        <v>26905886</v>
      </c>
      <c r="I99" s="1782">
        <f t="shared" si="37"/>
        <v>-5.5999999999999999E-3</v>
      </c>
      <c r="J99" s="2410">
        <v>27056733</v>
      </c>
      <c r="K99" s="1782">
        <f t="shared" si="38"/>
        <v>-0.12280000000000001</v>
      </c>
      <c r="L99" s="2410">
        <v>30843612</v>
      </c>
      <c r="M99" s="1782">
        <f t="shared" si="39"/>
        <v>-1.8700000000000001E-2</v>
      </c>
      <c r="N99" s="2407">
        <v>31431080</v>
      </c>
      <c r="O99" s="1782">
        <f t="shared" si="40"/>
        <v>0.10829999999999999</v>
      </c>
      <c r="P99" s="2407">
        <v>28359904</v>
      </c>
      <c r="Q99" s="1782">
        <f t="shared" si="41"/>
        <v>0.30480000000000002</v>
      </c>
      <c r="R99" s="693"/>
      <c r="S99" s="2407">
        <v>21734353</v>
      </c>
      <c r="T99" s="693"/>
    </row>
    <row r="100" spans="1:20" ht="15">
      <c r="A100" s="692">
        <v>20</v>
      </c>
      <c r="B100" s="692"/>
      <c r="C100" s="46" t="s">
        <v>1334</v>
      </c>
      <c r="D100" s="2410">
        <v>0</v>
      </c>
      <c r="E100" s="1782" t="str">
        <f t="shared" si="35"/>
        <v>-</v>
      </c>
      <c r="F100" s="2410">
        <v>0</v>
      </c>
      <c r="G100" s="1782" t="str">
        <f t="shared" si="36"/>
        <v>-</v>
      </c>
      <c r="H100" s="2410">
        <v>0</v>
      </c>
      <c r="I100" s="1782" t="str">
        <f t="shared" si="37"/>
        <v>-</v>
      </c>
      <c r="J100" s="2410">
        <v>0</v>
      </c>
      <c r="K100" s="1782" t="str">
        <f t="shared" si="38"/>
        <v>-</v>
      </c>
      <c r="L100" s="2410">
        <v>0</v>
      </c>
      <c r="M100" s="1782" t="str">
        <f t="shared" si="39"/>
        <v>-</v>
      </c>
      <c r="N100" s="2407">
        <v>0</v>
      </c>
      <c r="O100" s="1782" t="str">
        <f t="shared" si="40"/>
        <v>-</v>
      </c>
      <c r="P100" s="2407">
        <v>0</v>
      </c>
      <c r="Q100" s="1782">
        <f t="shared" si="41"/>
        <v>1</v>
      </c>
      <c r="R100" s="693"/>
      <c r="S100" s="2407">
        <v>-555</v>
      </c>
      <c r="T100" s="693"/>
    </row>
    <row r="101" spans="1:20" ht="15">
      <c r="A101" s="692">
        <v>21</v>
      </c>
      <c r="B101" s="692"/>
      <c r="C101" s="46" t="s">
        <v>1335</v>
      </c>
      <c r="D101" s="2410">
        <v>0</v>
      </c>
      <c r="E101" s="1782" t="str">
        <f t="shared" si="35"/>
        <v>-</v>
      </c>
      <c r="F101" s="2410">
        <v>0</v>
      </c>
      <c r="G101" s="1782" t="str">
        <f t="shared" si="36"/>
        <v>-</v>
      </c>
      <c r="H101" s="2410">
        <v>0</v>
      </c>
      <c r="I101" s="1782" t="str">
        <f t="shared" si="37"/>
        <v>-</v>
      </c>
      <c r="J101" s="2410">
        <v>0</v>
      </c>
      <c r="K101" s="1782" t="str">
        <f t="shared" si="38"/>
        <v>-</v>
      </c>
      <c r="L101" s="2410">
        <v>0</v>
      </c>
      <c r="M101" s="1782" t="str">
        <f t="shared" si="39"/>
        <v>-</v>
      </c>
      <c r="N101" s="2407">
        <v>0</v>
      </c>
      <c r="O101" s="1782" t="str">
        <f t="shared" si="40"/>
        <v>-</v>
      </c>
      <c r="P101" s="2407">
        <v>0</v>
      </c>
      <c r="Q101" s="1782">
        <f t="shared" si="41"/>
        <v>-1</v>
      </c>
      <c r="R101" s="693"/>
      <c r="S101" s="2407">
        <v>250709</v>
      </c>
      <c r="T101" s="693"/>
    </row>
    <row r="102" spans="1:20" ht="15">
      <c r="A102" s="692">
        <v>22</v>
      </c>
      <c r="B102" s="692"/>
      <c r="C102" s="46" t="s">
        <v>1336</v>
      </c>
      <c r="D102" s="2410">
        <v>928367.00000000012</v>
      </c>
      <c r="E102" s="1782">
        <f t="shared" si="35"/>
        <v>0</v>
      </c>
      <c r="F102" s="2410">
        <v>928367</v>
      </c>
      <c r="G102" s="1782">
        <f t="shared" si="36"/>
        <v>-0.33029999999999998</v>
      </c>
      <c r="H102" s="2410">
        <v>1386272</v>
      </c>
      <c r="I102" s="1782">
        <f t="shared" si="37"/>
        <v>-0.10440000000000001</v>
      </c>
      <c r="J102" s="2410">
        <v>1547895</v>
      </c>
      <c r="K102" s="1782">
        <f t="shared" si="38"/>
        <v>-0.58099999999999996</v>
      </c>
      <c r="L102" s="2410">
        <v>3693879</v>
      </c>
      <c r="M102" s="1782">
        <f t="shared" si="39"/>
        <v>-0.30180000000000001</v>
      </c>
      <c r="N102" s="2407">
        <v>5290232</v>
      </c>
      <c r="O102" s="1782">
        <f t="shared" si="40"/>
        <v>0.15570000000000001</v>
      </c>
      <c r="P102" s="2407">
        <v>4577529</v>
      </c>
      <c r="Q102" s="1782">
        <f t="shared" si="41"/>
        <v>0.1729</v>
      </c>
      <c r="R102" s="693"/>
      <c r="S102" s="2407">
        <v>3902779</v>
      </c>
      <c r="T102" s="693"/>
    </row>
    <row r="103" spans="1:20" ht="15">
      <c r="A103" s="692">
        <v>23</v>
      </c>
      <c r="B103" s="692"/>
      <c r="C103" s="46" t="s">
        <v>1337</v>
      </c>
      <c r="D103" s="2410">
        <v>86342851.679999992</v>
      </c>
      <c r="E103" s="1782">
        <f t="shared" si="35"/>
        <v>0</v>
      </c>
      <c r="F103" s="2410">
        <v>86342851.680000007</v>
      </c>
      <c r="G103" s="1782">
        <f t="shared" si="36"/>
        <v>-1.9E-2</v>
      </c>
      <c r="H103" s="2410">
        <v>88018039</v>
      </c>
      <c r="I103" s="1782">
        <f t="shared" si="37"/>
        <v>-0.1837</v>
      </c>
      <c r="J103" s="2410">
        <v>107821238</v>
      </c>
      <c r="K103" s="1782">
        <f t="shared" si="38"/>
        <v>0.15590000000000001</v>
      </c>
      <c r="L103" s="2410">
        <v>93282532</v>
      </c>
      <c r="M103" s="1782">
        <f t="shared" si="39"/>
        <v>0.22559999999999999</v>
      </c>
      <c r="N103" s="2407">
        <v>76111813</v>
      </c>
      <c r="O103" s="1782">
        <f t="shared" si="40"/>
        <v>0.52900000000000003</v>
      </c>
      <c r="P103" s="2407">
        <v>49779851</v>
      </c>
      <c r="Q103" s="1782">
        <f t="shared" si="41"/>
        <v>-0.2077</v>
      </c>
      <c r="R103" s="693"/>
      <c r="S103" s="2407">
        <v>62826300</v>
      </c>
      <c r="T103" s="693"/>
    </row>
    <row r="104" spans="1:20" ht="15">
      <c r="A104" s="692">
        <v>24</v>
      </c>
      <c r="B104" s="692"/>
      <c r="C104" s="46" t="s">
        <v>1338</v>
      </c>
      <c r="D104" s="2126">
        <f>SUM(D97:D103)</f>
        <v>123337755.76230767</v>
      </c>
      <c r="E104" s="1782">
        <f t="shared" si="35"/>
        <v>-7.9000000000000008E-3</v>
      </c>
      <c r="F104" s="2126">
        <f>SUM(F97:F103)</f>
        <v>124314545.81999999</v>
      </c>
      <c r="G104" s="1782">
        <f t="shared" si="36"/>
        <v>5.4000000000000003E-3</v>
      </c>
      <c r="H104" s="2126">
        <f>SUM(H97:H103)</f>
        <v>123642516</v>
      </c>
      <c r="I104" s="1782">
        <f t="shared" si="37"/>
        <v>-0.14330000000000001</v>
      </c>
      <c r="J104" s="2126">
        <f>SUM(J97:J103)</f>
        <v>144331535</v>
      </c>
      <c r="K104" s="1782">
        <f t="shared" si="38"/>
        <v>6.0299999999999999E-2</v>
      </c>
      <c r="L104" s="2126">
        <f>SUM(L97:L103)</f>
        <v>136118738</v>
      </c>
      <c r="M104" s="1782">
        <f t="shared" si="39"/>
        <v>0.1208</v>
      </c>
      <c r="N104" s="2126">
        <f>SUM(N97:N103)</f>
        <v>121445514</v>
      </c>
      <c r="O104" s="1782">
        <f t="shared" si="40"/>
        <v>0.32540000000000002</v>
      </c>
      <c r="P104" s="2126">
        <f>SUM(P97:P103)</f>
        <v>91629429</v>
      </c>
      <c r="Q104" s="1782">
        <f t="shared" si="41"/>
        <v>3.1199999999999999E-2</v>
      </c>
      <c r="R104" s="693"/>
      <c r="S104" s="2126">
        <f>SUM(S97:S103)</f>
        <v>88856421</v>
      </c>
      <c r="T104" s="693"/>
    </row>
    <row r="105" spans="1:20" ht="15.6">
      <c r="A105" s="692">
        <v>25</v>
      </c>
      <c r="B105" s="692"/>
      <c r="C105" s="1778" t="s">
        <v>1339</v>
      </c>
      <c r="D105" s="667"/>
      <c r="E105" s="667"/>
      <c r="F105" s="667"/>
      <c r="G105" s="667"/>
      <c r="H105" s="667"/>
      <c r="I105" s="667"/>
      <c r="J105" s="667"/>
      <c r="K105" s="667"/>
      <c r="L105" s="667"/>
      <c r="M105" s="667"/>
      <c r="N105" s="667"/>
      <c r="O105" s="667"/>
      <c r="P105" s="667"/>
      <c r="Q105" s="667"/>
      <c r="R105" s="693"/>
      <c r="S105" s="667"/>
      <c r="T105" s="693"/>
    </row>
    <row r="106" spans="1:20" ht="15">
      <c r="A106" s="692">
        <v>26</v>
      </c>
      <c r="B106" s="692"/>
      <c r="C106" s="46" t="s">
        <v>1340</v>
      </c>
      <c r="D106" s="2410">
        <v>0</v>
      </c>
      <c r="E106" s="1782" t="str">
        <f t="shared" ref="E106:E119" si="42">IF(F106=0,"-",ROUND((D106-F106)/ABS(F106),4))</f>
        <v>-</v>
      </c>
      <c r="F106" s="2213"/>
      <c r="G106" s="1782" t="str">
        <f t="shared" ref="G106:G119" si="43">IF(H106=0,"-",ROUND((F106-H106)/ABS(H106),4))</f>
        <v>-</v>
      </c>
      <c r="H106" s="2410">
        <v>0</v>
      </c>
      <c r="I106" s="1782" t="str">
        <f t="shared" ref="I106:I119" si="44">IF(J106=0,"-",ROUND((H106-J106)/ABS(J106),4))</f>
        <v>-</v>
      </c>
      <c r="J106" s="2407">
        <v>0</v>
      </c>
      <c r="K106" s="1782" t="str">
        <f t="shared" ref="K106:K119" si="45">IF(L106=0,"-",ROUND((J106-L106)/ABS(L106),4))</f>
        <v>-</v>
      </c>
      <c r="L106" s="2410">
        <v>0</v>
      </c>
      <c r="M106" s="1782" t="str">
        <f t="shared" ref="M106:M119" si="46">IF(N106=0,"-",ROUND((L106-N106)/ABS(N106),4))</f>
        <v>-</v>
      </c>
      <c r="N106" s="2410">
        <v>0</v>
      </c>
      <c r="O106" s="1782" t="str">
        <f t="shared" ref="O106:O119" si="47">IF(P106=0,"-",ROUND((N106-P106)/ABS(P106),4))</f>
        <v>-</v>
      </c>
      <c r="P106" s="2407">
        <v>0</v>
      </c>
      <c r="Q106" s="1782" t="str">
        <f t="shared" ref="Q106:Q119" si="48">IF(S106=0,"-",ROUND((P106-S106)/ABS(S106),4))</f>
        <v>-</v>
      </c>
      <c r="R106" s="693"/>
      <c r="S106" s="2407">
        <v>0</v>
      </c>
      <c r="T106" s="693"/>
    </row>
    <row r="107" spans="1:20" ht="15">
      <c r="A107" s="692">
        <v>27</v>
      </c>
      <c r="B107" s="692"/>
      <c r="C107" s="46" t="s">
        <v>1341</v>
      </c>
      <c r="D107" s="2410">
        <v>53547964.418351471</v>
      </c>
      <c r="E107" s="1782">
        <f t="shared" si="42"/>
        <v>-0.61760000000000004</v>
      </c>
      <c r="F107" s="2410">
        <v>140031733.05571398</v>
      </c>
      <c r="G107" s="1782" t="str">
        <f t="shared" si="43"/>
        <v>-</v>
      </c>
      <c r="H107" s="2410">
        <v>0</v>
      </c>
      <c r="I107" s="1782" t="str">
        <f t="shared" si="44"/>
        <v>-</v>
      </c>
      <c r="J107" s="2407">
        <v>0</v>
      </c>
      <c r="K107" s="1782" t="str">
        <f t="shared" si="45"/>
        <v>-</v>
      </c>
      <c r="L107" s="2410">
        <v>0</v>
      </c>
      <c r="M107" s="1782" t="str">
        <f t="shared" si="46"/>
        <v>-</v>
      </c>
      <c r="N107" s="2410">
        <v>0</v>
      </c>
      <c r="O107" s="1782" t="str">
        <f t="shared" si="47"/>
        <v>-</v>
      </c>
      <c r="P107" s="2407">
        <v>0</v>
      </c>
      <c r="Q107" s="1782" t="str">
        <f t="shared" si="48"/>
        <v>-</v>
      </c>
      <c r="R107" s="693"/>
      <c r="S107" s="2407">
        <v>0</v>
      </c>
      <c r="T107" s="693"/>
    </row>
    <row r="108" spans="1:20" ht="15">
      <c r="A108" s="692">
        <v>28</v>
      </c>
      <c r="B108" s="692"/>
      <c r="C108" s="46" t="s">
        <v>1342</v>
      </c>
      <c r="D108" s="2410">
        <v>49158037.110769138</v>
      </c>
      <c r="E108" s="1782">
        <f t="shared" si="42"/>
        <v>-8.09E-2</v>
      </c>
      <c r="F108" s="2410">
        <v>53483898.1599999</v>
      </c>
      <c r="G108" s="1782">
        <f t="shared" si="43"/>
        <v>-0.13350000000000001</v>
      </c>
      <c r="H108" s="2410">
        <v>61721705</v>
      </c>
      <c r="I108" s="1782">
        <f t="shared" si="44"/>
        <v>-5.7599999999999998E-2</v>
      </c>
      <c r="J108" s="2407">
        <v>65496093</v>
      </c>
      <c r="K108" s="1782">
        <f t="shared" si="45"/>
        <v>0.4244</v>
      </c>
      <c r="L108" s="2410">
        <v>45980387</v>
      </c>
      <c r="M108" s="1782">
        <f t="shared" si="46"/>
        <v>0.1197</v>
      </c>
      <c r="N108" s="2407">
        <v>41066542</v>
      </c>
      <c r="O108" s="1782">
        <f t="shared" si="47"/>
        <v>-0.25059999999999999</v>
      </c>
      <c r="P108" s="2407">
        <v>54795775</v>
      </c>
      <c r="Q108" s="1782">
        <f t="shared" si="48"/>
        <v>0.19639999999999999</v>
      </c>
      <c r="R108" s="693"/>
      <c r="S108" s="2407">
        <v>45799387</v>
      </c>
      <c r="T108" s="693"/>
    </row>
    <row r="109" spans="1:20" ht="15">
      <c r="A109" s="692">
        <v>29</v>
      </c>
      <c r="B109" s="692"/>
      <c r="C109" s="46" t="s">
        <v>1343</v>
      </c>
      <c r="D109" s="2410">
        <v>51475724.486942127</v>
      </c>
      <c r="E109" s="1782" t="str">
        <f t="shared" si="42"/>
        <v>-</v>
      </c>
      <c r="F109" s="2410">
        <v>0</v>
      </c>
      <c r="G109" s="1782">
        <f t="shared" si="43"/>
        <v>-1</v>
      </c>
      <c r="H109" s="2410">
        <v>92903000</v>
      </c>
      <c r="I109" s="1782">
        <f t="shared" si="44"/>
        <v>0.14369999999999999</v>
      </c>
      <c r="J109" s="2407">
        <v>81232000</v>
      </c>
      <c r="K109" s="1782">
        <f t="shared" si="45"/>
        <v>-0.2082</v>
      </c>
      <c r="L109" s="2410">
        <v>102596000</v>
      </c>
      <c r="M109" s="1782">
        <f t="shared" si="46"/>
        <v>0.3594</v>
      </c>
      <c r="N109" s="2407">
        <v>75472000</v>
      </c>
      <c r="O109" s="1782">
        <f t="shared" si="47"/>
        <v>-8.5300000000000001E-2</v>
      </c>
      <c r="P109" s="2407">
        <v>82509000</v>
      </c>
      <c r="Q109" s="1782">
        <f t="shared" si="48"/>
        <v>1.1224000000000001</v>
      </c>
      <c r="R109" s="693"/>
      <c r="S109" s="2407">
        <v>38875002</v>
      </c>
      <c r="T109" s="693"/>
    </row>
    <row r="110" spans="1:20" ht="15">
      <c r="A110" s="692">
        <v>30</v>
      </c>
      <c r="B110" s="692"/>
      <c r="C110" s="46" t="s">
        <v>1344</v>
      </c>
      <c r="D110" s="2410">
        <v>18057506.770000003</v>
      </c>
      <c r="E110" s="1782">
        <f t="shared" si="42"/>
        <v>0</v>
      </c>
      <c r="F110" s="2410">
        <f>18057506.77+0.000105165781860705</f>
        <v>18057506.770105164</v>
      </c>
      <c r="G110" s="1782">
        <f t="shared" si="43"/>
        <v>7.4999999999999997E-2</v>
      </c>
      <c r="H110" s="2410">
        <v>16797299</v>
      </c>
      <c r="I110" s="1782">
        <f t="shared" si="44"/>
        <v>-0.18160000000000001</v>
      </c>
      <c r="J110" s="2407">
        <v>20525341</v>
      </c>
      <c r="K110" s="1782">
        <f t="shared" si="45"/>
        <v>0.40450000000000003</v>
      </c>
      <c r="L110" s="2410">
        <v>14614111</v>
      </c>
      <c r="M110" s="1782">
        <f t="shared" si="46"/>
        <v>-0.11940000000000001</v>
      </c>
      <c r="N110" s="2407">
        <v>16595166</v>
      </c>
      <c r="O110" s="1782">
        <f t="shared" si="47"/>
        <v>0.32450000000000001</v>
      </c>
      <c r="P110" s="2407">
        <v>12529754</v>
      </c>
      <c r="Q110" s="1782">
        <f t="shared" si="48"/>
        <v>-0.28539999999999999</v>
      </c>
      <c r="R110" s="693"/>
      <c r="S110" s="2407">
        <v>17532978</v>
      </c>
      <c r="T110" s="693"/>
    </row>
    <row r="111" spans="1:20" ht="15">
      <c r="A111" s="692">
        <v>31</v>
      </c>
      <c r="B111" s="692"/>
      <c r="C111" s="46" t="s">
        <v>1345</v>
      </c>
      <c r="D111" s="2410">
        <v>8208612.6600000011</v>
      </c>
      <c r="E111" s="1782">
        <f t="shared" si="42"/>
        <v>0</v>
      </c>
      <c r="F111" s="2410">
        <v>8208612.6600000011</v>
      </c>
      <c r="G111" s="1782">
        <f t="shared" si="43"/>
        <v>-3.1600000000000003E-2</v>
      </c>
      <c r="H111" s="2410">
        <v>8476056</v>
      </c>
      <c r="I111" s="1782">
        <f t="shared" si="44"/>
        <v>-7.3099999999999998E-2</v>
      </c>
      <c r="J111" s="2407">
        <v>9144474</v>
      </c>
      <c r="K111" s="1782">
        <f t="shared" si="45"/>
        <v>2.3999999999999998E-3</v>
      </c>
      <c r="L111" s="2410">
        <v>9122675</v>
      </c>
      <c r="M111" s="1782">
        <f t="shared" si="46"/>
        <v>-1.6000000000000001E-3</v>
      </c>
      <c r="N111" s="2407">
        <v>9136958</v>
      </c>
      <c r="O111" s="1782">
        <f t="shared" si="47"/>
        <v>-0.12429999999999999</v>
      </c>
      <c r="P111" s="2407">
        <v>10434274</v>
      </c>
      <c r="Q111" s="1782">
        <f t="shared" si="48"/>
        <v>5.0999999999999997E-2</v>
      </c>
      <c r="R111" s="693"/>
      <c r="S111" s="2407">
        <v>9927601</v>
      </c>
      <c r="T111" s="693"/>
    </row>
    <row r="112" spans="1:20" ht="15">
      <c r="A112" s="692">
        <v>32</v>
      </c>
      <c r="B112" s="692"/>
      <c r="C112" s="46" t="s">
        <v>1346</v>
      </c>
      <c r="D112" s="2410">
        <v>29998155.049204178</v>
      </c>
      <c r="E112" s="1782">
        <f t="shared" si="42"/>
        <v>-0.20699999999999999</v>
      </c>
      <c r="F112" s="2410">
        <v>37830290.593843892</v>
      </c>
      <c r="G112" s="1782">
        <f t="shared" si="43"/>
        <v>199.50819999999999</v>
      </c>
      <c r="H112" s="2410">
        <v>188672</v>
      </c>
      <c r="I112" s="1782">
        <f t="shared" si="44"/>
        <v>-0.99519999999999997</v>
      </c>
      <c r="J112" s="2407">
        <v>39215893</v>
      </c>
      <c r="K112" s="1782">
        <f t="shared" si="45"/>
        <v>3.2522000000000002</v>
      </c>
      <c r="L112" s="2410">
        <v>9222510</v>
      </c>
      <c r="M112" s="1782">
        <f t="shared" si="46"/>
        <v>-0.50900000000000001</v>
      </c>
      <c r="N112" s="2407">
        <v>18784698</v>
      </c>
      <c r="O112" s="1782">
        <f t="shared" si="47"/>
        <v>0.42259999999999998</v>
      </c>
      <c r="P112" s="2407">
        <v>13204913</v>
      </c>
      <c r="Q112" s="1782">
        <f t="shared" si="48"/>
        <v>-4.2900000000000001E-2</v>
      </c>
      <c r="R112" s="693"/>
      <c r="S112" s="2407">
        <v>13796235</v>
      </c>
      <c r="T112" s="693"/>
    </row>
    <row r="113" spans="1:20" ht="15">
      <c r="A113" s="692">
        <v>33</v>
      </c>
      <c r="B113" s="692"/>
      <c r="C113" s="46" t="s">
        <v>1347</v>
      </c>
      <c r="D113" s="2410">
        <v>10208111.07119656</v>
      </c>
      <c r="E113" s="1782">
        <f t="shared" si="42"/>
        <v>-7.9699999999999993E-2</v>
      </c>
      <c r="F113" s="2410">
        <v>11091899.2122222</v>
      </c>
      <c r="G113" s="1782">
        <f t="shared" si="43"/>
        <v>0.4551</v>
      </c>
      <c r="H113" s="2410">
        <v>7622927</v>
      </c>
      <c r="I113" s="1782">
        <f t="shared" si="44"/>
        <v>-1.8800000000000001E-2</v>
      </c>
      <c r="J113" s="2407">
        <v>7769371</v>
      </c>
      <c r="K113" s="1782">
        <f t="shared" si="45"/>
        <v>3.1899999999999998E-2</v>
      </c>
      <c r="L113" s="2410">
        <v>7529336</v>
      </c>
      <c r="M113" s="1782">
        <f t="shared" si="46"/>
        <v>-1.0800000000000001E-2</v>
      </c>
      <c r="N113" s="2407">
        <v>7611627</v>
      </c>
      <c r="O113" s="1782">
        <f t="shared" si="47"/>
        <v>6.59E-2</v>
      </c>
      <c r="P113" s="2407">
        <v>7140744</v>
      </c>
      <c r="Q113" s="1782">
        <f t="shared" si="48"/>
        <v>0.16830000000000001</v>
      </c>
      <c r="R113" s="693"/>
      <c r="S113" s="2407">
        <v>6111877</v>
      </c>
      <c r="T113" s="693"/>
    </row>
    <row r="114" spans="1:20" ht="15">
      <c r="A114" s="692">
        <v>34</v>
      </c>
      <c r="B114" s="692"/>
      <c r="C114" s="46" t="s">
        <v>1348</v>
      </c>
      <c r="D114" s="2410">
        <v>2430012.9100000029</v>
      </c>
      <c r="E114" s="1782">
        <f t="shared" si="42"/>
        <v>0</v>
      </c>
      <c r="F114" s="2410">
        <v>2430012.9100000029</v>
      </c>
      <c r="G114" s="1782">
        <f t="shared" si="43"/>
        <v>-0.36409999999999998</v>
      </c>
      <c r="H114" s="2410">
        <v>3821514</v>
      </c>
      <c r="I114" s="1782">
        <f t="shared" si="44"/>
        <v>-0.1007</v>
      </c>
      <c r="J114" s="2407">
        <v>4249492</v>
      </c>
      <c r="K114" s="1782">
        <f t="shared" si="45"/>
        <v>0.4451</v>
      </c>
      <c r="L114" s="2410">
        <v>2940535</v>
      </c>
      <c r="M114" s="1782">
        <f t="shared" si="46"/>
        <v>0.40029999999999999</v>
      </c>
      <c r="N114" s="2407">
        <v>2099990</v>
      </c>
      <c r="O114" s="1782">
        <f t="shared" si="47"/>
        <v>-4.1599999999999998E-2</v>
      </c>
      <c r="P114" s="2407">
        <v>2191217</v>
      </c>
      <c r="Q114" s="1782">
        <f t="shared" si="48"/>
        <v>0.04</v>
      </c>
      <c r="R114" s="693"/>
      <c r="S114" s="2407">
        <v>2106943</v>
      </c>
      <c r="T114" s="692"/>
    </row>
    <row r="115" spans="1:20" ht="15">
      <c r="A115" s="692">
        <v>35</v>
      </c>
      <c r="B115" s="692"/>
      <c r="C115" s="46" t="s">
        <v>1349</v>
      </c>
      <c r="D115" s="2410">
        <v>22966722.77356863</v>
      </c>
      <c r="E115" s="1782">
        <f t="shared" si="42"/>
        <v>-5.4300000000000001E-2</v>
      </c>
      <c r="F115" s="2410">
        <v>24284682.021703243</v>
      </c>
      <c r="G115" s="1782">
        <f t="shared" si="43"/>
        <v>2.1726000000000001</v>
      </c>
      <c r="H115" s="2410">
        <v>7654560</v>
      </c>
      <c r="I115" s="1782">
        <f t="shared" si="44"/>
        <v>-0.5696</v>
      </c>
      <c r="J115" s="2407">
        <v>17783558</v>
      </c>
      <c r="K115" s="1782">
        <f t="shared" si="45"/>
        <v>1.9919</v>
      </c>
      <c r="L115" s="2410">
        <v>5943819</v>
      </c>
      <c r="M115" s="1782">
        <f t="shared" si="46"/>
        <v>-0.28039999999999998</v>
      </c>
      <c r="N115" s="2407">
        <v>8260083</v>
      </c>
      <c r="O115" s="1782">
        <f t="shared" si="47"/>
        <v>-0.2019</v>
      </c>
      <c r="P115" s="2407">
        <v>10349553</v>
      </c>
      <c r="Q115" s="1782">
        <f t="shared" si="48"/>
        <v>-0.2823</v>
      </c>
      <c r="R115" s="693"/>
      <c r="S115" s="2407">
        <v>14419733</v>
      </c>
      <c r="T115" s="692"/>
    </row>
    <row r="116" spans="1:20" ht="15">
      <c r="A116" s="692">
        <v>36</v>
      </c>
      <c r="B116" s="692"/>
      <c r="C116" s="46" t="s">
        <v>1350</v>
      </c>
      <c r="D116" s="2407">
        <v>297759.59000000008</v>
      </c>
      <c r="E116" s="1782">
        <f t="shared" si="42"/>
        <v>0</v>
      </c>
      <c r="F116" s="2407">
        <v>297759.59000000003</v>
      </c>
      <c r="G116" s="1782">
        <f t="shared" si="43"/>
        <v>-0.18140000000000001</v>
      </c>
      <c r="H116" s="2407">
        <v>363730</v>
      </c>
      <c r="I116" s="1782">
        <f t="shared" si="44"/>
        <v>5.6500000000000002E-2</v>
      </c>
      <c r="J116" s="2407">
        <v>344278</v>
      </c>
      <c r="K116" s="1782">
        <f t="shared" si="45"/>
        <v>8.3199999999999996E-2</v>
      </c>
      <c r="L116" s="2410">
        <v>317820</v>
      </c>
      <c r="M116" s="1782">
        <f t="shared" si="46"/>
        <v>8.4900000000000003E-2</v>
      </c>
      <c r="N116" s="2407">
        <v>292937</v>
      </c>
      <c r="O116" s="1782">
        <f t="shared" si="47"/>
        <v>8.6800000000000002E-2</v>
      </c>
      <c r="P116" s="2407">
        <v>269544</v>
      </c>
      <c r="Q116" s="1782">
        <f t="shared" si="48"/>
        <v>-0.32019999999999998</v>
      </c>
      <c r="R116" s="693"/>
      <c r="S116" s="2407">
        <v>396478</v>
      </c>
      <c r="T116" s="692"/>
    </row>
    <row r="117" spans="1:20" ht="15">
      <c r="A117" s="692">
        <v>37</v>
      </c>
      <c r="B117" s="692"/>
      <c r="C117" s="46" t="s">
        <v>1351</v>
      </c>
      <c r="D117" s="2407">
        <v>1270865</v>
      </c>
      <c r="E117" s="1782">
        <f t="shared" si="42"/>
        <v>0</v>
      </c>
      <c r="F117" s="2407">
        <v>1270865</v>
      </c>
      <c r="G117" s="1782">
        <f t="shared" si="43"/>
        <v>-0.27329999999999999</v>
      </c>
      <c r="H117" s="2407">
        <v>1748894</v>
      </c>
      <c r="I117" s="1782">
        <f t="shared" si="44"/>
        <v>-0.106</v>
      </c>
      <c r="J117" s="2407">
        <v>1956185</v>
      </c>
      <c r="K117" s="1782">
        <f t="shared" si="45"/>
        <v>-0.57879999999999998</v>
      </c>
      <c r="L117" s="2410">
        <v>4644858</v>
      </c>
      <c r="M117" s="1782">
        <f t="shared" si="46"/>
        <v>-0.2626</v>
      </c>
      <c r="N117" s="2407">
        <v>6298964</v>
      </c>
      <c r="O117" s="1782">
        <f t="shared" si="47"/>
        <v>0.19020000000000001</v>
      </c>
      <c r="P117" s="2407">
        <v>5292525</v>
      </c>
      <c r="Q117" s="1782">
        <f t="shared" si="48"/>
        <v>0.17949999999999999</v>
      </c>
      <c r="R117" s="693"/>
      <c r="S117" s="2407">
        <v>4487277</v>
      </c>
      <c r="T117" s="692"/>
    </row>
    <row r="118" spans="1:20" ht="15">
      <c r="A118" s="692">
        <v>38</v>
      </c>
      <c r="B118" s="692"/>
      <c r="C118" s="46" t="s">
        <v>1352</v>
      </c>
      <c r="D118" s="2410">
        <v>-928367.00000000012</v>
      </c>
      <c r="E118" s="1782">
        <f t="shared" si="42"/>
        <v>0</v>
      </c>
      <c r="F118" s="2410">
        <v>-928367</v>
      </c>
      <c r="G118" s="1782">
        <f t="shared" si="43"/>
        <v>0.33029999999999998</v>
      </c>
      <c r="H118" s="2410">
        <v>-1386272</v>
      </c>
      <c r="I118" s="1782">
        <f t="shared" si="44"/>
        <v>0.10440000000000001</v>
      </c>
      <c r="J118" s="2407">
        <v>-1547895</v>
      </c>
      <c r="K118" s="1782">
        <f t="shared" si="45"/>
        <v>0.58099999999999996</v>
      </c>
      <c r="L118" s="2410">
        <v>-3693879</v>
      </c>
      <c r="M118" s="1782">
        <f t="shared" si="46"/>
        <v>0.30180000000000001</v>
      </c>
      <c r="N118" s="2407">
        <v>-5290232</v>
      </c>
      <c r="O118" s="1782">
        <f t="shared" si="47"/>
        <v>-0.15570000000000001</v>
      </c>
      <c r="P118" s="2407">
        <v>-4577529</v>
      </c>
      <c r="Q118" s="1782">
        <f t="shared" si="48"/>
        <v>-0.1729</v>
      </c>
      <c r="R118" s="693"/>
      <c r="S118" s="2407">
        <v>-3902779</v>
      </c>
      <c r="T118" s="692"/>
    </row>
    <row r="119" spans="1:20" ht="15">
      <c r="A119" s="692">
        <v>39</v>
      </c>
      <c r="B119" s="692"/>
      <c r="C119" s="46" t="s">
        <v>1353</v>
      </c>
      <c r="D119" s="2126">
        <f>SUM(D105:D118)</f>
        <v>246691104.8400321</v>
      </c>
      <c r="E119" s="1782">
        <f t="shared" si="42"/>
        <v>-0.16669999999999999</v>
      </c>
      <c r="F119" s="2126">
        <f>SUM(F105:F118)</f>
        <v>296058892.97358841</v>
      </c>
      <c r="G119" s="1782">
        <f t="shared" si="43"/>
        <v>0.48089999999999999</v>
      </c>
      <c r="H119" s="2126">
        <f>SUM(H105:H118)</f>
        <v>199912085</v>
      </c>
      <c r="I119" s="1782">
        <f t="shared" si="44"/>
        <v>-0.18790000000000001</v>
      </c>
      <c r="J119" s="2126">
        <f>SUM(J105:J118)</f>
        <v>246168790</v>
      </c>
      <c r="K119" s="1782">
        <f t="shared" si="45"/>
        <v>0.23569999999999999</v>
      </c>
      <c r="L119" s="2126">
        <f>SUM(L105:L118)</f>
        <v>199218172</v>
      </c>
      <c r="M119" s="1782">
        <f t="shared" si="46"/>
        <v>0.1048</v>
      </c>
      <c r="N119" s="2126">
        <f>SUM(N105:N118)</f>
        <v>180328733</v>
      </c>
      <c r="O119" s="1782">
        <f t="shared" si="47"/>
        <v>-7.1099999999999997E-2</v>
      </c>
      <c r="P119" s="2126">
        <f>SUM(P105:P118)</f>
        <v>194139770</v>
      </c>
      <c r="Q119" s="1782">
        <f t="shared" si="48"/>
        <v>0.29820000000000002</v>
      </c>
      <c r="R119" s="693"/>
      <c r="S119" s="2126">
        <f>SUM(S105:S118)</f>
        <v>149550732</v>
      </c>
      <c r="T119" s="692"/>
    </row>
    <row r="120" spans="1:20" ht="15.6">
      <c r="A120" s="692">
        <v>40</v>
      </c>
      <c r="B120" s="692"/>
      <c r="C120" s="1778" t="s">
        <v>1354</v>
      </c>
      <c r="D120" s="667"/>
      <c r="E120" s="667"/>
      <c r="F120" s="667"/>
      <c r="G120" s="667"/>
      <c r="H120" s="667"/>
      <c r="I120" s="667"/>
      <c r="J120" s="667"/>
      <c r="K120" s="667"/>
      <c r="L120" s="667"/>
      <c r="M120" s="667"/>
      <c r="N120" s="667"/>
      <c r="O120" s="667"/>
      <c r="P120" s="667"/>
      <c r="Q120" s="667"/>
      <c r="R120" s="693"/>
      <c r="S120" s="667"/>
      <c r="T120" s="692"/>
    </row>
    <row r="121" spans="1:20" ht="15">
      <c r="A121" s="692">
        <v>41</v>
      </c>
      <c r="B121" s="692"/>
      <c r="C121" s="46" t="s">
        <v>1355</v>
      </c>
      <c r="D121" s="2410">
        <v>2520782</v>
      </c>
      <c r="E121" s="1782">
        <f t="shared" ref="E121:E127" si="49">IF(F121=0,"-",ROUND((D121-F121)/ABS(F121),4))</f>
        <v>0</v>
      </c>
      <c r="F121" s="2410">
        <v>2520782</v>
      </c>
      <c r="G121" s="1782">
        <f t="shared" ref="G121:G127" si="50">IF(H121=0,"-",ROUND((F121-H121)/ABS(H121),4))</f>
        <v>0</v>
      </c>
      <c r="H121" s="2410">
        <v>2520782</v>
      </c>
      <c r="I121" s="1782">
        <f t="shared" ref="I121:I127" si="51">IF(J121=0,"-",ROUND((H121-J121)/ABS(J121),4))</f>
        <v>-1E-4</v>
      </c>
      <c r="J121" s="2407">
        <v>2520949</v>
      </c>
      <c r="K121" s="1782">
        <f t="shared" ref="K121:K127" si="52">IF(L121=0,"-",ROUND((J121-L121)/ABS(L121),4))</f>
        <v>0.53210000000000002</v>
      </c>
      <c r="L121" s="2410">
        <v>1645439</v>
      </c>
      <c r="M121" s="1782">
        <f t="shared" ref="M121:M127" si="53">IF(N121=0,"-",ROUND((L121-N121)/ABS(N121),4))</f>
        <v>3.1600000000000003E-2</v>
      </c>
      <c r="N121" s="2407">
        <v>1595027</v>
      </c>
      <c r="O121" s="1782">
        <f t="shared" ref="O121:O127" si="54">IF(P121=0,"-",ROUND((N121-P121)/ABS(P121),4))</f>
        <v>-6.3E-3</v>
      </c>
      <c r="P121" s="2407">
        <v>1605199</v>
      </c>
      <c r="Q121" s="1782">
        <f t="shared" ref="Q121:Q127" si="55">IF(S121=0,"-",ROUND((P121-S121)/ABS(S121),4))</f>
        <v>1.9199999999999998E-2</v>
      </c>
      <c r="R121" s="693"/>
      <c r="S121" s="2407">
        <v>1574916</v>
      </c>
      <c r="T121" s="692"/>
    </row>
    <row r="122" spans="1:20" ht="15">
      <c r="A122" s="692">
        <v>42</v>
      </c>
      <c r="B122" s="692"/>
      <c r="C122" s="46" t="s">
        <v>1356</v>
      </c>
      <c r="D122" s="2410">
        <v>5120972.9700000007</v>
      </c>
      <c r="E122" s="1782">
        <f t="shared" si="49"/>
        <v>0</v>
      </c>
      <c r="F122" s="2410">
        <v>5120972.97</v>
      </c>
      <c r="G122" s="1782">
        <f t="shared" si="50"/>
        <v>0</v>
      </c>
      <c r="H122" s="2410">
        <v>5120973</v>
      </c>
      <c r="I122" s="1782">
        <f t="shared" si="51"/>
        <v>0.52200000000000002</v>
      </c>
      <c r="J122" s="2407">
        <v>3364566</v>
      </c>
      <c r="K122" s="1782">
        <f t="shared" si="52"/>
        <v>-5.4899999999999997E-2</v>
      </c>
      <c r="L122" s="2410">
        <v>3559977</v>
      </c>
      <c r="M122" s="1782">
        <f t="shared" si="53"/>
        <v>-1.6E-2</v>
      </c>
      <c r="N122" s="2407">
        <v>3618035</v>
      </c>
      <c r="O122" s="1782">
        <f t="shared" si="54"/>
        <v>-1.66E-2</v>
      </c>
      <c r="P122" s="2407">
        <v>3679210</v>
      </c>
      <c r="Q122" s="1782">
        <f t="shared" si="55"/>
        <v>4.4600000000000001E-2</v>
      </c>
      <c r="R122" s="693"/>
      <c r="S122" s="2407">
        <v>3522114</v>
      </c>
      <c r="T122" s="692"/>
    </row>
    <row r="123" spans="1:20" ht="15">
      <c r="A123" s="692">
        <v>43</v>
      </c>
      <c r="B123" s="692"/>
      <c r="C123" s="46" t="s">
        <v>1357</v>
      </c>
      <c r="D123" s="2410">
        <v>15829986.060000002</v>
      </c>
      <c r="E123" s="1782">
        <f t="shared" si="49"/>
        <v>0</v>
      </c>
      <c r="F123" s="2410">
        <v>15829986.060000002</v>
      </c>
      <c r="G123" s="1782">
        <f t="shared" si="50"/>
        <v>0.1028</v>
      </c>
      <c r="H123" s="2410">
        <v>14354084</v>
      </c>
      <c r="I123" s="1782">
        <f t="shared" si="51"/>
        <v>-3.0599999999999999E-2</v>
      </c>
      <c r="J123" s="2407">
        <v>14807673</v>
      </c>
      <c r="K123" s="1782">
        <f t="shared" si="52"/>
        <v>3.9399999999999998E-2</v>
      </c>
      <c r="L123" s="2410">
        <v>14246484</v>
      </c>
      <c r="M123" s="1782">
        <f t="shared" si="53"/>
        <v>-2.5700000000000001E-2</v>
      </c>
      <c r="N123" s="2407">
        <v>14622647</v>
      </c>
      <c r="O123" s="1782">
        <f t="shared" si="54"/>
        <v>1.9900000000000001E-2</v>
      </c>
      <c r="P123" s="2407">
        <v>14336913</v>
      </c>
      <c r="Q123" s="1782">
        <f t="shared" si="55"/>
        <v>-3.6499999999999998E-2</v>
      </c>
      <c r="R123" s="693"/>
      <c r="S123" s="2407">
        <v>14880299</v>
      </c>
      <c r="T123" s="692"/>
    </row>
    <row r="124" spans="1:20" ht="15">
      <c r="A124" s="692">
        <v>44</v>
      </c>
      <c r="B124" s="692"/>
      <c r="C124" s="46" t="s">
        <v>1358</v>
      </c>
      <c r="D124" s="2410">
        <v>678055.11818322539</v>
      </c>
      <c r="E124" s="1782">
        <f t="shared" si="49"/>
        <v>-0.73850000000000005</v>
      </c>
      <c r="F124" s="2410">
        <v>2593433.2627026886</v>
      </c>
      <c r="G124" s="1782">
        <f t="shared" si="50"/>
        <v>-0.69040000000000001</v>
      </c>
      <c r="H124" s="2410">
        <v>8376185</v>
      </c>
      <c r="I124" s="1782">
        <f t="shared" si="51"/>
        <v>9.1899999999999996E-2</v>
      </c>
      <c r="J124" s="2410">
        <v>7671485</v>
      </c>
      <c r="K124" s="1782">
        <f t="shared" si="52"/>
        <v>9.3299999999999994E-2</v>
      </c>
      <c r="L124" s="2410">
        <v>7016795</v>
      </c>
      <c r="M124" s="1782">
        <f t="shared" si="53"/>
        <v>-0.21440000000000001</v>
      </c>
      <c r="N124" s="2407">
        <v>8932230</v>
      </c>
      <c r="O124" s="1782">
        <f t="shared" si="54"/>
        <v>-0.1021</v>
      </c>
      <c r="P124" s="2407">
        <v>9947564</v>
      </c>
      <c r="Q124" s="1782">
        <f t="shared" si="55"/>
        <v>-8.9899999999999994E-2</v>
      </c>
      <c r="R124" s="693"/>
      <c r="S124" s="2407">
        <v>10929696</v>
      </c>
      <c r="T124" s="692"/>
    </row>
    <row r="125" spans="1:20" ht="15">
      <c r="A125" s="692">
        <v>45</v>
      </c>
      <c r="B125" s="692"/>
      <c r="C125" s="46" t="s">
        <v>1359</v>
      </c>
      <c r="D125" s="2410">
        <v>89011187.29230769</v>
      </c>
      <c r="E125" s="1782">
        <f t="shared" si="49"/>
        <v>-3.73E-2</v>
      </c>
      <c r="F125" s="2410">
        <v>92464306.850000009</v>
      </c>
      <c r="G125" s="1782">
        <f t="shared" si="50"/>
        <v>-0.17199999999999999</v>
      </c>
      <c r="H125" s="2410">
        <v>111674385</v>
      </c>
      <c r="I125" s="1782">
        <f t="shared" si="51"/>
        <v>-4.1399999999999999E-2</v>
      </c>
      <c r="J125" s="2410">
        <v>116498980</v>
      </c>
      <c r="K125" s="1782">
        <f t="shared" si="52"/>
        <v>-5.96E-2</v>
      </c>
      <c r="L125" s="2410">
        <v>123882196</v>
      </c>
      <c r="M125" s="1782">
        <f t="shared" si="53"/>
        <v>-4.7500000000000001E-2</v>
      </c>
      <c r="N125" s="2407">
        <v>130062605</v>
      </c>
      <c r="O125" s="1782">
        <f t="shared" si="54"/>
        <v>-4.1500000000000002E-2</v>
      </c>
      <c r="P125" s="2407">
        <v>135690203</v>
      </c>
      <c r="Q125" s="1782">
        <f t="shared" si="55"/>
        <v>-3.15E-2</v>
      </c>
      <c r="R125" s="693"/>
      <c r="S125" s="2407">
        <v>140098537</v>
      </c>
      <c r="T125" s="692"/>
    </row>
    <row r="126" spans="1:20" ht="15">
      <c r="A126" s="692">
        <v>46</v>
      </c>
      <c r="B126" s="692"/>
      <c r="C126" s="46" t="s">
        <v>1309</v>
      </c>
      <c r="D126" s="2410">
        <v>325790056.38985395</v>
      </c>
      <c r="E126" s="1782">
        <f t="shared" si="49"/>
        <v>3.85E-2</v>
      </c>
      <c r="F126" s="2410">
        <v>313724586.03485203</v>
      </c>
      <c r="G126" s="1782">
        <f t="shared" si="50"/>
        <v>-0.1822</v>
      </c>
      <c r="H126" s="2410">
        <v>383615398</v>
      </c>
      <c r="I126" s="1782">
        <f t="shared" si="51"/>
        <v>9.2399999999999996E-2</v>
      </c>
      <c r="J126" s="2407">
        <v>351172810</v>
      </c>
      <c r="K126" s="1782">
        <f t="shared" si="52"/>
        <v>3.6900000000000002E-2</v>
      </c>
      <c r="L126" s="2410">
        <v>338680779</v>
      </c>
      <c r="M126" s="1782">
        <f t="shared" si="53"/>
        <v>7.3099999999999998E-2</v>
      </c>
      <c r="N126" s="2407">
        <v>315601856</v>
      </c>
      <c r="O126" s="1782">
        <f t="shared" si="54"/>
        <v>4.7300000000000002E-2</v>
      </c>
      <c r="P126" s="2407">
        <v>301335089</v>
      </c>
      <c r="Q126" s="1782">
        <f t="shared" si="55"/>
        <v>5.0999999999999997E-2</v>
      </c>
      <c r="R126" s="693"/>
      <c r="S126" s="2407">
        <v>286717000</v>
      </c>
      <c r="T126" s="692"/>
    </row>
    <row r="127" spans="1:20" ht="15">
      <c r="A127" s="692">
        <v>47</v>
      </c>
      <c r="B127" s="692"/>
      <c r="C127" s="46" t="s">
        <v>1360</v>
      </c>
      <c r="D127" s="2126">
        <f>SUM(D121:D126)</f>
        <v>438951039.83034486</v>
      </c>
      <c r="E127" s="1782">
        <f t="shared" si="49"/>
        <v>1.55E-2</v>
      </c>
      <c r="F127" s="2126">
        <f>SUM(F121:F126)</f>
        <v>432254067.17755473</v>
      </c>
      <c r="G127" s="1782">
        <f t="shared" si="50"/>
        <v>-0.1777</v>
      </c>
      <c r="H127" s="2126">
        <f>SUM(H121:H126)</f>
        <v>525661807</v>
      </c>
      <c r="I127" s="1782">
        <f t="shared" si="51"/>
        <v>5.9700000000000003E-2</v>
      </c>
      <c r="J127" s="2126">
        <f>SUM(J121:J126)</f>
        <v>496036463</v>
      </c>
      <c r="K127" s="1782">
        <f t="shared" si="52"/>
        <v>1.43E-2</v>
      </c>
      <c r="L127" s="2126">
        <f>SUM(L121:L126)</f>
        <v>489031670</v>
      </c>
      <c r="M127" s="1782">
        <f t="shared" si="53"/>
        <v>3.0800000000000001E-2</v>
      </c>
      <c r="N127" s="2126">
        <f>SUM(N121:N126)</f>
        <v>474432400</v>
      </c>
      <c r="O127" s="1782">
        <f t="shared" si="54"/>
        <v>1.6799999999999999E-2</v>
      </c>
      <c r="P127" s="2126">
        <f>SUM(P121:P126)</f>
        <v>466594178</v>
      </c>
      <c r="Q127" s="1782">
        <f t="shared" si="55"/>
        <v>1.9400000000000001E-2</v>
      </c>
      <c r="R127" s="693"/>
      <c r="S127" s="2126">
        <f>SUM(S121:S126)</f>
        <v>457722562</v>
      </c>
      <c r="T127" s="692"/>
    </row>
    <row r="128" spans="1:20" ht="15">
      <c r="A128" s="692">
        <v>48</v>
      </c>
      <c r="B128" s="692"/>
      <c r="C128" s="692"/>
      <c r="D128" s="667"/>
      <c r="E128" s="667"/>
      <c r="F128" s="667"/>
      <c r="G128" s="667"/>
      <c r="H128" s="667"/>
      <c r="I128" s="667"/>
      <c r="J128" s="667"/>
      <c r="K128" s="667"/>
      <c r="L128" s="667"/>
      <c r="M128" s="667"/>
      <c r="N128" s="667"/>
      <c r="O128" s="667"/>
      <c r="P128" s="667"/>
      <c r="Q128" s="667"/>
      <c r="R128" s="693"/>
      <c r="S128" s="667"/>
      <c r="T128" s="692"/>
    </row>
    <row r="129" spans="1:20" ht="15">
      <c r="A129" s="692">
        <v>49</v>
      </c>
      <c r="B129" s="692"/>
      <c r="C129" s="692"/>
      <c r="D129" s="667"/>
      <c r="E129" s="667"/>
      <c r="F129" s="667"/>
      <c r="G129" s="667"/>
      <c r="H129" s="667"/>
      <c r="I129" s="667"/>
      <c r="J129" s="667"/>
      <c r="K129" s="667"/>
      <c r="L129" s="667"/>
      <c r="M129" s="667"/>
      <c r="N129" s="667"/>
      <c r="O129" s="667"/>
      <c r="P129" s="667"/>
      <c r="Q129" s="667"/>
      <c r="R129" s="693"/>
      <c r="S129" s="667"/>
      <c r="T129" s="692"/>
    </row>
    <row r="130" spans="1:20" ht="15.6" thickBot="1">
      <c r="A130" s="692">
        <v>50</v>
      </c>
      <c r="B130" s="692"/>
      <c r="C130" s="46" t="s">
        <v>1361</v>
      </c>
      <c r="D130" s="1950">
        <f>D127+D119+D104+D95+D88</f>
        <v>2895914393.5109396</v>
      </c>
      <c r="E130" s="1782">
        <f>IF(F130=0,"-",ROUND((D130-F130)/ABS(F130),4))</f>
        <v>5.16E-2</v>
      </c>
      <c r="F130" s="1950">
        <f>F127+F119+F104+F95+F88</f>
        <v>2753874840.8852749</v>
      </c>
      <c r="G130" s="1782">
        <f>IF(H130=0,"-",ROUND((F130-H130)/ABS(H130),4))</f>
        <v>2.52E-2</v>
      </c>
      <c r="H130" s="1950">
        <f>H127+H119+H104+H95+H88</f>
        <v>2686143599</v>
      </c>
      <c r="I130" s="1782">
        <f>IF(J130=0,"-",ROUND((H130-J130)/ABS(J130),4))</f>
        <v>5.4100000000000002E-2</v>
      </c>
      <c r="J130" s="1950">
        <f>J127+J119+J104+J95+J88</f>
        <v>2548289499</v>
      </c>
      <c r="K130" s="1782">
        <f>IF(L130=0,"-",ROUND((J130-L130)/ABS(L130),4))</f>
        <v>7.1800000000000003E-2</v>
      </c>
      <c r="L130" s="1950">
        <f>L127+L119+L104+L95+L88</f>
        <v>2377557012</v>
      </c>
      <c r="M130" s="1782">
        <f>IF(N130=0,"-",ROUND((L130-N130)/ABS(N130),4))</f>
        <v>6.8099999999999994E-2</v>
      </c>
      <c r="N130" s="1950">
        <f>N127+N119+N104+N95+N88</f>
        <v>2225977236</v>
      </c>
      <c r="O130" s="1782">
        <f>IF(P130=0,"-",ROUND((N130-P130)/ABS(P130),4))</f>
        <v>8.1100000000000005E-2</v>
      </c>
      <c r="P130" s="1950">
        <f>P127+P119+P104+P95+P88</f>
        <v>2058978406</v>
      </c>
      <c r="Q130" s="1782">
        <f>IF(S130=0,"-",ROUND((P130-S130)/ABS(S130),4))</f>
        <v>0.1167</v>
      </c>
      <c r="R130" s="693"/>
      <c r="S130" s="1950">
        <f>S127+S119+S104+S95+S88</f>
        <v>1843834555</v>
      </c>
      <c r="T130" s="692"/>
    </row>
    <row r="131" spans="1:20" ht="15.6" thickTop="1">
      <c r="A131" s="692"/>
      <c r="B131" s="692"/>
      <c r="C131" s="692"/>
      <c r="D131" s="667"/>
      <c r="E131" s="667"/>
      <c r="F131" s="667"/>
      <c r="G131" s="667"/>
      <c r="H131" s="667"/>
      <c r="I131" s="667"/>
      <c r="J131" s="667"/>
      <c r="K131" s="667"/>
      <c r="L131" s="667"/>
      <c r="M131" s="667"/>
      <c r="N131" s="667"/>
      <c r="O131" s="667"/>
      <c r="P131" s="667"/>
      <c r="Q131" s="667"/>
      <c r="R131" s="692"/>
      <c r="S131" s="667"/>
      <c r="T131" s="692"/>
    </row>
    <row r="132" spans="1:20" ht="15">
      <c r="A132" s="692"/>
      <c r="B132" s="692"/>
      <c r="C132" s="1783" t="s">
        <v>1313</v>
      </c>
      <c r="D132" s="667"/>
      <c r="E132" s="667"/>
      <c r="F132" s="667"/>
      <c r="G132" s="667"/>
      <c r="H132" s="667"/>
      <c r="I132" s="667"/>
      <c r="J132" s="667"/>
      <c r="K132" s="667"/>
      <c r="L132" s="667"/>
      <c r="M132" s="667"/>
      <c r="N132" s="667"/>
      <c r="O132" s="667"/>
      <c r="P132" s="667"/>
      <c r="Q132" s="667"/>
      <c r="R132" s="693"/>
      <c r="S132" s="667"/>
      <c r="T132" s="692"/>
    </row>
    <row r="133" spans="1:20" ht="15">
      <c r="A133" s="692"/>
      <c r="B133" s="692"/>
      <c r="C133" s="692"/>
      <c r="D133" s="700"/>
      <c r="E133" s="700"/>
      <c r="F133" s="700"/>
      <c r="G133" s="700"/>
      <c r="H133" s="700"/>
      <c r="I133" s="700"/>
      <c r="J133" s="700"/>
      <c r="K133" s="700"/>
      <c r="L133" s="700"/>
      <c r="M133" s="700"/>
      <c r="N133" s="700"/>
      <c r="O133" s="700"/>
      <c r="P133" s="700"/>
      <c r="Q133" s="700"/>
      <c r="R133" s="692"/>
      <c r="S133" s="700"/>
      <c r="T133" s="692"/>
    </row>
    <row r="134" spans="1:20" ht="15">
      <c r="A134" s="692"/>
      <c r="B134" s="692"/>
      <c r="C134" s="1085"/>
      <c r="D134" s="693"/>
      <c r="E134" s="692"/>
      <c r="F134" s="693"/>
      <c r="G134" s="692"/>
      <c r="H134" s="693"/>
      <c r="I134" s="692"/>
      <c r="J134" s="692"/>
      <c r="K134" s="692"/>
      <c r="L134" s="693"/>
      <c r="M134" s="692"/>
      <c r="N134" s="693"/>
      <c r="O134" s="692"/>
      <c r="P134" s="692"/>
      <c r="Q134" s="693"/>
      <c r="R134" s="692"/>
      <c r="S134" s="692"/>
      <c r="T134" s="692"/>
    </row>
    <row r="135" spans="1:20" ht="15">
      <c r="A135" s="692"/>
      <c r="B135" s="692"/>
      <c r="C135" s="692"/>
      <c r="D135" s="699"/>
      <c r="E135" s="699"/>
      <c r="F135" s="699"/>
      <c r="G135" s="699"/>
      <c r="H135" s="699"/>
      <c r="I135" s="699"/>
      <c r="J135" s="699"/>
      <c r="K135" s="699"/>
      <c r="L135" s="699"/>
      <c r="M135" s="699"/>
      <c r="N135" s="699"/>
      <c r="O135" s="699"/>
      <c r="P135" s="699"/>
      <c r="Q135" s="699"/>
      <c r="R135" s="699"/>
      <c r="S135" s="699"/>
      <c r="T135" s="692"/>
    </row>
    <row r="136" spans="1:20" ht="15">
      <c r="A136" s="698"/>
      <c r="B136" s="698"/>
      <c r="C136" s="698"/>
      <c r="D136" s="667"/>
      <c r="E136" s="667"/>
      <c r="F136" s="667"/>
      <c r="G136" s="667"/>
      <c r="H136" s="667"/>
      <c r="I136" s="692"/>
      <c r="J136" s="667"/>
      <c r="K136" s="692"/>
      <c r="L136" s="667"/>
      <c r="M136" s="692"/>
      <c r="N136" s="667"/>
      <c r="O136" s="692"/>
      <c r="P136" s="667"/>
      <c r="Q136" s="692"/>
      <c r="R136" s="693"/>
      <c r="S136" s="667"/>
      <c r="T136" s="692"/>
    </row>
    <row r="137" spans="1:20" ht="15">
      <c r="A137" s="698"/>
      <c r="B137" s="698"/>
      <c r="C137" s="698"/>
      <c r="D137" s="698"/>
      <c r="E137" s="698"/>
      <c r="F137" s="698"/>
      <c r="G137" s="698"/>
      <c r="H137" s="698"/>
      <c r="I137" s="698"/>
      <c r="J137" s="698"/>
      <c r="K137" s="698"/>
      <c r="L137" s="698"/>
      <c r="M137" s="698"/>
      <c r="N137" s="698"/>
      <c r="O137" s="698"/>
      <c r="P137" s="698"/>
      <c r="Q137" s="698"/>
      <c r="R137" s="692"/>
      <c r="S137" s="698"/>
      <c r="T137" s="692"/>
    </row>
    <row r="138" spans="1:20" ht="15">
      <c r="A138" s="698"/>
      <c r="B138" s="698"/>
      <c r="C138" s="698"/>
      <c r="D138" s="1793"/>
      <c r="E138" s="698"/>
      <c r="F138" s="1793"/>
      <c r="G138" s="698"/>
      <c r="H138" s="1793"/>
      <c r="I138" s="698"/>
      <c r="J138" s="698"/>
      <c r="K138" s="698"/>
      <c r="L138" s="698"/>
      <c r="M138" s="698"/>
      <c r="N138" s="698"/>
      <c r="O138" s="698"/>
      <c r="P138" s="698"/>
      <c r="Q138" s="698"/>
      <c r="R138" s="692"/>
      <c r="S138" s="698"/>
      <c r="T138" s="692"/>
    </row>
    <row r="139" spans="1:20" ht="15">
      <c r="A139" s="1086"/>
      <c r="B139" s="698"/>
      <c r="C139" s="698"/>
      <c r="D139" s="698"/>
      <c r="E139" s="698"/>
      <c r="F139" s="698"/>
      <c r="G139" s="698"/>
      <c r="H139" s="698"/>
      <c r="I139" s="698"/>
      <c r="J139" s="698"/>
      <c r="K139" s="698"/>
      <c r="L139" s="698"/>
      <c r="M139" s="698"/>
      <c r="N139" s="698"/>
      <c r="O139" s="698"/>
      <c r="P139" s="698"/>
      <c r="Q139" s="698"/>
      <c r="R139" s="692"/>
      <c r="S139" s="698"/>
      <c r="T139" s="692"/>
    </row>
    <row r="140" spans="1:20" ht="15">
      <c r="A140" s="46"/>
      <c r="B140" s="692"/>
      <c r="C140" s="692"/>
      <c r="D140" s="692"/>
      <c r="E140" s="692"/>
      <c r="F140" s="692"/>
      <c r="G140" s="692"/>
      <c r="H140" s="692"/>
      <c r="I140" s="692"/>
      <c r="J140" s="692"/>
      <c r="K140" s="692"/>
      <c r="L140" s="692"/>
      <c r="M140" s="692"/>
      <c r="N140" s="692"/>
      <c r="O140" s="692"/>
      <c r="P140" s="692"/>
      <c r="Q140" s="692"/>
      <c r="R140" s="692"/>
      <c r="S140" s="692"/>
      <c r="T140" s="692"/>
    </row>
    <row r="141" spans="1:20" ht="15">
      <c r="A141" s="46"/>
      <c r="B141" s="692"/>
      <c r="C141" s="692"/>
      <c r="D141" s="692"/>
      <c r="E141" s="46"/>
      <c r="F141" s="692"/>
      <c r="G141" s="46"/>
      <c r="H141" s="692"/>
      <c r="I141" s="46"/>
      <c r="J141" s="692"/>
      <c r="K141" s="46"/>
      <c r="L141" s="692"/>
      <c r="M141" s="46"/>
      <c r="N141" s="692"/>
      <c r="O141" s="46"/>
      <c r="P141" s="46"/>
      <c r="Q141" s="692"/>
      <c r="R141" s="692"/>
      <c r="S141" s="692"/>
      <c r="T141" s="692"/>
    </row>
    <row r="142" spans="1:20" ht="15">
      <c r="A142" s="46"/>
      <c r="B142" s="692"/>
      <c r="C142" s="692"/>
      <c r="D142" s="692"/>
      <c r="E142" s="45"/>
      <c r="F142" s="692"/>
      <c r="G142" s="45"/>
      <c r="H142" s="692"/>
      <c r="I142" s="45"/>
      <c r="J142" s="692"/>
      <c r="K142" s="45"/>
      <c r="L142" s="692"/>
      <c r="M142" s="45"/>
      <c r="N142" s="45"/>
      <c r="O142" s="45"/>
      <c r="P142" s="45"/>
      <c r="Q142" s="692"/>
      <c r="R142" s="692"/>
      <c r="S142" s="692"/>
      <c r="T142" s="692"/>
    </row>
    <row r="143" spans="1:20" ht="15">
      <c r="A143" s="46"/>
      <c r="B143" s="692"/>
      <c r="C143" s="692"/>
      <c r="D143" s="692"/>
      <c r="E143" s="692"/>
      <c r="F143" s="692"/>
      <c r="G143" s="692"/>
      <c r="H143" s="692"/>
      <c r="I143" s="692"/>
      <c r="J143" s="692"/>
      <c r="K143" s="692"/>
      <c r="L143" s="692"/>
      <c r="M143" s="692"/>
      <c r="N143" s="692"/>
      <c r="O143" s="692"/>
      <c r="P143" s="692"/>
      <c r="Q143" s="692"/>
      <c r="R143" s="692"/>
      <c r="S143" s="692"/>
      <c r="T143" s="692"/>
    </row>
    <row r="144" spans="1:20" ht="15">
      <c r="A144" s="692"/>
      <c r="B144" s="692"/>
      <c r="C144" s="692"/>
      <c r="D144" s="692"/>
      <c r="E144" s="692"/>
      <c r="F144" s="692"/>
      <c r="G144" s="692"/>
      <c r="H144" s="692"/>
      <c r="I144" s="692"/>
      <c r="J144" s="692"/>
      <c r="K144" s="692"/>
      <c r="L144" s="692"/>
      <c r="M144" s="692"/>
      <c r="N144" s="692"/>
      <c r="O144" s="692"/>
      <c r="P144" s="692"/>
      <c r="Q144" s="692"/>
      <c r="R144" s="692"/>
      <c r="S144" s="692"/>
      <c r="T144" s="692"/>
    </row>
    <row r="145" spans="1:20" ht="15">
      <c r="A145" s="696"/>
      <c r="B145" s="696"/>
      <c r="C145" s="696"/>
      <c r="D145" s="696"/>
      <c r="E145" s="698"/>
      <c r="F145" s="696"/>
      <c r="G145" s="698"/>
      <c r="H145" s="31"/>
      <c r="I145" s="698"/>
      <c r="J145" s="698"/>
      <c r="K145" s="698"/>
      <c r="L145" s="698"/>
      <c r="M145" s="698"/>
      <c r="N145" s="698"/>
      <c r="O145" s="698"/>
      <c r="P145" s="698"/>
      <c r="Q145" s="698"/>
      <c r="R145" s="692"/>
      <c r="S145" s="698"/>
      <c r="T145" s="696"/>
    </row>
    <row r="146" spans="1:20" ht="15">
      <c r="A146" s="696"/>
      <c r="B146" s="696"/>
      <c r="C146" s="696"/>
      <c r="D146" s="696"/>
      <c r="E146" s="697"/>
      <c r="F146" s="697"/>
      <c r="G146" s="697"/>
      <c r="H146" s="696"/>
      <c r="I146" s="697"/>
      <c r="J146" s="696"/>
      <c r="K146" s="697"/>
      <c r="L146" s="696"/>
      <c r="M146" s="697"/>
      <c r="N146" s="697"/>
      <c r="O146" s="697"/>
      <c r="P146" s="697"/>
      <c r="Q146" s="696"/>
      <c r="R146" s="1087"/>
      <c r="S146" s="696"/>
      <c r="T146" s="1087"/>
    </row>
    <row r="147" spans="1:20" ht="15">
      <c r="A147" s="692"/>
      <c r="B147" s="692"/>
      <c r="C147" s="46"/>
      <c r="D147" s="46"/>
      <c r="E147" s="693"/>
      <c r="F147" s="693"/>
      <c r="G147" s="693"/>
      <c r="H147" s="693"/>
      <c r="I147" s="693"/>
      <c r="J147" s="693"/>
      <c r="K147" s="693"/>
      <c r="L147" s="693"/>
      <c r="M147" s="693"/>
      <c r="N147" s="693"/>
      <c r="O147" s="693"/>
      <c r="P147" s="693"/>
      <c r="Q147" s="695"/>
      <c r="R147" s="692"/>
      <c r="S147" s="693"/>
      <c r="T147" s="692"/>
    </row>
    <row r="148" spans="1:20" ht="15">
      <c r="A148" s="692"/>
      <c r="B148" s="692"/>
      <c r="C148" s="46"/>
      <c r="D148" s="46"/>
      <c r="E148" s="695"/>
      <c r="F148" s="9"/>
      <c r="G148" s="695"/>
      <c r="H148" s="693"/>
      <c r="I148" s="695"/>
      <c r="J148" s="695"/>
      <c r="K148" s="695"/>
      <c r="L148" s="693"/>
      <c r="M148" s="695"/>
      <c r="N148" s="695"/>
      <c r="O148" s="695"/>
      <c r="P148" s="695"/>
      <c r="Q148" s="695"/>
      <c r="R148" s="695"/>
      <c r="S148" s="695"/>
      <c r="T148" s="692"/>
    </row>
    <row r="149" spans="1:20" ht="15">
      <c r="A149" s="692"/>
      <c r="B149" s="692"/>
      <c r="C149" s="46"/>
      <c r="D149" s="46"/>
      <c r="E149" s="694"/>
      <c r="F149" s="693"/>
      <c r="G149" s="694"/>
      <c r="H149" s="693"/>
      <c r="I149" s="694"/>
      <c r="J149" s="694"/>
      <c r="K149" s="694"/>
      <c r="L149" s="693"/>
      <c r="M149" s="694"/>
      <c r="N149" s="694"/>
      <c r="O149" s="694"/>
      <c r="P149" s="694"/>
      <c r="Q149" s="693"/>
      <c r="R149" s="693"/>
      <c r="S149" s="694"/>
      <c r="T149" s="692"/>
    </row>
    <row r="150" spans="1:20" ht="15">
      <c r="A150" s="692"/>
      <c r="B150" s="692"/>
      <c r="C150" s="46"/>
      <c r="D150" s="46"/>
      <c r="E150" s="695"/>
      <c r="F150" s="9"/>
      <c r="G150" s="695"/>
      <c r="H150" s="693"/>
      <c r="I150" s="695"/>
      <c r="J150" s="695"/>
      <c r="K150" s="695"/>
      <c r="L150" s="693"/>
      <c r="M150" s="695"/>
      <c r="N150" s="695"/>
      <c r="O150" s="695"/>
      <c r="P150" s="695"/>
      <c r="Q150" s="695"/>
      <c r="R150" s="695"/>
      <c r="S150" s="695"/>
      <c r="T150" s="692"/>
    </row>
    <row r="151" spans="1:20" ht="15">
      <c r="A151" s="692"/>
      <c r="B151" s="692"/>
      <c r="C151" s="46"/>
      <c r="D151" s="46"/>
      <c r="E151" s="695"/>
      <c r="F151" s="9"/>
      <c r="G151" s="695"/>
      <c r="H151" s="693"/>
      <c r="I151" s="695"/>
      <c r="J151" s="695"/>
      <c r="K151" s="695"/>
      <c r="L151" s="693"/>
      <c r="M151" s="695"/>
      <c r="N151" s="695"/>
      <c r="O151" s="695"/>
      <c r="P151" s="695"/>
      <c r="Q151" s="695"/>
      <c r="R151" s="695"/>
      <c r="S151" s="695"/>
      <c r="T151" s="692"/>
    </row>
    <row r="152" spans="1:20" ht="15">
      <c r="A152" s="692"/>
      <c r="B152" s="692"/>
      <c r="C152" s="46"/>
      <c r="D152" s="46"/>
      <c r="E152" s="693"/>
      <c r="F152" s="9"/>
      <c r="G152" s="693"/>
      <c r="H152" s="693"/>
      <c r="I152" s="693"/>
      <c r="J152" s="695"/>
      <c r="K152" s="693"/>
      <c r="L152" s="693"/>
      <c r="M152" s="693"/>
      <c r="N152" s="693"/>
      <c r="O152" s="693"/>
      <c r="P152" s="693"/>
      <c r="Q152" s="693"/>
      <c r="R152" s="1088"/>
      <c r="S152" s="695"/>
      <c r="T152" s="692"/>
    </row>
    <row r="153" spans="1:20" ht="15">
      <c r="A153" s="692"/>
      <c r="B153" s="692"/>
      <c r="C153" s="46"/>
      <c r="D153" s="46"/>
      <c r="E153" s="695"/>
      <c r="F153" s="9"/>
      <c r="G153" s="695"/>
      <c r="H153" s="693"/>
      <c r="I153" s="695"/>
      <c r="J153" s="695"/>
      <c r="K153" s="695"/>
      <c r="L153" s="693"/>
      <c r="M153" s="695"/>
      <c r="N153" s="695"/>
      <c r="O153" s="695"/>
      <c r="P153" s="695"/>
      <c r="Q153" s="695"/>
      <c r="R153" s="695"/>
      <c r="S153" s="695"/>
      <c r="T153" s="692"/>
    </row>
    <row r="154" spans="1:20" ht="15">
      <c r="A154" s="692"/>
      <c r="B154" s="692"/>
      <c r="C154" s="46"/>
      <c r="D154" s="46"/>
      <c r="E154" s="695"/>
      <c r="F154" s="9"/>
      <c r="G154" s="695"/>
      <c r="H154" s="693"/>
      <c r="I154" s="695"/>
      <c r="J154" s="695"/>
      <c r="K154" s="695"/>
      <c r="L154" s="693"/>
      <c r="M154" s="695"/>
      <c r="N154" s="695"/>
      <c r="O154" s="695"/>
      <c r="P154" s="695"/>
      <c r="Q154" s="695"/>
      <c r="R154" s="695"/>
      <c r="S154" s="695"/>
      <c r="T154" s="46"/>
    </row>
    <row r="155" spans="1:20" ht="15">
      <c r="A155" s="692"/>
      <c r="B155" s="692"/>
      <c r="C155" s="46"/>
      <c r="D155" s="46"/>
      <c r="E155" s="695"/>
      <c r="F155" s="9"/>
      <c r="G155" s="695"/>
      <c r="H155" s="693"/>
      <c r="I155" s="695"/>
      <c r="J155" s="695"/>
      <c r="K155" s="695"/>
      <c r="L155" s="693"/>
      <c r="M155" s="695"/>
      <c r="N155" s="695"/>
      <c r="O155" s="695"/>
      <c r="P155" s="695"/>
      <c r="Q155" s="695"/>
      <c r="R155" s="695"/>
      <c r="S155" s="695"/>
      <c r="T155" s="46"/>
    </row>
    <row r="156" spans="1:20" ht="15">
      <c r="A156" s="692"/>
      <c r="B156" s="692"/>
      <c r="C156" s="46"/>
      <c r="D156" s="46"/>
      <c r="E156" s="695"/>
      <c r="F156" s="9"/>
      <c r="G156" s="695"/>
      <c r="H156" s="693"/>
      <c r="I156" s="695"/>
      <c r="J156" s="695"/>
      <c r="K156" s="695"/>
      <c r="L156" s="693"/>
      <c r="M156" s="695"/>
      <c r="N156" s="695"/>
      <c r="O156" s="695"/>
      <c r="P156" s="695"/>
      <c r="Q156" s="695"/>
      <c r="R156" s="695"/>
      <c r="S156" s="695"/>
      <c r="T156" s="46"/>
    </row>
    <row r="157" spans="1:20" ht="15">
      <c r="A157" s="692"/>
      <c r="B157" s="692"/>
      <c r="C157" s="46"/>
      <c r="D157" s="46"/>
      <c r="E157" s="695"/>
      <c r="F157" s="9"/>
      <c r="G157" s="695"/>
      <c r="H157" s="693"/>
      <c r="I157" s="695"/>
      <c r="J157" s="695"/>
      <c r="K157" s="695"/>
      <c r="L157" s="693"/>
      <c r="M157" s="695"/>
      <c r="N157" s="695"/>
      <c r="O157" s="695"/>
      <c r="P157" s="695"/>
      <c r="Q157" s="695"/>
      <c r="R157" s="695"/>
      <c r="S157" s="695"/>
      <c r="T157" s="46"/>
    </row>
    <row r="158" spans="1:20" ht="15">
      <c r="A158" s="692"/>
      <c r="B158" s="693"/>
      <c r="C158" s="694"/>
      <c r="D158" s="694"/>
      <c r="E158" s="695"/>
      <c r="F158" s="9"/>
      <c r="G158" s="695"/>
      <c r="H158" s="693"/>
      <c r="I158" s="695"/>
      <c r="J158" s="695"/>
      <c r="K158" s="695"/>
      <c r="L158" s="693"/>
      <c r="M158" s="695"/>
      <c r="N158" s="695"/>
      <c r="O158" s="695"/>
      <c r="P158" s="695"/>
      <c r="Q158" s="695"/>
      <c r="R158" s="695"/>
      <c r="S158" s="695"/>
      <c r="T158" s="46"/>
    </row>
    <row r="159" spans="1:20" ht="15">
      <c r="A159" s="692"/>
      <c r="B159" s="692"/>
      <c r="C159" s="46"/>
      <c r="D159" s="46"/>
      <c r="E159" s="695"/>
      <c r="F159" s="9"/>
      <c r="G159" s="695"/>
      <c r="H159" s="693"/>
      <c r="I159" s="695"/>
      <c r="J159" s="695"/>
      <c r="K159" s="695"/>
      <c r="L159" s="693"/>
      <c r="M159" s="695"/>
      <c r="N159" s="695"/>
      <c r="O159" s="695"/>
      <c r="P159" s="695"/>
      <c r="Q159" s="695"/>
      <c r="R159" s="695"/>
      <c r="S159" s="695"/>
      <c r="T159" s="46"/>
    </row>
    <row r="160" spans="1:20" ht="15">
      <c r="A160" s="692"/>
      <c r="B160" s="692"/>
      <c r="C160" s="692"/>
      <c r="D160" s="692"/>
      <c r="E160" s="692"/>
      <c r="F160" s="9"/>
      <c r="G160" s="692"/>
      <c r="H160" s="692"/>
      <c r="I160" s="692"/>
      <c r="J160" s="692"/>
      <c r="K160" s="692"/>
      <c r="L160" s="692"/>
      <c r="M160" s="692"/>
      <c r="N160" s="692"/>
      <c r="O160" s="692"/>
      <c r="P160" s="692"/>
      <c r="Q160" s="692"/>
      <c r="R160" s="692"/>
      <c r="S160" s="692"/>
      <c r="T160" s="692"/>
    </row>
    <row r="161" spans="1:20" ht="15">
      <c r="A161" s="692"/>
      <c r="B161" s="692"/>
      <c r="C161" s="46"/>
      <c r="D161" s="46"/>
      <c r="E161" s="693"/>
      <c r="F161" s="693"/>
      <c r="G161" s="693"/>
      <c r="H161" s="693"/>
      <c r="I161" s="693"/>
      <c r="J161" s="693"/>
      <c r="K161" s="693"/>
      <c r="L161" s="693"/>
      <c r="M161" s="693"/>
      <c r="N161" s="693"/>
      <c r="O161" s="693"/>
      <c r="P161" s="693"/>
      <c r="Q161" s="693"/>
      <c r="R161" s="693"/>
      <c r="S161" s="693"/>
      <c r="T161" s="692"/>
    </row>
    <row r="162" spans="1:20" ht="15">
      <c r="A162" s="692"/>
      <c r="B162" s="692"/>
      <c r="C162" s="46"/>
      <c r="D162" s="46"/>
      <c r="E162" s="693"/>
      <c r="F162" s="693"/>
      <c r="G162" s="693"/>
      <c r="H162" s="693"/>
      <c r="I162" s="693"/>
      <c r="J162" s="693"/>
      <c r="K162" s="693"/>
      <c r="L162" s="693"/>
      <c r="M162" s="693"/>
      <c r="N162" s="693"/>
      <c r="O162" s="693"/>
      <c r="P162" s="693"/>
      <c r="Q162" s="693"/>
      <c r="R162" s="693"/>
      <c r="S162" s="693"/>
      <c r="T162" s="692"/>
    </row>
    <row r="163" spans="1:20" ht="15">
      <c r="A163" s="692"/>
      <c r="B163" s="692"/>
      <c r="C163" s="46"/>
      <c r="D163" s="46"/>
      <c r="E163" s="695"/>
      <c r="F163" s="693"/>
      <c r="G163" s="695"/>
      <c r="H163" s="693"/>
      <c r="I163" s="695"/>
      <c r="J163" s="695"/>
      <c r="K163" s="695"/>
      <c r="L163" s="693"/>
      <c r="M163" s="695"/>
      <c r="N163" s="695"/>
      <c r="O163" s="695"/>
      <c r="P163" s="695"/>
      <c r="Q163" s="695"/>
      <c r="R163" s="695"/>
      <c r="S163" s="695"/>
      <c r="T163" s="692"/>
    </row>
    <row r="164" spans="1:20" ht="15">
      <c r="A164" s="692"/>
      <c r="B164" s="692"/>
      <c r="C164" s="46"/>
      <c r="D164" s="46"/>
      <c r="E164" s="695"/>
      <c r="F164" s="693"/>
      <c r="G164" s="695"/>
      <c r="H164" s="693"/>
      <c r="I164" s="695"/>
      <c r="J164" s="695"/>
      <c r="K164" s="695"/>
      <c r="L164" s="693"/>
      <c r="M164" s="695"/>
      <c r="N164" s="695"/>
      <c r="O164" s="695"/>
      <c r="P164" s="695"/>
      <c r="Q164" s="695"/>
      <c r="R164" s="695"/>
      <c r="S164" s="695"/>
      <c r="T164" s="692"/>
    </row>
    <row r="165" spans="1:20" ht="15">
      <c r="A165" s="692"/>
      <c r="B165" s="692"/>
      <c r="C165" s="46"/>
      <c r="D165" s="46"/>
      <c r="E165" s="695"/>
      <c r="F165" s="9"/>
      <c r="G165" s="695"/>
      <c r="H165" s="693"/>
      <c r="I165" s="695"/>
      <c r="J165" s="695"/>
      <c r="K165" s="695"/>
      <c r="L165" s="693"/>
      <c r="M165" s="695"/>
      <c r="N165" s="695"/>
      <c r="O165" s="695"/>
      <c r="P165" s="695"/>
      <c r="Q165" s="695"/>
      <c r="R165" s="695"/>
      <c r="S165" s="695"/>
      <c r="T165" s="46"/>
    </row>
    <row r="166" spans="1:20" ht="15">
      <c r="A166" s="692"/>
      <c r="B166" s="692"/>
      <c r="C166" s="46"/>
      <c r="D166" s="46"/>
      <c r="E166" s="695"/>
      <c r="F166" s="9"/>
      <c r="G166" s="695"/>
      <c r="H166" s="693"/>
      <c r="I166" s="695"/>
      <c r="J166" s="695"/>
      <c r="K166" s="695"/>
      <c r="L166" s="693"/>
      <c r="M166" s="695"/>
      <c r="N166" s="695"/>
      <c r="O166" s="695"/>
      <c r="P166" s="695"/>
      <c r="Q166" s="695"/>
      <c r="R166" s="695"/>
      <c r="S166" s="695"/>
      <c r="T166" s="692"/>
    </row>
    <row r="167" spans="1:20" ht="15">
      <c r="A167" s="692"/>
      <c r="B167" s="692"/>
      <c r="C167" s="46"/>
      <c r="D167" s="46"/>
      <c r="E167" s="695"/>
      <c r="F167" s="9"/>
      <c r="G167" s="695"/>
      <c r="H167" s="693"/>
      <c r="I167" s="695"/>
      <c r="J167" s="695"/>
      <c r="K167" s="695"/>
      <c r="L167" s="693"/>
      <c r="M167" s="695"/>
      <c r="N167" s="695"/>
      <c r="O167" s="695"/>
      <c r="P167" s="695"/>
      <c r="Q167" s="695"/>
      <c r="R167" s="695"/>
      <c r="S167" s="695"/>
      <c r="T167" s="692"/>
    </row>
    <row r="168" spans="1:20" ht="15">
      <c r="A168" s="692"/>
      <c r="B168" s="692"/>
      <c r="C168" s="46"/>
      <c r="D168" s="46"/>
      <c r="E168" s="695"/>
      <c r="F168" s="9"/>
      <c r="G168" s="695"/>
      <c r="H168" s="693"/>
      <c r="I168" s="695"/>
      <c r="J168" s="695"/>
      <c r="K168" s="695"/>
      <c r="L168" s="693"/>
      <c r="M168" s="695"/>
      <c r="N168" s="695"/>
      <c r="O168" s="695"/>
      <c r="P168" s="695"/>
      <c r="Q168" s="695"/>
      <c r="R168" s="695"/>
      <c r="S168" s="695"/>
      <c r="T168" s="692"/>
    </row>
    <row r="169" spans="1:20" ht="15">
      <c r="A169" s="692"/>
      <c r="B169" s="692"/>
      <c r="C169" s="46"/>
      <c r="D169" s="46"/>
      <c r="E169" s="695"/>
      <c r="F169" s="9"/>
      <c r="G169" s="695"/>
      <c r="H169" s="693"/>
      <c r="I169" s="695"/>
      <c r="J169" s="695"/>
      <c r="K169" s="695"/>
      <c r="L169" s="693"/>
      <c r="M169" s="695"/>
      <c r="N169" s="695"/>
      <c r="O169" s="695"/>
      <c r="P169" s="695"/>
      <c r="Q169" s="695"/>
      <c r="R169" s="695"/>
      <c r="S169" s="695"/>
      <c r="T169" s="692"/>
    </row>
    <row r="170" spans="1:20" ht="15">
      <c r="A170" s="692"/>
      <c r="B170" s="692"/>
      <c r="C170" s="46"/>
      <c r="D170" s="46"/>
      <c r="E170" s="695"/>
      <c r="F170" s="9"/>
      <c r="G170" s="695"/>
      <c r="H170" s="693"/>
      <c r="I170" s="695"/>
      <c r="J170" s="695"/>
      <c r="K170" s="695"/>
      <c r="L170" s="693"/>
      <c r="M170" s="695"/>
      <c r="N170" s="695"/>
      <c r="O170" s="695"/>
      <c r="P170" s="695"/>
      <c r="Q170" s="695"/>
      <c r="R170" s="695"/>
      <c r="S170" s="695"/>
      <c r="T170" s="692"/>
    </row>
    <row r="171" spans="1:20" ht="15">
      <c r="A171" s="692"/>
      <c r="B171" s="692"/>
      <c r="C171" s="46"/>
      <c r="D171" s="46"/>
      <c r="E171" s="693"/>
      <c r="F171" s="693"/>
      <c r="G171" s="693"/>
      <c r="H171" s="693"/>
      <c r="I171" s="693"/>
      <c r="J171" s="693"/>
      <c r="K171" s="693"/>
      <c r="L171" s="693"/>
      <c r="M171" s="693"/>
      <c r="N171" s="693"/>
      <c r="O171" s="693"/>
      <c r="P171" s="693"/>
      <c r="Q171" s="693"/>
      <c r="R171" s="693"/>
      <c r="S171" s="693"/>
      <c r="T171" s="692"/>
    </row>
    <row r="172" spans="1:20" ht="15">
      <c r="A172" s="692"/>
      <c r="B172" s="692"/>
      <c r="C172" s="46"/>
      <c r="D172" s="46"/>
      <c r="E172" s="693"/>
      <c r="F172" s="693"/>
      <c r="G172" s="693"/>
      <c r="H172" s="693"/>
      <c r="I172" s="693"/>
      <c r="J172" s="693"/>
      <c r="K172" s="693"/>
      <c r="L172" s="693"/>
      <c r="M172" s="693"/>
      <c r="N172" s="693"/>
      <c r="O172" s="693"/>
      <c r="P172" s="693"/>
      <c r="Q172" s="693"/>
      <c r="R172" s="693"/>
      <c r="S172" s="693"/>
      <c r="T172" s="692"/>
    </row>
    <row r="173" spans="1:20" ht="15">
      <c r="A173" s="692"/>
      <c r="B173" s="692"/>
      <c r="C173" s="46"/>
      <c r="D173" s="46"/>
      <c r="E173" s="695"/>
      <c r="F173" s="9"/>
      <c r="G173" s="695"/>
      <c r="H173" s="693"/>
      <c r="I173" s="695"/>
      <c r="J173" s="695"/>
      <c r="K173" s="695"/>
      <c r="L173" s="693"/>
      <c r="M173" s="695"/>
      <c r="N173" s="695"/>
      <c r="O173" s="695"/>
      <c r="P173" s="695"/>
      <c r="Q173" s="695"/>
      <c r="R173" s="695"/>
      <c r="S173" s="695"/>
      <c r="T173" s="692"/>
    </row>
    <row r="174" spans="1:20" ht="15">
      <c r="A174" s="692"/>
      <c r="B174" s="692"/>
      <c r="C174" s="46"/>
      <c r="D174" s="46"/>
      <c r="E174" s="695"/>
      <c r="F174" s="9"/>
      <c r="G174" s="695"/>
      <c r="H174" s="693"/>
      <c r="I174" s="695"/>
      <c r="J174" s="695"/>
      <c r="K174" s="695"/>
      <c r="L174" s="693"/>
      <c r="M174" s="695"/>
      <c r="N174" s="695"/>
      <c r="O174" s="695"/>
      <c r="P174" s="695"/>
      <c r="Q174" s="695"/>
      <c r="R174" s="695"/>
      <c r="S174" s="695"/>
      <c r="T174" s="692"/>
    </row>
    <row r="175" spans="1:20" ht="15">
      <c r="A175" s="692"/>
      <c r="B175" s="692"/>
      <c r="C175" s="46"/>
      <c r="D175" s="46"/>
      <c r="E175" s="693"/>
      <c r="F175" s="693"/>
      <c r="G175" s="693"/>
      <c r="H175" s="693"/>
      <c r="I175" s="693"/>
      <c r="J175" s="693"/>
      <c r="K175" s="693"/>
      <c r="L175" s="693"/>
      <c r="M175" s="693"/>
      <c r="N175" s="693"/>
      <c r="O175" s="693"/>
      <c r="P175" s="693"/>
      <c r="Q175" s="693"/>
      <c r="R175" s="693"/>
      <c r="S175" s="693"/>
      <c r="T175" s="692"/>
    </row>
    <row r="176" spans="1:20" ht="15">
      <c r="A176" s="692"/>
      <c r="B176" s="692"/>
      <c r="C176" s="46"/>
      <c r="D176" s="46"/>
      <c r="E176" s="693"/>
      <c r="F176" s="693"/>
      <c r="G176" s="693"/>
      <c r="H176" s="693"/>
      <c r="I176" s="693"/>
      <c r="J176" s="693"/>
      <c r="K176" s="693"/>
      <c r="L176" s="693"/>
      <c r="M176" s="693"/>
      <c r="N176" s="693"/>
      <c r="O176" s="693"/>
      <c r="P176" s="693"/>
      <c r="Q176" s="693"/>
      <c r="R176" s="693"/>
      <c r="S176" s="693"/>
      <c r="T176" s="692"/>
    </row>
    <row r="177" spans="1:20" ht="15">
      <c r="A177" s="692"/>
      <c r="B177" s="692"/>
      <c r="C177" s="46"/>
      <c r="D177" s="46"/>
      <c r="E177" s="695"/>
      <c r="F177" s="9"/>
      <c r="G177" s="695"/>
      <c r="H177" s="693"/>
      <c r="I177" s="695"/>
      <c r="J177" s="695"/>
      <c r="K177" s="695"/>
      <c r="L177" s="693"/>
      <c r="M177" s="695"/>
      <c r="N177" s="695"/>
      <c r="O177" s="695"/>
      <c r="P177" s="695"/>
      <c r="Q177" s="695"/>
      <c r="R177" s="695"/>
      <c r="S177" s="695"/>
      <c r="T177" s="46"/>
    </row>
    <row r="178" spans="1:20" ht="15">
      <c r="A178" s="692"/>
      <c r="B178" s="692"/>
      <c r="C178" s="46"/>
      <c r="D178" s="46"/>
      <c r="E178" s="695"/>
      <c r="F178" s="9"/>
      <c r="G178" s="695"/>
      <c r="H178" s="693"/>
      <c r="I178" s="695"/>
      <c r="J178" s="695"/>
      <c r="K178" s="695"/>
      <c r="L178" s="693"/>
      <c r="M178" s="695"/>
      <c r="N178" s="695"/>
      <c r="O178" s="695"/>
      <c r="P178" s="695"/>
      <c r="Q178" s="695"/>
      <c r="R178" s="695"/>
      <c r="S178" s="695"/>
      <c r="T178" s="46"/>
    </row>
    <row r="179" spans="1:20" ht="15">
      <c r="A179" s="692"/>
      <c r="B179" s="692"/>
      <c r="C179" s="46"/>
      <c r="D179" s="46"/>
      <c r="E179" s="695"/>
      <c r="F179" s="9"/>
      <c r="G179" s="695"/>
      <c r="H179" s="693"/>
      <c r="I179" s="695"/>
      <c r="J179" s="695"/>
      <c r="K179" s="695"/>
      <c r="L179" s="693"/>
      <c r="M179" s="695"/>
      <c r="N179" s="695"/>
      <c r="O179" s="695"/>
      <c r="P179" s="695"/>
      <c r="Q179" s="695"/>
      <c r="R179" s="695"/>
      <c r="S179" s="695"/>
      <c r="T179" s="46"/>
    </row>
    <row r="180" spans="1:20" ht="15">
      <c r="A180" s="692"/>
      <c r="B180" s="692"/>
      <c r="C180" s="46"/>
      <c r="D180" s="46"/>
      <c r="E180" s="695"/>
      <c r="F180" s="9"/>
      <c r="G180" s="695"/>
      <c r="H180" s="693"/>
      <c r="I180" s="695"/>
      <c r="J180" s="695"/>
      <c r="K180" s="695"/>
      <c r="L180" s="693"/>
      <c r="M180" s="695"/>
      <c r="N180" s="695"/>
      <c r="O180" s="695"/>
      <c r="P180" s="695"/>
      <c r="Q180" s="695"/>
      <c r="R180" s="695"/>
      <c r="S180" s="695"/>
      <c r="T180" s="46"/>
    </row>
    <row r="181" spans="1:20" ht="15">
      <c r="A181" s="692"/>
      <c r="B181" s="692"/>
      <c r="C181" s="46"/>
      <c r="D181" s="46"/>
      <c r="E181" s="695"/>
      <c r="F181" s="9"/>
      <c r="G181" s="695"/>
      <c r="H181" s="693"/>
      <c r="I181" s="695"/>
      <c r="J181" s="695"/>
      <c r="K181" s="695"/>
      <c r="L181" s="693"/>
      <c r="M181" s="695"/>
      <c r="N181" s="695"/>
      <c r="O181" s="695"/>
      <c r="P181" s="695"/>
      <c r="Q181" s="695"/>
      <c r="R181" s="695"/>
      <c r="S181" s="695"/>
      <c r="T181" s="692"/>
    </row>
    <row r="182" spans="1:20" ht="15">
      <c r="A182" s="692"/>
      <c r="B182" s="692"/>
      <c r="C182" s="46"/>
      <c r="D182" s="46"/>
      <c r="E182" s="693"/>
      <c r="F182" s="693"/>
      <c r="G182" s="693"/>
      <c r="H182" s="693"/>
      <c r="I182" s="693"/>
      <c r="J182" s="693"/>
      <c r="K182" s="693"/>
      <c r="L182" s="693"/>
      <c r="M182" s="693"/>
      <c r="N182" s="693"/>
      <c r="O182" s="693"/>
      <c r="P182" s="693"/>
      <c r="Q182" s="693"/>
      <c r="R182" s="693"/>
      <c r="S182" s="693"/>
      <c r="T182" s="692"/>
    </row>
    <row r="183" spans="1:20" ht="15">
      <c r="A183" s="692"/>
      <c r="B183" s="692"/>
      <c r="C183" s="46"/>
      <c r="D183" s="46"/>
      <c r="E183" s="693"/>
      <c r="F183" s="693"/>
      <c r="G183" s="693"/>
      <c r="H183" s="693"/>
      <c r="I183" s="693"/>
      <c r="J183" s="693"/>
      <c r="K183" s="693"/>
      <c r="L183" s="693"/>
      <c r="M183" s="693"/>
      <c r="N183" s="693"/>
      <c r="O183" s="693"/>
      <c r="P183" s="693"/>
      <c r="Q183" s="693"/>
      <c r="R183" s="693"/>
      <c r="S183" s="693"/>
      <c r="T183" s="692"/>
    </row>
    <row r="184" spans="1:20" ht="15">
      <c r="A184" s="692"/>
      <c r="B184" s="692"/>
      <c r="C184" s="46"/>
      <c r="D184" s="46"/>
      <c r="E184" s="693"/>
      <c r="F184" s="693"/>
      <c r="G184" s="693"/>
      <c r="H184" s="692"/>
      <c r="I184" s="693"/>
      <c r="J184" s="693"/>
      <c r="K184" s="693"/>
      <c r="L184" s="693"/>
      <c r="M184" s="693"/>
      <c r="N184" s="693"/>
      <c r="O184" s="693"/>
      <c r="P184" s="693"/>
      <c r="Q184" s="693"/>
      <c r="R184" s="693"/>
      <c r="S184" s="693"/>
      <c r="T184" s="692"/>
    </row>
    <row r="185" spans="1:20" ht="15">
      <c r="A185" s="692"/>
      <c r="B185" s="692"/>
      <c r="C185" s="46"/>
      <c r="D185" s="46"/>
      <c r="E185" s="695"/>
      <c r="F185" s="9"/>
      <c r="G185" s="695"/>
      <c r="H185" s="693"/>
      <c r="I185" s="695"/>
      <c r="J185" s="695"/>
      <c r="K185" s="695"/>
      <c r="L185" s="693"/>
      <c r="M185" s="695"/>
      <c r="N185" s="695"/>
      <c r="O185" s="695"/>
      <c r="P185" s="695"/>
      <c r="Q185" s="695"/>
      <c r="R185" s="695"/>
      <c r="S185" s="695"/>
      <c r="T185" s="46"/>
    </row>
    <row r="186" spans="1:20" ht="15">
      <c r="A186" s="692"/>
      <c r="B186" s="692"/>
      <c r="C186" s="46"/>
      <c r="D186" s="46"/>
      <c r="E186" s="695"/>
      <c r="F186" s="9"/>
      <c r="G186" s="695"/>
      <c r="H186" s="693"/>
      <c r="I186" s="695"/>
      <c r="J186" s="695"/>
      <c r="K186" s="695"/>
      <c r="L186" s="693"/>
      <c r="M186" s="695"/>
      <c r="N186" s="695"/>
      <c r="O186" s="695"/>
      <c r="P186" s="695"/>
      <c r="Q186" s="695"/>
      <c r="R186" s="695"/>
      <c r="S186" s="695"/>
      <c r="T186" s="46"/>
    </row>
    <row r="187" spans="1:20" ht="15">
      <c r="A187" s="692"/>
      <c r="B187" s="692"/>
      <c r="C187" s="46"/>
      <c r="D187" s="46"/>
      <c r="E187" s="695"/>
      <c r="F187" s="9"/>
      <c r="G187" s="695"/>
      <c r="H187" s="693"/>
      <c r="I187" s="695"/>
      <c r="J187" s="695"/>
      <c r="K187" s="695"/>
      <c r="L187" s="693"/>
      <c r="M187" s="695"/>
      <c r="N187" s="695"/>
      <c r="O187" s="695"/>
      <c r="P187" s="695"/>
      <c r="Q187" s="695"/>
      <c r="R187" s="695"/>
      <c r="S187" s="695"/>
      <c r="T187" s="692"/>
    </row>
    <row r="188" spans="1:20" ht="15">
      <c r="A188" s="692"/>
      <c r="B188" s="692"/>
      <c r="C188" s="46"/>
      <c r="D188" s="46"/>
      <c r="E188" s="695"/>
      <c r="F188" s="9"/>
      <c r="G188" s="695"/>
      <c r="H188" s="693"/>
      <c r="I188" s="695"/>
      <c r="J188" s="695"/>
      <c r="K188" s="695"/>
      <c r="L188" s="693"/>
      <c r="M188" s="695"/>
      <c r="N188" s="695"/>
      <c r="O188" s="695"/>
      <c r="P188" s="695"/>
      <c r="Q188" s="695"/>
      <c r="R188" s="695"/>
      <c r="S188" s="695"/>
      <c r="T188" s="692"/>
    </row>
    <row r="189" spans="1:20" ht="15">
      <c r="A189" s="692"/>
      <c r="B189" s="692"/>
      <c r="C189" s="46"/>
      <c r="D189" s="46"/>
      <c r="E189" s="695"/>
      <c r="F189" s="9"/>
      <c r="G189" s="695"/>
      <c r="H189" s="693"/>
      <c r="I189" s="695"/>
      <c r="J189" s="695"/>
      <c r="K189" s="695"/>
      <c r="L189" s="693"/>
      <c r="M189" s="695"/>
      <c r="N189" s="695"/>
      <c r="O189" s="695"/>
      <c r="P189" s="695"/>
      <c r="Q189" s="695"/>
      <c r="R189" s="695"/>
      <c r="S189" s="695"/>
      <c r="T189" s="692"/>
    </row>
    <row r="190" spans="1:20" ht="15">
      <c r="A190" s="692"/>
      <c r="B190" s="692"/>
      <c r="C190" s="692"/>
      <c r="D190" s="692"/>
      <c r="E190" s="695"/>
      <c r="F190" s="9"/>
      <c r="G190" s="695"/>
      <c r="H190" s="693"/>
      <c r="I190" s="695"/>
      <c r="J190" s="695"/>
      <c r="K190" s="695"/>
      <c r="L190" s="693"/>
      <c r="M190" s="695"/>
      <c r="N190" s="695"/>
      <c r="O190" s="695"/>
      <c r="P190" s="695"/>
      <c r="Q190" s="695"/>
      <c r="R190" s="695"/>
      <c r="S190" s="692"/>
      <c r="T190" s="692"/>
    </row>
    <row r="191" spans="1:20" ht="15">
      <c r="A191" s="692"/>
      <c r="B191" s="692"/>
      <c r="C191" s="46"/>
      <c r="D191" s="46"/>
      <c r="E191" s="695"/>
      <c r="F191" s="9"/>
      <c r="G191" s="695"/>
      <c r="H191" s="693"/>
      <c r="I191" s="695"/>
      <c r="J191" s="695"/>
      <c r="K191" s="695"/>
      <c r="L191" s="693"/>
      <c r="M191" s="695"/>
      <c r="N191" s="695"/>
      <c r="O191" s="695"/>
      <c r="P191" s="695"/>
      <c r="Q191" s="695"/>
      <c r="R191" s="695"/>
      <c r="S191" s="693"/>
      <c r="T191" s="692"/>
    </row>
    <row r="192" spans="1:20" ht="15">
      <c r="A192" s="692"/>
      <c r="B192" s="692"/>
      <c r="C192" s="46"/>
      <c r="D192" s="46"/>
      <c r="E192" s="693"/>
      <c r="F192" s="693"/>
      <c r="G192" s="693"/>
      <c r="H192" s="693"/>
      <c r="I192" s="693"/>
      <c r="J192" s="693"/>
      <c r="K192" s="693"/>
      <c r="L192" s="693"/>
      <c r="M192" s="693"/>
      <c r="N192" s="693"/>
      <c r="O192" s="693"/>
      <c r="P192" s="693"/>
      <c r="Q192" s="693"/>
      <c r="R192" s="693"/>
      <c r="S192" s="693"/>
      <c r="T192" s="692"/>
    </row>
    <row r="193" spans="1:20" ht="15">
      <c r="A193" s="692"/>
      <c r="B193" s="692"/>
      <c r="C193" s="46"/>
      <c r="D193" s="46"/>
      <c r="E193" s="693"/>
      <c r="F193" s="693"/>
      <c r="G193" s="693"/>
      <c r="H193" s="693"/>
      <c r="I193" s="693"/>
      <c r="J193" s="693"/>
      <c r="K193" s="693"/>
      <c r="L193" s="693"/>
      <c r="M193" s="693"/>
      <c r="N193" s="693"/>
      <c r="O193" s="693"/>
      <c r="P193" s="693"/>
      <c r="Q193" s="693"/>
      <c r="R193" s="693"/>
      <c r="S193" s="693"/>
      <c r="T193" s="692"/>
    </row>
    <row r="194" spans="1:20" ht="15">
      <c r="A194" s="692"/>
      <c r="B194" s="692"/>
      <c r="C194" s="692"/>
      <c r="D194" s="692"/>
      <c r="E194" s="693"/>
      <c r="F194" s="693"/>
      <c r="G194" s="693"/>
      <c r="H194" s="693"/>
      <c r="I194" s="693"/>
      <c r="J194" s="693"/>
      <c r="K194" s="693"/>
      <c r="L194" s="693"/>
      <c r="M194" s="693"/>
      <c r="N194" s="693"/>
      <c r="O194" s="693"/>
      <c r="P194" s="693"/>
      <c r="Q194" s="693"/>
      <c r="R194" s="693"/>
      <c r="S194" s="692"/>
      <c r="T194" s="692"/>
    </row>
    <row r="195" spans="1:20" ht="15">
      <c r="A195" s="45"/>
      <c r="B195" s="692"/>
      <c r="C195" s="692"/>
      <c r="D195" s="692"/>
      <c r="E195" s="693"/>
      <c r="F195" s="694"/>
      <c r="G195" s="693"/>
      <c r="H195" s="693"/>
      <c r="I195" s="693"/>
      <c r="J195" s="693"/>
      <c r="K195" s="693"/>
      <c r="L195" s="693"/>
      <c r="M195" s="693"/>
      <c r="N195" s="693"/>
      <c r="O195" s="693"/>
      <c r="P195" s="693"/>
      <c r="Q195" s="693"/>
      <c r="R195" s="693"/>
      <c r="S195" s="692"/>
      <c r="T195" s="692"/>
    </row>
    <row r="196" spans="1:20" ht="15">
      <c r="A196" s="692"/>
      <c r="B196" s="692"/>
      <c r="C196" s="692"/>
      <c r="D196" s="692"/>
      <c r="E196" s="693"/>
      <c r="F196" s="693"/>
      <c r="G196" s="693"/>
      <c r="H196" s="693"/>
      <c r="I196" s="693"/>
      <c r="J196" s="693"/>
      <c r="K196" s="693"/>
      <c r="L196" s="693"/>
      <c r="M196" s="693"/>
      <c r="N196" s="693"/>
      <c r="O196" s="693"/>
      <c r="P196" s="693"/>
      <c r="Q196" s="693"/>
      <c r="R196" s="693"/>
      <c r="S196" s="692"/>
      <c r="T196" s="692"/>
    </row>
    <row r="197" spans="1:20" ht="15">
      <c r="A197" s="692"/>
      <c r="B197" s="692"/>
      <c r="C197" s="692"/>
      <c r="D197" s="692"/>
      <c r="E197" s="693"/>
      <c r="F197" s="693"/>
      <c r="G197" s="693"/>
      <c r="H197" s="693"/>
      <c r="I197" s="693"/>
      <c r="J197" s="693"/>
      <c r="K197" s="693"/>
      <c r="L197" s="693"/>
      <c r="M197" s="693"/>
      <c r="N197" s="693"/>
      <c r="O197" s="693"/>
      <c r="P197" s="693"/>
      <c r="Q197" s="693"/>
      <c r="R197" s="693"/>
      <c r="S197" s="692"/>
      <c r="T197" s="692"/>
    </row>
    <row r="198" spans="1:20" ht="15">
      <c r="A198" s="692"/>
      <c r="B198" s="692"/>
      <c r="C198" s="692"/>
      <c r="D198" s="692"/>
      <c r="E198" s="693"/>
      <c r="F198" s="693"/>
      <c r="G198" s="693"/>
      <c r="H198" s="693"/>
      <c r="I198" s="693"/>
      <c r="J198" s="693"/>
      <c r="K198" s="693"/>
      <c r="L198" s="693"/>
      <c r="M198" s="693"/>
      <c r="N198" s="693"/>
      <c r="O198" s="693"/>
      <c r="P198" s="693"/>
      <c r="Q198" s="693"/>
      <c r="R198" s="693"/>
      <c r="S198" s="692"/>
      <c r="T198" s="692"/>
    </row>
    <row r="199" spans="1:20" ht="15">
      <c r="A199" s="692"/>
      <c r="B199" s="692"/>
      <c r="C199" s="692"/>
      <c r="D199" s="692"/>
      <c r="E199" s="692"/>
      <c r="F199" s="692"/>
      <c r="G199" s="692"/>
      <c r="H199" s="692"/>
      <c r="I199" s="692"/>
      <c r="J199" s="692"/>
      <c r="K199" s="692"/>
      <c r="L199" s="692"/>
      <c r="M199" s="692"/>
      <c r="N199" s="692"/>
      <c r="O199" s="692"/>
      <c r="P199" s="692"/>
      <c r="Q199" s="692"/>
      <c r="R199" s="692"/>
      <c r="S199" s="692"/>
      <c r="T199" s="692"/>
    </row>
    <row r="200" spans="1:20" ht="15">
      <c r="A200" s="692"/>
      <c r="B200" s="692"/>
      <c r="C200" s="692"/>
      <c r="D200" s="692"/>
      <c r="E200" s="692"/>
      <c r="F200" s="693"/>
      <c r="G200" s="692"/>
      <c r="H200" s="693"/>
      <c r="I200" s="692"/>
      <c r="J200" s="692"/>
      <c r="K200" s="692"/>
      <c r="L200" s="692"/>
      <c r="M200" s="692"/>
      <c r="N200" s="692"/>
      <c r="O200" s="692"/>
      <c r="P200" s="692"/>
      <c r="Q200" s="692"/>
      <c r="R200" s="692"/>
      <c r="S200" s="692"/>
      <c r="T200" s="692"/>
    </row>
    <row r="201" spans="1:20" ht="15">
      <c r="A201" s="692"/>
      <c r="B201" s="692"/>
      <c r="C201" s="692"/>
      <c r="D201" s="692"/>
      <c r="E201" s="692"/>
      <c r="F201" s="692"/>
      <c r="G201" s="692"/>
      <c r="H201" s="692"/>
      <c r="I201" s="692"/>
      <c r="J201" s="692"/>
      <c r="K201" s="692"/>
      <c r="L201" s="692"/>
      <c r="M201" s="692"/>
      <c r="N201" s="692"/>
      <c r="O201" s="692"/>
      <c r="P201" s="692"/>
      <c r="Q201" s="692"/>
      <c r="R201" s="692"/>
      <c r="S201" s="692"/>
      <c r="T201" s="692"/>
    </row>
    <row r="202" spans="1:20" ht="15">
      <c r="A202" s="692"/>
      <c r="B202" s="692"/>
      <c r="C202" s="692"/>
      <c r="D202" s="692"/>
      <c r="E202" s="692"/>
      <c r="F202" s="693"/>
      <c r="G202" s="692"/>
      <c r="H202" s="693"/>
      <c r="I202" s="692"/>
      <c r="J202" s="692"/>
      <c r="K202" s="692"/>
      <c r="L202" s="692"/>
      <c r="M202" s="692"/>
      <c r="N202" s="692"/>
      <c r="O202" s="692"/>
      <c r="P202" s="692"/>
      <c r="Q202" s="692"/>
      <c r="R202" s="692"/>
      <c r="S202" s="692"/>
      <c r="T202" s="692"/>
    </row>
    <row r="203" spans="1:20" ht="15">
      <c r="A203" s="692"/>
      <c r="B203" s="692"/>
      <c r="C203" s="692"/>
      <c r="D203" s="692"/>
      <c r="E203" s="692"/>
      <c r="F203" s="693"/>
      <c r="G203" s="692"/>
      <c r="H203" s="693"/>
      <c r="I203" s="692"/>
      <c r="J203" s="692"/>
      <c r="K203" s="692"/>
      <c r="L203" s="692"/>
      <c r="M203" s="692"/>
      <c r="N203" s="692"/>
      <c r="O203" s="692"/>
      <c r="P203" s="692"/>
      <c r="Q203" s="692"/>
      <c r="R203" s="692"/>
      <c r="S203" s="692"/>
      <c r="T203" s="692"/>
    </row>
    <row r="204" spans="1:20" ht="15">
      <c r="A204" s="692"/>
      <c r="B204" s="692"/>
      <c r="C204" s="692"/>
      <c r="D204" s="692"/>
      <c r="E204" s="692"/>
      <c r="F204" s="693"/>
      <c r="G204" s="692"/>
      <c r="H204" s="693"/>
      <c r="I204" s="692"/>
      <c r="J204" s="692"/>
      <c r="K204" s="692"/>
      <c r="L204" s="692"/>
      <c r="M204" s="692"/>
      <c r="N204" s="692"/>
      <c r="O204" s="692"/>
      <c r="P204" s="692"/>
      <c r="Q204" s="692"/>
      <c r="R204" s="692"/>
      <c r="S204" s="692"/>
      <c r="T204" s="692"/>
    </row>
    <row r="205" spans="1:20" ht="15">
      <c r="A205" s="692"/>
      <c r="B205" s="692"/>
      <c r="C205" s="692"/>
      <c r="D205" s="692"/>
      <c r="E205" s="692"/>
      <c r="F205" s="693"/>
      <c r="G205" s="692"/>
      <c r="H205" s="693"/>
      <c r="I205" s="692"/>
      <c r="J205" s="692"/>
      <c r="K205" s="692"/>
      <c r="L205" s="692"/>
      <c r="M205" s="692"/>
      <c r="N205" s="692"/>
      <c r="O205" s="692"/>
      <c r="P205" s="692"/>
      <c r="Q205" s="692"/>
      <c r="R205" s="692"/>
      <c r="S205" s="692"/>
      <c r="T205" s="692"/>
    </row>
    <row r="206" spans="1:20" ht="15">
      <c r="A206" s="692"/>
      <c r="B206" s="692"/>
      <c r="C206" s="692"/>
      <c r="D206" s="692"/>
      <c r="E206" s="692"/>
      <c r="F206" s="693"/>
      <c r="G206" s="692"/>
      <c r="H206" s="693"/>
      <c r="I206" s="692"/>
      <c r="J206" s="692"/>
      <c r="K206" s="692"/>
      <c r="L206" s="692"/>
      <c r="M206" s="692"/>
      <c r="N206" s="692"/>
      <c r="O206" s="692"/>
      <c r="P206" s="692"/>
      <c r="Q206" s="692"/>
      <c r="R206" s="692"/>
      <c r="S206" s="692"/>
      <c r="T206" s="692"/>
    </row>
  </sheetData>
  <hyperlinks>
    <hyperlink ref="A5" location="Sch_A" display="." xr:uid="{00000000-0004-0000-1F00-000000000000}"/>
  </hyperlinks>
  <printOptions horizontalCentered="1"/>
  <pageMargins left="0.5" right="0.5" top="1" bottom="0" header="0" footer="0"/>
  <pageSetup scale="39" orientation="landscape" blackAndWhite="1" horizontalDpi="300" verticalDpi="300" r:id="rId1"/>
  <headerFooter alignWithMargins="0"/>
  <rowBreaks count="2" manualBreakCount="2">
    <brk id="61" max="16" man="1"/>
    <brk id="113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6">
    <tabColor rgb="FF0000FF"/>
    <pageSetUpPr fitToPage="1"/>
  </sheetPr>
  <dimension ref="A1:AN39"/>
  <sheetViews>
    <sheetView workbookViewId="0"/>
  </sheetViews>
  <sheetFormatPr defaultColWidth="8" defaultRowHeight="13.2"/>
  <cols>
    <col min="1" max="1" width="4.44140625" customWidth="1"/>
    <col min="2" max="2" width="7.5546875" customWidth="1"/>
    <col min="3" max="3" width="1.5546875" customWidth="1"/>
    <col min="4" max="4" width="8" customWidth="1"/>
    <col min="5" max="5" width="1.44140625" customWidth="1"/>
    <col min="6" max="6" width="13.44140625" customWidth="1"/>
    <col min="7" max="7" width="1.44140625" customWidth="1"/>
    <col min="8" max="8" width="8" customWidth="1"/>
    <col min="9" max="9" width="1.44140625" customWidth="1"/>
    <col min="10" max="10" width="8" customWidth="1"/>
    <col min="11" max="11" width="1.44140625" customWidth="1"/>
    <col min="12" max="12" width="7.5546875" customWidth="1"/>
    <col min="13" max="13" width="1.44140625" customWidth="1"/>
    <col min="14" max="14" width="8" customWidth="1"/>
    <col min="15" max="15" width="1.44140625" customWidth="1"/>
    <col min="16" max="16" width="8" customWidth="1"/>
    <col min="17" max="17" width="1.44140625" customWidth="1"/>
    <col min="18" max="18" width="8" customWidth="1"/>
    <col min="19" max="19" width="1" customWidth="1"/>
    <col min="20" max="20" width="9" customWidth="1"/>
    <col min="21" max="21" width="1.44140625" customWidth="1"/>
    <col min="22" max="22" width="9" customWidth="1"/>
    <col min="23" max="23" width="2.44140625" customWidth="1"/>
    <col min="24" max="24" width="15.44140625" customWidth="1"/>
    <col min="25" max="25" width="2.44140625" customWidth="1"/>
  </cols>
  <sheetData>
    <row r="1" spans="1:40" ht="12" customHeight="1">
      <c r="A1" s="616"/>
      <c r="B1" s="617"/>
      <c r="C1" s="617"/>
      <c r="D1" s="617"/>
      <c r="E1" s="617"/>
      <c r="F1" s="617"/>
      <c r="G1" s="617"/>
      <c r="H1" s="617"/>
      <c r="I1" s="617"/>
      <c r="J1" s="617"/>
      <c r="K1" s="617"/>
      <c r="L1" s="617"/>
      <c r="M1" s="617"/>
      <c r="N1" s="617"/>
      <c r="O1" s="617"/>
      <c r="P1" s="617"/>
      <c r="Q1" s="617"/>
      <c r="R1" s="617"/>
      <c r="S1" s="617"/>
      <c r="T1" s="617"/>
      <c r="U1" s="617"/>
      <c r="V1" s="617"/>
      <c r="W1" s="618"/>
      <c r="X1" s="619"/>
      <c r="Y1" s="618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</row>
    <row r="2" spans="1:40" ht="15" customHeight="1">
      <c r="A2" s="616"/>
      <c r="B2" s="616"/>
      <c r="C2" s="616"/>
      <c r="D2" s="618"/>
      <c r="E2" s="616"/>
      <c r="F2" s="618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  <c r="R2" s="616"/>
      <c r="S2" s="616"/>
      <c r="T2" s="616"/>
      <c r="U2" s="616"/>
      <c r="V2" s="616"/>
      <c r="W2" s="616"/>
      <c r="X2" s="616"/>
      <c r="Y2" s="616"/>
      <c r="Z2" s="616"/>
      <c r="AA2" s="616"/>
      <c r="AB2" s="616"/>
      <c r="AC2" s="616"/>
      <c r="AD2" s="616"/>
      <c r="AE2" s="616"/>
      <c r="AF2" s="616"/>
      <c r="AG2" s="616"/>
      <c r="AH2" s="616"/>
      <c r="AI2" s="616"/>
      <c r="AJ2" s="616"/>
      <c r="AK2" s="616"/>
      <c r="AL2" s="616"/>
      <c r="AM2" s="616"/>
      <c r="AN2" s="616"/>
    </row>
    <row r="3" spans="1:40" ht="15" customHeight="1">
      <c r="A3" s="616"/>
      <c r="B3" s="616"/>
      <c r="C3" s="616"/>
      <c r="D3" s="618"/>
      <c r="E3" s="616"/>
      <c r="F3" s="618"/>
      <c r="G3" s="616"/>
      <c r="H3" s="616"/>
      <c r="I3" s="616"/>
      <c r="J3" s="616"/>
      <c r="K3" s="616"/>
      <c r="L3" s="616"/>
      <c r="M3" s="616"/>
      <c r="N3" s="616"/>
      <c r="O3" s="616"/>
      <c r="P3" s="616"/>
      <c r="Q3" s="616"/>
      <c r="R3" s="616"/>
      <c r="S3" s="616"/>
      <c r="T3" s="616"/>
      <c r="U3" s="616"/>
      <c r="V3" s="616"/>
      <c r="W3" s="616"/>
      <c r="X3" s="616"/>
      <c r="Y3" s="616"/>
      <c r="Z3" s="616"/>
      <c r="AA3" s="616"/>
      <c r="AB3" s="616"/>
      <c r="AC3" s="616"/>
      <c r="AD3" s="616"/>
      <c r="AE3" s="616"/>
      <c r="AF3" s="616"/>
      <c r="AG3" s="616"/>
      <c r="AH3" s="616"/>
      <c r="AI3" s="616"/>
      <c r="AJ3" s="616"/>
      <c r="AK3" s="616"/>
      <c r="AL3" s="616"/>
      <c r="AM3" s="616"/>
      <c r="AN3" s="616"/>
    </row>
    <row r="4" spans="1:40" ht="15" customHeight="1">
      <c r="A4" s="616"/>
      <c r="B4" s="616"/>
      <c r="C4" s="616"/>
      <c r="D4" s="618"/>
      <c r="E4" s="616"/>
      <c r="F4" s="618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</row>
    <row r="5" spans="1:40" ht="15" customHeight="1">
      <c r="A5" s="616"/>
      <c r="B5" s="616"/>
      <c r="C5" s="616"/>
      <c r="D5" s="618"/>
      <c r="E5" s="616"/>
      <c r="F5" s="618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  <c r="S5" s="616"/>
      <c r="T5" s="616"/>
      <c r="U5" s="616"/>
      <c r="V5" s="616"/>
      <c r="W5" s="616"/>
      <c r="X5" s="616"/>
      <c r="Y5" s="616"/>
      <c r="Z5" s="616"/>
      <c r="AA5" s="616"/>
      <c r="AB5" s="616"/>
      <c r="AC5" s="616"/>
      <c r="AD5" s="616"/>
      <c r="AE5" s="616"/>
      <c r="AF5" s="616"/>
      <c r="AG5" s="616"/>
      <c r="AH5" s="616"/>
      <c r="AI5" s="616"/>
      <c r="AJ5" s="616"/>
      <c r="AK5" s="616"/>
      <c r="AL5" s="616"/>
      <c r="AM5" s="616"/>
      <c r="AN5" s="616"/>
    </row>
    <row r="6" spans="1:40" ht="15" customHeight="1">
      <c r="A6" s="616"/>
      <c r="B6" s="616"/>
      <c r="C6" s="616"/>
      <c r="D6" s="618"/>
      <c r="E6" s="616"/>
      <c r="F6" s="618"/>
      <c r="G6" s="616"/>
      <c r="H6" s="616"/>
      <c r="I6" s="616"/>
      <c r="J6" s="616"/>
      <c r="K6" s="616"/>
      <c r="L6" s="616"/>
      <c r="M6" s="616"/>
      <c r="N6" s="616"/>
      <c r="O6" s="616"/>
      <c r="P6" s="616"/>
      <c r="Q6" s="616"/>
      <c r="R6" s="616"/>
      <c r="S6" s="616"/>
      <c r="T6" s="616"/>
      <c r="U6" s="616"/>
      <c r="V6" s="616"/>
      <c r="W6" s="616"/>
      <c r="X6" s="616"/>
      <c r="Y6" s="616"/>
      <c r="Z6" s="616"/>
      <c r="AA6" s="616"/>
      <c r="AB6" s="616"/>
      <c r="AC6" s="616"/>
      <c r="AD6" s="616"/>
      <c r="AE6" s="616"/>
      <c r="AF6" s="616"/>
      <c r="AG6" s="616"/>
      <c r="AH6" s="616"/>
      <c r="AI6" s="616"/>
      <c r="AJ6" s="616"/>
      <c r="AK6" s="616"/>
      <c r="AL6" s="616"/>
      <c r="AM6" s="616"/>
      <c r="AN6" s="616"/>
    </row>
    <row r="7" spans="1:40" ht="15" customHeight="1">
      <c r="A7" s="616"/>
      <c r="B7" s="616"/>
      <c r="C7" s="616"/>
      <c r="D7" s="618"/>
      <c r="E7" s="616"/>
      <c r="F7" s="618"/>
      <c r="G7" s="616"/>
      <c r="H7" s="616"/>
      <c r="I7" s="616"/>
      <c r="J7" s="616"/>
      <c r="K7" s="616"/>
      <c r="L7" s="616"/>
      <c r="M7" s="616"/>
      <c r="N7" s="616"/>
      <c r="O7" s="616"/>
      <c r="P7" s="616"/>
      <c r="Q7" s="616"/>
      <c r="R7" s="616"/>
      <c r="S7" s="616"/>
      <c r="T7" s="616"/>
      <c r="U7" s="616"/>
      <c r="V7" s="616"/>
      <c r="W7" s="616"/>
      <c r="X7" s="616"/>
      <c r="Y7" s="616"/>
      <c r="Z7" s="616"/>
      <c r="AA7" s="616"/>
      <c r="AB7" s="616"/>
      <c r="AC7" s="616"/>
      <c r="AD7" s="616"/>
      <c r="AE7" s="616"/>
      <c r="AF7" s="616"/>
      <c r="AG7" s="616"/>
      <c r="AH7" s="616"/>
      <c r="AI7" s="616"/>
      <c r="AJ7" s="616"/>
      <c r="AK7" s="616"/>
      <c r="AL7" s="616"/>
      <c r="AM7" s="616"/>
      <c r="AN7" s="616"/>
    </row>
    <row r="8" spans="1:40" ht="14.85" customHeight="1">
      <c r="A8" s="616"/>
      <c r="B8" s="616"/>
      <c r="C8" s="616"/>
      <c r="D8" s="616"/>
      <c r="E8" s="616"/>
      <c r="F8" s="618"/>
      <c r="G8" s="616"/>
      <c r="H8" s="616"/>
      <c r="I8" s="616"/>
      <c r="J8" s="616"/>
      <c r="K8" s="616"/>
      <c r="L8" s="616"/>
      <c r="M8" s="616"/>
      <c r="N8" s="616"/>
      <c r="O8" s="616"/>
      <c r="P8" s="616"/>
      <c r="Q8" s="616"/>
      <c r="R8" s="616"/>
      <c r="S8" s="616"/>
      <c r="T8" s="616"/>
      <c r="U8" s="616"/>
      <c r="V8" s="616"/>
      <c r="W8" s="616"/>
      <c r="X8" s="616"/>
      <c r="Y8" s="616"/>
      <c r="Z8" s="616"/>
      <c r="AA8" s="616"/>
      <c r="AB8" s="616"/>
      <c r="AC8" s="616"/>
      <c r="AD8" s="616"/>
      <c r="AE8" s="616"/>
      <c r="AF8" s="616"/>
      <c r="AG8" s="616"/>
      <c r="AH8" s="616"/>
      <c r="AI8" s="616"/>
      <c r="AJ8" s="616"/>
      <c r="AK8" s="616"/>
      <c r="AL8" s="616"/>
      <c r="AM8" s="616"/>
      <c r="AN8" s="616"/>
    </row>
    <row r="9" spans="1:40" ht="15" customHeight="1">
      <c r="A9" s="616"/>
      <c r="B9" s="616"/>
      <c r="C9" s="616"/>
      <c r="D9" s="616"/>
      <c r="E9" s="616"/>
      <c r="F9" s="618"/>
      <c r="G9" s="616"/>
      <c r="H9" s="616"/>
      <c r="I9" s="616"/>
      <c r="J9" s="616"/>
      <c r="K9" s="616"/>
      <c r="L9" s="616"/>
      <c r="M9" s="616"/>
      <c r="N9" s="616"/>
      <c r="O9" s="616"/>
      <c r="P9" s="616"/>
      <c r="Q9" s="616"/>
      <c r="R9" s="616"/>
      <c r="S9" s="616"/>
      <c r="T9" s="616"/>
      <c r="U9" s="616"/>
      <c r="V9" s="616"/>
      <c r="W9" s="616"/>
      <c r="X9" s="616"/>
      <c r="Y9" s="616"/>
      <c r="Z9" s="616"/>
      <c r="AA9" s="616"/>
      <c r="AB9" s="616"/>
      <c r="AC9" s="616"/>
      <c r="AD9" s="616"/>
      <c r="AE9" s="616"/>
      <c r="AF9" s="616"/>
      <c r="AG9" s="616"/>
      <c r="AH9" s="616"/>
      <c r="AI9" s="616"/>
      <c r="AJ9" s="616"/>
      <c r="AK9" s="616"/>
      <c r="AL9" s="616"/>
      <c r="AM9" s="616"/>
      <c r="AN9" s="616"/>
    </row>
    <row r="10" spans="1:40" ht="15" customHeight="1">
      <c r="A10" s="616"/>
      <c r="B10" s="616"/>
      <c r="C10" s="616"/>
      <c r="D10" s="616"/>
      <c r="E10" s="616"/>
      <c r="F10" s="618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</row>
    <row r="11" spans="1:40" ht="15" customHeight="1">
      <c r="A11" s="616"/>
      <c r="B11" s="616"/>
      <c r="C11" s="616"/>
      <c r="D11" s="616"/>
      <c r="E11" s="616"/>
      <c r="F11" s="618"/>
      <c r="G11" s="616"/>
      <c r="H11" s="616"/>
      <c r="I11" s="616"/>
      <c r="J11" s="616"/>
      <c r="K11" s="616"/>
      <c r="L11" s="616"/>
      <c r="M11" s="616"/>
      <c r="N11" s="616"/>
      <c r="O11" s="616"/>
      <c r="P11" s="616"/>
      <c r="Q11" s="616"/>
      <c r="R11" s="616"/>
      <c r="S11" s="616"/>
      <c r="T11" s="616"/>
      <c r="U11" s="616"/>
      <c r="V11" s="616"/>
      <c r="W11" s="616"/>
      <c r="X11" s="616"/>
      <c r="Y11" s="616"/>
      <c r="Z11" s="616"/>
      <c r="AA11" s="616"/>
      <c r="AB11" s="616"/>
      <c r="AC11" s="616"/>
      <c r="AD11" s="616"/>
      <c r="AE11" s="616"/>
      <c r="AF11" s="616"/>
      <c r="AG11" s="616"/>
      <c r="AH11" s="616"/>
      <c r="AI11" s="616"/>
      <c r="AJ11" s="616"/>
      <c r="AK11" s="616"/>
      <c r="AL11" s="616"/>
      <c r="AM11" s="616"/>
      <c r="AN11" s="616"/>
    </row>
    <row r="12" spans="1:40" ht="15" customHeight="1">
      <c r="A12" s="616"/>
      <c r="B12" s="616"/>
      <c r="C12" s="616"/>
      <c r="D12" s="616"/>
      <c r="E12" s="616"/>
      <c r="F12" s="618"/>
      <c r="G12" s="616"/>
      <c r="H12" s="616"/>
      <c r="I12" s="616"/>
      <c r="J12" s="616"/>
      <c r="K12" s="616"/>
      <c r="L12" s="616"/>
      <c r="M12" s="616"/>
      <c r="N12" s="616"/>
      <c r="O12" s="616"/>
      <c r="P12" s="616"/>
      <c r="Q12" s="616"/>
      <c r="R12" s="616"/>
      <c r="S12" s="616"/>
      <c r="T12" s="616"/>
      <c r="U12" s="616"/>
      <c r="V12" s="616"/>
      <c r="W12" s="616"/>
      <c r="X12" s="616"/>
      <c r="Y12" s="616"/>
      <c r="Z12" s="616"/>
      <c r="AA12" s="616"/>
      <c r="AB12" s="616"/>
      <c r="AC12" s="616"/>
      <c r="AD12" s="616"/>
      <c r="AE12" s="616"/>
      <c r="AF12" s="616"/>
      <c r="AG12" s="616"/>
      <c r="AH12" s="616"/>
      <c r="AI12" s="616"/>
      <c r="AJ12" s="616"/>
      <c r="AK12" s="616"/>
      <c r="AL12" s="616"/>
      <c r="AM12" s="616"/>
      <c r="AN12" s="616"/>
    </row>
    <row r="13" spans="1:40" ht="15" customHeight="1">
      <c r="A13" s="616"/>
      <c r="B13" s="616"/>
      <c r="C13" s="616"/>
      <c r="D13" s="616"/>
      <c r="E13" s="616"/>
      <c r="F13" s="618"/>
      <c r="G13" s="616"/>
      <c r="H13" s="616"/>
      <c r="I13" s="616"/>
      <c r="J13" s="616"/>
      <c r="K13" s="616"/>
      <c r="L13" s="616"/>
      <c r="M13" s="616"/>
      <c r="N13" s="616"/>
      <c r="O13" s="616"/>
      <c r="P13" s="616"/>
      <c r="Q13" s="616"/>
      <c r="R13" s="616"/>
      <c r="S13" s="616"/>
      <c r="T13" s="616"/>
      <c r="U13" s="616"/>
      <c r="V13" s="616"/>
      <c r="W13" s="616"/>
      <c r="X13" s="616"/>
      <c r="Y13" s="616"/>
      <c r="Z13" s="616"/>
      <c r="AA13" s="616"/>
      <c r="AB13" s="616"/>
      <c r="AC13" s="616"/>
      <c r="AD13" s="616"/>
      <c r="AE13" s="616"/>
      <c r="AF13" s="616"/>
      <c r="AG13" s="616"/>
      <c r="AH13" s="616"/>
      <c r="AI13" s="616"/>
      <c r="AJ13" s="616"/>
      <c r="AK13" s="616"/>
      <c r="AL13" s="616"/>
      <c r="AM13" s="616"/>
      <c r="AN13" s="616"/>
    </row>
    <row r="14" spans="1:40" ht="15" customHeight="1">
      <c r="A14" s="616"/>
      <c r="B14" s="616"/>
      <c r="C14" s="616"/>
      <c r="D14" s="616"/>
      <c r="E14" s="616"/>
      <c r="F14" s="618"/>
      <c r="G14" s="616"/>
      <c r="H14" s="616"/>
      <c r="I14" s="616"/>
      <c r="J14" s="616"/>
      <c r="K14" s="616"/>
      <c r="L14" s="616"/>
      <c r="M14" s="616"/>
      <c r="N14" s="616"/>
      <c r="O14" s="616"/>
      <c r="P14" s="616"/>
      <c r="Q14" s="616"/>
      <c r="R14" s="616"/>
      <c r="S14" s="616"/>
      <c r="T14" s="616"/>
      <c r="U14" s="616"/>
      <c r="V14" s="616"/>
      <c r="W14" s="616"/>
      <c r="X14" s="616"/>
      <c r="Y14" s="616"/>
      <c r="Z14" s="616"/>
      <c r="AA14" s="616"/>
      <c r="AB14" s="616"/>
      <c r="AC14" s="616"/>
      <c r="AD14" s="616"/>
      <c r="AE14" s="616"/>
      <c r="AF14" s="616"/>
      <c r="AG14" s="616"/>
      <c r="AH14" s="616"/>
      <c r="AI14" s="616"/>
      <c r="AJ14" s="616"/>
      <c r="AK14" s="616"/>
      <c r="AL14" s="616"/>
      <c r="AM14" s="616"/>
      <c r="AN14" s="616"/>
    </row>
    <row r="15" spans="1:40" ht="15" customHeight="1">
      <c r="A15" s="616"/>
      <c r="B15" s="616"/>
      <c r="C15" s="616"/>
      <c r="D15" s="616"/>
      <c r="E15" s="616"/>
      <c r="F15" s="618"/>
      <c r="G15" s="616"/>
      <c r="H15" s="616"/>
      <c r="I15" s="616"/>
      <c r="J15" s="616"/>
      <c r="K15" s="616"/>
      <c r="L15" s="616"/>
      <c r="M15" s="616"/>
      <c r="N15" s="616"/>
      <c r="O15" s="616"/>
      <c r="P15" s="616"/>
      <c r="Q15" s="616"/>
      <c r="R15" s="616"/>
      <c r="S15" s="616"/>
      <c r="T15" s="616"/>
      <c r="U15" s="616"/>
      <c r="V15" s="616"/>
      <c r="W15" s="616"/>
      <c r="X15" s="616"/>
      <c r="Y15" s="616"/>
      <c r="Z15" s="616"/>
      <c r="AA15" s="616"/>
      <c r="AB15" s="616"/>
      <c r="AC15" s="616"/>
      <c r="AD15" s="616"/>
      <c r="AE15" s="616"/>
      <c r="AF15" s="616"/>
      <c r="AG15" s="616"/>
      <c r="AH15" s="616"/>
      <c r="AI15" s="616"/>
      <c r="AJ15" s="616"/>
      <c r="AK15" s="616"/>
      <c r="AL15" s="616"/>
      <c r="AM15" s="616"/>
      <c r="AN15" s="616"/>
    </row>
    <row r="16" spans="1:40" ht="15" customHeight="1">
      <c r="A16" s="616"/>
      <c r="B16" s="616"/>
      <c r="C16" s="616"/>
      <c r="D16" s="616"/>
      <c r="E16" s="616"/>
      <c r="F16" s="618"/>
      <c r="G16" s="616"/>
      <c r="H16" s="616"/>
      <c r="I16" s="616"/>
      <c r="J16" s="616"/>
      <c r="K16" s="616"/>
      <c r="L16" s="616"/>
      <c r="M16" s="616"/>
      <c r="N16" s="616"/>
      <c r="O16" s="616"/>
      <c r="P16" s="616"/>
      <c r="Q16" s="616"/>
      <c r="R16" s="616"/>
      <c r="S16" s="616"/>
      <c r="T16" s="616"/>
      <c r="U16" s="616"/>
      <c r="V16" s="616"/>
      <c r="W16" s="616"/>
      <c r="X16" s="616"/>
      <c r="Y16" s="616"/>
      <c r="Z16" s="616"/>
      <c r="AA16" s="616"/>
      <c r="AB16" s="616"/>
      <c r="AC16" s="616"/>
      <c r="AD16" s="616"/>
      <c r="AE16" s="616"/>
      <c r="AF16" s="616"/>
      <c r="AG16" s="616"/>
      <c r="AH16" s="616"/>
      <c r="AI16" s="616"/>
      <c r="AJ16" s="616"/>
      <c r="AK16" s="616"/>
      <c r="AL16" s="616"/>
      <c r="AM16" s="616"/>
      <c r="AN16" s="616"/>
    </row>
    <row r="17" spans="1:40" ht="15" customHeight="1">
      <c r="A17" s="616"/>
      <c r="B17" s="616"/>
      <c r="C17" s="616"/>
      <c r="D17" s="616"/>
      <c r="E17" s="616"/>
      <c r="F17" s="618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6"/>
      <c r="AJ17" s="616"/>
      <c r="AK17" s="616"/>
      <c r="AL17" s="616"/>
      <c r="AM17" s="616"/>
      <c r="AN17" s="616"/>
    </row>
    <row r="18" spans="1:40" ht="15" customHeight="1">
      <c r="A18" s="616"/>
      <c r="B18" s="616"/>
      <c r="C18" s="616"/>
      <c r="D18" s="616"/>
      <c r="E18" s="616"/>
      <c r="F18" s="616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6"/>
      <c r="AJ18" s="616"/>
      <c r="AK18" s="616"/>
      <c r="AL18" s="616"/>
      <c r="AM18" s="616"/>
      <c r="AN18" s="616"/>
    </row>
    <row r="19" spans="1:40" ht="15" customHeight="1">
      <c r="A19" s="616"/>
      <c r="B19" s="616"/>
      <c r="C19" s="616"/>
      <c r="D19" s="616"/>
      <c r="E19" s="616"/>
      <c r="F19" s="616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6"/>
      <c r="AJ19" s="616"/>
      <c r="AK19" s="616"/>
      <c r="AL19" s="616"/>
      <c r="AM19" s="616"/>
      <c r="AN19" s="616"/>
    </row>
    <row r="20" spans="1:40" ht="15" customHeight="1">
      <c r="A20" s="616"/>
      <c r="B20" s="616"/>
      <c r="C20" s="616"/>
      <c r="D20" s="616"/>
      <c r="E20" s="616"/>
      <c r="F20" s="616"/>
      <c r="G20" s="616"/>
      <c r="H20" s="616"/>
      <c r="I20" s="616"/>
      <c r="J20" s="616"/>
      <c r="K20" s="616"/>
      <c r="L20" s="616"/>
      <c r="M20" s="616"/>
      <c r="N20" s="616"/>
      <c r="O20" s="616"/>
      <c r="P20" s="616"/>
      <c r="Q20" s="616"/>
      <c r="R20" s="616"/>
      <c r="S20" s="616"/>
      <c r="T20" s="616"/>
      <c r="U20" s="616"/>
      <c r="V20" s="616"/>
      <c r="W20" s="616"/>
      <c r="X20" s="616"/>
      <c r="Y20" s="616"/>
      <c r="Z20" s="616"/>
      <c r="AA20" s="616"/>
      <c r="AB20" s="616"/>
      <c r="AC20" s="616"/>
      <c r="AD20" s="616"/>
      <c r="AE20" s="616"/>
      <c r="AF20" s="616"/>
      <c r="AG20" s="616"/>
      <c r="AH20" s="616"/>
      <c r="AI20" s="616"/>
      <c r="AJ20" s="616"/>
      <c r="AK20" s="616"/>
      <c r="AL20" s="616"/>
      <c r="AM20" s="616"/>
      <c r="AN20" s="616"/>
    </row>
    <row r="21" spans="1:40" ht="15" customHeight="1">
      <c r="A21" s="616"/>
      <c r="B21" s="616"/>
      <c r="C21" s="616"/>
      <c r="D21" s="618"/>
      <c r="E21" s="616"/>
      <c r="F21" s="616"/>
      <c r="G21" s="616"/>
      <c r="H21" s="616"/>
      <c r="I21" s="616"/>
      <c r="J21" s="616"/>
      <c r="K21" s="616"/>
      <c r="L21" s="616"/>
      <c r="M21" s="616"/>
      <c r="N21" s="616"/>
      <c r="O21" s="616"/>
      <c r="P21" s="616"/>
      <c r="Q21" s="616"/>
      <c r="R21" s="616"/>
      <c r="S21" s="616"/>
      <c r="T21" s="616"/>
      <c r="U21" s="616"/>
      <c r="V21" s="616"/>
      <c r="W21" s="616"/>
      <c r="X21" s="616"/>
      <c r="Y21" s="616"/>
      <c r="Z21" s="616"/>
      <c r="AA21" s="616"/>
      <c r="AB21" s="616"/>
      <c r="AC21" s="616"/>
      <c r="AD21" s="616"/>
      <c r="AE21" s="616"/>
      <c r="AF21" s="616"/>
      <c r="AG21" s="616"/>
      <c r="AH21" s="616"/>
      <c r="AI21" s="616"/>
      <c r="AJ21" s="616"/>
      <c r="AK21" s="616"/>
      <c r="AL21" s="616"/>
      <c r="AM21" s="616"/>
      <c r="AN21" s="616"/>
    </row>
    <row r="22" spans="1:40" ht="15" customHeight="1" thickBot="1">
      <c r="A22" s="616"/>
      <c r="B22" s="616"/>
      <c r="C22" s="616"/>
      <c r="D22" s="618"/>
      <c r="E22" s="616"/>
      <c r="F22" s="616"/>
      <c r="G22" s="616"/>
      <c r="H22" s="616"/>
      <c r="I22" s="616"/>
      <c r="J22" s="616"/>
      <c r="K22" s="616"/>
      <c r="L22" s="616"/>
      <c r="M22" s="616"/>
      <c r="N22" s="616"/>
      <c r="O22" s="616"/>
      <c r="P22" s="616"/>
      <c r="Q22" s="616"/>
      <c r="R22" s="616"/>
      <c r="S22" s="616"/>
      <c r="T22" s="616"/>
      <c r="U22" s="616"/>
      <c r="V22" s="616"/>
      <c r="W22" s="616"/>
      <c r="X22" s="616"/>
      <c r="Y22" s="616"/>
      <c r="Z22" s="616"/>
      <c r="AA22" s="616"/>
      <c r="AB22" s="616"/>
      <c r="AC22" s="616"/>
      <c r="AD22" s="616"/>
      <c r="AE22" s="616"/>
      <c r="AF22" s="616"/>
      <c r="AG22" s="616"/>
      <c r="AH22" s="616"/>
      <c r="AI22" s="616"/>
      <c r="AJ22" s="616"/>
      <c r="AK22" s="616"/>
      <c r="AL22" s="616"/>
      <c r="AM22" s="616"/>
      <c r="AN22" s="616"/>
    </row>
    <row r="23" spans="1:40" ht="15" customHeight="1">
      <c r="A23" s="616"/>
      <c r="B23" s="616"/>
      <c r="C23" s="616"/>
      <c r="D23" s="618"/>
      <c r="E23" s="616"/>
      <c r="F23" s="616"/>
      <c r="G23" s="616"/>
      <c r="H23" s="616"/>
      <c r="I23" s="616"/>
      <c r="J23" s="616"/>
      <c r="K23" s="616"/>
      <c r="L23" s="616"/>
      <c r="M23" s="616"/>
      <c r="N23" s="616"/>
      <c r="O23" s="616"/>
      <c r="P23" s="616"/>
      <c r="Q23" s="616"/>
      <c r="R23" s="616"/>
      <c r="S23" s="616"/>
      <c r="T23" s="1" t="s">
        <v>59</v>
      </c>
      <c r="U23" s="6"/>
      <c r="V23" s="6"/>
      <c r="W23" s="620"/>
      <c r="X23" s="620"/>
      <c r="Y23" s="620"/>
      <c r="Z23" s="620"/>
      <c r="AA23" s="621"/>
      <c r="AB23" s="616"/>
      <c r="AC23" s="616"/>
      <c r="AD23" s="616"/>
      <c r="AE23" s="616"/>
      <c r="AF23" s="616"/>
      <c r="AG23" s="616"/>
      <c r="AH23" s="616"/>
      <c r="AI23" s="616"/>
      <c r="AJ23" s="616"/>
      <c r="AK23" s="616"/>
      <c r="AL23" s="616"/>
      <c r="AM23" s="616"/>
      <c r="AN23" s="616"/>
    </row>
    <row r="24" spans="1:40" ht="15" customHeight="1">
      <c r="A24" s="616"/>
      <c r="B24" s="616"/>
      <c r="C24" s="616"/>
      <c r="D24" s="618"/>
      <c r="E24" s="616"/>
      <c r="F24" s="616"/>
      <c r="G24" s="616"/>
      <c r="H24" s="616"/>
      <c r="I24" s="616"/>
      <c r="J24" s="616"/>
      <c r="K24" s="616"/>
      <c r="L24" s="616"/>
      <c r="M24" s="616"/>
      <c r="N24" s="616"/>
      <c r="O24" s="616"/>
      <c r="P24" s="616"/>
      <c r="Q24" s="616"/>
      <c r="R24" s="616"/>
      <c r="S24" s="616"/>
      <c r="T24" s="622" t="s">
        <v>60</v>
      </c>
      <c r="U24" s="623"/>
      <c r="V24" s="623"/>
      <c r="W24" s="624"/>
      <c r="X24" s="624"/>
      <c r="Y24" s="624"/>
      <c r="Z24" s="624"/>
      <c r="AA24" s="625"/>
      <c r="AB24" s="616"/>
      <c r="AC24" s="616"/>
      <c r="AD24" s="616"/>
      <c r="AE24" s="616"/>
      <c r="AF24" s="616"/>
      <c r="AG24" s="616"/>
      <c r="AH24" s="616"/>
      <c r="AI24" s="616"/>
      <c r="AJ24" s="616"/>
      <c r="AK24" s="616"/>
      <c r="AL24" s="616"/>
      <c r="AM24" s="616"/>
      <c r="AN24" s="616"/>
    </row>
    <row r="25" spans="1:40" ht="15" customHeight="1">
      <c r="A25" s="616"/>
      <c r="B25" s="616"/>
      <c r="C25" s="616"/>
      <c r="D25" s="618"/>
      <c r="E25" s="616"/>
      <c r="F25" s="616"/>
      <c r="G25" s="616"/>
      <c r="H25" s="616"/>
      <c r="I25" s="616"/>
      <c r="J25" s="616"/>
      <c r="K25" s="616"/>
      <c r="L25" s="616"/>
      <c r="M25" s="616"/>
      <c r="N25" s="616"/>
      <c r="O25" s="616"/>
      <c r="P25" s="616"/>
      <c r="Q25" s="616"/>
      <c r="R25" s="616"/>
      <c r="S25" s="616"/>
      <c r="T25" s="622" t="s">
        <v>61</v>
      </c>
      <c r="U25" s="623"/>
      <c r="V25" s="623"/>
      <c r="W25" s="624"/>
      <c r="X25" s="624"/>
      <c r="Y25" s="624"/>
      <c r="Z25" s="624"/>
      <c r="AA25" s="625"/>
      <c r="AB25" s="616"/>
      <c r="AC25" s="616"/>
      <c r="AD25" s="616"/>
      <c r="AE25" s="616"/>
      <c r="AF25" s="616"/>
      <c r="AG25" s="616"/>
      <c r="AH25" s="616"/>
      <c r="AI25" s="616"/>
      <c r="AJ25" s="616"/>
      <c r="AK25" s="616"/>
      <c r="AL25" s="616"/>
      <c r="AM25" s="616"/>
      <c r="AN25" s="616"/>
    </row>
    <row r="26" spans="1:40" ht="15" customHeight="1">
      <c r="A26" s="616"/>
      <c r="B26" s="616"/>
      <c r="C26" s="616"/>
      <c r="D26" s="618"/>
      <c r="E26" s="616"/>
      <c r="F26" s="616"/>
      <c r="G26" s="616"/>
      <c r="H26" s="616"/>
      <c r="I26" s="616"/>
      <c r="J26" s="616"/>
      <c r="K26" s="616"/>
      <c r="L26" s="616"/>
      <c r="M26" s="616"/>
      <c r="N26" s="616"/>
      <c r="O26" s="616"/>
      <c r="P26" s="616"/>
      <c r="Q26" s="616"/>
      <c r="R26" s="616"/>
      <c r="S26" s="616"/>
      <c r="T26" s="622" t="s">
        <v>62</v>
      </c>
      <c r="U26" s="623"/>
      <c r="V26" s="623"/>
      <c r="W26" s="624"/>
      <c r="X26" s="624"/>
      <c r="Y26" s="624"/>
      <c r="Z26" s="624"/>
      <c r="AA26" s="625"/>
      <c r="AB26" s="616"/>
      <c r="AC26" s="616"/>
      <c r="AD26" s="616"/>
      <c r="AE26" s="616"/>
      <c r="AF26" s="616"/>
      <c r="AG26" s="616"/>
      <c r="AH26" s="616"/>
      <c r="AI26" s="616"/>
      <c r="AJ26" s="616"/>
      <c r="AK26" s="616"/>
      <c r="AL26" s="616"/>
      <c r="AM26" s="616"/>
      <c r="AN26" s="616"/>
    </row>
    <row r="27" spans="1:40" ht="15" customHeight="1">
      <c r="A27" s="616"/>
      <c r="B27" s="616"/>
      <c r="C27" s="616"/>
      <c r="D27" s="618"/>
      <c r="E27" s="616"/>
      <c r="F27" s="616"/>
      <c r="G27" s="616"/>
      <c r="H27" s="616"/>
      <c r="I27" s="616"/>
      <c r="J27" s="616"/>
      <c r="K27" s="616"/>
      <c r="L27" s="616"/>
      <c r="M27" s="616"/>
      <c r="N27" s="616"/>
      <c r="O27" s="616"/>
      <c r="P27" s="616"/>
      <c r="Q27" s="616"/>
      <c r="R27" s="616"/>
      <c r="S27" s="616"/>
      <c r="T27" s="626"/>
      <c r="U27" s="624"/>
      <c r="V27" s="624"/>
      <c r="W27" s="624"/>
      <c r="X27" s="624"/>
      <c r="Y27" s="624"/>
      <c r="Z27" s="624"/>
      <c r="AA27" s="625"/>
      <c r="AB27" s="616"/>
      <c r="AC27" s="616"/>
      <c r="AD27" s="616"/>
      <c r="AE27" s="616"/>
      <c r="AF27" s="616"/>
      <c r="AG27" s="616"/>
      <c r="AH27" s="616"/>
      <c r="AI27" s="616"/>
      <c r="AJ27" s="616"/>
      <c r="AK27" s="616"/>
      <c r="AL27" s="616"/>
      <c r="AM27" s="616"/>
      <c r="AN27" s="616"/>
    </row>
    <row r="28" spans="1:40" ht="15.6" thickBot="1">
      <c r="A28" s="616"/>
      <c r="B28" s="616"/>
      <c r="C28" s="616"/>
      <c r="D28" s="618"/>
      <c r="E28" s="616"/>
      <c r="F28" s="616"/>
      <c r="G28" s="616"/>
      <c r="H28" s="616"/>
      <c r="I28" s="616"/>
      <c r="J28" s="616"/>
      <c r="K28" s="616"/>
      <c r="L28" s="616"/>
      <c r="M28" s="616"/>
      <c r="N28" s="616"/>
      <c r="O28" s="616"/>
      <c r="P28" s="616"/>
      <c r="Q28" s="616"/>
      <c r="R28" s="616"/>
      <c r="S28" s="616"/>
      <c r="T28" s="627"/>
      <c r="U28" s="628"/>
      <c r="V28" s="628"/>
      <c r="W28" s="628"/>
      <c r="X28" s="628"/>
      <c r="Y28" s="628"/>
      <c r="Z28" s="628"/>
      <c r="AA28" s="629"/>
      <c r="AB28" s="616"/>
      <c r="AC28" s="616"/>
      <c r="AD28" s="616"/>
      <c r="AE28" s="616"/>
      <c r="AF28" s="616"/>
      <c r="AG28" s="616"/>
      <c r="AH28" s="616"/>
      <c r="AI28" s="616"/>
      <c r="AJ28" s="616"/>
      <c r="AK28" s="616"/>
      <c r="AL28" s="616"/>
      <c r="AM28" s="616"/>
      <c r="AN28" s="616"/>
    </row>
    <row r="29" spans="1:40" ht="15">
      <c r="A29" s="616"/>
      <c r="B29" s="616"/>
      <c r="C29" s="616"/>
      <c r="D29" s="618"/>
      <c r="E29" s="616"/>
      <c r="F29" s="616"/>
      <c r="G29" s="616"/>
      <c r="H29" s="616"/>
      <c r="I29" s="616"/>
      <c r="J29" s="616"/>
      <c r="K29" s="616"/>
      <c r="L29" s="616"/>
      <c r="M29" s="616"/>
      <c r="N29" s="616"/>
      <c r="O29" s="616"/>
      <c r="P29" s="616"/>
      <c r="Q29" s="616"/>
      <c r="R29" s="616"/>
      <c r="S29" s="616"/>
      <c r="T29" s="616"/>
      <c r="U29" s="616"/>
      <c r="V29" s="616"/>
      <c r="W29" s="616"/>
      <c r="X29" s="616"/>
      <c r="Y29" s="616"/>
      <c r="Z29" s="616"/>
      <c r="AA29" s="616"/>
      <c r="AB29" s="616"/>
      <c r="AC29" s="616"/>
      <c r="AD29" s="616"/>
      <c r="AE29" s="616"/>
      <c r="AF29" s="616"/>
      <c r="AG29" s="616"/>
      <c r="AH29" s="616"/>
      <c r="AI29" s="616"/>
      <c r="AJ29" s="616"/>
      <c r="AK29" s="616"/>
      <c r="AL29" s="616"/>
      <c r="AM29" s="616"/>
      <c r="AN29" s="616"/>
    </row>
    <row r="30" spans="1:40" ht="15">
      <c r="A30" s="616"/>
      <c r="B30" s="616"/>
      <c r="C30" s="616"/>
      <c r="D30" s="618"/>
      <c r="E30" s="616"/>
      <c r="F30" s="616"/>
      <c r="G30" s="616"/>
      <c r="H30" s="616"/>
      <c r="I30" s="616"/>
      <c r="J30" s="616"/>
      <c r="K30" s="616"/>
      <c r="L30" s="616"/>
      <c r="M30" s="616"/>
      <c r="N30" s="616"/>
      <c r="O30" s="616"/>
      <c r="P30" s="616"/>
      <c r="Q30" s="616"/>
      <c r="R30" s="616"/>
      <c r="S30" s="616"/>
      <c r="T30" s="616"/>
      <c r="U30" s="616"/>
      <c r="V30" s="616"/>
      <c r="W30" s="616"/>
      <c r="X30" s="616"/>
      <c r="Y30" s="616"/>
      <c r="Z30" s="616"/>
      <c r="AA30" s="616"/>
      <c r="AB30" s="616"/>
      <c r="AC30" s="616"/>
      <c r="AD30" s="616"/>
      <c r="AE30" s="616"/>
      <c r="AF30" s="616"/>
      <c r="AG30" s="616"/>
      <c r="AH30" s="616"/>
      <c r="AI30" s="616"/>
      <c r="AJ30" s="616"/>
      <c r="AK30" s="616"/>
      <c r="AL30" s="616"/>
      <c r="AM30" s="616"/>
      <c r="AN30" s="616"/>
    </row>
    <row r="31" spans="1:40" ht="15">
      <c r="A31" s="616"/>
      <c r="B31" s="616"/>
      <c r="C31" s="616"/>
      <c r="D31" s="618"/>
      <c r="E31" s="616"/>
      <c r="F31" s="616"/>
      <c r="G31" s="616"/>
      <c r="H31" s="616"/>
      <c r="I31" s="616"/>
      <c r="J31" s="616"/>
      <c r="K31" s="616"/>
      <c r="L31" s="616"/>
      <c r="M31" s="616"/>
      <c r="N31" s="616"/>
      <c r="O31" s="616"/>
      <c r="P31" s="616"/>
      <c r="Q31" s="616"/>
      <c r="R31" s="616"/>
      <c r="S31" s="616"/>
      <c r="T31" s="616"/>
      <c r="U31" s="616"/>
      <c r="V31" s="616"/>
      <c r="W31" s="616"/>
      <c r="X31" s="616"/>
      <c r="Y31" s="616"/>
      <c r="Z31" s="616"/>
      <c r="AA31" s="616"/>
      <c r="AB31" s="616"/>
      <c r="AC31" s="616"/>
      <c r="AD31" s="616"/>
      <c r="AE31" s="616"/>
      <c r="AF31" s="616"/>
      <c r="AG31" s="616"/>
      <c r="AH31" s="616"/>
      <c r="AI31" s="616"/>
      <c r="AJ31" s="616"/>
      <c r="AK31" s="616"/>
      <c r="AL31" s="616"/>
      <c r="AM31" s="616"/>
      <c r="AN31" s="616"/>
    </row>
    <row r="32" spans="1:40" ht="15">
      <c r="A32" s="616"/>
      <c r="B32" s="616"/>
      <c r="C32" s="616"/>
      <c r="D32" s="618"/>
      <c r="E32" s="616"/>
      <c r="F32" s="616"/>
      <c r="G32" s="616"/>
      <c r="H32" s="616"/>
      <c r="I32" s="616"/>
      <c r="J32" s="616"/>
      <c r="K32" s="616"/>
      <c r="L32" s="616"/>
      <c r="M32" s="616"/>
      <c r="N32" s="616"/>
      <c r="O32" s="616"/>
      <c r="P32" s="616"/>
      <c r="Q32" s="616"/>
      <c r="R32" s="616"/>
      <c r="S32" s="616"/>
      <c r="T32" s="616"/>
      <c r="U32" s="616"/>
      <c r="V32" s="616"/>
      <c r="W32" s="616"/>
      <c r="X32" s="616"/>
      <c r="Y32" s="616"/>
      <c r="Z32" s="616"/>
      <c r="AA32" s="616"/>
      <c r="AB32" s="616"/>
      <c r="AC32" s="616"/>
      <c r="AD32" s="616"/>
      <c r="AE32" s="616"/>
      <c r="AF32" s="616"/>
      <c r="AG32" s="616"/>
      <c r="AH32" s="616"/>
      <c r="AI32" s="616"/>
      <c r="AJ32" s="616"/>
      <c r="AK32" s="616"/>
      <c r="AL32" s="616"/>
      <c r="AM32" s="616"/>
      <c r="AN32" s="616"/>
    </row>
    <row r="33" spans="1:40" ht="15">
      <c r="A33" s="616"/>
      <c r="B33" s="616"/>
      <c r="C33" s="616"/>
      <c r="D33" s="618"/>
      <c r="E33" s="616"/>
      <c r="F33" s="616"/>
      <c r="G33" s="616"/>
      <c r="H33" s="616"/>
      <c r="I33" s="616"/>
      <c r="J33" s="616"/>
      <c r="K33" s="616"/>
      <c r="L33" s="616"/>
      <c r="M33" s="616"/>
      <c r="N33" s="616"/>
      <c r="O33" s="616"/>
      <c r="P33" s="616"/>
      <c r="Q33" s="616"/>
      <c r="R33" s="616"/>
      <c r="S33" s="616"/>
      <c r="T33" s="616"/>
      <c r="U33" s="616"/>
      <c r="V33" s="616"/>
      <c r="W33" s="616"/>
      <c r="X33" s="616"/>
      <c r="Y33" s="616"/>
      <c r="Z33" s="616"/>
      <c r="AA33" s="616"/>
      <c r="AB33" s="616"/>
      <c r="AC33" s="616"/>
      <c r="AD33" s="616"/>
      <c r="AE33" s="616"/>
      <c r="AF33" s="616"/>
      <c r="AG33" s="616"/>
      <c r="AH33" s="616"/>
      <c r="AI33" s="616"/>
      <c r="AJ33" s="616"/>
      <c r="AK33" s="616"/>
      <c r="AL33" s="616"/>
      <c r="AM33" s="616"/>
      <c r="AN33" s="616"/>
    </row>
    <row r="34" spans="1:40" ht="15">
      <c r="A34" s="616"/>
      <c r="B34" s="616"/>
      <c r="C34" s="616"/>
      <c r="D34" s="618"/>
      <c r="E34" s="616"/>
      <c r="F34" s="616"/>
      <c r="G34" s="616"/>
      <c r="H34" s="616"/>
      <c r="I34" s="616"/>
      <c r="J34" s="616"/>
      <c r="K34" s="616"/>
      <c r="L34" s="616"/>
      <c r="M34" s="616"/>
      <c r="N34" s="616"/>
      <c r="O34" s="616"/>
      <c r="P34" s="616"/>
      <c r="Q34" s="616"/>
      <c r="R34" s="616"/>
      <c r="S34" s="616"/>
      <c r="T34" s="616"/>
      <c r="U34" s="616"/>
      <c r="V34" s="616"/>
      <c r="W34" s="616"/>
      <c r="X34" s="616"/>
      <c r="Y34" s="616"/>
      <c r="Z34" s="616"/>
      <c r="AA34" s="616"/>
      <c r="AB34" s="616"/>
      <c r="AC34" s="616"/>
      <c r="AD34" s="616"/>
      <c r="AE34" s="616"/>
      <c r="AF34" s="616"/>
      <c r="AG34" s="616"/>
      <c r="AH34" s="616"/>
      <c r="AI34" s="616"/>
      <c r="AJ34" s="616"/>
      <c r="AK34" s="616"/>
      <c r="AL34" s="616"/>
      <c r="AM34" s="616"/>
      <c r="AN34" s="616"/>
    </row>
    <row r="35" spans="1:40" ht="15">
      <c r="A35" s="616"/>
      <c r="B35" s="616"/>
      <c r="C35" s="616"/>
      <c r="D35" s="618"/>
      <c r="E35" s="616"/>
      <c r="F35" s="616"/>
      <c r="G35" s="616"/>
      <c r="H35" s="616"/>
      <c r="I35" s="616"/>
      <c r="J35" s="616"/>
      <c r="K35" s="616"/>
      <c r="L35" s="616"/>
      <c r="M35" s="616"/>
      <c r="N35" s="616"/>
      <c r="O35" s="616"/>
      <c r="P35" s="616"/>
      <c r="Q35" s="616"/>
      <c r="R35" s="616"/>
      <c r="S35" s="616"/>
      <c r="T35" s="616"/>
      <c r="U35" s="616"/>
      <c r="V35" s="616"/>
      <c r="W35" s="616"/>
      <c r="X35" s="616"/>
      <c r="Y35" s="616"/>
      <c r="Z35" s="616"/>
      <c r="AA35" s="616"/>
      <c r="AB35" s="616"/>
      <c r="AC35" s="616"/>
      <c r="AD35" s="616"/>
      <c r="AE35" s="616"/>
      <c r="AF35" s="616"/>
      <c r="AG35" s="616"/>
      <c r="AH35" s="616"/>
      <c r="AI35" s="616"/>
      <c r="AJ35" s="616"/>
      <c r="AK35" s="616"/>
      <c r="AL35" s="616"/>
      <c r="AM35" s="616"/>
      <c r="AN35" s="616"/>
    </row>
    <row r="36" spans="1:40" ht="15">
      <c r="A36" s="616"/>
      <c r="B36" s="616"/>
      <c r="C36" s="616"/>
      <c r="D36" s="618"/>
      <c r="E36" s="616"/>
      <c r="F36" s="616"/>
      <c r="G36" s="616"/>
      <c r="H36" s="616"/>
      <c r="I36" s="616"/>
      <c r="J36" s="616"/>
      <c r="K36" s="616"/>
      <c r="L36" s="616"/>
      <c r="M36" s="616"/>
      <c r="N36" s="616"/>
      <c r="O36" s="616"/>
      <c r="P36" s="616"/>
      <c r="Q36" s="616"/>
      <c r="R36" s="616"/>
      <c r="S36" s="616"/>
      <c r="T36" s="616"/>
      <c r="U36" s="616"/>
      <c r="V36" s="616"/>
      <c r="W36" s="616"/>
      <c r="X36" s="616"/>
      <c r="Y36" s="616"/>
      <c r="Z36" s="616"/>
      <c r="AA36" s="616"/>
      <c r="AB36" s="616"/>
      <c r="AC36" s="616"/>
      <c r="AD36" s="616"/>
      <c r="AE36" s="616"/>
      <c r="AF36" s="616"/>
      <c r="AG36" s="616"/>
      <c r="AH36" s="616"/>
      <c r="AI36" s="616"/>
      <c r="AJ36" s="616"/>
      <c r="AK36" s="616"/>
      <c r="AL36" s="616"/>
      <c r="AM36" s="616"/>
      <c r="AN36" s="616"/>
    </row>
    <row r="37" spans="1:40" ht="15">
      <c r="A37" s="616"/>
      <c r="B37" s="616"/>
      <c r="C37" s="616"/>
      <c r="D37" s="618"/>
      <c r="E37" s="616"/>
      <c r="F37" s="616"/>
      <c r="G37" s="616"/>
      <c r="H37" s="616"/>
      <c r="I37" s="616"/>
      <c r="J37" s="616"/>
      <c r="K37" s="616"/>
      <c r="L37" s="616"/>
      <c r="M37" s="616"/>
      <c r="N37" s="616"/>
      <c r="O37" s="616"/>
      <c r="P37" s="616"/>
      <c r="Q37" s="616"/>
      <c r="R37" s="616"/>
      <c r="S37" s="616"/>
      <c r="T37" s="616"/>
      <c r="U37" s="616"/>
      <c r="V37" s="616"/>
      <c r="W37" s="616"/>
      <c r="X37" s="616"/>
      <c r="Y37" s="616"/>
      <c r="Z37" s="616"/>
      <c r="AA37" s="616"/>
      <c r="AB37" s="616"/>
      <c r="AC37" s="616"/>
      <c r="AD37" s="616"/>
      <c r="AE37" s="616"/>
      <c r="AF37" s="616"/>
      <c r="AG37" s="616"/>
      <c r="AH37" s="616"/>
      <c r="AI37" s="616"/>
      <c r="AJ37" s="616"/>
      <c r="AK37" s="616"/>
      <c r="AL37" s="616"/>
      <c r="AM37" s="616"/>
      <c r="AN37" s="616"/>
    </row>
    <row r="38" spans="1:40" ht="15">
      <c r="A38" s="616"/>
      <c r="B38" s="616"/>
      <c r="C38" s="616"/>
      <c r="D38" s="618"/>
      <c r="E38" s="616"/>
      <c r="F38" s="616"/>
      <c r="G38" s="616"/>
      <c r="H38" s="616"/>
      <c r="I38" s="616"/>
      <c r="J38" s="616"/>
      <c r="K38" s="616"/>
      <c r="L38" s="616"/>
      <c r="M38" s="616"/>
      <c r="N38" s="616"/>
      <c r="O38" s="616"/>
      <c r="P38" s="616"/>
      <c r="Q38" s="616"/>
      <c r="R38" s="616"/>
      <c r="S38" s="616"/>
      <c r="T38" s="616"/>
      <c r="U38" s="616"/>
      <c r="V38" s="616"/>
      <c r="W38" s="616"/>
      <c r="X38" s="616"/>
      <c r="Y38" s="616"/>
      <c r="Z38" s="616"/>
      <c r="AA38" s="616"/>
      <c r="AB38" s="616"/>
      <c r="AC38" s="616"/>
      <c r="AD38" s="616"/>
      <c r="AE38" s="616"/>
      <c r="AF38" s="616"/>
      <c r="AG38" s="616"/>
      <c r="AH38" s="616"/>
      <c r="AI38" s="616"/>
      <c r="AJ38" s="616"/>
      <c r="AK38" s="616"/>
      <c r="AL38" s="616"/>
      <c r="AM38" s="616"/>
      <c r="AN38" s="616"/>
    </row>
    <row r="39" spans="1:40" ht="15">
      <c r="A39" s="616"/>
      <c r="B39" s="616"/>
      <c r="C39" s="616"/>
      <c r="D39" s="618"/>
      <c r="E39" s="616"/>
      <c r="F39" s="616"/>
      <c r="G39" s="616"/>
      <c r="H39" s="616"/>
      <c r="I39" s="616"/>
      <c r="J39" s="616"/>
      <c r="K39" s="616"/>
      <c r="L39" s="616"/>
      <c r="M39" s="616"/>
      <c r="N39" s="616"/>
      <c r="O39" s="616"/>
      <c r="P39" s="616"/>
      <c r="Q39" s="616"/>
      <c r="R39" s="616"/>
      <c r="S39" s="616"/>
      <c r="T39" s="616"/>
      <c r="U39" s="616"/>
      <c r="V39" s="616"/>
      <c r="W39" s="616"/>
      <c r="X39" s="616"/>
      <c r="Y39" s="616"/>
      <c r="Z39" s="616"/>
      <c r="AA39" s="616"/>
      <c r="AB39" s="616"/>
      <c r="AC39" s="616"/>
      <c r="AD39" s="616"/>
      <c r="AE39" s="616"/>
      <c r="AF39" s="616"/>
      <c r="AG39" s="616"/>
      <c r="AH39" s="616"/>
      <c r="AI39" s="616"/>
      <c r="AJ39" s="616"/>
      <c r="AK39" s="616"/>
      <c r="AL39" s="616"/>
      <c r="AM39" s="616"/>
      <c r="AN39" s="616"/>
    </row>
  </sheetData>
  <phoneticPr fontId="19" type="noConversion"/>
  <pageMargins left="0.75" right="0.75" top="1" bottom="1" header="0.5" footer="0.5"/>
  <pageSetup scale="48" orientation="landscape" blackAndWhite="1" r:id="rId1"/>
  <headerFooter alignWithMargins="0">
    <oddHeader>&amp;A</oddHeader>
    <oddFooter>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Line="0" autoPict="0" macro="[0]!GOTO_SCH_A1">
                <anchor moveWithCells="1" sizeWithCells="1">
                  <from>
                    <xdr:col>1</xdr:col>
                    <xdr:colOff>30480</xdr:colOff>
                    <xdr:row>1</xdr:row>
                    <xdr:rowOff>0</xdr:rowOff>
                  </from>
                  <to>
                    <xdr:col>2</xdr:col>
                    <xdr:colOff>0</xdr:colOff>
                    <xdr:row>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Line="0" autoPict="0" macro="[0]!GOTO_SCH_B1">
                <anchor moveWithCells="1" sizeWithCells="1">
                  <from>
                    <xdr:col>1</xdr:col>
                    <xdr:colOff>30480</xdr:colOff>
                    <xdr:row>3</xdr:row>
                    <xdr:rowOff>144780</xdr:rowOff>
                  </from>
                  <to>
                    <xdr:col>2</xdr:col>
                    <xdr:colOff>0</xdr:colOff>
                    <xdr:row>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utton 3">
              <controlPr defaultSize="0" print="0" autoFill="0" autoLine="0" autoPict="0" macro="[0]!GOTO_SCH_B5">
                <anchor moveWithCells="1" sizeWithCells="1">
                  <from>
                    <xdr:col>3</xdr:col>
                    <xdr:colOff>0</xdr:colOff>
                    <xdr:row>13</xdr:row>
                    <xdr:rowOff>76200</xdr:rowOff>
                  </from>
                  <to>
                    <xdr:col>4</xdr:col>
                    <xdr:colOff>0</xdr:colOff>
                    <xdr:row>15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Button 4">
              <controlPr defaultSize="0" print="0" autoFill="0" autoLine="0" autoPict="0" macro="[0]!GOTO_SCH_B6">
                <anchor moveWithCells="1" sizeWithCells="1">
                  <from>
                    <xdr:col>3</xdr:col>
                    <xdr:colOff>30480</xdr:colOff>
                    <xdr:row>15</xdr:row>
                    <xdr:rowOff>152400</xdr:rowOff>
                  </from>
                  <to>
                    <xdr:col>4</xdr:col>
                    <xdr:colOff>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Button 5">
              <controlPr defaultSize="0" print="0" autoFill="0" autoLine="0" autoPict="0" macro="[0]!GOTO_SCH_B7">
                <anchor moveWithCells="1" sizeWithCells="1">
                  <from>
                    <xdr:col>3</xdr:col>
                    <xdr:colOff>30480</xdr:colOff>
                    <xdr:row>18</xdr:row>
                    <xdr:rowOff>76200</xdr:rowOff>
                  </from>
                  <to>
                    <xdr:col>4</xdr:col>
                    <xdr:colOff>0</xdr:colOff>
                    <xdr:row>20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Button 6">
              <controlPr defaultSize="0" print="0" autoFill="0" autoLine="0" autoPict="0" macro="[0]!GOTO_SCH_B8">
                <anchor moveWithCells="1" sizeWithCells="1">
                  <from>
                    <xdr:col>3</xdr:col>
                    <xdr:colOff>30480</xdr:colOff>
                    <xdr:row>20</xdr:row>
                    <xdr:rowOff>182880</xdr:rowOff>
                  </from>
                  <to>
                    <xdr:col>4</xdr:col>
                    <xdr:colOff>0</xdr:colOff>
                    <xdr:row>22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Button 7">
              <controlPr defaultSize="0" print="0" autoFill="0" autoLine="0" autoPict="0" macro="[0]!GOTO_SCH_C1">
                <anchor moveWithCells="1" sizeWithCells="1">
                  <from>
                    <xdr:col>5</xdr:col>
                    <xdr:colOff>30480</xdr:colOff>
                    <xdr:row>1</xdr:row>
                    <xdr:rowOff>30480</xdr:rowOff>
                  </from>
                  <to>
                    <xdr:col>6</xdr:col>
                    <xdr:colOff>0</xdr:colOff>
                    <xdr:row>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Button 8">
              <controlPr defaultSize="0" print="0" autoFill="0" autoLine="0" autoPict="0" macro="[0]!GOTO_SCH_C2">
                <anchor moveWithCells="1" sizeWithCells="1">
                  <from>
                    <xdr:col>5</xdr:col>
                    <xdr:colOff>30480</xdr:colOff>
                    <xdr:row>3</xdr:row>
                    <xdr:rowOff>114300</xdr:rowOff>
                  </from>
                  <to>
                    <xdr:col>6</xdr:col>
                    <xdr:colOff>0</xdr:colOff>
                    <xdr:row>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Button 9">
              <controlPr defaultSize="0" print="0" autoFill="0" autoLine="0" autoPict="0" macro="[0]!GOTO_SCH_C2_1_Base">
                <anchor moveWithCells="1" sizeWithCells="1">
                  <from>
                    <xdr:col>5</xdr:col>
                    <xdr:colOff>30480</xdr:colOff>
                    <xdr:row>6</xdr:row>
                    <xdr:rowOff>30480</xdr:rowOff>
                  </from>
                  <to>
                    <xdr:col>6</xdr:col>
                    <xdr:colOff>38100</xdr:colOff>
                    <xdr:row>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3" name="Button 21">
              <controlPr defaultSize="0" print="0" autoFill="0" autoLine="0" autoPict="0" macro="[0]!GOTO_SCH_D2_11">
                <anchor moveWithCells="1" sizeWithCells="1">
                  <from>
                    <xdr:col>9</xdr:col>
                    <xdr:colOff>30480</xdr:colOff>
                    <xdr:row>1</xdr:row>
                    <xdr:rowOff>30480</xdr:rowOff>
                  </from>
                  <to>
                    <xdr:col>10</xdr:col>
                    <xdr:colOff>30480</xdr:colOff>
                    <xdr:row>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4" name="Button 22">
              <controlPr defaultSize="0" print="0" autoFill="0" autoLine="0" autoPict="0" macro="[0]!GOTO_SCH_D2_12">
                <anchor moveWithCells="1" sizeWithCells="1">
                  <from>
                    <xdr:col>9</xdr:col>
                    <xdr:colOff>30480</xdr:colOff>
                    <xdr:row>3</xdr:row>
                    <xdr:rowOff>114300</xdr:rowOff>
                  </from>
                  <to>
                    <xdr:col>10</xdr:col>
                    <xdr:colOff>30480</xdr:colOff>
                    <xdr:row>5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5" name="Button 23">
              <controlPr defaultSize="0" print="0" autoFill="0" autoLine="0" autoPict="0" macro="[0]!GOTO_SCH_D2_13">
                <anchor moveWithCells="1" sizeWithCells="1">
                  <from>
                    <xdr:col>9</xdr:col>
                    <xdr:colOff>30480</xdr:colOff>
                    <xdr:row>6</xdr:row>
                    <xdr:rowOff>30480</xdr:rowOff>
                  </from>
                  <to>
                    <xdr:col>10</xdr:col>
                    <xdr:colOff>30480</xdr:colOff>
                    <xdr:row>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6" name="Button 24">
              <controlPr defaultSize="0" print="0" autoFill="0" autoLine="0" autoPict="0" macro="[0]!GOTO_SCH_D2_14">
                <anchor moveWithCells="1" sizeWithCells="1">
                  <from>
                    <xdr:col>9</xdr:col>
                    <xdr:colOff>30480</xdr:colOff>
                    <xdr:row>8</xdr:row>
                    <xdr:rowOff>106680</xdr:rowOff>
                  </from>
                  <to>
                    <xdr:col>10</xdr:col>
                    <xdr:colOff>30480</xdr:colOff>
                    <xdr:row>10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7" name="Button 25">
              <controlPr defaultSize="0" print="0" autoFill="0" autoLine="0" autoPict="0" macro="[0]!GOTO_SCH_D2_15">
                <anchor moveWithCells="1" sizeWithCells="1">
                  <from>
                    <xdr:col>9</xdr:col>
                    <xdr:colOff>30480</xdr:colOff>
                    <xdr:row>10</xdr:row>
                    <xdr:rowOff>182880</xdr:rowOff>
                  </from>
                  <to>
                    <xdr:col>10</xdr:col>
                    <xdr:colOff>30480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8" name="Button 26">
              <controlPr defaultSize="0" print="0" autoFill="0" autoLine="0" autoPict="0" macro="[0]!GOTO_SCH_D2_16">
                <anchor moveWithCells="1" sizeWithCells="1">
                  <from>
                    <xdr:col>9</xdr:col>
                    <xdr:colOff>30480</xdr:colOff>
                    <xdr:row>13</xdr:row>
                    <xdr:rowOff>76200</xdr:rowOff>
                  </from>
                  <to>
                    <xdr:col>10</xdr:col>
                    <xdr:colOff>30480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9" name="Button 27">
              <controlPr defaultSize="0" print="0" autoFill="0" autoLine="0" autoPict="0" macro="[0]!GOTO_SCH_D2_17">
                <anchor moveWithCells="1" sizeWithCells="1">
                  <from>
                    <xdr:col>9</xdr:col>
                    <xdr:colOff>30480</xdr:colOff>
                    <xdr:row>15</xdr:row>
                    <xdr:rowOff>144780</xdr:rowOff>
                  </from>
                  <to>
                    <xdr:col>10</xdr:col>
                    <xdr:colOff>30480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0" name="Button 31">
              <controlPr defaultSize="0" print="0" autoFill="0" autoLine="0" autoPict="0" macro="[0]!GOTO_SCH_F2_2">
                <anchor moveWithCells="1" sizeWithCells="1">
                  <from>
                    <xdr:col>13</xdr:col>
                    <xdr:colOff>30480</xdr:colOff>
                    <xdr:row>5</xdr:row>
                    <xdr:rowOff>182880</xdr:rowOff>
                  </from>
                  <to>
                    <xdr:col>14</xdr:col>
                    <xdr:colOff>30480</xdr:colOff>
                    <xdr:row>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1" name="Button 32">
              <controlPr defaultSize="0" print="0" autoFill="0" autoLine="0" autoPict="0" macro="[0]!GOTO_SCH_F2_3">
                <anchor moveWithCells="1" sizeWithCells="1">
                  <from>
                    <xdr:col>13</xdr:col>
                    <xdr:colOff>30480</xdr:colOff>
                    <xdr:row>8</xdr:row>
                    <xdr:rowOff>68580</xdr:rowOff>
                  </from>
                  <to>
                    <xdr:col>14</xdr:col>
                    <xdr:colOff>30480</xdr:colOff>
                    <xdr:row>10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2" name="Button 33">
              <controlPr defaultSize="0" print="0" autoFill="0" autoLine="0" autoPict="0" macro="[0]!GOTO_SCH_F3">
                <anchor moveWithCells="1" sizeWithCells="1">
                  <from>
                    <xdr:col>13</xdr:col>
                    <xdr:colOff>30480</xdr:colOff>
                    <xdr:row>10</xdr:row>
                    <xdr:rowOff>144780</xdr:rowOff>
                  </from>
                  <to>
                    <xdr:col>14</xdr:col>
                    <xdr:colOff>30480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23" name="Button 34">
              <controlPr defaultSize="0" print="0" autoFill="0" autoLine="0" autoPict="0" macro="[0]!GOTO_SCH_F4">
                <anchor moveWithCells="1" sizeWithCells="1">
                  <from>
                    <xdr:col>13</xdr:col>
                    <xdr:colOff>30480</xdr:colOff>
                    <xdr:row>13</xdr:row>
                    <xdr:rowOff>38100</xdr:rowOff>
                  </from>
                  <to>
                    <xdr:col>14</xdr:col>
                    <xdr:colOff>30480</xdr:colOff>
                    <xdr:row>15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24" name="Button 35">
              <controlPr defaultSize="0" print="0" autoFill="0" autoLine="0" autoPict="0" macro="[0]!GOTO_SCH_F5">
                <anchor moveWithCells="1" sizeWithCells="1">
                  <from>
                    <xdr:col>13</xdr:col>
                    <xdr:colOff>30480</xdr:colOff>
                    <xdr:row>15</xdr:row>
                    <xdr:rowOff>114300</xdr:rowOff>
                  </from>
                  <to>
                    <xdr:col>14</xdr:col>
                    <xdr:colOff>30480</xdr:colOff>
                    <xdr:row>17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25" name="Button 36">
              <controlPr defaultSize="0" print="0" autoFill="0" autoLine="0" autoPict="0" macro="[0]!GOTO_SCH_F6">
                <anchor moveWithCells="1" sizeWithCells="1">
                  <from>
                    <xdr:col>13</xdr:col>
                    <xdr:colOff>30480</xdr:colOff>
                    <xdr:row>18</xdr:row>
                    <xdr:rowOff>30480</xdr:rowOff>
                  </from>
                  <to>
                    <xdr:col>14</xdr:col>
                    <xdr:colOff>30480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26" name="Button 40">
              <controlPr defaultSize="0" print="0" autoFill="0" autoLine="0" autoPict="0" macro="[0]!GOTO_SCH_F7">
                <anchor moveWithCells="1" sizeWithCells="1">
                  <from>
                    <xdr:col>13</xdr:col>
                    <xdr:colOff>30480</xdr:colOff>
                    <xdr:row>20</xdr:row>
                    <xdr:rowOff>106680</xdr:rowOff>
                  </from>
                  <to>
                    <xdr:col>14</xdr:col>
                    <xdr:colOff>30480</xdr:colOff>
                    <xdr:row>22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27" name="Button 44">
              <controlPr defaultSize="0" print="0" autoFill="0" autoLine="0" autoPict="0" macro="[0]!GOTO_BASE_PERIOD">
                <anchor moveWithCells="1" sizeWithCells="1">
                  <from>
                    <xdr:col>25</xdr:col>
                    <xdr:colOff>68580</xdr:colOff>
                    <xdr:row>1</xdr:row>
                    <xdr:rowOff>30480</xdr:rowOff>
                  </from>
                  <to>
                    <xdr:col>27</xdr:col>
                    <xdr:colOff>30480</xdr:colOff>
                    <xdr:row>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8" name="Button 45">
              <controlPr defaultSize="0" print="0" autoFill="0" autoLine="0" autoPict="0" macro="[0]!GOTO_FORECAST_PERIOD">
                <anchor moveWithCells="1" sizeWithCells="1">
                  <from>
                    <xdr:col>25</xdr:col>
                    <xdr:colOff>68580</xdr:colOff>
                    <xdr:row>3</xdr:row>
                    <xdr:rowOff>106680</xdr:rowOff>
                  </from>
                  <to>
                    <xdr:col>27</xdr:col>
                    <xdr:colOff>30480</xdr:colOff>
                    <xdr:row>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29" name="Button 58">
              <controlPr defaultSize="0" print="0" autoFill="0" autoLine="0" autoPict="0" macro="[0]!GOTO_SCH_J2">
                <anchor moveWithCells="1" sizeWithCells="1">
                  <from>
                    <xdr:col>19</xdr:col>
                    <xdr:colOff>30480</xdr:colOff>
                    <xdr:row>8</xdr:row>
                    <xdr:rowOff>106680</xdr:rowOff>
                  </from>
                  <to>
                    <xdr:col>19</xdr:col>
                    <xdr:colOff>601980</xdr:colOff>
                    <xdr:row>10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30" name="Button 59">
              <controlPr defaultSize="0" print="0" autoFill="0" autoLine="0" autoPict="0" macro="[0]!GOTO_SCH_J3">
                <anchor moveWithCells="1" sizeWithCells="1">
                  <from>
                    <xdr:col>19</xdr:col>
                    <xdr:colOff>30480</xdr:colOff>
                    <xdr:row>10</xdr:row>
                    <xdr:rowOff>182880</xdr:rowOff>
                  </from>
                  <to>
                    <xdr:col>19</xdr:col>
                    <xdr:colOff>601980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31" name="Button 60">
              <controlPr defaultSize="0" print="0" autoFill="0" autoLine="0" autoPict="0" macro="[0]!GOTO_SCH_J4">
                <anchor moveWithCells="1" sizeWithCells="1">
                  <from>
                    <xdr:col>19</xdr:col>
                    <xdr:colOff>30480</xdr:colOff>
                    <xdr:row>13</xdr:row>
                    <xdr:rowOff>106680</xdr:rowOff>
                  </from>
                  <to>
                    <xdr:col>19</xdr:col>
                    <xdr:colOff>601980</xdr:colOff>
                    <xdr:row>15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32" name="Button 73">
              <controlPr defaultSize="0" print="0" autoFill="0" autoLine="0" autoPict="0" macro="[0]!GOTO_RATE_BASE_RATIO">
                <anchor moveWithCells="1" sizeWithCells="1">
                  <from>
                    <xdr:col>25</xdr:col>
                    <xdr:colOff>68580</xdr:colOff>
                    <xdr:row>8</xdr:row>
                    <xdr:rowOff>106680</xdr:rowOff>
                  </from>
                  <to>
                    <xdr:col>27</xdr:col>
                    <xdr:colOff>0</xdr:colOff>
                    <xdr:row>10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33" name="Button 74">
              <controlPr defaultSize="0" print="0" autoFill="0" autoLine="0" autoPict="0" macro="[0]!GOTO_SCH_G1">
                <anchor moveWithCells="1" sizeWithCells="1">
                  <from>
                    <xdr:col>15</xdr:col>
                    <xdr:colOff>30480</xdr:colOff>
                    <xdr:row>1</xdr:row>
                    <xdr:rowOff>30480</xdr:rowOff>
                  </from>
                  <to>
                    <xdr:col>15</xdr:col>
                    <xdr:colOff>563880</xdr:colOff>
                    <xdr:row>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34" name="Button 75">
              <controlPr defaultSize="0" print="0" autoFill="0" autoLine="0" autoPict="0" macro="[0]!GOTO_SCH_G2">
                <anchor moveWithCells="1" sizeWithCells="1">
                  <from>
                    <xdr:col>15</xdr:col>
                    <xdr:colOff>30480</xdr:colOff>
                    <xdr:row>3</xdr:row>
                    <xdr:rowOff>144780</xdr:rowOff>
                  </from>
                  <to>
                    <xdr:col>16</xdr:col>
                    <xdr:colOff>0</xdr:colOff>
                    <xdr:row>5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35" name="Button 76">
              <controlPr defaultSize="0" print="0" autoFill="0" autoLine="0" autoPict="0" macro="[0]!GOTO_SCH_G3">
                <anchor moveWithCells="1" sizeWithCells="1">
                  <from>
                    <xdr:col>15</xdr:col>
                    <xdr:colOff>30480</xdr:colOff>
                    <xdr:row>6</xdr:row>
                    <xdr:rowOff>30480</xdr:rowOff>
                  </from>
                  <to>
                    <xdr:col>16</xdr:col>
                    <xdr:colOff>0</xdr:colOff>
                    <xdr:row>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36" name="Button 79">
              <controlPr defaultSize="0" print="0" autoFill="0" autoLine="0" autoPict="0" macro="[0]!GOTO_PRIOR_PERIOD">
                <anchor moveWithCells="1" sizeWithCells="1">
                  <from>
                    <xdr:col>25</xdr:col>
                    <xdr:colOff>68580</xdr:colOff>
                    <xdr:row>5</xdr:row>
                    <xdr:rowOff>182880</xdr:rowOff>
                  </from>
                  <to>
                    <xdr:col>27</xdr:col>
                    <xdr:colOff>30480</xdr:colOff>
                    <xdr:row>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37" name="Button 80">
              <controlPr defaultSize="0" print="0" autoFill="0" autoLine="0" autoPict="0" macro="[0]!GOTO_SCH_C2_1_Forecast">
                <anchor moveWithCells="1" sizeWithCells="1">
                  <from>
                    <xdr:col>5</xdr:col>
                    <xdr:colOff>30480</xdr:colOff>
                    <xdr:row>8</xdr:row>
                    <xdr:rowOff>144780</xdr:rowOff>
                  </from>
                  <to>
                    <xdr:col>6</xdr:col>
                    <xdr:colOff>30480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38" name="Button 81">
              <controlPr defaultSize="0" print="0" autoFill="0" autoLine="0" autoPict="0" macro="[0]!GOTO_SCH_C2_2">
                <anchor moveWithCells="1" sizeWithCells="1">
                  <from>
                    <xdr:col>5</xdr:col>
                    <xdr:colOff>30480</xdr:colOff>
                    <xdr:row>11</xdr:row>
                    <xdr:rowOff>68580</xdr:rowOff>
                  </from>
                  <to>
                    <xdr:col>6</xdr:col>
                    <xdr:colOff>30480</xdr:colOff>
                    <xdr:row>13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39" name="Button 82">
              <controlPr defaultSize="0" print="0" autoFill="0" autoLine="0" autoPict="0" macro="[0]!GOTO_SCH_D1">
                <anchor moveWithCells="1" sizeWithCells="1">
                  <from>
                    <xdr:col>7</xdr:col>
                    <xdr:colOff>30480</xdr:colOff>
                    <xdr:row>1</xdr:row>
                    <xdr:rowOff>30480</xdr:rowOff>
                  </from>
                  <to>
                    <xdr:col>8</xdr:col>
                    <xdr:colOff>0</xdr:colOff>
                    <xdr:row>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40" name="Button 83">
              <controlPr defaultSize="0" print="0" autoFill="0" autoLine="0" autoPict="0" macro="[0]!GOTO_SCH_D2_1">
                <anchor moveWithCells="1" sizeWithCells="1">
                  <from>
                    <xdr:col>7</xdr:col>
                    <xdr:colOff>30480</xdr:colOff>
                    <xdr:row>3</xdr:row>
                    <xdr:rowOff>106680</xdr:rowOff>
                  </from>
                  <to>
                    <xdr:col>8</xdr:col>
                    <xdr:colOff>0</xdr:colOff>
                    <xdr:row>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41" name="Button 84">
              <controlPr defaultSize="0" print="0" autoFill="0" autoLine="0" autoPict="0" macro="[0]!GOTO_SCH_D2_2">
                <anchor moveWithCells="1" sizeWithCells="1">
                  <from>
                    <xdr:col>7</xdr:col>
                    <xdr:colOff>30480</xdr:colOff>
                    <xdr:row>5</xdr:row>
                    <xdr:rowOff>182880</xdr:rowOff>
                  </from>
                  <to>
                    <xdr:col>8</xdr:col>
                    <xdr:colOff>30480</xdr:colOff>
                    <xdr:row>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42" name="Button 85">
              <controlPr defaultSize="0" print="0" autoFill="0" autoLine="0" autoPict="0" macro="[0]!GOTO_SCH_D2_3">
                <anchor moveWithCells="1" sizeWithCells="1">
                  <from>
                    <xdr:col>7</xdr:col>
                    <xdr:colOff>30480</xdr:colOff>
                    <xdr:row>8</xdr:row>
                    <xdr:rowOff>68580</xdr:rowOff>
                  </from>
                  <to>
                    <xdr:col>8</xdr:col>
                    <xdr:colOff>30480</xdr:colOff>
                    <xdr:row>10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43" name="Button 86">
              <controlPr defaultSize="0" print="0" autoFill="0" autoLine="0" autoPict="0" macro="[0]!GOTO_SCH_D2_4">
                <anchor moveWithCells="1" sizeWithCells="1">
                  <from>
                    <xdr:col>7</xdr:col>
                    <xdr:colOff>30480</xdr:colOff>
                    <xdr:row>10</xdr:row>
                    <xdr:rowOff>144780</xdr:rowOff>
                  </from>
                  <to>
                    <xdr:col>8</xdr:col>
                    <xdr:colOff>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44" name="Button 87">
              <controlPr defaultSize="0" print="0" autoFill="0" autoLine="0" autoPict="0" macro="[0]!GOTO_SCH_D2_5">
                <anchor moveWithCells="1" sizeWithCells="1">
                  <from>
                    <xdr:col>7</xdr:col>
                    <xdr:colOff>30480</xdr:colOff>
                    <xdr:row>13</xdr:row>
                    <xdr:rowOff>68580</xdr:rowOff>
                  </from>
                  <to>
                    <xdr:col>8</xdr:col>
                    <xdr:colOff>30480</xdr:colOff>
                    <xdr:row>15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45" name="Button 88">
              <controlPr defaultSize="0" print="0" autoFill="0" autoLine="0" autoPict="0" macro="[0]!GOTO_SCH_D2_6">
                <anchor moveWithCells="1" sizeWithCells="1">
                  <from>
                    <xdr:col>7</xdr:col>
                    <xdr:colOff>30480</xdr:colOff>
                    <xdr:row>15</xdr:row>
                    <xdr:rowOff>144780</xdr:rowOff>
                  </from>
                  <to>
                    <xdr:col>8</xdr:col>
                    <xdr:colOff>30480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46" name="Button 89">
              <controlPr defaultSize="0" print="0" autoFill="0" autoLine="0" autoPict="0" macro="[0]!GOTO_SCH_D2_7">
                <anchor moveWithCells="1" sizeWithCells="1">
                  <from>
                    <xdr:col>7</xdr:col>
                    <xdr:colOff>30480</xdr:colOff>
                    <xdr:row>18</xdr:row>
                    <xdr:rowOff>68580</xdr:rowOff>
                  </from>
                  <to>
                    <xdr:col>8</xdr:col>
                    <xdr:colOff>0</xdr:colOff>
                    <xdr:row>20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47" name="Button 90">
              <controlPr defaultSize="0" print="0" autoFill="0" autoLine="0" autoPict="0" macro="[0]!GOTO_SCH_D2_8">
                <anchor moveWithCells="1" sizeWithCells="1">
                  <from>
                    <xdr:col>7</xdr:col>
                    <xdr:colOff>30480</xdr:colOff>
                    <xdr:row>20</xdr:row>
                    <xdr:rowOff>182880</xdr:rowOff>
                  </from>
                  <to>
                    <xdr:col>8</xdr:col>
                    <xdr:colOff>0</xdr:colOff>
                    <xdr:row>22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48" name="Button 91">
              <controlPr defaultSize="0" print="0" autoFill="0" autoLine="0" autoPict="0" macro="[0]!GOTO_SCH_D2_9">
                <anchor moveWithCells="1" sizeWithCells="1">
                  <from>
                    <xdr:col>7</xdr:col>
                    <xdr:colOff>30480</xdr:colOff>
                    <xdr:row>23</xdr:row>
                    <xdr:rowOff>68580</xdr:rowOff>
                  </from>
                  <to>
                    <xdr:col>8</xdr:col>
                    <xdr:colOff>0</xdr:colOff>
                    <xdr:row>25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49" name="Button 92">
              <controlPr defaultSize="0" print="0" autoFill="0" autoLine="0" autoPict="0" macro="[0]!GOTO_SCH_D2_10">
                <anchor moveWithCells="1" sizeWithCells="1">
                  <from>
                    <xdr:col>7</xdr:col>
                    <xdr:colOff>30480</xdr:colOff>
                    <xdr:row>25</xdr:row>
                    <xdr:rowOff>144780</xdr:rowOff>
                  </from>
                  <to>
                    <xdr:col>8</xdr:col>
                    <xdr:colOff>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50" name="Button 93">
              <controlPr defaultSize="0" print="0" autoFill="0" autoLine="0" autoPict="0" macro="[0]!GOTO_SCH_D2_18">
                <anchor moveWithCells="1" sizeWithCells="1">
                  <from>
                    <xdr:col>9</xdr:col>
                    <xdr:colOff>30480</xdr:colOff>
                    <xdr:row>18</xdr:row>
                    <xdr:rowOff>68580</xdr:rowOff>
                  </from>
                  <to>
                    <xdr:col>9</xdr:col>
                    <xdr:colOff>563880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51" name="Button 94">
              <controlPr defaultSize="0" print="0" autoFill="0" autoLine="0" autoPict="0" macro="[0]!GOTO_SCH_D2_19">
                <anchor moveWithCells="1" sizeWithCells="1">
                  <from>
                    <xdr:col>9</xdr:col>
                    <xdr:colOff>30480</xdr:colOff>
                    <xdr:row>20</xdr:row>
                    <xdr:rowOff>144780</xdr:rowOff>
                  </from>
                  <to>
                    <xdr:col>10</xdr:col>
                    <xdr:colOff>30480</xdr:colOff>
                    <xdr:row>22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52" name="Button 95">
              <controlPr defaultSize="0" print="0" autoFill="0" autoLine="0" autoPict="0" macro="[0]!GOTO_SCH_D2_20">
                <anchor moveWithCells="1" sizeWithCells="1">
                  <from>
                    <xdr:col>9</xdr:col>
                    <xdr:colOff>30480</xdr:colOff>
                    <xdr:row>23</xdr:row>
                    <xdr:rowOff>68580</xdr:rowOff>
                  </from>
                  <to>
                    <xdr:col>10</xdr:col>
                    <xdr:colOff>30480</xdr:colOff>
                    <xdr:row>25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53" name="Button 96">
              <controlPr defaultSize="0" print="0" autoFill="0" autoLine="0" autoPict="0" macro="[0]!GOTO_SCH_D2_21">
                <anchor moveWithCells="1" sizeWithCells="1">
                  <from>
                    <xdr:col>9</xdr:col>
                    <xdr:colOff>30480</xdr:colOff>
                    <xdr:row>25</xdr:row>
                    <xdr:rowOff>144780</xdr:rowOff>
                  </from>
                  <to>
                    <xdr:col>10</xdr:col>
                    <xdr:colOff>30480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54" name="Button 97">
              <controlPr defaultSize="0" print="0" autoFill="0" autoLine="0" autoPict="0" macro="[0]!GOTO_SCH_D2_22">
                <anchor moveWithCells="1" sizeWithCells="1">
                  <from>
                    <xdr:col>11</xdr:col>
                    <xdr:colOff>30480</xdr:colOff>
                    <xdr:row>1</xdr:row>
                    <xdr:rowOff>0</xdr:rowOff>
                  </from>
                  <to>
                    <xdr:col>12</xdr:col>
                    <xdr:colOff>30480</xdr:colOff>
                    <xdr:row>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55" name="Button 98">
              <controlPr defaultSize="0" print="0" autoFill="0" autoLine="0" autoPict="0" macro="[0]!GOTO_SCH_D2_23">
                <anchor moveWithCells="1" sizeWithCells="1">
                  <from>
                    <xdr:col>11</xdr:col>
                    <xdr:colOff>30480</xdr:colOff>
                    <xdr:row>3</xdr:row>
                    <xdr:rowOff>106680</xdr:rowOff>
                  </from>
                  <to>
                    <xdr:col>12</xdr:col>
                    <xdr:colOff>30480</xdr:colOff>
                    <xdr:row>5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56" name="Button 99">
              <controlPr defaultSize="0" print="0" autoFill="0" autoLine="0" autoPict="0" macro="[0]!GOTO_SCH_D2_24">
                <anchor moveWithCells="1" sizeWithCells="1">
                  <from>
                    <xdr:col>11</xdr:col>
                    <xdr:colOff>30480</xdr:colOff>
                    <xdr:row>6</xdr:row>
                    <xdr:rowOff>30480</xdr:rowOff>
                  </from>
                  <to>
                    <xdr:col>12</xdr:col>
                    <xdr:colOff>30480</xdr:colOff>
                    <xdr:row>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57" name="Button 100">
              <controlPr defaultSize="0" print="0" autoFill="0" autoLine="0" autoPict="0" macro="[0]!GOTO_SCH_D2_25">
                <anchor moveWithCells="1" sizeWithCells="1">
                  <from>
                    <xdr:col>11</xdr:col>
                    <xdr:colOff>30480</xdr:colOff>
                    <xdr:row>8</xdr:row>
                    <xdr:rowOff>106680</xdr:rowOff>
                  </from>
                  <to>
                    <xdr:col>12</xdr:col>
                    <xdr:colOff>30480</xdr:colOff>
                    <xdr:row>10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58" name="Button 101">
              <controlPr defaultSize="0" print="0" autoFill="0" autoLine="0" autoPict="0" macro="[0]!GOTO_SCH_F1">
                <anchor moveWithCells="1" sizeWithCells="1">
                  <from>
                    <xdr:col>13</xdr:col>
                    <xdr:colOff>30480</xdr:colOff>
                    <xdr:row>1</xdr:row>
                    <xdr:rowOff>30480</xdr:rowOff>
                  </from>
                  <to>
                    <xdr:col>14</xdr:col>
                    <xdr:colOff>30480</xdr:colOff>
                    <xdr:row>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59" name="Button 102">
              <controlPr defaultSize="0" print="0" autoFill="0" autoLine="0" autoPict="0" macro="[0]!GOTO_SCH_F2_1">
                <anchor moveWithCells="1" sizeWithCells="1">
                  <from>
                    <xdr:col>13</xdr:col>
                    <xdr:colOff>30480</xdr:colOff>
                    <xdr:row>3</xdr:row>
                    <xdr:rowOff>114300</xdr:rowOff>
                  </from>
                  <to>
                    <xdr:col>14</xdr:col>
                    <xdr:colOff>30480</xdr:colOff>
                    <xdr:row>5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60" name="Button 103">
              <controlPr defaultSize="0" print="0" autoFill="0" autoLine="0" autoPict="0" macro="[0]!GOTO_SCH_H">
                <anchor moveWithCells="1" sizeWithCells="1">
                  <from>
                    <xdr:col>15</xdr:col>
                    <xdr:colOff>30480</xdr:colOff>
                    <xdr:row>8</xdr:row>
                    <xdr:rowOff>106680</xdr:rowOff>
                  </from>
                  <to>
                    <xdr:col>16</xdr:col>
                    <xdr:colOff>30480</xdr:colOff>
                    <xdr:row>10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61" name="Button 104">
              <controlPr defaultSize="0" print="0" autoFill="0" autoLine="0" autoPict="0" macro="[0]!GOTO_SCH_I1_Total">
                <anchor moveWithCells="1" sizeWithCells="1">
                  <from>
                    <xdr:col>17</xdr:col>
                    <xdr:colOff>30480</xdr:colOff>
                    <xdr:row>1</xdr:row>
                    <xdr:rowOff>30480</xdr:rowOff>
                  </from>
                  <to>
                    <xdr:col>18</xdr:col>
                    <xdr:colOff>30480</xdr:colOff>
                    <xdr:row>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62" name="Button 105">
              <controlPr defaultSize="0" print="0" autoFill="0" autoLine="0" autoPict="0" macro="[0]!GOTO_SCH_I2_1">
                <anchor moveWithCells="1" sizeWithCells="1">
                  <from>
                    <xdr:col>17</xdr:col>
                    <xdr:colOff>30480</xdr:colOff>
                    <xdr:row>3</xdr:row>
                    <xdr:rowOff>114300</xdr:rowOff>
                  </from>
                  <to>
                    <xdr:col>18</xdr:col>
                    <xdr:colOff>30480</xdr:colOff>
                    <xdr:row>5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63" name="Button 106">
              <controlPr defaultSize="0" print="0" autoFill="0" autoLine="0" autoPict="0" macro="[0]!GOTO_SCH_I3">
                <anchor moveWithCells="1" sizeWithCells="1">
                  <from>
                    <xdr:col>17</xdr:col>
                    <xdr:colOff>30480</xdr:colOff>
                    <xdr:row>6</xdr:row>
                    <xdr:rowOff>0</xdr:rowOff>
                  </from>
                  <to>
                    <xdr:col>18</xdr:col>
                    <xdr:colOff>30480</xdr:colOff>
                    <xdr:row>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64" name="Button 107">
              <controlPr defaultSize="0" print="0" autoFill="0" autoLine="0" autoPict="0" macro="[0]!GOTO_SCH_I4">
                <anchor moveWithCells="1" sizeWithCells="1">
                  <from>
                    <xdr:col>17</xdr:col>
                    <xdr:colOff>30480</xdr:colOff>
                    <xdr:row>8</xdr:row>
                    <xdr:rowOff>106680</xdr:rowOff>
                  </from>
                  <to>
                    <xdr:col>18</xdr:col>
                    <xdr:colOff>30480</xdr:colOff>
                    <xdr:row>10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65" name="Button 108">
              <controlPr defaultSize="0" print="0" autoFill="0" autoLine="0" autoPict="0" macro="[0]!GOTO_SCH_I5">
                <anchor moveWithCells="1" sizeWithCells="1">
                  <from>
                    <xdr:col>17</xdr:col>
                    <xdr:colOff>30480</xdr:colOff>
                    <xdr:row>10</xdr:row>
                    <xdr:rowOff>182880</xdr:rowOff>
                  </from>
                  <to>
                    <xdr:col>18</xdr:col>
                    <xdr:colOff>30480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66" name="Button 109">
              <controlPr defaultSize="0" print="0" autoFill="0" autoLine="0" autoPict="0" macro="[0]!GOTO_SCH_J1">
                <anchor moveWithCells="1" sizeWithCells="1">
                  <from>
                    <xdr:col>19</xdr:col>
                    <xdr:colOff>30480</xdr:colOff>
                    <xdr:row>1</xdr:row>
                    <xdr:rowOff>30480</xdr:rowOff>
                  </from>
                  <to>
                    <xdr:col>19</xdr:col>
                    <xdr:colOff>601980</xdr:colOff>
                    <xdr:row>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67" name="Button 110">
              <controlPr defaultSize="0" print="0" autoFill="0" autoLine="0" autoPict="0" macro="[0]!GOTO_SCH_K">
                <anchor moveWithCells="1" sizeWithCells="1">
                  <from>
                    <xdr:col>19</xdr:col>
                    <xdr:colOff>30480</xdr:colOff>
                    <xdr:row>16</xdr:row>
                    <xdr:rowOff>76200</xdr:rowOff>
                  </from>
                  <to>
                    <xdr:col>19</xdr:col>
                    <xdr:colOff>601980</xdr:colOff>
                    <xdr:row>18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68" name="Button 113">
              <controlPr defaultSize="0" print="0" autoFill="0" autoLine="0" autoPict="0" macro="[0]!GOTO_SCH_J2FP">
                <anchor moveWithCells="1" sizeWithCells="1">
                  <from>
                    <xdr:col>21</xdr:col>
                    <xdr:colOff>38100</xdr:colOff>
                    <xdr:row>8</xdr:row>
                    <xdr:rowOff>106680</xdr:rowOff>
                  </from>
                  <to>
                    <xdr:col>21</xdr:col>
                    <xdr:colOff>601980</xdr:colOff>
                    <xdr:row>10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69" name="Button 114">
              <controlPr defaultSize="0" print="0" autoFill="0" autoLine="0" autoPict="0" macro="[0]!GOTO_SCH_J3FP">
                <anchor moveWithCells="1" sizeWithCells="1">
                  <from>
                    <xdr:col>21</xdr:col>
                    <xdr:colOff>38100</xdr:colOff>
                    <xdr:row>10</xdr:row>
                    <xdr:rowOff>182880</xdr:rowOff>
                  </from>
                  <to>
                    <xdr:col>21</xdr:col>
                    <xdr:colOff>601980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70" name="Button 116">
              <controlPr defaultSize="0" print="0" autoFill="0" autoLine="0" autoPict="0" macro="[0]!GOTO_SCH_J1FP">
                <anchor moveWithCells="1" sizeWithCells="1">
                  <from>
                    <xdr:col>21</xdr:col>
                    <xdr:colOff>38100</xdr:colOff>
                    <xdr:row>1</xdr:row>
                    <xdr:rowOff>30480</xdr:rowOff>
                  </from>
                  <to>
                    <xdr:col>21</xdr:col>
                    <xdr:colOff>601980</xdr:colOff>
                    <xdr:row>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71" name="Button 119">
              <controlPr defaultSize="0" print="0" autoFill="0" autoLine="0" autoPict="0" macro="[0]!GOTO_SCH_B2">
                <anchor moveWithCells="1" sizeWithCells="1">
                  <from>
                    <xdr:col>1</xdr:col>
                    <xdr:colOff>0</xdr:colOff>
                    <xdr:row>6</xdr:row>
                    <xdr:rowOff>30480</xdr:rowOff>
                  </from>
                  <to>
                    <xdr:col>2</xdr:col>
                    <xdr:colOff>0</xdr:colOff>
                    <xdr:row>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72" name="Button 120">
              <controlPr defaultSize="0" print="0" autoFill="0" autoLine="0" autoPict="0" macro="[0]!GOTO_SCH_B2_1">
                <anchor moveWithCells="1" sizeWithCells="1">
                  <from>
                    <xdr:col>1</xdr:col>
                    <xdr:colOff>30480</xdr:colOff>
                    <xdr:row>8</xdr:row>
                    <xdr:rowOff>106680</xdr:rowOff>
                  </from>
                  <to>
                    <xdr:col>2</xdr:col>
                    <xdr:colOff>0</xdr:colOff>
                    <xdr:row>10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73" name="Button 121">
              <controlPr defaultSize="0" print="0" autoFill="0" autoLine="0" autoPict="0" macro="[0]!GOTO_SCH_B2_2">
                <anchor moveWithCells="1" sizeWithCells="1">
                  <from>
                    <xdr:col>1</xdr:col>
                    <xdr:colOff>30480</xdr:colOff>
                    <xdr:row>10</xdr:row>
                    <xdr:rowOff>182880</xdr:rowOff>
                  </from>
                  <to>
                    <xdr:col>2</xdr:col>
                    <xdr:colOff>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74" name="Button 122">
              <controlPr defaultSize="0" print="0" autoFill="0" autoLine="0" autoPict="0" macro="[0]!GOTO_SCH_B2_3">
                <anchor moveWithCells="1" sizeWithCells="1">
                  <from>
                    <xdr:col>1</xdr:col>
                    <xdr:colOff>30480</xdr:colOff>
                    <xdr:row>13</xdr:row>
                    <xdr:rowOff>76200</xdr:rowOff>
                  </from>
                  <to>
                    <xdr:col>2</xdr:col>
                    <xdr:colOff>0</xdr:colOff>
                    <xdr:row>15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75" name="Button 123">
              <controlPr defaultSize="0" print="0" autoFill="0" autoLine="0" autoPict="0" macro="[0]!GOTO_SCH_B2_4">
                <anchor moveWithCells="1" sizeWithCells="1">
                  <from>
                    <xdr:col>1</xdr:col>
                    <xdr:colOff>30480</xdr:colOff>
                    <xdr:row>15</xdr:row>
                    <xdr:rowOff>144780</xdr:rowOff>
                  </from>
                  <to>
                    <xdr:col>2</xdr:col>
                    <xdr:colOff>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76" name="Button 124">
              <controlPr defaultSize="0" print="0" autoFill="0" autoLine="0" autoPict="0" macro="[0]!GOTO_SCH_B2_5">
                <anchor moveWithCells="1" sizeWithCells="1">
                  <from>
                    <xdr:col>1</xdr:col>
                    <xdr:colOff>30480</xdr:colOff>
                    <xdr:row>18</xdr:row>
                    <xdr:rowOff>68580</xdr:rowOff>
                  </from>
                  <to>
                    <xdr:col>2</xdr:col>
                    <xdr:colOff>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77" name="Button 125">
              <controlPr defaultSize="0" print="0" autoFill="0" autoLine="0" autoPict="0" macro="[0]!GOTO_SCH_B2_6">
                <anchor moveWithCells="1" sizeWithCells="1">
                  <from>
                    <xdr:col>1</xdr:col>
                    <xdr:colOff>30480</xdr:colOff>
                    <xdr:row>20</xdr:row>
                    <xdr:rowOff>152400</xdr:rowOff>
                  </from>
                  <to>
                    <xdr:col>2</xdr:col>
                    <xdr:colOff>0</xdr:colOff>
                    <xdr:row>22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78" name="Button 126">
              <controlPr defaultSize="0" print="0" autoFill="0" autoLine="0" autoPict="0" macro="[0]!GOTO_SCH_B2_7">
                <anchor moveWithCells="1" sizeWithCells="1">
                  <from>
                    <xdr:col>1</xdr:col>
                    <xdr:colOff>30480</xdr:colOff>
                    <xdr:row>23</xdr:row>
                    <xdr:rowOff>68580</xdr:rowOff>
                  </from>
                  <to>
                    <xdr:col>2</xdr:col>
                    <xdr:colOff>0</xdr:colOff>
                    <xdr:row>25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79" name="Button 127">
              <controlPr defaultSize="0" print="0" autoFill="0" autoLine="0" autoPict="0" macro="[0]!GOTO_SCH_B3">
                <anchor moveWithCells="1" sizeWithCells="1">
                  <from>
                    <xdr:col>3</xdr:col>
                    <xdr:colOff>30480</xdr:colOff>
                    <xdr:row>1</xdr:row>
                    <xdr:rowOff>30480</xdr:rowOff>
                  </from>
                  <to>
                    <xdr:col>3</xdr:col>
                    <xdr:colOff>563880</xdr:colOff>
                    <xdr:row>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80" name="Button 128">
              <controlPr defaultSize="0" print="0" autoFill="0" autoLine="0" autoPict="0" macro="[0]!GOTO_SCH_B3_1">
                <anchor moveWithCells="1" sizeWithCells="1">
                  <from>
                    <xdr:col>3</xdr:col>
                    <xdr:colOff>30480</xdr:colOff>
                    <xdr:row>3</xdr:row>
                    <xdr:rowOff>114300</xdr:rowOff>
                  </from>
                  <to>
                    <xdr:col>3</xdr:col>
                    <xdr:colOff>563880</xdr:colOff>
                    <xdr:row>5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81" name="Button 129">
              <controlPr defaultSize="0" print="0" autoFill="0" autoLine="0" autoPict="0" macro="[0]!GOTO_SCH_B3_2">
                <anchor moveWithCells="1" sizeWithCells="1">
                  <from>
                    <xdr:col>3</xdr:col>
                    <xdr:colOff>30480</xdr:colOff>
                    <xdr:row>6</xdr:row>
                    <xdr:rowOff>30480</xdr:rowOff>
                  </from>
                  <to>
                    <xdr:col>3</xdr:col>
                    <xdr:colOff>563880</xdr:colOff>
                    <xdr:row>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82" name="Button 130">
              <controlPr defaultSize="0" print="0" autoFill="0" autoLine="0" autoPict="0" macro="[0]!GOTO_SCH_B4">
                <anchor moveWithCells="1" sizeWithCells="1">
                  <from>
                    <xdr:col>3</xdr:col>
                    <xdr:colOff>30480</xdr:colOff>
                    <xdr:row>8</xdr:row>
                    <xdr:rowOff>144780</xdr:rowOff>
                  </from>
                  <to>
                    <xdr:col>3</xdr:col>
                    <xdr:colOff>563880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83" name="Button 131">
              <controlPr defaultSize="0" print="0" autoFill="0" autoLine="0" autoPict="0" macro="[0]!GOTO_SCH_B4_1">
                <anchor moveWithCells="1" sizeWithCells="1">
                  <from>
                    <xdr:col>3</xdr:col>
                    <xdr:colOff>30480</xdr:colOff>
                    <xdr:row>11</xdr:row>
                    <xdr:rowOff>30480</xdr:rowOff>
                  </from>
                  <to>
                    <xdr:col>3</xdr:col>
                    <xdr:colOff>563880</xdr:colOff>
                    <xdr:row>13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84" name="Button 138">
              <controlPr defaultSize="0" print="0" autoFill="0" autoLine="0" autoPict="0" macro="[0]!GOTO_WPB_2_2a">
                <anchor moveWithCells="1" sizeWithCells="1">
                  <from>
                    <xdr:col>23</xdr:col>
                    <xdr:colOff>68580</xdr:colOff>
                    <xdr:row>1</xdr:row>
                    <xdr:rowOff>30480</xdr:rowOff>
                  </from>
                  <to>
                    <xdr:col>24</xdr:col>
                    <xdr:colOff>38100</xdr:colOff>
                    <xdr:row>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85" name="Button 139">
              <controlPr defaultSize="0" print="0" autoFill="0" autoLine="0" autoPict="0" macro="[0]!GOTO_WPB_3_1a">
                <anchor moveWithCells="1" sizeWithCells="1">
                  <from>
                    <xdr:col>23</xdr:col>
                    <xdr:colOff>68580</xdr:colOff>
                    <xdr:row>3</xdr:row>
                    <xdr:rowOff>144780</xdr:rowOff>
                  </from>
                  <to>
                    <xdr:col>24</xdr:col>
                    <xdr:colOff>38100</xdr:colOff>
                    <xdr:row>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86" name="Button 140">
              <controlPr defaultSize="0" print="0" autoFill="0" autoLine="0" autoPict="0">
                <anchor moveWithCells="1" sizeWithCells="1">
                  <from>
                    <xdr:col>23</xdr:col>
                    <xdr:colOff>38100</xdr:colOff>
                    <xdr:row>13</xdr:row>
                    <xdr:rowOff>152400</xdr:rowOff>
                  </from>
                  <to>
                    <xdr:col>24</xdr:col>
                    <xdr:colOff>68580</xdr:colOff>
                    <xdr:row>15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87" name="Button 141">
              <controlPr defaultSize="0" print="0" autoFill="0" autoLine="0" autoPict="0">
                <anchor moveWithCells="1" sizeWithCells="1">
                  <from>
                    <xdr:col>23</xdr:col>
                    <xdr:colOff>68580</xdr:colOff>
                    <xdr:row>11</xdr:row>
                    <xdr:rowOff>68580</xdr:rowOff>
                  </from>
                  <to>
                    <xdr:col>24</xdr:col>
                    <xdr:colOff>68580</xdr:colOff>
                    <xdr:row>13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88" name="Button 142">
              <controlPr defaultSize="0" print="0" autoFill="0" autoLine="0" autoPict="0" macro="[0]!GOTO_WPB_5_1a">
                <anchor moveWithCells="1" sizeWithCells="1">
                  <from>
                    <xdr:col>23</xdr:col>
                    <xdr:colOff>68580</xdr:colOff>
                    <xdr:row>6</xdr:row>
                    <xdr:rowOff>30480</xdr:rowOff>
                  </from>
                  <to>
                    <xdr:col>24</xdr:col>
                    <xdr:colOff>38100</xdr:colOff>
                    <xdr:row>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89" name="Button 143">
              <controlPr defaultSize="0" print="0" autoFill="0" autoLine="0" autoPict="0" macro="[0]!GOTO_WPB_6">
                <anchor moveWithCells="1" sizeWithCells="1">
                  <from>
                    <xdr:col>23</xdr:col>
                    <xdr:colOff>68580</xdr:colOff>
                    <xdr:row>8</xdr:row>
                    <xdr:rowOff>106680</xdr:rowOff>
                  </from>
                  <to>
                    <xdr:col>24</xdr:col>
                    <xdr:colOff>38100</xdr:colOff>
                    <xdr:row>10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90" name="Button 146">
              <controlPr defaultSize="0" print="0" autoFill="0" autoLine="0" autoPict="0" macro="[0]!GOTO_SCH_D2_26">
                <anchor moveWithCells="1" sizeWithCells="1">
                  <from>
                    <xdr:col>11</xdr:col>
                    <xdr:colOff>30480</xdr:colOff>
                    <xdr:row>11</xdr:row>
                    <xdr:rowOff>30480</xdr:rowOff>
                  </from>
                  <to>
                    <xdr:col>12</xdr:col>
                    <xdr:colOff>30480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91" name="Button 147">
              <controlPr defaultSize="0" print="0" autoFill="0" autoLine="0" autoPict="0" macro="[0]!GOTO_SCH_D2_27">
                <anchor moveWithCells="1" sizeWithCells="1">
                  <from>
                    <xdr:col>11</xdr:col>
                    <xdr:colOff>30480</xdr:colOff>
                    <xdr:row>13</xdr:row>
                    <xdr:rowOff>106680</xdr:rowOff>
                  </from>
                  <to>
                    <xdr:col>12</xdr:col>
                    <xdr:colOff>38100</xdr:colOff>
                    <xdr:row>15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92" name="Button 148">
              <controlPr defaultSize="0" print="0" autoFill="0" autoLine="0" autoPict="0" macro="[0]!GOTO_SCH_H_FP">
                <anchor moveWithCells="1" sizeWithCells="1">
                  <from>
                    <xdr:col>15</xdr:col>
                    <xdr:colOff>30480</xdr:colOff>
                    <xdr:row>10</xdr:row>
                    <xdr:rowOff>182880</xdr:rowOff>
                  </from>
                  <to>
                    <xdr:col>16</xdr:col>
                    <xdr:colOff>30480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93" name="Button 149">
              <controlPr defaultSize="0" print="0" autoFill="0" autoLine="0" autoPict="0" macro="[0]!GOTO_SCH_D2_28">
                <anchor moveWithCells="1" sizeWithCells="1">
                  <from>
                    <xdr:col>11</xdr:col>
                    <xdr:colOff>30480</xdr:colOff>
                    <xdr:row>15</xdr:row>
                    <xdr:rowOff>182880</xdr:rowOff>
                  </from>
                  <to>
                    <xdr:col>12</xdr:col>
                    <xdr:colOff>38100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94" name="Button 150">
              <controlPr defaultSize="0" print="0" autoFill="0" autoLine="0" autoPict="0" macro="[0]!GOTO_SCH_D2_29">
                <anchor moveWithCells="1" sizeWithCells="1">
                  <from>
                    <xdr:col>11</xdr:col>
                    <xdr:colOff>30480</xdr:colOff>
                    <xdr:row>18</xdr:row>
                    <xdr:rowOff>68580</xdr:rowOff>
                  </from>
                  <to>
                    <xdr:col>12</xdr:col>
                    <xdr:colOff>30480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95" name="Button 153">
              <controlPr defaultSize="0" print="0" autoFill="0" autoLine="0" autoPict="0" macro="[0]!GOTO_SCH_D2_30">
                <anchor moveWithCells="1" sizeWithCells="1">
                  <from>
                    <xdr:col>11</xdr:col>
                    <xdr:colOff>30480</xdr:colOff>
                    <xdr:row>20</xdr:row>
                    <xdr:rowOff>144780</xdr:rowOff>
                  </from>
                  <to>
                    <xdr:col>12</xdr:col>
                    <xdr:colOff>30480</xdr:colOff>
                    <xdr:row>22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96" name="Button 154">
              <controlPr defaultSize="0" print="0" autoFill="0" autoLine="0" autoPict="0" macro="[0]!GOTO_SCH_E1">
                <anchor moveWithCells="1" sizeWithCells="1">
                  <from>
                    <xdr:col>13</xdr:col>
                    <xdr:colOff>30480</xdr:colOff>
                    <xdr:row>23</xdr:row>
                    <xdr:rowOff>106680</xdr:rowOff>
                  </from>
                  <to>
                    <xdr:col>14</xdr:col>
                    <xdr:colOff>30480</xdr:colOff>
                    <xdr:row>25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97" name="Button 155">
              <controlPr defaultSize="0" print="0" autoFill="0" autoLine="0" autoPict="0" macro="[0]!GOTO_SCH_E2">
                <anchor moveWithCells="1" sizeWithCells="1">
                  <from>
                    <xdr:col>13</xdr:col>
                    <xdr:colOff>30480</xdr:colOff>
                    <xdr:row>25</xdr:row>
                    <xdr:rowOff>144780</xdr:rowOff>
                  </from>
                  <to>
                    <xdr:col>14</xdr:col>
                    <xdr:colOff>30480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98" name="Button 156">
              <controlPr defaultSize="0" print="0" autoFill="0" autoLine="0" autoPict="0" macro="[0]!GOTO_SCH_D2_31">
                <anchor moveWithCells="1" sizeWithCells="1">
                  <from>
                    <xdr:col>11</xdr:col>
                    <xdr:colOff>30480</xdr:colOff>
                    <xdr:row>23</xdr:row>
                    <xdr:rowOff>68580</xdr:rowOff>
                  </from>
                  <to>
                    <xdr:col>12</xdr:col>
                    <xdr:colOff>30480</xdr:colOff>
                    <xdr:row>25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99" name="Button 157">
              <controlPr defaultSize="0" print="0" autoFill="0" autoLine="0" autoPict="0" macro="[0]!GOTO_SCH_D2_32">
                <anchor moveWithCells="1" sizeWithCells="1">
                  <from>
                    <xdr:col>11</xdr:col>
                    <xdr:colOff>30480</xdr:colOff>
                    <xdr:row>25</xdr:row>
                    <xdr:rowOff>182880</xdr:rowOff>
                  </from>
                  <to>
                    <xdr:col>12</xdr:col>
                    <xdr:colOff>30480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00" name="Button 158">
              <controlPr defaultSize="0" print="0" autoFill="0" autoLine="0" autoPict="0" macro="[0]!GOTO_SCH_D2_33">
                <anchor moveWithCells="1" sizeWithCells="1">
                  <from>
                    <xdr:col>10</xdr:col>
                    <xdr:colOff>106680</xdr:colOff>
                    <xdr:row>28</xdr:row>
                    <xdr:rowOff>30480</xdr:rowOff>
                  </from>
                  <to>
                    <xdr:col>12</xdr:col>
                    <xdr:colOff>30480</xdr:colOff>
                    <xdr:row>29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01" name="Button 159">
              <controlPr defaultSize="0" print="0" autoFill="0" autoLine="0" autoPict="0" macro="[0]!GOTO_SCH_D2_34">
                <anchor moveWithCells="1" sizeWithCells="1">
                  <from>
                    <xdr:col>10</xdr:col>
                    <xdr:colOff>106680</xdr:colOff>
                    <xdr:row>30</xdr:row>
                    <xdr:rowOff>68580</xdr:rowOff>
                  </from>
                  <to>
                    <xdr:col>12</xdr:col>
                    <xdr:colOff>30480</xdr:colOff>
                    <xdr:row>32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02" name="Button 160">
              <controlPr defaultSize="0" print="0" autoFill="0" autoLine="0" autoPict="0" macro="[0]!GOTO_SCH_D2_35">
                <anchor moveWithCells="1" sizeWithCells="1">
                  <from>
                    <xdr:col>11</xdr:col>
                    <xdr:colOff>30480</xdr:colOff>
                    <xdr:row>32</xdr:row>
                    <xdr:rowOff>106680</xdr:rowOff>
                  </from>
                  <to>
                    <xdr:col>12</xdr:col>
                    <xdr:colOff>30480</xdr:colOff>
                    <xdr:row>34</xdr:row>
                    <xdr:rowOff>144780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>
    <tabColor theme="2" tint="-0.499984740745262"/>
    <pageSetUpPr fitToPage="1"/>
  </sheetPr>
  <dimension ref="A1:R84"/>
  <sheetViews>
    <sheetView workbookViewId="0"/>
  </sheetViews>
  <sheetFormatPr defaultColWidth="8" defaultRowHeight="13.2"/>
  <cols>
    <col min="1" max="1" width="7" customWidth="1"/>
    <col min="2" max="2" width="2.5546875" customWidth="1"/>
    <col min="3" max="3" width="38.5546875" customWidth="1"/>
    <col min="4" max="4" width="3" customWidth="1"/>
    <col min="5" max="5" width="22.5546875" customWidth="1"/>
    <col min="6" max="6" width="2" customWidth="1"/>
    <col min="7" max="7" width="19.44140625" customWidth="1"/>
    <col min="8" max="8" width="3.44140625" customWidth="1"/>
    <col min="9" max="9" width="21.44140625" customWidth="1"/>
    <col min="10" max="10" width="7.5546875" customWidth="1"/>
    <col min="11" max="11" width="2.5546875" customWidth="1"/>
    <col min="12" max="12" width="54.44140625" customWidth="1"/>
    <col min="13" max="13" width="5.44140625" customWidth="1"/>
    <col min="14" max="14" width="17.44140625" customWidth="1"/>
    <col min="15" max="15" width="7.44140625" customWidth="1"/>
    <col min="16" max="16" width="15.5546875" customWidth="1"/>
    <col min="17" max="17" width="14.5546875" customWidth="1"/>
  </cols>
  <sheetData>
    <row r="1" spans="1:18">
      <c r="A1" s="1064" t="str">
        <f>COMPANY</f>
        <v>DUKE ENERGY KENTUCKY, INC.</v>
      </c>
      <c r="B1" s="1064"/>
      <c r="C1" s="1064"/>
      <c r="D1" s="1064"/>
      <c r="E1" s="1064"/>
      <c r="F1" s="1064"/>
      <c r="G1" s="1064"/>
      <c r="H1" s="1064"/>
      <c r="I1" s="1064"/>
      <c r="J1" s="995"/>
      <c r="K1" s="995"/>
      <c r="L1" s="995"/>
      <c r="M1" s="995"/>
      <c r="N1" s="995"/>
      <c r="O1" s="995"/>
      <c r="P1" s="995"/>
      <c r="Q1" s="995"/>
      <c r="R1" s="995"/>
    </row>
    <row r="2" spans="1:18">
      <c r="A2" s="1064" t="str">
        <f>CASE</f>
        <v>CASE NO. 2024-00354</v>
      </c>
      <c r="B2" s="1064"/>
      <c r="C2" s="1064"/>
      <c r="D2" s="1064"/>
      <c r="E2" s="1064"/>
      <c r="F2" s="1064"/>
      <c r="G2" s="1064"/>
      <c r="H2" s="1064"/>
      <c r="I2" s="1064"/>
      <c r="J2" s="995"/>
      <c r="K2" s="995"/>
      <c r="L2" s="995"/>
      <c r="M2" s="995"/>
      <c r="N2" s="995"/>
      <c r="O2" s="995"/>
      <c r="P2" s="995"/>
      <c r="Q2" s="995"/>
      <c r="R2" s="995"/>
    </row>
    <row r="3" spans="1:18">
      <c r="A3" s="1064" t="s">
        <v>1362</v>
      </c>
      <c r="B3" s="1064"/>
      <c r="C3" s="1064"/>
      <c r="D3" s="1064"/>
      <c r="E3" s="1064"/>
      <c r="F3" s="1064"/>
      <c r="G3" s="1064"/>
      <c r="H3" s="1064"/>
      <c r="I3" s="1064"/>
      <c r="J3" s="995"/>
      <c r="K3" s="995"/>
      <c r="L3" s="995"/>
      <c r="M3" s="995"/>
      <c r="N3" s="995"/>
      <c r="O3" s="995"/>
      <c r="P3" s="995"/>
      <c r="Q3" s="995"/>
      <c r="R3" s="995"/>
    </row>
    <row r="4" spans="1:18">
      <c r="A4" s="1064" t="str">
        <f>PeriodF</f>
        <v>FOR THE TWELVE MONTHS ENDED JUNE 30, 2026</v>
      </c>
      <c r="B4" s="1064"/>
      <c r="C4" s="1064"/>
      <c r="D4" s="1064"/>
      <c r="E4" s="1064"/>
      <c r="F4" s="1064"/>
      <c r="G4" s="1064"/>
      <c r="H4" s="1064"/>
      <c r="I4" s="1064"/>
      <c r="J4" s="995"/>
      <c r="K4" s="995"/>
      <c r="L4" s="995"/>
      <c r="M4" s="995"/>
      <c r="N4" s="995"/>
      <c r="O4" s="995"/>
      <c r="P4" s="995"/>
      <c r="Q4" s="995"/>
      <c r="R4" s="995"/>
    </row>
    <row r="5" spans="1:18">
      <c r="A5" s="995"/>
      <c r="B5" s="995"/>
      <c r="C5" s="995"/>
      <c r="D5" s="995"/>
      <c r="E5" s="995"/>
      <c r="F5" s="995"/>
      <c r="G5" s="995"/>
      <c r="H5" s="995"/>
      <c r="I5" s="1065"/>
      <c r="J5" s="995"/>
      <c r="K5" s="995"/>
      <c r="L5" s="995"/>
      <c r="M5" s="995"/>
      <c r="N5" s="995"/>
      <c r="O5" s="995"/>
      <c r="P5" s="995"/>
      <c r="Q5" s="995"/>
      <c r="R5" s="995"/>
    </row>
    <row r="6" spans="1:18">
      <c r="A6" s="995" t="str">
        <f>DataF</f>
        <v>DATA:  BASE PERIOD  "X" FORECASTED PERIOD</v>
      </c>
      <c r="B6" s="995"/>
      <c r="C6" s="995"/>
      <c r="D6" s="995"/>
      <c r="E6" s="995"/>
      <c r="F6" s="995"/>
      <c r="G6" s="995"/>
      <c r="H6" s="1066" t="s">
        <v>1363</v>
      </c>
      <c r="I6" s="995"/>
      <c r="J6" s="995"/>
      <c r="K6" s="995"/>
      <c r="L6" s="995"/>
      <c r="M6" s="995"/>
      <c r="N6" s="995"/>
      <c r="O6" s="995"/>
      <c r="P6" s="995"/>
      <c r="Q6" s="995"/>
      <c r="R6" s="995"/>
    </row>
    <row r="7" spans="1:18">
      <c r="A7" s="995" t="str">
        <f>Type</f>
        <v xml:space="preserve">TYPE OF FILING:  "X" ORIGINAL   UPDATED    REVISED  </v>
      </c>
      <c r="B7" s="995"/>
      <c r="C7" s="995"/>
      <c r="D7" s="995"/>
      <c r="E7" s="995"/>
      <c r="F7" s="995"/>
      <c r="G7" s="995"/>
      <c r="H7" s="1066" t="s">
        <v>466</v>
      </c>
      <c r="I7" s="995"/>
      <c r="J7" s="995"/>
      <c r="K7" s="995"/>
      <c r="L7" s="995"/>
      <c r="M7" s="995"/>
      <c r="N7" s="995"/>
      <c r="O7" s="995"/>
      <c r="P7" s="995"/>
      <c r="Q7" s="995"/>
      <c r="R7" s="995"/>
    </row>
    <row r="8" spans="1:18">
      <c r="A8" s="1066" t="s">
        <v>1364</v>
      </c>
      <c r="B8" s="995"/>
      <c r="C8" s="995"/>
      <c r="D8" s="995"/>
      <c r="E8" s="995"/>
      <c r="F8" s="995"/>
      <c r="G8" s="995"/>
      <c r="H8" s="1066" t="s">
        <v>468</v>
      </c>
      <c r="I8" s="995"/>
      <c r="J8" s="995"/>
      <c r="K8" s="995"/>
      <c r="L8" s="995"/>
      <c r="M8" s="995"/>
      <c r="N8" s="995"/>
      <c r="O8" s="995"/>
      <c r="P8" s="995"/>
      <c r="Q8" s="995"/>
      <c r="R8" s="995"/>
    </row>
    <row r="9" spans="1:18">
      <c r="A9" s="995"/>
      <c r="B9" s="995"/>
      <c r="C9" s="995"/>
      <c r="D9" s="995"/>
      <c r="E9" s="995"/>
      <c r="F9" s="995"/>
      <c r="G9" s="995"/>
      <c r="H9" s="1066" t="str">
        <f>LOGO!G6</f>
        <v>L. D. STEINKUHL</v>
      </c>
      <c r="I9" s="995"/>
      <c r="J9" s="995"/>
      <c r="K9" s="995"/>
      <c r="L9" s="995"/>
      <c r="M9" s="995"/>
      <c r="N9" s="995"/>
      <c r="O9" s="995"/>
      <c r="P9" s="995"/>
      <c r="Q9" s="995"/>
      <c r="R9" s="995"/>
    </row>
    <row r="10" spans="1:18">
      <c r="A10" s="1489"/>
      <c r="B10" s="1489"/>
      <c r="C10" s="1489"/>
      <c r="D10" s="1489"/>
      <c r="E10" s="1489"/>
      <c r="F10" s="1489"/>
      <c r="G10" s="1489"/>
      <c r="H10" s="1489"/>
      <c r="I10" s="1489"/>
      <c r="J10" s="995"/>
      <c r="K10" s="995"/>
      <c r="L10" s="995"/>
      <c r="M10" s="995"/>
      <c r="N10" s="995"/>
      <c r="O10" s="995"/>
      <c r="P10" s="995"/>
      <c r="Q10" s="995"/>
      <c r="R10" s="995"/>
    </row>
    <row r="11" spans="1:18">
      <c r="A11" s="1067"/>
      <c r="B11" s="1067"/>
      <c r="C11" s="1067"/>
      <c r="D11" s="1067"/>
      <c r="E11" s="1068" t="s">
        <v>474</v>
      </c>
      <c r="F11" s="1067"/>
      <c r="G11" s="1067"/>
      <c r="H11" s="1067"/>
      <c r="I11" s="1068" t="s">
        <v>474</v>
      </c>
      <c r="J11" s="995"/>
      <c r="K11" s="995"/>
      <c r="L11" s="995"/>
      <c r="M11" s="995"/>
      <c r="N11" s="995"/>
      <c r="O11" s="995"/>
      <c r="P11" s="995"/>
      <c r="Q11" s="995"/>
      <c r="R11" s="995"/>
    </row>
    <row r="12" spans="1:18">
      <c r="A12" s="995"/>
      <c r="B12" s="995"/>
      <c r="C12" s="995"/>
      <c r="D12" s="995"/>
      <c r="E12" s="1068" t="s">
        <v>1365</v>
      </c>
      <c r="F12" s="995"/>
      <c r="G12" s="995"/>
      <c r="H12" s="995"/>
      <c r="I12" s="1068" t="s">
        <v>1365</v>
      </c>
      <c r="J12" s="995"/>
      <c r="K12" s="995"/>
      <c r="L12" s="995"/>
      <c r="M12" s="995"/>
      <c r="N12" s="995"/>
      <c r="O12" s="995"/>
      <c r="P12" s="995"/>
      <c r="Q12" s="995"/>
      <c r="R12" s="995"/>
    </row>
    <row r="13" spans="1:18">
      <c r="A13" s="1068" t="s">
        <v>471</v>
      </c>
      <c r="B13" s="995"/>
      <c r="C13" s="995"/>
      <c r="D13" s="995"/>
      <c r="E13" s="1068" t="s">
        <v>1366</v>
      </c>
      <c r="F13" s="995"/>
      <c r="G13" s="1068" t="s">
        <v>1367</v>
      </c>
      <c r="H13" s="1068"/>
      <c r="I13" s="1068" t="s">
        <v>1367</v>
      </c>
      <c r="J13" s="995"/>
      <c r="K13" s="995"/>
      <c r="L13" s="995"/>
      <c r="M13" s="995"/>
      <c r="N13" s="995"/>
      <c r="O13" s="995"/>
      <c r="P13" s="995"/>
      <c r="Q13" s="995"/>
      <c r="R13" s="995"/>
    </row>
    <row r="14" spans="1:18">
      <c r="A14" s="1068" t="s">
        <v>475</v>
      </c>
      <c r="B14" s="995"/>
      <c r="C14" s="1066" t="s">
        <v>1368</v>
      </c>
      <c r="D14" s="995"/>
      <c r="E14" s="1068" t="s">
        <v>1369</v>
      </c>
      <c r="F14" s="995"/>
      <c r="G14" s="1068" t="s">
        <v>1370</v>
      </c>
      <c r="H14" s="1068"/>
      <c r="I14" s="1068" t="s">
        <v>1369</v>
      </c>
      <c r="J14" s="995"/>
      <c r="K14" s="995"/>
      <c r="L14" s="995"/>
      <c r="M14" s="995"/>
      <c r="N14" s="995"/>
      <c r="O14" s="995"/>
      <c r="P14" s="995"/>
      <c r="Q14" s="995"/>
      <c r="R14" s="995"/>
    </row>
    <row r="15" spans="1:18">
      <c r="A15" s="1489"/>
      <c r="B15" s="1489"/>
      <c r="C15" s="1489"/>
      <c r="D15" s="1489"/>
      <c r="E15" s="1489"/>
      <c r="F15" s="1489"/>
      <c r="G15" s="1489"/>
      <c r="H15" s="1489"/>
      <c r="I15" s="1489"/>
      <c r="J15" s="995"/>
      <c r="K15" s="995"/>
      <c r="L15" s="995"/>
      <c r="M15" s="995"/>
      <c r="N15" s="995"/>
      <c r="O15" s="995"/>
      <c r="P15" s="995"/>
      <c r="Q15" s="995"/>
      <c r="R15" s="995"/>
    </row>
    <row r="16" spans="1:18">
      <c r="A16" s="995"/>
      <c r="B16" s="995"/>
      <c r="C16" s="995"/>
      <c r="D16" s="995"/>
      <c r="E16" s="1069" t="s">
        <v>1371</v>
      </c>
      <c r="F16" s="995"/>
      <c r="G16" s="1069" t="s">
        <v>1371</v>
      </c>
      <c r="H16" s="1069"/>
      <c r="I16" s="1069" t="s">
        <v>1371</v>
      </c>
      <c r="J16" s="995"/>
      <c r="K16" s="995"/>
      <c r="L16" s="995"/>
      <c r="M16" s="995"/>
      <c r="N16" s="995"/>
      <c r="O16" s="995"/>
      <c r="P16" s="995"/>
      <c r="Q16" s="995"/>
      <c r="R16" s="995"/>
    </row>
    <row r="17" spans="1:18">
      <c r="A17" s="1068">
        <v>1</v>
      </c>
      <c r="B17" s="995"/>
      <c r="C17" s="1066" t="s">
        <v>1372</v>
      </c>
      <c r="D17" s="995"/>
      <c r="E17" s="1070">
        <f>SCH_C2!N20</f>
        <v>454422637</v>
      </c>
      <c r="F17" s="995"/>
      <c r="G17" s="2226">
        <v>70008476</v>
      </c>
      <c r="H17" s="1375" t="s">
        <v>506</v>
      </c>
      <c r="I17" s="1070">
        <f>E17+G17</f>
        <v>524431113</v>
      </c>
      <c r="J17" s="995"/>
      <c r="K17" s="995"/>
      <c r="L17" s="2227"/>
      <c r="M17" s="995"/>
      <c r="N17" s="995"/>
      <c r="O17" s="995"/>
      <c r="P17" s="995"/>
      <c r="Q17" s="995"/>
      <c r="R17" s="995"/>
    </row>
    <row r="18" spans="1:18">
      <c r="A18" s="1068">
        <v>2</v>
      </c>
      <c r="B18" s="995"/>
      <c r="C18" s="995"/>
      <c r="D18" s="995"/>
      <c r="E18" s="1071" t="str">
        <f>IF(E17&lt;&gt;SCH_C2!N20,"**CHECK REVENUES**","")</f>
        <v/>
      </c>
      <c r="F18" s="995"/>
      <c r="G18" s="1072"/>
      <c r="H18" s="1072"/>
      <c r="I18" s="1072"/>
      <c r="J18" s="995"/>
      <c r="K18" s="995"/>
      <c r="L18" s="2227"/>
      <c r="M18" s="995"/>
      <c r="N18" s="995"/>
      <c r="O18" s="995"/>
      <c r="P18" s="995"/>
      <c r="Q18" s="995"/>
      <c r="R18" s="995"/>
    </row>
    <row r="19" spans="1:18">
      <c r="A19" s="1068">
        <v>3</v>
      </c>
      <c r="B19" s="995"/>
      <c r="C19" s="1066" t="s">
        <v>404</v>
      </c>
      <c r="D19" s="995"/>
      <c r="E19" s="1073"/>
      <c r="F19" s="995"/>
      <c r="G19" s="995"/>
      <c r="H19" s="995"/>
      <c r="I19" s="995"/>
      <c r="J19" s="995"/>
      <c r="K19" s="995"/>
      <c r="L19" s="995"/>
      <c r="M19" s="995"/>
      <c r="N19" s="995"/>
      <c r="O19" s="995"/>
      <c r="P19" s="995"/>
      <c r="Q19" s="995"/>
      <c r="R19" s="995"/>
    </row>
    <row r="20" spans="1:18">
      <c r="A20" s="1068">
        <v>4</v>
      </c>
      <c r="B20" s="995"/>
      <c r="C20" s="1066" t="s">
        <v>1373</v>
      </c>
      <c r="D20" s="995"/>
      <c r="E20" s="1065">
        <f ca="1">SCH_C2!N37</f>
        <v>294576090</v>
      </c>
      <c r="F20" s="995"/>
      <c r="G20" s="1065">
        <f>P54</f>
        <v>644778</v>
      </c>
      <c r="H20" s="1065"/>
      <c r="I20" s="1065">
        <f ca="1">E20+G20</f>
        <v>295220868</v>
      </c>
      <c r="J20" s="995"/>
      <c r="K20" s="995"/>
      <c r="L20" s="995"/>
      <c r="M20" s="995"/>
      <c r="N20" s="995"/>
      <c r="O20" s="995"/>
      <c r="P20" s="995"/>
      <c r="Q20" s="995"/>
      <c r="R20" s="995"/>
    </row>
    <row r="21" spans="1:18">
      <c r="A21" s="1068">
        <v>5</v>
      </c>
      <c r="B21" s="995"/>
      <c r="C21" s="1066" t="s">
        <v>1374</v>
      </c>
      <c r="D21" s="995"/>
      <c r="E21" s="1065">
        <f>SCH_C2!N39</f>
        <v>87908534</v>
      </c>
      <c r="F21" s="995"/>
      <c r="G21" s="1074">
        <v>0</v>
      </c>
      <c r="H21" s="1065"/>
      <c r="I21" s="1065">
        <f>E21+G21</f>
        <v>87908534</v>
      </c>
      <c r="J21" s="995"/>
      <c r="K21" s="995"/>
      <c r="L21" s="995"/>
      <c r="M21" s="995"/>
      <c r="N21" s="995"/>
      <c r="O21" s="995"/>
      <c r="P21" s="995"/>
      <c r="Q21" s="995"/>
      <c r="R21" s="995"/>
    </row>
    <row r="22" spans="1:18">
      <c r="A22" s="1068">
        <v>6</v>
      </c>
      <c r="B22" s="995"/>
      <c r="C22" s="1066" t="s">
        <v>1375</v>
      </c>
      <c r="D22" s="995"/>
      <c r="E22" s="1070">
        <f ca="1">SCH_C2!N44</f>
        <v>18309046</v>
      </c>
      <c r="F22" s="995"/>
      <c r="G22" s="1070">
        <f>P57</f>
        <v>108793</v>
      </c>
      <c r="H22" s="1065"/>
      <c r="I22" s="1070">
        <f ca="1">E22+G22</f>
        <v>18417839</v>
      </c>
      <c r="J22" s="995"/>
      <c r="K22" s="995"/>
      <c r="L22" s="995"/>
      <c r="M22" s="995"/>
      <c r="N22" s="995"/>
      <c r="O22" s="995"/>
      <c r="P22" s="995"/>
      <c r="Q22" s="995"/>
      <c r="R22" s="995"/>
    </row>
    <row r="23" spans="1:18">
      <c r="A23" s="1068">
        <v>7</v>
      </c>
      <c r="B23" s="995"/>
      <c r="C23" s="1066" t="s">
        <v>1376</v>
      </c>
      <c r="D23" s="995"/>
      <c r="E23" s="1065">
        <f ca="1">SUM(E20:E22)</f>
        <v>400793670</v>
      </c>
      <c r="F23" s="995"/>
      <c r="G23" s="1065">
        <f>SUM(G20:G22)</f>
        <v>753571</v>
      </c>
      <c r="H23" s="1065"/>
      <c r="I23" s="1065">
        <f ca="1">SUM(I20:I22)</f>
        <v>401547241</v>
      </c>
      <c r="J23" s="995"/>
      <c r="K23" s="995"/>
      <c r="L23" s="995"/>
      <c r="M23" s="995"/>
      <c r="N23" s="995"/>
      <c r="O23" s="995"/>
      <c r="P23" s="995"/>
      <c r="Q23" s="995"/>
      <c r="R23" s="995"/>
    </row>
    <row r="24" spans="1:18">
      <c r="A24" s="1068">
        <v>8</v>
      </c>
      <c r="B24" s="995"/>
      <c r="C24" s="995"/>
      <c r="D24" s="995"/>
      <c r="E24" s="1065"/>
      <c r="F24" s="995"/>
      <c r="G24" s="995"/>
      <c r="H24" s="995"/>
      <c r="I24" s="1065"/>
      <c r="J24" s="995"/>
      <c r="K24" s="995"/>
      <c r="L24" s="995"/>
      <c r="M24" s="995"/>
      <c r="N24" s="995"/>
      <c r="O24" s="995"/>
      <c r="P24" s="995"/>
      <c r="Q24" s="995"/>
      <c r="R24" s="995"/>
    </row>
    <row r="25" spans="1:18">
      <c r="A25" s="1068">
        <v>9</v>
      </c>
      <c r="B25" s="995"/>
      <c r="C25" s="1066" t="s">
        <v>1377</v>
      </c>
      <c r="D25" s="995"/>
      <c r="E25" s="1065">
        <f ca="1">SCH_C2!N49</f>
        <v>974345</v>
      </c>
      <c r="F25" s="995"/>
      <c r="G25" s="1065">
        <f>P63</f>
        <v>3440930</v>
      </c>
      <c r="H25" s="1065"/>
      <c r="I25" s="1065">
        <f ca="1">E25+G25</f>
        <v>4415275</v>
      </c>
      <c r="J25" s="995"/>
      <c r="K25" s="995"/>
      <c r="L25" s="995"/>
      <c r="M25" s="995"/>
      <c r="N25" s="995"/>
      <c r="O25" s="995"/>
      <c r="P25" s="995"/>
      <c r="Q25" s="995"/>
      <c r="R25" s="995"/>
    </row>
    <row r="26" spans="1:18">
      <c r="A26" s="1068">
        <v>10</v>
      </c>
      <c r="B26" s="995"/>
      <c r="C26" s="1066" t="s">
        <v>1378</v>
      </c>
      <c r="D26" s="995"/>
      <c r="E26" s="1070">
        <f ca="1">SCH_C2!N55</f>
        <v>3151957</v>
      </c>
      <c r="F26" s="995"/>
      <c r="G26" s="1070">
        <f>P65</f>
        <v>13820935</v>
      </c>
      <c r="H26" s="1065"/>
      <c r="I26" s="1070">
        <f ca="1">E26+G26</f>
        <v>16972892</v>
      </c>
      <c r="J26" s="995"/>
      <c r="K26" s="995"/>
      <c r="L26" s="995"/>
      <c r="M26" s="995"/>
      <c r="N26" s="995"/>
      <c r="O26" s="995"/>
      <c r="P26" s="995"/>
      <c r="Q26" s="995"/>
      <c r="R26" s="995"/>
    </row>
    <row r="27" spans="1:18">
      <c r="A27" s="1068">
        <v>11</v>
      </c>
      <c r="B27" s="995"/>
      <c r="C27" s="995"/>
      <c r="D27" s="995"/>
      <c r="E27" s="1072"/>
      <c r="F27" s="995"/>
      <c r="G27" s="1072"/>
      <c r="H27" s="1072"/>
      <c r="I27" s="1072"/>
      <c r="J27" s="995"/>
      <c r="K27" s="995"/>
      <c r="L27" s="995"/>
      <c r="M27" s="995"/>
      <c r="N27" s="995"/>
      <c r="O27" s="995"/>
      <c r="P27" s="995"/>
      <c r="Q27" s="995"/>
      <c r="R27" s="995"/>
    </row>
    <row r="28" spans="1:18">
      <c r="A28" s="1068">
        <v>12</v>
      </c>
      <c r="B28" s="995"/>
      <c r="C28" s="1066" t="s">
        <v>1379</v>
      </c>
      <c r="D28" s="995"/>
      <c r="E28" s="1070">
        <f ca="1">E23+E25+E26</f>
        <v>404919972</v>
      </c>
      <c r="F28" s="995"/>
      <c r="G28" s="1070">
        <f>G23+G25+G26</f>
        <v>18015436</v>
      </c>
      <c r="H28" s="1065"/>
      <c r="I28" s="1070">
        <f ca="1">I23+I25+I26</f>
        <v>422935408</v>
      </c>
      <c r="J28" s="995"/>
      <c r="K28" s="995"/>
      <c r="L28" s="995"/>
      <c r="M28" s="995"/>
      <c r="N28" s="995"/>
      <c r="O28" s="995"/>
      <c r="P28" s="995"/>
      <c r="Q28" s="995"/>
      <c r="R28" s="995"/>
    </row>
    <row r="29" spans="1:18">
      <c r="A29" s="1068">
        <v>13</v>
      </c>
      <c r="B29" s="995"/>
      <c r="C29" s="995"/>
      <c r="D29" s="995"/>
      <c r="E29" s="1072"/>
      <c r="F29" s="995"/>
      <c r="G29" s="1072"/>
      <c r="H29" s="1072"/>
      <c r="I29" s="1072"/>
      <c r="J29" s="995"/>
      <c r="K29" s="995"/>
      <c r="L29" s="995"/>
      <c r="M29" s="995"/>
      <c r="N29" s="995"/>
      <c r="O29" s="995"/>
      <c r="P29" s="995"/>
      <c r="Q29" s="995"/>
      <c r="R29" s="995"/>
    </row>
    <row r="30" spans="1:18">
      <c r="A30" s="1068">
        <v>14</v>
      </c>
      <c r="B30" s="995"/>
      <c r="C30" s="1066" t="s">
        <v>1380</v>
      </c>
      <c r="D30" s="995"/>
      <c r="E30" s="1075">
        <f ca="1">IF(E17-E28=SCH_C2!N59,+E17-E28,"       check c-2!")</f>
        <v>49502665</v>
      </c>
      <c r="F30" s="995"/>
      <c r="G30" s="1075">
        <f>G17-G28</f>
        <v>51993040</v>
      </c>
      <c r="H30" s="1065"/>
      <c r="I30" s="1075">
        <f ca="1">E30+G30</f>
        <v>101495705</v>
      </c>
      <c r="J30" s="995"/>
      <c r="K30" s="995"/>
      <c r="L30" s="995"/>
      <c r="M30" s="995"/>
      <c r="N30" s="995"/>
      <c r="O30" s="995"/>
      <c r="P30" s="995"/>
      <c r="Q30" s="995"/>
      <c r="R30" s="995"/>
    </row>
    <row r="31" spans="1:18">
      <c r="A31" s="1068">
        <v>15</v>
      </c>
      <c r="B31" s="995"/>
      <c r="C31" s="995"/>
      <c r="D31" s="995"/>
      <c r="E31" s="1072"/>
      <c r="F31" s="995"/>
      <c r="G31" s="1072"/>
      <c r="H31" s="1072"/>
      <c r="I31" s="1072"/>
      <c r="J31" s="995"/>
      <c r="K31" s="995"/>
      <c r="L31" s="995"/>
      <c r="M31" s="995"/>
      <c r="N31" s="995"/>
      <c r="O31" s="995"/>
      <c r="P31" s="995"/>
      <c r="Q31" s="995"/>
      <c r="R31" s="995"/>
    </row>
    <row r="32" spans="1:18">
      <c r="A32" s="1068">
        <v>16</v>
      </c>
      <c r="B32" s="995"/>
      <c r="C32" s="1066" t="s">
        <v>1381</v>
      </c>
      <c r="D32" s="995"/>
      <c r="E32" s="1065">
        <f>SCH_B1!I42</f>
        <v>1273791539</v>
      </c>
      <c r="F32" s="995"/>
      <c r="G32" s="995"/>
      <c r="H32" s="995"/>
      <c r="I32" s="1065">
        <f>SCH_B1!I42</f>
        <v>1273791539</v>
      </c>
      <c r="J32" s="995"/>
      <c r="K32" s="995"/>
      <c r="L32" s="995"/>
      <c r="M32" s="995"/>
      <c r="N32" s="995"/>
      <c r="O32" s="995"/>
      <c r="P32" s="995"/>
      <c r="Q32" s="995"/>
      <c r="R32" s="995"/>
    </row>
    <row r="33" spans="1:18">
      <c r="A33" s="1068">
        <v>17</v>
      </c>
      <c r="B33" s="995"/>
      <c r="C33" s="1066" t="s">
        <v>1382</v>
      </c>
      <c r="D33" s="995"/>
      <c r="E33" s="1181">
        <f ca="1">ROUND(E30/E32,5)</f>
        <v>3.8859999999999999E-2</v>
      </c>
      <c r="F33" s="995"/>
      <c r="G33" s="995"/>
      <c r="H33" s="995"/>
      <c r="I33" s="1181">
        <f ca="1">ROUND(I30/I32,5)</f>
        <v>7.9680000000000001E-2</v>
      </c>
      <c r="J33" s="995"/>
      <c r="K33" s="995"/>
      <c r="L33" s="995"/>
      <c r="M33" s="995"/>
      <c r="N33" s="995"/>
      <c r="O33" s="995"/>
      <c r="P33" s="995"/>
      <c r="Q33" s="995"/>
      <c r="R33" s="995"/>
    </row>
    <row r="34" spans="1:18">
      <c r="A34" s="1068"/>
      <c r="B34" s="995"/>
      <c r="C34" s="995"/>
      <c r="D34" s="995"/>
      <c r="E34" s="1072"/>
      <c r="F34" s="995"/>
      <c r="G34" s="995"/>
      <c r="H34" s="995"/>
      <c r="I34" s="1072"/>
      <c r="J34" s="995"/>
      <c r="K34" s="995"/>
      <c r="L34" s="995"/>
      <c r="M34" s="995"/>
      <c r="N34" s="995"/>
      <c r="O34" s="995"/>
      <c r="P34" s="995"/>
      <c r="Q34" s="995"/>
      <c r="R34" s="995"/>
    </row>
    <row r="35" spans="1:18">
      <c r="B35" s="1082" t="s">
        <v>1383</v>
      </c>
      <c r="C35" s="1076"/>
      <c r="D35" s="995"/>
      <c r="E35" s="1065"/>
      <c r="F35" s="995"/>
      <c r="G35" s="995"/>
      <c r="H35" s="995"/>
      <c r="I35" s="995"/>
      <c r="J35" s="995"/>
      <c r="K35" s="995"/>
      <c r="L35" s="995"/>
      <c r="M35" s="995"/>
      <c r="N35" s="995"/>
      <c r="O35" s="995"/>
      <c r="P35" s="995"/>
      <c r="Q35" s="995"/>
      <c r="R35" s="995"/>
    </row>
    <row r="36" spans="1:18">
      <c r="A36" s="1066"/>
      <c r="B36" s="995"/>
      <c r="C36" s="995"/>
      <c r="D36" s="995"/>
      <c r="E36" s="1065"/>
      <c r="F36" s="995"/>
      <c r="G36" s="995"/>
      <c r="H36" s="995"/>
      <c r="I36" s="995"/>
      <c r="J36" s="995"/>
      <c r="K36" s="995"/>
      <c r="L36" s="995"/>
      <c r="M36" s="995"/>
      <c r="N36" s="995"/>
      <c r="O36" s="995"/>
      <c r="P36" s="995"/>
      <c r="Q36" s="995"/>
      <c r="R36" s="995"/>
    </row>
    <row r="37" spans="1:18">
      <c r="A37" s="995"/>
      <c r="B37" s="995"/>
      <c r="C37" s="995"/>
      <c r="D37" s="995"/>
      <c r="E37" s="995"/>
      <c r="F37" s="995"/>
      <c r="G37" s="995"/>
      <c r="H37" s="995"/>
      <c r="I37" s="995"/>
      <c r="J37" s="995"/>
      <c r="K37" s="995"/>
      <c r="L37" s="995"/>
      <c r="M37" s="995"/>
      <c r="N37" s="995"/>
      <c r="O37" s="995"/>
      <c r="P37" s="995"/>
      <c r="Q37" s="995"/>
      <c r="R37" s="995"/>
    </row>
    <row r="38" spans="1:18">
      <c r="A38" s="995"/>
      <c r="B38" s="995"/>
      <c r="C38" s="995"/>
      <c r="D38" s="995"/>
      <c r="E38" s="995"/>
      <c r="F38" s="995"/>
      <c r="G38" s="995"/>
      <c r="H38" s="995"/>
      <c r="I38" s="995"/>
      <c r="J38" s="995" t="str">
        <f>LOGO!B5</f>
        <v>DUKE ENERGY KENTUCKY, INC.</v>
      </c>
      <c r="K38" s="995"/>
      <c r="L38" s="995"/>
      <c r="M38" s="995"/>
      <c r="N38" s="1066" t="s">
        <v>1384</v>
      </c>
      <c r="O38" s="995"/>
      <c r="P38" s="995"/>
      <c r="Q38" s="995"/>
      <c r="R38" s="995"/>
    </row>
    <row r="39" spans="1:18">
      <c r="A39" s="995"/>
      <c r="B39" s="995"/>
      <c r="C39" s="995"/>
      <c r="D39" s="995"/>
      <c r="E39" s="995"/>
      <c r="F39" s="995"/>
      <c r="G39" s="995"/>
      <c r="H39" s="995"/>
      <c r="I39" s="995"/>
      <c r="J39" s="995" t="str">
        <f>LOGO!B9</f>
        <v>ELECTRIC DEPARTMENT</v>
      </c>
      <c r="K39" s="995"/>
      <c r="L39" s="995"/>
      <c r="M39" s="995"/>
      <c r="N39" s="1066" t="s">
        <v>468</v>
      </c>
      <c r="O39" s="995"/>
      <c r="P39" s="995"/>
      <c r="Q39" s="995"/>
      <c r="R39" s="995"/>
    </row>
    <row r="40" spans="1:18">
      <c r="A40" s="995"/>
      <c r="B40" s="995"/>
      <c r="C40" s="995"/>
      <c r="D40" s="995"/>
      <c r="E40" s="995"/>
      <c r="F40" s="995"/>
      <c r="G40" s="995"/>
      <c r="H40" s="995"/>
      <c r="I40" s="995"/>
      <c r="J40" s="995" t="str">
        <f>LOGO!B6</f>
        <v>CASE NO. 2024-00354</v>
      </c>
      <c r="K40" s="995"/>
      <c r="L40" s="995"/>
      <c r="M40" s="995"/>
      <c r="N40" s="995" t="str">
        <f>_WIT1</f>
        <v>L. D. STEINKUHL</v>
      </c>
      <c r="O40" s="995"/>
      <c r="P40" s="995"/>
      <c r="Q40" s="995"/>
      <c r="R40" s="995"/>
    </row>
    <row r="41" spans="1:18">
      <c r="A41" s="995"/>
      <c r="B41" s="995"/>
      <c r="C41" s="995"/>
      <c r="D41" s="995"/>
      <c r="E41" s="995"/>
      <c r="F41" s="995"/>
      <c r="G41" s="995"/>
      <c r="H41" s="995"/>
      <c r="I41" s="995"/>
      <c r="J41" s="1066" t="s">
        <v>1385</v>
      </c>
      <c r="K41" s="995"/>
      <c r="L41" s="995"/>
      <c r="M41" s="995"/>
      <c r="N41" s="995"/>
      <c r="O41" s="995"/>
      <c r="P41" s="995"/>
      <c r="Q41" s="995"/>
      <c r="R41" s="995"/>
    </row>
    <row r="42" spans="1:18">
      <c r="A42" s="995"/>
      <c r="B42" s="995"/>
      <c r="C42" s="995"/>
      <c r="D42" s="995"/>
      <c r="E42" s="995"/>
      <c r="F42" s="995"/>
      <c r="G42" s="995"/>
      <c r="H42" s="995"/>
      <c r="I42" s="995"/>
      <c r="J42" s="995"/>
      <c r="K42" s="995"/>
      <c r="L42" s="995"/>
      <c r="M42" s="995"/>
      <c r="N42" s="1077"/>
      <c r="O42" s="995"/>
      <c r="P42" s="995"/>
      <c r="Q42" s="995"/>
      <c r="R42" s="995"/>
    </row>
    <row r="43" spans="1:18">
      <c r="A43" s="995"/>
      <c r="B43" s="995"/>
      <c r="C43" s="995"/>
      <c r="D43" s="995"/>
      <c r="E43" s="995"/>
      <c r="F43" s="995"/>
      <c r="G43" s="995"/>
      <c r="H43" s="995"/>
      <c r="I43" s="995"/>
      <c r="J43" s="995"/>
      <c r="K43" s="995"/>
      <c r="L43" s="995"/>
      <c r="M43" s="995"/>
      <c r="N43" s="995"/>
      <c r="O43" s="995"/>
      <c r="P43" s="995"/>
      <c r="Q43" s="995"/>
      <c r="R43" s="995"/>
    </row>
    <row r="44" spans="1:18">
      <c r="A44" s="995"/>
      <c r="B44" s="995"/>
      <c r="C44" s="995"/>
      <c r="D44" s="995"/>
      <c r="E44" s="995"/>
      <c r="F44" s="995"/>
      <c r="G44" s="995"/>
      <c r="H44" s="995"/>
      <c r="I44" s="995"/>
      <c r="J44" s="995"/>
      <c r="K44" s="995"/>
      <c r="L44" s="995"/>
      <c r="M44" s="995"/>
      <c r="N44" s="995"/>
      <c r="O44" s="995"/>
      <c r="P44" s="995"/>
      <c r="Q44" s="995"/>
      <c r="R44" s="995"/>
    </row>
    <row r="45" spans="1:18">
      <c r="A45" s="995"/>
      <c r="B45" s="995"/>
      <c r="C45" s="995"/>
      <c r="D45" s="995"/>
      <c r="E45" s="995"/>
      <c r="F45" s="995"/>
      <c r="G45" s="995"/>
      <c r="H45" s="995"/>
      <c r="I45" s="995"/>
      <c r="J45" s="995"/>
      <c r="K45" s="995"/>
      <c r="L45" s="995"/>
      <c r="M45" s="995"/>
      <c r="N45" s="1068" t="s">
        <v>1386</v>
      </c>
      <c r="O45" s="995"/>
      <c r="P45" s="995"/>
      <c r="Q45" s="995"/>
      <c r="R45" s="995"/>
    </row>
    <row r="46" spans="1:18">
      <c r="A46" s="995"/>
      <c r="B46" s="995"/>
      <c r="C46" s="995"/>
      <c r="D46" s="995"/>
      <c r="E46" s="995"/>
      <c r="F46" s="995"/>
      <c r="G46" s="995"/>
      <c r="H46" s="995"/>
      <c r="I46" s="995"/>
      <c r="J46" s="1068" t="s">
        <v>471</v>
      </c>
      <c r="K46" s="995"/>
      <c r="L46" s="995"/>
      <c r="M46" s="995"/>
      <c r="N46" s="1068" t="s">
        <v>935</v>
      </c>
      <c r="O46" s="995"/>
      <c r="P46" s="1068" t="s">
        <v>1367</v>
      </c>
      <c r="Q46" s="995"/>
      <c r="R46" s="995"/>
    </row>
    <row r="47" spans="1:18">
      <c r="A47" s="995"/>
      <c r="B47" s="995"/>
      <c r="C47" s="995"/>
      <c r="D47" s="995"/>
      <c r="E47" s="995"/>
      <c r="F47" s="995"/>
      <c r="G47" s="995"/>
      <c r="H47" s="995"/>
      <c r="I47" s="995"/>
      <c r="J47" s="1078" t="s">
        <v>475</v>
      </c>
      <c r="K47" s="995"/>
      <c r="L47" s="1078" t="s">
        <v>1387</v>
      </c>
      <c r="M47" s="995"/>
      <c r="N47" s="1078" t="s">
        <v>477</v>
      </c>
      <c r="O47" s="995"/>
      <c r="P47" s="1078" t="s">
        <v>1370</v>
      </c>
      <c r="Q47" s="995"/>
      <c r="R47" s="995"/>
    </row>
    <row r="48" spans="1:18">
      <c r="A48" s="995"/>
      <c r="B48" s="995"/>
      <c r="C48" s="995"/>
      <c r="D48" s="995"/>
      <c r="E48" s="995"/>
      <c r="F48" s="995"/>
      <c r="G48" s="995"/>
      <c r="H48" s="995"/>
      <c r="I48" s="995"/>
      <c r="J48" s="1066"/>
      <c r="K48" s="1067"/>
      <c r="L48" s="1067"/>
      <c r="M48" s="1067"/>
      <c r="N48" s="1066"/>
      <c r="O48" s="995"/>
      <c r="P48" s="1069" t="s">
        <v>1371</v>
      </c>
      <c r="Q48" s="995"/>
      <c r="R48" s="995"/>
    </row>
    <row r="49" spans="1:18">
      <c r="A49" s="995"/>
      <c r="B49" s="995"/>
      <c r="C49" s="995"/>
      <c r="D49" s="995"/>
      <c r="E49" s="995"/>
      <c r="F49" s="995"/>
      <c r="G49" s="995"/>
      <c r="H49" s="995"/>
      <c r="I49" s="995"/>
      <c r="J49" s="1068"/>
      <c r="K49" s="995"/>
      <c r="L49" s="995"/>
      <c r="M49" s="995"/>
      <c r="N49" s="995"/>
      <c r="O49" s="995"/>
      <c r="P49" s="995"/>
      <c r="Q49" s="995"/>
      <c r="R49" s="995"/>
    </row>
    <row r="50" spans="1:18">
      <c r="A50" s="995"/>
      <c r="B50" s="995"/>
      <c r="C50" s="995"/>
      <c r="D50" s="995"/>
      <c r="E50" s="995"/>
      <c r="F50" s="995"/>
      <c r="G50" s="995"/>
      <c r="H50" s="995"/>
      <c r="I50" s="995"/>
      <c r="J50" s="1068">
        <v>1</v>
      </c>
      <c r="K50" s="995"/>
      <c r="L50" s="995" t="s">
        <v>1372</v>
      </c>
      <c r="M50" s="995"/>
      <c r="N50" s="1079" t="s">
        <v>1388</v>
      </c>
      <c r="O50" s="995"/>
      <c r="P50" s="1075">
        <f>MINCR</f>
        <v>70008476</v>
      </c>
      <c r="Q50" s="1065"/>
      <c r="R50" s="995"/>
    </row>
    <row r="51" spans="1:18">
      <c r="A51" s="995"/>
      <c r="B51" s="995"/>
      <c r="C51" s="995"/>
      <c r="D51" s="995"/>
      <c r="E51" s="995"/>
      <c r="F51" s="995"/>
      <c r="G51" s="995"/>
      <c r="H51" s="995"/>
      <c r="I51" s="995"/>
      <c r="J51" s="1068">
        <v>2</v>
      </c>
      <c r="K51" s="995"/>
      <c r="L51" s="995"/>
      <c r="M51" s="995"/>
      <c r="N51" s="1065"/>
      <c r="O51" s="995"/>
      <c r="P51" s="1072"/>
      <c r="Q51" s="1065"/>
      <c r="R51" s="995"/>
    </row>
    <row r="52" spans="1:18">
      <c r="A52" s="995"/>
      <c r="B52" s="995"/>
      <c r="C52" s="995"/>
      <c r="D52" s="995"/>
      <c r="E52" s="995"/>
      <c r="F52" s="995"/>
      <c r="G52" s="995"/>
      <c r="H52" s="995"/>
      <c r="I52" s="995"/>
      <c r="J52" s="1068">
        <v>3</v>
      </c>
      <c r="K52" s="995"/>
      <c r="L52" s="995" t="s">
        <v>1389</v>
      </c>
      <c r="M52" s="995"/>
      <c r="N52" s="1071"/>
      <c r="O52" s="995"/>
      <c r="P52" s="1065"/>
      <c r="Q52" s="995"/>
      <c r="R52" s="995"/>
    </row>
    <row r="53" spans="1:18">
      <c r="A53" s="995"/>
      <c r="B53" s="995"/>
      <c r="C53" s="995"/>
      <c r="D53" s="995"/>
      <c r="E53" s="995"/>
      <c r="F53" s="995"/>
      <c r="G53" s="995"/>
      <c r="H53" s="995"/>
      <c r="I53" s="995"/>
      <c r="J53" s="1068">
        <v>4</v>
      </c>
      <c r="K53" s="995"/>
      <c r="L53" s="995"/>
      <c r="M53" s="995"/>
      <c r="N53" s="995"/>
      <c r="O53" s="995"/>
      <c r="P53" s="1065"/>
      <c r="Q53" s="995"/>
      <c r="R53" s="995"/>
    </row>
    <row r="54" spans="1:18">
      <c r="A54" s="995"/>
      <c r="B54" s="995"/>
      <c r="C54" s="995"/>
      <c r="D54" s="995"/>
      <c r="E54" s="995"/>
      <c r="F54" s="995"/>
      <c r="G54" s="995"/>
      <c r="H54" s="995"/>
      <c r="I54" s="995"/>
      <c r="J54" s="1068">
        <v>5</v>
      </c>
      <c r="K54" s="995"/>
      <c r="L54" s="995" t="str">
        <f>"Uncollectible Accounts  @ "&amp;TEXT(UncollExp,"#0.0000%")</f>
        <v>Uncollectible Accounts  @ 0.9210%</v>
      </c>
      <c r="M54" s="995"/>
      <c r="N54" s="1079" t="s">
        <v>1390</v>
      </c>
      <c r="O54" s="995"/>
      <c r="P54" s="1070">
        <f>ROUND(P50*UncollExp,0)</f>
        <v>644778</v>
      </c>
      <c r="Q54" s="1065"/>
      <c r="R54" s="995"/>
    </row>
    <row r="55" spans="1:18">
      <c r="A55" s="995"/>
      <c r="B55" s="995"/>
      <c r="C55" s="995"/>
      <c r="D55" s="995"/>
      <c r="E55" s="995"/>
      <c r="F55" s="995"/>
      <c r="G55" s="995"/>
      <c r="H55" s="995"/>
      <c r="I55" s="995"/>
      <c r="J55" s="1068">
        <v>6</v>
      </c>
      <c r="K55" s="995"/>
      <c r="L55" s="995"/>
      <c r="M55" s="995"/>
      <c r="N55" s="995"/>
      <c r="O55" s="995"/>
      <c r="P55" s="1072"/>
      <c r="Q55" s="995"/>
      <c r="R55" s="995"/>
    </row>
    <row r="56" spans="1:18">
      <c r="A56" s="995"/>
      <c r="B56" s="995"/>
      <c r="C56" s="995"/>
      <c r="D56" s="995"/>
      <c r="E56" s="995"/>
      <c r="F56" s="995"/>
      <c r="G56" s="995"/>
      <c r="H56" s="995"/>
      <c r="I56" s="995"/>
      <c r="J56" s="1068">
        <v>7</v>
      </c>
      <c r="K56" s="995"/>
      <c r="L56" s="995" t="s">
        <v>353</v>
      </c>
      <c r="M56" s="995"/>
      <c r="N56" s="995"/>
      <c r="O56" s="995"/>
      <c r="P56" s="1065"/>
      <c r="Q56" s="995"/>
      <c r="R56" s="995"/>
    </row>
    <row r="57" spans="1:18">
      <c r="A57" s="995"/>
      <c r="B57" s="995"/>
      <c r="C57" s="995"/>
      <c r="D57" s="995"/>
      <c r="E57" s="995"/>
      <c r="F57" s="995"/>
      <c r="G57" s="995"/>
      <c r="H57" s="995"/>
      <c r="I57" s="995"/>
      <c r="J57" s="1068">
        <v>8</v>
      </c>
      <c r="K57" s="995"/>
      <c r="L57" s="995" t="str">
        <f>"  KPSC Maintenance Tax    @ "&amp;TEXT(KPSCMaint,"0.####%")</f>
        <v xml:space="preserve">  KPSC Maintenance Tax    @ 0.1554%</v>
      </c>
      <c r="M57" s="995"/>
      <c r="N57" s="1079" t="s">
        <v>1391</v>
      </c>
      <c r="O57" s="995"/>
      <c r="P57" s="1070">
        <f>ROUND(($P$50*KPSCMaint),0)</f>
        <v>108793</v>
      </c>
      <c r="Q57" s="1065"/>
      <c r="R57" s="995"/>
    </row>
    <row r="58" spans="1:18">
      <c r="A58" s="995"/>
      <c r="B58" s="995"/>
      <c r="C58" s="995"/>
      <c r="D58" s="995"/>
      <c r="E58" s="995"/>
      <c r="F58" s="995"/>
      <c r="G58" s="995"/>
      <c r="H58" s="995"/>
      <c r="I58" s="995"/>
      <c r="J58" s="1068">
        <v>9</v>
      </c>
      <c r="K58" s="995"/>
      <c r="L58" s="995"/>
      <c r="M58" s="995"/>
      <c r="N58" s="1065"/>
      <c r="O58" s="995"/>
      <c r="P58" s="1072"/>
      <c r="Q58" s="995"/>
      <c r="R58" s="995"/>
    </row>
    <row r="59" spans="1:18">
      <c r="A59" s="995"/>
      <c r="B59" s="995"/>
      <c r="C59" s="995"/>
      <c r="D59" s="995"/>
      <c r="E59" s="995"/>
      <c r="F59" s="995"/>
      <c r="G59" s="995"/>
      <c r="H59" s="995"/>
      <c r="I59" s="995"/>
      <c r="J59" s="1068">
        <v>10</v>
      </c>
      <c r="K59" s="995"/>
      <c r="L59" s="995" t="s">
        <v>1392</v>
      </c>
      <c r="M59" s="995"/>
      <c r="N59" s="1065"/>
      <c r="O59" s="995"/>
      <c r="P59" s="1075">
        <f>P54+P57</f>
        <v>753571</v>
      </c>
      <c r="Q59" s="1065"/>
      <c r="R59" s="995"/>
    </row>
    <row r="60" spans="1:18">
      <c r="A60" s="995"/>
      <c r="B60" s="995"/>
      <c r="C60" s="995"/>
      <c r="D60" s="995"/>
      <c r="E60" s="995"/>
      <c r="F60" s="995"/>
      <c r="G60" s="995"/>
      <c r="H60" s="995"/>
      <c r="I60" s="995"/>
      <c r="J60" s="1068">
        <v>11</v>
      </c>
      <c r="K60" s="995"/>
      <c r="L60" s="995"/>
      <c r="M60" s="995"/>
      <c r="N60" s="1065"/>
      <c r="O60" s="995"/>
      <c r="P60" s="1072"/>
      <c r="Q60" s="1065"/>
      <c r="R60" s="995"/>
    </row>
    <row r="61" spans="1:18">
      <c r="A61" s="995"/>
      <c r="B61" s="995"/>
      <c r="C61" s="995"/>
      <c r="D61" s="995"/>
      <c r="E61" s="995"/>
      <c r="F61" s="995"/>
      <c r="G61" s="995"/>
      <c r="H61" s="995"/>
      <c r="I61" s="995"/>
      <c r="J61" s="1068">
        <v>12</v>
      </c>
      <c r="K61" s="995"/>
      <c r="L61" s="995" t="s">
        <v>1393</v>
      </c>
      <c r="M61" s="995"/>
      <c r="N61" s="1065"/>
      <c r="O61" s="995"/>
      <c r="P61" s="1080">
        <f>P50-P59</f>
        <v>69254905</v>
      </c>
      <c r="Q61" s="1065"/>
      <c r="R61" s="995"/>
    </row>
    <row r="62" spans="1:18">
      <c r="A62" s="995"/>
      <c r="B62" s="995"/>
      <c r="C62" s="995"/>
      <c r="D62" s="995"/>
      <c r="E62" s="995"/>
      <c r="F62" s="995"/>
      <c r="G62" s="995"/>
      <c r="H62" s="995"/>
      <c r="I62" s="995"/>
      <c r="J62" s="1068">
        <v>13</v>
      </c>
      <c r="K62" s="995"/>
      <c r="L62" s="1065"/>
      <c r="M62" s="995"/>
      <c r="N62" s="1065"/>
      <c r="O62" s="995"/>
      <c r="P62" s="1072"/>
      <c r="Q62" s="1065"/>
      <c r="R62" s="995"/>
    </row>
    <row r="63" spans="1:18">
      <c r="A63" s="995"/>
      <c r="B63" s="995"/>
      <c r="C63" s="995"/>
      <c r="D63" s="995"/>
      <c r="E63" s="995"/>
      <c r="F63" s="995"/>
      <c r="G63" s="995"/>
      <c r="H63" s="995"/>
      <c r="I63" s="995"/>
      <c r="J63" s="1068">
        <v>14</v>
      </c>
      <c r="K63" s="995"/>
      <c r="L63" s="995" t="str">
        <f>"State Income Taxes (Line 12 * "&amp;TEXT(APPORT,"0.000%")&amp;" * "&amp;TEXT(SIT,"0.000%")&amp;")"</f>
        <v>State Income Taxes (Line 12 * 99.370% * 5.000%)</v>
      </c>
      <c r="M63" s="995"/>
      <c r="N63" s="1079" t="s">
        <v>1390</v>
      </c>
      <c r="O63" s="995"/>
      <c r="P63" s="1080">
        <f>ROUND(P61*APPORT*SIT,0)</f>
        <v>3440930</v>
      </c>
      <c r="Q63" s="1081"/>
      <c r="R63" s="995"/>
    </row>
    <row r="64" spans="1:18">
      <c r="A64" s="995"/>
      <c r="B64" s="995"/>
      <c r="C64" s="995"/>
      <c r="D64" s="995"/>
      <c r="E64" s="995"/>
      <c r="F64" s="995"/>
      <c r="G64" s="995"/>
      <c r="H64" s="995"/>
      <c r="I64" s="995"/>
      <c r="J64" s="1068">
        <v>15</v>
      </c>
      <c r="K64" s="995"/>
      <c r="L64" s="1082"/>
      <c r="M64" s="995"/>
      <c r="N64" s="1065"/>
      <c r="O64" s="995"/>
      <c r="P64" s="1072"/>
      <c r="Q64" s="1065"/>
      <c r="R64" s="995"/>
    </row>
    <row r="65" spans="1:18">
      <c r="A65" s="995"/>
      <c r="B65" s="995"/>
      <c r="C65" s="995"/>
      <c r="D65" s="995"/>
      <c r="E65" s="995"/>
      <c r="F65" s="995"/>
      <c r="G65" s="995"/>
      <c r="H65" s="995"/>
      <c r="I65" s="995"/>
      <c r="J65" s="1068">
        <v>16</v>
      </c>
      <c r="K65" s="995"/>
      <c r="L65" s="995" t="str">
        <f>"Federal Income Taxes  (Line 12 - Line 14) * "&amp;TEXT(FIT,"##%")&amp;")"</f>
        <v>Federal Income Taxes  (Line 12 - Line 14) * 21%)</v>
      </c>
      <c r="M65" s="995"/>
      <c r="N65" s="1079" t="s">
        <v>1390</v>
      </c>
      <c r="O65" s="995"/>
      <c r="P65" s="1075">
        <f>ROUND((P61-P63)*FIT,0)</f>
        <v>13820935</v>
      </c>
      <c r="Q65" s="1065"/>
      <c r="R65" s="995"/>
    </row>
    <row r="66" spans="1:18">
      <c r="A66" s="995"/>
      <c r="B66" s="995"/>
      <c r="C66" s="995"/>
      <c r="D66" s="995"/>
      <c r="E66" s="995"/>
      <c r="F66" s="995"/>
      <c r="G66" s="995"/>
      <c r="H66" s="995"/>
      <c r="I66" s="995"/>
      <c r="J66" s="1068">
        <v>17</v>
      </c>
      <c r="K66" s="995"/>
      <c r="L66" s="1082"/>
      <c r="M66" s="995"/>
      <c r="N66" s="1065"/>
      <c r="O66" s="995"/>
      <c r="P66" s="1072"/>
      <c r="Q66" s="1065"/>
      <c r="R66" s="995"/>
    </row>
    <row r="67" spans="1:18">
      <c r="A67" s="995"/>
      <c r="B67" s="995"/>
      <c r="C67" s="995"/>
      <c r="D67" s="995"/>
      <c r="E67" s="995"/>
      <c r="F67" s="995"/>
      <c r="G67" s="995"/>
      <c r="H67" s="995"/>
      <c r="I67" s="995"/>
      <c r="J67" s="1068">
        <v>18</v>
      </c>
      <c r="K67" s="995"/>
      <c r="L67" s="995" t="s">
        <v>1394</v>
      </c>
      <c r="M67" s="1065"/>
      <c r="N67" s="1065"/>
      <c r="O67" s="995"/>
      <c r="P67" s="1075">
        <f>P59+P63+P65</f>
        <v>18015436</v>
      </c>
      <c r="Q67" s="1065"/>
      <c r="R67" s="995"/>
    </row>
    <row r="68" spans="1:18">
      <c r="A68" s="995"/>
      <c r="B68" s="995"/>
      <c r="C68" s="995"/>
      <c r="D68" s="995"/>
      <c r="E68" s="995"/>
      <c r="F68" s="995"/>
      <c r="G68" s="995"/>
      <c r="H68" s="995"/>
      <c r="I68" s="995"/>
      <c r="J68" s="1068">
        <v>19</v>
      </c>
      <c r="K68" s="995"/>
      <c r="L68" s="995"/>
      <c r="M68" s="995"/>
      <c r="N68" s="995"/>
      <c r="O68" s="995"/>
      <c r="P68" s="1072"/>
      <c r="Q68" s="1065"/>
      <c r="R68" s="995"/>
    </row>
    <row r="69" spans="1:18">
      <c r="A69" s="995"/>
      <c r="B69" s="995"/>
      <c r="C69" s="995"/>
      <c r="D69" s="995"/>
      <c r="E69" s="995"/>
      <c r="F69" s="995"/>
      <c r="G69" s="995"/>
      <c r="H69" s="995"/>
      <c r="I69" s="995"/>
      <c r="J69" s="1068">
        <v>20</v>
      </c>
      <c r="K69" s="995"/>
      <c r="L69" s="995" t="s">
        <v>1380</v>
      </c>
      <c r="M69" s="995"/>
      <c r="N69" s="1083"/>
      <c r="O69" s="995"/>
      <c r="P69" s="1075">
        <f>P50-P67</f>
        <v>51993040</v>
      </c>
      <c r="Q69" s="1065"/>
      <c r="R69" s="995"/>
    </row>
    <row r="70" spans="1:18">
      <c r="A70" s="995"/>
      <c r="B70" s="995"/>
      <c r="C70" s="995"/>
      <c r="D70" s="995"/>
      <c r="E70" s="995"/>
      <c r="F70" s="995"/>
      <c r="G70" s="995"/>
      <c r="H70" s="995"/>
      <c r="I70" s="995"/>
      <c r="J70" s="1068"/>
      <c r="K70" s="995"/>
      <c r="L70" s="995"/>
      <c r="M70" s="995"/>
      <c r="N70" s="995"/>
      <c r="O70" s="995"/>
      <c r="P70" s="1072"/>
      <c r="Q70" s="995"/>
      <c r="R70" s="995"/>
    </row>
    <row r="71" spans="1:18">
      <c r="A71" s="995"/>
      <c r="B71" s="995"/>
      <c r="C71" s="995"/>
      <c r="D71" s="995"/>
      <c r="E71" s="995"/>
      <c r="F71" s="995"/>
      <c r="G71" s="995"/>
      <c r="H71" s="995"/>
      <c r="I71" s="995"/>
      <c r="J71" s="1068"/>
      <c r="K71" s="995"/>
      <c r="L71" s="995"/>
      <c r="M71" s="995"/>
      <c r="N71" s="995"/>
      <c r="O71" s="995"/>
      <c r="P71" s="995"/>
      <c r="Q71" s="995"/>
      <c r="R71" s="995"/>
    </row>
    <row r="72" spans="1:18">
      <c r="A72" s="995"/>
      <c r="B72" s="995"/>
      <c r="C72" s="995"/>
      <c r="D72" s="995"/>
      <c r="E72" s="995"/>
      <c r="F72" s="995"/>
      <c r="G72" s="995"/>
      <c r="H72" s="995"/>
      <c r="I72" s="995"/>
      <c r="J72" s="1068"/>
      <c r="K72" s="995"/>
      <c r="L72" s="995"/>
      <c r="M72" s="995"/>
      <c r="N72" s="995"/>
      <c r="O72" s="995"/>
      <c r="P72" s="995"/>
      <c r="Q72" s="995"/>
      <c r="R72" s="995"/>
    </row>
    <row r="73" spans="1:18">
      <c r="A73" s="995"/>
      <c r="B73" s="995"/>
      <c r="C73" s="995"/>
      <c r="D73" s="995"/>
      <c r="E73" s="995"/>
      <c r="F73" s="995"/>
      <c r="G73" s="995"/>
      <c r="H73" s="995"/>
      <c r="I73" s="995"/>
      <c r="J73" s="1068"/>
      <c r="K73" s="995"/>
      <c r="L73" s="995"/>
      <c r="M73" s="995"/>
      <c r="N73" s="995"/>
      <c r="O73" s="995"/>
      <c r="P73" s="995"/>
      <c r="Q73" s="995"/>
      <c r="R73" s="995"/>
    </row>
    <row r="74" spans="1:18">
      <c r="A74" s="995"/>
      <c r="B74" s="995"/>
      <c r="C74" s="995"/>
      <c r="D74" s="995"/>
      <c r="E74" s="995"/>
      <c r="F74" s="995"/>
      <c r="G74" s="995"/>
      <c r="H74" s="995"/>
      <c r="I74" s="995"/>
      <c r="J74" s="1068"/>
      <c r="K74" s="995"/>
      <c r="L74" s="995"/>
      <c r="M74" s="995"/>
      <c r="N74" s="995"/>
      <c r="O74" s="995"/>
      <c r="P74" s="995"/>
      <c r="Q74" s="995"/>
      <c r="R74" s="995"/>
    </row>
    <row r="75" spans="1:18">
      <c r="A75" s="995"/>
      <c r="B75" s="995"/>
      <c r="C75" s="995"/>
      <c r="D75" s="995"/>
      <c r="E75" s="995"/>
      <c r="F75" s="995"/>
      <c r="G75" s="995"/>
      <c r="H75" s="995"/>
      <c r="I75" s="995"/>
      <c r="J75" s="1068"/>
      <c r="K75" s="995"/>
      <c r="L75" s="995"/>
      <c r="M75" s="995"/>
      <c r="N75" s="995"/>
      <c r="O75" s="995"/>
      <c r="P75" s="995"/>
      <c r="Q75" s="995"/>
      <c r="R75" s="995"/>
    </row>
    <row r="76" spans="1:18">
      <c r="A76" s="995"/>
      <c r="B76" s="995"/>
      <c r="C76" s="995"/>
      <c r="D76" s="995"/>
      <c r="E76" s="995"/>
      <c r="F76" s="995"/>
      <c r="G76" s="995"/>
      <c r="H76" s="995"/>
      <c r="I76" s="995"/>
      <c r="J76" s="1068"/>
      <c r="K76" s="995"/>
      <c r="L76" s="995"/>
      <c r="M76" s="995"/>
      <c r="N76" s="995"/>
      <c r="O76" s="995"/>
      <c r="P76" s="995"/>
      <c r="Q76" s="995"/>
      <c r="R76" s="995"/>
    </row>
    <row r="77" spans="1:18">
      <c r="A77" s="995"/>
      <c r="B77" s="995"/>
      <c r="C77" s="995"/>
      <c r="D77" s="995"/>
      <c r="E77" s="995"/>
      <c r="F77" s="995"/>
      <c r="G77" s="995"/>
      <c r="H77" s="995"/>
      <c r="I77" s="995"/>
      <c r="J77" s="1068"/>
      <c r="K77" s="995"/>
      <c r="L77" s="995"/>
      <c r="M77" s="995"/>
      <c r="N77" s="995"/>
      <c r="O77" s="995"/>
      <c r="P77" s="995"/>
      <c r="Q77" s="995"/>
      <c r="R77" s="995"/>
    </row>
    <row r="78" spans="1:18">
      <c r="A78" s="995"/>
      <c r="B78" s="995"/>
      <c r="C78" s="995"/>
      <c r="D78" s="995"/>
      <c r="E78" s="995"/>
      <c r="F78" s="995"/>
      <c r="G78" s="995"/>
      <c r="H78" s="995"/>
      <c r="I78" s="995"/>
      <c r="J78" s="1068"/>
      <c r="K78" s="995"/>
      <c r="L78" s="995"/>
      <c r="M78" s="995"/>
      <c r="N78" s="995"/>
      <c r="O78" s="995"/>
      <c r="P78" s="995"/>
      <c r="Q78" s="995"/>
      <c r="R78" s="995"/>
    </row>
    <row r="79" spans="1:18">
      <c r="A79" s="995"/>
      <c r="B79" s="995"/>
      <c r="C79" s="995"/>
      <c r="D79" s="995"/>
      <c r="E79" s="995"/>
      <c r="F79" s="995"/>
      <c r="G79" s="995"/>
      <c r="H79" s="995"/>
      <c r="I79" s="995"/>
      <c r="J79" s="1066"/>
      <c r="K79" s="995"/>
      <c r="L79" s="995"/>
      <c r="M79" s="995"/>
      <c r="N79" s="995"/>
      <c r="O79" s="995"/>
      <c r="P79" s="995"/>
      <c r="Q79" s="995"/>
      <c r="R79" s="995"/>
    </row>
    <row r="80" spans="1:18">
      <c r="A80" s="995"/>
      <c r="B80" s="995"/>
      <c r="C80" s="995"/>
      <c r="D80" s="995"/>
      <c r="E80" s="995"/>
      <c r="F80" s="995"/>
      <c r="G80" s="995"/>
      <c r="H80" s="995"/>
      <c r="I80" s="995"/>
      <c r="J80" s="995"/>
      <c r="K80" s="995"/>
      <c r="L80" s="995"/>
      <c r="M80" s="995"/>
      <c r="N80" s="995"/>
      <c r="O80" s="995"/>
      <c r="P80" s="995"/>
      <c r="Q80" s="995"/>
      <c r="R80" s="995"/>
    </row>
    <row r="81" spans="1:18">
      <c r="A81" s="995"/>
      <c r="B81" s="995"/>
      <c r="C81" s="995"/>
      <c r="D81" s="995"/>
      <c r="E81" s="995"/>
      <c r="F81" s="995"/>
      <c r="G81" s="995"/>
      <c r="H81" s="995"/>
      <c r="I81" s="995"/>
      <c r="J81" s="995"/>
      <c r="K81" s="995"/>
      <c r="L81" s="995"/>
      <c r="M81" s="995"/>
      <c r="N81" s="995"/>
      <c r="O81" s="995"/>
      <c r="P81" s="995"/>
      <c r="Q81" s="995"/>
      <c r="R81" s="995"/>
    </row>
    <row r="82" spans="1:18">
      <c r="A82" s="995"/>
      <c r="B82" s="995"/>
      <c r="C82" s="995"/>
      <c r="D82" s="995"/>
      <c r="E82" s="995"/>
      <c r="F82" s="995"/>
      <c r="G82" s="995"/>
      <c r="H82" s="995"/>
      <c r="I82" s="995"/>
      <c r="J82" s="995"/>
      <c r="K82" s="995"/>
      <c r="L82" s="995"/>
      <c r="M82" s="995"/>
      <c r="N82" s="995"/>
      <c r="O82" s="995"/>
      <c r="P82" s="995"/>
      <c r="Q82" s="995"/>
      <c r="R82" s="995"/>
    </row>
    <row r="83" spans="1:18">
      <c r="A83" s="995"/>
      <c r="B83" s="995"/>
      <c r="C83" s="995"/>
      <c r="D83" s="995"/>
      <c r="E83" s="995"/>
      <c r="F83" s="995"/>
      <c r="G83" s="995"/>
      <c r="H83" s="995"/>
      <c r="I83" s="995"/>
      <c r="J83" s="995"/>
      <c r="K83" s="995"/>
      <c r="L83" s="995"/>
      <c r="M83" s="995"/>
      <c r="N83" s="995"/>
      <c r="O83" s="995"/>
      <c r="P83" s="995"/>
      <c r="Q83" s="995"/>
      <c r="R83" s="995"/>
    </row>
    <row r="84" spans="1:18">
      <c r="A84" s="995"/>
      <c r="B84" s="995"/>
      <c r="C84" s="995"/>
      <c r="D84" s="995"/>
      <c r="E84" s="995"/>
      <c r="F84" s="995"/>
      <c r="G84" s="995"/>
      <c r="H84" s="995"/>
      <c r="I84" s="995"/>
      <c r="J84" s="995"/>
      <c r="K84" s="995"/>
      <c r="L84" s="995"/>
      <c r="M84" s="995"/>
      <c r="N84" s="995"/>
      <c r="O84" s="995"/>
      <c r="P84" s="995"/>
      <c r="Q84" s="995"/>
      <c r="R84" s="995"/>
    </row>
  </sheetData>
  <phoneticPr fontId="19" type="noConversion"/>
  <pageMargins left="1" right="0.75" top="1" bottom="0" header="0" footer="0"/>
  <pageSetup scale="7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8">
    <tabColor theme="2" tint="-0.499984740745262"/>
    <pageSetUpPr fitToPage="1"/>
  </sheetPr>
  <dimension ref="A1:U87"/>
  <sheetViews>
    <sheetView zoomScale="90" zoomScaleNormal="90" workbookViewId="0"/>
  </sheetViews>
  <sheetFormatPr defaultColWidth="16.44140625" defaultRowHeight="13.2"/>
  <cols>
    <col min="1" max="1" width="5.5546875" customWidth="1"/>
    <col min="2" max="2" width="4.5546875" customWidth="1"/>
    <col min="3" max="3" width="39" customWidth="1"/>
    <col min="4" max="4" width="1.44140625" customWidth="1"/>
    <col min="5" max="5" width="17.44140625" customWidth="1"/>
    <col min="6" max="6" width="18.44140625" customWidth="1"/>
    <col min="7" max="7" width="15.5546875" customWidth="1"/>
    <col min="8" max="8" width="18.5546875" customWidth="1"/>
    <col min="9" max="9" width="1.5546875" customWidth="1"/>
    <col min="10" max="10" width="17.5546875" customWidth="1"/>
    <col min="11" max="11" width="1" customWidth="1"/>
    <col min="12" max="12" width="17.5546875" customWidth="1"/>
    <col min="13" max="13" width="1" customWidth="1"/>
    <col min="14" max="14" width="17.44140625" customWidth="1"/>
    <col min="15" max="15" width="5.5546875" customWidth="1"/>
    <col min="16" max="16" width="20.5546875" customWidth="1"/>
    <col min="17" max="20" width="17.44140625" customWidth="1"/>
    <col min="21" max="21" width="12.5546875" customWidth="1"/>
    <col min="22" max="22" width="18.44140625" customWidth="1"/>
    <col min="23" max="23" width="12" customWidth="1"/>
    <col min="24" max="24" width="9" customWidth="1"/>
    <col min="25" max="25" width="2" customWidth="1"/>
    <col min="26" max="26" width="12.5546875" customWidth="1"/>
    <col min="27" max="27" width="28.5546875" customWidth="1"/>
    <col min="28" max="28" width="17.44140625" customWidth="1"/>
    <col min="29" max="29" width="13" customWidth="1"/>
    <col min="30" max="30" width="18.5546875" customWidth="1"/>
    <col min="31" max="31" width="12.44140625" customWidth="1"/>
    <col min="32" max="32" width="20" customWidth="1"/>
    <col min="33" max="33" width="16.44140625" customWidth="1"/>
    <col min="34" max="34" width="13.5546875" customWidth="1"/>
    <col min="35" max="35" width="5.5546875" customWidth="1"/>
    <col min="36" max="36" width="16.44140625" customWidth="1"/>
    <col min="37" max="37" width="27.5546875" customWidth="1"/>
    <col min="38" max="38" width="9.5546875" customWidth="1"/>
    <col min="39" max="39" width="20" customWidth="1"/>
    <col min="40" max="40" width="11" customWidth="1"/>
    <col min="41" max="41" width="13.5546875" customWidth="1"/>
    <col min="42" max="42" width="5.5546875" customWidth="1"/>
    <col min="43" max="45" width="16.44140625" customWidth="1"/>
  </cols>
  <sheetData>
    <row r="1" spans="1:20">
      <c r="A1" s="179" t="str">
        <f>COMPANY</f>
        <v>DUKE ENERGY KENTUCKY, INC.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80"/>
      <c r="P1" s="2340"/>
      <c r="Q1" s="180"/>
    </row>
    <row r="2" spans="1:20">
      <c r="A2" s="179" t="str">
        <f>CASE</f>
        <v>CASE NO. 2024-00354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80"/>
      <c r="P2" s="182"/>
      <c r="Q2" s="182"/>
    </row>
    <row r="3" spans="1:20">
      <c r="A3" s="179" t="s">
        <v>1395</v>
      </c>
      <c r="B3" s="179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80"/>
      <c r="P3" s="2341"/>
      <c r="Q3" s="180"/>
    </row>
    <row r="4" spans="1:20">
      <c r="A4" s="179" t="str">
        <f>PERIOD</f>
        <v>FOR THE TWELVE MONTHS ENDED FEBRUARY 28, 2025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80"/>
      <c r="P4" s="2341"/>
      <c r="Q4" s="180"/>
    </row>
    <row r="5" spans="1:20">
      <c r="A5" s="179" t="str">
        <f>PeriodF</f>
        <v>FOR THE TWELVE MONTHS ENDED JUNE 30, 2026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80"/>
      <c r="P5" s="180"/>
      <c r="Q5" s="180"/>
    </row>
    <row r="6" spans="1:20">
      <c r="A6" s="179"/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80"/>
      <c r="P6" s="180"/>
      <c r="Q6" s="180"/>
    </row>
    <row r="7" spans="1:20">
      <c r="A7" s="180" t="str">
        <f>DataB</f>
        <v>DATA: "X" BASE PERIOD  "X" FORECASTED PERIOD</v>
      </c>
      <c r="B7" s="180"/>
      <c r="C7" s="180"/>
      <c r="D7" s="180"/>
      <c r="E7" s="180"/>
      <c r="F7" s="180"/>
      <c r="G7" s="180"/>
      <c r="H7" s="180"/>
      <c r="I7" s="180"/>
      <c r="J7" s="180"/>
      <c r="K7" s="181"/>
      <c r="L7" s="181" t="s">
        <v>1396</v>
      </c>
      <c r="M7" s="180"/>
      <c r="N7" s="180"/>
      <c r="O7" s="180"/>
      <c r="P7" s="180"/>
      <c r="Q7" s="180"/>
    </row>
    <row r="8" spans="1:20">
      <c r="A8" s="180" t="str">
        <f>Type</f>
        <v xml:space="preserve">TYPE OF FILING:  "X" ORIGINAL   UPDATED    REVISED  </v>
      </c>
      <c r="B8" s="180"/>
      <c r="C8" s="180"/>
      <c r="D8" s="180"/>
      <c r="E8" s="180"/>
      <c r="F8" s="180"/>
      <c r="G8" s="180"/>
      <c r="H8" s="180"/>
      <c r="I8" s="180"/>
      <c r="J8" s="180"/>
      <c r="K8" s="181"/>
      <c r="L8" s="181" t="s">
        <v>1397</v>
      </c>
      <c r="M8" s="180"/>
      <c r="N8" s="180"/>
      <c r="O8" s="180"/>
      <c r="P8" s="180"/>
      <c r="Q8" s="180"/>
    </row>
    <row r="9" spans="1:20">
      <c r="A9" s="181" t="s">
        <v>1398</v>
      </c>
      <c r="B9" s="180"/>
      <c r="C9" s="180"/>
      <c r="D9" s="180"/>
      <c r="E9" s="180"/>
      <c r="F9" s="180"/>
      <c r="G9" s="180"/>
      <c r="H9" s="180"/>
      <c r="I9" s="180"/>
      <c r="J9" s="180"/>
      <c r="K9" s="181"/>
      <c r="L9" s="181" t="s">
        <v>1399</v>
      </c>
      <c r="M9" s="180"/>
      <c r="N9" s="180"/>
      <c r="O9" s="180"/>
      <c r="P9" s="180"/>
      <c r="Q9" s="180"/>
    </row>
    <row r="10" spans="1:20">
      <c r="A10" s="180"/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 t="str">
        <f>"              "&amp;_WIT1</f>
        <v xml:space="preserve">              L. D. STEINKUHL</v>
      </c>
      <c r="M10" s="180"/>
      <c r="N10" s="180"/>
      <c r="O10" s="180"/>
      <c r="P10" s="180"/>
      <c r="Q10" s="180"/>
    </row>
    <row r="11" spans="1:20">
      <c r="A11" s="1490"/>
      <c r="B11" s="1490"/>
      <c r="C11" s="1490"/>
      <c r="D11" s="1490"/>
      <c r="E11" s="1490"/>
      <c r="F11" s="1490"/>
      <c r="G11" s="1490"/>
      <c r="H11" s="1490"/>
      <c r="I11" s="1490"/>
      <c r="J11" s="1490"/>
      <c r="K11" s="1490"/>
      <c r="L11" s="1490"/>
      <c r="M11" s="1490"/>
      <c r="N11" s="1490"/>
      <c r="O11" s="180"/>
      <c r="P11" s="1490"/>
      <c r="Q11" s="180"/>
    </row>
    <row r="12" spans="1:20">
      <c r="A12" s="180"/>
      <c r="B12" s="180"/>
      <c r="C12" s="180"/>
      <c r="D12" s="180"/>
      <c r="E12" s="180"/>
      <c r="F12" s="180"/>
      <c r="G12" s="180"/>
      <c r="H12" s="180"/>
      <c r="I12" s="180"/>
      <c r="J12" s="179" t="s">
        <v>1400</v>
      </c>
      <c r="K12" s="179"/>
      <c r="L12" s="179"/>
      <c r="M12" s="180"/>
      <c r="N12" s="180"/>
      <c r="O12" s="180"/>
      <c r="P12" s="2128" t="s">
        <v>972</v>
      </c>
      <c r="Q12" s="1205"/>
      <c r="T12" s="29"/>
    </row>
    <row r="13" spans="1:20">
      <c r="A13" s="180"/>
      <c r="B13" s="180"/>
      <c r="C13" s="183" t="s">
        <v>1401</v>
      </c>
      <c r="D13" s="180"/>
      <c r="E13" s="179"/>
      <c r="F13" s="1491" t="s">
        <v>1402</v>
      </c>
      <c r="G13" s="1491"/>
      <c r="H13" s="183"/>
      <c r="I13" s="180"/>
      <c r="J13" s="1491" t="s">
        <v>1403</v>
      </c>
      <c r="K13" s="1491"/>
      <c r="L13" s="1491"/>
      <c r="M13" s="183"/>
      <c r="N13" s="183" t="s">
        <v>1404</v>
      </c>
      <c r="O13" s="180"/>
      <c r="P13" s="1388" t="s">
        <v>1405</v>
      </c>
      <c r="Q13" s="1205"/>
      <c r="R13" s="29"/>
      <c r="T13" s="1294"/>
    </row>
    <row r="14" spans="1:20">
      <c r="A14" s="183" t="s">
        <v>471</v>
      </c>
      <c r="B14" s="180"/>
      <c r="C14" s="183" t="s">
        <v>1406</v>
      </c>
      <c r="D14" s="180"/>
      <c r="E14" s="183" t="s">
        <v>473</v>
      </c>
      <c r="F14" s="183"/>
      <c r="G14" s="183" t="s">
        <v>472</v>
      </c>
      <c r="H14" s="183" t="s">
        <v>474</v>
      </c>
      <c r="I14" s="180"/>
      <c r="J14" s="183"/>
      <c r="K14" s="183"/>
      <c r="L14" s="183" t="s">
        <v>472</v>
      </c>
      <c r="M14" s="183"/>
      <c r="N14" s="183" t="s">
        <v>474</v>
      </c>
      <c r="O14" s="180"/>
      <c r="P14" s="1388" t="s">
        <v>1407</v>
      </c>
      <c r="Q14" s="1205"/>
      <c r="R14" s="29"/>
      <c r="T14" s="1294"/>
    </row>
    <row r="15" spans="1:20">
      <c r="A15" s="1492" t="s">
        <v>475</v>
      </c>
      <c r="B15" s="1490"/>
      <c r="C15" s="1492" t="s">
        <v>1408</v>
      </c>
      <c r="D15" s="1490"/>
      <c r="E15" s="1492" t="s">
        <v>478</v>
      </c>
      <c r="F15" s="1492" t="s">
        <v>975</v>
      </c>
      <c r="G15" s="1492" t="s">
        <v>477</v>
      </c>
      <c r="H15" s="1492" t="s">
        <v>478</v>
      </c>
      <c r="I15" s="1492"/>
      <c r="J15" s="1492" t="s">
        <v>975</v>
      </c>
      <c r="K15" s="1492"/>
      <c r="L15" s="1492" t="s">
        <v>477</v>
      </c>
      <c r="M15" s="1492"/>
      <c r="N15" s="1492" t="s">
        <v>478</v>
      </c>
      <c r="O15" s="180"/>
      <c r="P15" s="1389" t="s">
        <v>1409</v>
      </c>
      <c r="Q15" s="1205"/>
      <c r="T15" s="1294"/>
    </row>
    <row r="16" spans="1:20">
      <c r="A16" s="183">
        <v>1</v>
      </c>
      <c r="B16" s="181" t="s">
        <v>1410</v>
      </c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390"/>
      <c r="Q16" s="1205"/>
      <c r="T16" s="1294"/>
    </row>
    <row r="17" spans="1:21">
      <c r="A17" s="183">
        <v>2</v>
      </c>
      <c r="B17" s="180"/>
      <c r="C17" s="181" t="s">
        <v>13</v>
      </c>
      <c r="D17" s="180"/>
      <c r="E17" s="659">
        <f>WPC_2!E34</f>
        <v>320101480</v>
      </c>
      <c r="F17" s="182">
        <f>H17-E17</f>
        <v>-21828073</v>
      </c>
      <c r="G17" s="183" t="s">
        <v>1411</v>
      </c>
      <c r="H17" s="659">
        <f>WPC_2!O73</f>
        <v>298273407</v>
      </c>
      <c r="I17" s="182"/>
      <c r="J17" s="659">
        <f>SCH_D1!U204</f>
        <v>5311469</v>
      </c>
      <c r="K17" s="659"/>
      <c r="L17" s="183" t="s">
        <v>1412</v>
      </c>
      <c r="M17" s="180"/>
      <c r="N17" s="182">
        <f>H17+J17</f>
        <v>303584876</v>
      </c>
      <c r="O17" s="180"/>
      <c r="P17" s="1391">
        <f>IF(J17+F17=SCH_D1!AK516,J17+F17,"ERROR")</f>
        <v>-16516604</v>
      </c>
      <c r="Q17" s="1205"/>
      <c r="R17" s="1294"/>
      <c r="T17" s="1294"/>
      <c r="U17" s="28"/>
    </row>
    <row r="18" spans="1:21">
      <c r="A18" s="183">
        <v>3</v>
      </c>
      <c r="B18" s="180"/>
      <c r="C18" s="181" t="s">
        <v>1413</v>
      </c>
      <c r="D18" s="180"/>
      <c r="E18" s="659">
        <f>WPC_2!F34</f>
        <v>149982546</v>
      </c>
      <c r="F18" s="182">
        <f>H18-E18</f>
        <v>-2719333</v>
      </c>
      <c r="G18" s="183" t="s">
        <v>1411</v>
      </c>
      <c r="H18" s="659">
        <f>WPC_2!P73</f>
        <v>147263213</v>
      </c>
      <c r="I18" s="182"/>
      <c r="J18" s="659">
        <f>SCH_D1!U205</f>
        <v>0</v>
      </c>
      <c r="K18" s="659"/>
      <c r="L18" s="183" t="s">
        <v>1412</v>
      </c>
      <c r="M18" s="180"/>
      <c r="N18" s="182">
        <f>H18+J18</f>
        <v>147263213</v>
      </c>
      <c r="O18" s="180"/>
      <c r="P18" s="1391">
        <f>IF(J18+F18=SCH_D1!AK517,J18+F18,"ERROR")</f>
        <v>-2719333</v>
      </c>
      <c r="Q18" s="1205"/>
      <c r="T18" s="1294"/>
      <c r="U18" s="28"/>
    </row>
    <row r="19" spans="1:21">
      <c r="A19" s="183">
        <v>4</v>
      </c>
      <c r="B19" s="180"/>
      <c r="C19" s="181" t="s">
        <v>1414</v>
      </c>
      <c r="D19" s="180"/>
      <c r="E19" s="659">
        <f>WPC_2!G34</f>
        <v>33681121</v>
      </c>
      <c r="F19" s="182">
        <f>H19-E19</f>
        <v>3335236</v>
      </c>
      <c r="G19" s="183" t="s">
        <v>1411</v>
      </c>
      <c r="H19" s="659">
        <f>WPC_2!Q73</f>
        <v>37016357</v>
      </c>
      <c r="I19" s="182"/>
      <c r="J19" s="659">
        <f>SCH_D1!U206</f>
        <v>-33441809</v>
      </c>
      <c r="K19" s="659"/>
      <c r="L19" s="183" t="s">
        <v>1412</v>
      </c>
      <c r="M19" s="180"/>
      <c r="N19" s="182">
        <f>H19+J19</f>
        <v>3574548</v>
      </c>
      <c r="O19" s="180"/>
      <c r="P19" s="1391">
        <f>IF(J19+F19=SCH_D1!AK518,J19+F19,"ERROR")</f>
        <v>-30106573</v>
      </c>
      <c r="Q19" s="1205"/>
      <c r="T19" s="1294"/>
    </row>
    <row r="20" spans="1:21">
      <c r="A20" s="183">
        <v>5</v>
      </c>
      <c r="B20" s="180"/>
      <c r="C20" s="181" t="s">
        <v>1415</v>
      </c>
      <c r="D20" s="182"/>
      <c r="E20" s="2129">
        <f>IF(E17+E18+E19='SCH_C2.1 - Base Period'!J53,+E17+E18+E19,"check C-2.1 !")</f>
        <v>503765147</v>
      </c>
      <c r="F20" s="2129">
        <f>SUM(F17:F19)</f>
        <v>-21212170</v>
      </c>
      <c r="G20" s="183"/>
      <c r="H20" s="2129">
        <f>IF(H17+H18+H19='SCH_C2.1 - Forecasted Period'!J47,+H17+H18+H19,"check C-2.1 !")</f>
        <v>482552977</v>
      </c>
      <c r="I20" s="180"/>
      <c r="J20" s="2129">
        <f>SUM(J17:J19)</f>
        <v>-28130340</v>
      </c>
      <c r="K20" s="182"/>
      <c r="L20" s="183"/>
      <c r="M20" s="180"/>
      <c r="N20" s="2129">
        <f>SUM(N17:N19)</f>
        <v>454422637</v>
      </c>
      <c r="O20" s="180"/>
      <c r="P20" s="2130">
        <f>SUM(P17:P19)</f>
        <v>-49342510</v>
      </c>
      <c r="Q20" s="2080"/>
      <c r="T20" s="1294"/>
    </row>
    <row r="21" spans="1:21">
      <c r="A21" s="183">
        <v>6</v>
      </c>
      <c r="B21" s="180"/>
      <c r="C21" s="180"/>
      <c r="D21" s="180"/>
      <c r="E21" s="2210"/>
      <c r="F21" s="180"/>
      <c r="G21" s="183"/>
      <c r="H21" s="2210"/>
      <c r="I21" s="180"/>
      <c r="J21" s="182"/>
      <c r="K21" s="180"/>
      <c r="L21" s="183"/>
      <c r="M21" s="180"/>
      <c r="N21" s="182"/>
      <c r="O21" s="180"/>
      <c r="P21" s="1390"/>
      <c r="Q21" s="2080"/>
      <c r="T21" s="1294"/>
    </row>
    <row r="22" spans="1:21">
      <c r="A22" s="183">
        <v>7</v>
      </c>
      <c r="B22" s="181" t="s">
        <v>1416</v>
      </c>
      <c r="C22" s="180"/>
      <c r="D22" s="180"/>
      <c r="E22" s="182"/>
      <c r="F22" s="180"/>
      <c r="G22" s="183"/>
      <c r="H22" s="182"/>
      <c r="I22" s="180"/>
      <c r="J22" s="182"/>
      <c r="K22" s="180"/>
      <c r="L22" s="183"/>
      <c r="M22" s="180"/>
      <c r="N22" s="182"/>
      <c r="O22" s="180"/>
      <c r="P22" s="1390"/>
      <c r="Q22" s="180"/>
      <c r="T22" s="1294"/>
    </row>
    <row r="23" spans="1:21">
      <c r="A23" s="183">
        <v>8</v>
      </c>
      <c r="B23" s="181" t="s">
        <v>1417</v>
      </c>
      <c r="C23" s="180"/>
      <c r="D23" s="180"/>
      <c r="E23" s="182"/>
      <c r="F23" s="180"/>
      <c r="G23" s="183"/>
      <c r="H23" s="182"/>
      <c r="I23" s="180"/>
      <c r="J23" s="182"/>
      <c r="K23" s="180"/>
      <c r="L23" s="183"/>
      <c r="M23" s="180"/>
      <c r="N23" s="182"/>
      <c r="O23" s="180"/>
      <c r="P23" s="1390"/>
      <c r="Q23" s="180"/>
      <c r="T23" s="1294"/>
    </row>
    <row r="24" spans="1:21">
      <c r="A24" s="183">
        <v>9</v>
      </c>
      <c r="B24" s="180"/>
      <c r="C24" s="181" t="s">
        <v>453</v>
      </c>
      <c r="D24" s="180"/>
      <c r="E24" s="182"/>
      <c r="F24" s="180"/>
      <c r="G24" s="183"/>
      <c r="H24" s="182"/>
      <c r="I24" s="180"/>
      <c r="J24" s="182"/>
      <c r="K24" s="180"/>
      <c r="L24" s="183"/>
      <c r="M24" s="180"/>
      <c r="N24" s="182"/>
      <c r="O24" s="180"/>
      <c r="P24" s="1390"/>
      <c r="Q24" s="180"/>
      <c r="T24" s="1294"/>
    </row>
    <row r="25" spans="1:21">
      <c r="A25" s="183">
        <v>10</v>
      </c>
      <c r="B25" s="181" t="s">
        <v>1418</v>
      </c>
      <c r="C25" s="181" t="s">
        <v>454</v>
      </c>
      <c r="D25" s="180"/>
      <c r="E25" s="659">
        <f>'SCH_C2.1 - Base Period'!J119+'SCH_C2.1 - Base Period'!J118+'SCH_C2.1 - Base Period'!J77+'SCH_C2.1 - Base Period'!J99+'SCH_C2.1 - Base Period'!J122</f>
        <v>172781854</v>
      </c>
      <c r="F25" s="182">
        <f>H25-E25</f>
        <v>-7955234</v>
      </c>
      <c r="G25" s="183" t="s">
        <v>1419</v>
      </c>
      <c r="H25" s="659">
        <f>'SCH_C2.1 - Forecasted Period'!J111+'SCH_C2.1 - Forecasted Period'!J110+'SCH_C2.1 - Forecasted Period'!J92+'SCH_C2.1 - Forecasted Period'!J71+'SCH_C2.1 - Forecasted Period'!J114</f>
        <v>164826620</v>
      </c>
      <c r="I25" s="180"/>
      <c r="J25" s="182">
        <f>SCH_D1!U212</f>
        <v>-13959152</v>
      </c>
      <c r="K25" s="182"/>
      <c r="L25" s="183" t="s">
        <v>1412</v>
      </c>
      <c r="M25" s="180"/>
      <c r="N25" s="182">
        <f>H25+J25</f>
        <v>150867468</v>
      </c>
      <c r="O25" s="180"/>
      <c r="P25" s="1391">
        <f>IF(J25+F25=SCH_D1!AK524,J25+F25,"ERROR")</f>
        <v>-21914386</v>
      </c>
      <c r="Q25" s="180"/>
      <c r="T25" s="1294"/>
    </row>
    <row r="26" spans="1:21">
      <c r="A26" s="183">
        <v>11</v>
      </c>
      <c r="B26" s="181"/>
      <c r="C26" s="180" t="s">
        <v>455</v>
      </c>
      <c r="D26" s="180"/>
      <c r="E26" s="2211">
        <f>'SCH_C2.1 - Base Period'!J125-E25</f>
        <v>55165286</v>
      </c>
      <c r="F26" s="182">
        <f>H26-E26</f>
        <v>3808146</v>
      </c>
      <c r="G26" s="183" t="s">
        <v>1420</v>
      </c>
      <c r="H26" s="2211">
        <f>'SCH_C2.1 - Forecasted Period'!J117-H25</f>
        <v>58973432</v>
      </c>
      <c r="I26" s="180"/>
      <c r="J26" s="182">
        <f ca="1">SCH_D1!U213</f>
        <v>-12497746</v>
      </c>
      <c r="K26" s="180"/>
      <c r="L26" s="183" t="s">
        <v>1412</v>
      </c>
      <c r="M26" s="180"/>
      <c r="N26" s="182">
        <f ca="1">H26+J26</f>
        <v>46475686</v>
      </c>
      <c r="O26" s="180"/>
      <c r="P26" s="1391">
        <f ca="1">IF(J26+F26=SCH_D1!AK525,J26+F26,"ERROR")</f>
        <v>-8689600</v>
      </c>
      <c r="Q26" s="180"/>
      <c r="T26" s="1294"/>
    </row>
    <row r="27" spans="1:21">
      <c r="A27" s="183">
        <v>12</v>
      </c>
      <c r="B27" s="180"/>
      <c r="C27" s="660" t="s">
        <v>456</v>
      </c>
      <c r="D27" s="180"/>
      <c r="E27" s="182">
        <f>SUM(E25:E26)</f>
        <v>227947140</v>
      </c>
      <c r="F27" s="2131">
        <f>SUM(F25:F26)</f>
        <v>-4147088</v>
      </c>
      <c r="G27" s="183"/>
      <c r="H27" s="182">
        <f>SUM(H25:H26)</f>
        <v>223800052</v>
      </c>
      <c r="I27" s="180"/>
      <c r="J27" s="2131">
        <f ca="1">SUM(J25:J26)</f>
        <v>-26456898</v>
      </c>
      <c r="K27" s="182"/>
      <c r="L27" s="183"/>
      <c r="M27" s="180"/>
      <c r="N27" s="2131">
        <f ca="1">SUM(N25:N26)</f>
        <v>197343154</v>
      </c>
      <c r="O27" s="180"/>
      <c r="P27" s="2132">
        <f ca="1">SUM(P25:P26)</f>
        <v>-30603986</v>
      </c>
      <c r="Q27" s="180"/>
    </row>
    <row r="28" spans="1:21">
      <c r="A28" s="183">
        <v>13</v>
      </c>
      <c r="B28" s="181"/>
      <c r="C28" s="180"/>
      <c r="D28" s="180"/>
      <c r="E28" s="182"/>
      <c r="F28" s="182"/>
      <c r="G28" s="183"/>
      <c r="H28" s="182"/>
      <c r="I28" s="180"/>
      <c r="J28" s="182"/>
      <c r="K28" s="180"/>
      <c r="L28" s="183"/>
      <c r="M28" s="180"/>
      <c r="N28" s="182"/>
      <c r="O28" s="180"/>
      <c r="P28" s="1390"/>
      <c r="Q28" s="180"/>
    </row>
    <row r="29" spans="1:21">
      <c r="A29" s="183">
        <v>14</v>
      </c>
      <c r="B29" s="181"/>
      <c r="C29" s="180" t="s">
        <v>457</v>
      </c>
      <c r="D29" s="180"/>
      <c r="E29" s="659">
        <f>'SCH_C2.1 - Base Period'!J163</f>
        <v>30517275</v>
      </c>
      <c r="F29" s="182">
        <f t="shared" ref="F29:F35" si="0">H29-E29</f>
        <v>4296729</v>
      </c>
      <c r="G29" s="183" t="s">
        <v>1421</v>
      </c>
      <c r="H29" s="659">
        <f>'SCH_C2.1 - Forecasted Period'!J158</f>
        <v>34814004</v>
      </c>
      <c r="I29" s="180"/>
      <c r="J29" s="182">
        <f>SCH_D1!U216</f>
        <v>-1200000</v>
      </c>
      <c r="K29" s="180"/>
      <c r="L29" s="183" t="s">
        <v>1412</v>
      </c>
      <c r="M29" s="180"/>
      <c r="N29" s="182">
        <f t="shared" ref="N29:N35" si="1">H29+J29</f>
        <v>33614004</v>
      </c>
      <c r="O29" s="180"/>
      <c r="P29" s="1391">
        <f>IF(J29+F29=SCH_D1!AK528,J29+F29,"ERROR")</f>
        <v>3096729</v>
      </c>
      <c r="Q29" s="180"/>
    </row>
    <row r="30" spans="1:21">
      <c r="A30" s="183">
        <v>15</v>
      </c>
      <c r="B30" s="181"/>
      <c r="C30" s="180" t="s">
        <v>1422</v>
      </c>
      <c r="D30" s="180"/>
      <c r="E30" s="659">
        <f>'SCH_C2.1 - Base Period'!J169</f>
        <v>2770253</v>
      </c>
      <c r="F30" s="182">
        <f t="shared" si="0"/>
        <v>669967</v>
      </c>
      <c r="G30" s="183" t="s">
        <v>1423</v>
      </c>
      <c r="H30" s="659">
        <f>'SCH_C2.1 - Forecasted Period'!J164</f>
        <v>3440220</v>
      </c>
      <c r="I30" s="180"/>
      <c r="J30" s="182">
        <f>SCH_D1!U217</f>
        <v>0</v>
      </c>
      <c r="K30" s="180"/>
      <c r="L30" s="183" t="s">
        <v>1412</v>
      </c>
      <c r="M30" s="180"/>
      <c r="N30" s="182">
        <f t="shared" si="1"/>
        <v>3440220</v>
      </c>
      <c r="O30" s="180"/>
      <c r="P30" s="1391">
        <f>IF(J30+F30=SCH_D1!AK529,J30+F30,"ERROR")</f>
        <v>669967</v>
      </c>
      <c r="Q30" s="180"/>
    </row>
    <row r="31" spans="1:21">
      <c r="A31" s="183">
        <v>16</v>
      </c>
      <c r="B31" s="180"/>
      <c r="C31" s="181" t="s">
        <v>458</v>
      </c>
      <c r="D31" s="180"/>
      <c r="E31" s="659">
        <f>'SCH_C2.1 - Base Period'!J198</f>
        <v>12416931</v>
      </c>
      <c r="F31" s="182">
        <f t="shared" si="0"/>
        <v>2016745</v>
      </c>
      <c r="G31" s="183" t="s">
        <v>1424</v>
      </c>
      <c r="H31" s="659">
        <f>'SCH_C2.1 - Forecasted Period'!J193</f>
        <v>14433676</v>
      </c>
      <c r="I31" s="180"/>
      <c r="J31" s="182">
        <f>SCH_D1!U218</f>
        <v>0</v>
      </c>
      <c r="K31" s="182"/>
      <c r="L31" s="183" t="s">
        <v>1412</v>
      </c>
      <c r="M31" s="180"/>
      <c r="N31" s="182">
        <f t="shared" si="1"/>
        <v>14433676</v>
      </c>
      <c r="O31" s="180"/>
      <c r="P31" s="1391">
        <f>IF(J31+F31=SCH_D1!AK530,J31+F31,"ERROR")</f>
        <v>2016745</v>
      </c>
      <c r="Q31" s="180"/>
    </row>
    <row r="32" spans="1:21">
      <c r="A32" s="183">
        <v>17</v>
      </c>
      <c r="B32" s="180"/>
      <c r="C32" s="181" t="s">
        <v>459</v>
      </c>
      <c r="D32" s="180"/>
      <c r="E32" s="659">
        <f>'SCH_C2.1 - Base Period'!J225</f>
        <v>6265587</v>
      </c>
      <c r="F32" s="182">
        <f t="shared" si="0"/>
        <v>66570</v>
      </c>
      <c r="G32" s="183" t="s">
        <v>1425</v>
      </c>
      <c r="H32" s="659">
        <f>'SCH_C2.1 - Forecasted Period'!J220</f>
        <v>6332157</v>
      </c>
      <c r="I32" s="180"/>
      <c r="J32" s="182">
        <f ca="1">SCH_D1!U219</f>
        <v>2104799</v>
      </c>
      <c r="K32" s="182"/>
      <c r="L32" s="183" t="s">
        <v>1412</v>
      </c>
      <c r="M32" s="180"/>
      <c r="N32" s="182">
        <f t="shared" ca="1" si="1"/>
        <v>8436956</v>
      </c>
      <c r="O32" s="180"/>
      <c r="P32" s="1391">
        <f ca="1">IF(J32+F32=SCH_D1!AK531,J32+F32,"ERROR")</f>
        <v>2171369</v>
      </c>
      <c r="Q32" s="180"/>
    </row>
    <row r="33" spans="1:17">
      <c r="A33" s="183">
        <v>18</v>
      </c>
      <c r="B33" s="180"/>
      <c r="C33" s="181" t="s">
        <v>460</v>
      </c>
      <c r="D33" s="180"/>
      <c r="E33" s="659">
        <f>'SCH_C2.1 - Base Period'!J234</f>
        <v>1175527</v>
      </c>
      <c r="F33" s="182">
        <f t="shared" si="0"/>
        <v>338753</v>
      </c>
      <c r="G33" s="183" t="s">
        <v>1426</v>
      </c>
      <c r="H33" s="659">
        <f>'SCH_C2.1 - Forecasted Period'!J229</f>
        <v>1514280</v>
      </c>
      <c r="I33" s="180"/>
      <c r="J33" s="182">
        <f ca="1">SCH_D1!U220</f>
        <v>0</v>
      </c>
      <c r="K33" s="180"/>
      <c r="L33" s="183" t="s">
        <v>1412</v>
      </c>
      <c r="M33" s="180"/>
      <c r="N33" s="182">
        <f t="shared" ca="1" si="1"/>
        <v>1514280</v>
      </c>
      <c r="O33" s="180"/>
      <c r="P33" s="1391">
        <f ca="1">IF(J33+F33=SCH_D1!AK532,J33+F33,"ERROR")</f>
        <v>338753</v>
      </c>
      <c r="Q33" s="180"/>
    </row>
    <row r="34" spans="1:17">
      <c r="A34" s="183">
        <v>19</v>
      </c>
      <c r="B34" s="180"/>
      <c r="C34" s="181" t="s">
        <v>342</v>
      </c>
      <c r="D34" s="180"/>
      <c r="E34" s="659">
        <f>'SCH_C2.1 - Base Period'!J242</f>
        <v>152176</v>
      </c>
      <c r="F34" s="182">
        <f t="shared" si="0"/>
        <v>103983</v>
      </c>
      <c r="G34" s="183" t="s">
        <v>1427</v>
      </c>
      <c r="H34" s="659">
        <f>'SCH_C2.1 - Forecasted Period'!J237</f>
        <v>256159</v>
      </c>
      <c r="I34" s="180"/>
      <c r="J34" s="182">
        <f ca="1">SCH_D1!U221</f>
        <v>-48911</v>
      </c>
      <c r="K34" s="182"/>
      <c r="L34" s="183" t="s">
        <v>1412</v>
      </c>
      <c r="M34" s="180"/>
      <c r="N34" s="182">
        <f t="shared" ca="1" si="1"/>
        <v>207248</v>
      </c>
      <c r="O34" s="180"/>
      <c r="P34" s="1391">
        <f ca="1">IF(J34+F34=SCH_D1!AK533,J34+F34,"ERROR")</f>
        <v>55072</v>
      </c>
      <c r="Q34" s="180"/>
    </row>
    <row r="35" spans="1:17">
      <c r="A35" s="183">
        <v>20</v>
      </c>
      <c r="B35" s="180"/>
      <c r="C35" s="181" t="s">
        <v>461</v>
      </c>
      <c r="D35" s="180"/>
      <c r="E35" s="659">
        <f>'SCH_C2.1 - Base Period'!J286</f>
        <v>24228892</v>
      </c>
      <c r="F35" s="182">
        <f t="shared" si="0"/>
        <v>2996380</v>
      </c>
      <c r="G35" s="183" t="s">
        <v>1428</v>
      </c>
      <c r="H35" s="659">
        <f>'SCH_C2.1 - Forecasted Period'!J280</f>
        <v>27225272</v>
      </c>
      <c r="I35" s="180"/>
      <c r="J35" s="182">
        <f ca="1">SCH_D1!U222</f>
        <v>-4026116</v>
      </c>
      <c r="K35" s="182"/>
      <c r="L35" s="183" t="s">
        <v>1412</v>
      </c>
      <c r="M35" s="180"/>
      <c r="N35" s="182">
        <f t="shared" ca="1" si="1"/>
        <v>23199156</v>
      </c>
      <c r="O35" s="180"/>
      <c r="P35" s="1391">
        <f ca="1">IF(J35+F35=SCH_D1!AK534,J35+F35,"ERROR")</f>
        <v>-1029736</v>
      </c>
      <c r="Q35" s="180"/>
    </row>
    <row r="36" spans="1:17">
      <c r="A36" s="183">
        <v>21</v>
      </c>
      <c r="B36" s="180"/>
      <c r="C36" s="181" t="s">
        <v>1429</v>
      </c>
      <c r="D36" s="180"/>
      <c r="E36" s="659">
        <f>'SCH_C2.1 - Base Period'!J298</f>
        <v>16609542</v>
      </c>
      <c r="F36" s="182">
        <f>H36-E36</f>
        <v>-3748440</v>
      </c>
      <c r="G36" s="183" t="s">
        <v>1430</v>
      </c>
      <c r="H36" s="659">
        <f>'SCH_C2.1 - Forecasted Period'!J293</f>
        <v>12861102</v>
      </c>
      <c r="I36" s="180"/>
      <c r="J36" s="182">
        <f>SCH_D1!U223</f>
        <v>-473706</v>
      </c>
      <c r="K36" s="182"/>
      <c r="L36" s="183" t="s">
        <v>1412</v>
      </c>
      <c r="M36" s="180"/>
      <c r="N36" s="182">
        <f>H36+J36</f>
        <v>12387396</v>
      </c>
      <c r="O36" s="180"/>
      <c r="P36" s="1391">
        <f>IF(J36+F36=SCH_D1!AK535,J36+F36,"ERROR")</f>
        <v>-4222146</v>
      </c>
      <c r="Q36" s="180"/>
    </row>
    <row r="37" spans="1:17">
      <c r="A37" s="183">
        <v>22</v>
      </c>
      <c r="B37" s="180"/>
      <c r="C37" s="181" t="s">
        <v>462</v>
      </c>
      <c r="D37" s="180"/>
      <c r="E37" s="2129">
        <f>E27+SUM(E29:E36)</f>
        <v>322083323</v>
      </c>
      <c r="F37" s="2129">
        <f>F27+SUM(F29:F36)</f>
        <v>2593599</v>
      </c>
      <c r="G37" s="183"/>
      <c r="H37" s="2129">
        <f>H27+SUM(H29:H36)</f>
        <v>324676922</v>
      </c>
      <c r="I37" s="180"/>
      <c r="J37" s="2129">
        <f ca="1">J27+SUM(J29:J36)</f>
        <v>-30100832</v>
      </c>
      <c r="K37" s="182"/>
      <c r="L37" s="183"/>
      <c r="M37" s="180"/>
      <c r="N37" s="2129">
        <f ca="1">N27+SUM(N29:N36)</f>
        <v>294576090</v>
      </c>
      <c r="O37" s="180"/>
      <c r="P37" s="2130">
        <f ca="1">P27+SUM(P29:P36)</f>
        <v>-27507233</v>
      </c>
      <c r="Q37" s="180"/>
    </row>
    <row r="38" spans="1:17">
      <c r="A38" s="183">
        <v>23</v>
      </c>
      <c r="B38" s="180"/>
      <c r="C38" s="180"/>
      <c r="D38" s="180"/>
      <c r="E38" s="2210"/>
      <c r="F38" s="2210"/>
      <c r="G38" s="183"/>
      <c r="H38" s="2210"/>
      <c r="I38" s="180"/>
      <c r="J38" s="1821" t="str">
        <f ca="1">IF(SUM(SCH_D1!W224:AE224)+SUM(SCH_D1!U286:AE286)+SUM(SCH_D1!U348:AE348)+SUM(SCH_D1!U410:AE410)=J37,"","CHECK SCHEDULE D-1")</f>
        <v/>
      </c>
      <c r="K38" s="180"/>
      <c r="L38" s="183"/>
      <c r="M38" s="180"/>
      <c r="N38" s="182"/>
      <c r="O38" s="180"/>
      <c r="P38" s="1390"/>
      <c r="Q38" s="180"/>
    </row>
    <row r="39" spans="1:17">
      <c r="A39" s="183">
        <v>24</v>
      </c>
      <c r="B39" s="180"/>
      <c r="C39" s="181" t="s">
        <v>351</v>
      </c>
      <c r="D39" s="180"/>
      <c r="E39" s="2211">
        <f>'SCH_C2.1 - Base Period'!J290</f>
        <v>69049642</v>
      </c>
      <c r="F39" s="1493">
        <f>H39-E39</f>
        <v>4396406</v>
      </c>
      <c r="G39" s="183" t="s">
        <v>1431</v>
      </c>
      <c r="H39" s="2211">
        <f>'SCH_C2.1 - Forecasted Period'!J284</f>
        <v>73446048</v>
      </c>
      <c r="I39" s="180"/>
      <c r="J39" s="1493">
        <f>SCH_D1!U226</f>
        <v>14462486</v>
      </c>
      <c r="K39" s="182"/>
      <c r="L39" s="183" t="s">
        <v>1412</v>
      </c>
      <c r="M39" s="180"/>
      <c r="N39" s="2081">
        <f>H39+J39</f>
        <v>87908534</v>
      </c>
      <c r="O39" s="180"/>
      <c r="P39" s="1392">
        <f>IF(J39+F39=SCH_D1!AK538,J39+F39,"ERROR")</f>
        <v>18858892</v>
      </c>
      <c r="Q39" s="180"/>
    </row>
    <row r="40" spans="1:17">
      <c r="A40" s="183">
        <v>25</v>
      </c>
      <c r="B40" s="180"/>
      <c r="C40" s="180"/>
      <c r="D40" s="180"/>
      <c r="E40" s="2210"/>
      <c r="F40" s="182"/>
      <c r="G40" s="183"/>
      <c r="H40" s="2210"/>
      <c r="I40" s="180"/>
      <c r="J40" s="182"/>
      <c r="K40" s="180"/>
      <c r="L40" s="183"/>
      <c r="M40" s="180"/>
      <c r="N40" s="182"/>
      <c r="O40" s="180"/>
      <c r="P40" s="1390"/>
      <c r="Q40" s="180"/>
    </row>
    <row r="41" spans="1:17">
      <c r="A41" s="183">
        <v>26</v>
      </c>
      <c r="B41" s="180"/>
      <c r="C41" s="181" t="s">
        <v>353</v>
      </c>
      <c r="D41" s="180"/>
      <c r="E41" s="182"/>
      <c r="F41" s="180"/>
      <c r="G41" s="183"/>
      <c r="H41" s="182"/>
      <c r="I41" s="180"/>
      <c r="J41" s="182"/>
      <c r="K41" s="180"/>
      <c r="L41" s="183"/>
      <c r="M41" s="180"/>
      <c r="N41" s="182"/>
      <c r="O41" s="180"/>
      <c r="P41" s="1390"/>
      <c r="Q41" s="180"/>
    </row>
    <row r="42" spans="1:17">
      <c r="A42" s="183">
        <v>27</v>
      </c>
      <c r="B42" s="180"/>
      <c r="C42" s="181" t="s">
        <v>1432</v>
      </c>
      <c r="D42" s="180"/>
      <c r="E42" s="659">
        <f>'SCH_C2.1 - Base Period'!J321</f>
        <v>-2342</v>
      </c>
      <c r="F42" s="182">
        <f>H42-E42</f>
        <v>2342</v>
      </c>
      <c r="G42" s="183" t="s">
        <v>1433</v>
      </c>
      <c r="H42" s="659">
        <f>'SCH_C2.1 - Forecasted Period'!J316</f>
        <v>0</v>
      </c>
      <c r="I42" s="180"/>
      <c r="J42" s="182">
        <f>SCH_D1!U229</f>
        <v>-100722</v>
      </c>
      <c r="K42" s="182"/>
      <c r="L42" s="183"/>
      <c r="M42" s="180"/>
      <c r="N42" s="182">
        <f>H42+J42</f>
        <v>-100722</v>
      </c>
      <c r="O42" s="180"/>
      <c r="P42" s="1391">
        <f>IF(J42+F42=SCH_D1!AK541,J42+F42,"ERROR")</f>
        <v>-98380</v>
      </c>
      <c r="Q42" s="180"/>
    </row>
    <row r="43" spans="1:17">
      <c r="A43" s="183">
        <v>28</v>
      </c>
      <c r="B43" s="180"/>
      <c r="C43" s="181" t="s">
        <v>1434</v>
      </c>
      <c r="D43" s="180"/>
      <c r="E43" s="659">
        <f>'SCH_C2.1 - Base Period'!J333</f>
        <v>16081483</v>
      </c>
      <c r="F43" s="182">
        <f>H43-E43</f>
        <v>2239283</v>
      </c>
      <c r="G43" s="183" t="s">
        <v>1433</v>
      </c>
      <c r="H43" s="659">
        <f>'SCH_C2.1 - Forecasted Period'!J327</f>
        <v>18320766</v>
      </c>
      <c r="I43" s="180"/>
      <c r="J43" s="182">
        <f ca="1">SCH_D1!U230</f>
        <v>89002</v>
      </c>
      <c r="K43" s="182"/>
      <c r="L43" s="183" t="s">
        <v>1412</v>
      </c>
      <c r="M43" s="180"/>
      <c r="N43" s="182">
        <f ca="1">H43+J43</f>
        <v>18409768</v>
      </c>
      <c r="O43" s="180"/>
      <c r="P43" s="1391">
        <f ca="1">IF(J43+F43=SCH_D1!AK542,J43+F43,"ERROR")</f>
        <v>2328285</v>
      </c>
      <c r="Q43" s="180"/>
    </row>
    <row r="44" spans="1:17">
      <c r="A44" s="183">
        <v>29</v>
      </c>
      <c r="B44" s="180"/>
      <c r="C44" s="181" t="s">
        <v>1435</v>
      </c>
      <c r="D44" s="180"/>
      <c r="E44" s="2129">
        <f>SUM(E42:E43)</f>
        <v>16079141</v>
      </c>
      <c r="F44" s="2129">
        <f>SUM(F42:F43)</f>
        <v>2241625</v>
      </c>
      <c r="G44" s="183"/>
      <c r="H44" s="2129">
        <f>SUM(H42:H43)</f>
        <v>18320766</v>
      </c>
      <c r="I44" s="180"/>
      <c r="J44" s="2129">
        <f ca="1">SUM(J42:J43)</f>
        <v>-11720</v>
      </c>
      <c r="K44" s="182"/>
      <c r="L44" s="183"/>
      <c r="M44" s="180"/>
      <c r="N44" s="2129">
        <f ca="1">SUM(N42:N43)</f>
        <v>18309046</v>
      </c>
      <c r="O44" s="180"/>
      <c r="P44" s="2130">
        <f ca="1">SUM(P42:P43)</f>
        <v>2229905</v>
      </c>
      <c r="Q44" s="180"/>
    </row>
    <row r="45" spans="1:17">
      <c r="A45" s="183">
        <v>30</v>
      </c>
      <c r="B45" s="181"/>
      <c r="C45" s="180"/>
      <c r="D45" s="180"/>
      <c r="E45" s="182"/>
      <c r="F45" s="182"/>
      <c r="G45" s="183"/>
      <c r="H45" s="182"/>
      <c r="I45" s="180"/>
      <c r="J45" s="182"/>
      <c r="K45" s="180"/>
      <c r="L45" s="183"/>
      <c r="M45" s="180"/>
      <c r="N45" s="182"/>
      <c r="O45" s="180"/>
      <c r="P45" s="1390"/>
      <c r="Q45" s="180"/>
    </row>
    <row r="46" spans="1:17">
      <c r="A46" s="183">
        <v>31</v>
      </c>
      <c r="B46" s="180"/>
      <c r="C46" s="181" t="s">
        <v>496</v>
      </c>
      <c r="D46" s="180"/>
      <c r="E46" s="180"/>
      <c r="F46" s="180"/>
      <c r="G46" s="183"/>
      <c r="H46" s="182"/>
      <c r="I46" s="180"/>
      <c r="J46" s="182"/>
      <c r="K46" s="180"/>
      <c r="L46" s="183"/>
      <c r="M46" s="180"/>
      <c r="N46" s="182"/>
      <c r="O46" s="180"/>
      <c r="P46" s="1390"/>
      <c r="Q46" s="180"/>
    </row>
    <row r="47" spans="1:17">
      <c r="A47" s="183">
        <v>32</v>
      </c>
      <c r="B47" s="180"/>
      <c r="C47" s="181" t="s">
        <v>1436</v>
      </c>
      <c r="D47" s="180"/>
      <c r="E47" s="182">
        <f>SCH_E1!G82</f>
        <v>1793879</v>
      </c>
      <c r="F47" s="182">
        <f>H47-E47</f>
        <v>-2230920</v>
      </c>
      <c r="G47" s="183" t="s">
        <v>1437</v>
      </c>
      <c r="H47" s="182">
        <f>SCH_E1!K82</f>
        <v>-437041</v>
      </c>
      <c r="I47" s="180"/>
      <c r="J47" s="182">
        <f ca="1">N47-H47</f>
        <v>477485</v>
      </c>
      <c r="K47" s="180"/>
      <c r="L47" s="183" t="s">
        <v>1437</v>
      </c>
      <c r="M47" s="180"/>
      <c r="N47" s="182">
        <f ca="1">SCH_E1!M82</f>
        <v>40444</v>
      </c>
      <c r="O47" s="180"/>
      <c r="P47" s="1391">
        <f ca="1">IF(J47+F47=SCH_D1!AK546,J47+F47,"ERROR")</f>
        <v>-1753435</v>
      </c>
      <c r="Q47" s="180"/>
    </row>
    <row r="48" spans="1:17">
      <c r="A48" s="183">
        <v>33</v>
      </c>
      <c r="B48" s="180"/>
      <c r="C48" s="181" t="s">
        <v>1438</v>
      </c>
      <c r="D48" s="180"/>
      <c r="E48" s="182">
        <f>SCH_E1!G114</f>
        <v>1420518</v>
      </c>
      <c r="F48" s="182">
        <f>H48-E48</f>
        <v>149202</v>
      </c>
      <c r="G48" s="183" t="s">
        <v>1437</v>
      </c>
      <c r="H48" s="182">
        <f>SCH_E1!K114</f>
        <v>1569720</v>
      </c>
      <c r="I48" s="180"/>
      <c r="J48" s="182">
        <f>N48-H48</f>
        <v>-635819</v>
      </c>
      <c r="K48" s="180"/>
      <c r="L48" s="183" t="s">
        <v>1437</v>
      </c>
      <c r="M48" s="180"/>
      <c r="N48" s="182">
        <f>SCH_E1!M114</f>
        <v>933901</v>
      </c>
      <c r="O48" s="180"/>
      <c r="P48" s="1391">
        <f>IF(J48+F48=SCH_D1!AK547,J48+F48,"ERROR")</f>
        <v>-486617</v>
      </c>
      <c r="Q48" s="180"/>
    </row>
    <row r="49" spans="1:17">
      <c r="A49" s="183">
        <v>34</v>
      </c>
      <c r="B49" s="180"/>
      <c r="C49" s="181" t="s">
        <v>1439</v>
      </c>
      <c r="D49" s="180"/>
      <c r="E49" s="2129">
        <f>SUM(E47:E48)</f>
        <v>3214397</v>
      </c>
      <c r="F49" s="2129">
        <f>SUM(F47:F48)</f>
        <v>-2081718</v>
      </c>
      <c r="G49" s="183"/>
      <c r="H49" s="2129">
        <f>SUM(H47:H48)</f>
        <v>1132679</v>
      </c>
      <c r="I49" s="180"/>
      <c r="J49" s="2129">
        <f ca="1">SUM(J47:J48)</f>
        <v>-158334</v>
      </c>
      <c r="K49" s="180"/>
      <c r="L49" s="183"/>
      <c r="M49" s="180"/>
      <c r="N49" s="2129">
        <f ca="1">SUM(N47:N48)</f>
        <v>974345</v>
      </c>
      <c r="O49" s="180"/>
      <c r="P49" s="2130">
        <f ca="1">SUM(P47:P48)</f>
        <v>-2240052</v>
      </c>
      <c r="Q49" s="180"/>
    </row>
    <row r="50" spans="1:17">
      <c r="A50" s="183">
        <v>35</v>
      </c>
      <c r="B50" s="180"/>
      <c r="C50" s="180"/>
      <c r="D50" s="180"/>
      <c r="E50" s="2210"/>
      <c r="F50" s="180"/>
      <c r="G50" s="183"/>
      <c r="H50" s="182"/>
      <c r="I50" s="180"/>
      <c r="J50" s="182"/>
      <c r="K50" s="180"/>
      <c r="L50" s="183"/>
      <c r="M50" s="180"/>
      <c r="N50" s="182"/>
      <c r="O50" s="180"/>
      <c r="P50" s="1390"/>
      <c r="Q50" s="180"/>
    </row>
    <row r="51" spans="1:17">
      <c r="A51" s="183">
        <v>36</v>
      </c>
      <c r="B51" s="180"/>
      <c r="C51" s="181" t="s">
        <v>495</v>
      </c>
      <c r="D51" s="180"/>
      <c r="E51" s="180"/>
      <c r="F51" s="180"/>
      <c r="G51" s="183"/>
      <c r="H51" s="182"/>
      <c r="I51" s="180"/>
      <c r="J51" s="182"/>
      <c r="K51" s="180"/>
      <c r="L51" s="183"/>
      <c r="M51" s="180"/>
      <c r="N51" s="182"/>
      <c r="O51" s="180"/>
      <c r="P51" s="1390"/>
      <c r="Q51" s="180"/>
    </row>
    <row r="52" spans="1:17">
      <c r="A52" s="183">
        <v>37</v>
      </c>
      <c r="B52" s="180"/>
      <c r="C52" s="181" t="s">
        <v>1440</v>
      </c>
      <c r="D52" s="180"/>
      <c r="E52" s="182">
        <f>SCH_E1!G129</f>
        <v>16748583</v>
      </c>
      <c r="F52" s="182">
        <f>H52-E52</f>
        <v>-15133931</v>
      </c>
      <c r="G52" s="183" t="s">
        <v>1437</v>
      </c>
      <c r="H52" s="182">
        <f>SCH_E1!K129</f>
        <v>1614652</v>
      </c>
      <c r="I52" s="180"/>
      <c r="J52" s="182">
        <f ca="1">N52-H52</f>
        <v>1917871</v>
      </c>
      <c r="K52" s="180"/>
      <c r="L52" s="183" t="s">
        <v>1437</v>
      </c>
      <c r="M52" s="180"/>
      <c r="N52" s="182">
        <f ca="1">SCH_E1!M129</f>
        <v>3532523</v>
      </c>
      <c r="O52" s="180"/>
      <c r="P52" s="1391">
        <f ca="1">IF(J52+F52=SCH_D1!AK551,J52+F52,"ERROR")</f>
        <v>-13216060</v>
      </c>
      <c r="Q52" s="180"/>
    </row>
    <row r="53" spans="1:17">
      <c r="A53" s="183">
        <v>38</v>
      </c>
      <c r="B53" s="180"/>
      <c r="C53" s="181" t="s">
        <v>1438</v>
      </c>
      <c r="D53" s="180"/>
      <c r="E53" s="182">
        <f>SCH_E1!G136</f>
        <v>-7248058</v>
      </c>
      <c r="F53" s="182">
        <f>H53-E53</f>
        <v>9421339</v>
      </c>
      <c r="G53" s="183" t="s">
        <v>1437</v>
      </c>
      <c r="H53" s="182">
        <f>SCH_E1!K136</f>
        <v>2173281</v>
      </c>
      <c r="I53" s="180"/>
      <c r="J53" s="182">
        <f>N53-H53</f>
        <v>-2553847</v>
      </c>
      <c r="K53" s="180"/>
      <c r="L53" s="183" t="s">
        <v>1437</v>
      </c>
      <c r="M53" s="180"/>
      <c r="N53" s="182">
        <f>SCH_E1!M136</f>
        <v>-380566</v>
      </c>
      <c r="O53" s="180"/>
      <c r="P53" s="1391">
        <f>IF(J53+F53=SCH_D1!AK552,J53+F53,"ERROR")</f>
        <v>6867492</v>
      </c>
      <c r="Q53" s="180"/>
    </row>
    <row r="54" spans="1:17">
      <c r="A54" s="183">
        <v>39</v>
      </c>
      <c r="B54" s="180"/>
      <c r="C54" s="181" t="s">
        <v>1441</v>
      </c>
      <c r="D54" s="180"/>
      <c r="E54" s="182">
        <f>SCH_E1!G138</f>
        <v>0</v>
      </c>
      <c r="F54" s="182">
        <f>H54-E54</f>
        <v>0</v>
      </c>
      <c r="G54" s="183" t="s">
        <v>1437</v>
      </c>
      <c r="H54" s="182">
        <f>SCH_E1!K138</f>
        <v>0</v>
      </c>
      <c r="I54" s="180"/>
      <c r="J54" s="182">
        <f>N54-H54</f>
        <v>0</v>
      </c>
      <c r="K54" s="180"/>
      <c r="L54" s="183" t="s">
        <v>1437</v>
      </c>
      <c r="M54" s="180"/>
      <c r="N54" s="182">
        <f>SCH_E1!M138</f>
        <v>0</v>
      </c>
      <c r="O54" s="180"/>
      <c r="P54" s="1391">
        <f>IF(J54+F54=SCH_D1!AK553,J54+F54,"ERROR")</f>
        <v>0</v>
      </c>
      <c r="Q54" s="180"/>
    </row>
    <row r="55" spans="1:17">
      <c r="A55" s="183">
        <v>40</v>
      </c>
      <c r="B55" s="180"/>
      <c r="C55" s="181" t="s">
        <v>1442</v>
      </c>
      <c r="D55" s="180"/>
      <c r="E55" s="2129">
        <f>SUM(E52:E54)</f>
        <v>9500525</v>
      </c>
      <c r="F55" s="2129">
        <f>SUM(F52:F54)</f>
        <v>-5712592</v>
      </c>
      <c r="G55" s="183"/>
      <c r="H55" s="2129">
        <f>SUM(H52:H54)</f>
        <v>3787933</v>
      </c>
      <c r="I55" s="180"/>
      <c r="J55" s="2129">
        <f ca="1">SUM(J52:J54)</f>
        <v>-635976</v>
      </c>
      <c r="K55" s="180"/>
      <c r="L55" s="183"/>
      <c r="M55" s="180"/>
      <c r="N55" s="2129">
        <f ca="1">SUM(N52:N54)</f>
        <v>3151957</v>
      </c>
      <c r="O55" s="180"/>
      <c r="P55" s="2130">
        <f ca="1">SUM(P52:P54)</f>
        <v>-6348568</v>
      </c>
      <c r="Q55" s="180"/>
    </row>
    <row r="56" spans="1:17">
      <c r="A56" s="183">
        <v>41</v>
      </c>
      <c r="B56" s="180"/>
      <c r="C56" s="180"/>
      <c r="D56" s="180"/>
      <c r="E56" s="2210"/>
      <c r="F56" s="180"/>
      <c r="G56" s="183"/>
      <c r="H56" s="182"/>
      <c r="I56" s="180"/>
      <c r="J56" s="182"/>
      <c r="K56" s="180"/>
      <c r="L56" s="183"/>
      <c r="M56" s="180"/>
      <c r="N56" s="182"/>
      <c r="O56" s="180"/>
      <c r="P56" s="1390"/>
      <c r="Q56" s="180"/>
    </row>
    <row r="57" spans="1:17">
      <c r="A57" s="183">
        <v>42</v>
      </c>
      <c r="B57" s="180"/>
      <c r="C57" s="181" t="s">
        <v>463</v>
      </c>
      <c r="D57" s="180"/>
      <c r="E57" s="1493">
        <f>E37+E39+E44+E49+E55</f>
        <v>419927028</v>
      </c>
      <c r="F57" s="1493">
        <f>F37+F39+F44+F49+F55</f>
        <v>1437320</v>
      </c>
      <c r="G57" s="180"/>
      <c r="H57" s="1493">
        <f>H37+H39+H44+H49+H55</f>
        <v>421364348</v>
      </c>
      <c r="I57" s="180"/>
      <c r="J57" s="1493">
        <f ca="1">J37+J39+J44+J49+J55</f>
        <v>-16444376</v>
      </c>
      <c r="K57" s="182"/>
      <c r="L57" s="180"/>
      <c r="M57" s="180"/>
      <c r="N57" s="1493">
        <f ca="1">N37+N39+N44+N49+N55</f>
        <v>404919972</v>
      </c>
      <c r="O57" s="180"/>
      <c r="P57" s="1392">
        <f ca="1">P37+P39+P44+P49+P55</f>
        <v>-15007056</v>
      </c>
      <c r="Q57" s="180"/>
    </row>
    <row r="58" spans="1:17">
      <c r="A58" s="183">
        <v>43</v>
      </c>
      <c r="B58" s="180"/>
      <c r="C58" s="180"/>
      <c r="D58" s="180"/>
      <c r="E58" s="2210"/>
      <c r="F58" s="180"/>
      <c r="G58" s="180"/>
      <c r="H58" s="182"/>
      <c r="I58" s="180"/>
      <c r="J58" s="182"/>
      <c r="K58" s="180"/>
      <c r="L58" s="180"/>
      <c r="M58" s="180"/>
      <c r="N58" s="182"/>
      <c r="O58" s="180"/>
      <c r="P58" s="1390"/>
      <c r="Q58" s="180"/>
    </row>
    <row r="59" spans="1:17" ht="13.8" thickBot="1">
      <c r="A59" s="183">
        <v>44</v>
      </c>
      <c r="B59" s="180"/>
      <c r="C59" s="181" t="s">
        <v>1443</v>
      </c>
      <c r="D59" s="180"/>
      <c r="E59" s="2212">
        <f>IF(E20-E57='SCH_C2.1 - Base Period'!J376,E20-E57,"check C-2.1 !")</f>
        <v>83838119</v>
      </c>
      <c r="F59" s="1951">
        <f>F20-F57</f>
        <v>-22649490</v>
      </c>
      <c r="G59" s="180"/>
      <c r="H59" s="2212">
        <f>IF(H20-H57='SCH_C2.1 - Forecasted Period'!J370,H20-H57,"check C-2.1 !")</f>
        <v>61188629</v>
      </c>
      <c r="I59" s="180"/>
      <c r="J59" s="1951">
        <f ca="1">J20-J57</f>
        <v>-11685964</v>
      </c>
      <c r="K59" s="182"/>
      <c r="L59" s="182"/>
      <c r="M59" s="180"/>
      <c r="N59" s="1951">
        <f ca="1">N20-N57</f>
        <v>49502665</v>
      </c>
      <c r="O59" s="180"/>
      <c r="P59" s="1392">
        <f ca="1">P20-P57</f>
        <v>-34335454</v>
      </c>
      <c r="Q59" s="180"/>
    </row>
    <row r="60" spans="1:17" ht="13.8" thickTop="1">
      <c r="A60" s="180"/>
      <c r="B60" s="180"/>
      <c r="C60" s="180"/>
      <c r="D60" s="180"/>
      <c r="E60" s="659">
        <f>E20-E57</f>
        <v>83838119</v>
      </c>
      <c r="F60" s="182"/>
      <c r="G60" s="180"/>
      <c r="H60" s="659">
        <f>H20-H57</f>
        <v>61188629</v>
      </c>
      <c r="I60" s="180"/>
      <c r="J60" s="180"/>
      <c r="K60" s="180"/>
      <c r="L60" s="180"/>
      <c r="M60" s="180"/>
      <c r="N60" s="659">
        <f ca="1">N20-N57</f>
        <v>49502665</v>
      </c>
      <c r="O60" s="180"/>
      <c r="P60" s="180"/>
      <c r="Q60" s="180"/>
    </row>
    <row r="61" spans="1:17">
      <c r="A61" s="180"/>
      <c r="B61" s="181"/>
      <c r="C61" s="180"/>
      <c r="D61" s="180"/>
      <c r="E61" s="182">
        <f>'SCH_C2.1 - Base Period'!G376</f>
        <v>83838119</v>
      </c>
      <c r="F61" s="180"/>
      <c r="G61" s="180"/>
      <c r="H61" s="182">
        <f>'SCH_C2.1 - Forecasted Period'!G370</f>
        <v>61188629</v>
      </c>
      <c r="I61" s="180"/>
      <c r="J61" s="180"/>
      <c r="K61" s="180"/>
      <c r="L61" s="180"/>
      <c r="M61" s="180"/>
      <c r="N61" s="1204"/>
      <c r="O61" s="180"/>
      <c r="P61" s="180"/>
      <c r="Q61" s="180"/>
    </row>
    <row r="62" spans="1:17">
      <c r="A62" s="180"/>
      <c r="B62" s="180"/>
      <c r="C62" s="180"/>
      <c r="D62" s="180"/>
      <c r="E62" s="182">
        <f>E60-E61</f>
        <v>0</v>
      </c>
      <c r="F62" s="182"/>
      <c r="G62" s="182"/>
      <c r="H62" s="182">
        <f>H60-H61</f>
        <v>0</v>
      </c>
      <c r="I62" s="180"/>
      <c r="J62" s="180"/>
      <c r="K62" s="180"/>
      <c r="L62" s="180"/>
      <c r="M62" s="180"/>
      <c r="N62" s="182"/>
      <c r="O62" s="180"/>
      <c r="P62" s="180"/>
      <c r="Q62" s="180"/>
    </row>
    <row r="63" spans="1:17">
      <c r="A63" s="181"/>
      <c r="B63" s="180"/>
      <c r="C63" s="2133" t="s">
        <v>1444</v>
      </c>
      <c r="D63" s="2134"/>
      <c r="E63" s="2135">
        <f>E49+E55</f>
        <v>12714922</v>
      </c>
      <c r="F63" s="2135">
        <f>F49+F55</f>
        <v>-7794310</v>
      </c>
      <c r="G63" s="2134"/>
      <c r="H63" s="2135">
        <f>H49+H55</f>
        <v>4920612</v>
      </c>
      <c r="I63" s="2134"/>
      <c r="J63" s="2135">
        <f ca="1">J49+J55</f>
        <v>-794310</v>
      </c>
      <c r="K63" s="2134"/>
      <c r="L63" s="2134"/>
      <c r="M63" s="2134"/>
      <c r="N63" s="2136">
        <f ca="1">N49+N55</f>
        <v>4126302</v>
      </c>
      <c r="O63" s="180"/>
      <c r="P63" s="180"/>
      <c r="Q63" s="180"/>
    </row>
    <row r="64" spans="1:17">
      <c r="A64" s="180"/>
      <c r="B64" s="180"/>
      <c r="C64" s="1376" t="s">
        <v>1445</v>
      </c>
      <c r="D64" s="1377"/>
      <c r="E64" s="1379">
        <f>SCH_E1!G79</f>
        <v>-22500</v>
      </c>
      <c r="F64" s="1379">
        <f>SCH_E1!I79</f>
        <v>0</v>
      </c>
      <c r="G64" s="1380"/>
      <c r="H64" s="1379">
        <f>SCH_E1!K79</f>
        <v>-22500</v>
      </c>
      <c r="I64" s="1380"/>
      <c r="J64" s="1379">
        <f>SCH_E1!L79</f>
        <v>0</v>
      </c>
      <c r="K64" s="1380"/>
      <c r="L64" s="1380"/>
      <c r="M64" s="1380"/>
      <c r="N64" s="1381">
        <f>SCH_E1!M79</f>
        <v>-22500</v>
      </c>
      <c r="O64" s="180"/>
      <c r="P64" s="180"/>
      <c r="Q64" s="180"/>
    </row>
    <row r="65" spans="1:17">
      <c r="A65" s="180"/>
      <c r="B65" s="180"/>
      <c r="C65" s="1376" t="s">
        <v>1446</v>
      </c>
      <c r="D65" s="1377"/>
      <c r="E65" s="1378">
        <f>E54</f>
        <v>0</v>
      </c>
      <c r="F65" s="1379">
        <f>H65-E65</f>
        <v>0</v>
      </c>
      <c r="G65" s="1380"/>
      <c r="H65" s="1378">
        <f>H54</f>
        <v>0</v>
      </c>
      <c r="I65" s="1380"/>
      <c r="J65" s="1379">
        <f>J54</f>
        <v>0</v>
      </c>
      <c r="K65" s="1380"/>
      <c r="L65" s="1380"/>
      <c r="M65" s="1380"/>
      <c r="N65" s="1381">
        <f>N54</f>
        <v>0</v>
      </c>
      <c r="O65" s="180"/>
      <c r="P65" s="180"/>
      <c r="Q65" s="180"/>
    </row>
    <row r="66" spans="1:17">
      <c r="A66" s="180"/>
      <c r="B66" s="180"/>
      <c r="C66" s="1376" t="s">
        <v>1447</v>
      </c>
      <c r="D66" s="1377"/>
      <c r="E66" s="1379">
        <f>SCH_E1!G81+SCH_E1!G113+SCH_E1!G128+SCH_E1!G135</f>
        <v>0</v>
      </c>
      <c r="F66" s="1379">
        <f>H66-E66</f>
        <v>0</v>
      </c>
      <c r="G66" s="1380"/>
      <c r="H66" s="1379">
        <f>SCH_E1!K81+SCH_E1!K113+SCH_E1!K128+SCH_E1!K135</f>
        <v>0</v>
      </c>
      <c r="I66" s="1380"/>
      <c r="J66" s="1379">
        <v>0</v>
      </c>
      <c r="K66" s="1380"/>
      <c r="L66" s="1380"/>
      <c r="M66" s="1380"/>
      <c r="N66" s="1381">
        <f>SCH_E1!M81+SCH_E1!M113+SCH_E1!M128+SCH_E1!M135</f>
        <v>0</v>
      </c>
      <c r="O66" s="180"/>
      <c r="P66" s="180"/>
      <c r="Q66" s="180"/>
    </row>
    <row r="67" spans="1:17">
      <c r="A67" s="180"/>
      <c r="B67" s="180"/>
      <c r="C67" s="1376" t="s">
        <v>1448</v>
      </c>
      <c r="D67" s="1377"/>
      <c r="E67" s="1379">
        <f>SCH_E1!G111+SCH_E1!G112+SCH_E1!G126+SCH_E1!G127+SCH_E1!G132+SCH_E1!G133+SCH_E1!G134</f>
        <v>-4773724</v>
      </c>
      <c r="F67" s="1379">
        <f>SCH_E1!I111+SCH_E1!I112+SCH_E1!I126+SCH_E1!I127+SCH_E1!I132+SCH_E1!I133+SCH_E1!I134</f>
        <v>2648894</v>
      </c>
      <c r="G67" s="1380"/>
      <c r="H67" s="1379">
        <f>SCH_E1!K111+SCH_E1!K112+SCH_E1!K126+SCH_E1!K127+SCH_E1!K132+SCH_E1!K133+SCH_E1!K134</f>
        <v>-2124830</v>
      </c>
      <c r="I67" s="1380"/>
      <c r="J67" s="1379">
        <v>0</v>
      </c>
      <c r="K67" s="1380"/>
      <c r="L67" s="1380"/>
      <c r="M67" s="1380"/>
      <c r="N67" s="1381">
        <f>SCH_E1!Q111+SCH_E1!Q112+SCH_E1!Q126+SCH_E1!Q127+SCH_E1!Q132+SCH_E1!Q133+SCH_E1!Q134</f>
        <v>-2124830</v>
      </c>
      <c r="O67" s="180"/>
      <c r="P67" s="180"/>
      <c r="Q67" s="180"/>
    </row>
    <row r="68" spans="1:17">
      <c r="A68" s="180"/>
      <c r="B68" s="180"/>
      <c r="C68" s="1376" t="s">
        <v>1449</v>
      </c>
      <c r="D68" s="1377"/>
      <c r="E68" s="1379">
        <f>E63-E65-E66-E67-E64</f>
        <v>17511146</v>
      </c>
      <c r="F68" s="1379">
        <f>F63-F65-F66-F67-F64</f>
        <v>-10443204</v>
      </c>
      <c r="G68" s="1380"/>
      <c r="H68" s="1379">
        <f>H63-H65-H66-H67-H64</f>
        <v>7067942</v>
      </c>
      <c r="I68" s="1380"/>
      <c r="J68" s="1379">
        <f ca="1">J63-J65-J66-J67-J64</f>
        <v>-794310</v>
      </c>
      <c r="K68" s="1380"/>
      <c r="L68" s="1380"/>
      <c r="M68" s="1380"/>
      <c r="N68" s="2077">
        <f ca="1">N63-N65-N66-N67-N64</f>
        <v>6273632</v>
      </c>
      <c r="O68" s="180"/>
      <c r="P68" s="180"/>
      <c r="Q68" s="180"/>
    </row>
    <row r="69" spans="1:17">
      <c r="A69" s="180"/>
      <c r="B69" s="180"/>
      <c r="C69" s="1376" t="s">
        <v>1450</v>
      </c>
      <c r="D69" s="1377"/>
      <c r="E69" s="1379">
        <f>E59+E63</f>
        <v>96553041</v>
      </c>
      <c r="F69" s="1379">
        <f>F59+F63</f>
        <v>-30443800</v>
      </c>
      <c r="G69" s="1380"/>
      <c r="H69" s="1379">
        <f>H59+H63</f>
        <v>66109241</v>
      </c>
      <c r="I69" s="1380"/>
      <c r="J69" s="1379">
        <f ca="1">J59+J63</f>
        <v>-12480274</v>
      </c>
      <c r="K69" s="1380"/>
      <c r="L69" s="1380"/>
      <c r="M69" s="1380"/>
      <c r="N69" s="1381">
        <f ca="1">N59+N63</f>
        <v>53628967</v>
      </c>
      <c r="O69" s="180"/>
      <c r="P69" s="180"/>
      <c r="Q69" s="180"/>
    </row>
    <row r="70" spans="1:17">
      <c r="A70" s="180"/>
      <c r="B70" s="180"/>
      <c r="C70" s="1376" t="s">
        <v>1451</v>
      </c>
      <c r="D70" s="1377"/>
      <c r="E70" s="1378">
        <f>SCH_E1!G24</f>
        <v>-26462225</v>
      </c>
      <c r="F70" s="1379">
        <f>H70-E70</f>
        <v>-11454522</v>
      </c>
      <c r="G70" s="1380"/>
      <c r="H70" s="1378">
        <f>SCH_E1!K24</f>
        <v>-37916747</v>
      </c>
      <c r="I70" s="1380"/>
      <c r="J70" s="1378">
        <f>N70-H70</f>
        <v>9293487</v>
      </c>
      <c r="K70" s="1380"/>
      <c r="L70" s="1380"/>
      <c r="M70" s="1380"/>
      <c r="N70" s="1382">
        <f>SCH_E1!Q24</f>
        <v>-28623260</v>
      </c>
      <c r="O70" s="179"/>
      <c r="P70" s="179"/>
      <c r="Q70" s="179"/>
    </row>
    <row r="71" spans="1:17">
      <c r="A71" s="180"/>
      <c r="B71" s="180"/>
      <c r="C71" s="1376" t="s">
        <v>1452</v>
      </c>
      <c r="D71" s="1377"/>
      <c r="E71" s="1378">
        <f>SCH_E1!G27</f>
        <v>145256</v>
      </c>
      <c r="F71" s="1379">
        <f>H71-E71</f>
        <v>0</v>
      </c>
      <c r="G71" s="1380"/>
      <c r="H71" s="1378">
        <f>SCH_E1!K27</f>
        <v>145256</v>
      </c>
      <c r="I71" s="1380"/>
      <c r="J71" s="1378">
        <f>SCH_E1!L27</f>
        <v>0</v>
      </c>
      <c r="K71" s="1380"/>
      <c r="L71" s="1380"/>
      <c r="M71" s="1380"/>
      <c r="N71" s="1381">
        <f>SCH_E1!M27</f>
        <v>145256</v>
      </c>
      <c r="O71" s="179"/>
      <c r="P71" s="179"/>
      <c r="Q71" s="179"/>
    </row>
    <row r="72" spans="1:17">
      <c r="A72" s="180"/>
      <c r="B72" s="180"/>
      <c r="C72" s="1376" t="s">
        <v>1453</v>
      </c>
      <c r="D72" s="1377"/>
      <c r="E72" s="1379">
        <f>E69+E70+E71</f>
        <v>70236072</v>
      </c>
      <c r="F72" s="1379">
        <f>F69+F70</f>
        <v>-41898322</v>
      </c>
      <c r="G72" s="1383"/>
      <c r="H72" s="1379">
        <f>H69+H70+H71</f>
        <v>28337750</v>
      </c>
      <c r="I72" s="1379"/>
      <c r="J72" s="1379">
        <f t="shared" ref="J72" ca="1" si="2">J69+J70+J71</f>
        <v>-3186787</v>
      </c>
      <c r="K72" s="1383"/>
      <c r="L72" s="1383"/>
      <c r="M72" s="1383"/>
      <c r="N72" s="1381">
        <f ca="1">N69+N70+N71</f>
        <v>25150963</v>
      </c>
      <c r="O72" s="186"/>
      <c r="P72" s="179"/>
      <c r="Q72" s="179"/>
    </row>
    <row r="73" spans="1:17">
      <c r="A73" s="180"/>
      <c r="B73" s="180"/>
      <c r="C73" s="1376" t="s">
        <v>1454</v>
      </c>
      <c r="D73" s="1377"/>
      <c r="E73" s="1384">
        <f>ROUND(E68/E72,4)</f>
        <v>0.24929999999999999</v>
      </c>
      <c r="F73" s="1384">
        <f>ROUND(F68/F72,4)</f>
        <v>0.24929999999999999</v>
      </c>
      <c r="G73" s="1377"/>
      <c r="H73" s="1384">
        <f>ROUND(H68/H72,4)</f>
        <v>0.24940000000000001</v>
      </c>
      <c r="I73" s="1377"/>
      <c r="J73" s="1384">
        <f ca="1">ROUND(J68/J72,4)</f>
        <v>0.24929999999999999</v>
      </c>
      <c r="K73" s="1377"/>
      <c r="L73" s="1377"/>
      <c r="M73" s="1377"/>
      <c r="N73" s="1385">
        <f ca="1">ROUND(N68/N72,4)</f>
        <v>0.24940000000000001</v>
      </c>
      <c r="O73" s="179"/>
      <c r="P73" s="179"/>
      <c r="Q73" s="179"/>
    </row>
    <row r="74" spans="1:17">
      <c r="A74" s="180"/>
      <c r="B74" s="180"/>
      <c r="C74" s="1386"/>
      <c r="D74" s="1494"/>
      <c r="E74" s="1495"/>
      <c r="F74" s="1494"/>
      <c r="G74" s="1494"/>
      <c r="H74" s="1495"/>
      <c r="I74" s="1494"/>
      <c r="J74" s="1494"/>
      <c r="K74" s="1494"/>
      <c r="L74" s="1494"/>
      <c r="M74" s="1494"/>
      <c r="N74" s="1387"/>
      <c r="O74" s="181"/>
      <c r="P74" s="180"/>
      <c r="Q74" s="180"/>
    </row>
    <row r="75" spans="1:17">
      <c r="A75" s="179"/>
      <c r="B75" s="179"/>
      <c r="C75" s="187"/>
      <c r="D75" s="179"/>
      <c r="E75" s="187"/>
      <c r="F75" s="179"/>
      <c r="G75" s="179"/>
      <c r="H75" s="187"/>
      <c r="I75" s="179"/>
      <c r="J75" s="179"/>
      <c r="K75" s="179"/>
      <c r="L75" s="179"/>
      <c r="M75" s="179"/>
      <c r="N75" s="187"/>
      <c r="O75" s="188"/>
      <c r="P75" s="180"/>
      <c r="Q75" s="180"/>
    </row>
    <row r="76" spans="1:17">
      <c r="A76" s="181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1"/>
      <c r="Q76" s="180"/>
    </row>
    <row r="77" spans="1:17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1"/>
      <c r="Q77" s="180"/>
    </row>
    <row r="78" spans="1:17">
      <c r="A78" s="181"/>
      <c r="B78" s="180"/>
      <c r="C78" s="180"/>
      <c r="D78" s="180"/>
      <c r="E78" s="182"/>
      <c r="F78" s="189"/>
      <c r="G78" s="189"/>
      <c r="H78" s="182"/>
      <c r="I78" s="189"/>
      <c r="J78" s="182"/>
      <c r="K78" s="189"/>
      <c r="L78" s="189"/>
      <c r="M78" s="189"/>
      <c r="N78" s="182"/>
      <c r="O78" s="180"/>
      <c r="P78" s="181"/>
      <c r="Q78" s="180"/>
    </row>
    <row r="79" spans="1:17">
      <c r="A79" s="190"/>
      <c r="B79" s="180"/>
      <c r="C79" s="190"/>
      <c r="D79" s="180"/>
      <c r="E79" s="190"/>
      <c r="F79" s="190"/>
      <c r="G79" s="190"/>
      <c r="H79" s="190"/>
      <c r="I79" s="190"/>
      <c r="J79" s="190"/>
      <c r="K79" s="190"/>
      <c r="L79" s="190"/>
      <c r="M79" s="190"/>
      <c r="N79" s="180"/>
      <c r="O79" s="180"/>
      <c r="P79" s="181"/>
      <c r="Q79" s="180"/>
    </row>
    <row r="80" spans="1:17">
      <c r="A80" s="180"/>
      <c r="B80" s="184"/>
      <c r="C80" s="181"/>
      <c r="D80" s="180"/>
      <c r="E80" s="182"/>
      <c r="F80" s="182"/>
      <c r="G80" s="182"/>
      <c r="H80" s="180"/>
      <c r="I80" s="180"/>
      <c r="J80" s="180"/>
      <c r="K80" s="180"/>
      <c r="L80" s="180"/>
      <c r="M80" s="180"/>
      <c r="N80" s="180"/>
      <c r="O80" s="180"/>
      <c r="P80" s="181"/>
      <c r="Q80" s="180"/>
    </row>
    <row r="81" spans="1:17">
      <c r="A81" s="180"/>
      <c r="B81" s="184"/>
      <c r="C81" s="181"/>
      <c r="D81" s="180"/>
      <c r="E81" s="185"/>
      <c r="F81" s="185"/>
      <c r="G81" s="185"/>
      <c r="H81" s="180"/>
      <c r="I81" s="180"/>
      <c r="J81" s="180"/>
      <c r="K81" s="180"/>
      <c r="L81" s="180"/>
      <c r="M81" s="180"/>
      <c r="N81" s="180"/>
      <c r="O81" s="180"/>
      <c r="P81" s="181"/>
      <c r="Q81" s="180"/>
    </row>
    <row r="82" spans="1:17">
      <c r="A82" s="180"/>
      <c r="B82" s="180"/>
      <c r="C82" s="181"/>
      <c r="D82" s="180"/>
      <c r="E82" s="185"/>
      <c r="F82" s="185"/>
      <c r="G82" s="185"/>
      <c r="H82" s="180"/>
      <c r="I82" s="180"/>
      <c r="J82" s="180"/>
      <c r="K82" s="180"/>
      <c r="L82" s="180"/>
      <c r="M82" s="180"/>
      <c r="N82" s="180"/>
      <c r="O82" s="180"/>
      <c r="P82" s="181"/>
      <c r="Q82" s="180"/>
    </row>
    <row r="83" spans="1:17">
      <c r="A83" s="180"/>
      <c r="B83" s="180"/>
      <c r="C83" s="181"/>
      <c r="D83" s="180"/>
      <c r="E83" s="185"/>
      <c r="F83" s="185"/>
      <c r="G83" s="185"/>
      <c r="H83" s="180"/>
      <c r="I83" s="180"/>
      <c r="J83" s="180"/>
      <c r="K83" s="180"/>
      <c r="L83" s="180"/>
      <c r="M83" s="180"/>
      <c r="N83" s="180"/>
      <c r="O83" s="180"/>
      <c r="P83" s="181"/>
      <c r="Q83" s="180"/>
    </row>
    <row r="84" spans="1:17">
      <c r="A84" s="180"/>
      <c r="B84" s="180"/>
      <c r="C84" s="181"/>
      <c r="D84" s="180"/>
      <c r="E84" s="185"/>
      <c r="F84" s="185"/>
      <c r="G84" s="185"/>
      <c r="H84" s="180"/>
      <c r="I84" s="180"/>
      <c r="J84" s="180"/>
      <c r="K84" s="180"/>
      <c r="L84" s="180"/>
      <c r="M84" s="180"/>
      <c r="N84" s="180"/>
      <c r="O84" s="180"/>
      <c r="P84" s="180"/>
      <c r="Q84" s="180"/>
    </row>
    <row r="85" spans="1:17">
      <c r="A85" s="180"/>
      <c r="B85" s="180"/>
      <c r="C85" s="181"/>
      <c r="D85" s="180"/>
      <c r="E85" s="185"/>
      <c r="F85" s="185"/>
      <c r="G85" s="185"/>
      <c r="H85" s="180"/>
      <c r="I85" s="180"/>
      <c r="J85" s="180"/>
      <c r="K85" s="180"/>
      <c r="L85" s="180"/>
      <c r="M85" s="180"/>
      <c r="N85" s="180"/>
      <c r="O85" s="180"/>
      <c r="P85" s="181"/>
      <c r="Q85" s="180"/>
    </row>
    <row r="86" spans="1:17">
      <c r="A86" s="180"/>
      <c r="B86" s="180"/>
      <c r="C86" s="181"/>
      <c r="D86" s="180"/>
      <c r="E86" s="185"/>
      <c r="F86" s="185"/>
      <c r="G86" s="185"/>
      <c r="H86" s="180"/>
      <c r="I86" s="180"/>
      <c r="J86" s="180"/>
      <c r="K86" s="180"/>
      <c r="L86" s="180"/>
      <c r="M86" s="180"/>
      <c r="N86" s="180"/>
      <c r="O86" s="180"/>
      <c r="P86" s="181"/>
      <c r="Q86" s="180"/>
    </row>
    <row r="87" spans="1:17">
      <c r="A87" s="180"/>
      <c r="B87" s="180"/>
      <c r="C87" s="181"/>
      <c r="D87" s="180"/>
      <c r="E87" s="182"/>
      <c r="F87" s="182"/>
      <c r="G87" s="182"/>
      <c r="H87" s="180"/>
      <c r="I87" s="180"/>
      <c r="J87" s="180"/>
      <c r="K87" s="180"/>
      <c r="L87" s="180"/>
      <c r="M87" s="180"/>
      <c r="N87" s="180"/>
      <c r="O87" s="180"/>
      <c r="P87" s="181"/>
      <c r="Q87" s="180"/>
    </row>
  </sheetData>
  <phoneticPr fontId="19" type="noConversion"/>
  <pageMargins left="1" right="0.75" top="1" bottom="0.25" header="0" footer="0"/>
  <pageSetup scale="68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9">
    <tabColor theme="2" tint="-0.499984740745262"/>
    <pageSetUpPr fitToPage="1"/>
  </sheetPr>
  <dimension ref="A1:BC298"/>
  <sheetViews>
    <sheetView topLeftCell="A63" zoomScale="93" zoomScaleNormal="93" workbookViewId="0">
      <selection activeCell="AD244" sqref="AD244"/>
    </sheetView>
  </sheetViews>
  <sheetFormatPr defaultColWidth="8" defaultRowHeight="13.2"/>
  <cols>
    <col min="1" max="1" width="7" customWidth="1"/>
    <col min="2" max="2" width="0.5546875" customWidth="1"/>
    <col min="3" max="3" width="42.44140625" customWidth="1"/>
    <col min="4" max="4" width="1.44140625" customWidth="1"/>
    <col min="5" max="5" width="15.5546875" customWidth="1"/>
    <col min="6" max="6" width="16" customWidth="1"/>
    <col min="7" max="7" width="16.5546875" customWidth="1"/>
    <col min="8" max="8" width="1.44140625" customWidth="1"/>
    <col min="9" max="9" width="17.44140625" customWidth="1"/>
    <col min="10" max="10" width="2.44140625" customWidth="1"/>
    <col min="11" max="11" width="8" customWidth="1"/>
    <col min="12" max="12" width="2.44140625" customWidth="1"/>
    <col min="13" max="13" width="30.44140625" customWidth="1"/>
    <col min="14" max="14" width="1.44140625" customWidth="1"/>
    <col min="15" max="15" width="17.44140625" customWidth="1"/>
    <col min="16" max="16" width="16.5546875" customWidth="1"/>
    <col min="17" max="17" width="15.44140625" customWidth="1"/>
    <col min="18" max="18" width="1.44140625" customWidth="1"/>
    <col min="19" max="19" width="15.5546875" customWidth="1"/>
    <col min="20" max="20" width="13.44140625" customWidth="1"/>
    <col min="21" max="21" width="6.44140625" customWidth="1"/>
    <col min="22" max="22" width="1" customWidth="1"/>
    <col min="23" max="23" width="31.44140625" customWidth="1"/>
    <col min="24" max="24" width="0.5546875" customWidth="1"/>
    <col min="25" max="25" width="14.5546875" customWidth="1"/>
    <col min="26" max="27" width="15" customWidth="1"/>
    <col min="28" max="28" width="14.44140625" customWidth="1"/>
    <col min="29" max="29" width="15.44140625" customWidth="1"/>
    <col min="30" max="30" width="15.5546875" customWidth="1"/>
    <col min="31" max="34" width="13.5546875" customWidth="1"/>
    <col min="35" max="35" width="15" customWidth="1"/>
    <col min="36" max="36" width="14.5546875" customWidth="1"/>
    <col min="37" max="37" width="16.44140625" customWidth="1"/>
    <col min="38" max="38" width="8" customWidth="1"/>
    <col min="39" max="39" width="8.109375" customWidth="1"/>
    <col min="40" max="40" width="44.6640625" bestFit="1" customWidth="1"/>
    <col min="41" max="41" width="15.5546875" customWidth="1"/>
    <col min="42" max="43" width="17.44140625" customWidth="1"/>
    <col min="44" max="44" width="15" customWidth="1"/>
    <col min="45" max="45" width="15.5546875" customWidth="1"/>
    <col min="46" max="46" width="15.44140625" customWidth="1"/>
    <col min="47" max="49" width="14" customWidth="1"/>
    <col min="50" max="50" width="15" customWidth="1"/>
    <col min="51" max="51" width="16.5546875" customWidth="1"/>
    <col min="52" max="52" width="15" customWidth="1"/>
    <col min="53" max="53" width="16.5546875" customWidth="1"/>
  </cols>
  <sheetData>
    <row r="1" spans="1:55">
      <c r="A1" s="169" t="str">
        <f>COMPANY</f>
        <v>DUKE ENERGY KENTUCKY, INC.</v>
      </c>
      <c r="B1" s="94"/>
      <c r="C1" s="94"/>
      <c r="D1" s="94"/>
      <c r="E1" s="94"/>
      <c r="F1" s="94"/>
      <c r="G1" s="171" t="s">
        <v>1455</v>
      </c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</row>
    <row r="2" spans="1:55">
      <c r="A2" s="94" t="str">
        <f>CASE</f>
        <v>CASE NO. 2024-00354</v>
      </c>
      <c r="B2" s="94"/>
      <c r="C2" s="94"/>
      <c r="D2" s="94"/>
      <c r="E2" s="94"/>
      <c r="F2" s="94"/>
      <c r="G2" s="169" t="s">
        <v>1456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</row>
    <row r="3" spans="1:55">
      <c r="A3" s="169" t="str">
        <f>DEPT</f>
        <v>ELECTRIC DEPARTMENT</v>
      </c>
      <c r="B3" s="94"/>
      <c r="C3" s="94"/>
      <c r="D3" s="94"/>
      <c r="E3" s="94"/>
      <c r="F3" s="94"/>
      <c r="G3" s="94" t="str">
        <f>"      "&amp;_WIT1</f>
        <v xml:space="preserve">      L. D. STEINKUHL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</row>
    <row r="4" spans="1:55">
      <c r="A4" s="169" t="str">
        <f>PERIOD</f>
        <v>FOR THE TWELVE MONTHS ENDED FEBRUARY 28, 2025</v>
      </c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</row>
    <row r="5" spans="1:55">
      <c r="A5" s="169" t="str">
        <f>LOGO!B12</f>
        <v>DATA: "X" BASE PERIOD   FORECASTED PERIOD</v>
      </c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</row>
    <row r="6" spans="1:55">
      <c r="A6" s="169" t="str">
        <f>LOGO!B15</f>
        <v xml:space="preserve">TYPE OF FILING:  "X" ORIGINAL   UPDATED    REVISED  </v>
      </c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</row>
    <row r="7" spans="1:55">
      <c r="A7" s="94"/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</row>
    <row r="8" spans="1:55">
      <c r="A8" s="94"/>
      <c r="B8" s="94"/>
      <c r="C8" s="94"/>
      <c r="D8" s="94"/>
      <c r="E8" s="94"/>
      <c r="F8" s="94"/>
      <c r="G8" s="94"/>
      <c r="H8" s="94"/>
      <c r="I8" s="166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</row>
    <row r="9" spans="1:55">
      <c r="A9" s="94"/>
      <c r="B9" s="94"/>
      <c r="C9" s="94"/>
      <c r="D9" s="94"/>
      <c r="E9" s="125" t="s">
        <v>252</v>
      </c>
      <c r="F9" s="125"/>
      <c r="G9" s="125"/>
      <c r="H9" s="94"/>
      <c r="I9" s="126" t="s">
        <v>972</v>
      </c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</row>
    <row r="10" spans="1:55">
      <c r="A10" s="126" t="s">
        <v>471</v>
      </c>
      <c r="B10" s="94"/>
      <c r="C10" s="94"/>
      <c r="D10" s="94"/>
      <c r="E10" s="1476" t="s">
        <v>1457</v>
      </c>
      <c r="F10" s="1476"/>
      <c r="G10" s="1476"/>
      <c r="H10" s="94"/>
      <c r="I10" s="126" t="s">
        <v>1458</v>
      </c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</row>
    <row r="11" spans="1:55">
      <c r="A11" s="1407" t="s">
        <v>533</v>
      </c>
      <c r="B11" s="94"/>
      <c r="C11" s="1409" t="s">
        <v>1459</v>
      </c>
      <c r="D11" s="94"/>
      <c r="E11" s="1407" t="s">
        <v>473</v>
      </c>
      <c r="F11" s="1407" t="s">
        <v>1069</v>
      </c>
      <c r="G11" s="1407" t="s">
        <v>413</v>
      </c>
      <c r="H11" s="94"/>
      <c r="I11" s="1407" t="s">
        <v>1460</v>
      </c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</row>
    <row r="12" spans="1:55">
      <c r="A12" s="94"/>
      <c r="B12" s="94"/>
      <c r="C12" s="94"/>
      <c r="D12" s="94"/>
      <c r="E12" s="166"/>
      <c r="F12" s="166"/>
      <c r="G12" s="166"/>
      <c r="H12" s="94"/>
      <c r="I12" s="166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</row>
    <row r="13" spans="1:55">
      <c r="A13" s="126">
        <v>1</v>
      </c>
      <c r="B13" s="191"/>
      <c r="C13" s="169" t="s">
        <v>1461</v>
      </c>
      <c r="D13" s="166"/>
      <c r="E13" s="170">
        <f>I13-F13</f>
        <v>284594072</v>
      </c>
      <c r="F13" s="170">
        <f>SUM(AK108:AK112)</f>
        <v>129223134</v>
      </c>
      <c r="G13" s="170"/>
      <c r="H13" s="166"/>
      <c r="I13" s="166">
        <f>'SCH_C2.1 - Base Period'!J53-I15-I18-I19-I20-I21-I32</f>
        <v>413817206</v>
      </c>
      <c r="J13" s="199"/>
      <c r="K13" s="166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</row>
    <row r="14" spans="1:55">
      <c r="A14" s="126">
        <v>2</v>
      </c>
      <c r="B14" s="191"/>
      <c r="C14" s="94"/>
      <c r="D14" s="94"/>
      <c r="E14" s="166"/>
      <c r="F14" s="166"/>
      <c r="G14" s="166"/>
      <c r="H14" s="166"/>
      <c r="I14" s="166"/>
      <c r="J14" s="192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</row>
    <row r="15" spans="1:55">
      <c r="A15" s="126">
        <v>3</v>
      </c>
      <c r="B15" s="94"/>
      <c r="C15" s="169" t="s">
        <v>1462</v>
      </c>
      <c r="D15" s="166"/>
      <c r="E15" s="166">
        <f>SUM(AK101:AK105)-F15</f>
        <v>-329625</v>
      </c>
      <c r="F15" s="170"/>
      <c r="G15" s="166"/>
      <c r="H15" s="166"/>
      <c r="I15" s="166">
        <f>SUM(E15:G15)</f>
        <v>-329625</v>
      </c>
      <c r="J15" s="199"/>
      <c r="K15" s="166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</row>
    <row r="16" spans="1:55">
      <c r="A16" s="126">
        <v>4</v>
      </c>
      <c r="B16" s="94"/>
      <c r="C16" s="94"/>
      <c r="D16" s="94"/>
      <c r="E16" s="166"/>
      <c r="F16" s="166"/>
      <c r="G16" s="166"/>
      <c r="H16" s="166"/>
      <c r="I16" s="166"/>
      <c r="J16" s="192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</row>
    <row r="17" spans="1:55">
      <c r="A17" s="126">
        <v>5</v>
      </c>
      <c r="B17" s="94"/>
      <c r="C17" s="94" t="s">
        <v>1463</v>
      </c>
      <c r="D17" s="94"/>
      <c r="E17" s="166"/>
      <c r="F17" s="166"/>
      <c r="G17" s="166"/>
      <c r="H17" s="166"/>
      <c r="I17" s="166"/>
      <c r="J17" s="192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</row>
    <row r="18" spans="1:55">
      <c r="A18" s="126">
        <v>6</v>
      </c>
      <c r="B18" s="94"/>
      <c r="C18" s="169" t="s">
        <v>1464</v>
      </c>
      <c r="D18" s="94"/>
      <c r="E18" s="166">
        <f>SUM(AK126:AK130)</f>
        <v>9104423</v>
      </c>
      <c r="F18" s="166"/>
      <c r="G18" s="28"/>
      <c r="H18" s="166"/>
      <c r="I18" s="166">
        <f>SUM(E18:F18)</f>
        <v>9104423</v>
      </c>
      <c r="J18" s="199"/>
      <c r="K18" s="166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</row>
    <row r="19" spans="1:55">
      <c r="A19" s="126">
        <v>7</v>
      </c>
      <c r="B19" s="94"/>
      <c r="C19" s="169" t="s">
        <v>1465</v>
      </c>
      <c r="D19" s="94"/>
      <c r="E19" s="166">
        <f>SUM(AK140:AK144)</f>
        <v>32295127</v>
      </c>
      <c r="F19" s="166"/>
      <c r="G19" s="28"/>
      <c r="H19" s="166"/>
      <c r="I19" s="166">
        <f>SUM(E19:F19)</f>
        <v>32295127</v>
      </c>
      <c r="J19" s="199"/>
      <c r="K19" s="166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</row>
    <row r="20" spans="1:55">
      <c r="A20" s="126">
        <v>8</v>
      </c>
      <c r="B20" s="94"/>
      <c r="C20" s="169" t="s">
        <v>1466</v>
      </c>
      <c r="D20" s="94"/>
      <c r="E20" s="166">
        <f>SUM(AK133:AK137)</f>
        <v>-5581717</v>
      </c>
      <c r="F20" s="100"/>
      <c r="G20" s="28"/>
      <c r="H20" s="166"/>
      <c r="I20" s="166">
        <f>SUM(E20:F20)</f>
        <v>-5581717</v>
      </c>
      <c r="J20" s="199"/>
      <c r="K20" s="166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</row>
    <row r="21" spans="1:55">
      <c r="A21" s="126">
        <v>9</v>
      </c>
      <c r="B21" s="94"/>
      <c r="C21" s="169" t="s">
        <v>1467</v>
      </c>
      <c r="D21" s="94"/>
      <c r="E21" s="166"/>
      <c r="F21" s="166">
        <f>SUM(AK116:AK120)</f>
        <v>20750632</v>
      </c>
      <c r="G21" s="166"/>
      <c r="H21" s="166"/>
      <c r="I21" s="166">
        <f>SUM(E21:G21)</f>
        <v>20750632</v>
      </c>
      <c r="J21" s="199"/>
      <c r="K21" s="166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</row>
    <row r="22" spans="1:55">
      <c r="A22" s="126">
        <v>10</v>
      </c>
      <c r="B22" s="191"/>
      <c r="C22" s="94"/>
      <c r="D22" s="94"/>
      <c r="E22" s="166"/>
      <c r="F22" s="166"/>
      <c r="G22" s="166"/>
      <c r="H22" s="166"/>
      <c r="I22" s="166"/>
      <c r="J22" s="192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</row>
    <row r="23" spans="1:55">
      <c r="A23" s="126">
        <v>11</v>
      </c>
      <c r="B23" s="94"/>
      <c r="C23" s="169" t="s">
        <v>1468</v>
      </c>
      <c r="D23" s="94"/>
      <c r="E23" s="166"/>
      <c r="F23" s="166"/>
      <c r="G23" s="166"/>
      <c r="H23" s="166"/>
      <c r="I23" s="106" t="s">
        <v>382</v>
      </c>
      <c r="J23" s="193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94"/>
      <c r="BC23" s="94"/>
    </row>
    <row r="24" spans="1:55">
      <c r="A24" s="126">
        <v>12</v>
      </c>
      <c r="B24" s="94"/>
      <c r="C24" s="169" t="s">
        <v>1469</v>
      </c>
      <c r="D24" s="94"/>
      <c r="E24" s="166">
        <f>I24-F24</f>
        <v>19200</v>
      </c>
      <c r="F24" s="166">
        <f>AK113+AK121</f>
        <v>8780</v>
      </c>
      <c r="G24" s="166"/>
      <c r="H24" s="166"/>
      <c r="I24" s="166">
        <f>VLOOKUP($T$98,BasePeriod,5,FALSE)</f>
        <v>27980</v>
      </c>
      <c r="J24" s="193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</row>
    <row r="25" spans="1:55">
      <c r="A25" s="126">
        <v>13</v>
      </c>
      <c r="B25" s="94"/>
      <c r="C25" s="169" t="s">
        <v>1470</v>
      </c>
      <c r="D25" s="94"/>
      <c r="E25" s="166"/>
      <c r="F25" s="166"/>
      <c r="G25" s="166">
        <f>AK146</f>
        <v>25728381</v>
      </c>
      <c r="H25" s="166"/>
      <c r="I25" s="166">
        <f t="shared" ref="I25:I31" si="0">SUM(E25:G25)</f>
        <v>25728381</v>
      </c>
      <c r="J25" s="193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</row>
    <row r="26" spans="1:55">
      <c r="A26" s="126">
        <v>14</v>
      </c>
      <c r="B26" s="94"/>
      <c r="C26" s="94" t="s">
        <v>1471</v>
      </c>
      <c r="D26" s="166"/>
      <c r="E26" s="166"/>
      <c r="F26" s="166"/>
      <c r="G26" s="166">
        <f>AK148</f>
        <v>-3740654</v>
      </c>
      <c r="H26" s="166"/>
      <c r="I26" s="166">
        <f t="shared" si="0"/>
        <v>-3740654</v>
      </c>
      <c r="J26" s="199"/>
      <c r="K26" s="166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</row>
    <row r="27" spans="1:55">
      <c r="A27" s="126">
        <v>15</v>
      </c>
      <c r="B27" s="94"/>
      <c r="C27" s="94" t="s">
        <v>1472</v>
      </c>
      <c r="D27" s="166"/>
      <c r="E27" s="166"/>
      <c r="F27" s="166"/>
      <c r="G27" s="166">
        <f>AK149</f>
        <v>1088121.9999999998</v>
      </c>
      <c r="H27" s="166"/>
      <c r="I27" s="166">
        <f t="shared" si="0"/>
        <v>1088121.9999999998</v>
      </c>
      <c r="J27" s="199"/>
      <c r="K27" s="166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</row>
    <row r="28" spans="1:55">
      <c r="A28" s="126">
        <v>16</v>
      </c>
      <c r="B28" s="94"/>
      <c r="C28" s="94" t="s">
        <v>1473</v>
      </c>
      <c r="D28" s="94"/>
      <c r="E28" s="166"/>
      <c r="F28" s="166"/>
      <c r="G28" s="166">
        <f>AK150</f>
        <v>181631</v>
      </c>
      <c r="H28" s="166"/>
      <c r="I28" s="166">
        <f t="shared" si="0"/>
        <v>181631</v>
      </c>
      <c r="J28" s="199"/>
      <c r="K28" s="166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</row>
    <row r="29" spans="1:55">
      <c r="A29" s="126">
        <v>17</v>
      </c>
      <c r="B29" s="94"/>
      <c r="C29" s="94" t="s">
        <v>1474</v>
      </c>
      <c r="D29" s="94"/>
      <c r="E29" s="166"/>
      <c r="F29" s="166"/>
      <c r="G29" s="166">
        <f>AK151</f>
        <v>1557305</v>
      </c>
      <c r="H29" s="166"/>
      <c r="I29" s="166">
        <f t="shared" si="0"/>
        <v>1557305</v>
      </c>
      <c r="J29" s="199"/>
      <c r="K29" s="166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</row>
    <row r="30" spans="1:55">
      <c r="A30" s="126">
        <v>18</v>
      </c>
      <c r="B30" s="94"/>
      <c r="C30" s="169" t="s">
        <v>1475</v>
      </c>
      <c r="D30" s="94"/>
      <c r="E30" s="166"/>
      <c r="F30" s="42"/>
      <c r="G30" s="166">
        <f>AK152-F30</f>
        <v>6126566</v>
      </c>
      <c r="H30" s="166"/>
      <c r="I30" s="166">
        <f t="shared" si="0"/>
        <v>6126566</v>
      </c>
      <c r="J30" s="199"/>
      <c r="K30" s="166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</row>
    <row r="31" spans="1:55">
      <c r="A31" s="126">
        <v>19</v>
      </c>
      <c r="B31" s="191"/>
      <c r="C31" s="169" t="s">
        <v>1476</v>
      </c>
      <c r="D31" s="94"/>
      <c r="E31" s="1499"/>
      <c r="F31" s="1499"/>
      <c r="G31" s="1499">
        <f>AK153</f>
        <v>2739770</v>
      </c>
      <c r="H31" s="166"/>
      <c r="I31" s="1499">
        <f t="shared" si="0"/>
        <v>2739770</v>
      </c>
      <c r="J31" s="199"/>
      <c r="K31" s="166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</row>
    <row r="32" spans="1:55">
      <c r="A32" s="126">
        <v>20</v>
      </c>
      <c r="B32" s="94"/>
      <c r="C32" s="169" t="s">
        <v>1477</v>
      </c>
      <c r="D32" s="94"/>
      <c r="E32" s="166">
        <f>SUM(E24:E31)</f>
        <v>19200</v>
      </c>
      <c r="F32" s="166">
        <f>SUM(F24:F31)</f>
        <v>8780</v>
      </c>
      <c r="G32" s="166">
        <f>SUM(G24:G31)</f>
        <v>33681121</v>
      </c>
      <c r="H32" s="166"/>
      <c r="I32" s="166">
        <f>SUM(I24:I31)</f>
        <v>33709101</v>
      </c>
      <c r="J32" s="199"/>
      <c r="K32" s="166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4"/>
      <c r="BB32" s="94"/>
      <c r="BC32" s="94"/>
    </row>
    <row r="33" spans="1:55">
      <c r="A33" s="126">
        <v>21</v>
      </c>
      <c r="B33" s="94"/>
      <c r="C33" s="94"/>
      <c r="D33" s="94"/>
      <c r="E33" s="166"/>
      <c r="F33" s="166"/>
      <c r="G33" s="166"/>
      <c r="H33" s="166"/>
      <c r="I33" s="166"/>
      <c r="J33" s="192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</row>
    <row r="34" spans="1:55" ht="13.8" thickBot="1">
      <c r="A34" s="126">
        <v>22</v>
      </c>
      <c r="B34" s="94"/>
      <c r="C34" s="126" t="s">
        <v>1478</v>
      </c>
      <c r="D34" s="94"/>
      <c r="E34" s="1943">
        <f>E13+E15+SUM(E18:E21)+E32</f>
        <v>320101480</v>
      </c>
      <c r="F34" s="1943">
        <f>F13+F15+SUM(F18:F21)+F32</f>
        <v>149982546</v>
      </c>
      <c r="G34" s="1943">
        <f>G13+G15+SUM(G18:G21)+G32</f>
        <v>33681121</v>
      </c>
      <c r="H34" s="166"/>
      <c r="I34" s="1943">
        <f>IF(I13+I15+I18+I19+I20+I21+I32=AK155,I13+I15+I18+I19+I20+I21+I32,"Check WPC-2c Rev")</f>
        <v>503765147</v>
      </c>
      <c r="J34" s="199"/>
      <c r="K34" s="166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</row>
    <row r="35" spans="1:55" ht="13.8" thickTop="1">
      <c r="A35" s="126"/>
      <c r="B35" s="94"/>
      <c r="C35" s="94"/>
      <c r="D35" s="94"/>
      <c r="E35" s="166"/>
      <c r="F35" s="166"/>
      <c r="G35" s="166"/>
      <c r="H35" s="166"/>
      <c r="I35" s="166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</row>
    <row r="36" spans="1:55">
      <c r="A36" s="94"/>
      <c r="B36" s="94"/>
      <c r="C36" s="94"/>
      <c r="D36" s="94"/>
      <c r="E36" s="94"/>
      <c r="F36" s="94"/>
      <c r="G36" s="94"/>
      <c r="H36" s="94"/>
      <c r="I36" s="166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</row>
    <row r="37" spans="1:55">
      <c r="A37" s="94"/>
      <c r="B37" s="94"/>
      <c r="C37" s="94" t="s">
        <v>1479</v>
      </c>
      <c r="D37" s="94"/>
      <c r="E37" s="94"/>
      <c r="F37" s="94"/>
      <c r="G37" s="94"/>
      <c r="H37" s="94"/>
      <c r="I37" s="166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</row>
    <row r="38" spans="1:55">
      <c r="A38" s="94"/>
      <c r="B38" s="94"/>
      <c r="C38" s="169" t="s">
        <v>1480</v>
      </c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</row>
    <row r="39" spans="1:55">
      <c r="A39" s="94"/>
      <c r="B39" s="94"/>
      <c r="C39" s="169" t="s">
        <v>1481</v>
      </c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</row>
    <row r="40" spans="1:55">
      <c r="A40" s="94"/>
      <c r="B40" s="94"/>
      <c r="C40" s="172"/>
      <c r="D40" s="94"/>
      <c r="E40" s="194"/>
      <c r="F40" s="194"/>
      <c r="G40" s="194"/>
      <c r="H40" s="94"/>
      <c r="I40" s="94"/>
      <c r="J40" s="94"/>
      <c r="K40" s="169" t="str">
        <f>COMPANY</f>
        <v>DUKE ENERGY KENTUCKY, INC.</v>
      </c>
      <c r="L40" s="94"/>
      <c r="M40" s="94"/>
      <c r="N40" s="94"/>
      <c r="O40" s="94"/>
      <c r="P40" s="94"/>
      <c r="Q40" s="171" t="s">
        <v>1482</v>
      </c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</row>
    <row r="41" spans="1:55">
      <c r="A41" s="94"/>
      <c r="B41" s="94"/>
      <c r="C41" s="94"/>
      <c r="D41" s="94"/>
      <c r="E41" s="194"/>
      <c r="F41" s="194"/>
      <c r="G41" s="194"/>
      <c r="H41" s="94"/>
      <c r="I41" s="94"/>
      <c r="J41" s="94"/>
      <c r="K41" s="94" t="str">
        <f>CASE</f>
        <v>CASE NO. 2024-00354</v>
      </c>
      <c r="L41" s="94"/>
      <c r="M41" s="94"/>
      <c r="N41" s="94"/>
      <c r="O41" s="94"/>
      <c r="P41" s="94"/>
      <c r="Q41" s="169" t="s">
        <v>1456</v>
      </c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</row>
    <row r="42" spans="1:55">
      <c r="A42" s="94"/>
      <c r="B42" s="94"/>
      <c r="C42" s="94"/>
      <c r="D42" s="94"/>
      <c r="E42" s="194"/>
      <c r="F42" s="194"/>
      <c r="G42" s="194"/>
      <c r="H42" s="94"/>
      <c r="I42" s="94"/>
      <c r="J42" s="94"/>
      <c r="K42" s="169" t="str">
        <f>DEPT</f>
        <v>ELECTRIC DEPARTMENT</v>
      </c>
      <c r="L42" s="94"/>
      <c r="M42" s="94"/>
      <c r="N42" s="94"/>
      <c r="O42" s="94"/>
      <c r="P42" s="94"/>
      <c r="Q42" s="94" t="str">
        <f>"      "&amp;_WIT1</f>
        <v xml:space="preserve">      L. D. STEINKUHL</v>
      </c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</row>
    <row r="43" spans="1:55">
      <c r="A43" s="94"/>
      <c r="B43" s="94"/>
      <c r="C43" s="94"/>
      <c r="D43" s="94"/>
      <c r="E43" s="194"/>
      <c r="F43" s="194"/>
      <c r="G43" s="194"/>
      <c r="H43" s="94"/>
      <c r="I43" s="94"/>
      <c r="J43" s="94"/>
      <c r="K43" s="169" t="str">
        <f>PeriodF</f>
        <v>FOR THE TWELVE MONTHS ENDED JUNE 30, 2026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</row>
    <row r="44" spans="1:55">
      <c r="A44" s="94"/>
      <c r="B44" s="94"/>
      <c r="C44" s="94"/>
      <c r="D44" s="94"/>
      <c r="E44" s="194"/>
      <c r="F44" s="194"/>
      <c r="G44" s="194"/>
      <c r="H44" s="94"/>
      <c r="I44" s="94"/>
      <c r="J44" s="94"/>
      <c r="K44" s="169" t="str">
        <f>DataF</f>
        <v>DATA:  BASE PERIOD  "X" FORECASTED PERIOD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</row>
    <row r="45" spans="1:55">
      <c r="A45" s="94"/>
      <c r="B45" s="94"/>
      <c r="C45" s="94"/>
      <c r="D45" s="94"/>
      <c r="E45" s="194"/>
      <c r="F45" s="194"/>
      <c r="G45" s="194"/>
      <c r="H45" s="94"/>
      <c r="I45" s="94"/>
      <c r="J45" s="94"/>
      <c r="K45" s="169" t="str">
        <f>Type</f>
        <v xml:space="preserve">TYPE OF FILING:  "X" ORIGINAL   UPDATED    REVISED  </v>
      </c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</row>
    <row r="46" spans="1:55">
      <c r="A46" s="94"/>
      <c r="B46" s="94"/>
      <c r="C46" s="94"/>
      <c r="D46" s="94"/>
      <c r="E46" s="194"/>
      <c r="F46" s="194"/>
      <c r="G46" s="1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</row>
    <row r="47" spans="1:55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</row>
    <row r="48" spans="1:55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125" t="s">
        <v>403</v>
      </c>
      <c r="P48" s="125"/>
      <c r="Q48" s="125"/>
      <c r="R48" s="94"/>
      <c r="S48" s="126" t="s">
        <v>972</v>
      </c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</row>
    <row r="49" spans="1:55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126" t="s">
        <v>471</v>
      </c>
      <c r="L49" s="94"/>
      <c r="M49" s="94"/>
      <c r="N49" s="94"/>
      <c r="O49" s="1476" t="s">
        <v>1457</v>
      </c>
      <c r="P49" s="1476"/>
      <c r="Q49" s="1476"/>
      <c r="R49" s="94"/>
      <c r="S49" s="126" t="s">
        <v>1458</v>
      </c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</row>
    <row r="50" spans="1:55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1407" t="s">
        <v>533</v>
      </c>
      <c r="L50" s="94"/>
      <c r="M50" s="1409" t="s">
        <v>1459</v>
      </c>
      <c r="N50" s="94"/>
      <c r="O50" s="1407" t="s">
        <v>473</v>
      </c>
      <c r="P50" s="1407" t="s">
        <v>1069</v>
      </c>
      <c r="Q50" s="1407" t="s">
        <v>413</v>
      </c>
      <c r="R50" s="94"/>
      <c r="S50" s="1407" t="s">
        <v>1460</v>
      </c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</row>
    <row r="51" spans="1:55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166"/>
      <c r="P51" s="166"/>
      <c r="Q51" s="166"/>
      <c r="R51" s="94"/>
      <c r="S51" s="166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</row>
    <row r="52" spans="1:55">
      <c r="A52" s="169"/>
      <c r="B52" s="94"/>
      <c r="C52" s="94"/>
      <c r="D52" s="166"/>
      <c r="E52" s="166"/>
      <c r="F52" s="94"/>
      <c r="G52" s="195"/>
      <c r="H52" s="166"/>
      <c r="I52" s="195"/>
      <c r="J52" s="94"/>
      <c r="K52" s="126">
        <v>1</v>
      </c>
      <c r="L52" s="191"/>
      <c r="M52" s="169" t="s">
        <v>1461</v>
      </c>
      <c r="N52" s="166"/>
      <c r="O52" s="170">
        <f>S52-P52</f>
        <v>279313930</v>
      </c>
      <c r="P52" s="170">
        <f>SUM(AK192:AK196)</f>
        <v>133919345</v>
      </c>
      <c r="Q52" s="166"/>
      <c r="R52" s="166"/>
      <c r="S52" s="166">
        <f>'SCH_C2.1 - Forecasted Period'!J47-S54-S57-S58-S59-S60-S71</f>
        <v>413233275</v>
      </c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</row>
    <row r="53" spans="1:55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126">
        <v>2</v>
      </c>
      <c r="L53" s="191"/>
      <c r="M53" s="94"/>
      <c r="N53" s="94"/>
      <c r="O53" s="166"/>
      <c r="P53" s="166"/>
      <c r="Q53" s="166"/>
      <c r="R53" s="166"/>
      <c r="S53" s="166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</row>
    <row r="54" spans="1:55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126">
        <v>3</v>
      </c>
      <c r="L54" s="94"/>
      <c r="M54" s="169" t="s">
        <v>1462</v>
      </c>
      <c r="N54" s="166"/>
      <c r="O54" s="166">
        <f>SUM(AK185:AK189)-P54</f>
        <v>330788</v>
      </c>
      <c r="P54" s="170"/>
      <c r="Q54" s="166"/>
      <c r="R54" s="166"/>
      <c r="S54" s="166">
        <f>SUM(O54:Q54)</f>
        <v>330788</v>
      </c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</row>
    <row r="55" spans="1:55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126">
        <v>4</v>
      </c>
      <c r="L55" s="94"/>
      <c r="M55" s="94"/>
      <c r="N55" s="94"/>
      <c r="O55" s="166"/>
      <c r="P55" s="166"/>
      <c r="Q55" s="166"/>
      <c r="R55" s="166"/>
      <c r="S55" s="166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</row>
    <row r="56" spans="1:55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126">
        <v>5</v>
      </c>
      <c r="L56" s="94"/>
      <c r="M56" s="94" t="s">
        <v>1463</v>
      </c>
      <c r="N56" s="94"/>
      <c r="O56" s="166"/>
      <c r="P56" s="166"/>
      <c r="Q56" s="166"/>
      <c r="R56" s="166"/>
      <c r="S56" s="166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</row>
    <row r="57" spans="1:55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126">
        <v>6</v>
      </c>
      <c r="L57" s="94"/>
      <c r="M57" s="169" t="s">
        <v>1464</v>
      </c>
      <c r="N57" s="94"/>
      <c r="O57" s="166">
        <f>SUM(AK210:AK214)</f>
        <v>7966807</v>
      </c>
      <c r="P57" s="166"/>
      <c r="Q57" s="28"/>
      <c r="R57" s="166"/>
      <c r="S57" s="166">
        <f>SUM(O57:P57)</f>
        <v>7966807</v>
      </c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</row>
    <row r="58" spans="1:55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126">
        <v>7</v>
      </c>
      <c r="L58" s="94"/>
      <c r="M58" s="169" t="s">
        <v>1465</v>
      </c>
      <c r="N58" s="94"/>
      <c r="O58" s="166">
        <f>SUM(AK224:AK228)</f>
        <v>24535556</v>
      </c>
      <c r="P58" s="166"/>
      <c r="Q58" s="28"/>
      <c r="R58" s="166"/>
      <c r="S58" s="166">
        <f>SUM(O58:P58)</f>
        <v>24535556</v>
      </c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</row>
    <row r="59" spans="1:55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126">
        <v>8</v>
      </c>
      <c r="L59" s="94"/>
      <c r="M59" s="169" t="s">
        <v>1466</v>
      </c>
      <c r="N59" s="94"/>
      <c r="O59" s="166">
        <f>SUM(AK217:AK221)</f>
        <v>-13894708</v>
      </c>
      <c r="P59" s="100"/>
      <c r="Q59" s="28"/>
      <c r="R59" s="166"/>
      <c r="S59" s="166">
        <f>SUM(O59:P59)</f>
        <v>-13894708</v>
      </c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</row>
    <row r="60" spans="1:55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126">
        <v>9</v>
      </c>
      <c r="L60" s="94"/>
      <c r="M60" s="169" t="s">
        <v>1467</v>
      </c>
      <c r="N60" s="94"/>
      <c r="O60" s="166"/>
      <c r="P60" s="166">
        <f>SUM(AK200:AK204)</f>
        <v>13331361</v>
      </c>
      <c r="Q60" s="166"/>
      <c r="R60" s="166"/>
      <c r="S60" s="166">
        <f>SUM(O60:Q60)</f>
        <v>13331361</v>
      </c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</row>
    <row r="61" spans="1:55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126">
        <v>10</v>
      </c>
      <c r="L61" s="191"/>
      <c r="M61" s="94"/>
      <c r="N61" s="94"/>
      <c r="O61" s="166"/>
      <c r="P61" s="166"/>
      <c r="Q61" s="166"/>
      <c r="R61" s="166"/>
      <c r="S61" s="166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</row>
    <row r="62" spans="1:55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126">
        <v>11</v>
      </c>
      <c r="L62" s="94"/>
      <c r="M62" s="169" t="s">
        <v>1468</v>
      </c>
      <c r="N62" s="94"/>
      <c r="O62" s="166"/>
      <c r="P62" s="166"/>
      <c r="Q62" s="166"/>
      <c r="R62" s="166"/>
      <c r="S62" s="106" t="s">
        <v>382</v>
      </c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</row>
    <row r="63" spans="1:55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126">
        <v>12</v>
      </c>
      <c r="L63" s="94"/>
      <c r="M63" s="169" t="s">
        <v>1469</v>
      </c>
      <c r="N63" s="94"/>
      <c r="O63" s="166">
        <f>S63-P63</f>
        <v>21034</v>
      </c>
      <c r="P63" s="166">
        <f>AK197+AK205</f>
        <v>12507</v>
      </c>
      <c r="Q63" s="166"/>
      <c r="R63" s="166"/>
      <c r="S63" s="166">
        <f>VLOOKUP($T$182,FPERIOD,5,FALSE)</f>
        <v>33541</v>
      </c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</row>
    <row r="64" spans="1:55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126">
        <v>13</v>
      </c>
      <c r="L64" s="94"/>
      <c r="M64" s="169" t="s">
        <v>1470</v>
      </c>
      <c r="N64" s="94"/>
      <c r="O64" s="166"/>
      <c r="P64" s="166"/>
      <c r="Q64" s="166">
        <f>AK230</f>
        <v>31560809</v>
      </c>
      <c r="R64" s="166"/>
      <c r="S64" s="166">
        <f t="shared" ref="S64:S70" si="1">SUM(O64:Q64)</f>
        <v>31560809</v>
      </c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</row>
    <row r="65" spans="1:55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126">
        <v>14</v>
      </c>
      <c r="L65" s="94"/>
      <c r="M65" s="94" t="s">
        <v>1471</v>
      </c>
      <c r="N65" s="94"/>
      <c r="O65" s="166"/>
      <c r="P65" s="166"/>
      <c r="Q65" s="166">
        <f>AK232</f>
        <v>0</v>
      </c>
      <c r="R65" s="166"/>
      <c r="S65" s="166">
        <f t="shared" si="1"/>
        <v>0</v>
      </c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</row>
    <row r="66" spans="1:55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126">
        <v>15</v>
      </c>
      <c r="L66" s="94"/>
      <c r="M66" s="94" t="s">
        <v>1472</v>
      </c>
      <c r="N66" s="94"/>
      <c r="O66" s="166"/>
      <c r="P66" s="166"/>
      <c r="Q66" s="166">
        <f>AK233</f>
        <v>1155060</v>
      </c>
      <c r="R66" s="166"/>
      <c r="S66" s="166">
        <f t="shared" si="1"/>
        <v>1155060</v>
      </c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</row>
    <row r="67" spans="1:55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126">
        <v>16</v>
      </c>
      <c r="L67" s="94"/>
      <c r="M67" s="94" t="s">
        <v>1473</v>
      </c>
      <c r="N67" s="94"/>
      <c r="O67" s="166"/>
      <c r="P67" s="166"/>
      <c r="Q67" s="166">
        <f>AK234</f>
        <v>249996</v>
      </c>
      <c r="R67" s="166"/>
      <c r="S67" s="166">
        <f t="shared" si="1"/>
        <v>249996</v>
      </c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4"/>
      <c r="BB67" s="94"/>
      <c r="BC67" s="94"/>
    </row>
    <row r="68" spans="1:55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126">
        <v>17</v>
      </c>
      <c r="L68" s="191"/>
      <c r="M68" s="94" t="s">
        <v>1474</v>
      </c>
      <c r="N68" s="94"/>
      <c r="O68" s="166"/>
      <c r="P68" s="166"/>
      <c r="Q68" s="166">
        <f>AK235</f>
        <v>1999992</v>
      </c>
      <c r="R68" s="166"/>
      <c r="S68" s="166">
        <f t="shared" si="1"/>
        <v>1999992</v>
      </c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4"/>
      <c r="BB68" s="94"/>
      <c r="BC68" s="94"/>
    </row>
    <row r="69" spans="1:55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126">
        <v>18</v>
      </c>
      <c r="L69" s="191"/>
      <c r="M69" s="169" t="s">
        <v>1475</v>
      </c>
      <c r="N69" s="94"/>
      <c r="O69" s="166"/>
      <c r="P69" s="166"/>
      <c r="Q69" s="166">
        <f>AK236-P69</f>
        <v>169500</v>
      </c>
      <c r="R69" s="166"/>
      <c r="S69" s="166">
        <f t="shared" si="1"/>
        <v>169500</v>
      </c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</row>
    <row r="70" spans="1:55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126">
        <v>19</v>
      </c>
      <c r="L70" s="94"/>
      <c r="M70" s="169" t="s">
        <v>1476</v>
      </c>
      <c r="N70" s="94"/>
      <c r="O70" s="166"/>
      <c r="P70" s="166"/>
      <c r="Q70" s="166">
        <f>AK237</f>
        <v>1881000</v>
      </c>
      <c r="R70" s="166"/>
      <c r="S70" s="1499">
        <f t="shared" si="1"/>
        <v>1881000</v>
      </c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4"/>
      <c r="BB70" s="94"/>
      <c r="BC70" s="94"/>
    </row>
    <row r="71" spans="1:55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126">
        <v>20</v>
      </c>
      <c r="L71" s="94"/>
      <c r="M71" s="169" t="s">
        <v>1477</v>
      </c>
      <c r="N71" s="94"/>
      <c r="O71" s="2137">
        <f>SUM(O63:O70)</f>
        <v>21034</v>
      </c>
      <c r="P71" s="2137">
        <f>SUM(P63:P70)</f>
        <v>12507</v>
      </c>
      <c r="Q71" s="2137">
        <f>SUM(Q63:Q70)</f>
        <v>37016357</v>
      </c>
      <c r="R71" s="166"/>
      <c r="S71" s="2137">
        <f>SUM(S63:S70)</f>
        <v>37049898</v>
      </c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</row>
    <row r="72" spans="1:55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126">
        <v>21</v>
      </c>
      <c r="L72" s="94"/>
      <c r="M72" s="94"/>
      <c r="N72" s="94"/>
      <c r="O72" s="166"/>
      <c r="P72" s="166"/>
      <c r="Q72" s="166"/>
      <c r="R72" s="166"/>
      <c r="S72" s="166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</row>
    <row r="73" spans="1:55" ht="13.8" thickBo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126">
        <v>22</v>
      </c>
      <c r="L73" s="94"/>
      <c r="M73" s="126" t="s">
        <v>1478</v>
      </c>
      <c r="N73" s="94"/>
      <c r="O73" s="1943">
        <f>O52+O54+SUM(O57:O60)+O71</f>
        <v>298273407</v>
      </c>
      <c r="P73" s="1943">
        <f>P52+P54+SUM(P57:P60)+P71</f>
        <v>147263213</v>
      </c>
      <c r="Q73" s="1943">
        <f>Q52+Q54+SUM(Q57:Q60)+Q71</f>
        <v>37016357</v>
      </c>
      <c r="R73" s="166"/>
      <c r="S73" s="1943">
        <f>IF(S52+S54+S57+S58+S59+S60+S71=SCH_C2!H20,S52+S54+S57+S58+S59+S60+S71,"Check WPC-2d Rev")</f>
        <v>482552977</v>
      </c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</row>
    <row r="74" spans="1:55" ht="13.8" thickTop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126"/>
      <c r="L74" s="94"/>
      <c r="M74" s="94"/>
      <c r="N74" s="94"/>
      <c r="O74" s="166"/>
      <c r="P74" s="166"/>
      <c r="Q74" s="166"/>
      <c r="R74" s="166"/>
      <c r="S74" s="166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</row>
    <row r="75" spans="1:55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 t="s">
        <v>1479</v>
      </c>
      <c r="N75" s="94"/>
      <c r="O75" s="94"/>
      <c r="P75" s="94"/>
      <c r="Q75" s="94"/>
      <c r="R75" s="94"/>
      <c r="S75" s="126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</row>
    <row r="76" spans="1:55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169" t="s">
        <v>1483</v>
      </c>
      <c r="N76" s="94"/>
      <c r="O76" s="94"/>
      <c r="P76" s="94"/>
      <c r="Q76" s="94"/>
      <c r="R76" s="94"/>
      <c r="S76" s="126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4"/>
      <c r="BB76" s="94"/>
      <c r="BC76" s="94"/>
    </row>
    <row r="77" spans="1:55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169" t="s">
        <v>1484</v>
      </c>
      <c r="N77" s="94"/>
      <c r="O77" s="94"/>
      <c r="P77" s="94"/>
      <c r="Q77" s="94"/>
      <c r="R77" s="94"/>
      <c r="S77" s="126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4"/>
      <c r="BB77" s="94"/>
      <c r="BC77" s="94"/>
    </row>
    <row r="78" spans="1:55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172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  <c r="BA78" s="94"/>
      <c r="BB78" s="94"/>
      <c r="BC78" s="94"/>
    </row>
    <row r="79" spans="1:55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126"/>
      <c r="P79" s="126"/>
      <c r="Q79" s="126"/>
      <c r="R79" s="94"/>
      <c r="S79" s="126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</row>
    <row r="80" spans="1:55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127"/>
      <c r="N80" s="94"/>
      <c r="O80" s="166"/>
      <c r="P80" s="166"/>
      <c r="Q80" s="166"/>
      <c r="R80" s="166"/>
      <c r="S80" s="166"/>
      <c r="T80" s="94"/>
      <c r="U80" s="169" t="str">
        <f>COMPANY</f>
        <v>DUKE ENERGY KENTUCKY, INC.</v>
      </c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169" t="s">
        <v>1485</v>
      </c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4"/>
      <c r="BB80" s="94"/>
      <c r="BC80" s="94"/>
    </row>
    <row r="81" spans="1:55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127"/>
      <c r="N81" s="94"/>
      <c r="O81" s="166"/>
      <c r="P81" s="166"/>
      <c r="Q81" s="166"/>
      <c r="R81" s="166"/>
      <c r="S81" s="166"/>
      <c r="T81" s="94"/>
      <c r="U81" s="94" t="str">
        <f>CASE</f>
        <v>CASE NO. 2024-00354</v>
      </c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169" t="s">
        <v>468</v>
      </c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</row>
    <row r="82" spans="1:55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166"/>
      <c r="P82" s="166"/>
      <c r="Q82" s="166"/>
      <c r="R82" s="196"/>
      <c r="S82" s="166"/>
      <c r="T82" s="94"/>
      <c r="U82" s="169" t="str">
        <f>DEPT</f>
        <v>ELECTRIC DEPARTMENT</v>
      </c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 t="str">
        <f>_WIT1</f>
        <v>L. D. STEINKUHL</v>
      </c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  <c r="BB82" s="94"/>
      <c r="BC82" s="94"/>
    </row>
    <row r="83" spans="1:55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127"/>
      <c r="N83" s="94"/>
      <c r="O83" s="166"/>
      <c r="P83" s="166"/>
      <c r="Q83" s="166"/>
      <c r="R83" s="166"/>
      <c r="S83" s="166"/>
      <c r="T83" s="94"/>
      <c r="U83" s="169" t="s">
        <v>1486</v>
      </c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4"/>
      <c r="BB83" s="94"/>
      <c r="BC83" s="94"/>
    </row>
    <row r="84" spans="1:55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166"/>
      <c r="P84" s="166"/>
      <c r="Q84" s="166"/>
      <c r="R84" s="196"/>
      <c r="S84" s="166"/>
      <c r="T84" s="94"/>
      <c r="U84" s="169" t="str">
        <f>PERIOD</f>
        <v>FOR THE TWELVE MONTHS ENDED FEBRUARY 28, 2025</v>
      </c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</row>
    <row r="85" spans="1:55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127"/>
      <c r="N85" s="94"/>
      <c r="O85" s="166"/>
      <c r="P85" s="166"/>
      <c r="Q85" s="166"/>
      <c r="R85" s="94"/>
      <c r="S85" s="166"/>
      <c r="T85" s="94"/>
      <c r="U85" s="169" t="str">
        <f>Data</f>
        <v>DATA: "X" BASE PERIOD   FORECASTED PERIOD</v>
      </c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</row>
    <row r="86" spans="1:55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166"/>
      <c r="R86" s="127"/>
      <c r="S86" s="166"/>
      <c r="T86" s="94"/>
      <c r="U86" s="169" t="str">
        <f>Type</f>
        <v xml:space="preserve">TYPE OF FILING:  "X" ORIGINAL   UPDATED    REVISED  </v>
      </c>
      <c r="V86" s="94"/>
      <c r="W86" s="94"/>
      <c r="X86" s="94"/>
      <c r="Y86" s="94"/>
      <c r="Z86" s="94"/>
      <c r="AA86" s="94"/>
      <c r="AB86" s="168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  <c r="BC86" s="94"/>
    </row>
    <row r="87" spans="1:55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</row>
    <row r="88" spans="1:55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166"/>
      <c r="P88" s="166"/>
      <c r="Q88" s="166"/>
      <c r="R88" s="166"/>
      <c r="S88" s="166"/>
      <c r="T88" s="94"/>
      <c r="U88" s="94"/>
      <c r="V88" s="94"/>
      <c r="W88" s="94"/>
      <c r="X88" s="94"/>
      <c r="Y88" s="94"/>
      <c r="Z88" s="94"/>
      <c r="AA88" s="94"/>
      <c r="AB88" s="94"/>
      <c r="AC88" s="166"/>
      <c r="AD88" s="166"/>
      <c r="AE88" s="166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  <c r="BC88" s="94"/>
    </row>
    <row r="89" spans="1:55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126" t="s">
        <v>573</v>
      </c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  <c r="BC89" s="94"/>
    </row>
    <row r="90" spans="1:55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7"/>
      <c r="P90" s="97"/>
      <c r="Q90" s="94"/>
      <c r="R90" s="94"/>
      <c r="S90" s="94"/>
      <c r="T90" s="94"/>
      <c r="U90" s="97" t="s">
        <v>576</v>
      </c>
      <c r="V90" s="94"/>
      <c r="W90" s="97" t="s">
        <v>2</v>
      </c>
      <c r="X90" s="94"/>
      <c r="Y90" s="26">
        <f>LOGO!$I$7</f>
        <v>45382</v>
      </c>
      <c r="Z90" s="26">
        <f>LOGO!$I$8</f>
        <v>45412</v>
      </c>
      <c r="AA90" s="26">
        <f>LOGO!$I$9</f>
        <v>45443</v>
      </c>
      <c r="AB90" s="26">
        <f>LOGO!$I$10</f>
        <v>45473</v>
      </c>
      <c r="AC90" s="26">
        <f>LOGO!$I$11</f>
        <v>45504</v>
      </c>
      <c r="AD90" s="26">
        <f>LOGO!$I$12</f>
        <v>45535</v>
      </c>
      <c r="AE90" s="26">
        <f>LOGO!$I$13</f>
        <v>45565</v>
      </c>
      <c r="AF90" s="26">
        <f>LOGO!$I$14</f>
        <v>45596</v>
      </c>
      <c r="AG90" s="26">
        <f>LOGO!$I$15</f>
        <v>45626</v>
      </c>
      <c r="AH90" s="26">
        <f>LOGO!$I$16</f>
        <v>45657</v>
      </c>
      <c r="AI90" s="26">
        <f>LOGO!$I$17</f>
        <v>45688</v>
      </c>
      <c r="AJ90" s="26">
        <f>LOGO!$I$18</f>
        <v>45716</v>
      </c>
      <c r="AK90" s="97" t="s">
        <v>258</v>
      </c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  <c r="BC90" s="94"/>
    </row>
    <row r="91" spans="1:55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172"/>
      <c r="N91" s="94"/>
      <c r="O91" s="194"/>
      <c r="P91" s="194"/>
      <c r="Q91" s="1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  <c r="BC91" s="94"/>
    </row>
    <row r="92" spans="1:55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194"/>
      <c r="P92" s="194"/>
      <c r="Q92" s="194"/>
      <c r="R92" s="94"/>
      <c r="S92" s="94"/>
      <c r="T92" s="94"/>
      <c r="U92" s="126">
        <v>1</v>
      </c>
      <c r="V92" s="94"/>
      <c r="W92" s="127" t="s">
        <v>1487</v>
      </c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  <c r="BA92" s="94"/>
      <c r="BB92" s="94"/>
      <c r="BC92" s="94"/>
    </row>
    <row r="93" spans="1:55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194"/>
      <c r="P93" s="194"/>
      <c r="Q93" s="194"/>
      <c r="R93" s="94"/>
      <c r="S93" s="197" t="s">
        <v>363</v>
      </c>
      <c r="T93" s="197">
        <v>440000</v>
      </c>
      <c r="U93" s="126">
        <v>2</v>
      </c>
      <c r="V93" s="94"/>
      <c r="W93" s="198" t="s">
        <v>91</v>
      </c>
      <c r="X93" s="94"/>
      <c r="Y93" s="166">
        <f t="array" ref="Y93">SUM(IF(BPrevACCT=T93,IF(BPREVPROD=S93,BPrev1)))</f>
        <v>9619882</v>
      </c>
      <c r="Z93" s="166">
        <f t="array" ref="Z93">SUM(IF(BPrevACCT=T93,IF(BPREVPROD=S93,BPrev2)))</f>
        <v>8940282</v>
      </c>
      <c r="AA93" s="166">
        <f t="array" ref="AA93">SUM(IF(BPrevACCT=T93,IF(BPREVPROD=S93,BPrev3)))</f>
        <v>9548536</v>
      </c>
      <c r="AB93" s="166">
        <f t="array" ref="AB93">SUM(IF(BPrevACCT=T93,IF(BPREVPROD=S93,BPrev4)))</f>
        <v>10374069</v>
      </c>
      <c r="AC93" s="166">
        <f t="array" ref="AC93">SUM(IF(BPrevACCT=T93,IF(BPREVPROD=S93,BPrev5)))</f>
        <v>13842615</v>
      </c>
      <c r="AD93" s="166">
        <f t="array" ref="AD93">SUM(IF(BPrevACCT=T93,IF(BPREVPROD=S93,BPrev6)))</f>
        <v>12911932</v>
      </c>
      <c r="AE93" s="166">
        <f t="array" ref="AE93">SUM(IF(BPrevACCT=T93,IF(BPREVPROD=S93,BPrev7)))</f>
        <v>10963349</v>
      </c>
      <c r="AF93" s="166">
        <f t="array" ref="AF93">SUM(IF(BPrevACCT=T93,IF(BPREVPROD=S93,BPrev8)))</f>
        <v>8263586</v>
      </c>
      <c r="AG93" s="166">
        <f t="array" ref="AG93">SUM(IF(BPrevACCT=T93,IF(BPREVPROD=S93,BPrev9)))</f>
        <v>8209406</v>
      </c>
      <c r="AH93" s="166">
        <f t="array" ref="AH93">SUM(IF(BPrevACCT=T93,IF(BPREVPROD=S93,BPrev10)))</f>
        <v>10987730</v>
      </c>
      <c r="AI93" s="166">
        <f t="array" ref="AI93">SUM(IF(BPrevACCT=T93,IF(BPREVPROD=S93,BPrev11)))</f>
        <v>12560959</v>
      </c>
      <c r="AJ93" s="166">
        <f t="array" ref="AJ93">SUM(IF(BPrevACCT=T93,IF(BPREVPROD=S93,BPrev12)))</f>
        <v>11830464</v>
      </c>
      <c r="AK93" s="166">
        <f t="shared" ref="AK93:AK98" si="2">SUM(Y93:AJ93)</f>
        <v>128052810</v>
      </c>
      <c r="AL93" s="94"/>
      <c r="AM93" s="166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4"/>
      <c r="BB93" s="94"/>
      <c r="BC93" s="94"/>
    </row>
    <row r="94" spans="1:55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194"/>
      <c r="P94" s="194"/>
      <c r="Q94" s="194"/>
      <c r="R94" s="94"/>
      <c r="S94" s="197"/>
      <c r="T94" s="197">
        <v>442100</v>
      </c>
      <c r="U94" s="126">
        <v>3</v>
      </c>
      <c r="V94" s="94"/>
      <c r="W94" s="198" t="s">
        <v>1488</v>
      </c>
      <c r="X94" s="94"/>
      <c r="Y94" s="166">
        <f t="array" ref="Y94">SUM(IF(BPrevACCT=T94,IF(BPREVPROD=S93,BPrev1)))</f>
        <v>8089742</v>
      </c>
      <c r="Z94" s="166">
        <f t="array" ref="Z94">SUM(IF(BPrevACCT=T94,IF(BPREVPROD=S93,BPrev2)))</f>
        <v>8036627</v>
      </c>
      <c r="AA94" s="166">
        <f t="array" ref="AA94">SUM(IF(BPrevACCT=T94,IF(BPREVPROD=S93,BPrev3)))</f>
        <v>8041419</v>
      </c>
      <c r="AB94" s="166">
        <f t="array" ref="AB94">SUM(IF(BPrevACCT=T94,IF(BPREVPROD=S93,BPrev4)))</f>
        <v>6917953</v>
      </c>
      <c r="AC94" s="166">
        <f t="array" ref="AC94">SUM(IF(BPrevACCT=T94,IF(BPREVPROD=S93,BPrev5)))</f>
        <v>11013547</v>
      </c>
      <c r="AD94" s="166">
        <f t="array" ref="AD94">SUM(IF(BPrevACCT=T94,IF(BPREVPROD=S93,BPrev6)))</f>
        <v>9750298</v>
      </c>
      <c r="AE94" s="166">
        <f t="array" ref="AE94">SUM(IF(BPrevACCT=T94,IF(BPREVPROD=S93,BPrev7)))</f>
        <v>8608733</v>
      </c>
      <c r="AF94" s="166">
        <f t="array" ref="AF94">SUM(IF(BPrevACCT=T94,IF(BPREVPROD=S93,BPrev8)))</f>
        <v>7904328</v>
      </c>
      <c r="AG94" s="166">
        <f t="array" ref="AG94">SUM(IF(BPrevACCT=T94,IF(BPREVPROD=S93,BPrev9)))</f>
        <v>7677888</v>
      </c>
      <c r="AH94" s="166">
        <f t="array" ref="AH94">SUM(IF(BPrevACCT=T94,IF(BPREVPROD=S93,BPrev10)))</f>
        <v>7966103</v>
      </c>
      <c r="AI94" s="166">
        <f t="array" ref="AI94">SUM(IF(BPrevACCT=T94,IF(BPREVPROD=S93,BPrev11)))</f>
        <v>7996971</v>
      </c>
      <c r="AJ94" s="166">
        <f t="array" ref="AJ94">SUM(IF(BPrevACCT=T94,IF(BPREVPROD=S93,BPrev12)))</f>
        <v>7755865</v>
      </c>
      <c r="AK94" s="166">
        <f t="shared" si="2"/>
        <v>99759474</v>
      </c>
      <c r="AL94" s="94"/>
      <c r="AM94" s="166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  <c r="BA94" s="94"/>
      <c r="BB94" s="94"/>
      <c r="BC94" s="94"/>
    </row>
    <row r="95" spans="1:55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194"/>
      <c r="P95" s="194"/>
      <c r="Q95" s="194"/>
      <c r="R95" s="94"/>
      <c r="S95" s="197"/>
      <c r="T95" s="197">
        <v>442200</v>
      </c>
      <c r="U95" s="126">
        <v>4</v>
      </c>
      <c r="V95" s="94"/>
      <c r="W95" s="198" t="s">
        <v>1489</v>
      </c>
      <c r="X95" s="94"/>
      <c r="Y95" s="166">
        <f t="array" ref="Y95">SUM(IF(BPrevACCT=T95,IF(BPREVPROD=S93,BPrev1)))</f>
        <v>3112741</v>
      </c>
      <c r="Z95" s="166">
        <f t="array" ref="Z95">SUM(IF(BPrevACCT=T95,IF(BPREVPROD=S93,BPrev2)))</f>
        <v>3065132</v>
      </c>
      <c r="AA95" s="166">
        <f t="array" ref="AA95">SUM(IF(BPrevACCT=T95,IF(BPREVPROD=S93,BPrev3)))</f>
        <v>2852042</v>
      </c>
      <c r="AB95" s="166">
        <f t="array" ref="AB95">SUM(IF(BPrevACCT=T95,IF(BPREVPROD=S93,BPrev4)))</f>
        <v>3122602</v>
      </c>
      <c r="AC95" s="166">
        <f t="array" ref="AC95">SUM(IF(BPrevACCT=T95,IF(BPREVPROD=S93,BPrev5)))</f>
        <v>3365176</v>
      </c>
      <c r="AD95" s="166">
        <f t="array" ref="AD95">SUM(IF(BPrevACCT=T95,IF(BPREVPROD=S93,BPrev6)))</f>
        <v>4012785</v>
      </c>
      <c r="AE95" s="166">
        <f t="array" ref="AE95">SUM(IF(BPrevACCT=T95,IF(BPREVPROD=S93,BPrev7)))</f>
        <v>3874251</v>
      </c>
      <c r="AF95" s="166">
        <f t="array" ref="AF95">SUM(IF(BPrevACCT=T95,IF(BPREVPROD=S93,BPrev8)))</f>
        <v>3511522</v>
      </c>
      <c r="AG95" s="166">
        <f t="array" ref="AG95">SUM(IF(BPrevACCT=T95,IF(BPREVPROD=S93,BPrev9)))</f>
        <v>3583123</v>
      </c>
      <c r="AH95" s="166">
        <f t="array" ref="AH95">SUM(IF(BPrevACCT=T95,IF(BPREVPROD=S93,BPrev10)))</f>
        <v>3400355</v>
      </c>
      <c r="AI95" s="166">
        <f t="array" ref="AI95">SUM(IF(BPrevACCT=T95,IF(BPREVPROD=S93,BPrev11)))</f>
        <v>3229795</v>
      </c>
      <c r="AJ95" s="166">
        <f t="array" ref="AJ95">SUM(IF(BPrevACCT=T95,IF(BPREVPROD=S93,BPrev12)))</f>
        <v>3290004</v>
      </c>
      <c r="AK95" s="166">
        <f t="shared" si="2"/>
        <v>40419528</v>
      </c>
      <c r="AL95" s="94"/>
      <c r="AM95" s="166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4"/>
      <c r="BB95" s="94"/>
      <c r="BC95" s="94"/>
    </row>
    <row r="96" spans="1:55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194"/>
      <c r="P96" s="194"/>
      <c r="Q96" s="194"/>
      <c r="R96" s="94"/>
      <c r="S96" s="197"/>
      <c r="T96" s="197">
        <v>444000</v>
      </c>
      <c r="U96" s="126">
        <v>5</v>
      </c>
      <c r="V96" s="94"/>
      <c r="W96" s="198" t="s">
        <v>1490</v>
      </c>
      <c r="X96" s="94"/>
      <c r="Y96" s="166">
        <f t="array" ref="Y96">SUM(IF(BPrevACCT=T96,IF(BPREVPROD=S93,BPrev1)))</f>
        <v>-3515</v>
      </c>
      <c r="Z96" s="166">
        <f t="array" ref="Z96">SUM(IF(BPrevACCT=T96,IF(BPREVPROD=S93,BPrev2)))</f>
        <v>-94</v>
      </c>
      <c r="AA96" s="166">
        <f t="array" ref="AA96">SUM(IF(BPrevACCT=T96,IF(BPREVPROD=S93,BPrev3)))</f>
        <v>-1194</v>
      </c>
      <c r="AB96" s="166">
        <f t="array" ref="AB96">SUM(IF(BPrevACCT=T96,IF(BPREVPROD=S93,BPrev4)))</f>
        <v>-9512</v>
      </c>
      <c r="AC96" s="166">
        <f t="array" ref="AC96">SUM(IF(BPrevACCT=T96,IF(BPREVPROD=S93,BPrev5)))</f>
        <v>-3541</v>
      </c>
      <c r="AD96" s="166">
        <f t="array" ref="AD96">SUM(IF(BPrevACCT=T96,IF(BPREVPROD=S93,BPrev6)))</f>
        <v>-3701</v>
      </c>
      <c r="AE96" s="166">
        <f t="array" ref="AE96">SUM(IF(BPrevACCT=T96,IF(BPREVPROD=S93,BPrev7)))</f>
        <v>135097</v>
      </c>
      <c r="AF96" s="166">
        <f t="array" ref="AF96">SUM(IF(BPrevACCT=T96,IF(BPREVPROD=S93,BPrev8)))</f>
        <v>103181</v>
      </c>
      <c r="AG96" s="166">
        <f t="array" ref="AG96">SUM(IF(BPrevACCT=T96,IF(BPREVPROD=S93,BPrev9)))</f>
        <v>115218</v>
      </c>
      <c r="AH96" s="166">
        <f t="array" ref="AH96">SUM(IF(BPrevACCT=T96,IF(BPREVPROD=S93,BPrev10)))</f>
        <v>101933</v>
      </c>
      <c r="AI96" s="166">
        <f t="array" ref="AI96">SUM(IF(BPrevACCT=T96,IF(BPREVPROD=S93,BPrev11)))</f>
        <v>109821</v>
      </c>
      <c r="AJ96" s="166">
        <f t="array" ref="AJ96">SUM(IF(BPrevACCT=T96,IF(BPREVPROD=S93,BPrev12)))</f>
        <v>105186</v>
      </c>
      <c r="AK96" s="166">
        <f t="shared" si="2"/>
        <v>648879</v>
      </c>
      <c r="AL96" s="94"/>
      <c r="AM96" s="166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</row>
    <row r="97" spans="1:55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194"/>
      <c r="P97" s="194"/>
      <c r="Q97" s="194"/>
      <c r="R97" s="94"/>
      <c r="S97" s="197"/>
      <c r="T97" s="197">
        <v>445000</v>
      </c>
      <c r="U97" s="126">
        <v>6</v>
      </c>
      <c r="V97" s="94"/>
      <c r="W97" s="198" t="s">
        <v>1491</v>
      </c>
      <c r="X97" s="94"/>
      <c r="Y97" s="166">
        <f t="array" ref="Y97">SUM(IF(BPrevACCT=T97,IF(BPREVPROD=S93,BPrev1)))</f>
        <v>1195738</v>
      </c>
      <c r="Z97" s="166">
        <f t="array" ref="Z97">SUM(IF(BPrevACCT=T97,IF(BPREVPROD=S93,BPrev2)))</f>
        <v>1007667</v>
      </c>
      <c r="AA97" s="166">
        <f t="array" ref="AA97">SUM(IF(BPrevACCT=T97,IF(BPREVPROD=S93,BPrev3)))</f>
        <v>1161785</v>
      </c>
      <c r="AB97" s="166">
        <f t="array" ref="AB97">SUM(IF(BPrevACCT=T97,IF(BPREVPROD=S93,BPrev4)))</f>
        <v>883010</v>
      </c>
      <c r="AC97" s="166">
        <f t="array" ref="AC97">SUM(IF(BPrevACCT=T97,IF(BPREVPROD=S93,BPrev5)))</f>
        <v>1537396</v>
      </c>
      <c r="AD97" s="166">
        <f t="array" ref="AD97">SUM(IF(BPrevACCT=T97,IF(BPREVPROD=S93,BPrev6)))</f>
        <v>1355066</v>
      </c>
      <c r="AE97" s="166">
        <f t="array" ref="AE97">SUM(IF(BPrevACCT=T97,IF(BPREVPROD=S93,BPrev7)))</f>
        <v>1582518</v>
      </c>
      <c r="AF97" s="166">
        <f t="array" ref="AF97">SUM(IF(BPrevACCT=T97,IF(BPREVPROD=S93,BPrev8)))</f>
        <v>1410184</v>
      </c>
      <c r="AG97" s="166">
        <f t="array" ref="AG97">SUM(IF(BPrevACCT=T97,IF(BPREVPROD=S93,BPrev9)))</f>
        <v>1262564</v>
      </c>
      <c r="AH97" s="166">
        <f t="array" ref="AH97">SUM(IF(BPrevACCT=T97,IF(BPREVPROD=S93,BPrev10)))</f>
        <v>1427908</v>
      </c>
      <c r="AI97" s="166">
        <f t="array" ref="AI97">SUM(IF(BPrevACCT=T97,IF(BPREVPROD=S93,BPrev11)))</f>
        <v>1381753</v>
      </c>
      <c r="AJ97" s="166">
        <f t="array" ref="AJ97">SUM(IF(BPrevACCT=T97,IF(BPREVPROD=S93,BPrev12)))</f>
        <v>1507792</v>
      </c>
      <c r="AK97" s="166">
        <f t="shared" si="2"/>
        <v>15713381</v>
      </c>
      <c r="AL97" s="94"/>
      <c r="AM97" s="166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4"/>
      <c r="BB97" s="94"/>
      <c r="BC97" s="94"/>
    </row>
    <row r="98" spans="1:55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194"/>
      <c r="P98" s="194"/>
      <c r="Q98" s="194"/>
      <c r="R98" s="94"/>
      <c r="S98" s="197"/>
      <c r="T98" s="197">
        <v>448000</v>
      </c>
      <c r="U98" s="126">
        <v>7</v>
      </c>
      <c r="V98" s="94"/>
      <c r="W98" s="198" t="s">
        <v>1492</v>
      </c>
      <c r="X98" s="94"/>
      <c r="Y98" s="166">
        <f>VLOOKUP(T98,BasePeriod,6,FALSE)-Y113-Y121</f>
        <v>3160</v>
      </c>
      <c r="Z98" s="166">
        <f>VLOOKUP(T98,BasePeriod,7,FALSE)-Z113-Z121</f>
        <v>469</v>
      </c>
      <c r="AA98" s="166">
        <f>VLOOKUP(T98,BasePeriod,8,FALSE)-AA113-AA121</f>
        <v>408</v>
      </c>
      <c r="AB98" s="166">
        <f>VLOOKUP(T98,BasePeriod,9,FALSE)-AB113-AB121</f>
        <v>510</v>
      </c>
      <c r="AC98" s="166">
        <f>VLOOKUP(T98,BasePeriod,10,FALSE)-AC113-AC121</f>
        <v>98</v>
      </c>
      <c r="AD98" s="166">
        <f>VLOOKUP(T98,BasePeriod,11,FALSE)-AD113-AD121</f>
        <v>854</v>
      </c>
      <c r="AE98" s="166">
        <f>VLOOKUP(T98,BasePeriod,12,FALSE)-AE113-AE121</f>
        <v>1023</v>
      </c>
      <c r="AF98" s="166">
        <f>VLOOKUP(T98,BasePeriod,13,FALSE)-AF113-AF121</f>
        <v>1060</v>
      </c>
      <c r="AG98" s="166">
        <f>VLOOKUP(T98,BasePeriod,14,FALSE)-AG113-AG121</f>
        <v>1083</v>
      </c>
      <c r="AH98" s="166">
        <f>VLOOKUP(T98,BasePeriod,15,FALSE)-AH113-AH121</f>
        <v>2138</v>
      </c>
      <c r="AI98" s="166">
        <f>VLOOKUP(T98,BasePeriod,16,FALSE)-AI113-AI121</f>
        <v>4550</v>
      </c>
      <c r="AJ98" s="166">
        <f>VLOOKUP(T98,BasePeriod,17,FALSE)-AJ113-AJ121</f>
        <v>3847</v>
      </c>
      <c r="AK98" s="166">
        <f t="shared" si="2"/>
        <v>19200</v>
      </c>
      <c r="AL98" s="94"/>
      <c r="AM98" s="166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  <c r="BA98" s="94"/>
      <c r="BB98" s="94"/>
      <c r="BC98" s="94"/>
    </row>
    <row r="99" spans="1:55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194"/>
      <c r="P99" s="194"/>
      <c r="Q99" s="194"/>
      <c r="R99" s="94"/>
      <c r="S99" s="197"/>
      <c r="T99" s="197"/>
      <c r="U99" s="126">
        <v>8</v>
      </c>
      <c r="V99" s="94"/>
      <c r="W99" s="94"/>
      <c r="X99" s="94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66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  <c r="AY99" s="94"/>
      <c r="AZ99" s="94"/>
      <c r="BA99" s="94"/>
      <c r="BB99" s="94"/>
      <c r="BC99" s="94"/>
    </row>
    <row r="100" spans="1:55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197"/>
      <c r="T100" s="197"/>
      <c r="U100" s="126">
        <v>9</v>
      </c>
      <c r="V100" s="94"/>
      <c r="W100" s="127" t="s">
        <v>1493</v>
      </c>
      <c r="X100" s="94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66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  <c r="BA100" s="94"/>
      <c r="BB100" s="94"/>
      <c r="BC100" s="94"/>
    </row>
    <row r="101" spans="1:55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197"/>
      <c r="T101" s="197">
        <v>440990</v>
      </c>
      <c r="U101" s="126">
        <v>10</v>
      </c>
      <c r="V101" s="94"/>
      <c r="W101" s="198" t="s">
        <v>91</v>
      </c>
      <c r="X101" s="94"/>
      <c r="Y101" s="166">
        <f>VLOOKUP(T101,BasePeriod,6,FALSE)</f>
        <v>-1046919</v>
      </c>
      <c r="Z101" s="166">
        <f>VLOOKUP(T101,BasePeriod,7,FALSE)</f>
        <v>-922209</v>
      </c>
      <c r="AA101" s="166">
        <f>VLOOKUP(T101,BasePeriod,8,FALSE)</f>
        <v>13497</v>
      </c>
      <c r="AB101" s="166">
        <f>VLOOKUP(T101,BasePeriod,9,FALSE)</f>
        <v>7754908</v>
      </c>
      <c r="AC101" s="166">
        <f>VLOOKUP(T101,BasePeriod,10,FALSE)</f>
        <v>-2620506</v>
      </c>
      <c r="AD101" s="166">
        <f>VLOOKUP(T101,BasePeriod,11,FALSE)</f>
        <v>1266224</v>
      </c>
      <c r="AE101" s="166">
        <f>VLOOKUP(T101,BasePeriod,12,FALSE)</f>
        <v>-2318473</v>
      </c>
      <c r="AF101" s="166">
        <f>VLOOKUP(T101,BasePeriod,13,FALSE)</f>
        <v>-185514</v>
      </c>
      <c r="AG101" s="166">
        <f>VLOOKUP(T101,BasePeriod,14,FALSE)</f>
        <v>2255254</v>
      </c>
      <c r="AH101" s="166">
        <f>VLOOKUP(T101,BasePeriod,15,FALSE)</f>
        <v>994628</v>
      </c>
      <c r="AI101" s="166">
        <f>VLOOKUP(T101,BasePeriod,16,FALSE)</f>
        <v>-2025918</v>
      </c>
      <c r="AJ101" s="166">
        <f>VLOOKUP(T101,BasePeriod,17,FALSE)</f>
        <v>-1169017</v>
      </c>
      <c r="AK101" s="166">
        <f>SUM(Y101:AJ101)</f>
        <v>1995955</v>
      </c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  <c r="BA101" s="94"/>
      <c r="BB101" s="94"/>
      <c r="BC101" s="94"/>
    </row>
    <row r="102" spans="1:55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197"/>
      <c r="T102" s="197">
        <v>442190</v>
      </c>
      <c r="U102" s="126">
        <v>11</v>
      </c>
      <c r="V102" s="94"/>
      <c r="W102" s="198" t="s">
        <v>1488</v>
      </c>
      <c r="X102" s="94"/>
      <c r="Y102" s="166">
        <f>VLOOKUP(T102,BasePeriod,6,FALSE)</f>
        <v>59837</v>
      </c>
      <c r="Z102" s="166">
        <f>VLOOKUP(T102,BasePeriod,7,FALSE)</f>
        <v>-667775</v>
      </c>
      <c r="AA102" s="166">
        <f>VLOOKUP(T102,BasePeriod,8,FALSE)</f>
        <v>-261568</v>
      </c>
      <c r="AB102" s="166">
        <f>VLOOKUP(T102,BasePeriod,9,FALSE)</f>
        <v>8567853</v>
      </c>
      <c r="AC102" s="166">
        <f>VLOOKUP(T102,BasePeriod,10,FALSE)</f>
        <v>-5329039</v>
      </c>
      <c r="AD102" s="166">
        <f>VLOOKUP(T102,BasePeriod,11,FALSE)</f>
        <v>-1886903</v>
      </c>
      <c r="AE102" s="166">
        <f>VLOOKUP(T102,BasePeriod,12,FALSE)</f>
        <v>260168</v>
      </c>
      <c r="AF102" s="166">
        <f>VLOOKUP(T102,BasePeriod,13,FALSE)</f>
        <v>-220140</v>
      </c>
      <c r="AG102" s="166">
        <f>VLOOKUP(T102,BasePeriod,14,FALSE)</f>
        <v>375617</v>
      </c>
      <c r="AH102" s="166">
        <f>VLOOKUP(T102,BasePeriod,15,FALSE)</f>
        <v>-1107266</v>
      </c>
      <c r="AI102" s="166">
        <f>VLOOKUP(T102,BasePeriod,16,FALSE)</f>
        <v>-1473183</v>
      </c>
      <c r="AJ102" s="166">
        <f>VLOOKUP(T102,BasePeriod,17,FALSE)</f>
        <v>-246498</v>
      </c>
      <c r="AK102" s="166">
        <f>SUM(Y102:AJ102)</f>
        <v>-1928897</v>
      </c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  <c r="BA102" s="94"/>
      <c r="BB102" s="94"/>
      <c r="BC102" s="94"/>
    </row>
    <row r="103" spans="1:55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197"/>
      <c r="T103" s="197">
        <v>442290</v>
      </c>
      <c r="U103" s="126">
        <v>12</v>
      </c>
      <c r="V103" s="94"/>
      <c r="W103" s="198" t="s">
        <v>1489</v>
      </c>
      <c r="X103" s="94"/>
      <c r="Y103" s="166">
        <f>VLOOKUP(T103,BasePeriod,6,FALSE)</f>
        <v>74110</v>
      </c>
      <c r="Z103" s="166">
        <f>VLOOKUP(T103,BasePeriod,7,FALSE)</f>
        <v>-324268</v>
      </c>
      <c r="AA103" s="166">
        <f>VLOOKUP(T103,BasePeriod,8,FALSE)</f>
        <v>456640</v>
      </c>
      <c r="AB103" s="166">
        <f>VLOOKUP(T103,BasePeriod,9,FALSE)</f>
        <v>1667048</v>
      </c>
      <c r="AC103" s="166">
        <f>VLOOKUP(T103,BasePeriod,10,FALSE)</f>
        <v>125552</v>
      </c>
      <c r="AD103" s="166">
        <f>VLOOKUP(T103,BasePeriod,11,FALSE)</f>
        <v>-1086454</v>
      </c>
      <c r="AE103" s="166">
        <f>VLOOKUP(T103,BasePeriod,12,FALSE)</f>
        <v>-82410</v>
      </c>
      <c r="AF103" s="166">
        <f>VLOOKUP(T103,BasePeriod,13,FALSE)</f>
        <v>128242</v>
      </c>
      <c r="AG103" s="166">
        <f>VLOOKUP(T103,BasePeriod,14,FALSE)</f>
        <v>39661</v>
      </c>
      <c r="AH103" s="166">
        <f>VLOOKUP(T103,BasePeriod,15,FALSE)</f>
        <v>-483233</v>
      </c>
      <c r="AI103" s="166">
        <f>VLOOKUP(T103,BasePeriod,16,FALSE)</f>
        <v>-715484</v>
      </c>
      <c r="AJ103" s="166">
        <f>VLOOKUP(T103,BasePeriod,17,FALSE)</f>
        <v>-156551</v>
      </c>
      <c r="AK103" s="166">
        <f>SUM(Y103:AJ103)</f>
        <v>-357147</v>
      </c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  <c r="BA103" s="94"/>
      <c r="BB103" s="94"/>
      <c r="BC103" s="94"/>
    </row>
    <row r="104" spans="1:55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197"/>
      <c r="T104" s="197"/>
      <c r="U104" s="126">
        <v>13</v>
      </c>
      <c r="V104" s="94"/>
      <c r="W104" s="198" t="s">
        <v>1490</v>
      </c>
      <c r="X104" s="94"/>
      <c r="Y104" s="199">
        <v>0</v>
      </c>
      <c r="Z104" s="199">
        <v>0</v>
      </c>
      <c r="AA104" s="199">
        <v>0</v>
      </c>
      <c r="AB104" s="199">
        <v>0</v>
      </c>
      <c r="AC104" s="199">
        <v>0</v>
      </c>
      <c r="AD104" s="199">
        <v>0</v>
      </c>
      <c r="AE104" s="199">
        <v>0</v>
      </c>
      <c r="AF104" s="199">
        <v>0</v>
      </c>
      <c r="AG104" s="199">
        <v>0</v>
      </c>
      <c r="AH104" s="199">
        <v>0</v>
      </c>
      <c r="AI104" s="199">
        <v>0</v>
      </c>
      <c r="AJ104" s="199">
        <v>0</v>
      </c>
      <c r="AK104" s="166">
        <f>SUM(Y104:AJ104)</f>
        <v>0</v>
      </c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  <c r="BA104" s="94"/>
      <c r="BB104" s="94"/>
      <c r="BC104" s="94"/>
    </row>
    <row r="105" spans="1:55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197"/>
      <c r="T105" s="197">
        <v>445090</v>
      </c>
      <c r="U105" s="126">
        <v>14</v>
      </c>
      <c r="V105" s="94"/>
      <c r="W105" s="198" t="s">
        <v>1491</v>
      </c>
      <c r="X105" s="94"/>
      <c r="Y105" s="166">
        <f>VLOOKUP(T105,BasePeriod,6,FALSE)</f>
        <v>366906</v>
      </c>
      <c r="Z105" s="166">
        <f>VLOOKUP(T105,BasePeriod,7,FALSE)</f>
        <v>-298873</v>
      </c>
      <c r="AA105" s="166">
        <f>VLOOKUP(T105,BasePeriod,8,FALSE)</f>
        <v>-141261</v>
      </c>
      <c r="AB105" s="166">
        <f>VLOOKUP(T105,BasePeriod,9,FALSE)</f>
        <v>969054</v>
      </c>
      <c r="AC105" s="166">
        <f>VLOOKUP(T105,BasePeriod,10,FALSE)</f>
        <v>-512475</v>
      </c>
      <c r="AD105" s="166">
        <f>VLOOKUP(T105,BasePeriod,11,FALSE)</f>
        <v>244839</v>
      </c>
      <c r="AE105" s="166">
        <f>VLOOKUP(T105,BasePeriod,12,FALSE)</f>
        <v>-118341</v>
      </c>
      <c r="AF105" s="166">
        <f>VLOOKUP(T105,BasePeriod,13,FALSE)</f>
        <v>95102</v>
      </c>
      <c r="AG105" s="166">
        <f>VLOOKUP(T105,BasePeriod,14,FALSE)</f>
        <v>84384</v>
      </c>
      <c r="AH105" s="166">
        <f>VLOOKUP(T105,BasePeriod,15,FALSE)</f>
        <v>-377723</v>
      </c>
      <c r="AI105" s="166">
        <f>VLOOKUP(T105,BasePeriod,16,FALSE)</f>
        <v>-293922</v>
      </c>
      <c r="AJ105" s="166">
        <f>VLOOKUP(T105,BasePeriod,17,FALSE)</f>
        <v>-57226</v>
      </c>
      <c r="AK105" s="166">
        <f>SUM(Y105:AJ105)</f>
        <v>-39536</v>
      </c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  <c r="BA105" s="94"/>
      <c r="BB105" s="94"/>
      <c r="BC105" s="94"/>
    </row>
    <row r="106" spans="1:55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197"/>
      <c r="T106" s="197"/>
      <c r="U106" s="126">
        <v>15</v>
      </c>
      <c r="V106" s="94"/>
      <c r="W106" s="94"/>
      <c r="X106" s="94"/>
      <c r="Y106" s="166"/>
      <c r="Z106" s="166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  <c r="BA106" s="94"/>
      <c r="BB106" s="94"/>
      <c r="BC106" s="94"/>
    </row>
    <row r="107" spans="1:55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197" t="s">
        <v>357</v>
      </c>
      <c r="T107" s="197"/>
      <c r="U107" s="126">
        <v>16</v>
      </c>
      <c r="V107" s="94"/>
      <c r="W107" s="127" t="s">
        <v>1494</v>
      </c>
      <c r="X107" s="94"/>
      <c r="Y107" s="166"/>
      <c r="Z107" s="166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  <c r="BA107" s="94"/>
      <c r="BB107" s="94"/>
      <c r="BC107" s="94"/>
    </row>
    <row r="108" spans="1:55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197"/>
      <c r="T108" s="197">
        <v>440000</v>
      </c>
      <c r="U108" s="126">
        <v>17</v>
      </c>
      <c r="V108" s="94"/>
      <c r="W108" s="198" t="s">
        <v>91</v>
      </c>
      <c r="X108" s="94"/>
      <c r="Y108" s="166">
        <f t="array" ref="Y108">SUM(IF(BPrevACCT=T108,IF(BPREVPROD=S107,BPrev1)))</f>
        <v>2675018</v>
      </c>
      <c r="Z108" s="166">
        <f t="array" ref="Z108">SUM(IF(BPrevACCT=T108,IF(BPREVPROD=S107,BPrev2)))</f>
        <v>2438802</v>
      </c>
      <c r="AA108" s="166">
        <f t="array" ref="AA108">SUM(IF(BPrevACCT=T108,IF(BPREVPROD=S107,BPrev3)))</f>
        <v>2645476</v>
      </c>
      <c r="AB108" s="166">
        <f t="array" ref="AB108">SUM(IF(BPrevACCT=T108,IF(BPREVPROD=S107,BPrev4)))</f>
        <v>4125844</v>
      </c>
      <c r="AC108" s="166">
        <f t="array" ref="AC108">SUM(IF(BPrevACCT=T108,IF(BPREVPROD=S107,BPrev5)))</f>
        <v>5478918</v>
      </c>
      <c r="AD108" s="166">
        <f t="array" ref="AD108">SUM(IF(BPrevACCT=T108,IF(BPREVPROD=S107,BPrev6)))</f>
        <v>5211255</v>
      </c>
      <c r="AE108" s="166">
        <f t="array" ref="AE108">SUM(IF(BPrevACCT=T108,IF(BPREVPROD=S107,BPrev7)))</f>
        <v>4711956</v>
      </c>
      <c r="AF108" s="166">
        <f t="array" ref="AF108">SUM(IF(BPrevACCT=T108,IF(BPREVPROD=S107,BPrev8)))</f>
        <v>3292480</v>
      </c>
      <c r="AG108" s="166">
        <f t="array" ref="AG108">SUM(IF(BPrevACCT=T108,IF(BPREVPROD=S107,BPrev9)))</f>
        <v>3231208</v>
      </c>
      <c r="AH108" s="166">
        <f t="array" ref="AH108">SUM(IF(BPrevACCT=T108,IF(BPREVPROD=S107,BPrev10)))</f>
        <v>4616365</v>
      </c>
      <c r="AI108" s="166">
        <f t="array" ref="AI108">SUM(IF(BPrevACCT=T108,IF(BPREVPROD=S107,BPrev11)))</f>
        <v>5505666</v>
      </c>
      <c r="AJ108" s="166">
        <f t="array" ref="AJ108">SUM(IF(BPrevACCT=T108,IF(BPREVPROD=S107,BPrev12)))</f>
        <v>5129168</v>
      </c>
      <c r="AK108" s="166">
        <f t="shared" ref="AK108:AK113" si="3">SUM(Y108:AJ108)</f>
        <v>49062156</v>
      </c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4"/>
      <c r="BB108" s="94"/>
      <c r="BC108" s="94"/>
    </row>
    <row r="109" spans="1:55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197"/>
      <c r="T109" s="197">
        <v>442100</v>
      </c>
      <c r="U109" s="126">
        <v>18</v>
      </c>
      <c r="V109" s="94"/>
      <c r="W109" s="198" t="s">
        <v>1488</v>
      </c>
      <c r="X109" s="94"/>
      <c r="Y109" s="166">
        <f t="array" ref="Y109">SUM(IF(BPrevACCT=T109,IF(BPREVPROD=S107,BPrev1)))</f>
        <v>2978070</v>
      </c>
      <c r="Z109" s="166">
        <f t="array" ref="Z109">SUM(IF(BPrevACCT=T109,IF(BPREVPROD=S107,BPrev2)))</f>
        <v>2962482</v>
      </c>
      <c r="AA109" s="166">
        <f t="array" ref="AA109">SUM(IF(BPrevACCT=T109,IF(BPREVPROD=S107,BPrev3)))</f>
        <v>3179439</v>
      </c>
      <c r="AB109" s="166">
        <f t="array" ref="AB109">SUM(IF(BPrevACCT=T109,IF(BPREVPROD=S107,BPrev4)))</f>
        <v>3679740</v>
      </c>
      <c r="AC109" s="166">
        <f t="array" ref="AC109">SUM(IF(BPrevACCT=T109,IF(BPREVPROD=S107,BPrev5)))</f>
        <v>5830069</v>
      </c>
      <c r="AD109" s="166">
        <f t="array" ref="AD109">SUM(IF(BPrevACCT=T109,IF(BPREVPROD=S107,BPrev6)))</f>
        <v>5157772</v>
      </c>
      <c r="AE109" s="166">
        <f t="array" ref="AE109">SUM(IF(BPrevACCT=T109,IF(BPREVPROD=S107,BPrev7)))</f>
        <v>4400722</v>
      </c>
      <c r="AF109" s="166">
        <f t="array" ref="AF109">SUM(IF(BPrevACCT=T109,IF(BPREVPROD=S107,BPrev8)))</f>
        <v>3925560</v>
      </c>
      <c r="AG109" s="166">
        <f t="array" ref="AG109">SUM(IF(BPrevACCT=T109,IF(BPREVPROD=S107,BPrev9)))</f>
        <v>3690712</v>
      </c>
      <c r="AH109" s="166">
        <f t="array" ref="AH109">SUM(IF(BPrevACCT=T109,IF(BPREVPROD=S107,BPrev10)))</f>
        <v>4090039</v>
      </c>
      <c r="AI109" s="166">
        <f t="array" ref="AI109">SUM(IF(BPrevACCT=T109,IF(BPREVPROD=S107,BPrev11)))</f>
        <v>4193226</v>
      </c>
      <c r="AJ109" s="166">
        <f t="array" ref="AJ109">SUM(IF(BPrevACCT=T109,IF(BPREVPROD=S107,BPrev12)))</f>
        <v>3899900</v>
      </c>
      <c r="AK109" s="166">
        <f t="shared" si="3"/>
        <v>47987731</v>
      </c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4"/>
      <c r="BB109" s="94"/>
      <c r="BC109" s="94"/>
    </row>
    <row r="110" spans="1:55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197"/>
      <c r="T110" s="197">
        <v>442200</v>
      </c>
      <c r="U110" s="126">
        <v>19</v>
      </c>
      <c r="V110" s="94"/>
      <c r="W110" s="198" t="s">
        <v>1489</v>
      </c>
      <c r="X110" s="94"/>
      <c r="Y110" s="166">
        <f t="array" ref="Y110">SUM(IF(BPrevACCT=T110,IF(BPREVPROD=S107,BPrev1)))</f>
        <v>1461166</v>
      </c>
      <c r="Z110" s="166">
        <f t="array" ref="Z110">SUM(IF(BPrevACCT=T110,IF(BPREVPROD=S107,BPrev2)))</f>
        <v>1484187</v>
      </c>
      <c r="AA110" s="166">
        <f t="array" ref="AA110">SUM(IF(BPrevACCT=T110,IF(BPREVPROD=S107,BPrev3)))</f>
        <v>1366375</v>
      </c>
      <c r="AB110" s="166">
        <f t="array" ref="AB110">SUM(IF(BPrevACCT=T110,IF(BPREVPROD=S107,BPrev4)))</f>
        <v>2317941</v>
      </c>
      <c r="AC110" s="166">
        <f t="array" ref="AC110">SUM(IF(BPrevACCT=T110,IF(BPREVPROD=S107,BPrev5)))</f>
        <v>2004765</v>
      </c>
      <c r="AD110" s="166">
        <f t="array" ref="AD110">SUM(IF(BPrevACCT=T110,IF(BPREVPROD=S107,BPrev6)))</f>
        <v>2671602</v>
      </c>
      <c r="AE110" s="166">
        <f t="array" ref="AE110">SUM(IF(BPrevACCT=T110,IF(BPREVPROD=S107,BPrev7)))</f>
        <v>2315286</v>
      </c>
      <c r="AF110" s="166">
        <f t="array" ref="AF110">SUM(IF(BPrevACCT=T110,IF(BPREVPROD=S107,BPrev8)))</f>
        <v>2068994</v>
      </c>
      <c r="AG110" s="166">
        <f t="array" ref="AG110">SUM(IF(BPrevACCT=T110,IF(BPREVPROD=S107,BPrev9)))</f>
        <v>2076039</v>
      </c>
      <c r="AH110" s="166">
        <f t="array" ref="AH110">SUM(IF(BPrevACCT=T110,IF(BPREVPROD=S107,BPrev10)))</f>
        <v>2105643</v>
      </c>
      <c r="AI110" s="166">
        <f t="array" ref="AI110">SUM(IF(BPrevACCT=T110,IF(BPREVPROD=S107,BPrev11)))</f>
        <v>2016612</v>
      </c>
      <c r="AJ110" s="166">
        <f t="array" ref="AJ110">SUM(IF(BPrevACCT=T110,IF(BPREVPROD=S107,BPrev12)))</f>
        <v>1969133</v>
      </c>
      <c r="AK110" s="166">
        <f t="shared" si="3"/>
        <v>23857743</v>
      </c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94"/>
      <c r="BB110" s="94"/>
      <c r="BC110" s="94"/>
    </row>
    <row r="111" spans="1:55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197"/>
      <c r="T111" s="197">
        <v>444000</v>
      </c>
      <c r="U111" s="126">
        <v>20</v>
      </c>
      <c r="V111" s="94"/>
      <c r="W111" s="198" t="s">
        <v>1490</v>
      </c>
      <c r="X111" s="94"/>
      <c r="Y111" s="166">
        <f t="array" ref="Y111">SUM(IF(BPrevACCT=T111,IF(BPREVPROD=S107,BPrev1)))</f>
        <v>34935</v>
      </c>
      <c r="Z111" s="166">
        <f t="array" ref="Z111">SUM(IF(BPrevACCT=T111,IF(BPREVPROD=S107,BPrev2)))</f>
        <v>27821</v>
      </c>
      <c r="AA111" s="166">
        <f t="array" ref="AA111">SUM(IF(BPrevACCT=T111,IF(BPREVPROD=S107,BPrev3)))</f>
        <v>30479</v>
      </c>
      <c r="AB111" s="166">
        <f t="array" ref="AB111">SUM(IF(BPrevACCT=T111,IF(BPREVPROD=S107,BPrev4)))</f>
        <v>38464</v>
      </c>
      <c r="AC111" s="166">
        <f t="array" ref="AC111">SUM(IF(BPrevACCT=T111,IF(BPREVPROD=S107,BPrev5)))</f>
        <v>32948</v>
      </c>
      <c r="AD111" s="166">
        <f t="array" ref="AD111">SUM(IF(BPrevACCT=T111,IF(BPREVPROD=S107,BPrev6)))</f>
        <v>34547</v>
      </c>
      <c r="AE111" s="166">
        <f t="array" ref="AE111">SUM(IF(BPrevACCT=T111,IF(BPREVPROD=S107,BPrev7)))</f>
        <v>45425</v>
      </c>
      <c r="AF111" s="166">
        <f t="array" ref="AF111">SUM(IF(BPrevACCT=T111,IF(BPREVPROD=S107,BPrev8)))</f>
        <v>34047</v>
      </c>
      <c r="AG111" s="166">
        <f t="array" ref="AG111">SUM(IF(BPrevACCT=T111,IF(BPREVPROD=S107,BPrev9)))</f>
        <v>37898</v>
      </c>
      <c r="AH111" s="166">
        <f t="array" ref="AH111">SUM(IF(BPrevACCT=T111,IF(BPREVPROD=S107,BPrev10)))</f>
        <v>34653</v>
      </c>
      <c r="AI111" s="166">
        <f t="array" ref="AI111">SUM(IF(BPrevACCT=T111,IF(BPREVPROD=S107,BPrev11)))</f>
        <v>37651</v>
      </c>
      <c r="AJ111" s="166">
        <f t="array" ref="AJ111">SUM(IF(BPrevACCT=T111,IF(BPREVPROD=S107,BPrev12)))</f>
        <v>35446</v>
      </c>
      <c r="AK111" s="166">
        <f t="shared" si="3"/>
        <v>424314</v>
      </c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</row>
    <row r="112" spans="1:55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197"/>
      <c r="T112" s="197">
        <v>445000</v>
      </c>
      <c r="U112" s="126">
        <v>21</v>
      </c>
      <c r="V112" s="94"/>
      <c r="W112" s="198" t="s">
        <v>1491</v>
      </c>
      <c r="X112" s="94"/>
      <c r="Y112" s="166">
        <f t="array" ref="Y112">SUM(IF(BPrevACCT=T112,IF(BPREVPROD=S107,BPrev1)))</f>
        <v>450243</v>
      </c>
      <c r="Z112" s="166">
        <f t="array" ref="Z112">SUM(IF(BPrevACCT=T112,IF(BPREVPROD=S107,BPrev2)))</f>
        <v>355379</v>
      </c>
      <c r="AA112" s="166">
        <f t="array" ref="AA112">SUM(IF(BPrevACCT=T112,IF(BPREVPROD=S107,BPrev3)))</f>
        <v>507533</v>
      </c>
      <c r="AB112" s="166">
        <f t="array" ref="AB112">SUM(IF(BPrevACCT=T112,IF(BPREVPROD=S107,BPrev4)))</f>
        <v>551167</v>
      </c>
      <c r="AC112" s="166">
        <f t="array" ref="AC112">SUM(IF(BPrevACCT=T112,IF(BPREVPROD=S107,BPrev5)))</f>
        <v>799867</v>
      </c>
      <c r="AD112" s="166">
        <f t="array" ref="AD112">SUM(IF(BPrevACCT=T112,IF(BPREVPROD=S107,BPrev6)))</f>
        <v>750059</v>
      </c>
      <c r="AE112" s="166">
        <f t="array" ref="AE112">SUM(IF(BPrevACCT=T112,IF(BPREVPROD=S107,BPrev7)))</f>
        <v>841790</v>
      </c>
      <c r="AF112" s="166">
        <f t="array" ref="AF112">SUM(IF(BPrevACCT=T112,IF(BPREVPROD=S107,BPrev8)))</f>
        <v>750252</v>
      </c>
      <c r="AG112" s="166">
        <f t="array" ref="AG112">SUM(IF(BPrevACCT=T112,IF(BPREVPROD=S107,BPrev9)))</f>
        <v>653753</v>
      </c>
      <c r="AH112" s="166">
        <f t="array" ref="AH112">SUM(IF(BPrevACCT=T112,IF(BPREVPROD=S107,BPrev10)))</f>
        <v>751586</v>
      </c>
      <c r="AI112" s="166">
        <f t="array" ref="AI112">SUM(IF(BPrevACCT=T112,IF(BPREVPROD=S107,BPrev11)))</f>
        <v>747023</v>
      </c>
      <c r="AJ112" s="166">
        <f t="array" ref="AJ112">SUM(IF(BPrevACCT=T112,IF(BPREVPROD=S107,BPrev12)))</f>
        <v>732538</v>
      </c>
      <c r="AK112" s="166">
        <f t="shared" si="3"/>
        <v>7891190</v>
      </c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  <c r="BA112" s="94"/>
      <c r="BB112" s="94"/>
      <c r="BC112" s="94"/>
    </row>
    <row r="113" spans="1:55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197"/>
      <c r="T113" s="197"/>
      <c r="U113" s="126">
        <v>22</v>
      </c>
      <c r="V113" s="94"/>
      <c r="W113" s="198" t="s">
        <v>1492</v>
      </c>
      <c r="X113" s="94"/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528</v>
      </c>
      <c r="AF113" s="42">
        <v>528</v>
      </c>
      <c r="AG113" s="42">
        <v>528</v>
      </c>
      <c r="AH113" s="42">
        <v>1012</v>
      </c>
      <c r="AI113" s="42">
        <v>2561</v>
      </c>
      <c r="AJ113" s="42">
        <v>2005</v>
      </c>
      <c r="AK113" s="166">
        <f t="shared" si="3"/>
        <v>7162</v>
      </c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94"/>
      <c r="AX113" s="94"/>
      <c r="AY113" s="94"/>
      <c r="AZ113" s="94"/>
      <c r="BA113" s="94"/>
      <c r="BB113" s="94"/>
      <c r="BC113" s="94"/>
    </row>
    <row r="114" spans="1:55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197"/>
      <c r="T114" s="197"/>
      <c r="U114" s="126">
        <v>23</v>
      </c>
      <c r="V114" s="94"/>
      <c r="W114" s="94"/>
      <c r="X114" s="94"/>
      <c r="Y114" s="166"/>
      <c r="Z114" s="166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  <c r="BA114" s="94"/>
      <c r="BB114" s="94"/>
      <c r="BC114" s="94"/>
    </row>
    <row r="115" spans="1:55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197" t="s">
        <v>358</v>
      </c>
      <c r="T115" s="197"/>
      <c r="U115" s="126">
        <v>24</v>
      </c>
      <c r="V115" s="94"/>
      <c r="W115" s="127" t="s">
        <v>1495</v>
      </c>
      <c r="X115" s="94"/>
      <c r="Y115" s="166"/>
      <c r="Z115" s="166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</row>
    <row r="116" spans="1:55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197"/>
      <c r="T116" s="197">
        <v>440000</v>
      </c>
      <c r="U116" s="126">
        <v>25</v>
      </c>
      <c r="V116" s="94"/>
      <c r="W116" s="198" t="s">
        <v>91</v>
      </c>
      <c r="X116" s="94"/>
      <c r="Y116" s="166">
        <f t="array" ref="Y116">SUM(IF(BPrevACCT=T116,IF(BPREVPROD=S115,BPrev1)))</f>
        <v>985619</v>
      </c>
      <c r="Z116" s="166">
        <f t="array" ref="Z116">SUM(IF(BPrevACCT=T116,IF(BPREVPROD=S115,BPrev2)))</f>
        <v>338284</v>
      </c>
      <c r="AA116" s="166">
        <f t="array" ref="AA116">SUM(IF(BPrevACCT=T116,IF(BPREVPROD=S115,BPrev3)))</f>
        <v>907380</v>
      </c>
      <c r="AB116" s="166">
        <f t="array" ref="AB116">SUM(IF(BPrevACCT=T116,IF(BPREVPROD=S115,BPrev4)))</f>
        <v>-314727</v>
      </c>
      <c r="AC116" s="166">
        <f t="array" ref="AC116">SUM(IF(BPrevACCT=T116,IF(BPREVPROD=S115,BPrev5)))</f>
        <v>1777586</v>
      </c>
      <c r="AD116" s="166">
        <f t="array" ref="AD116">SUM(IF(BPrevACCT=T116,IF(BPREVPROD=S115,BPrev6)))</f>
        <v>-556972</v>
      </c>
      <c r="AE116" s="166">
        <f t="array" ref="AE116">SUM(IF(BPrevACCT=T116,IF(BPREVPROD=S115,BPrev7)))</f>
        <v>588554</v>
      </c>
      <c r="AF116" s="166">
        <f t="array" ref="AF116">SUM(IF(BPrevACCT=T116,IF(BPREVPROD=S115,BPrev8)))</f>
        <v>411796</v>
      </c>
      <c r="AG116" s="166">
        <f t="array" ref="AG116">SUM(IF(BPrevACCT=T116,IF(BPREVPROD=S115,BPrev9)))</f>
        <v>784683</v>
      </c>
      <c r="AH116" s="166">
        <f t="array" ref="AH116">SUM(IF(BPrevACCT=T116,IF(BPREVPROD=S115,BPrev10)))</f>
        <v>1112705</v>
      </c>
      <c r="AI116" s="166">
        <f t="array" ref="AI116">SUM(IF(BPrevACCT=T116,IF(BPREVPROD=S115,BPrev11)))</f>
        <v>1158677</v>
      </c>
      <c r="AJ116" s="166">
        <f t="array" ref="AJ116">SUM(IF(BPrevACCT=T116,IF(BPREVPROD=S115,BPrev12)))</f>
        <v>624656</v>
      </c>
      <c r="AK116" s="166">
        <f t="shared" ref="AK116:AK123" si="4">SUM(Y116:AJ116)</f>
        <v>7818241</v>
      </c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  <c r="AX116" s="94"/>
      <c r="AY116" s="94"/>
      <c r="AZ116" s="94"/>
      <c r="BA116" s="94"/>
      <c r="BB116" s="94"/>
      <c r="BC116" s="94"/>
    </row>
    <row r="117" spans="1:55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197"/>
      <c r="T117" s="197">
        <v>442100</v>
      </c>
      <c r="U117" s="126">
        <v>26</v>
      </c>
      <c r="V117" s="94"/>
      <c r="W117" s="198" t="s">
        <v>1488</v>
      </c>
      <c r="X117" s="94"/>
      <c r="Y117" s="166">
        <f t="array" ref="Y117">SUM(IF(BPrevACCT=T117,IF(BPREVPROD=S115,BPrev1)))</f>
        <v>1091077</v>
      </c>
      <c r="Z117" s="166">
        <f t="array" ref="Z117">SUM(IF(BPrevACCT=T117,IF(BPREVPROD=S115,BPrev2)))</f>
        <v>457057</v>
      </c>
      <c r="AA117" s="166">
        <f t="array" ref="AA117">SUM(IF(BPrevACCT=T117,IF(BPREVPROD=S115,BPrev3)))</f>
        <v>1074915</v>
      </c>
      <c r="AB117" s="166">
        <f t="array" ref="AB117">SUM(IF(BPrevACCT=T117,IF(BPREVPROD=S115,BPrev4)))</f>
        <v>-215084</v>
      </c>
      <c r="AC117" s="166">
        <f t="array" ref="AC117">SUM(IF(BPrevACCT=T117,IF(BPREVPROD=S115,BPrev5)))</f>
        <v>1507616</v>
      </c>
      <c r="AD117" s="166">
        <f t="array" ref="AD117">SUM(IF(BPrevACCT=T117,IF(BPREVPROD=S115,BPrev6)))</f>
        <v>-450191</v>
      </c>
      <c r="AE117" s="166">
        <f t="array" ref="AE117">SUM(IF(BPrevACCT=T117,IF(BPREVPROD=S115,BPrev7)))</f>
        <v>549679</v>
      </c>
      <c r="AF117" s="166">
        <f t="array" ref="AF117">SUM(IF(BPrevACCT=T117,IF(BPREVPROD=S115,BPrev8)))</f>
        <v>490976</v>
      </c>
      <c r="AG117" s="166">
        <f t="array" ref="AG117">SUM(IF(BPrevACCT=T117,IF(BPREVPROD=S115,BPrev9)))</f>
        <v>896272</v>
      </c>
      <c r="AH117" s="166">
        <f t="array" ref="AH117">SUM(IF(BPrevACCT=T117,IF(BPREVPROD=S115,BPrev10)))</f>
        <v>985842</v>
      </c>
      <c r="AI117" s="166">
        <f t="array" ref="AI117">SUM(IF(BPrevACCT=T117,IF(BPREVPROD=S115,BPrev11)))</f>
        <v>882471</v>
      </c>
      <c r="AJ117" s="166">
        <f t="array" ref="AJ117">SUM(IF(BPrevACCT=T117,IF(BPREVPROD=S115,BPrev12)))</f>
        <v>474950</v>
      </c>
      <c r="AK117" s="166">
        <f t="shared" si="4"/>
        <v>7745580</v>
      </c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  <c r="BA117" s="94"/>
      <c r="BB117" s="94"/>
      <c r="BC117" s="94"/>
    </row>
    <row r="118" spans="1:55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197"/>
      <c r="T118" s="197">
        <v>442200</v>
      </c>
      <c r="U118" s="126">
        <v>27</v>
      </c>
      <c r="V118" s="94"/>
      <c r="W118" s="198" t="s">
        <v>1489</v>
      </c>
      <c r="X118" s="94"/>
      <c r="Y118" s="166">
        <f t="array" ref="Y118">SUM(IF(BPrevACCT=T118,IF(BPREVPROD=S115,BPrev1)))</f>
        <v>523932</v>
      </c>
      <c r="Z118" s="166">
        <f t="array" ref="Z118">SUM(IF(BPrevACCT=T118,IF(BPREVPROD=S115,BPrev2)))</f>
        <v>217236</v>
      </c>
      <c r="AA118" s="166">
        <f t="array" ref="AA118">SUM(IF(BPrevACCT=T118,IF(BPREVPROD=S115,BPrev3)))</f>
        <v>444291</v>
      </c>
      <c r="AB118" s="166">
        <f t="array" ref="AB118">SUM(IF(BPrevACCT=T118,IF(BPREVPROD=S115,BPrev4)))</f>
        <v>-38127</v>
      </c>
      <c r="AC118" s="166">
        <f t="array" ref="AC118">SUM(IF(BPrevACCT=T118,IF(BPREVPROD=S115,BPrev5)))</f>
        <v>545015</v>
      </c>
      <c r="AD118" s="166">
        <f t="array" ref="AD118">SUM(IF(BPrevACCT=T118,IF(BPREVPROD=S115,BPrev6)))</f>
        <v>-71887</v>
      </c>
      <c r="AE118" s="166">
        <f t="array" ref="AE118">SUM(IF(BPrevACCT=T118,IF(BPREVPROD=S115,BPrev7)))</f>
        <v>289195</v>
      </c>
      <c r="AF118" s="166">
        <f t="array" ref="AF118">SUM(IF(BPrevACCT=T118,IF(BPREVPROD=S115,BPrev8)))</f>
        <v>258772</v>
      </c>
      <c r="AG118" s="166">
        <f t="array" ref="AG118">SUM(IF(BPrevACCT=T118,IF(BPREVPROD=S115,BPrev9)))</f>
        <v>504156</v>
      </c>
      <c r="AH118" s="166">
        <f t="array" ref="AH118">SUM(IF(BPrevACCT=T118,IF(BPREVPROD=S115,BPrev10)))</f>
        <v>507533</v>
      </c>
      <c r="AI118" s="166">
        <f t="array" ref="AI118">SUM(IF(BPrevACCT=T118,IF(BPREVPROD=S115,BPrev11)))</f>
        <v>424399</v>
      </c>
      <c r="AJ118" s="166">
        <f t="array" ref="AJ118">SUM(IF(BPrevACCT=T118,IF(BPREVPROD=S115,BPrev12)))</f>
        <v>239811</v>
      </c>
      <c r="AK118" s="166">
        <f t="shared" si="4"/>
        <v>3844326</v>
      </c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  <c r="BA118" s="94"/>
      <c r="BB118" s="94"/>
      <c r="BC118" s="94"/>
    </row>
    <row r="119" spans="1:55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197"/>
      <c r="T119" s="197">
        <v>444000</v>
      </c>
      <c r="U119" s="126">
        <v>28</v>
      </c>
      <c r="V119" s="94"/>
      <c r="W119" s="198" t="s">
        <v>1490</v>
      </c>
      <c r="X119" s="94"/>
      <c r="Y119" s="166">
        <f t="array" ref="Y119">SUM(IF(BPrevACCT=T119,IF(BPREVPROD=S115,BPrev1)))</f>
        <v>13054</v>
      </c>
      <c r="Z119" s="166">
        <f t="array" ref="Z119">SUM(IF(BPrevACCT=T119,IF(BPREVPROD=S115,BPrev2)))</f>
        <v>4948</v>
      </c>
      <c r="AA119" s="166">
        <f t="array" ref="AA119">SUM(IF(BPrevACCT=T119,IF(BPREVPROD=S115,BPrev3)))</f>
        <v>10409</v>
      </c>
      <c r="AB119" s="166">
        <f t="array" ref="AB119">SUM(IF(BPrevACCT=T119,IF(BPREVPROD=S115,BPrev4)))</f>
        <v>-924</v>
      </c>
      <c r="AC119" s="166">
        <f t="array" ref="AC119">SUM(IF(BPrevACCT=T119,IF(BPREVPROD=S115,BPrev5)))</f>
        <v>10200</v>
      </c>
      <c r="AD119" s="166">
        <f t="array" ref="AD119">SUM(IF(BPrevACCT=T119,IF(BPREVPROD=S115,BPrev6)))</f>
        <v>-2830</v>
      </c>
      <c r="AE119" s="166">
        <f t="array" ref="AE119">SUM(IF(BPrevACCT=T119,IF(BPREVPROD=S115,BPrev7)))</f>
        <v>5674</v>
      </c>
      <c r="AF119" s="166">
        <f t="array" ref="AF119">SUM(IF(BPrevACCT=T119,IF(BPREVPROD=S115,BPrev8)))</f>
        <v>4258</v>
      </c>
      <c r="AG119" s="166">
        <f t="array" ref="AG119">SUM(IF(BPrevACCT=T119,IF(BPREVPROD=S115,BPrev9)))</f>
        <v>9203</v>
      </c>
      <c r="AH119" s="166">
        <f t="array" ref="AH119">SUM(IF(BPrevACCT=T119,IF(BPREVPROD=S115,BPrev10)))</f>
        <v>8353</v>
      </c>
      <c r="AI119" s="166">
        <f t="array" ref="AI119">SUM(IF(BPrevACCT=T119,IF(BPREVPROD=S115,BPrev11)))</f>
        <v>7924</v>
      </c>
      <c r="AJ119" s="166">
        <f t="array" ref="AJ119">SUM(IF(BPrevACCT=T119,IF(BPREVPROD=S115,BPrev12)))</f>
        <v>4317</v>
      </c>
      <c r="AK119" s="166">
        <f t="shared" si="4"/>
        <v>74586</v>
      </c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</row>
    <row r="120" spans="1:55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197"/>
      <c r="T120" s="197">
        <v>445000</v>
      </c>
      <c r="U120" s="126">
        <v>29</v>
      </c>
      <c r="V120" s="94"/>
      <c r="W120" s="198" t="s">
        <v>1491</v>
      </c>
      <c r="X120" s="94"/>
      <c r="Y120" s="166">
        <f t="array" ref="Y120">SUM(IF(BPrevACCT=T120,IF(BPREVPROD=S115,BPrev1)))</f>
        <v>141606</v>
      </c>
      <c r="Z120" s="166">
        <f t="array" ref="Z120">SUM(IF(BPrevACCT=T120,IF(BPREVPROD=S115,BPrev2)))</f>
        <v>36535</v>
      </c>
      <c r="AA120" s="166">
        <f t="array" ref="AA120">SUM(IF(BPrevACCT=T120,IF(BPREVPROD=S115,BPrev3)))</f>
        <v>157276</v>
      </c>
      <c r="AB120" s="166">
        <f t="array" ref="AB120">SUM(IF(BPrevACCT=T120,IF(BPREVPROD=S115,BPrev4)))</f>
        <v>-6258</v>
      </c>
      <c r="AC120" s="166">
        <f t="array" ref="AC120">SUM(IF(BPrevACCT=T120,IF(BPREVPROD=S115,BPrev5)))</f>
        <v>172523</v>
      </c>
      <c r="AD120" s="166">
        <f t="array" ref="AD120">SUM(IF(BPrevACCT=T120,IF(BPREVPROD=S115,BPrev6)))</f>
        <v>-19106</v>
      </c>
      <c r="AE120" s="166">
        <f t="array" ref="AE120">SUM(IF(BPrevACCT=T120,IF(BPREVPROD=S115,BPrev7)))</f>
        <v>105145</v>
      </c>
      <c r="AF120" s="166">
        <f t="array" ref="AF120">SUM(IF(BPrevACCT=T120,IF(BPREVPROD=S115,BPrev8)))</f>
        <v>93835</v>
      </c>
      <c r="AG120" s="166">
        <f t="array" ref="AG120">SUM(IF(BPrevACCT=T120,IF(BPREVPROD=S115,BPrev9)))</f>
        <v>158761</v>
      </c>
      <c r="AH120" s="166">
        <f t="array" ref="AH120">SUM(IF(BPrevACCT=T120,IF(BPREVPROD=S115,BPrev10)))</f>
        <v>181158</v>
      </c>
      <c r="AI120" s="166">
        <f t="array" ref="AI120">SUM(IF(BPrevACCT=T120,IF(BPREVPROD=S115,BPrev11)))</f>
        <v>157212</v>
      </c>
      <c r="AJ120" s="166">
        <f t="array" ref="AJ120">SUM(IF(BPrevACCT=T120,IF(BPREVPROD=S115,BPrev12)))</f>
        <v>89212</v>
      </c>
      <c r="AK120" s="166">
        <f t="shared" si="4"/>
        <v>1267899</v>
      </c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4"/>
      <c r="BB120" s="94"/>
      <c r="BC120" s="94"/>
    </row>
    <row r="121" spans="1:55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197"/>
      <c r="T121" s="197"/>
      <c r="U121" s="126">
        <v>30</v>
      </c>
      <c r="V121" s="94"/>
      <c r="W121" s="198" t="s">
        <v>1492</v>
      </c>
      <c r="X121" s="94"/>
      <c r="Y121" s="199">
        <v>302</v>
      </c>
      <c r="Z121" s="199">
        <v>16</v>
      </c>
      <c r="AA121" s="199">
        <v>40</v>
      </c>
      <c r="AB121" s="199">
        <v>-13</v>
      </c>
      <c r="AC121" s="199">
        <v>13</v>
      </c>
      <c r="AD121" s="199">
        <v>-27</v>
      </c>
      <c r="AE121" s="199">
        <v>66</v>
      </c>
      <c r="AF121" s="199">
        <v>66</v>
      </c>
      <c r="AG121" s="199">
        <v>128</v>
      </c>
      <c r="AH121" s="199">
        <v>244</v>
      </c>
      <c r="AI121" s="199">
        <v>539</v>
      </c>
      <c r="AJ121" s="199">
        <v>244</v>
      </c>
      <c r="AK121" s="166">
        <f t="shared" si="4"/>
        <v>1618</v>
      </c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  <c r="BA121" s="94"/>
      <c r="BB121" s="94"/>
      <c r="BC121" s="94"/>
    </row>
    <row r="122" spans="1:55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197"/>
      <c r="T122" s="197"/>
      <c r="U122" s="126">
        <v>31</v>
      </c>
      <c r="V122" s="94"/>
      <c r="W122" s="198"/>
      <c r="X122" s="94"/>
      <c r="Y122" s="199"/>
      <c r="Z122" s="199"/>
      <c r="AA122" s="199"/>
      <c r="AB122" s="199"/>
      <c r="AC122" s="199"/>
      <c r="AD122" s="199"/>
      <c r="AE122" s="199"/>
      <c r="AF122" s="199"/>
      <c r="AG122" s="199"/>
      <c r="AH122" s="199"/>
      <c r="AI122" s="199"/>
      <c r="AJ122" s="199"/>
      <c r="AK122" s="166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  <c r="BA122" s="94"/>
      <c r="BB122" s="94"/>
      <c r="BC122" s="94"/>
    </row>
    <row r="123" spans="1:55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197"/>
      <c r="T123" s="197"/>
      <c r="U123" s="126">
        <v>32</v>
      </c>
      <c r="V123" s="94"/>
      <c r="W123" s="198" t="s">
        <v>1496</v>
      </c>
      <c r="X123" s="94"/>
      <c r="Y123" s="166">
        <f t="shared" ref="Y123:AJ123" si="5">SUM(Y108:Y121)</f>
        <v>10355022</v>
      </c>
      <c r="Z123" s="166">
        <f>SUM(Z108:Z121)</f>
        <v>8322747</v>
      </c>
      <c r="AA123" s="166">
        <f t="shared" si="5"/>
        <v>10323613</v>
      </c>
      <c r="AB123" s="166">
        <f t="shared" si="5"/>
        <v>10138023</v>
      </c>
      <c r="AC123" s="166">
        <f t="shared" si="5"/>
        <v>18159520</v>
      </c>
      <c r="AD123" s="166">
        <f t="shared" si="5"/>
        <v>12724222</v>
      </c>
      <c r="AE123" s="166">
        <f t="shared" si="5"/>
        <v>13854020</v>
      </c>
      <c r="AF123" s="166">
        <f t="shared" si="5"/>
        <v>11331564</v>
      </c>
      <c r="AG123" s="166">
        <f t="shared" si="5"/>
        <v>12043341</v>
      </c>
      <c r="AH123" s="166">
        <f t="shared" si="5"/>
        <v>14395133</v>
      </c>
      <c r="AI123" s="166">
        <f t="shared" si="5"/>
        <v>15133961</v>
      </c>
      <c r="AJ123" s="166">
        <f t="shared" si="5"/>
        <v>13201380</v>
      </c>
      <c r="AK123" s="166">
        <f t="shared" si="4"/>
        <v>149982546</v>
      </c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</row>
    <row r="124" spans="1:55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197"/>
      <c r="T124" s="197"/>
      <c r="U124" s="126">
        <v>33</v>
      </c>
      <c r="V124" s="94"/>
      <c r="W124" s="94"/>
      <c r="X124" s="94"/>
      <c r="Y124" s="166"/>
      <c r="Z124" s="166"/>
      <c r="AA124" s="166"/>
      <c r="AB124" s="166"/>
      <c r="AC124" s="166"/>
      <c r="AD124" s="166"/>
      <c r="AE124" s="166"/>
      <c r="AF124" s="166"/>
      <c r="AG124" s="166"/>
      <c r="AH124" s="166"/>
      <c r="AI124" s="166"/>
      <c r="AJ124" s="166"/>
      <c r="AK124" s="166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  <c r="BA124" s="94"/>
      <c r="BB124" s="94"/>
      <c r="BC124" s="94"/>
    </row>
    <row r="125" spans="1:55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197" t="s">
        <v>366</v>
      </c>
      <c r="T125" s="197"/>
      <c r="U125" s="126">
        <v>34</v>
      </c>
      <c r="V125" s="94"/>
      <c r="W125" s="127" t="s">
        <v>1497</v>
      </c>
      <c r="X125" s="94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  <c r="BA125" s="94"/>
      <c r="BB125" s="94"/>
      <c r="BC125" s="94"/>
    </row>
    <row r="126" spans="1:55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197"/>
      <c r="T126" s="197">
        <v>440000</v>
      </c>
      <c r="U126" s="126">
        <v>35</v>
      </c>
      <c r="V126" s="94"/>
      <c r="W126" s="198" t="s">
        <v>91</v>
      </c>
      <c r="X126" s="94"/>
      <c r="Y126" s="166">
        <f t="array" ref="Y126">SUM(IF(BPrevACCT=T126,IF(BPREVPROD=S125,BPrev1)))</f>
        <v>142133</v>
      </c>
      <c r="Z126" s="166">
        <f t="array" ref="Z126">SUM(IF(BPrevACCT=T126,IF(BPREVPROD=S125,BPrev2)))</f>
        <v>129860</v>
      </c>
      <c r="AA126" s="166">
        <f t="array" ref="AA126">SUM(IF(BPrevACCT=T126,IF(BPREVPROD=S125,BPrev3)))</f>
        <v>140820</v>
      </c>
      <c r="AB126" s="166">
        <f t="array" ref="AB126">SUM(IF(BPrevACCT=T126,IF(BPREVPROD=S125,BPrev4)))</f>
        <v>164961</v>
      </c>
      <c r="AC126" s="166">
        <f t="array" ref="AC126">SUM(IF(BPrevACCT=T126,IF(BPREVPROD=S125,BPrev5)))</f>
        <v>219193</v>
      </c>
      <c r="AD126" s="166">
        <f t="array" ref="AD126">SUM(IF(BPrevACCT=T126,IF(BPREVPROD=S125,BPrev6)))</f>
        <v>208448</v>
      </c>
      <c r="AE126" s="166">
        <f t="array" ref="AE126">SUM(IF(BPrevACCT=T126,IF(BPREVPROD=S125,BPrev7)))</f>
        <v>361278</v>
      </c>
      <c r="AF126" s="166">
        <f t="array" ref="AF126">SUM(IF(BPrevACCT=T126,IF(BPREVPROD=S125,BPrev8)))</f>
        <v>252443</v>
      </c>
      <c r="AG126" s="166">
        <f t="array" ref="AG126">SUM(IF(BPrevACCT=T126,IF(BPREVPROD=S125,BPrev9)))</f>
        <v>247745</v>
      </c>
      <c r="AH126" s="166">
        <f t="array" ref="AH126">SUM(IF(BPrevACCT=T126,IF(BPREVPROD=S125,BPrev10)))</f>
        <v>353949</v>
      </c>
      <c r="AI126" s="166">
        <f t="array" ref="AI126">SUM(IF(BPrevACCT=T126,IF(BPREVPROD=S125,BPrev11)))</f>
        <v>431913</v>
      </c>
      <c r="AJ126" s="166">
        <f t="array" ref="AJ126">SUM(IF(BPrevACCT=T126,IF(BPREVPROD=S125,BPrev12)))</f>
        <v>402377</v>
      </c>
      <c r="AK126" s="166">
        <f t="shared" ref="AK126:AK151" si="6">SUM(Y126:AJ126)</f>
        <v>3055120</v>
      </c>
      <c r="AL126" s="94"/>
      <c r="AM126" s="166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  <c r="BA126" s="94"/>
      <c r="BB126" s="94"/>
      <c r="BC126" s="94"/>
    </row>
    <row r="127" spans="1:55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197"/>
      <c r="T127" s="197">
        <v>442100</v>
      </c>
      <c r="U127" s="126">
        <v>36</v>
      </c>
      <c r="V127" s="94"/>
      <c r="W127" s="198" t="s">
        <v>1488</v>
      </c>
      <c r="X127" s="94"/>
      <c r="Y127" s="166">
        <f t="array" ref="Y127">SUM(IF(BPrevACCT=T127,IF(BPREVPROD=S125,BPrev1)))</f>
        <v>403474</v>
      </c>
      <c r="Z127" s="166">
        <f t="array" ref="Z127">SUM(IF(BPrevACCT=T127,IF(BPREVPROD=S125,BPrev2)))</f>
        <v>403645</v>
      </c>
      <c r="AA127" s="166">
        <f t="array" ref="AA127">SUM(IF(BPrevACCT=T127,IF(BPREVPROD=S125,BPrev3)))</f>
        <v>438587</v>
      </c>
      <c r="AB127" s="166">
        <f t="array" ref="AB127">SUM(IF(BPrevACCT=T127,IF(BPREVPROD=S125,BPrev4)))</f>
        <v>380148</v>
      </c>
      <c r="AC127" s="166">
        <f t="array" ref="AC127">SUM(IF(BPrevACCT=T127,IF(BPREVPROD=S125,BPrev5)))</f>
        <v>603278</v>
      </c>
      <c r="AD127" s="166">
        <f t="array" ref="AD127">SUM(IF(BPrevACCT=T127,IF(BPREVPROD=S125,BPrev6)))</f>
        <v>533635</v>
      </c>
      <c r="AE127" s="166">
        <f t="array" ref="AE127">SUM(IF(BPrevACCT=T127,IF(BPREVPROD=S125,BPrev7)))</f>
        <v>196717</v>
      </c>
      <c r="AF127" s="166">
        <f t="array" ref="AF127">SUM(IF(BPrevACCT=T127,IF(BPREVPROD=S125,BPrev8)))</f>
        <v>175477</v>
      </c>
      <c r="AG127" s="166">
        <f t="array" ref="AG127">SUM(IF(BPrevACCT=T127,IF(BPREVPROD=S125,BPrev9)))</f>
        <v>164979</v>
      </c>
      <c r="AH127" s="166">
        <f t="array" ref="AH127">SUM(IF(BPrevACCT=T127,IF(BPREVPROD=S125,BPrev10)))</f>
        <v>182829</v>
      </c>
      <c r="AI127" s="166">
        <f t="array" ref="AI127">SUM(IF(BPrevACCT=T127,IF(BPREVPROD=S125,BPrev11)))</f>
        <v>191165</v>
      </c>
      <c r="AJ127" s="166">
        <f t="array" ref="AJ127">SUM(IF(BPrevACCT=T127,IF(BPREVPROD=S125,BPrev12)))</f>
        <v>177793</v>
      </c>
      <c r="AK127" s="166">
        <f t="shared" si="6"/>
        <v>3851727</v>
      </c>
      <c r="AL127" s="94"/>
      <c r="AM127" s="166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</row>
    <row r="128" spans="1:55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197"/>
      <c r="T128" s="197">
        <v>442200</v>
      </c>
      <c r="U128" s="126">
        <v>37</v>
      </c>
      <c r="V128" s="94"/>
      <c r="W128" s="198" t="s">
        <v>1489</v>
      </c>
      <c r="X128" s="94"/>
      <c r="Y128" s="166">
        <f t="array" ref="Y128">SUM(IF(BPrevACCT=T128,IF(BPREVPROD=S125,BPrev1)))</f>
        <v>166990</v>
      </c>
      <c r="Z128" s="166">
        <f t="array" ref="Z128">SUM(IF(BPrevACCT=T128,IF(BPREVPROD=S125,BPrev2)))</f>
        <v>158969</v>
      </c>
      <c r="AA128" s="166">
        <f t="array" ref="AA128">SUM(IF(BPrevACCT=T128,IF(BPREVPROD=S125,BPrev3)))</f>
        <v>168456</v>
      </c>
      <c r="AB128" s="166">
        <f t="array" ref="AB128">SUM(IF(BPrevACCT=T128,IF(BPREVPROD=S125,BPrev4)))</f>
        <v>178963</v>
      </c>
      <c r="AC128" s="166">
        <f t="array" ref="AC128">SUM(IF(BPrevACCT=T128,IF(BPREVPROD=S125,BPrev5)))</f>
        <v>186312</v>
      </c>
      <c r="AD128" s="166">
        <f t="array" ref="AD128">SUM(IF(BPrevACCT=T128,IF(BPREVPROD=S125,BPrev6)))</f>
        <v>213627</v>
      </c>
      <c r="AE128" s="166">
        <f t="array" ref="AE128">SUM(IF(BPrevACCT=T128,IF(BPREVPROD=S125,BPrev7)))</f>
        <v>103496</v>
      </c>
      <c r="AF128" s="166">
        <f t="array" ref="AF128">SUM(IF(BPrevACCT=T128,IF(BPREVPROD=S125,BPrev8)))</f>
        <v>92486</v>
      </c>
      <c r="AG128" s="166">
        <f t="array" ref="AG128">SUM(IF(BPrevACCT=T128,IF(BPREVPROD=S125,BPrev9)))</f>
        <v>92801</v>
      </c>
      <c r="AH128" s="166">
        <f t="array" ref="AH128">SUM(IF(BPrevACCT=T128,IF(BPREVPROD=S125,BPrev10)))</f>
        <v>94124</v>
      </c>
      <c r="AI128" s="166">
        <f t="array" ref="AI128">SUM(IF(BPrevACCT=T128,IF(BPREVPROD=S125,BPrev11)))</f>
        <v>91936</v>
      </c>
      <c r="AJ128" s="166">
        <f t="array" ref="AJ128">SUM(IF(BPrevACCT=T128,IF(BPREVPROD=S125,BPrev12)))</f>
        <v>89771</v>
      </c>
      <c r="AK128" s="166">
        <f t="shared" si="6"/>
        <v>1637931</v>
      </c>
      <c r="AL128" s="94"/>
      <c r="AM128" s="166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  <c r="BA128" s="94"/>
      <c r="BB128" s="94"/>
      <c r="BC128" s="94"/>
    </row>
    <row r="129" spans="1:55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197"/>
      <c r="T129" s="197">
        <v>444000</v>
      </c>
      <c r="U129" s="126">
        <v>38</v>
      </c>
      <c r="V129" s="94"/>
      <c r="W129" s="198" t="s">
        <v>1490</v>
      </c>
      <c r="X129" s="94"/>
      <c r="Y129" s="166">
        <f t="array" ref="Y129">SUM(IF(BPrevACCT=T129,IF(BPREVPROD=S125,BPrev1)))</f>
        <v>0</v>
      </c>
      <c r="Z129" s="166">
        <f t="array" ref="Z129">SUM(IF(BPrevACCT=T129,IF(BPREVPROD=S125,BPrev2)))</f>
        <v>0</v>
      </c>
      <c r="AA129" s="166">
        <f t="array" ref="AA129">SUM(IF(BPrevACCT=T129,IF(BPREVPROD=S125,BPrev3)))</f>
        <v>0</v>
      </c>
      <c r="AB129" s="166">
        <f t="array" ref="AB129">SUM(IF(BPrevACCT=T129,IF(BPREVPROD=S125,BPrev4)))</f>
        <v>0</v>
      </c>
      <c r="AC129" s="166">
        <f t="array" ref="AC129">SUM(IF(BPrevACCT=T129,IF(BPREVPROD=S125,BPrev5)))</f>
        <v>0</v>
      </c>
      <c r="AD129" s="166">
        <f t="array" ref="AD129">SUM(IF(BPrevACCT=T129,IF(BPREVPROD=S125,BPrev6)))</f>
        <v>0</v>
      </c>
      <c r="AE129" s="166">
        <f t="array" ref="AE129">SUM(IF(BPrevACCT=T129,IF(BPREVPROD=S125,BPrev7)))</f>
        <v>0</v>
      </c>
      <c r="AF129" s="166">
        <f t="array" ref="AF129">SUM(IF(BPrevACCT=T129,IF(BPREVPROD=S125,BPrev8)))</f>
        <v>0</v>
      </c>
      <c r="AG129" s="166">
        <f t="array" ref="AG129">SUM(IF(BPrevACCT=T129,IF(BPREVPROD=S125,BPrev9)))</f>
        <v>0</v>
      </c>
      <c r="AH129" s="166">
        <f t="array" ref="AH129">SUM(IF(BPrevACCT=T129,IF(BPREVPROD=S125,BPrev10)))</f>
        <v>0</v>
      </c>
      <c r="AI129" s="166">
        <f t="array" ref="AI129">SUM(IF(BPrevACCT=T129,IF(BPREVPROD=S125,BPrev11)))</f>
        <v>0</v>
      </c>
      <c r="AJ129" s="166">
        <f t="array" ref="AJ129">SUM(IF(BPrevACCT=T129,IF(BPREVPROD=S125,BPrev12)))</f>
        <v>0</v>
      </c>
      <c r="AK129" s="166">
        <f t="shared" si="6"/>
        <v>0</v>
      </c>
      <c r="AL129" s="94"/>
      <c r="AM129" s="166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  <c r="BA129" s="94"/>
      <c r="BB129" s="94"/>
      <c r="BC129" s="94"/>
    </row>
    <row r="130" spans="1:55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197"/>
      <c r="T130" s="197">
        <v>445000</v>
      </c>
      <c r="U130" s="126">
        <v>39</v>
      </c>
      <c r="V130" s="94"/>
      <c r="W130" s="198" t="s">
        <v>1491</v>
      </c>
      <c r="X130" s="94"/>
      <c r="Y130" s="166">
        <f t="array" ref="Y130">SUM(IF(BPrevACCT=T130,IF(BPREVPROD=S125,BPrev1)))</f>
        <v>57677</v>
      </c>
      <c r="Z130" s="166">
        <f t="array" ref="Z130">SUM(IF(BPrevACCT=T130,IF(BPREVPROD=S125,BPrev2)))</f>
        <v>47946</v>
      </c>
      <c r="AA130" s="166">
        <f t="array" ref="AA130">SUM(IF(BPrevACCT=T130,IF(BPREVPROD=S125,BPrev3)))</f>
        <v>58752</v>
      </c>
      <c r="AB130" s="166">
        <f t="array" ref="AB130">SUM(IF(BPrevACCT=T130,IF(BPREVPROD=S125,BPrev4)))</f>
        <v>48281</v>
      </c>
      <c r="AC130" s="166">
        <f t="array" ref="AC130">SUM(IF(BPrevACCT=T130,IF(BPREVPROD=S125,BPrev5)))</f>
        <v>77028</v>
      </c>
      <c r="AD130" s="166">
        <f t="array" ref="AD130">SUM(IF(BPrevACCT=T130,IF(BPREVPROD=S125,BPrev6)))</f>
        <v>68523</v>
      </c>
      <c r="AE130" s="166">
        <f t="array" ref="AE130">SUM(IF(BPrevACCT=T130,IF(BPREVPROD=S125,BPrev7)))</f>
        <v>37629</v>
      </c>
      <c r="AF130" s="166">
        <f t="array" ref="AF130">SUM(IF(BPrevACCT=T130,IF(BPREVPROD=S125,BPrev8)))</f>
        <v>33537</v>
      </c>
      <c r="AG130" s="166">
        <f t="array" ref="AG130">SUM(IF(BPrevACCT=T130,IF(BPREVPROD=S125,BPrev9)))</f>
        <v>29223</v>
      </c>
      <c r="AH130" s="166">
        <f t="array" ref="AH130">SUM(IF(BPrevACCT=T130,IF(BPREVPROD=S125,BPrev10)))</f>
        <v>33597</v>
      </c>
      <c r="AI130" s="166">
        <f t="array" ref="AI130">SUM(IF(BPrevACCT=T130,IF(BPREVPROD=S125,BPrev11)))</f>
        <v>34056</v>
      </c>
      <c r="AJ130" s="166">
        <f t="array" ref="AJ130">SUM(IF(BPrevACCT=T130,IF(BPREVPROD=S125,BPrev12)))</f>
        <v>33396</v>
      </c>
      <c r="AK130" s="166">
        <f t="shared" si="6"/>
        <v>559645</v>
      </c>
      <c r="AL130" s="94"/>
      <c r="AM130" s="166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  <c r="BA130" s="94"/>
      <c r="BB130" s="94"/>
      <c r="BC130" s="94"/>
    </row>
    <row r="131" spans="1:55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197"/>
      <c r="T131" s="197"/>
      <c r="U131" s="126">
        <v>40</v>
      </c>
      <c r="V131" s="94"/>
      <c r="W131" s="94"/>
      <c r="X131" s="94"/>
      <c r="Y131" s="166"/>
      <c r="Z131" s="166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</row>
    <row r="132" spans="1:55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197" t="s">
        <v>369</v>
      </c>
      <c r="T132" s="197"/>
      <c r="U132" s="126">
        <v>41</v>
      </c>
      <c r="V132" s="94"/>
      <c r="W132" s="127" t="s">
        <v>1498</v>
      </c>
      <c r="X132" s="94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  <c r="BA132" s="94"/>
      <c r="BB132" s="94"/>
      <c r="BC132" s="94"/>
    </row>
    <row r="133" spans="1:55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197"/>
      <c r="T133" s="197">
        <v>440000</v>
      </c>
      <c r="U133" s="126">
        <v>42</v>
      </c>
      <c r="V133" s="94"/>
      <c r="W133" s="198" t="s">
        <v>91</v>
      </c>
      <c r="X133" s="94"/>
      <c r="Y133" s="166">
        <f t="array" ref="Y133">SUM(IF(BPrevACCT=T133,IF(BPREVPROD=S132,BPrev1)))</f>
        <v>131126</v>
      </c>
      <c r="Z133" s="166">
        <f t="array" ref="Z133">SUM(IF(BPrevACCT=T133,IF(BPREVPROD=S132,BPrev2)))</f>
        <v>118636</v>
      </c>
      <c r="AA133" s="166">
        <f t="array" ref="AA133">SUM(IF(BPrevACCT=T133,IF(BPREVPROD=S132,BPrev3)))</f>
        <v>128976</v>
      </c>
      <c r="AB133" s="166">
        <f t="array" ref="AB133">SUM(IF(BPrevACCT=T133,IF(BPREVPROD=S132,BPrev4)))</f>
        <v>-255160</v>
      </c>
      <c r="AC133" s="166">
        <f t="array" ref="AC133">SUM(IF(BPrevACCT=T133,IF(BPREVPROD=S132,BPrev5)))</f>
        <v>-339920</v>
      </c>
      <c r="AD133" s="166">
        <f t="array" ref="AD133">SUM(IF(BPrevACCT=T133,IF(BPREVPROD=S132,BPrev6)))</f>
        <v>-323428</v>
      </c>
      <c r="AE133" s="166">
        <f t="array" ref="AE133">SUM(IF(BPrevACCT=T133,IF(BPREVPROD=S132,BPrev7)))</f>
        <v>-39297</v>
      </c>
      <c r="AF133" s="166">
        <f t="array" ref="AF133">SUM(IF(BPrevACCT=T133,IF(BPREVPROD=S132,BPrev8)))</f>
        <v>-359</v>
      </c>
      <c r="AG133" s="166">
        <f t="array" ref="AG133">SUM(IF(BPrevACCT=T133,IF(BPREVPROD=S132,BPrev9)))</f>
        <v>-100690</v>
      </c>
      <c r="AH133" s="166">
        <f t="array" ref="AH133">SUM(IF(BPrevACCT=T133,IF(BPREVPROD=S132,BPrev10)))</f>
        <v>-274073</v>
      </c>
      <c r="AI133" s="166">
        <f t="array" ref="AI133">SUM(IF(BPrevACCT=T133,IF(BPREVPROD=S132,BPrev11)))</f>
        <v>-1026321</v>
      </c>
      <c r="AJ133" s="166">
        <f t="array" ref="AJ133">SUM(IF(BPrevACCT=T133,IF(BPREVPROD=S132,BPrev12)))</f>
        <v>-430498</v>
      </c>
      <c r="AK133" s="166">
        <f t="shared" si="6"/>
        <v>-2411008</v>
      </c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  <c r="BA133" s="94"/>
      <c r="BB133" s="94"/>
      <c r="BC133" s="94"/>
    </row>
    <row r="134" spans="1:55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197"/>
      <c r="T134" s="197">
        <v>442100</v>
      </c>
      <c r="U134" s="126">
        <v>43</v>
      </c>
      <c r="V134" s="94"/>
      <c r="W134" s="198" t="s">
        <v>1488</v>
      </c>
      <c r="X134" s="94"/>
      <c r="Y134" s="166">
        <f t="array" ref="Y134">SUM(IF(BPrevACCT=T134,IF(BPREVPROD=S132,BPrev1)))</f>
        <v>155035</v>
      </c>
      <c r="Z134" s="166">
        <f t="array" ref="Z134">SUM(IF(BPrevACCT=T134,IF(BPREVPROD=S132,BPrev2)))</f>
        <v>145016</v>
      </c>
      <c r="AA134" s="166">
        <f t="array" ref="AA134">SUM(IF(BPrevACCT=T134,IF(BPREVPROD=S132,BPrev3)))</f>
        <v>159360</v>
      </c>
      <c r="AB134" s="166">
        <f t="array" ref="AB134">SUM(IF(BPrevACCT=T134,IF(BPREVPROD=S132,BPrev4)))</f>
        <v>-209351</v>
      </c>
      <c r="AC134" s="166">
        <f t="array" ref="AC134">SUM(IF(BPrevACCT=T134,IF(BPREVPROD=S132,BPrev5)))</f>
        <v>-358902</v>
      </c>
      <c r="AD134" s="166">
        <f t="array" ref="AD134">SUM(IF(BPrevACCT=T134,IF(BPREVPROD=S132,BPrev6)))</f>
        <v>-319271</v>
      </c>
      <c r="AE134" s="166">
        <f t="array" ref="AE134">SUM(IF(BPrevACCT=T134,IF(BPREVPROD=S132,BPrev7)))</f>
        <v>-36701</v>
      </c>
      <c r="AF134" s="166">
        <f t="array" ref="AF134">SUM(IF(BPrevACCT=T134,IF(BPREVPROD=S132,BPrev8)))</f>
        <v>-428</v>
      </c>
      <c r="AG134" s="166">
        <f t="array" ref="AG134">SUM(IF(BPrevACCT=T134,IF(BPREVPROD=S132,BPrev9)))</f>
        <v>-115008</v>
      </c>
      <c r="AH134" s="166">
        <f t="array" ref="AH134">SUM(IF(BPrevACCT=T134,IF(BPREVPROD=S132,BPrev10)))</f>
        <v>-242825</v>
      </c>
      <c r="AI134" s="166">
        <f t="array" ref="AI134">SUM(IF(BPrevACCT=T134,IF(BPREVPROD=S132,BPrev11)))</f>
        <v>-781666</v>
      </c>
      <c r="AJ134" s="166">
        <f t="array" ref="AJ134">SUM(IF(BPrevACCT=T134,IF(BPREVPROD=S132,BPrev12)))</f>
        <v>-327324</v>
      </c>
      <c r="AK134" s="166">
        <f t="shared" si="6"/>
        <v>-1932065</v>
      </c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  <c r="BA134" s="94"/>
      <c r="BB134" s="94"/>
      <c r="BC134" s="94"/>
    </row>
    <row r="135" spans="1:55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197"/>
      <c r="T135" s="197">
        <v>442200</v>
      </c>
      <c r="U135" s="126">
        <v>44</v>
      </c>
      <c r="V135" s="94"/>
      <c r="W135" s="198" t="s">
        <v>1489</v>
      </c>
      <c r="X135" s="94"/>
      <c r="Y135" s="166">
        <f t="array" ref="Y135">SUM(IF(BPrevACCT=T135,IF(BPREVPROD=S132,BPrev1)))</f>
        <v>79602</v>
      </c>
      <c r="Z135" s="166">
        <f t="array" ref="Z135">SUM(IF(BPrevACCT=T135,IF(BPREVPROD=S132,BPrev2)))</f>
        <v>77712</v>
      </c>
      <c r="AA135" s="166">
        <f t="array" ref="AA135">SUM(IF(BPrevACCT=T135,IF(BPREVPROD=S132,BPrev3)))</f>
        <v>66541</v>
      </c>
      <c r="AB135" s="166">
        <f t="array" ref="AB135">SUM(IF(BPrevACCT=T135,IF(BPREVPROD=S132,BPrev4)))</f>
        <v>-103293</v>
      </c>
      <c r="AC135" s="166">
        <f t="array" ref="AC135">SUM(IF(BPrevACCT=T135,IF(BPREVPROD=S132,BPrev5)))</f>
        <v>-123048</v>
      </c>
      <c r="AD135" s="166">
        <f t="array" ref="AD135">SUM(IF(BPrevACCT=T135,IF(BPREVPROD=S132,BPrev6)))</f>
        <v>-165848</v>
      </c>
      <c r="AE135" s="166">
        <f t="array" ref="AE135">SUM(IF(BPrevACCT=T135,IF(BPREVPROD=S132,BPrev7)))</f>
        <v>-19309</v>
      </c>
      <c r="AF135" s="166">
        <f t="array" ref="AF135">SUM(IF(BPrevACCT=T135,IF(BPREVPROD=S132,BPrev8)))</f>
        <v>-225</v>
      </c>
      <c r="AG135" s="166">
        <f t="array" ref="AG135">SUM(IF(BPrevACCT=T135,IF(BPREVPROD=S132,BPrev9)))</f>
        <v>-64693</v>
      </c>
      <c r="AH135" s="166">
        <f t="array" ref="AH135">SUM(IF(BPrevACCT=T135,IF(BPREVPROD=S132,BPrev10)))</f>
        <v>-125012</v>
      </c>
      <c r="AI135" s="166">
        <f t="array" ref="AI135">SUM(IF(BPrevACCT=T135,IF(BPREVPROD=S132,BPrev11)))</f>
        <v>-375920</v>
      </c>
      <c r="AJ135" s="166">
        <f t="array" ref="AJ135">SUM(IF(BPrevACCT=T135,IF(BPREVPROD=S132,BPrev12)))</f>
        <v>-165272</v>
      </c>
      <c r="AK135" s="166">
        <f t="shared" si="6"/>
        <v>-918765</v>
      </c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  <c r="BA135" s="94"/>
      <c r="BB135" s="94"/>
      <c r="BC135" s="94"/>
    </row>
    <row r="136" spans="1:55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197"/>
      <c r="T136" s="197">
        <v>444000</v>
      </c>
      <c r="U136" s="126">
        <v>45</v>
      </c>
      <c r="V136" s="94"/>
      <c r="W136" s="198" t="s">
        <v>1490</v>
      </c>
      <c r="X136" s="94"/>
      <c r="Y136" s="166">
        <f t="array" ref="Y136">SUM(IF(BPrevACCT=T136,IF(BPREVPROD=S132,BPrev1)))</f>
        <v>2894</v>
      </c>
      <c r="Z136" s="166">
        <f t="array" ref="Z136">SUM(IF(BPrevACCT=T136,IF(BPREVPROD=S132,BPrev2)))</f>
        <v>1599</v>
      </c>
      <c r="AA136" s="166">
        <f t="array" ref="AA136">SUM(IF(BPrevACCT=T136,IF(BPREVPROD=S132,BPrev3)))</f>
        <v>1843</v>
      </c>
      <c r="AB136" s="166">
        <f t="array" ref="AB136">SUM(IF(BPrevACCT=T136,IF(BPREVPROD=S132,BPrev4)))</f>
        <v>-1622</v>
      </c>
      <c r="AC136" s="166">
        <f t="array" ref="AC136">SUM(IF(BPrevACCT=T136,IF(BPREVPROD=S132,BPrev5)))</f>
        <v>-2045</v>
      </c>
      <c r="AD136" s="166">
        <f t="array" ref="AD136">SUM(IF(BPrevACCT=T136,IF(BPREVPROD=S132,BPrev6)))</f>
        <v>-2145</v>
      </c>
      <c r="AE136" s="166">
        <f t="array" ref="AE136">SUM(IF(BPrevACCT=T136,IF(BPREVPROD=S132,BPrev7)))</f>
        <v>-379</v>
      </c>
      <c r="AF136" s="166">
        <f t="array" ref="AF136">SUM(IF(BPrevACCT=T136,IF(BPREVPROD=S132,BPrev8)))</f>
        <v>-4</v>
      </c>
      <c r="AG136" s="166">
        <f t="array" ref="AG136">SUM(IF(BPrevACCT=T136,IF(BPREVPROD=S132,BPrev9)))</f>
        <v>-1181</v>
      </c>
      <c r="AH136" s="166">
        <f t="array" ref="AH136">SUM(IF(BPrevACCT=T136,IF(BPREVPROD=S132,BPrev10)))</f>
        <v>-2057</v>
      </c>
      <c r="AI136" s="166">
        <f t="array" ref="AI136">SUM(IF(BPrevACCT=T136,IF(BPREVPROD=S132,BPrev11)))</f>
        <v>-7019</v>
      </c>
      <c r="AJ136" s="166">
        <f t="array" ref="AJ136">SUM(IF(BPrevACCT=T136,IF(BPREVPROD=S132,BPrev12)))</f>
        <v>-2975</v>
      </c>
      <c r="AK136" s="166">
        <f t="shared" si="6"/>
        <v>-13091</v>
      </c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  <c r="BA136" s="94"/>
      <c r="BB136" s="94"/>
      <c r="BC136" s="94"/>
    </row>
    <row r="137" spans="1:55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197"/>
      <c r="T137" s="197">
        <v>445000</v>
      </c>
      <c r="U137" s="126">
        <v>46</v>
      </c>
      <c r="V137" s="94"/>
      <c r="W137" s="198" t="s">
        <v>1491</v>
      </c>
      <c r="X137" s="94"/>
      <c r="Y137" s="166">
        <f t="array" ref="Y137">SUM(IF(BPrevACCT=T137,IF(BPREVPROD=S132,BPrev1)))</f>
        <v>37010</v>
      </c>
      <c r="Z137" s="166">
        <f t="array" ref="Z137">SUM(IF(BPrevACCT=T137,IF(BPREVPROD=S132,BPrev2)))</f>
        <v>23140</v>
      </c>
      <c r="AA137" s="166">
        <f t="array" ref="AA137">SUM(IF(BPrevACCT=T137,IF(BPREVPROD=S132,BPrev3)))</f>
        <v>25420</v>
      </c>
      <c r="AB137" s="166">
        <f t="array" ref="AB137">SUM(IF(BPrevACCT=T137,IF(BPREVPROD=S132,BPrev4)))</f>
        <v>-23542</v>
      </c>
      <c r="AC137" s="166">
        <f t="array" ref="AC137">SUM(IF(BPrevACCT=T137,IF(BPREVPROD=S132,BPrev5)))</f>
        <v>-49422</v>
      </c>
      <c r="AD137" s="166">
        <f t="array" ref="AD137">SUM(IF(BPrevACCT=T137,IF(BPREVPROD=S132,BPrev6)))</f>
        <v>-46562</v>
      </c>
      <c r="AE137" s="166">
        <f t="array" ref="AE137">SUM(IF(BPrevACCT=T137,IF(BPREVPROD=S132,BPrev7)))</f>
        <v>-7020</v>
      </c>
      <c r="AF137" s="166">
        <f t="array" ref="AF137">SUM(IF(BPrevACCT=T137,IF(BPREVPROD=S132,BPrev8)))</f>
        <v>-82</v>
      </c>
      <c r="AG137" s="166">
        <f t="array" ref="AG137">SUM(IF(BPrevACCT=T137,IF(BPREVPROD=S132,BPrev9)))</f>
        <v>-20372</v>
      </c>
      <c r="AH137" s="166">
        <f t="array" ref="AH137">SUM(IF(BPrevACCT=T137,IF(BPREVPROD=S132,BPrev10)))</f>
        <v>-44621</v>
      </c>
      <c r="AI137" s="166">
        <f t="array" ref="AI137">SUM(IF(BPrevACCT=T137,IF(BPREVPROD=S132,BPrev11)))</f>
        <v>-139254</v>
      </c>
      <c r="AJ137" s="166">
        <f t="array" ref="AJ137">SUM(IF(BPrevACCT=T137,IF(BPREVPROD=S132,BPrev12)))</f>
        <v>-61483</v>
      </c>
      <c r="AK137" s="166">
        <f t="shared" si="6"/>
        <v>-306788</v>
      </c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  <c r="BA137" s="94"/>
      <c r="BB137" s="94"/>
      <c r="BC137" s="94"/>
    </row>
    <row r="138" spans="1:55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197"/>
      <c r="T138" s="197"/>
      <c r="U138" s="126">
        <v>47</v>
      </c>
      <c r="V138" s="94"/>
      <c r="W138" s="94"/>
      <c r="X138" s="94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  <c r="BA138" s="94"/>
      <c r="BB138" s="94"/>
      <c r="BC138" s="94"/>
    </row>
    <row r="139" spans="1:55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197" t="s">
        <v>371</v>
      </c>
      <c r="T139" s="197"/>
      <c r="U139" s="126">
        <v>48</v>
      </c>
      <c r="V139" s="94"/>
      <c r="W139" s="127" t="s">
        <v>1499</v>
      </c>
      <c r="X139" s="94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</row>
    <row r="140" spans="1:55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197"/>
      <c r="T140" s="197">
        <v>440000</v>
      </c>
      <c r="U140" s="126">
        <v>49</v>
      </c>
      <c r="V140" s="94"/>
      <c r="W140" s="198" t="s">
        <v>91</v>
      </c>
      <c r="X140" s="94"/>
      <c r="Y140" s="166">
        <f t="array" ref="Y140">SUM(IF(BPrevACCT=T140,IF(BPREVPROD=S139,BPrev1)))</f>
        <v>594789</v>
      </c>
      <c r="Z140" s="166">
        <f t="array" ref="Z140">SUM(IF(BPrevACCT=T140,IF(BPREVPROD=S139,BPrev2)))</f>
        <v>1124166</v>
      </c>
      <c r="AA140" s="166">
        <f t="array" ref="AA140">SUM(IF(BPrevACCT=T140,IF(BPREVPROD=S139,BPrev3)))</f>
        <v>1449837</v>
      </c>
      <c r="AB140" s="166">
        <f t="array" ref="AB140">SUM(IF(BPrevACCT=T140,IF(BPREVPROD=S139,BPrev4)))</f>
        <v>1156958</v>
      </c>
      <c r="AC140" s="166">
        <f t="array" ref="AC140">SUM(IF(BPrevACCT=T140,IF(BPREVPROD=S139,BPrev5)))</f>
        <v>1182501</v>
      </c>
      <c r="AD140" s="166">
        <f t="array" ref="AD140">SUM(IF(BPrevACCT=T140,IF(BPREVPROD=S139,BPrev6)))</f>
        <v>2556799</v>
      </c>
      <c r="AE140" s="166">
        <f t="array" ref="AE140">SUM(IF(BPrevACCT=T140,IF(BPREVPROD=S139,BPrev7)))</f>
        <v>708872</v>
      </c>
      <c r="AF140" s="166">
        <f t="array" ref="AF140">SUM(IF(BPrevACCT=T140,IF(BPREVPROD=S139,BPrev8)))</f>
        <v>462304</v>
      </c>
      <c r="AG140" s="166">
        <f t="array" ref="AG140">SUM(IF(BPrevACCT=T140,IF(BPREVPROD=S139,BPrev9)))</f>
        <v>571299</v>
      </c>
      <c r="AH140" s="166">
        <f t="array" ref="AH140">SUM(IF(BPrevACCT=T140,IF(BPREVPROD=S139,BPrev10)))</f>
        <v>1563980</v>
      </c>
      <c r="AI140" s="166">
        <f t="array" ref="AI140">SUM(IF(BPrevACCT=T140,IF(BPREVPROD=S139,BPrev11)))</f>
        <v>888600</v>
      </c>
      <c r="AJ140" s="166">
        <f t="array" ref="AJ140">SUM(IF(BPrevACCT=T140,IF(BPREVPROD=S139,BPrev12)))</f>
        <v>648331</v>
      </c>
      <c r="AK140" s="166">
        <f t="shared" ref="AK140:AK144" si="7">SUM(Y140:AJ140)</f>
        <v>12908436</v>
      </c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94"/>
      <c r="BB140" s="94"/>
      <c r="BC140" s="94"/>
    </row>
    <row r="141" spans="1:55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197"/>
      <c r="T141" s="197">
        <v>442100</v>
      </c>
      <c r="U141" s="126">
        <v>50</v>
      </c>
      <c r="V141" s="94"/>
      <c r="W141" s="198" t="s">
        <v>1488</v>
      </c>
      <c r="X141" s="94"/>
      <c r="Y141" s="166">
        <f t="array" ref="Y141">SUM(IF(BPrevACCT=T141,IF(BPREVPROD=S139,BPrev1)))</f>
        <v>702094</v>
      </c>
      <c r="Z141" s="166">
        <f t="array" ref="Z141">SUM(IF(BPrevACCT=T141,IF(BPREVPROD=S139,BPrev2)))</f>
        <v>1293433</v>
      </c>
      <c r="AA141" s="166">
        <f t="array" ref="AA141">SUM(IF(BPrevACCT=T141,IF(BPREVPROD=S139,BPrev3)))</f>
        <v>1504921</v>
      </c>
      <c r="AB141" s="166">
        <f t="array" ref="AB141">SUM(IF(BPrevACCT=T141,IF(BPREVPROD=S139,BPrev4)))</f>
        <v>950875</v>
      </c>
      <c r="AC141" s="166">
        <f t="array" ref="AC141">SUM(IF(BPrevACCT=T141,IF(BPREVPROD=S139,BPrev5)))</f>
        <v>1082777</v>
      </c>
      <c r="AD141" s="166">
        <f t="array" ref="AD141">SUM(IF(BPrevACCT=T141,IF(BPREVPROD=S139,BPrev6)))</f>
        <v>2189303</v>
      </c>
      <c r="AE141" s="166">
        <f t="array" ref="AE141">SUM(IF(BPrevACCT=T141,IF(BPREVPROD=S139,BPrev7)))</f>
        <v>662050</v>
      </c>
      <c r="AF141" s="166">
        <f t="array" ref="AF141">SUM(IF(BPrevACCT=T141,IF(BPREVPROD=S139,BPrev8)))</f>
        <v>551196</v>
      </c>
      <c r="AG141" s="166">
        <f t="array" ref="AG141">SUM(IF(BPrevACCT=T141,IF(BPREVPROD=S139,BPrev9)))</f>
        <v>652542</v>
      </c>
      <c r="AH141" s="166">
        <f t="array" ref="AH141">SUM(IF(BPrevACCT=T141,IF(BPREVPROD=S139,BPrev10)))</f>
        <v>1385666</v>
      </c>
      <c r="AI141" s="166">
        <f t="array" ref="AI141">SUM(IF(BPrevACCT=T141,IF(BPREVPROD=S139,BPrev11)))</f>
        <v>676776</v>
      </c>
      <c r="AJ141" s="166">
        <f t="array" ref="AJ141">SUM(IF(BPrevACCT=T141,IF(BPREVPROD=S139,BPrev12)))</f>
        <v>492951</v>
      </c>
      <c r="AK141" s="166">
        <f t="shared" si="7"/>
        <v>12144584</v>
      </c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  <c r="BA141" s="94"/>
      <c r="BB141" s="94"/>
      <c r="BC141" s="94"/>
    </row>
    <row r="142" spans="1:55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197"/>
      <c r="T142" s="197">
        <v>442200</v>
      </c>
      <c r="U142" s="126">
        <v>51</v>
      </c>
      <c r="V142" s="94"/>
      <c r="W142" s="198" t="s">
        <v>1489</v>
      </c>
      <c r="X142" s="94"/>
      <c r="Y142" s="166">
        <f t="array" ref="Y142">SUM(IF(BPrevACCT=T142,IF(BPREVPROD=S139,BPrev1)))</f>
        <v>275168</v>
      </c>
      <c r="Z142" s="166">
        <f t="array" ref="Z142">SUM(IF(BPrevACCT=T142,IF(BPREVPROD=S139,BPrev2)))</f>
        <v>490579</v>
      </c>
      <c r="AA142" s="166">
        <f t="array" ref="AA142">SUM(IF(BPrevACCT=T142,IF(BPREVPROD=S139,BPrev3)))</f>
        <v>530668</v>
      </c>
      <c r="AB142" s="166">
        <f t="array" ref="AB142">SUM(IF(BPrevACCT=T142,IF(BPREVPROD=S139,BPrev4)))</f>
        <v>456177</v>
      </c>
      <c r="AC142" s="166">
        <f t="array" ref="AC142">SUM(IF(BPrevACCT=T142,IF(BPREVPROD=S139,BPrev5)))</f>
        <v>323683</v>
      </c>
      <c r="AD142" s="166">
        <f t="array" ref="AD142">SUM(IF(BPrevACCT=T142,IF(BPREVPROD=S139,BPrev6)))</f>
        <v>829107</v>
      </c>
      <c r="AE142" s="166">
        <f t="array" ref="AE142">SUM(IF(BPrevACCT=T142,IF(BPREVPROD=S139,BPrev7)))</f>
        <v>348314</v>
      </c>
      <c r="AF142" s="166">
        <f t="array" ref="AF142">SUM(IF(BPrevACCT=T142,IF(BPREVPROD=S139,BPrev8)))</f>
        <v>290512</v>
      </c>
      <c r="AG142" s="166">
        <f t="array" ref="AG142">SUM(IF(BPrevACCT=T142,IF(BPREVPROD=S139,BPrev9)))</f>
        <v>367057</v>
      </c>
      <c r="AH142" s="166">
        <f t="array" ref="AH142">SUM(IF(BPrevACCT=T142,IF(BPREVPROD=S139,BPrev10)))</f>
        <v>713371</v>
      </c>
      <c r="AI142" s="166">
        <f t="array" ref="AI142">SUM(IF(BPrevACCT=T142,IF(BPREVPROD=S139,BPrev11)))</f>
        <v>325476</v>
      </c>
      <c r="AJ142" s="166">
        <f t="array" ref="AJ142">SUM(IF(BPrevACCT=T142,IF(BPREVPROD=S139,BPrev12)))</f>
        <v>248900</v>
      </c>
      <c r="AK142" s="166">
        <f t="shared" si="7"/>
        <v>5199012</v>
      </c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  <c r="BA142" s="94"/>
      <c r="BB142" s="94"/>
      <c r="BC142" s="94"/>
    </row>
    <row r="143" spans="1:55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197"/>
      <c r="T143" s="197">
        <v>444000</v>
      </c>
      <c r="U143" s="126">
        <v>52</v>
      </c>
      <c r="V143" s="94"/>
      <c r="W143" s="198" t="s">
        <v>1490</v>
      </c>
      <c r="X143" s="94"/>
      <c r="Y143" s="166">
        <f t="array" ref="Y143">SUM(IF(BPrevACCT=T143,IF(BPREVPROD=S139,BPrev1)))</f>
        <v>24144</v>
      </c>
      <c r="Z143" s="166">
        <f t="array" ref="Z143">SUM(IF(BPrevACCT=T143,IF(BPREVPROD=S139,BPrev2)))</f>
        <v>20717</v>
      </c>
      <c r="AA143" s="166">
        <f t="array" ref="AA143">SUM(IF(BPrevACCT=T143,IF(BPREVPROD=S139,BPrev3)))</f>
        <v>25140</v>
      </c>
      <c r="AB143" s="166">
        <f t="array" ref="AB143">SUM(IF(BPrevACCT=T143,IF(BPREVPROD=S139,BPrev4)))</f>
        <v>17904</v>
      </c>
      <c r="AC143" s="166">
        <f t="array" ref="AC143">SUM(IF(BPrevACCT=T143,IF(BPREVPROD=S139,BPrev5)))</f>
        <v>10341</v>
      </c>
      <c r="AD143" s="166">
        <f t="array" ref="AD143">SUM(IF(BPrevACCT=T143,IF(BPREVPROD=S139,BPrev6)))</f>
        <v>25428</v>
      </c>
      <c r="AE143" s="166">
        <f t="array" ref="AE143">SUM(IF(BPrevACCT=T143,IF(BPREVPROD=S139,BPrev7)))</f>
        <v>6834</v>
      </c>
      <c r="AF143" s="166">
        <f t="array" ref="AF143">SUM(IF(BPrevACCT=T143,IF(BPREVPROD=S139,BPrev8)))</f>
        <v>4781</v>
      </c>
      <c r="AG143" s="166">
        <f t="array" ref="AG143">SUM(IF(BPrevACCT=T143,IF(BPREVPROD=S139,BPrev9)))</f>
        <v>6701</v>
      </c>
      <c r="AH143" s="166">
        <f t="array" ref="AH143">SUM(IF(BPrevACCT=T143,IF(BPREVPROD=S139,BPrev10)))</f>
        <v>11740</v>
      </c>
      <c r="AI143" s="166">
        <f t="array" ref="AI143">SUM(IF(BPrevACCT=T143,IF(BPREVPROD=S139,BPrev11)))</f>
        <v>6077</v>
      </c>
      <c r="AJ143" s="166">
        <f t="array" ref="AJ143">SUM(IF(BPrevACCT=T143,IF(BPREVPROD=S139,BPrev12)))</f>
        <v>4480</v>
      </c>
      <c r="AK143" s="166">
        <f t="shared" si="7"/>
        <v>164287</v>
      </c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</row>
    <row r="144" spans="1:55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197"/>
      <c r="T144" s="197">
        <v>445000</v>
      </c>
      <c r="U144" s="126">
        <v>53</v>
      </c>
      <c r="V144" s="94"/>
      <c r="W144" s="198" t="s">
        <v>1491</v>
      </c>
      <c r="X144" s="94"/>
      <c r="Y144" s="166">
        <f t="array" ref="Y144">SUM(IF(BPrevACCT=T144,IF(BPREVPROD=S139,BPrev1)))</f>
        <v>129995</v>
      </c>
      <c r="Z144" s="166">
        <f t="array" ref="Z144">SUM(IF(BPrevACCT=T144,IF(BPREVPROD=S139,BPrev2)))</f>
        <v>151728</v>
      </c>
      <c r="AA144" s="166">
        <f t="array" ref="AA144">SUM(IF(BPrevACCT=T144,IF(BPREVPROD=S139,BPrev3)))</f>
        <v>212465</v>
      </c>
      <c r="AB144" s="166">
        <f t="array" ref="AB144">SUM(IF(BPrevACCT=T144,IF(BPREVPROD=S139,BPrev4)))</f>
        <v>130853</v>
      </c>
      <c r="AC144" s="166">
        <f t="array" ref="AC144">SUM(IF(BPrevACCT=T144,IF(BPREVPROD=S139,BPrev5)))</f>
        <v>157592</v>
      </c>
      <c r="AD144" s="166">
        <f t="array" ref="AD144">SUM(IF(BPrevACCT=T144,IF(BPREVPROD=S139,BPrev6)))</f>
        <v>280812</v>
      </c>
      <c r="AE144" s="166">
        <f t="array" ref="AE144">SUM(IF(BPrevACCT=T144,IF(BPREVPROD=S139,BPrev7)))</f>
        <v>126640</v>
      </c>
      <c r="AF144" s="166">
        <f t="array" ref="AF144">SUM(IF(BPrevACCT=T144,IF(BPREVPROD=S139,BPrev8)))</f>
        <v>105344</v>
      </c>
      <c r="AG144" s="166">
        <f t="array" ref="AG144">SUM(IF(BPrevACCT=T144,IF(BPREVPROD=S139,BPrev9)))</f>
        <v>115588</v>
      </c>
      <c r="AH144" s="166">
        <f t="array" ref="AH144">SUM(IF(BPrevACCT=T144,IF(BPREVPROD=S139,BPrev10)))</f>
        <v>254630</v>
      </c>
      <c r="AI144" s="166">
        <f t="array" ref="AI144">SUM(IF(BPrevACCT=T144,IF(BPREVPROD=S139,BPrev11)))</f>
        <v>120568</v>
      </c>
      <c r="AJ144" s="166">
        <f t="array" ref="AJ144">SUM(IF(BPrevACCT=T144,IF(BPREVPROD=S139,BPrev12)))</f>
        <v>92593</v>
      </c>
      <c r="AK144" s="166">
        <f t="shared" si="7"/>
        <v>1878808</v>
      </c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  <c r="BA144" s="94"/>
      <c r="BB144" s="94"/>
      <c r="BC144" s="94"/>
    </row>
    <row r="145" spans="1:55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197"/>
      <c r="T145" s="197"/>
      <c r="U145" s="126">
        <v>54</v>
      </c>
      <c r="V145" s="94"/>
      <c r="W145" s="94"/>
      <c r="X145" s="94"/>
      <c r="Y145" s="166"/>
      <c r="Z145" s="166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  <c r="BA145" s="94"/>
      <c r="BB145" s="94"/>
      <c r="BC145" s="94"/>
    </row>
    <row r="146" spans="1:55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197"/>
      <c r="T146" s="197">
        <v>447</v>
      </c>
      <c r="U146" s="126">
        <v>55</v>
      </c>
      <c r="V146" s="94"/>
      <c r="W146" s="94" t="s">
        <v>381</v>
      </c>
      <c r="X146" s="94"/>
      <c r="Y146" s="215">
        <f t="array" ref="Y146">SUM(IF(FERCBP=T146,Base1))</f>
        <v>3972664</v>
      </c>
      <c r="Z146" s="215">
        <f t="array" ref="Z146">SUM(IF(FERCBP=T146,Base2))</f>
        <v>568017</v>
      </c>
      <c r="AA146" s="215">
        <f t="array" ref="AA146">SUM(IF(FERCBP=T146,Base3))</f>
        <v>552945</v>
      </c>
      <c r="AB146" s="215">
        <f t="array" ref="AB146">SUM(IF(FERCBP=T146,Base4))</f>
        <v>4602129</v>
      </c>
      <c r="AC146" s="215">
        <f t="array" ref="AC146">SUM(IF(FERCBP=T146,Base5))</f>
        <v>2608170</v>
      </c>
      <c r="AD146" s="215">
        <f t="array" ref="AD146">SUM(IF(FERCBP=T146,Base6))</f>
        <v>779605</v>
      </c>
      <c r="AE146" s="215">
        <f t="array" ref="AE146">SUM(IF(FERCBP=T146,Base7))</f>
        <v>321694</v>
      </c>
      <c r="AF146" s="215">
        <f t="array" ref="AF146">SUM(IF(FERCBP=T146,Base8))</f>
        <v>7216</v>
      </c>
      <c r="AG146" s="215">
        <f t="array" ref="AG146">SUM(IF(FERCBP=T146,Base9))</f>
        <v>996340</v>
      </c>
      <c r="AH146" s="215">
        <f t="array" ref="AH146">SUM(IF(FERCBP=T146,Base10))</f>
        <v>2433186</v>
      </c>
      <c r="AI146" s="215">
        <f t="array" ref="AI146">SUM(IF(FERCBP=T146,Base11))</f>
        <v>6520607</v>
      </c>
      <c r="AJ146" s="215">
        <f t="array" ref="AJ146">SUM(IF(FERCBP=T146,Base12))</f>
        <v>2365808</v>
      </c>
      <c r="AK146" s="166">
        <f t="shared" si="6"/>
        <v>25728381</v>
      </c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  <c r="BA146" s="94"/>
      <c r="BB146" s="94"/>
      <c r="BC146" s="94"/>
    </row>
    <row r="147" spans="1:55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197"/>
      <c r="T147" s="197"/>
      <c r="U147" s="126">
        <v>56</v>
      </c>
      <c r="V147" s="94"/>
      <c r="W147" s="94"/>
      <c r="X147" s="94"/>
      <c r="Y147" s="166"/>
      <c r="Z147" s="166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</row>
    <row r="148" spans="1:55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197"/>
      <c r="T148" s="197">
        <v>449</v>
      </c>
      <c r="U148" s="126">
        <v>57</v>
      </c>
      <c r="V148" s="94"/>
      <c r="W148" s="94" t="s">
        <v>1500</v>
      </c>
      <c r="X148" s="94"/>
      <c r="Y148" s="166">
        <f t="array" ref="Y148">SUM(IF(FERCBP=T148,Base1))</f>
        <v>-403443</v>
      </c>
      <c r="Z148" s="166">
        <f t="array" ref="Z148">SUM(IF(FERCBP=T148,Base2))</f>
        <v>540287</v>
      </c>
      <c r="AA148" s="166">
        <f t="array" ref="AA148">SUM(IF(FERCBP=T148,Base3))</f>
        <v>352999</v>
      </c>
      <c r="AB148" s="166">
        <f t="array" ref="AB148">SUM(IF(FERCBP=T148,Base4))</f>
        <v>-4368642</v>
      </c>
      <c r="AC148" s="166">
        <f t="array" ref="AC148">SUM(IF(FERCBP=T148,Base5))</f>
        <v>-15507</v>
      </c>
      <c r="AD148" s="166">
        <f t="array" ref="AD148">SUM(IF(FERCBP=T148,Base6))</f>
        <v>153652</v>
      </c>
      <c r="AE148" s="166">
        <f t="array" ref="AE148">SUM(IF(FERCBP=T148,Base7))</f>
        <v>0</v>
      </c>
      <c r="AF148" s="166">
        <f t="array" ref="AF148">SUM(IF(FERCBP=T148,Base8))</f>
        <v>0</v>
      </c>
      <c r="AG148" s="166">
        <f t="array" ref="AG148">SUM(IF(FERCBP=T148,Base9))</f>
        <v>0</v>
      </c>
      <c r="AH148" s="166">
        <f t="array" ref="AH148">SUM(IF(FERCBP=T148,Base10))</f>
        <v>0</v>
      </c>
      <c r="AI148" s="166">
        <f t="array" ref="AI148">SUM(IF(FERCBP=T148,Base11))</f>
        <v>0</v>
      </c>
      <c r="AJ148" s="166">
        <f t="array" ref="AJ148">SUM(IF(FERCBP=T148,Base12))</f>
        <v>0</v>
      </c>
      <c r="AK148" s="166">
        <f t="shared" si="6"/>
        <v>-3740654</v>
      </c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  <c r="BA148" s="94"/>
      <c r="BB148" s="94"/>
      <c r="BC148" s="94"/>
    </row>
    <row r="149" spans="1:55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197"/>
      <c r="T149" s="197">
        <v>450</v>
      </c>
      <c r="U149" s="126">
        <v>58</v>
      </c>
      <c r="V149" s="94"/>
      <c r="W149" s="94" t="s">
        <v>286</v>
      </c>
      <c r="X149" s="94"/>
      <c r="Y149" s="166">
        <f t="array" ref="Y149">SUM(IF(FERCBP=T149,Base1))</f>
        <v>84039</v>
      </c>
      <c r="Z149" s="166">
        <f t="array" ref="Z149">SUM(IF(FERCBP=T149,Base2))</f>
        <v>73172</v>
      </c>
      <c r="AA149" s="166">
        <f t="array" ref="AA149">SUM(IF(FERCBP=T149,Base3))</f>
        <v>75211</v>
      </c>
      <c r="AB149" s="166">
        <f t="array" ref="AB149">SUM(IF(FERCBP=T149,Base4))</f>
        <v>80165</v>
      </c>
      <c r="AC149" s="166">
        <f t="array" ref="AC149">SUM(IF(FERCBP=T149,Base5))</f>
        <v>88309</v>
      </c>
      <c r="AD149" s="166">
        <f t="array" ref="AD149">SUM(IF(FERCBP=T149,Base6))</f>
        <v>128308</v>
      </c>
      <c r="AE149" s="166">
        <f t="array" ref="AE149">SUM(IF(FERCBP=T149,Base7))</f>
        <v>171159.66666666666</v>
      </c>
      <c r="AF149" s="166">
        <f t="array" ref="AF149">SUM(IF(FERCBP=T149,Base8))</f>
        <v>106099.66666666667</v>
      </c>
      <c r="AG149" s="166">
        <f t="array" ref="AG149">SUM(IF(FERCBP=T149,Base9))</f>
        <v>51859.666666666672</v>
      </c>
      <c r="AH149" s="166">
        <f t="array" ref="AH149">SUM(IF(FERCBP=T149,Base10))</f>
        <v>63669.666666666672</v>
      </c>
      <c r="AI149" s="166">
        <f t="array" ref="AI149">SUM(IF(FERCBP=T149,Base11))</f>
        <v>70459.666666666672</v>
      </c>
      <c r="AJ149" s="166">
        <f t="array" ref="AJ149">SUM(IF(FERCBP=T149,Base12))</f>
        <v>95669.666666666672</v>
      </c>
      <c r="AK149" s="166">
        <f t="shared" ref="AK149" si="8">SUM(Y149:AJ149)</f>
        <v>1088121.9999999998</v>
      </c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  <c r="BA149" s="94"/>
      <c r="BB149" s="94"/>
      <c r="BC149" s="94"/>
    </row>
    <row r="150" spans="1:55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197"/>
      <c r="T150" s="197">
        <v>451</v>
      </c>
      <c r="U150" s="126">
        <v>59</v>
      </c>
      <c r="V150" s="94"/>
      <c r="W150" s="94" t="s">
        <v>1501</v>
      </c>
      <c r="X150" s="94"/>
      <c r="Y150" s="166">
        <f t="array" ref="Y150">SUM(IF(FERCBP=T150,Base1))</f>
        <v>14275</v>
      </c>
      <c r="Z150" s="166" cm="1">
        <f t="array" ref="Z150">SUM(IF(FERCBP=T150,Base2))</f>
        <v>-1272</v>
      </c>
      <c r="AA150" s="166">
        <f t="array" ref="AA150">SUM(IF(FERCBP=T150,Base3))</f>
        <v>28819</v>
      </c>
      <c r="AB150" s="166">
        <f t="array" ref="AB150">SUM(IF(FERCBP=T150,Base4))</f>
        <v>-33597</v>
      </c>
      <c r="AC150" s="166">
        <f t="array" ref="AC150">SUM(IF(FERCBP=T150,Base5))</f>
        <v>24373</v>
      </c>
      <c r="AD150" s="166">
        <f t="array" ref="AD150">SUM(IF(FERCBP=T150,Base6))</f>
        <v>24033</v>
      </c>
      <c r="AE150" s="166">
        <f t="array" ref="AE150">SUM(IF(FERCBP=T150,Base7))</f>
        <v>20833.333333333332</v>
      </c>
      <c r="AF150" s="166">
        <f t="array" ref="AF150">SUM(IF(FERCBP=T150,Base8))</f>
        <v>20833.333333333332</v>
      </c>
      <c r="AG150" s="166">
        <f t="array" ref="AG150">SUM(IF(FERCBP=T150,Base9))</f>
        <v>20833.333333333332</v>
      </c>
      <c r="AH150" s="166">
        <f t="array" ref="AH150">SUM(IF(FERCBP=T150,Base10))</f>
        <v>20833.333333333332</v>
      </c>
      <c r="AI150" s="166">
        <f t="array" ref="AI150">SUM(IF(FERCBP=T150,Base11))</f>
        <v>20833.333333333332</v>
      </c>
      <c r="AJ150" s="166">
        <f t="array" ref="AJ150">SUM(IF(FERCBP=T150,Base12))</f>
        <v>20833.333333333332</v>
      </c>
      <c r="AK150" s="166">
        <f t="shared" si="6"/>
        <v>181631</v>
      </c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  <c r="BA150" s="94"/>
      <c r="BB150" s="94"/>
      <c r="BC150" s="94"/>
    </row>
    <row r="151" spans="1:55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197"/>
      <c r="T151" s="197">
        <v>454</v>
      </c>
      <c r="U151" s="126">
        <v>60</v>
      </c>
      <c r="V151" s="94"/>
      <c r="W151" s="94" t="s">
        <v>1502</v>
      </c>
      <c r="X151" s="94"/>
      <c r="Y151" s="166">
        <f t="array" ref="Y151">SUM(IF(FERCBP=T151,Base1))</f>
        <v>99952</v>
      </c>
      <c r="Z151" s="166">
        <f t="array" ref="Z151">SUM(IF(FERCBP=T151,Base2))</f>
        <v>93535</v>
      </c>
      <c r="AA151" s="166">
        <f t="array" ref="AA151">SUM(IF(FERCBP=T151,Base3))</f>
        <v>93608</v>
      </c>
      <c r="AB151" s="166">
        <f t="array" ref="AB151">SUM(IF(FERCBP=T151,Base4))</f>
        <v>99271</v>
      </c>
      <c r="AC151" s="166">
        <f t="array" ref="AC151">SUM(IF(FERCBP=T151,Base5))</f>
        <v>93616</v>
      </c>
      <c r="AD151" s="166">
        <f t="array" ref="AD151">SUM(IF(FERCBP=T151,Base6))</f>
        <v>110659</v>
      </c>
      <c r="AE151" s="166">
        <f t="array" ref="AE151">SUM(IF(FERCBP=T151,Base7))</f>
        <v>158333</v>
      </c>
      <c r="AF151" s="166">
        <f t="array" ref="AF151">SUM(IF(FERCBP=T151,Base8))</f>
        <v>158333</v>
      </c>
      <c r="AG151" s="166">
        <f t="array" ref="AG151">SUM(IF(FERCBP=T151,Base9))</f>
        <v>158333</v>
      </c>
      <c r="AH151" s="166">
        <f t="array" ref="AH151">SUM(IF(FERCBP=T151,Base10))</f>
        <v>158333</v>
      </c>
      <c r="AI151" s="166">
        <f t="array" ref="AI151">SUM(IF(FERCBP=T151,Base11))</f>
        <v>166666</v>
      </c>
      <c r="AJ151" s="166">
        <f t="array" ref="AJ151">SUM(IF(FERCBP=T151,Base12))</f>
        <v>166666</v>
      </c>
      <c r="AK151" s="166">
        <f t="shared" si="6"/>
        <v>1557305</v>
      </c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4"/>
      <c r="BB151" s="94"/>
      <c r="BC151" s="94"/>
    </row>
    <row r="152" spans="1:55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197"/>
      <c r="T152" s="197">
        <v>456</v>
      </c>
      <c r="U152" s="126">
        <v>61</v>
      </c>
      <c r="V152" s="94"/>
      <c r="W152" s="94" t="s">
        <v>287</v>
      </c>
      <c r="X152" s="94"/>
      <c r="Y152" s="166">
        <f t="array" ref="Y152">SUM(IF(FERCBP=T152,Base1))</f>
        <v>661650</v>
      </c>
      <c r="Z152" s="166">
        <f t="array" ref="Z152">SUM(IF(FERCBP=T152,Base2))</f>
        <v>1215525</v>
      </c>
      <c r="AA152" s="166">
        <f t="array" ref="AA152">SUM(IF(FERCBP=T152,Base3))</f>
        <v>1410243</v>
      </c>
      <c r="AB152" s="166">
        <f t="array" ref="AB152">SUM(IF(FERCBP=T152,Base4))</f>
        <v>1061114</v>
      </c>
      <c r="AC152" s="166">
        <f t="array" ref="AC152">SUM(IF(FERCBP=T152,Base5))</f>
        <v>1120676</v>
      </c>
      <c r="AD152" s="166">
        <f t="array" ref="AD152">SUM(IF(FERCBP=T152,Base6))</f>
        <v>572608</v>
      </c>
      <c r="AE152" s="166">
        <f t="array" ref="AE152">SUM(IF(FERCBP=T152,Base7))</f>
        <v>14125</v>
      </c>
      <c r="AF152" s="166">
        <f t="array" ref="AF152">SUM(IF(FERCBP=T152,Base8))</f>
        <v>14125</v>
      </c>
      <c r="AG152" s="166">
        <f t="array" ref="AG152">SUM(IF(FERCBP=T152,Base9))</f>
        <v>14125</v>
      </c>
      <c r="AH152" s="166">
        <f t="array" ref="AH152">SUM(IF(FERCBP=T152,Base10))</f>
        <v>14125</v>
      </c>
      <c r="AI152" s="166">
        <f t="array" ref="AI152">SUM(IF(FERCBP=T152,Base11))</f>
        <v>14125</v>
      </c>
      <c r="AJ152" s="166">
        <f t="array" ref="AJ152">SUM(IF(FERCBP=T152,Base12))</f>
        <v>14125</v>
      </c>
      <c r="AK152" s="166">
        <f>SUM(Y152:AJ152)</f>
        <v>6126566</v>
      </c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  <c r="BA152" s="94"/>
      <c r="BB152" s="94"/>
      <c r="BC152" s="94"/>
    </row>
    <row r="153" spans="1:55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197"/>
      <c r="T153" s="197">
        <v>457</v>
      </c>
      <c r="U153" s="126">
        <v>62</v>
      </c>
      <c r="V153" s="94"/>
      <c r="W153" s="94" t="s">
        <v>1503</v>
      </c>
      <c r="X153" s="94"/>
      <c r="Y153" s="1499">
        <f t="array" ref="Y153">SUM(IF(FERCBP=T153,Base1))</f>
        <v>296835</v>
      </c>
      <c r="Z153" s="1499">
        <f t="array" ref="Z153">SUM(IF(FERCBP=T153,Base2))</f>
        <v>298488</v>
      </c>
      <c r="AA153" s="1499">
        <f t="array" ref="AA153">SUM(IF(FERCBP=T153,Base3))</f>
        <v>295504</v>
      </c>
      <c r="AB153" s="1499">
        <f t="array" ref="AB153">SUM(IF(FERCBP=T153,Base4))</f>
        <v>298085</v>
      </c>
      <c r="AC153" s="1499">
        <f t="array" ref="AC153">SUM(IF(FERCBP=T153,Base5))</f>
        <v>291082</v>
      </c>
      <c r="AD153" s="1499">
        <f t="array" ref="AD153">SUM(IF(FERCBP=T153,Base6))</f>
        <v>319276</v>
      </c>
      <c r="AE153" s="1499">
        <f t="array" ref="AE153">SUM(IF(FERCBP=T153,Base7))</f>
        <v>156750</v>
      </c>
      <c r="AF153" s="1499">
        <f t="array" ref="AF153">SUM(IF(FERCBP=T153,Base8))</f>
        <v>156750</v>
      </c>
      <c r="AG153" s="1499">
        <f t="array" ref="AG153">SUM(IF(FERCBP=T153,Base9))</f>
        <v>156750</v>
      </c>
      <c r="AH153" s="1499">
        <f t="array" ref="AH153">SUM(IF(FERCBP=T153,Base10))</f>
        <v>156750</v>
      </c>
      <c r="AI153" s="1499">
        <f t="array" ref="AI153">SUM(IF(FERCBP=T153,Base11))</f>
        <v>156750</v>
      </c>
      <c r="AJ153" s="1499">
        <f t="array" ref="AJ153">SUM(IF(FERCBP=T153,Base12))</f>
        <v>156750</v>
      </c>
      <c r="AK153" s="1499">
        <f>SUM(Y153:AJ153)</f>
        <v>2739770</v>
      </c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4"/>
      <c r="BB153" s="94"/>
      <c r="BC153" s="94"/>
    </row>
    <row r="154" spans="1:55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126">
        <v>63</v>
      </c>
      <c r="V154" s="94"/>
      <c r="W154" s="94"/>
      <c r="X154" s="94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  <c r="BA154" s="94"/>
      <c r="BB154" s="94"/>
      <c r="BC154" s="94"/>
    </row>
    <row r="155" spans="1:55" ht="13.8" thickBo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126">
        <v>64</v>
      </c>
      <c r="V155" s="94"/>
      <c r="W155" s="94" t="s">
        <v>452</v>
      </c>
      <c r="X155" s="94"/>
      <c r="Y155" s="1943">
        <f t="shared" ref="Y155:AK155" si="9">SUM(Y93:Y98)+SUM(Y101:Y105)+Y123+SUM(Y126:Y130)+SUM(Y133:Y137)+SUM(Y140:Y144)+Y146+SUM(Y148:Y153)</f>
        <v>39454807</v>
      </c>
      <c r="Z155" s="1943">
        <f>SUM(Z93:Z98)+SUM(Z101:Z105)+Z123+SUM(Z126:Z130)+SUM(Z133:Z137)+SUM(Z140:Z144)+Z146+SUM(Z148:Z153)</f>
        <v>34134603</v>
      </c>
      <c r="AA155" s="1943">
        <f t="shared" si="9"/>
        <v>39715032</v>
      </c>
      <c r="AB155" s="1943">
        <f t="shared" si="9"/>
        <v>55016195</v>
      </c>
      <c r="AC155" s="1943">
        <f t="shared" si="9"/>
        <v>46758430</v>
      </c>
      <c r="AD155" s="1943">
        <f t="shared" si="9"/>
        <v>47425731</v>
      </c>
      <c r="AE155" s="1943">
        <f t="shared" si="9"/>
        <v>40051954</v>
      </c>
      <c r="AF155" s="1943">
        <f t="shared" si="9"/>
        <v>34773454</v>
      </c>
      <c r="AG155" s="1943">
        <f t="shared" si="9"/>
        <v>38991771</v>
      </c>
      <c r="AH155" s="1943">
        <f t="shared" si="9"/>
        <v>44059901</v>
      </c>
      <c r="AI155" s="1943">
        <f t="shared" si="9"/>
        <v>43295131</v>
      </c>
      <c r="AJ155" s="1943">
        <f t="shared" si="9"/>
        <v>40088138</v>
      </c>
      <c r="AK155" s="1943">
        <f t="shared" si="9"/>
        <v>503765147</v>
      </c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  <c r="BA155" s="94"/>
      <c r="BB155" s="94"/>
      <c r="BC155" s="94"/>
    </row>
    <row r="156" spans="1:55" ht="13.8" thickTop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126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  <c r="BA156" s="94"/>
      <c r="BB156" s="94"/>
      <c r="BC156" s="94"/>
    </row>
    <row r="157" spans="1:55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166">
        <f>'BASE PERIOD'!F249</f>
        <v>39454807</v>
      </c>
      <c r="Z157" s="166">
        <f>'BASE PERIOD'!G249</f>
        <v>34134603</v>
      </c>
      <c r="AA157" s="166">
        <f>'BASE PERIOD'!H249</f>
        <v>39715032</v>
      </c>
      <c r="AB157" s="166">
        <f>'BASE PERIOD'!I249</f>
        <v>55016195</v>
      </c>
      <c r="AC157" s="166">
        <f>'BASE PERIOD'!J249</f>
        <v>46758430</v>
      </c>
      <c r="AD157" s="166">
        <f>'BASE PERIOD'!K249</f>
        <v>47425731</v>
      </c>
      <c r="AE157" s="166">
        <f>'BASE PERIOD'!L249</f>
        <v>40051954</v>
      </c>
      <c r="AF157" s="166">
        <f>'BASE PERIOD'!M249</f>
        <v>34773454</v>
      </c>
      <c r="AG157" s="166">
        <f>'BASE PERIOD'!N249</f>
        <v>38991771</v>
      </c>
      <c r="AH157" s="166">
        <f>'BASE PERIOD'!O249</f>
        <v>44059901</v>
      </c>
      <c r="AI157" s="166">
        <f>'BASE PERIOD'!P249</f>
        <v>43295131</v>
      </c>
      <c r="AJ157" s="166">
        <f>'BASE PERIOD'!Q249</f>
        <v>40088138</v>
      </c>
      <c r="AK157" s="166">
        <f>SUM(Y157:AJ157)</f>
        <v>503765147</v>
      </c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4"/>
      <c r="BB157" s="94"/>
      <c r="BC157" s="94"/>
    </row>
    <row r="158" spans="1:55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  <c r="BA158" s="94"/>
      <c r="BB158" s="94"/>
      <c r="BC158" s="94"/>
    </row>
    <row r="159" spans="1:55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166">
        <f t="shared" ref="Y159:AI159" si="10">Y155-Y157</f>
        <v>0</v>
      </c>
      <c r="Z159" s="166">
        <f t="shared" si="10"/>
        <v>0</v>
      </c>
      <c r="AA159" s="166">
        <f t="shared" si="10"/>
        <v>0</v>
      </c>
      <c r="AB159" s="166">
        <f t="shared" si="10"/>
        <v>0</v>
      </c>
      <c r="AC159" s="166">
        <f t="shared" si="10"/>
        <v>0</v>
      </c>
      <c r="AD159" s="166">
        <f t="shared" si="10"/>
        <v>0</v>
      </c>
      <c r="AE159" s="166">
        <f t="shared" si="10"/>
        <v>0</v>
      </c>
      <c r="AF159" s="166">
        <f t="shared" si="10"/>
        <v>0</v>
      </c>
      <c r="AG159" s="166">
        <f t="shared" si="10"/>
        <v>0</v>
      </c>
      <c r="AH159" s="166">
        <f t="shared" si="10"/>
        <v>0</v>
      </c>
      <c r="AI159" s="166">
        <f t="shared" si="10"/>
        <v>0</v>
      </c>
      <c r="AJ159" s="166">
        <f>AJ155-AJ157</f>
        <v>0</v>
      </c>
      <c r="AK159" s="166">
        <f>SUM(Y159:AJ159)</f>
        <v>0</v>
      </c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  <c r="BA159" s="94"/>
      <c r="BB159" s="94"/>
      <c r="BC159" s="94"/>
    </row>
    <row r="160" spans="1:55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2412"/>
      <c r="Z160" s="2412"/>
      <c r="AA160" s="2412"/>
      <c r="AB160" s="2412"/>
      <c r="AC160" s="2412"/>
      <c r="AD160" s="2412"/>
      <c r="AE160" s="2412"/>
      <c r="AF160" s="2412"/>
      <c r="AG160" s="2412"/>
      <c r="AH160" s="2412"/>
      <c r="AI160" s="2412"/>
      <c r="AJ160" s="2412"/>
      <c r="AK160" s="2412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  <c r="BA160" s="94"/>
      <c r="BB160" s="94"/>
      <c r="BC160" s="94"/>
    </row>
    <row r="161" spans="1:55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2412"/>
      <c r="Z161" s="2412"/>
      <c r="AA161" s="2412"/>
      <c r="AB161" s="2412"/>
      <c r="AC161" s="2412"/>
      <c r="AD161" s="2412"/>
      <c r="AE161" s="2412"/>
      <c r="AF161" s="2412"/>
      <c r="AG161" s="2412"/>
      <c r="AH161" s="2412"/>
      <c r="AI161" s="2412"/>
      <c r="AJ161" s="2412"/>
      <c r="AK161" s="2412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  <c r="BA161" s="94"/>
      <c r="BB161" s="94"/>
      <c r="BC161" s="94"/>
    </row>
    <row r="162" spans="1:55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2412"/>
      <c r="Z162" s="2412"/>
      <c r="AA162" s="2412"/>
      <c r="AB162" s="2412"/>
      <c r="AC162" s="2412"/>
      <c r="AD162" s="2412"/>
      <c r="AE162" s="2412"/>
      <c r="AF162" s="2412"/>
      <c r="AG162" s="2412"/>
      <c r="AH162" s="2412"/>
      <c r="AI162" s="2412"/>
      <c r="AJ162" s="2412"/>
      <c r="AK162" s="2412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  <c r="BA162" s="94"/>
      <c r="BB162" s="94"/>
      <c r="BC162" s="94"/>
    </row>
    <row r="163" spans="1:55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166"/>
      <c r="AF163" s="166"/>
      <c r="AG163" s="166"/>
      <c r="AH163" s="166"/>
      <c r="AI163" s="166"/>
      <c r="AJ163" s="166"/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  <c r="BA163" s="94"/>
      <c r="BB163" s="94"/>
      <c r="BC163" s="94"/>
    </row>
    <row r="164" spans="1:55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169" t="str">
        <f>COMPANY</f>
        <v>DUKE ENERGY KENTUCKY, INC.</v>
      </c>
      <c r="V164" s="94"/>
      <c r="W164" s="94"/>
      <c r="X164" s="94"/>
      <c r="Y164" s="94"/>
      <c r="Z164" s="94"/>
      <c r="AA164" s="94"/>
      <c r="AB164" s="94"/>
      <c r="AC164" s="94"/>
      <c r="AD164" s="94"/>
      <c r="AJ164" s="169" t="s">
        <v>1504</v>
      </c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  <c r="BA164" s="94"/>
      <c r="BB164" s="94"/>
      <c r="BC164" s="94"/>
    </row>
    <row r="165" spans="1:55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 t="str">
        <f>CASE</f>
        <v>CASE NO. 2024-00354</v>
      </c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169" t="s">
        <v>468</v>
      </c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4"/>
      <c r="BB165" s="94"/>
      <c r="BC165" s="94"/>
    </row>
    <row r="166" spans="1:55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169" t="str">
        <f>DEPT</f>
        <v>ELECTRIC DEPARTMENT</v>
      </c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 t="str">
        <f>_WIT1</f>
        <v>L. D. STEINKUHL</v>
      </c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4"/>
      <c r="BB166" s="94"/>
      <c r="BC166" s="94"/>
    </row>
    <row r="167" spans="1:55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169" t="s">
        <v>1486</v>
      </c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  <c r="BA167" s="94"/>
      <c r="BB167" s="94"/>
      <c r="BC167" s="94"/>
    </row>
    <row r="168" spans="1:55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169" t="str">
        <f>PeriodF</f>
        <v>FOR THE TWELVE MONTHS ENDED JUNE 30, 2026</v>
      </c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  <c r="BA168" s="94"/>
      <c r="BB168" s="94"/>
      <c r="BC168" s="94"/>
    </row>
    <row r="169" spans="1:55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169" t="str">
        <f>DataF</f>
        <v>DATA:  BASE PERIOD  "X" FORECASTED PERIOD</v>
      </c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  <c r="BA169" s="94"/>
      <c r="BB169" s="94"/>
      <c r="BC169" s="94"/>
    </row>
    <row r="170" spans="1:55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169" t="str">
        <f>Type</f>
        <v xml:space="preserve">TYPE OF FILING:  "X" ORIGINAL   UPDATED    REVISED  </v>
      </c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94"/>
      <c r="BB170" s="94"/>
      <c r="BC170" s="94"/>
    </row>
    <row r="171" spans="1:55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  <c r="BA171" s="94"/>
      <c r="BB171" s="94"/>
      <c r="BC171" s="94"/>
    </row>
    <row r="172" spans="1:55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  <c r="BA172" s="94"/>
      <c r="BB172" s="94"/>
      <c r="BC172" s="94"/>
    </row>
    <row r="173" spans="1:55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126" t="s">
        <v>573</v>
      </c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  <c r="BA173" s="94"/>
      <c r="BB173" s="94"/>
      <c r="BC173" s="94"/>
    </row>
    <row r="174" spans="1:55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7" t="s">
        <v>576</v>
      </c>
      <c r="V174" s="94"/>
      <c r="W174" s="97" t="s">
        <v>2</v>
      </c>
      <c r="X174" s="94"/>
      <c r="Y174" s="26">
        <f>LOGO!$J$7</f>
        <v>45869</v>
      </c>
      <c r="Z174" s="26">
        <f>LOGO!$J$8</f>
        <v>45900</v>
      </c>
      <c r="AA174" s="26">
        <f>LOGO!$J$9</f>
        <v>45930</v>
      </c>
      <c r="AB174" s="26">
        <f>LOGO!$J$10</f>
        <v>45961</v>
      </c>
      <c r="AC174" s="26">
        <f>LOGO!$J$11</f>
        <v>45991</v>
      </c>
      <c r="AD174" s="26">
        <f>LOGO!$J$12</f>
        <v>46022</v>
      </c>
      <c r="AE174" s="26">
        <f>LOGO!$J$13</f>
        <v>46053</v>
      </c>
      <c r="AF174" s="26">
        <f>LOGO!$J$14</f>
        <v>46081</v>
      </c>
      <c r="AG174" s="26">
        <f>LOGO!$J$15</f>
        <v>46112</v>
      </c>
      <c r="AH174" s="26">
        <f>LOGO!$J$16</f>
        <v>46142</v>
      </c>
      <c r="AI174" s="26">
        <f>LOGO!$J$17</f>
        <v>46173</v>
      </c>
      <c r="AJ174" s="26">
        <f>LOGO!$J$18</f>
        <v>46203</v>
      </c>
      <c r="AK174" s="97" t="s">
        <v>258</v>
      </c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  <c r="BA174" s="94"/>
      <c r="BB174" s="94"/>
      <c r="BC174" s="94"/>
    </row>
    <row r="175" spans="1:55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  <c r="BA175" s="94"/>
      <c r="BB175" s="94"/>
      <c r="BC175" s="94"/>
    </row>
    <row r="176" spans="1:55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7"/>
      <c r="R176" s="97"/>
      <c r="S176" s="97"/>
      <c r="T176" s="97"/>
      <c r="U176" s="126">
        <v>1</v>
      </c>
      <c r="V176" s="94"/>
      <c r="W176" s="127" t="s">
        <v>1487</v>
      </c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4"/>
      <c r="AP176" s="94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  <c r="BA176" s="94"/>
      <c r="BB176" s="94"/>
      <c r="BC176" s="94"/>
    </row>
    <row r="177" spans="1:55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 t="str">
        <f>S93</f>
        <v>BBEREV</v>
      </c>
      <c r="T177" s="94">
        <f>T93</f>
        <v>440000</v>
      </c>
      <c r="U177" s="126">
        <v>2</v>
      </c>
      <c r="V177" s="94"/>
      <c r="W177" s="198" t="s">
        <v>91</v>
      </c>
      <c r="X177" s="94"/>
      <c r="Y177" s="166">
        <f t="array" ref="Y177">SUM(IF(FPrevAcct=T177,IF(FPrevProd=S177,FPrev1)))</f>
        <v>11901378</v>
      </c>
      <c r="Z177" s="166">
        <f t="array" ref="Z177">SUM(IF(FPrevAcct=T177,IF(FPrevProd=S177,FPrev2)))</f>
        <v>12153855</v>
      </c>
      <c r="AA177" s="166">
        <f t="array" ref="AA177">SUM(IF(FPrevAcct=T177,IF(FPrevProd=S177,FPrev3)))</f>
        <v>10969494</v>
      </c>
      <c r="AB177" s="166">
        <f t="array" ref="AB177">SUM(IF(FPrevAcct=T177,IF(FPrevProd=S177,FPrev4)))</f>
        <v>8264043</v>
      </c>
      <c r="AC177" s="166">
        <f t="array" ref="AC177">SUM(IF(FPrevAcct=T177,IF(FPrevProd=S177,FPrev5)))</f>
        <v>8209035</v>
      </c>
      <c r="AD177" s="166">
        <f t="array" ref="AD177">SUM(IF(FPrevAcct=T177,IF(FPrevProd=S177,FPrev6)))</f>
        <v>10986570</v>
      </c>
      <c r="AE177" s="166">
        <f t="array" ref="AE177">SUM(IF(FPrevAcct=T177,IF(FPrevProd=S177,FPrev7)))</f>
        <v>12572678</v>
      </c>
      <c r="AF177" s="166">
        <f t="array" ref="AF177">SUM(IF(FPrevAcct=T177,IF(FPrevProd=S177,FPrev8)))</f>
        <v>11245694</v>
      </c>
      <c r="AG177" s="166">
        <f t="array" ref="AG177">SUM(IF(FPrevAcct=T177,IF(FPrevProd=S177,FPrev9)))</f>
        <v>10645663</v>
      </c>
      <c r="AH177" s="166">
        <f t="array" ref="AH177">SUM(IF(FPrevAcct=T177,IF(FPrevProd=S177,FPrev10)))</f>
        <v>9025863</v>
      </c>
      <c r="AI177" s="166">
        <f t="array" ref="AI177">SUM(IF(FPrevAcct=T177,IF(FPrevProd=S177,FPrev11)))</f>
        <v>7613966</v>
      </c>
      <c r="AJ177" s="166">
        <f t="array" ref="AJ177">SUM(IF(FPrevAcct=T177,IF(FPrevProd=S177,FPrev12)))</f>
        <v>9782715</v>
      </c>
      <c r="AK177" s="166">
        <f t="shared" ref="AK177:AK182" si="11">SUM(Y177:AJ177)</f>
        <v>123370954</v>
      </c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  <c r="BA177" s="94"/>
      <c r="BB177" s="94"/>
      <c r="BC177" s="94"/>
    </row>
    <row r="178" spans="1:55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>
        <f>T94</f>
        <v>442100</v>
      </c>
      <c r="U178" s="126">
        <v>3</v>
      </c>
      <c r="V178" s="94"/>
      <c r="W178" s="198" t="s">
        <v>1488</v>
      </c>
      <c r="X178" s="94"/>
      <c r="Y178" s="166">
        <f t="array" ref="Y178">SUM(IF(FPrevAcct=T178,IF(FPrevProd=S177,FPrev1)))</f>
        <v>9112492</v>
      </c>
      <c r="Z178" s="166">
        <f t="array" ref="Z178">SUM(IF(FPrevAcct=T178,IF(FPrevProd=S177,FPrev2)))</f>
        <v>8854604</v>
      </c>
      <c r="AA178" s="166">
        <f t="array" ref="AA178">SUM(IF(FPrevAcct=T178,IF(FPrevProd=S177,FPrev3)))</f>
        <v>8529527</v>
      </c>
      <c r="AB178" s="166">
        <f t="array" ref="AB178">SUM(IF(FPrevAcct=T178,IF(FPrevProd=S177,FPrev4)))</f>
        <v>7823174</v>
      </c>
      <c r="AC178" s="166">
        <f t="array" ref="AC178">SUM(IF(FPrevAcct=T178,IF(FPrevProd=S177,FPrev5)))</f>
        <v>7598992</v>
      </c>
      <c r="AD178" s="166">
        <f t="array" ref="AD178">SUM(IF(FPrevAcct=T178,IF(FPrevProd=S177,FPrev6)))</f>
        <v>7886428</v>
      </c>
      <c r="AE178" s="166">
        <f t="array" ref="AE178">SUM(IF(FPrevAcct=T178,IF(FPrevProd=S177,FPrev7)))</f>
        <v>8031811</v>
      </c>
      <c r="AF178" s="166">
        <f t="array" ref="AF178">SUM(IF(FPrevAcct=T178,IF(FPrevProd=S177,FPrev8)))</f>
        <v>7299856</v>
      </c>
      <c r="AG178" s="166">
        <f t="array" ref="AG178">SUM(IF(FPrevAcct=T178,IF(FPrevProd=S177,FPrev9)))</f>
        <v>7739850</v>
      </c>
      <c r="AH178" s="166">
        <f t="array" ref="AH178">SUM(IF(FPrevAcct=T178,IF(FPrevProd=S177,FPrev10)))</f>
        <v>7741678</v>
      </c>
      <c r="AI178" s="166">
        <f t="array" ref="AI178">SUM(IF(FPrevAcct=T178,IF(FPrevProd=S177,FPrev11)))</f>
        <v>7319459</v>
      </c>
      <c r="AJ178" s="166">
        <f t="array" ref="AJ178">SUM(IF(FPrevAcct=T178,IF(FPrevProd=S177,FPrev12)))</f>
        <v>8357307</v>
      </c>
      <c r="AK178" s="166">
        <f t="shared" si="11"/>
        <v>96295178</v>
      </c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  <c r="BA178" s="94"/>
      <c r="BB178" s="94"/>
      <c r="BC178" s="94"/>
    </row>
    <row r="179" spans="1:55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>
        <f>T95</f>
        <v>442200</v>
      </c>
      <c r="U179" s="126">
        <v>4</v>
      </c>
      <c r="V179" s="94"/>
      <c r="W179" s="198" t="s">
        <v>1489</v>
      </c>
      <c r="X179" s="94"/>
      <c r="Y179" s="166">
        <f t="array" ref="Y179">SUM(IF(FPrevAcct=T179,IF(FPrevProd=S177,FPrev1)))</f>
        <v>3824437</v>
      </c>
      <c r="Z179" s="166">
        <f t="array" ref="Z179">SUM(IF(FPrevAcct=T179,IF(FPrevProd=S177,FPrev2)))</f>
        <v>3923840</v>
      </c>
      <c r="AA179" s="166">
        <f t="array" ref="AA179">SUM(IF(FPrevAcct=T179,IF(FPrevProd=S177,FPrev3)))</f>
        <v>3789696</v>
      </c>
      <c r="AB179" s="166">
        <f t="array" ref="AB179">SUM(IF(FPrevAcct=T179,IF(FPrevProd=S177,FPrev4)))</f>
        <v>3481382</v>
      </c>
      <c r="AC179" s="166">
        <f t="array" ref="AC179">SUM(IF(FPrevAcct=T179,IF(FPrevProd=S177,FPrev5)))</f>
        <v>3548515</v>
      </c>
      <c r="AD179" s="166">
        <f t="array" ref="AD179">SUM(IF(FPrevAcct=T179,IF(FPrevProd=S177,FPrev6)))</f>
        <v>3387228</v>
      </c>
      <c r="AE179" s="166">
        <f t="array" ref="AE179">SUM(IF(FPrevAcct=T179,IF(FPrevProd=S177,FPrev7)))</f>
        <v>3260993</v>
      </c>
      <c r="AF179" s="166">
        <f t="array" ref="AF179">SUM(IF(FPrevAcct=T179,IF(FPrevProd=S177,FPrev8)))</f>
        <v>3372436</v>
      </c>
      <c r="AG179" s="166">
        <f t="array" ref="AG179">SUM(IF(FPrevAcct=T179,IF(FPrevProd=S177,FPrev9)))</f>
        <v>3116277</v>
      </c>
      <c r="AH179" s="166">
        <f t="array" ref="AH179">SUM(IF(FPrevAcct=T179,IF(FPrevProd=S177,FPrev10)))</f>
        <v>3180271</v>
      </c>
      <c r="AI179" s="166">
        <f t="array" ref="AI179">SUM(IF(FPrevAcct=T179,IF(FPrevProd=S177,FPrev11)))</f>
        <v>3386578</v>
      </c>
      <c r="AJ179" s="166">
        <f t="array" ref="AJ179">SUM(IF(FPrevAcct=T179,IF(FPrevProd=S177,FPrev12)))</f>
        <v>3627381</v>
      </c>
      <c r="AK179" s="166">
        <f t="shared" si="11"/>
        <v>41899034</v>
      </c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  <c r="BA179" s="94"/>
      <c r="BB179" s="94"/>
      <c r="BC179" s="94"/>
    </row>
    <row r="180" spans="1:55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>
        <f>T96</f>
        <v>444000</v>
      </c>
      <c r="U180" s="126">
        <v>5</v>
      </c>
      <c r="V180" s="94"/>
      <c r="W180" s="198" t="s">
        <v>1490</v>
      </c>
      <c r="X180" s="94"/>
      <c r="Y180" s="166">
        <f t="array" ref="Y180">SUM(IF(FPrevAcct=T180,IF(FPrevProd=S177,FPrev1)))</f>
        <v>110558</v>
      </c>
      <c r="Z180" s="166">
        <f t="array" ref="Z180">SUM(IF(FPrevAcct=T180,IF(FPrevProd=S177,FPrev2)))</f>
        <v>76908</v>
      </c>
      <c r="AA180" s="166">
        <f t="array" ref="AA180">SUM(IF(FPrevAcct=T180,IF(FPrevProd=S177,FPrev3)))</f>
        <v>133243</v>
      </c>
      <c r="AB180" s="166">
        <f t="array" ref="AB180">SUM(IF(FPrevAcct=T180,IF(FPrevProd=S177,FPrev4)))</f>
        <v>101280</v>
      </c>
      <c r="AC180" s="166">
        <f t="array" ref="AC180">SUM(IF(FPrevAcct=T180,IF(FPrevProd=S177,FPrev5)))</f>
        <v>113280</v>
      </c>
      <c r="AD180" s="166">
        <f t="array" ref="AD180">SUM(IF(FPrevAcct=T180,IF(FPrevProd=S177,FPrev6)))</f>
        <v>100114</v>
      </c>
      <c r="AE180" s="166">
        <f t="array" ref="AE180">SUM(IF(FPrevAcct=T180,IF(FPrevProd=S177,FPrev7)))</f>
        <v>108291</v>
      </c>
      <c r="AF180" s="166">
        <f t="array" ref="AF180">SUM(IF(FPrevAcct=T180,IF(FPrevProd=S177,FPrev8)))</f>
        <v>104277</v>
      </c>
      <c r="AG180" s="166">
        <f t="array" ref="AG180">SUM(IF(FPrevAcct=T180,IF(FPrevProd=S177,FPrev9)))</f>
        <v>103882</v>
      </c>
      <c r="AH180" s="166">
        <f t="array" ref="AH180">SUM(IF(FPrevAcct=T180,IF(FPrevProd=S177,FPrev10)))</f>
        <v>101237</v>
      </c>
      <c r="AI180" s="166">
        <f t="array" ref="AI180">SUM(IF(FPrevAcct=T180,IF(FPrevProd=S177,FPrev11)))</f>
        <v>98653</v>
      </c>
      <c r="AJ180" s="166">
        <f t="array" ref="AJ180">SUM(IF(FPrevAcct=T180,IF(FPrevProd=S177,FPrev12)))</f>
        <v>116299</v>
      </c>
      <c r="AK180" s="166">
        <f t="shared" si="11"/>
        <v>1268022</v>
      </c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  <c r="BA180" s="94"/>
      <c r="BB180" s="94"/>
      <c r="BC180" s="94"/>
    </row>
    <row r="181" spans="1:55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>
        <f>T97</f>
        <v>445000</v>
      </c>
      <c r="U181" s="126">
        <v>6</v>
      </c>
      <c r="V181" s="94"/>
      <c r="W181" s="198" t="s">
        <v>1491</v>
      </c>
      <c r="X181" s="94"/>
      <c r="Y181" s="166">
        <f t="array" ref="Y181">SUM(IF(FPrevAcct=T181,IF(FPrevProd=S177,FPrev1)))</f>
        <v>1533078</v>
      </c>
      <c r="Z181" s="166">
        <f t="array" ref="Z181">SUM(IF(FPrevAcct=T181,IF(FPrevProd=S177,FPrev2)))</f>
        <v>1511876</v>
      </c>
      <c r="AA181" s="166">
        <f t="array" ref="AA181">SUM(IF(FPrevAcct=T181,IF(FPrevProd=S177,FPrev3)))</f>
        <v>1535223</v>
      </c>
      <c r="AB181" s="166">
        <f t="array" ref="AB181">SUM(IF(FPrevAcct=T181,IF(FPrevProd=S177,FPrev4)))</f>
        <v>1366330</v>
      </c>
      <c r="AC181" s="166">
        <f t="array" ref="AC181">SUM(IF(FPrevAcct=T181,IF(FPrevProd=S177,FPrev5)))</f>
        <v>1223188</v>
      </c>
      <c r="AD181" s="166">
        <f t="array" ref="AD181">SUM(IF(FPrevAcct=T181,IF(FPrevProd=S177,FPrev6)))</f>
        <v>1384120</v>
      </c>
      <c r="AE181" s="166">
        <f t="array" ref="AE181">SUM(IF(FPrevAcct=T181,IF(FPrevProd=S177,FPrev7)))</f>
        <v>1374061</v>
      </c>
      <c r="AF181" s="166">
        <f t="array" ref="AF181">SUM(IF(FPrevAcct=T181,IF(FPrevProd=S177,FPrev8)))</f>
        <v>1513502</v>
      </c>
      <c r="AG181" s="166">
        <f t="array" ref="AG181">SUM(IF(FPrevAcct=T181,IF(FPrevProd=S177,FPrev9)))</f>
        <v>1183746</v>
      </c>
      <c r="AH181" s="166">
        <f t="array" ref="AH181">SUM(IF(FPrevAcct=T181,IF(FPrevProd=S177,FPrev10)))</f>
        <v>1157084</v>
      </c>
      <c r="AI181" s="166">
        <f t="array" ref="AI181">SUM(IF(FPrevAcct=T181,IF(FPrevProd=S177,FPrev11)))</f>
        <v>1278097</v>
      </c>
      <c r="AJ181" s="166">
        <f t="array" ref="AJ181">SUM(IF(FPrevAcct=T181,IF(FPrevProd=S177,FPrev12)))</f>
        <v>1420437</v>
      </c>
      <c r="AK181" s="166">
        <f t="shared" si="11"/>
        <v>16480742</v>
      </c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  <c r="BA181" s="94"/>
      <c r="BB181" s="94"/>
      <c r="BC181" s="94"/>
    </row>
    <row r="182" spans="1:55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>
        <f>T98</f>
        <v>448000</v>
      </c>
      <c r="U182" s="126">
        <v>7</v>
      </c>
      <c r="V182" s="94"/>
      <c r="W182" s="198" t="s">
        <v>1492</v>
      </c>
      <c r="X182" s="94"/>
      <c r="Y182" s="166">
        <f>VLOOKUP($T$182,FPERIOD,6,FALSE)-Y197-Y205</f>
        <v>974</v>
      </c>
      <c r="Z182" s="166">
        <f>VLOOKUP(T182,FPERIOD,7,FALSE)-Z197-Z205</f>
        <v>1006</v>
      </c>
      <c r="AA182" s="166">
        <f>VLOOKUP(T182,FPERIOD,8,FALSE)-AA197-AA205</f>
        <v>1073</v>
      </c>
      <c r="AB182" s="166">
        <f>VLOOKUP(T182,FPERIOD,9,FALSE)-AB197-AB205</f>
        <v>1050</v>
      </c>
      <c r="AC182" s="166">
        <f>VLOOKUP(T182,FPERIOD,10,FALSE)-AC197-AC205</f>
        <v>1071</v>
      </c>
      <c r="AD182" s="166">
        <f>VLOOKUP(T182,FPERIOD,11,FALSE)-AD197-AD205</f>
        <v>2022</v>
      </c>
      <c r="AE182" s="166">
        <f>VLOOKUP(T182,FPERIOD,12,FALSE)-AE197-AE205</f>
        <v>4445</v>
      </c>
      <c r="AF182" s="166">
        <f>VLOOKUP(T182,FPERIOD,13,FALSE)-AF197-AF205</f>
        <v>3813</v>
      </c>
      <c r="AG182" s="166">
        <f>VLOOKUP(T182,FPERIOD,14,FALSE)-AG197-AG205</f>
        <v>2533</v>
      </c>
      <c r="AH182" s="166">
        <f>VLOOKUP(T182,FPERIOD,15,FALSE)-AH197-AH205</f>
        <v>978</v>
      </c>
      <c r="AI182" s="166">
        <f>VLOOKUP(T182,FPERIOD,16,FALSE)-AI197-AI205</f>
        <v>1009</v>
      </c>
      <c r="AJ182" s="166">
        <f>VLOOKUP(T182,FPERIOD,17,FALSE)-AJ197-AJ205</f>
        <v>1060</v>
      </c>
      <c r="AK182" s="166">
        <f t="shared" si="11"/>
        <v>21034</v>
      </c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  <c r="BA182" s="94"/>
      <c r="BB182" s="94"/>
      <c r="BC182" s="94"/>
    </row>
    <row r="183" spans="1:55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126">
        <v>8</v>
      </c>
      <c r="V183" s="94"/>
      <c r="W183" s="94"/>
      <c r="X183" s="94"/>
      <c r="Y183" s="199"/>
      <c r="Z183" s="199"/>
      <c r="AA183" s="199"/>
      <c r="AB183" s="199"/>
      <c r="AC183" s="199"/>
      <c r="AD183" s="199"/>
      <c r="AE183" s="199"/>
      <c r="AF183" s="199"/>
      <c r="AG183" s="199"/>
      <c r="AH183" s="199"/>
      <c r="AI183" s="199"/>
      <c r="AJ183" s="199"/>
      <c r="AK183" s="166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  <c r="BA183" s="94"/>
      <c r="BB183" s="94"/>
      <c r="BC183" s="94"/>
    </row>
    <row r="184" spans="1:55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126">
        <v>9</v>
      </c>
      <c r="V184" s="94"/>
      <c r="W184" s="127" t="s">
        <v>1493</v>
      </c>
      <c r="X184" s="94"/>
      <c r="Y184" s="199"/>
      <c r="Z184" s="199"/>
      <c r="AA184" s="199"/>
      <c r="AB184" s="199"/>
      <c r="AC184" s="199"/>
      <c r="AD184" s="199"/>
      <c r="AE184" s="199"/>
      <c r="AF184" s="199"/>
      <c r="AG184" s="199"/>
      <c r="AH184" s="199"/>
      <c r="AI184" s="199"/>
      <c r="AJ184" s="199"/>
      <c r="AK184" s="166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  <c r="BA184" s="94"/>
      <c r="BB184" s="94"/>
      <c r="BC184" s="94"/>
    </row>
    <row r="185" spans="1:55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>
        <f>T101</f>
        <v>440990</v>
      </c>
      <c r="U185" s="126">
        <v>10</v>
      </c>
      <c r="V185" s="94"/>
      <c r="W185" s="198" t="s">
        <v>91</v>
      </c>
      <c r="X185" s="94"/>
      <c r="Y185" s="166">
        <f>VLOOKUP(T185,FPERIOD,6,FALSE)</f>
        <v>39246</v>
      </c>
      <c r="Z185" s="166">
        <f>VLOOKUP(T185,FPERIOD,7,FALSE)</f>
        <v>36618</v>
      </c>
      <c r="AA185" s="166">
        <f>VLOOKUP(T185,FPERIOD,8,FALSE)</f>
        <v>-1861921</v>
      </c>
      <c r="AB185" s="166">
        <f>VLOOKUP(T185,FPERIOD,9,FALSE)</f>
        <v>-117079</v>
      </c>
      <c r="AC185" s="166">
        <f>VLOOKUP(T185,FPERIOD,10,FALSE)</f>
        <v>2217107</v>
      </c>
      <c r="AD185" s="166">
        <f>VLOOKUP(T185,FPERIOD,11,FALSE)</f>
        <v>1847111</v>
      </c>
      <c r="AE185" s="166">
        <f>VLOOKUP(T185,FPERIOD,12,FALSE)</f>
        <v>-2023859</v>
      </c>
      <c r="AF185" s="166">
        <f>VLOOKUP(T185,FPERIOD,13,FALSE)</f>
        <v>-304049</v>
      </c>
      <c r="AG185" s="166">
        <f>VLOOKUP(T185,FPERIOD,14,FALSE)</f>
        <v>-2011248</v>
      </c>
      <c r="AH185" s="166">
        <f>VLOOKUP(T185,FPERIOD,15,FALSE)</f>
        <v>-1319225</v>
      </c>
      <c r="AI185" s="166">
        <f>VLOOKUP(T185,FPERIOD,16,FALSE)</f>
        <v>2026219</v>
      </c>
      <c r="AJ185" s="166">
        <f>VLOOKUP(T185,FPERIOD,17,FALSE)</f>
        <v>1757152</v>
      </c>
      <c r="AK185" s="166">
        <f>SUM(Y185:AJ185)</f>
        <v>286072</v>
      </c>
      <c r="AL185" s="94"/>
      <c r="AM185" s="94"/>
      <c r="AN185" s="94"/>
      <c r="AO185" s="94"/>
      <c r="AP185" s="94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  <c r="BA185" s="94"/>
      <c r="BB185" s="94"/>
      <c r="BC185" s="94"/>
    </row>
    <row r="186" spans="1:55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>
        <f>T102</f>
        <v>442190</v>
      </c>
      <c r="U186" s="126">
        <v>11</v>
      </c>
      <c r="V186" s="94"/>
      <c r="W186" s="198" t="s">
        <v>1488</v>
      </c>
      <c r="X186" s="94"/>
      <c r="Y186" s="166">
        <f>VLOOKUP(T186,FPERIOD,6,FALSE)</f>
        <v>-542827</v>
      </c>
      <c r="Z186" s="166">
        <f>VLOOKUP(T186,FPERIOD,7,FALSE)</f>
        <v>459256</v>
      </c>
      <c r="AA186" s="166">
        <f>VLOOKUP(T186,FPERIOD,8,FALSE)</f>
        <v>201384</v>
      </c>
      <c r="AB186" s="166">
        <f>VLOOKUP(T186,FPERIOD,9,FALSE)</f>
        <v>-492352</v>
      </c>
      <c r="AC186" s="166">
        <f>VLOOKUP(T186,FPERIOD,10,FALSE)</f>
        <v>804487</v>
      </c>
      <c r="AD186" s="166">
        <f>VLOOKUP(T186,FPERIOD,11,FALSE)</f>
        <v>-231217</v>
      </c>
      <c r="AE186" s="166">
        <f>VLOOKUP(T186,FPERIOD,12,FALSE)</f>
        <v>-1478804</v>
      </c>
      <c r="AF186" s="166">
        <f>VLOOKUP(T186,FPERIOD,13,FALSE)</f>
        <v>156211</v>
      </c>
      <c r="AG186" s="166">
        <f>VLOOKUP(T186,FPERIOD,14,FALSE)</f>
        <v>-325120</v>
      </c>
      <c r="AH186" s="166">
        <f>VLOOKUP(T186,FPERIOD,15,FALSE)</f>
        <v>-961849</v>
      </c>
      <c r="AI186" s="166">
        <f>VLOOKUP(T186,FPERIOD,16,FALSE)</f>
        <v>1059627</v>
      </c>
      <c r="AJ186" s="166">
        <f>VLOOKUP(T186,FPERIOD,17,FALSE)</f>
        <v>1377087</v>
      </c>
      <c r="AK186" s="166">
        <f>SUM(Y186:AJ186)</f>
        <v>25883</v>
      </c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  <c r="BA186" s="94"/>
      <c r="BB186" s="94"/>
      <c r="BC186" s="94"/>
    </row>
    <row r="187" spans="1:55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>
        <f>T103</f>
        <v>442290</v>
      </c>
      <c r="U187" s="126">
        <v>12</v>
      </c>
      <c r="V187" s="94"/>
      <c r="W187" s="198" t="s">
        <v>1489</v>
      </c>
      <c r="X187" s="94"/>
      <c r="Y187" s="166">
        <f>VLOOKUP(T187,FPERIOD,6,FALSE)</f>
        <v>-6140</v>
      </c>
      <c r="Z187" s="166">
        <f>VLOOKUP(T187,FPERIOD,7,FALSE)</f>
        <v>331786</v>
      </c>
      <c r="AA187" s="166">
        <f>VLOOKUP(T187,FPERIOD,8,FALSE)</f>
        <v>-62736</v>
      </c>
      <c r="AB187" s="166">
        <f>VLOOKUP(T187,FPERIOD,9,FALSE)</f>
        <v>6357</v>
      </c>
      <c r="AC187" s="166">
        <f>VLOOKUP(T187,FPERIOD,10,FALSE)</f>
        <v>272142</v>
      </c>
      <c r="AD187" s="166">
        <f>VLOOKUP(T187,FPERIOD,11,FALSE)</f>
        <v>-164272</v>
      </c>
      <c r="AE187" s="166">
        <f>VLOOKUP(T187,FPERIOD,12,FALSE)</f>
        <v>-728083</v>
      </c>
      <c r="AF187" s="166">
        <f>VLOOKUP(T187,FPERIOD,13,FALSE)</f>
        <v>-307112</v>
      </c>
      <c r="AG187" s="166">
        <f>VLOOKUP(T187,FPERIOD,14,FALSE)</f>
        <v>223118</v>
      </c>
      <c r="AH187" s="166">
        <f>VLOOKUP(T187,FPERIOD,15,FALSE)</f>
        <v>-71920</v>
      </c>
      <c r="AI187" s="166">
        <f>VLOOKUP(T187,FPERIOD,16,FALSE)</f>
        <v>415961</v>
      </c>
      <c r="AJ187" s="166">
        <f>VLOOKUP(T187,FPERIOD,17,FALSE)</f>
        <v>80817</v>
      </c>
      <c r="AK187" s="166">
        <f>SUM(Y187:AJ187)</f>
        <v>-10082</v>
      </c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  <c r="BA187" s="94"/>
      <c r="BB187" s="94"/>
      <c r="BC187" s="94"/>
    </row>
    <row r="188" spans="1:55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126">
        <v>13</v>
      </c>
      <c r="V188" s="94"/>
      <c r="W188" s="198" t="s">
        <v>1490</v>
      </c>
      <c r="X188" s="94"/>
      <c r="Y188" s="199">
        <v>0</v>
      </c>
      <c r="Z188" s="199">
        <v>0</v>
      </c>
      <c r="AA188" s="199">
        <v>0</v>
      </c>
      <c r="AB188" s="199">
        <v>0</v>
      </c>
      <c r="AC188" s="199">
        <v>0</v>
      </c>
      <c r="AD188" s="199">
        <v>0</v>
      </c>
      <c r="AE188" s="199">
        <v>0</v>
      </c>
      <c r="AF188" s="199">
        <v>0</v>
      </c>
      <c r="AG188" s="199">
        <v>0</v>
      </c>
      <c r="AH188" s="199">
        <v>0</v>
      </c>
      <c r="AI188" s="199">
        <v>0</v>
      </c>
      <c r="AJ188" s="199">
        <v>0</v>
      </c>
      <c r="AK188" s="166">
        <f>SUM(Y188:AJ188)</f>
        <v>0</v>
      </c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  <c r="BA188" s="94"/>
      <c r="BB188" s="94"/>
      <c r="BC188" s="94"/>
    </row>
    <row r="189" spans="1:55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>
        <f>T105</f>
        <v>445090</v>
      </c>
      <c r="U189" s="126">
        <v>14</v>
      </c>
      <c r="V189" s="94"/>
      <c r="W189" s="198" t="s">
        <v>1491</v>
      </c>
      <c r="X189" s="94"/>
      <c r="Y189" s="166">
        <f>VLOOKUP(T189,FPERIOD,6,FALSE)</f>
        <v>-64533</v>
      </c>
      <c r="Z189" s="166">
        <f>VLOOKUP(T189,FPERIOD,7,FALSE)</f>
        <v>84305</v>
      </c>
      <c r="AA189" s="166">
        <f>VLOOKUP(T189,FPERIOD,8,FALSE)</f>
        <v>-66481</v>
      </c>
      <c r="AB189" s="166">
        <f>VLOOKUP(T189,FPERIOD,9,FALSE)</f>
        <v>28369</v>
      </c>
      <c r="AC189" s="166">
        <f>VLOOKUP(T189,FPERIOD,10,FALSE)</f>
        <v>187237</v>
      </c>
      <c r="AD189" s="166">
        <f>VLOOKUP(T189,FPERIOD,11,FALSE)</f>
        <v>-91086</v>
      </c>
      <c r="AE189" s="166">
        <f>VLOOKUP(T189,FPERIOD,12,FALSE)</f>
        <v>-302259</v>
      </c>
      <c r="AF189" s="166">
        <f>VLOOKUP(T189,FPERIOD,13,FALSE)</f>
        <v>-113757</v>
      </c>
      <c r="AG189" s="166">
        <f>VLOOKUP(T189,FPERIOD,14,FALSE)</f>
        <v>-59782</v>
      </c>
      <c r="AH189" s="166">
        <f>VLOOKUP(T189,FPERIOD,15,FALSE)</f>
        <v>268420</v>
      </c>
      <c r="AI189" s="166">
        <f>VLOOKUP(T189,FPERIOD,16,FALSE)</f>
        <v>60239</v>
      </c>
      <c r="AJ189" s="166">
        <f>VLOOKUP(T189,FPERIOD,17,FALSE)</f>
        <v>98243</v>
      </c>
      <c r="AK189" s="166">
        <f>SUM(Y189:AJ189)</f>
        <v>28915</v>
      </c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  <c r="BA189" s="94"/>
      <c r="BB189" s="94"/>
      <c r="BC189" s="94"/>
    </row>
    <row r="190" spans="1:55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126">
        <v>15</v>
      </c>
      <c r="V190" s="94"/>
      <c r="W190" s="94"/>
      <c r="X190" s="94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  <c r="BA190" s="94"/>
      <c r="BB190" s="94"/>
      <c r="BC190" s="94"/>
    </row>
    <row r="191" spans="1:55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 t="str">
        <f>S107</f>
        <v>BEFREV</v>
      </c>
      <c r="T191" s="94"/>
      <c r="U191" s="126">
        <v>16</v>
      </c>
      <c r="V191" s="94"/>
      <c r="W191" s="127" t="s">
        <v>1494</v>
      </c>
      <c r="X191" s="94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  <c r="BA191" s="94"/>
      <c r="BB191" s="94"/>
      <c r="BC191" s="94"/>
    </row>
    <row r="192" spans="1:55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>
        <f>T108</f>
        <v>440000</v>
      </c>
      <c r="U192" s="126">
        <v>17</v>
      </c>
      <c r="V192" s="94"/>
      <c r="W192" s="198" t="s">
        <v>91</v>
      </c>
      <c r="X192" s="94"/>
      <c r="Y192" s="166">
        <f t="array" ref="Y192">SUM(IF(FPrevAcct=T192,IF(FPrevProd=S191,FPrev1)))</f>
        <v>5092559</v>
      </c>
      <c r="Z192" s="166">
        <f t="array" ref="Z192">SUM(IF(FPrevAcct=T192,IF(FPrevProd=S191,FPrev2)))</f>
        <v>5230959</v>
      </c>
      <c r="AA192" s="166">
        <f t="array" ref="AA192">SUM(IF(FPrevAcct=T192,IF(FPrevProd=S191,FPrev3)))</f>
        <v>4722124</v>
      </c>
      <c r="AB192" s="166">
        <f t="array" ref="AB192">SUM(IF(FPrevAcct=T192,IF(FPrevProd=S191,FPrev4)))</f>
        <v>3299529</v>
      </c>
      <c r="AC192" s="166">
        <f t="array" ref="AC192">SUM(IF(FPrevAcct=T192,IF(FPrevProd=S191,FPrev5)))</f>
        <v>3238123</v>
      </c>
      <c r="AD192" s="166">
        <f t="array" ref="AD192">SUM(IF(FPrevAcct=T192,IF(FPrevProd=S191,FPrev6)))</f>
        <v>4626323</v>
      </c>
      <c r="AE192" s="166">
        <f t="array" ref="AE192">SUM(IF(FPrevAcct=T192,IF(FPrevProd=S191,FPrev7)))</f>
        <v>5505633</v>
      </c>
      <c r="AF192" s="166">
        <f t="array" ref="AF192">SUM(IF(FPrevAcct=T192,IF(FPrevProd=S191,FPrev8)))</f>
        <v>4783424</v>
      </c>
      <c r="AG192" s="166">
        <f t="array" ref="AG192">SUM(IF(FPrevAcct=T192,IF(FPrevProd=S191,FPrev9)))</f>
        <v>4534748</v>
      </c>
      <c r="AH192" s="166">
        <f t="array" ref="AH192">SUM(IF(FPrevAcct=T192,IF(FPrevProd=S191,FPrev10)))</f>
        <v>3708733</v>
      </c>
      <c r="AI192" s="166">
        <f t="array" ref="AI192">SUM(IF(FPrevAcct=T192,IF(FPrevProd=S191,FPrev11)))</f>
        <v>2908510</v>
      </c>
      <c r="AJ192" s="166">
        <f t="array" ref="AJ192">SUM(IF(FPrevAcct=T192,IF(FPrevProd=S191,FPrev12)))</f>
        <v>3998235</v>
      </c>
      <c r="AK192" s="166">
        <f t="shared" ref="AK192:AK197" si="12">SUM(Y192:AJ192)</f>
        <v>51648900</v>
      </c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  <c r="BA192" s="94"/>
      <c r="BB192" s="94"/>
      <c r="BC192" s="94"/>
    </row>
    <row r="193" spans="1:55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>
        <f>T109</f>
        <v>442100</v>
      </c>
      <c r="U193" s="126">
        <v>18</v>
      </c>
      <c r="V193" s="94"/>
      <c r="W193" s="198" t="s">
        <v>1488</v>
      </c>
      <c r="X193" s="94"/>
      <c r="Y193" s="166">
        <f t="array" ref="Y193">SUM(IF(FPrevAcct=T193,IF(FPrevProd=S191,FPrev1)))</f>
        <v>4573674</v>
      </c>
      <c r="Z193" s="166">
        <f t="array" ref="Z193">SUM(IF(FPrevAcct=T193,IF(FPrevProd=S191,FPrev2)))</f>
        <v>4427086</v>
      </c>
      <c r="AA193" s="166">
        <f t="array" ref="AA193">SUM(IF(FPrevAcct=T193,IF(FPrevProd=S191,FPrev3)))</f>
        <v>4373186</v>
      </c>
      <c r="AB193" s="166">
        <f t="array" ref="AB193">SUM(IF(FPrevAcct=T193,IF(FPrevProd=S191,FPrev4)))</f>
        <v>3901011</v>
      </c>
      <c r="AC193" s="166">
        <f t="array" ref="AC193">SUM(IF(FPrevAcct=T193,IF(FPrevProd=S191,FPrev5)))</f>
        <v>3667639</v>
      </c>
      <c r="AD193" s="166">
        <f t="array" ref="AD193">SUM(IF(FPrevAcct=T193,IF(FPrevProd=S191,FPrev6)))</f>
        <v>4064455</v>
      </c>
      <c r="AE193" s="166">
        <f t="array" ref="AE193">SUM(IF(FPrevAcct=T193,IF(FPrevProd=S191,FPrev7)))</f>
        <v>4211860</v>
      </c>
      <c r="AF193" s="166">
        <f t="array" ref="AF193">SUM(IF(FPrevAcct=T193,IF(FPrevProd=S191,FPrev8)))</f>
        <v>3639590</v>
      </c>
      <c r="AG193" s="166">
        <f t="array" ref="AG193">SUM(IF(FPrevAcct=T193,IF(FPrevProd=S191,FPrev9)))</f>
        <v>3945394</v>
      </c>
      <c r="AH193" s="166">
        <f t="array" ref="AH193">SUM(IF(FPrevAcct=T193,IF(FPrevProd=S191,FPrev10)))</f>
        <v>3895549</v>
      </c>
      <c r="AI193" s="166">
        <f t="array" ref="AI193">SUM(IF(FPrevAcct=T193,IF(FPrevProd=S191,FPrev11)))</f>
        <v>3506857</v>
      </c>
      <c r="AJ193" s="166">
        <f t="array" ref="AJ193">SUM(IF(FPrevAcct=T193,IF(FPrevProd=S191,FPrev12)))</f>
        <v>4096101</v>
      </c>
      <c r="AK193" s="166">
        <f t="shared" si="12"/>
        <v>48302402</v>
      </c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  <c r="BA193" s="94"/>
      <c r="BB193" s="94"/>
      <c r="BC193" s="94"/>
    </row>
    <row r="194" spans="1:55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>
        <f>T110</f>
        <v>442200</v>
      </c>
      <c r="U194" s="126">
        <v>19</v>
      </c>
      <c r="V194" s="94"/>
      <c r="W194" s="198" t="s">
        <v>1489</v>
      </c>
      <c r="X194" s="94"/>
      <c r="Y194" s="166">
        <f t="array" ref="Y194">SUM(IF(FPrevAcct=T194,IF(FPrevProd=S191,FPrev1)))</f>
        <v>2223932</v>
      </c>
      <c r="Z194" s="166">
        <f t="array" ref="Z194">SUM(IF(FPrevAcct=T194,IF(FPrevProd=S191,FPrev2)))</f>
        <v>2266538</v>
      </c>
      <c r="AA194" s="166">
        <f t="array" ref="AA194">SUM(IF(FPrevAcct=T194,IF(FPrevProd=S191,FPrev3)))</f>
        <v>2273000</v>
      </c>
      <c r="AB194" s="166">
        <f t="array" ref="AB194">SUM(IF(FPrevAcct=T194,IF(FPrevProd=S191,FPrev4)))</f>
        <v>2061262</v>
      </c>
      <c r="AC194" s="166">
        <f t="array" ref="AC194">SUM(IF(FPrevAcct=T194,IF(FPrevProd=S191,FPrev5)))</f>
        <v>2066236</v>
      </c>
      <c r="AD194" s="166">
        <f t="array" ref="AD194">SUM(IF(FPrevAcct=T194,IF(FPrevProd=S191,FPrev6)))</f>
        <v>2107184</v>
      </c>
      <c r="AE194" s="166">
        <f t="array" ref="AE194">SUM(IF(FPrevAcct=T194,IF(FPrevProd=S191,FPrev7)))</f>
        <v>2036119</v>
      </c>
      <c r="AF194" s="166">
        <f t="array" ref="AF194">SUM(IF(FPrevAcct=T194,IF(FPrevProd=S191,FPrev8)))</f>
        <v>1996531</v>
      </c>
      <c r="AG194" s="166">
        <f t="array" ref="AG194">SUM(IF(FPrevAcct=T194,IF(FPrevProd=S191,FPrev9)))</f>
        <v>1962526</v>
      </c>
      <c r="AH194" s="166">
        <f t="array" ref="AH194">SUM(IF(FPrevAcct=T194,IF(FPrevProd=S191,FPrev10)))</f>
        <v>1997491</v>
      </c>
      <c r="AI194" s="166">
        <f t="array" ref="AI194">SUM(IF(FPrevAcct=T194,IF(FPrevProd=S191,FPrev11)))</f>
        <v>1976882</v>
      </c>
      <c r="AJ194" s="166">
        <f t="array" ref="AJ194">SUM(IF(FPrevAcct=T194,IF(FPrevProd=S191,FPrev12)))</f>
        <v>2110906</v>
      </c>
      <c r="AK194" s="166">
        <f t="shared" si="12"/>
        <v>25078607</v>
      </c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  <c r="BA194" s="94"/>
      <c r="BB194" s="94"/>
      <c r="BC194" s="94"/>
    </row>
    <row r="195" spans="1:55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>
        <f>T111</f>
        <v>444000</v>
      </c>
      <c r="U195" s="126">
        <v>20</v>
      </c>
      <c r="V195" s="94"/>
      <c r="W195" s="198" t="s">
        <v>1490</v>
      </c>
      <c r="X195" s="94"/>
      <c r="Y195" s="166">
        <f t="array" ref="Y195">SUM(IF(FPrevAcct=T195,IF(FPrevProd=S191,FPrev1)))</f>
        <v>36286</v>
      </c>
      <c r="Z195" s="166">
        <f t="array" ref="Z195">SUM(IF(FPrevAcct=T195,IF(FPrevProd=S191,FPrev2)))</f>
        <v>25356</v>
      </c>
      <c r="AA195" s="166">
        <f t="array" ref="AA195">SUM(IF(FPrevAcct=T195,IF(FPrevProd=S191,FPrev3)))</f>
        <v>44896</v>
      </c>
      <c r="AB195" s="166">
        <f t="array" ref="AB195">SUM(IF(FPrevAcct=T195,IF(FPrevProd=S191,FPrev4)))</f>
        <v>33520</v>
      </c>
      <c r="AC195" s="166">
        <f t="array" ref="AC195">SUM(IF(FPrevAcct=T195,IF(FPrevProd=S191,FPrev5)))</f>
        <v>37372</v>
      </c>
      <c r="AD195" s="166">
        <f t="array" ref="AD195">SUM(IF(FPrevAcct=T195,IF(FPrevProd=S191,FPrev6)))</f>
        <v>34129</v>
      </c>
      <c r="AE195" s="166">
        <f t="array" ref="AE195">SUM(IF(FPrevAcct=T195,IF(FPrevProd=S191,FPrev7)))</f>
        <v>37129</v>
      </c>
      <c r="AF195" s="166">
        <f t="array" ref="AF195">SUM(IF(FPrevAcct=T195,IF(FPrevProd=S191,FPrev8)))</f>
        <v>34925</v>
      </c>
      <c r="AG195" s="166">
        <f t="array" ref="AG195">SUM(IF(FPrevAcct=T195,IF(FPrevProd=S191,FPrev9)))</f>
        <v>34994</v>
      </c>
      <c r="AH195" s="166">
        <f t="array" ref="AH195">SUM(IF(FPrevAcct=T195,IF(FPrevProd=S191,FPrev10)))</f>
        <v>33897</v>
      </c>
      <c r="AI195" s="166">
        <f t="array" ref="AI195">SUM(IF(FPrevAcct=T195,IF(FPrevProd=S191,FPrev11)))</f>
        <v>32236</v>
      </c>
      <c r="AJ195" s="166">
        <f t="array" ref="AJ195">SUM(IF(FPrevAcct=T195,IF(FPrevProd=S191,FPrev12)))</f>
        <v>37990</v>
      </c>
      <c r="AK195" s="166">
        <f t="shared" si="12"/>
        <v>422730</v>
      </c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  <c r="BA195" s="94"/>
      <c r="BB195" s="94"/>
      <c r="BC195" s="94"/>
    </row>
    <row r="196" spans="1:55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>
        <f>T112</f>
        <v>445000</v>
      </c>
      <c r="U196" s="126">
        <v>21</v>
      </c>
      <c r="V196" s="94"/>
      <c r="W196" s="198" t="s">
        <v>1491</v>
      </c>
      <c r="X196" s="94"/>
      <c r="Y196" s="166">
        <f t="array" ref="Y196">SUM(IF(FPrevAcct=T196,IF(FPrevProd=S191,FPrev1)))</f>
        <v>751580</v>
      </c>
      <c r="Z196" s="166">
        <f t="array" ref="Z196">SUM(IF(FPrevAcct=T196,IF(FPrevProd=S191,FPrev2)))</f>
        <v>787667</v>
      </c>
      <c r="AA196" s="166">
        <f t="array" ref="AA196">SUM(IF(FPrevAcct=T196,IF(FPrevProd=S191,FPrev3)))</f>
        <v>819223</v>
      </c>
      <c r="AB196" s="166">
        <f t="array" ref="AB196">SUM(IF(FPrevAcct=T196,IF(FPrevProd=S191,FPrev4)))</f>
        <v>730146</v>
      </c>
      <c r="AC196" s="166">
        <f t="array" ref="AC196">SUM(IF(FPrevAcct=T196,IF(FPrevProd=S191,FPrev5)))</f>
        <v>636204</v>
      </c>
      <c r="AD196" s="166">
        <f t="array" ref="AD196">SUM(IF(FPrevAcct=T196,IF(FPrevProd=S191,FPrev6)))</f>
        <v>731430</v>
      </c>
      <c r="AE196" s="166">
        <f t="array" ref="AE196">SUM(IF(FPrevAcct=T196,IF(FPrevProd=S191,FPrev7)))</f>
        <v>742925</v>
      </c>
      <c r="AF196" s="166">
        <f t="array" ref="AF196">SUM(IF(FPrevAcct=T196,IF(FPrevProd=S191,FPrev8)))</f>
        <v>728874</v>
      </c>
      <c r="AG196" s="166">
        <f t="array" ref="AG196">SUM(IF(FPrevAcct=T196,IF(FPrevProd=S191,FPrev9)))</f>
        <v>685422</v>
      </c>
      <c r="AH196" s="166">
        <f t="array" ref="AH196">SUM(IF(FPrevAcct=T196,IF(FPrevProd=S191,FPrev10)))</f>
        <v>573131</v>
      </c>
      <c r="AI196" s="166">
        <f t="array" ref="AI196">SUM(IF(FPrevAcct=T196,IF(FPrevProd=S191,FPrev11)))</f>
        <v>614100</v>
      </c>
      <c r="AJ196" s="166">
        <f t="array" ref="AJ196">SUM(IF(FPrevAcct=T196,IF(FPrevProd=S191,FPrev12)))</f>
        <v>666004</v>
      </c>
      <c r="AK196" s="166">
        <f t="shared" si="12"/>
        <v>8466706</v>
      </c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  <c r="BA196" s="94"/>
      <c r="BB196" s="94"/>
      <c r="BC196" s="94"/>
    </row>
    <row r="197" spans="1:55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126">
        <v>22</v>
      </c>
      <c r="V197" s="94"/>
      <c r="W197" s="198" t="s">
        <v>1492</v>
      </c>
      <c r="X197" s="94"/>
      <c r="Y197" s="199">
        <v>528</v>
      </c>
      <c r="Z197" s="199">
        <v>528</v>
      </c>
      <c r="AA197" s="199">
        <v>528</v>
      </c>
      <c r="AB197" s="199">
        <v>528</v>
      </c>
      <c r="AC197" s="199">
        <v>528</v>
      </c>
      <c r="AD197" s="199">
        <v>1012</v>
      </c>
      <c r="AE197" s="199">
        <v>2561</v>
      </c>
      <c r="AF197" s="199">
        <v>2005</v>
      </c>
      <c r="AG197" s="199">
        <v>1308</v>
      </c>
      <c r="AH197" s="199">
        <v>528</v>
      </c>
      <c r="AI197" s="199">
        <v>528</v>
      </c>
      <c r="AJ197" s="199">
        <v>528</v>
      </c>
      <c r="AK197" s="166">
        <f t="shared" si="12"/>
        <v>11110</v>
      </c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  <c r="BA197" s="94"/>
      <c r="BB197" s="94"/>
      <c r="BC197" s="94"/>
    </row>
    <row r="198" spans="1:55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126">
        <v>23</v>
      </c>
      <c r="V198" s="94"/>
      <c r="W198" s="94"/>
      <c r="X198" s="94"/>
      <c r="Y198" s="166"/>
      <c r="Z198" s="166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  <c r="BA198" s="94"/>
      <c r="BB198" s="94"/>
      <c r="BC198" s="94"/>
    </row>
    <row r="199" spans="1:55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 t="str">
        <f>S115</f>
        <v>REFC</v>
      </c>
      <c r="T199" s="94"/>
      <c r="U199" s="126">
        <v>24</v>
      </c>
      <c r="V199" s="94"/>
      <c r="W199" s="127" t="s">
        <v>1495</v>
      </c>
      <c r="X199" s="94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  <c r="BA199" s="94"/>
      <c r="BB199" s="94"/>
      <c r="BC199" s="94"/>
    </row>
    <row r="200" spans="1:55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>
        <f>T116</f>
        <v>440000</v>
      </c>
      <c r="U200" s="126">
        <v>25</v>
      </c>
      <c r="V200" s="94"/>
      <c r="W200" s="198" t="s">
        <v>91</v>
      </c>
      <c r="X200" s="94"/>
      <c r="Y200" s="166">
        <f t="array" ref="Y200">SUM(IF(FPrevAcct=T200,IF(FPrevProd=S199,FPrev1)))</f>
        <v>145286</v>
      </c>
      <c r="Z200" s="166">
        <f t="array" ref="Z200">SUM(IF(FPrevAcct=T200,IF(FPrevProd=S199,FPrev2)))</f>
        <v>121004</v>
      </c>
      <c r="AA200" s="166">
        <f t="array" ref="AA200">SUM(IF(FPrevAcct=T200,IF(FPrevProd=S199,FPrev3)))</f>
        <v>344618</v>
      </c>
      <c r="AB200" s="166">
        <f t="array" ref="AB200">SUM(IF(FPrevAcct=T200,IF(FPrevProd=S199,FPrev4)))</f>
        <v>190720</v>
      </c>
      <c r="AC200" s="166">
        <f t="array" ref="AC200">SUM(IF(FPrevAcct=T200,IF(FPrevProd=S199,FPrev5)))</f>
        <v>959934</v>
      </c>
      <c r="AD200" s="166">
        <f t="array" ref="AD200">SUM(IF(FPrevAcct=T200,IF(FPrevProd=S199,FPrev6)))</f>
        <v>1678374</v>
      </c>
      <c r="AE200" s="166">
        <f t="array" ref="AE200">SUM(IF(FPrevAcct=T200,IF(FPrevProd=S199,FPrev7)))</f>
        <v>1473040</v>
      </c>
      <c r="AF200" s="166">
        <f t="array" ref="AF200">SUM(IF(FPrevAcct=T200,IF(FPrevProd=S199,FPrev8)))</f>
        <v>115551</v>
      </c>
      <c r="AG200" s="166">
        <f t="array" ref="AG200">SUM(IF(FPrevAcct=T200,IF(FPrevProd=S199,FPrev9)))</f>
        <v>77210</v>
      </c>
      <c r="AH200" s="166">
        <f t="array" ref="AH200">SUM(IF(FPrevAcct=T200,IF(FPrevProd=S199,FPrev10)))</f>
        <v>-38356</v>
      </c>
      <c r="AI200" s="166">
        <f t="array" ref="AI200">SUM(IF(FPrevAcct=T200,IF(FPrevProd=S199,FPrev11)))</f>
        <v>124584</v>
      </c>
      <c r="AJ200" s="166">
        <f t="array" ref="AJ200">SUM(IF(FPrevAcct=T200,IF(FPrevProd=S199,FPrev12)))</f>
        <v>19459</v>
      </c>
      <c r="AK200" s="166">
        <f t="shared" ref="AK200:AK205" si="13">SUM(Y200:AJ200)</f>
        <v>5211424</v>
      </c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  <c r="BA200" s="94"/>
      <c r="BB200" s="94"/>
      <c r="BC200" s="94"/>
    </row>
    <row r="201" spans="1:55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>
        <f>T117</f>
        <v>442100</v>
      </c>
      <c r="U201" s="126">
        <v>26</v>
      </c>
      <c r="V201" s="94"/>
      <c r="W201" s="198" t="s">
        <v>1488</v>
      </c>
      <c r="X201" s="94"/>
      <c r="Y201" s="166">
        <f t="array" ref="Y201">SUM(IF(FPrevAcct=T201,IF(FPrevProd=S199,FPrev1)))</f>
        <v>130483</v>
      </c>
      <c r="Z201" s="166">
        <f t="array" ref="Z201">SUM(IF(FPrevAcct=T201,IF(FPrevProd=S199,FPrev2)))</f>
        <v>102409</v>
      </c>
      <c r="AA201" s="166">
        <f t="array" ref="AA201">SUM(IF(FPrevAcct=T201,IF(FPrevProd=S199,FPrev3)))</f>
        <v>319152</v>
      </c>
      <c r="AB201" s="166">
        <f t="array" ref="AB201">SUM(IF(FPrevAcct=T201,IF(FPrevProd=S199,FPrev4)))</f>
        <v>225487</v>
      </c>
      <c r="AC201" s="166">
        <f t="array" ref="AC201">SUM(IF(FPrevAcct=T201,IF(FPrevProd=S199,FPrev5)))</f>
        <v>1087263</v>
      </c>
      <c r="AD201" s="166">
        <f t="array" ref="AD201">SUM(IF(FPrevAcct=T201,IF(FPrevProd=S199,FPrev6)))</f>
        <v>1474535</v>
      </c>
      <c r="AE201" s="166">
        <f t="array" ref="AE201">SUM(IF(FPrevAcct=T201,IF(FPrevProd=S199,FPrev7)))</f>
        <v>1126889</v>
      </c>
      <c r="AF201" s="166">
        <f t="array" ref="AF201">SUM(IF(FPrevAcct=T201,IF(FPrevProd=S199,FPrev8)))</f>
        <v>87920</v>
      </c>
      <c r="AG201" s="166">
        <f t="array" ref="AG201">SUM(IF(FPrevAcct=T201,IF(FPrevProd=S199,FPrev9)))</f>
        <v>67175</v>
      </c>
      <c r="AH201" s="166">
        <f t="array" ref="AH201">SUM(IF(FPrevAcct=T201,IF(FPrevProd=S199,FPrev10)))</f>
        <v>-40288</v>
      </c>
      <c r="AI201" s="166">
        <f t="array" ref="AI201">SUM(IF(FPrevAcct=T201,IF(FPrevProd=S199,FPrev11)))</f>
        <v>150214</v>
      </c>
      <c r="AJ201" s="166">
        <f t="array" ref="AJ201">SUM(IF(FPrevAcct=T201,IF(FPrevProd=S199,FPrev12)))</f>
        <v>19936</v>
      </c>
      <c r="AK201" s="166">
        <f t="shared" si="13"/>
        <v>4751175</v>
      </c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  <c r="BA201" s="94"/>
      <c r="BB201" s="94"/>
      <c r="BC201" s="94"/>
    </row>
    <row r="202" spans="1:55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>
        <f>T118</f>
        <v>442200</v>
      </c>
      <c r="U202" s="126">
        <v>27</v>
      </c>
      <c r="V202" s="94"/>
      <c r="W202" s="198" t="s">
        <v>1489</v>
      </c>
      <c r="X202" s="94"/>
      <c r="Y202" s="166">
        <f t="array" ref="Y202">SUM(IF(FPrevAcct=T202,IF(FPrevProd=S199,FPrev1)))</f>
        <v>63447</v>
      </c>
      <c r="Z202" s="166">
        <f t="array" ref="Z202">SUM(IF(FPrevAcct=T202,IF(FPrevProd=S199,FPrev2)))</f>
        <v>52430</v>
      </c>
      <c r="AA202" s="166">
        <f t="array" ref="AA202">SUM(IF(FPrevAcct=T202,IF(FPrevProd=S199,FPrev3)))</f>
        <v>165882</v>
      </c>
      <c r="AB202" s="166">
        <f t="array" ref="AB202">SUM(IF(FPrevAcct=T202,IF(FPrevProd=S199,FPrev4)))</f>
        <v>119146</v>
      </c>
      <c r="AC202" s="166">
        <f t="array" ref="AC202">SUM(IF(FPrevAcct=T202,IF(FPrevProd=S199,FPrev5)))</f>
        <v>612531</v>
      </c>
      <c r="AD202" s="166">
        <f t="array" ref="AD202">SUM(IF(FPrevAcct=T202,IF(FPrevProd=S199,FPrev6)))</f>
        <v>764461</v>
      </c>
      <c r="AE202" s="166">
        <f t="array" ref="AE202">SUM(IF(FPrevAcct=T202,IF(FPrevProd=S199,FPrev7)))</f>
        <v>544767</v>
      </c>
      <c r="AF202" s="166">
        <f t="array" ref="AF202">SUM(IF(FPrevAcct=T202,IF(FPrevProd=S199,FPrev8)))</f>
        <v>48229</v>
      </c>
      <c r="AG202" s="166">
        <f t="array" ref="AG202">SUM(IF(FPrevAcct=T202,IF(FPrevProd=S199,FPrev9)))</f>
        <v>33414</v>
      </c>
      <c r="AH202" s="166">
        <f t="array" ref="AH202">SUM(IF(FPrevAcct=T202,IF(FPrevProd=S199,FPrev10)))</f>
        <v>-20658</v>
      </c>
      <c r="AI202" s="166">
        <f t="array" ref="AI202">SUM(IF(FPrevAcct=T202,IF(FPrevProd=S199,FPrev11)))</f>
        <v>84678</v>
      </c>
      <c r="AJ202" s="166">
        <f t="array" ref="AJ202">SUM(IF(FPrevAcct=T202,IF(FPrevProd=S199,FPrev12)))</f>
        <v>10274</v>
      </c>
      <c r="AK202" s="166">
        <f t="shared" si="13"/>
        <v>2478601</v>
      </c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  <c r="BA202" s="94"/>
      <c r="BB202" s="94"/>
      <c r="BC202" s="94"/>
    </row>
    <row r="203" spans="1:55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>
        <f>T119</f>
        <v>444000</v>
      </c>
      <c r="U203" s="126">
        <v>28</v>
      </c>
      <c r="V203" s="94"/>
      <c r="W203" s="198" t="s">
        <v>1490</v>
      </c>
      <c r="X203" s="94"/>
      <c r="Y203" s="166">
        <f t="array" ref="Y203">SUM(IF(FPrevAcct=T203,IF(FPrevProd=S199,FPrev1)))</f>
        <v>1035</v>
      </c>
      <c r="Z203" s="166">
        <f t="array" ref="Z203">SUM(IF(FPrevAcct=T203,IF(FPrevProd=S199,FPrev2)))</f>
        <v>587</v>
      </c>
      <c r="AA203" s="166">
        <f t="array" ref="AA203">SUM(IF(FPrevAcct=T203,IF(FPrevProd=S199,FPrev3)))</f>
        <v>3276</v>
      </c>
      <c r="AB203" s="166">
        <f t="array" ref="AB203">SUM(IF(FPrevAcct=T203,IF(FPrevProd=S199,FPrev4)))</f>
        <v>1938</v>
      </c>
      <c r="AC203" s="166">
        <f t="array" ref="AC203">SUM(IF(FPrevAcct=T203,IF(FPrevProd=S199,FPrev5)))</f>
        <v>11079</v>
      </c>
      <c r="AD203" s="166">
        <f t="array" ref="AD203">SUM(IF(FPrevAcct=T203,IF(FPrevProd=S199,FPrev6)))</f>
        <v>12382</v>
      </c>
      <c r="AE203" s="166">
        <f t="array" ref="AE203">SUM(IF(FPrevAcct=T203,IF(FPrevProd=S199,FPrev7)))</f>
        <v>9934</v>
      </c>
      <c r="AF203" s="166">
        <f t="array" ref="AF203">SUM(IF(FPrevAcct=T203,IF(FPrevProd=S199,FPrev8)))</f>
        <v>844</v>
      </c>
      <c r="AG203" s="166">
        <f t="array" ref="AG203">SUM(IF(FPrevAcct=T203,IF(FPrevProd=S199,FPrev9)))</f>
        <v>596</v>
      </c>
      <c r="AH203" s="166">
        <f t="array" ref="AH203">SUM(IF(FPrevAcct=T203,IF(FPrevProd=S199,FPrev10)))</f>
        <v>-351</v>
      </c>
      <c r="AI203" s="166">
        <f t="array" ref="AI203">SUM(IF(FPrevAcct=T203,IF(FPrevProd=S199,FPrev11)))</f>
        <v>1381</v>
      </c>
      <c r="AJ203" s="166">
        <f t="array" ref="AJ203">SUM(IF(FPrevAcct=T203,IF(FPrevProd=S199,FPrev12)))</f>
        <v>185</v>
      </c>
      <c r="AK203" s="166">
        <f t="shared" si="13"/>
        <v>42886</v>
      </c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  <c r="BA203" s="94"/>
      <c r="BB203" s="94"/>
      <c r="BC203" s="94"/>
    </row>
    <row r="204" spans="1:55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>
        <f>T120</f>
        <v>445000</v>
      </c>
      <c r="U204" s="126">
        <v>29</v>
      </c>
      <c r="V204" s="94"/>
      <c r="W204" s="198" t="s">
        <v>1491</v>
      </c>
      <c r="X204" s="94"/>
      <c r="Y204" s="166">
        <f t="array" ref="Y204">SUM(IF(FPrevAcct=T204,IF(FPrevProd=S199,FPrev1)))</f>
        <v>21442</v>
      </c>
      <c r="Z204" s="166">
        <f t="array" ref="Z204">SUM(IF(FPrevAcct=T204,IF(FPrevProd=S199,FPrev2)))</f>
        <v>18221</v>
      </c>
      <c r="AA204" s="166">
        <f t="array" ref="AA204">SUM(IF(FPrevAcct=T204,IF(FPrevProd=S199,FPrev3)))</f>
        <v>59786</v>
      </c>
      <c r="AB204" s="166">
        <f t="array" ref="AB204">SUM(IF(FPrevAcct=T204,IF(FPrevProd=S199,FPrev4)))</f>
        <v>42204</v>
      </c>
      <c r="AC204" s="166">
        <f t="array" ref="AC204">SUM(IF(FPrevAcct=T204,IF(FPrevProd=S199,FPrev5)))</f>
        <v>188601</v>
      </c>
      <c r="AD204" s="166">
        <f t="array" ref="AD204">SUM(IF(FPrevAcct=T204,IF(FPrevProd=S199,FPrev6)))</f>
        <v>265354</v>
      </c>
      <c r="AE204" s="166">
        <f t="array" ref="AE204">SUM(IF(FPrevAcct=T204,IF(FPrevProd=S199,FPrev7)))</f>
        <v>198771</v>
      </c>
      <c r="AF204" s="166">
        <f t="array" ref="AF204">SUM(IF(FPrevAcct=T204,IF(FPrevProd=S199,FPrev8)))</f>
        <v>17607</v>
      </c>
      <c r="AG204" s="166">
        <f t="array" ref="AG204">SUM(IF(FPrevAcct=T204,IF(FPrevProd=S199,FPrev9)))</f>
        <v>11670</v>
      </c>
      <c r="AH204" s="166">
        <f t="array" ref="AH204">SUM(IF(FPrevAcct=T204,IF(FPrevProd=S199,FPrev10)))</f>
        <v>-5927</v>
      </c>
      <c r="AI204" s="166">
        <f t="array" ref="AI204">SUM(IF(FPrevAcct=T204,IF(FPrevProd=S199,FPrev11)))</f>
        <v>26305</v>
      </c>
      <c r="AJ204" s="166">
        <f t="array" ref="AJ204">SUM(IF(FPrevAcct=T204,IF(FPrevProd=S199,FPrev12)))</f>
        <v>3241</v>
      </c>
      <c r="AK204" s="166">
        <f t="shared" si="13"/>
        <v>847275</v>
      </c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  <c r="BA204" s="94"/>
      <c r="BB204" s="94"/>
      <c r="BC204" s="94"/>
    </row>
    <row r="205" spans="1:55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126">
        <v>30</v>
      </c>
      <c r="V205" s="94"/>
      <c r="W205" s="198" t="s">
        <v>1492</v>
      </c>
      <c r="X205" s="94"/>
      <c r="Y205" s="199">
        <v>15</v>
      </c>
      <c r="Z205" s="199">
        <v>12</v>
      </c>
      <c r="AA205" s="199">
        <v>39</v>
      </c>
      <c r="AB205" s="199">
        <v>31</v>
      </c>
      <c r="AC205" s="199">
        <v>157</v>
      </c>
      <c r="AD205" s="199">
        <v>367</v>
      </c>
      <c r="AE205" s="199">
        <v>685</v>
      </c>
      <c r="AF205" s="199">
        <v>48</v>
      </c>
      <c r="AG205" s="199">
        <v>22</v>
      </c>
      <c r="AH205" s="199">
        <v>-5</v>
      </c>
      <c r="AI205" s="199">
        <v>23</v>
      </c>
      <c r="AJ205" s="199">
        <v>3</v>
      </c>
      <c r="AK205" s="166">
        <f t="shared" si="13"/>
        <v>1397</v>
      </c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  <c r="BA205" s="94"/>
      <c r="BB205" s="94"/>
      <c r="BC205" s="94"/>
    </row>
    <row r="206" spans="1:55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126">
        <v>31</v>
      </c>
      <c r="V206" s="94"/>
      <c r="W206" s="198"/>
      <c r="X206" s="94"/>
      <c r="Y206" s="199"/>
      <c r="Z206" s="199"/>
      <c r="AA206" s="199"/>
      <c r="AB206" s="199"/>
      <c r="AC206" s="199"/>
      <c r="AD206" s="199"/>
      <c r="AE206" s="199"/>
      <c r="AF206" s="199"/>
      <c r="AG206" s="199"/>
      <c r="AH206" s="199"/>
      <c r="AI206" s="199"/>
      <c r="AJ206" s="199"/>
      <c r="AK206" s="166"/>
      <c r="AL206" s="94"/>
      <c r="AM206" s="94"/>
      <c r="AN206" s="94"/>
      <c r="AO206" s="94"/>
      <c r="AP206" s="94"/>
      <c r="AQ206" s="94"/>
      <c r="AR206" s="94"/>
      <c r="AS206" s="94"/>
      <c r="AT206" s="94"/>
      <c r="AU206" s="94"/>
      <c r="AV206" s="94"/>
      <c r="AW206" s="94"/>
      <c r="AX206" s="94"/>
      <c r="AY206" s="94"/>
      <c r="AZ206" s="94"/>
      <c r="BA206" s="94"/>
      <c r="BB206" s="94"/>
      <c r="BC206" s="94"/>
    </row>
    <row r="207" spans="1:55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126">
        <v>32</v>
      </c>
      <c r="V207" s="94"/>
      <c r="W207" s="198" t="s">
        <v>1496</v>
      </c>
      <c r="X207" s="94"/>
      <c r="Y207" s="166">
        <f t="shared" ref="Y207:AJ207" si="14">SUM(Y192:Y205)</f>
        <v>13040267</v>
      </c>
      <c r="Z207" s="166">
        <f>SUM(Z192:Z205)</f>
        <v>13032797</v>
      </c>
      <c r="AA207" s="166">
        <f t="shared" si="14"/>
        <v>13125710</v>
      </c>
      <c r="AB207" s="166">
        <f t="shared" si="14"/>
        <v>10605522</v>
      </c>
      <c r="AC207" s="166">
        <f t="shared" si="14"/>
        <v>12505667</v>
      </c>
      <c r="AD207" s="166">
        <f t="shared" si="14"/>
        <v>15760006</v>
      </c>
      <c r="AE207" s="166">
        <f t="shared" si="14"/>
        <v>15890313</v>
      </c>
      <c r="AF207" s="166">
        <f t="shared" si="14"/>
        <v>11455548</v>
      </c>
      <c r="AG207" s="166">
        <f t="shared" si="14"/>
        <v>11354479</v>
      </c>
      <c r="AH207" s="166">
        <f t="shared" si="14"/>
        <v>10103744</v>
      </c>
      <c r="AI207" s="166">
        <f t="shared" si="14"/>
        <v>9426298</v>
      </c>
      <c r="AJ207" s="166">
        <f t="shared" si="14"/>
        <v>10962862</v>
      </c>
      <c r="AK207" s="166">
        <f>SUM(Y207:AJ207)</f>
        <v>147263213</v>
      </c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  <c r="BA207" s="94"/>
      <c r="BB207" s="94"/>
      <c r="BC207" s="94"/>
    </row>
    <row r="208" spans="1:55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126">
        <v>33</v>
      </c>
      <c r="V208" s="94"/>
      <c r="W208" s="94"/>
      <c r="X208" s="94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94"/>
      <c r="AM208" s="94"/>
      <c r="AN208" s="94"/>
      <c r="AO208" s="94"/>
      <c r="AP208" s="94"/>
      <c r="AQ208" s="94"/>
      <c r="AR208" s="94"/>
      <c r="AS208" s="94"/>
      <c r="AT208" s="94"/>
      <c r="AU208" s="94"/>
      <c r="AV208" s="94"/>
      <c r="AW208" s="94"/>
      <c r="AX208" s="94"/>
      <c r="AY208" s="94"/>
      <c r="AZ208" s="94"/>
      <c r="BA208" s="94"/>
      <c r="BB208" s="94"/>
      <c r="BC208" s="94"/>
    </row>
    <row r="209" spans="1:55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 t="str">
        <f>S125</f>
        <v>REDSM</v>
      </c>
      <c r="T209" s="94"/>
      <c r="U209" s="126">
        <v>34</v>
      </c>
      <c r="V209" s="94"/>
      <c r="W209" s="127" t="s">
        <v>1497</v>
      </c>
      <c r="X209" s="94"/>
      <c r="Y209" s="166"/>
      <c r="Z209" s="166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  <c r="BA209" s="94"/>
      <c r="BB209" s="94"/>
      <c r="BC209" s="94"/>
    </row>
    <row r="210" spans="1:55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>
        <f>T126</f>
        <v>440000</v>
      </c>
      <c r="U210" s="126">
        <v>35</v>
      </c>
      <c r="V210" s="94"/>
      <c r="W210" s="198" t="s">
        <v>91</v>
      </c>
      <c r="X210" s="94"/>
      <c r="Y210" s="166">
        <f t="array" ref="Y210">SUM(IF(FPrevAcct=T210,IF(FPrevProd=S209,FPrev1)))</f>
        <v>399505</v>
      </c>
      <c r="Z210" s="166">
        <f t="array" ref="Z210">SUM(IF(FPrevAcct=T210,IF(FPrevProd=S209,FPrev2)))</f>
        <v>410362</v>
      </c>
      <c r="AA210" s="166">
        <f t="array" ref="AA210">SUM(IF(FPrevAcct=T210,IF(FPrevProd=S209,FPrev3)))</f>
        <v>370445</v>
      </c>
      <c r="AB210" s="166">
        <f t="array" ref="AB210">SUM(IF(FPrevAcct=T210,IF(FPrevProd=S209,FPrev4)))</f>
        <v>258844</v>
      </c>
      <c r="AC210" s="166">
        <f t="array" ref="AC210">SUM(IF(FPrevAcct=T210,IF(FPrevProd=S209,FPrev5)))</f>
        <v>254027</v>
      </c>
      <c r="AD210" s="166">
        <f t="array" ref="AD210">SUM(IF(FPrevAcct=T210,IF(FPrevProd=S209,FPrev6)))</f>
        <v>362929</v>
      </c>
      <c r="AE210" s="166">
        <f t="array" ref="AE210">SUM(IF(FPrevAcct=T210,IF(FPrevProd=S209,FPrev7)))</f>
        <v>451468</v>
      </c>
      <c r="AF210" s="166">
        <f t="array" ref="AF210">SUM(IF(FPrevAcct=T210,IF(FPrevProd=S209,FPrev8)))</f>
        <v>392246</v>
      </c>
      <c r="AG210" s="166">
        <f t="array" ref="AG210">SUM(IF(FPrevAcct=T210,IF(FPrevProd=S209,FPrev9)))</f>
        <v>371855</v>
      </c>
      <c r="AH210" s="166">
        <f t="array" ref="AH210">SUM(IF(FPrevAcct=T210,IF(FPrevProd=S209,FPrev10)))</f>
        <v>304121</v>
      </c>
      <c r="AI210" s="166">
        <f t="array" ref="AI210">SUM(IF(FPrevAcct=T210,IF(FPrevProd=S209,FPrev11)))</f>
        <v>238501</v>
      </c>
      <c r="AJ210" s="166">
        <f t="array" ref="AJ210">SUM(IF(FPrevAcct=T210,IF(FPrevProd=S209,FPrev12)))</f>
        <v>327860</v>
      </c>
      <c r="AK210" s="166">
        <f>SUM(Y210:AJ210)</f>
        <v>4142163</v>
      </c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  <c r="BA210" s="94"/>
      <c r="BB210" s="94"/>
      <c r="BC210" s="94"/>
    </row>
    <row r="211" spans="1:55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>
        <f>T127</f>
        <v>442100</v>
      </c>
      <c r="U211" s="126">
        <v>36</v>
      </c>
      <c r="V211" s="94"/>
      <c r="W211" s="198" t="s">
        <v>1488</v>
      </c>
      <c r="X211" s="94"/>
      <c r="Y211" s="166">
        <f t="array" ref="Y211">SUM(IF(FPrevAcct=T211,IF(FPrevProd=S209,FPrev1)))</f>
        <v>208510</v>
      </c>
      <c r="Z211" s="166">
        <f t="array" ref="Z211">SUM(IF(FPrevAcct=T211,IF(FPrevProd=S209,FPrev2)))</f>
        <v>201827</v>
      </c>
      <c r="AA211" s="166">
        <f t="array" ref="AA211">SUM(IF(FPrevAcct=T211,IF(FPrevProd=S209,FPrev3)))</f>
        <v>199370</v>
      </c>
      <c r="AB211" s="166">
        <f t="array" ref="AB211">SUM(IF(FPrevAcct=T211,IF(FPrevProd=S209,FPrev4)))</f>
        <v>177844</v>
      </c>
      <c r="AC211" s="166">
        <f t="array" ref="AC211">SUM(IF(FPrevAcct=T211,IF(FPrevProd=S209,FPrev5)))</f>
        <v>167204</v>
      </c>
      <c r="AD211" s="166">
        <f t="array" ref="AD211">SUM(IF(FPrevAcct=T211,IF(FPrevProd=S209,FPrev6)))</f>
        <v>185295</v>
      </c>
      <c r="AE211" s="166">
        <f t="array" ref="AE211">SUM(IF(FPrevAcct=T211,IF(FPrevProd=S209,FPrev7)))</f>
        <v>201990</v>
      </c>
      <c r="AF211" s="166">
        <f t="array" ref="AF211">SUM(IF(FPrevAcct=T211,IF(FPrevProd=S209,FPrev8)))</f>
        <v>174545</v>
      </c>
      <c r="AG211" s="166">
        <f t="array" ref="AG211">SUM(IF(FPrevAcct=T211,IF(FPrevProd=S209,FPrev9)))</f>
        <v>189211</v>
      </c>
      <c r="AH211" s="166">
        <f t="array" ref="AH211">SUM(IF(FPrevAcct=T211,IF(FPrevProd=S209,FPrev10)))</f>
        <v>186820</v>
      </c>
      <c r="AI211" s="166">
        <f t="array" ref="AI211">SUM(IF(FPrevAcct=T211,IF(FPrevProd=S209,FPrev11)))</f>
        <v>168180</v>
      </c>
      <c r="AJ211" s="166">
        <f t="array" ref="AJ211">SUM(IF(FPrevAcct=T211,IF(FPrevProd=S209,FPrev12)))</f>
        <v>196438</v>
      </c>
      <c r="AK211" s="166">
        <f>SUM(Y211:AJ211)</f>
        <v>2257234</v>
      </c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  <c r="BA211" s="94"/>
      <c r="BB211" s="94"/>
      <c r="BC211" s="94"/>
    </row>
    <row r="212" spans="1:55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>
        <f>T128</f>
        <v>442200</v>
      </c>
      <c r="U212" s="126">
        <v>37</v>
      </c>
      <c r="V212" s="94"/>
      <c r="W212" s="198" t="s">
        <v>1489</v>
      </c>
      <c r="X212" s="94"/>
      <c r="Y212" s="166">
        <f t="array" ref="Y212">SUM(IF(FPrevAcct=T212,IF(FPrevProd=S209,FPrev1)))</f>
        <v>101387</v>
      </c>
      <c r="Z212" s="166">
        <f t="array" ref="Z212">SUM(IF(FPrevAcct=T212,IF(FPrevProd=S209,FPrev2)))</f>
        <v>103329</v>
      </c>
      <c r="AA212" s="166">
        <f t="array" ref="AA212">SUM(IF(FPrevAcct=T212,IF(FPrevProd=S209,FPrev3)))</f>
        <v>103624</v>
      </c>
      <c r="AB212" s="166">
        <f t="array" ref="AB212">SUM(IF(FPrevAcct=T212,IF(FPrevProd=S209,FPrev4)))</f>
        <v>93971</v>
      </c>
      <c r="AC212" s="166">
        <f t="array" ref="AC212">SUM(IF(FPrevAcct=T212,IF(FPrevProd=S209,FPrev5)))</f>
        <v>94198</v>
      </c>
      <c r="AD212" s="166">
        <f t="array" ref="AD212">SUM(IF(FPrevAcct=T212,IF(FPrevProd=S209,FPrev6)))</f>
        <v>96065</v>
      </c>
      <c r="AE212" s="166">
        <f t="array" ref="AE212">SUM(IF(FPrevAcct=T212,IF(FPrevProd=S209,FPrev7)))</f>
        <v>97647</v>
      </c>
      <c r="AF212" s="166">
        <f t="array" ref="AF212">SUM(IF(FPrevAcct=T212,IF(FPrevProd=S209,FPrev8)))</f>
        <v>95748</v>
      </c>
      <c r="AG212" s="166">
        <f t="array" ref="AG212">SUM(IF(FPrevAcct=T212,IF(FPrevProd=S209,FPrev9)))</f>
        <v>94118</v>
      </c>
      <c r="AH212" s="166">
        <f t="array" ref="AH212">SUM(IF(FPrevAcct=T212,IF(FPrevProd=S209,FPrev10)))</f>
        <v>95794</v>
      </c>
      <c r="AI212" s="166">
        <f t="array" ref="AI212">SUM(IF(FPrevAcct=T212,IF(FPrevProd=S209,FPrev11)))</f>
        <v>94806</v>
      </c>
      <c r="AJ212" s="166">
        <f t="array" ref="AJ212">SUM(IF(FPrevAcct=T212,IF(FPrevProd=S209,FPrev12)))</f>
        <v>101234</v>
      </c>
      <c r="AK212" s="166">
        <f>SUM(Y212:AJ212)</f>
        <v>1171921</v>
      </c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  <c r="BA212" s="94"/>
      <c r="BB212" s="94"/>
      <c r="BC212" s="94"/>
    </row>
    <row r="213" spans="1:55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>
        <f>T129</f>
        <v>444000</v>
      </c>
      <c r="U213" s="126">
        <v>38</v>
      </c>
      <c r="V213" s="94"/>
      <c r="W213" s="198" t="s">
        <v>1490</v>
      </c>
      <c r="X213" s="94"/>
      <c r="Y213" s="166">
        <f t="array" ref="Y213">SUM(IF(FPrevAcct=T213,IF(FPrevProd=S209,FPrev1)))</f>
        <v>0</v>
      </c>
      <c r="Z213" s="166">
        <f t="array" ref="Z213">SUM(IF(FPrevAcct=T213,IF(FPrevProd=S209,FPrev2)))</f>
        <v>0</v>
      </c>
      <c r="AA213" s="166">
        <f t="array" ref="AA213">SUM(IF(FPrevAcct=T213,IF(FPrevProd=S209,FPrev3)))</f>
        <v>0</v>
      </c>
      <c r="AB213" s="166">
        <f t="array" ref="AB213">SUM(IF(FPrevAcct=T213,IF(FPrevProd=S209,FPrev4)))</f>
        <v>0</v>
      </c>
      <c r="AC213" s="166">
        <f t="array" ref="AC213">SUM(IF(FPrevAcct=T213,IF(FPrevProd=S209,FPrev5)))</f>
        <v>0</v>
      </c>
      <c r="AD213" s="166">
        <f t="array" ref="AD213">SUM(IF(FPrevAcct=T213,IF(FPrevProd=S209,FPrev6)))</f>
        <v>0</v>
      </c>
      <c r="AE213" s="166">
        <f t="array" ref="AE213">SUM(IF(FPrevAcct=T213,IF(FPrevProd=S209,FPrev7)))</f>
        <v>0</v>
      </c>
      <c r="AF213" s="166">
        <f t="array" ref="AF213">SUM(IF(FPrevAcct=T213,IF(FPrevProd=S209,FPrev8)))</f>
        <v>0</v>
      </c>
      <c r="AG213" s="166">
        <f t="array" ref="AG213">SUM(IF(FPrevAcct=T213,IF(FPrevProd=S209,FPrev9)))</f>
        <v>0</v>
      </c>
      <c r="AH213" s="166">
        <f t="array" ref="AH213">SUM(IF(FPrevAcct=T213,IF(FPrevProd=S209,FPrev10)))</f>
        <v>0</v>
      </c>
      <c r="AI213" s="166">
        <f t="array" ref="AI213">SUM(IF(FPrevAcct=T213,IF(FPrevProd=S209,FPrev11)))</f>
        <v>0</v>
      </c>
      <c r="AJ213" s="166">
        <f t="array" ref="AJ213">SUM(IF(FPrevAcct=T213,IF(FPrevProd=S209,FPrev12)))</f>
        <v>0</v>
      </c>
      <c r="AK213" s="166">
        <f>SUM(Y213:AJ213)</f>
        <v>0</v>
      </c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  <c r="BA213" s="94"/>
      <c r="BB213" s="94"/>
      <c r="BC213" s="94"/>
    </row>
    <row r="214" spans="1:55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>
        <f>T130</f>
        <v>445000</v>
      </c>
      <c r="U214" s="126">
        <v>39</v>
      </c>
      <c r="V214" s="94"/>
      <c r="W214" s="198" t="s">
        <v>1491</v>
      </c>
      <c r="X214" s="94"/>
      <c r="Y214" s="166">
        <f t="array" ref="Y214">SUM(IF(FPrevAcct=T214,IF(FPrevProd=S209,FPrev1)))</f>
        <v>34264</v>
      </c>
      <c r="Z214" s="166">
        <f t="array" ref="Z214">SUM(IF(FPrevAcct=T214,IF(FPrevProd=S209,FPrev2)))</f>
        <v>35909</v>
      </c>
      <c r="AA214" s="166">
        <f t="array" ref="AA214">SUM(IF(FPrevAcct=T214,IF(FPrevProd=S209,FPrev3)))</f>
        <v>37348</v>
      </c>
      <c r="AB214" s="166">
        <f t="array" ref="AB214">SUM(IF(FPrevAcct=T214,IF(FPrevProd=S209,FPrev4)))</f>
        <v>33287</v>
      </c>
      <c r="AC214" s="166">
        <f t="array" ref="AC214">SUM(IF(FPrevAcct=T214,IF(FPrevProd=S209,FPrev5)))</f>
        <v>29004</v>
      </c>
      <c r="AD214" s="166">
        <f t="array" ref="AD214">SUM(IF(FPrevAcct=T214,IF(FPrevProd=S209,FPrev6)))</f>
        <v>33345</v>
      </c>
      <c r="AE214" s="166">
        <f t="array" ref="AE214">SUM(IF(FPrevAcct=T214,IF(FPrevProd=S209,FPrev7)))</f>
        <v>35629</v>
      </c>
      <c r="AF214" s="166">
        <f t="array" ref="AF214">SUM(IF(FPrevAcct=T214,IF(FPrevProd=S209,FPrev8)))</f>
        <v>34955</v>
      </c>
      <c r="AG214" s="166">
        <f t="array" ref="AG214">SUM(IF(FPrevAcct=T214,IF(FPrevProd=S209,FPrev9)))</f>
        <v>32871</v>
      </c>
      <c r="AH214" s="166">
        <f t="array" ref="AH214">SUM(IF(FPrevAcct=T214,IF(FPrevProd=S209,FPrev10)))</f>
        <v>27486</v>
      </c>
      <c r="AI214" s="166">
        <f t="array" ref="AI214">SUM(IF(FPrevAcct=T214,IF(FPrevProd=S209,FPrev11)))</f>
        <v>29451</v>
      </c>
      <c r="AJ214" s="166">
        <f t="array" ref="AJ214">SUM(IF(FPrevAcct=T214,IF(FPrevProd=S209,FPrev12)))</f>
        <v>31940</v>
      </c>
      <c r="AK214" s="166">
        <f>SUM(Y214:AJ214)</f>
        <v>395489</v>
      </c>
      <c r="AL214" s="94"/>
      <c r="AM214" s="94"/>
      <c r="AN214" s="94"/>
      <c r="AO214" s="94"/>
      <c r="AP214" s="94"/>
      <c r="AQ214" s="94"/>
      <c r="AR214" s="94"/>
      <c r="AS214" s="94"/>
      <c r="AT214" s="94"/>
      <c r="AU214" s="94"/>
      <c r="AV214" s="94"/>
      <c r="AW214" s="94"/>
      <c r="AX214" s="94"/>
      <c r="AY214" s="94"/>
      <c r="AZ214" s="94"/>
      <c r="BA214" s="94"/>
      <c r="BB214" s="94"/>
      <c r="BC214" s="94"/>
    </row>
    <row r="215" spans="1:55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126">
        <v>40</v>
      </c>
      <c r="V215" s="94"/>
      <c r="W215" s="94"/>
      <c r="X215" s="94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94"/>
      <c r="AM215" s="94"/>
      <c r="AN215" s="94"/>
      <c r="AO215" s="94"/>
      <c r="AP215" s="94"/>
      <c r="AQ215" s="94"/>
      <c r="AR215" s="94"/>
      <c r="AS215" s="94"/>
      <c r="AT215" s="94"/>
      <c r="AU215" s="94"/>
      <c r="AV215" s="94"/>
      <c r="AW215" s="94"/>
      <c r="AX215" s="94"/>
      <c r="AY215" s="94"/>
      <c r="AZ215" s="94"/>
      <c r="BA215" s="94"/>
      <c r="BB215" s="94"/>
      <c r="BC215" s="94"/>
    </row>
    <row r="216" spans="1:55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 t="str">
        <f>S132</f>
        <v>RKEPSM</v>
      </c>
      <c r="T216" s="94"/>
      <c r="U216" s="126">
        <v>41</v>
      </c>
      <c r="V216" s="94"/>
      <c r="W216" s="127" t="s">
        <v>1498</v>
      </c>
      <c r="X216" s="94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94"/>
      <c r="AM216" s="94"/>
      <c r="AN216" s="94"/>
      <c r="AO216" s="94"/>
      <c r="AP216" s="94"/>
      <c r="AQ216" s="94"/>
      <c r="AR216" s="94"/>
      <c r="AS216" s="94"/>
      <c r="AT216" s="94"/>
      <c r="AU216" s="94"/>
      <c r="AV216" s="94"/>
      <c r="AW216" s="94"/>
      <c r="AX216" s="94"/>
      <c r="AY216" s="94"/>
      <c r="AZ216" s="94"/>
      <c r="BA216" s="94"/>
      <c r="BB216" s="94"/>
      <c r="BC216" s="94"/>
    </row>
    <row r="217" spans="1:55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>
        <f>T133</f>
        <v>440000</v>
      </c>
      <c r="U217" s="126">
        <v>42</v>
      </c>
      <c r="V217" s="94"/>
      <c r="W217" s="198" t="s">
        <v>91</v>
      </c>
      <c r="X217" s="94"/>
      <c r="Y217" s="166">
        <f t="array" ref="Y217">SUM(IF(FPrevAcct=T217,IF(FPrevProd=S216,FPrev1)))</f>
        <v>-1007066</v>
      </c>
      <c r="Z217" s="166">
        <f t="array" ref="Z217">SUM(IF(FPrevAcct=T217,IF(FPrevProd=S216,FPrev2)))</f>
        <v>-632218</v>
      </c>
      <c r="AA217" s="166">
        <f t="array" ref="AA217">SUM(IF(FPrevAcct=T217,IF(FPrevProd=S216,FPrev3)))</f>
        <v>-70103</v>
      </c>
      <c r="AB217" s="166">
        <f t="array" ref="AB217">SUM(IF(FPrevAcct=T217,IF(FPrevProd=S216,FPrev4)))</f>
        <v>-44</v>
      </c>
      <c r="AC217" s="166">
        <f t="array" ref="AC217">SUM(IF(FPrevAcct=T217,IF(FPrevProd=S216,FPrev5)))</f>
        <v>-184028</v>
      </c>
      <c r="AD217" s="166">
        <f t="array" ref="AD217">SUM(IF(FPrevAcct=T217,IF(FPrevProd=S216,FPrev6)))</f>
        <v>-467396</v>
      </c>
      <c r="AE217" s="166">
        <f t="array" ref="AE217">SUM(IF(FPrevAcct=T217,IF(FPrevProd=S216,FPrev7)))</f>
        <v>-1215562</v>
      </c>
      <c r="AF217" s="166">
        <f t="array" ref="AF217">SUM(IF(FPrevAcct=T217,IF(FPrevProd=S216,FPrev8)))</f>
        <v>-573157</v>
      </c>
      <c r="AG217" s="166">
        <f t="array" ref="AG217">SUM(IF(FPrevAcct=T217,IF(FPrevProd=S216,FPrev9)))</f>
        <v>-454163</v>
      </c>
      <c r="AH217" s="166">
        <f t="array" ref="AH217">SUM(IF(FPrevAcct=T217,IF(FPrevProd=S216,FPrev10)))</f>
        <v>-325869</v>
      </c>
      <c r="AI217" s="166">
        <f t="array" ref="AI217">SUM(IF(FPrevAcct=T217,IF(FPrevProd=S216,FPrev11)))</f>
        <v>-323602</v>
      </c>
      <c r="AJ217" s="166">
        <f t="array" ref="AJ217">SUM(IF(FPrevAcct=T217,IF(FPrevProd=S216,FPrev12)))</f>
        <v>-301287</v>
      </c>
      <c r="AK217" s="166">
        <f>SUM(Y217:AJ217)</f>
        <v>-5554495</v>
      </c>
      <c r="AL217" s="94"/>
      <c r="AM217" s="94"/>
      <c r="AN217" s="94"/>
      <c r="AO217" s="94"/>
      <c r="AP217" s="94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  <c r="BA217" s="94"/>
      <c r="BB217" s="94"/>
      <c r="BC217" s="94"/>
    </row>
    <row r="218" spans="1:55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>
        <f>T134</f>
        <v>442100</v>
      </c>
      <c r="U218" s="126">
        <v>43</v>
      </c>
      <c r="V218" s="94"/>
      <c r="W218" s="198" t="s">
        <v>1488</v>
      </c>
      <c r="X218" s="94"/>
      <c r="Y218" s="166">
        <f t="array" ref="Y218">SUM(IF(FPrevAcct=T218,IF(FPrevProd=S216,FPrev1)))</f>
        <v>-904456</v>
      </c>
      <c r="Z218" s="166">
        <f t="array" ref="Z218">SUM(IF(FPrevAcct=T218,IF(FPrevProd=S216,FPrev2)))</f>
        <v>-535061</v>
      </c>
      <c r="AA218" s="166">
        <f t="array" ref="AA218">SUM(IF(FPrevAcct=T218,IF(FPrevProd=S216,FPrev3)))</f>
        <v>-64922</v>
      </c>
      <c r="AB218" s="166">
        <f t="array" ref="AB218">SUM(IF(FPrevAcct=T218,IF(FPrevProd=S216,FPrev4)))</f>
        <v>-52</v>
      </c>
      <c r="AC218" s="166">
        <f t="array" ref="AC218">SUM(IF(FPrevAcct=T218,IF(FPrevProd=S216,FPrev5)))</f>
        <v>-208438</v>
      </c>
      <c r="AD218" s="166">
        <f t="array" ref="AD218">SUM(IF(FPrevAcct=T218,IF(FPrevProd=S216,FPrev6)))</f>
        <v>-410631</v>
      </c>
      <c r="AE218" s="166">
        <f t="array" ref="AE218">SUM(IF(FPrevAcct=T218,IF(FPrevProd=S216,FPrev7)))</f>
        <v>-929916</v>
      </c>
      <c r="AF218" s="166">
        <f t="array" ref="AF218">SUM(IF(FPrevAcct=T218,IF(FPrevProd=S216,FPrev8)))</f>
        <v>-436101</v>
      </c>
      <c r="AG218" s="166">
        <f t="array" ref="AG218">SUM(IF(FPrevAcct=T218,IF(FPrevProd=S216,FPrev9)))</f>
        <v>-395138</v>
      </c>
      <c r="AH218" s="166">
        <f t="array" ref="AH218">SUM(IF(FPrevAcct=T218,IF(FPrevProd=S216,FPrev10)))</f>
        <v>-342284</v>
      </c>
      <c r="AI218" s="166">
        <f t="array" ref="AI218">SUM(IF(FPrevAcct=T218,IF(FPrevProd=S216,FPrev11)))</f>
        <v>-390174</v>
      </c>
      <c r="AJ218" s="166">
        <f t="array" ref="AJ218">SUM(IF(FPrevAcct=T218,IF(FPrevProd=S216,FPrev12)))</f>
        <v>-308661</v>
      </c>
      <c r="AK218" s="166">
        <f>SUM(Y218:AJ218)</f>
        <v>-4925834</v>
      </c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  <c r="BA218" s="94"/>
      <c r="BB218" s="94"/>
      <c r="BC218" s="94"/>
    </row>
    <row r="219" spans="1:55">
      <c r="A219" s="94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>
        <f>T135</f>
        <v>442200</v>
      </c>
      <c r="U219" s="126">
        <v>44</v>
      </c>
      <c r="V219" s="94"/>
      <c r="W219" s="198" t="s">
        <v>1489</v>
      </c>
      <c r="X219" s="94"/>
      <c r="Y219" s="166">
        <f t="array" ref="Y219">SUM(IF(FPrevAcct=T219,IF(FPrevProd=S216,FPrev1)))</f>
        <v>-439788</v>
      </c>
      <c r="Z219" s="166">
        <f t="array" ref="Z219">SUM(IF(FPrevAcct=T219,IF(FPrevProd=S216,FPrev2)))</f>
        <v>-273936</v>
      </c>
      <c r="AA219" s="166">
        <f t="array" ref="AA219">SUM(IF(FPrevAcct=T219,IF(FPrevProd=S216,FPrev3)))</f>
        <v>-33744</v>
      </c>
      <c r="AB219" s="166">
        <f t="array" ref="AB219">SUM(IF(FPrevAcct=T219,IF(FPrevProd=S216,FPrev4)))</f>
        <v>-27</v>
      </c>
      <c r="AC219" s="166">
        <f t="array" ref="AC219">SUM(IF(FPrevAcct=T219,IF(FPrevProd=S216,FPrev5)))</f>
        <v>-117427</v>
      </c>
      <c r="AD219" s="166">
        <f t="array" ref="AD219">SUM(IF(FPrevAcct=T219,IF(FPrevProd=S216,FPrev6)))</f>
        <v>-212888</v>
      </c>
      <c r="AE219" s="166">
        <f t="array" ref="AE219">SUM(IF(FPrevAcct=T219,IF(FPrevProd=S216,FPrev7)))</f>
        <v>-449545</v>
      </c>
      <c r="AF219" s="166">
        <f t="array" ref="AF219">SUM(IF(FPrevAcct=T219,IF(FPrevProd=S216,FPrev8)))</f>
        <v>-239227</v>
      </c>
      <c r="AG219" s="166">
        <f t="array" ref="AG219">SUM(IF(FPrevAcct=T219,IF(FPrevProd=S216,FPrev9)))</f>
        <v>-196550</v>
      </c>
      <c r="AH219" s="166">
        <f t="array" ref="AH219">SUM(IF(FPrevAcct=T219,IF(FPrevProd=S216,FPrev10)))</f>
        <v>-175510</v>
      </c>
      <c r="AI219" s="166">
        <f t="array" ref="AI219">SUM(IF(FPrevAcct=T219,IF(FPrevProd=S216,FPrev11)))</f>
        <v>-219948</v>
      </c>
      <c r="AJ219" s="166">
        <f t="array" ref="AJ219">SUM(IF(FPrevAcct=T219,IF(FPrevProd=S216,FPrev12)))</f>
        <v>-159067</v>
      </c>
      <c r="AK219" s="166">
        <f>SUM(Y219:AJ219)</f>
        <v>-2517657</v>
      </c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  <c r="BA219" s="94"/>
      <c r="BB219" s="94"/>
      <c r="BC219" s="94"/>
    </row>
    <row r="220" spans="1:55">
      <c r="A220" s="94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>
        <f>T136</f>
        <v>444000</v>
      </c>
      <c r="U220" s="126">
        <v>45</v>
      </c>
      <c r="V220" s="94"/>
      <c r="W220" s="198" t="s">
        <v>1490</v>
      </c>
      <c r="X220" s="94"/>
      <c r="Y220" s="166">
        <f t="array" ref="Y220">SUM(IF(FPrevAcct=T220,IF(FPrevProd=S216,FPrev1)))</f>
        <v>-7176</v>
      </c>
      <c r="Z220" s="166">
        <f t="array" ref="Z220">SUM(IF(FPrevAcct=T220,IF(FPrevProd=S216,FPrev2)))</f>
        <v>-3065</v>
      </c>
      <c r="AA220" s="166">
        <f t="array" ref="AA220">SUM(IF(FPrevAcct=T220,IF(FPrevProd=S216,FPrev3)))</f>
        <v>-667</v>
      </c>
      <c r="AB220" s="166">
        <f t="array" ref="AB220">SUM(IF(FPrevAcct=T220,IF(FPrevProd=S216,FPrev4)))</f>
        <v>0</v>
      </c>
      <c r="AC220" s="166">
        <f t="array" ref="AC220">SUM(IF(FPrevAcct=T220,IF(FPrevProd=S216,FPrev5)))</f>
        <v>-2124</v>
      </c>
      <c r="AD220" s="166">
        <f t="array" ref="AD220">SUM(IF(FPrevAcct=T220,IF(FPrevProd=S216,FPrev6)))</f>
        <v>-3448</v>
      </c>
      <c r="AE220" s="166">
        <f t="array" ref="AE220">SUM(IF(FPrevAcct=T220,IF(FPrevProd=S216,FPrev7)))</f>
        <v>-8197</v>
      </c>
      <c r="AF220" s="166">
        <f t="array" ref="AF220">SUM(IF(FPrevAcct=T220,IF(FPrevProd=S216,FPrev8)))</f>
        <v>-4185</v>
      </c>
      <c r="AG220" s="166">
        <f t="array" ref="AG220">SUM(IF(FPrevAcct=T220,IF(FPrevProd=S216,FPrev9)))</f>
        <v>-3505</v>
      </c>
      <c r="AH220" s="166">
        <f t="array" ref="AH220">SUM(IF(FPrevAcct=T220,IF(FPrevProd=S216,FPrev10)))</f>
        <v>-2978</v>
      </c>
      <c r="AI220" s="166">
        <f t="array" ref="AI220">SUM(IF(FPrevAcct=T220,IF(FPrevProd=S216,FPrev11)))</f>
        <v>-3587</v>
      </c>
      <c r="AJ220" s="166">
        <f t="array" ref="AJ220">SUM(IF(FPrevAcct=T220,IF(FPrevProd=S216,FPrev12)))</f>
        <v>-2863</v>
      </c>
      <c r="AK220" s="166">
        <f>SUM(Y220:AJ220)</f>
        <v>-41795</v>
      </c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4"/>
      <c r="BB220" s="94"/>
      <c r="BC220" s="94"/>
    </row>
    <row r="221" spans="1:55">
      <c r="A221" s="94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>
        <f>T137</f>
        <v>445000</v>
      </c>
      <c r="U221" s="126">
        <v>46</v>
      </c>
      <c r="V221" s="94"/>
      <c r="W221" s="198" t="s">
        <v>1491</v>
      </c>
      <c r="X221" s="94"/>
      <c r="Y221" s="166">
        <f t="array" ref="Y221">SUM(IF(FPrevAcct=T221,IF(FPrevProd=S216,FPrev1)))</f>
        <v>-148627</v>
      </c>
      <c r="Z221" s="166">
        <f t="array" ref="Z221">SUM(IF(FPrevAcct=T221,IF(FPrevProd=S216,FPrev2)))</f>
        <v>-95198</v>
      </c>
      <c r="AA221" s="166">
        <f t="array" ref="AA221">SUM(IF(FPrevAcct=T221,IF(FPrevProd=S216,FPrev3)))</f>
        <v>-12162</v>
      </c>
      <c r="AB221" s="166">
        <f t="array" ref="AB221">SUM(IF(FPrevAcct=T221,IF(FPrevProd=S216,FPrev4)))</f>
        <v>-10</v>
      </c>
      <c r="AC221" s="166">
        <f t="array" ref="AC221">SUM(IF(FPrevAcct=T221,IF(FPrevProd=S216,FPrev5)))</f>
        <v>-36156</v>
      </c>
      <c r="AD221" s="166">
        <f t="array" ref="AD221">SUM(IF(FPrevAcct=T221,IF(FPrevProd=S216,FPrev6)))</f>
        <v>-73896</v>
      </c>
      <c r="AE221" s="166">
        <f t="array" ref="AE221">SUM(IF(FPrevAcct=T221,IF(FPrevProd=S216,FPrev7)))</f>
        <v>-164027</v>
      </c>
      <c r="AF221" s="166">
        <f t="array" ref="AF221">SUM(IF(FPrevAcct=T221,IF(FPrevProd=S216,FPrev8)))</f>
        <v>-87335</v>
      </c>
      <c r="AG221" s="166">
        <f t="array" ref="AG221">SUM(IF(FPrevAcct=T221,IF(FPrevProd=S216,FPrev9)))</f>
        <v>-68646</v>
      </c>
      <c r="AH221" s="166">
        <f t="array" ref="AH221">SUM(IF(FPrevAcct=T221,IF(FPrevProd=S216,FPrev10)))</f>
        <v>-50358</v>
      </c>
      <c r="AI221" s="166">
        <f t="array" ref="AI221">SUM(IF(FPrevAcct=T221,IF(FPrevProd=S216,FPrev11)))</f>
        <v>-68325</v>
      </c>
      <c r="AJ221" s="166">
        <f t="array" ref="AJ221">SUM(IF(FPrevAcct=T221,IF(FPrevProd=S216,FPrev12)))</f>
        <v>-50187</v>
      </c>
      <c r="AK221" s="166">
        <f>SUM(Y221:AJ221)</f>
        <v>-854927</v>
      </c>
      <c r="AL221" s="94"/>
      <c r="AM221" s="1205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  <c r="BA221" s="94"/>
      <c r="BB221" s="94"/>
      <c r="BC221" s="94"/>
    </row>
    <row r="222" spans="1:55">
      <c r="A222" s="94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126">
        <v>47</v>
      </c>
      <c r="V222" s="94"/>
      <c r="W222" s="94"/>
      <c r="X222" s="94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4"/>
      <c r="BB222" s="94"/>
      <c r="BC222" s="94"/>
    </row>
    <row r="223" spans="1:55">
      <c r="A223" s="94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 t="str">
        <f>S139</f>
        <v>ROEESM</v>
      </c>
      <c r="T223" s="197"/>
      <c r="U223" s="126">
        <v>48</v>
      </c>
      <c r="V223" s="94"/>
      <c r="W223" s="127" t="s">
        <v>1499</v>
      </c>
      <c r="X223" s="94"/>
      <c r="Y223" s="166"/>
      <c r="Z223" s="166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94"/>
      <c r="AM223" s="9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  <c r="BA223" s="94"/>
      <c r="BB223" s="94"/>
      <c r="BC223" s="94"/>
    </row>
    <row r="224" spans="1:55">
      <c r="A224" s="94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197"/>
      <c r="T224" s="197">
        <v>440000</v>
      </c>
      <c r="U224" s="126">
        <v>49</v>
      </c>
      <c r="V224" s="94"/>
      <c r="W224" s="198" t="s">
        <v>91</v>
      </c>
      <c r="X224" s="94"/>
      <c r="Y224" s="166">
        <f t="array" ref="Y224">SUM(IF(FPrevAcct=T224,IF(FPrevProd=S223,FPrev1)))</f>
        <v>1130456</v>
      </c>
      <c r="Z224" s="166">
        <f t="array" ref="Z224">SUM(IF(FPrevAcct=T224,IF(FPrevProd=S223,FPrev2)))</f>
        <v>1046575</v>
      </c>
      <c r="AA224" s="166">
        <f t="array" ref="AA224">SUM(IF(FPrevAcct=T224,IF(FPrevProd=S223,FPrev3)))</f>
        <v>1238522</v>
      </c>
      <c r="AB224" s="166">
        <f t="array" ref="AB224">SUM(IF(FPrevAcct=T224,IF(FPrevProd=S223,FPrev4)))</f>
        <v>442330</v>
      </c>
      <c r="AC224" s="166">
        <f t="array" ref="AC224">SUM(IF(FPrevAcct=T224,IF(FPrevProd=S223,FPrev5)))</f>
        <v>628245</v>
      </c>
      <c r="AD224" s="166">
        <f t="array" ref="AD224">SUM(IF(FPrevAcct=T224,IF(FPrevProd=S223,FPrev6)))</f>
        <v>1277205</v>
      </c>
      <c r="AE224" s="166">
        <f t="array" ref="AE224">SUM(IF(FPrevAcct=T224,IF(FPrevProd=S223,FPrev7)))</f>
        <v>852435</v>
      </c>
      <c r="AF224" s="166">
        <f t="array" ref="AF224">SUM(IF(FPrevAcct=T224,IF(FPrevProd=S223,FPrev8)))</f>
        <v>609124</v>
      </c>
      <c r="AG224" s="166">
        <f t="array" ref="AG224">SUM(IF(FPrevAcct=T224,IF(FPrevProd=S223,FPrev9)))</f>
        <v>738727</v>
      </c>
      <c r="AH224" s="166">
        <f t="array" ref="AH224">SUM(IF(FPrevAcct=T224,IF(FPrevProd=S223,FPrev10)))</f>
        <v>345498</v>
      </c>
      <c r="AI224" s="166">
        <f t="array" ref="AI224">SUM(IF(FPrevAcct=T224,IF(FPrevProd=S223,FPrev11)))</f>
        <v>337694</v>
      </c>
      <c r="AJ224" s="166">
        <f t="array" ref="AJ224">SUM(IF(FPrevAcct=T224,IF(FPrevProd=S223,FPrev12)))</f>
        <v>869728</v>
      </c>
      <c r="AK224" s="166">
        <f t="shared" ref="AK224:AK228" si="15">SUM(Y224:AJ224)</f>
        <v>9516539</v>
      </c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  <c r="BA224" s="94"/>
      <c r="BB224" s="94"/>
      <c r="BC224" s="94"/>
    </row>
    <row r="225" spans="1:55">
      <c r="A225" s="94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197"/>
      <c r="T225" s="197">
        <v>442100</v>
      </c>
      <c r="U225" s="126">
        <v>50</v>
      </c>
      <c r="V225" s="94"/>
      <c r="W225" s="198" t="s">
        <v>1488</v>
      </c>
      <c r="X225" s="94"/>
      <c r="Y225" s="166">
        <f t="array" ref="Y225">SUM(IF(FPrevAcct=T225,IF(FPrevProd=S223,FPrev1)))</f>
        <v>1015273</v>
      </c>
      <c r="Z225" s="166">
        <f t="array" ref="Z225">SUM(IF(FPrevAcct=T225,IF(FPrevProd=S223,FPrev2)))</f>
        <v>885742</v>
      </c>
      <c r="AA225" s="166">
        <f t="array" ref="AA225">SUM(IF(FPrevAcct=T225,IF(FPrevProd=S223,FPrev3)))</f>
        <v>1147003</v>
      </c>
      <c r="AB225" s="166">
        <f t="array" ref="AB225">SUM(IF(FPrevAcct=T225,IF(FPrevProd=S223,FPrev4)))</f>
        <v>522964</v>
      </c>
      <c r="AC225" s="166">
        <f t="array" ref="AC225">SUM(IF(FPrevAcct=T225,IF(FPrevProd=S223,FPrev5)))</f>
        <v>711577</v>
      </c>
      <c r="AD225" s="166">
        <f t="array" ref="AD225">SUM(IF(FPrevAcct=T225,IF(FPrevProd=S223,FPrev6)))</f>
        <v>1122088</v>
      </c>
      <c r="AE225" s="166">
        <f t="array" ref="AE225">SUM(IF(FPrevAcct=T225,IF(FPrevProd=S223,FPrev7)))</f>
        <v>652121</v>
      </c>
      <c r="AF225" s="166">
        <f t="array" ref="AF225">SUM(IF(FPrevAcct=T225,IF(FPrevProd=S223,FPrev8)))</f>
        <v>463468</v>
      </c>
      <c r="AG225" s="166">
        <f t="array" ref="AG225">SUM(IF(FPrevAcct=T225,IF(FPrevProd=S223,FPrev9)))</f>
        <v>642719</v>
      </c>
      <c r="AH225" s="166">
        <f t="array" ref="AH225">SUM(IF(FPrevAcct=T225,IF(FPrevProd=S223,FPrev10)))</f>
        <v>362901</v>
      </c>
      <c r="AI225" s="166">
        <f t="array" ref="AI225">SUM(IF(FPrevAcct=T225,IF(FPrevProd=S223,FPrev11)))</f>
        <v>407165</v>
      </c>
      <c r="AJ225" s="166">
        <f t="array" ref="AJ225">SUM(IF(FPrevAcct=T225,IF(FPrevProd=S223,FPrev12)))</f>
        <v>891017</v>
      </c>
      <c r="AK225" s="166">
        <f t="shared" si="15"/>
        <v>8824038</v>
      </c>
      <c r="AL225" s="94"/>
      <c r="AM225" s="9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  <c r="BA225" s="94"/>
      <c r="BB225" s="94"/>
      <c r="BC225" s="94"/>
    </row>
    <row r="226" spans="1:55">
      <c r="A226" s="94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197"/>
      <c r="T226" s="197">
        <v>442200</v>
      </c>
      <c r="U226" s="126">
        <v>51</v>
      </c>
      <c r="V226" s="94"/>
      <c r="W226" s="198" t="s">
        <v>1489</v>
      </c>
      <c r="X226" s="94"/>
      <c r="Y226" s="166">
        <f t="array" ref="Y226">SUM(IF(FPrevAcct=T226,IF(FPrevProd=S223,FPrev1)))</f>
        <v>493672</v>
      </c>
      <c r="Z226" s="166">
        <f t="array" ref="Z226">SUM(IF(FPrevAcct=T226,IF(FPrevProd=S223,FPrev2)))</f>
        <v>453474</v>
      </c>
      <c r="AA226" s="166">
        <f t="array" ref="AA226">SUM(IF(FPrevAcct=T226,IF(FPrevProd=S223,FPrev3)))</f>
        <v>596164</v>
      </c>
      <c r="AB226" s="166">
        <f t="array" ref="AB226">SUM(IF(FPrevAcct=T226,IF(FPrevProd=S223,FPrev4)))</f>
        <v>276330</v>
      </c>
      <c r="AC226" s="166">
        <f t="array" ref="AC226">SUM(IF(FPrevAcct=T226,IF(FPrevProd=S223,FPrev5)))</f>
        <v>400881</v>
      </c>
      <c r="AD226" s="166">
        <f t="array" ref="AD226">SUM(IF(FPrevAcct=T226,IF(FPrevProd=S223,FPrev6)))</f>
        <v>581737</v>
      </c>
      <c r="AE226" s="166">
        <f t="array" ref="AE226">SUM(IF(FPrevAcct=T226,IF(FPrevProd=S223,FPrev7)))</f>
        <v>315252</v>
      </c>
      <c r="AF226" s="166">
        <f t="array" ref="AF226">SUM(IF(FPrevAcct=T226,IF(FPrevProd=S223,FPrev8)))</f>
        <v>254240</v>
      </c>
      <c r="AG226" s="166">
        <f t="array" ref="AG226">SUM(IF(FPrevAcct=T226,IF(FPrevProd=S223,FPrev9)))</f>
        <v>319703</v>
      </c>
      <c r="AH226" s="166">
        <f t="array" ref="AH226">SUM(IF(FPrevAcct=T226,IF(FPrevProd=S223,FPrev10)))</f>
        <v>186082</v>
      </c>
      <c r="AI226" s="166">
        <f t="array" ref="AI226">SUM(IF(FPrevAcct=T226,IF(FPrevProd=S223,FPrev11)))</f>
        <v>229527</v>
      </c>
      <c r="AJ226" s="166">
        <f t="array" ref="AJ226">SUM(IF(FPrevAcct=T226,IF(FPrevProd=S223,FPrev12)))</f>
        <v>459181</v>
      </c>
      <c r="AK226" s="166">
        <f t="shared" si="15"/>
        <v>4566243</v>
      </c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  <c r="BA226" s="94"/>
      <c r="BB226" s="94"/>
      <c r="BC226" s="94"/>
    </row>
    <row r="227" spans="1:55">
      <c r="A227" s="94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197"/>
      <c r="T227" s="197">
        <v>444000</v>
      </c>
      <c r="U227" s="126">
        <v>52</v>
      </c>
      <c r="V227" s="94"/>
      <c r="W227" s="198" t="s">
        <v>1490</v>
      </c>
      <c r="X227" s="94"/>
      <c r="Y227" s="166">
        <f t="array" ref="Y227">SUM(IF(FPrevAcct=T227,IF(FPrevProd=S223,FPrev1)))</f>
        <v>8055</v>
      </c>
      <c r="Z227" s="166">
        <f t="array" ref="Z227">SUM(IF(FPrevAcct=T227,IF(FPrevProd=S223,FPrev2)))</f>
        <v>5073</v>
      </c>
      <c r="AA227" s="166">
        <f t="array" ref="AA227">SUM(IF(FPrevAcct=T227,IF(FPrevProd=S223,FPrev3)))</f>
        <v>11775</v>
      </c>
      <c r="AB227" s="166">
        <f t="array" ref="AB227">SUM(IF(FPrevAcct=T227,IF(FPrevProd=S223,FPrev4)))</f>
        <v>4494</v>
      </c>
      <c r="AC227" s="166">
        <f t="array" ref="AC227">SUM(IF(FPrevAcct=T227,IF(FPrevProd=S223,FPrev5)))</f>
        <v>7251</v>
      </c>
      <c r="AD227" s="166">
        <f t="array" ref="AD227">SUM(IF(FPrevAcct=T227,IF(FPrevProd=S223,FPrev6)))</f>
        <v>9422</v>
      </c>
      <c r="AE227" s="166">
        <f t="array" ref="AE227">SUM(IF(FPrevAcct=T227,IF(FPrevProd=S223,FPrev7)))</f>
        <v>5749</v>
      </c>
      <c r="AF227" s="166">
        <f t="array" ref="AF227">SUM(IF(FPrevAcct=T227,IF(FPrevProd=S223,FPrev8)))</f>
        <v>4447</v>
      </c>
      <c r="AG227" s="166">
        <f t="array" ref="AG227">SUM(IF(FPrevAcct=T227,IF(FPrevProd=S223,FPrev9)))</f>
        <v>5701</v>
      </c>
      <c r="AH227" s="166">
        <f t="array" ref="AH227">SUM(IF(FPrevAcct=T227,IF(FPrevProd=S223,FPrev10)))</f>
        <v>3158</v>
      </c>
      <c r="AI227" s="166">
        <f t="array" ref="AI227">SUM(IF(FPrevAcct=T227,IF(FPrevProd=S223,FPrev11)))</f>
        <v>3743</v>
      </c>
      <c r="AJ227" s="166">
        <f t="array" ref="AJ227">SUM(IF(FPrevAcct=T227,IF(FPrevProd=S223,FPrev12)))</f>
        <v>8264</v>
      </c>
      <c r="AK227" s="166">
        <f t="shared" si="15"/>
        <v>77132</v>
      </c>
      <c r="AL227" s="94"/>
      <c r="AM227" s="94"/>
      <c r="AN227" s="94"/>
      <c r="AO227" s="94"/>
      <c r="AP227" s="94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  <c r="BA227" s="94"/>
      <c r="BB227" s="94"/>
      <c r="BC227" s="94"/>
    </row>
    <row r="228" spans="1:55">
      <c r="A228" s="94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197"/>
      <c r="T228" s="197">
        <v>445000</v>
      </c>
      <c r="U228" s="126">
        <v>53</v>
      </c>
      <c r="V228" s="94"/>
      <c r="W228" s="198" t="s">
        <v>1491</v>
      </c>
      <c r="X228" s="94"/>
      <c r="Y228" s="166">
        <f t="array" ref="Y228">SUM(IF(FPrevAcct=T228,IF(FPrevProd=S223,FPrev1)))</f>
        <v>166837</v>
      </c>
      <c r="Z228" s="166">
        <f t="array" ref="Z228">SUM(IF(FPrevAcct=T228,IF(FPrevProd=S223,FPrev2)))</f>
        <v>157591</v>
      </c>
      <c r="AA228" s="166">
        <f t="array" ref="AA228">SUM(IF(FPrevAcct=T228,IF(FPrevProd=S223,FPrev3)))</f>
        <v>214866</v>
      </c>
      <c r="AB228" s="166">
        <f t="array" ref="AB228">SUM(IF(FPrevAcct=T228,IF(FPrevProd=S223,FPrev4)))</f>
        <v>97882</v>
      </c>
      <c r="AC228" s="166">
        <f t="array" ref="AC228">SUM(IF(FPrevAcct=T228,IF(FPrevProd=S223,FPrev5)))</f>
        <v>123433</v>
      </c>
      <c r="AD228" s="166">
        <f t="array" ref="AD228">SUM(IF(FPrevAcct=T228,IF(FPrevProd=S223,FPrev6)))</f>
        <v>201928</v>
      </c>
      <c r="AE228" s="166">
        <f t="array" ref="AE228">SUM(IF(FPrevAcct=T228,IF(FPrevProd=S223,FPrev7)))</f>
        <v>115027</v>
      </c>
      <c r="AF228" s="166">
        <f t="array" ref="AF228">SUM(IF(FPrevAcct=T228,IF(FPrevProd=S223,FPrev8)))</f>
        <v>92815</v>
      </c>
      <c r="AG228" s="166">
        <f t="array" ref="AG228">SUM(IF(FPrevAcct=T228,IF(FPrevProd=S223,FPrev9)))</f>
        <v>111658</v>
      </c>
      <c r="AH228" s="166">
        <f t="array" ref="AH228">SUM(IF(FPrevAcct=T228,IF(FPrevProd=S223,FPrev10)))</f>
        <v>53392</v>
      </c>
      <c r="AI228" s="166">
        <f t="array" ref="AI228">SUM(IF(FPrevAcct=T228,IF(FPrevProd=S223,FPrev11)))</f>
        <v>71300</v>
      </c>
      <c r="AJ228" s="166">
        <f t="array" ref="AJ228">SUM(IF(FPrevAcct=T228,IF(FPrevProd=S223,FPrev12)))</f>
        <v>144875</v>
      </c>
      <c r="AK228" s="166">
        <f t="shared" si="15"/>
        <v>1551604</v>
      </c>
      <c r="AL228" s="94"/>
      <c r="AM228" s="94"/>
      <c r="AN228" s="94"/>
      <c r="AO228" s="94"/>
      <c r="AP228" s="94"/>
      <c r="AQ228" s="94"/>
      <c r="AR228" s="94"/>
      <c r="AS228" s="94"/>
      <c r="AT228" s="94"/>
      <c r="AU228" s="94"/>
      <c r="AV228" s="94"/>
      <c r="AW228" s="94"/>
      <c r="AX228" s="94"/>
      <c r="AY228" s="94"/>
      <c r="AZ228" s="94"/>
      <c r="BA228" s="94"/>
      <c r="BB228" s="94"/>
      <c r="BC228" s="94"/>
    </row>
    <row r="229" spans="1:55">
      <c r="A229" s="94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126">
        <v>54</v>
      </c>
      <c r="V229" s="94"/>
      <c r="W229" s="94"/>
      <c r="X229" s="94"/>
      <c r="Y229" s="166"/>
      <c r="Z229" s="166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  <c r="BA229" s="94"/>
      <c r="BB229" s="94"/>
      <c r="BC229" s="94"/>
    </row>
    <row r="230" spans="1:55">
      <c r="A230" s="94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>
        <f>T146</f>
        <v>447</v>
      </c>
      <c r="U230" s="126">
        <v>55</v>
      </c>
      <c r="V230" s="94"/>
      <c r="W230" s="94" t="s">
        <v>381</v>
      </c>
      <c r="X230" s="94"/>
      <c r="Y230" s="215">
        <f t="array" ref="Y230">SUM(IF(FERCFP=T230,Forecast1))</f>
        <v>6255559</v>
      </c>
      <c r="Z230" s="215">
        <f t="array" ref="Z230">SUM(IF(FERCFP=T230,Forecast2))</f>
        <v>3872948</v>
      </c>
      <c r="AA230" s="215">
        <f t="array" ref="AA230">SUM(IF(FERCFP=T230,Forecast3))</f>
        <v>426653</v>
      </c>
      <c r="AB230" s="215">
        <f t="array" ref="AB230">SUM(IF(FERCFP=T230,forecast4))</f>
        <v>640</v>
      </c>
      <c r="AC230" s="215">
        <f t="array" ref="AC230">SUM(IF(FERCFP=T230,Forecast5))</f>
        <v>1212317</v>
      </c>
      <c r="AD230" s="215">
        <f t="array" ref="AD230">SUM(IF(FERCFP=T230,Forecast6))</f>
        <v>2624771</v>
      </c>
      <c r="AE230" s="215">
        <f t="array" ref="AE230">SUM(IF(FERCFP=T230,Forecast7))</f>
        <v>6085846</v>
      </c>
      <c r="AF230" s="215">
        <f t="array" ref="AF230">SUM(IF(FERCFP=T230,Forecast8))</f>
        <v>2642341</v>
      </c>
      <c r="AG230" s="215">
        <f t="array" ref="AG230">SUM(IF(FERCFP=T230,Forecast9))</f>
        <v>2342229</v>
      </c>
      <c r="AH230" s="215">
        <f t="array" ref="AH230">SUM(IF(FERCFP=T230,Forecast10))</f>
        <v>1906971</v>
      </c>
      <c r="AI230" s="215">
        <f t="array" ref="AI230">SUM(IF(FERCFP=T230,Forecast11))</f>
        <v>2194989</v>
      </c>
      <c r="AJ230" s="215">
        <f t="array" ref="AJ230">SUM(IF(FERCFP=T230,Forecast12))</f>
        <v>1995545</v>
      </c>
      <c r="AK230" s="166">
        <f>SUM(Y230:AJ230)</f>
        <v>31560809</v>
      </c>
      <c r="AL230" s="94"/>
      <c r="AM230" s="94"/>
      <c r="AN230" s="94"/>
      <c r="AO230" s="94"/>
      <c r="AP230" s="94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  <c r="BA230" s="94"/>
      <c r="BB230" s="94"/>
      <c r="BC230" s="94"/>
    </row>
    <row r="231" spans="1:55">
      <c r="A231" s="94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126">
        <v>56</v>
      </c>
      <c r="V231" s="94"/>
      <c r="W231" s="94"/>
      <c r="X231" s="94"/>
      <c r="Y231" s="166"/>
      <c r="Z231" s="166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94"/>
      <c r="AM231" s="1205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  <c r="BA231" s="94"/>
      <c r="BB231" s="94"/>
      <c r="BC231" s="94"/>
    </row>
    <row r="232" spans="1:55">
      <c r="A232" s="94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>
        <f>T148</f>
        <v>449</v>
      </c>
      <c r="U232" s="126">
        <v>57</v>
      </c>
      <c r="V232" s="94"/>
      <c r="W232" s="94" t="s">
        <v>1500</v>
      </c>
      <c r="X232" s="94"/>
      <c r="Y232" s="166">
        <f t="array" ref="Y232">SUM(IF(FERCFP=T232,Forecast1))</f>
        <v>0</v>
      </c>
      <c r="Z232" s="166">
        <f t="array" ref="Z232">SUM(IF(FERCFP=T232,Forecast2))</f>
        <v>0</v>
      </c>
      <c r="AA232" s="166">
        <f t="array" ref="AA232">SUM(IF(FERCFP=T232,Forecast3))</f>
        <v>0</v>
      </c>
      <c r="AB232" s="166">
        <f t="array" ref="AB232">SUM(IF(FERCFP=T232,forecast4))</f>
        <v>0</v>
      </c>
      <c r="AC232" s="166">
        <f t="array" ref="AC232">SUM(IF(FERCFP=T232,Forecast5))</f>
        <v>0</v>
      </c>
      <c r="AD232" s="166">
        <f t="array" ref="AD232">SUM(IF(FERCFP=T232,Forecast6))</f>
        <v>0</v>
      </c>
      <c r="AE232" s="166">
        <f t="array" ref="AE232">SUM(IF(FERCFP=T232,Forecast7))</f>
        <v>0</v>
      </c>
      <c r="AF232" s="166">
        <f t="array" ref="AF232">SUM(IF(FERCFP=T232,Forecast8))</f>
        <v>0</v>
      </c>
      <c r="AG232" s="166">
        <f t="array" ref="AG232">SUM(IF(FERCFP=T232,Forecast9))</f>
        <v>0</v>
      </c>
      <c r="AH232" s="166">
        <f t="array" ref="AH232">SUM(IF(FERCFP=T232,Forecast10))</f>
        <v>0</v>
      </c>
      <c r="AI232" s="166">
        <f t="array" ref="AI232">SUM(IF(FERCFP=T232,Forecast11))</f>
        <v>0</v>
      </c>
      <c r="AJ232" s="166">
        <f t="array" ref="AJ232">SUM(IF(FERCFP=T232,Forecast12))</f>
        <v>0</v>
      </c>
      <c r="AK232" s="166">
        <f t="shared" ref="AK232:AK237" si="16">SUM(Y232:AJ232)</f>
        <v>0</v>
      </c>
      <c r="AL232" s="94"/>
      <c r="AM232" s="94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  <c r="BA232" s="94"/>
      <c r="BB232" s="94"/>
      <c r="BC232" s="94"/>
    </row>
    <row r="233" spans="1:55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>
        <v>450</v>
      </c>
      <c r="U233" s="126">
        <v>58</v>
      </c>
      <c r="V233" s="94"/>
      <c r="W233" s="94" t="s">
        <v>286</v>
      </c>
      <c r="X233" s="94"/>
      <c r="Y233" s="166">
        <f t="array" ref="Y233">SUM(IF(FERCFP=T233,Forecast1))</f>
        <v>142710</v>
      </c>
      <c r="Z233" s="166">
        <f t="array" ref="Z233">SUM(IF(FERCFP=T233,Forecast2))</f>
        <v>140840</v>
      </c>
      <c r="AA233" s="166">
        <f t="array" ref="AA233">SUM(IF(FERCFP=T233,Forecast3))</f>
        <v>171160</v>
      </c>
      <c r="AB233" s="166">
        <f t="array" ref="AB233">SUM(IF(FERCFP=T233,forecast4))</f>
        <v>106100</v>
      </c>
      <c r="AC233" s="166">
        <f t="array" ref="AC233">SUM(IF(FERCFP=T233,Forecast5))</f>
        <v>51860</v>
      </c>
      <c r="AD233" s="166">
        <f t="array" ref="AD233">SUM(IF(FERCFP=T233,Forecast6))</f>
        <v>63670</v>
      </c>
      <c r="AE233" s="166">
        <f t="array" ref="AE233">SUM(IF(FERCFP=T233,Forecast7))</f>
        <v>70460</v>
      </c>
      <c r="AF233" s="166">
        <f t="array" ref="AF233">SUM(IF(FERCFP=T233,Forecast8))</f>
        <v>95670</v>
      </c>
      <c r="AG233" s="166">
        <f t="array" ref="AG233">SUM(IF(FERCFP=T233,Forecast9))</f>
        <v>84040</v>
      </c>
      <c r="AH233" s="166">
        <f t="array" ref="AH233">SUM(IF(FERCFP=T233,Forecast10))</f>
        <v>73170</v>
      </c>
      <c r="AI233" s="166">
        <f t="array" ref="AI233">SUM(IF(FERCFP=T233,Forecast11))</f>
        <v>75210</v>
      </c>
      <c r="AJ233" s="166">
        <f t="array" ref="AJ233">SUM(IF(FERCFP=T233,Forecast12))</f>
        <v>80170</v>
      </c>
      <c r="AK233" s="166">
        <f t="shared" ref="AK233" si="17">SUM(Y233:AJ233)</f>
        <v>1155060</v>
      </c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  <c r="BA233" s="94"/>
      <c r="BB233" s="94"/>
      <c r="BC233" s="94"/>
    </row>
    <row r="234" spans="1:55">
      <c r="A234" s="94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>
        <f>T150</f>
        <v>451</v>
      </c>
      <c r="U234" s="126">
        <v>59</v>
      </c>
      <c r="V234" s="94"/>
      <c r="W234" s="94" t="s">
        <v>1501</v>
      </c>
      <c r="X234" s="94"/>
      <c r="Y234" s="166">
        <f t="array" ref="Y234">SUM(IF(FERCFP=T234,Forecast1))</f>
        <v>20833</v>
      </c>
      <c r="Z234" s="166">
        <f t="array" ref="Z234">SUM(IF(FERCFP=T234,Forecast2))</f>
        <v>20833</v>
      </c>
      <c r="AA234" s="166">
        <f t="array" ref="AA234">SUM(IF(FERCFP=T234,Forecast3))</f>
        <v>20833</v>
      </c>
      <c r="AB234" s="166">
        <f t="array" ref="AB234">SUM(IF(FERCFP=T234,forecast4))</f>
        <v>20833</v>
      </c>
      <c r="AC234" s="166">
        <f t="array" ref="AC234">SUM(IF(FERCFP=T234,Forecast5))</f>
        <v>20833</v>
      </c>
      <c r="AD234" s="166">
        <f t="array" ref="AD234">SUM(IF(FERCFP=T234,Forecast6))</f>
        <v>20833</v>
      </c>
      <c r="AE234" s="166">
        <f t="array" ref="AE234">SUM(IF(FERCFP=T234,Forecast7))</f>
        <v>20833</v>
      </c>
      <c r="AF234" s="166">
        <f t="array" ref="AF234">SUM(IF(FERCFP=T234,Forecast8))</f>
        <v>20833</v>
      </c>
      <c r="AG234" s="166">
        <f t="array" ref="AG234">SUM(IF(FERCFP=T234,Forecast9))</f>
        <v>20833</v>
      </c>
      <c r="AH234" s="166">
        <f t="array" ref="AH234">SUM(IF(FERCFP=T234,Forecast10))</f>
        <v>20833</v>
      </c>
      <c r="AI234" s="166">
        <f t="array" ref="AI234">SUM(IF(FERCFP=T234,Forecast11))</f>
        <v>20833</v>
      </c>
      <c r="AJ234" s="166">
        <f t="array" ref="AJ234">SUM(IF(FERCFP=T234,Forecast12))</f>
        <v>20833</v>
      </c>
      <c r="AK234" s="166">
        <f t="shared" si="16"/>
        <v>249996</v>
      </c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4"/>
      <c r="BB234" s="94"/>
      <c r="BC234" s="94"/>
    </row>
    <row r="235" spans="1:55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>
        <f>T151</f>
        <v>454</v>
      </c>
      <c r="U235" s="126">
        <v>60</v>
      </c>
      <c r="V235" s="94"/>
      <c r="W235" s="94" t="s">
        <v>1502</v>
      </c>
      <c r="X235" s="94"/>
      <c r="Y235" s="166">
        <f t="array" ref="Y235">SUM(IF(FERCFP=T235,Forecast1))</f>
        <v>166666</v>
      </c>
      <c r="Z235" s="166">
        <f t="array" ref="Z235">SUM(IF(FERCFP=T235,Forecast2))</f>
        <v>166666</v>
      </c>
      <c r="AA235" s="166">
        <f t="array" ref="AA235">SUM(IF(FERCFP=T235,Forecast3))</f>
        <v>166666</v>
      </c>
      <c r="AB235" s="166">
        <f t="array" ref="AB235">SUM(IF(FERCFP=T235,forecast4))</f>
        <v>166666</v>
      </c>
      <c r="AC235" s="166">
        <f t="array" ref="AC235">SUM(IF(FERCFP=T235,Forecast5))</f>
        <v>166666</v>
      </c>
      <c r="AD235" s="166">
        <f t="array" ref="AD235">SUM(IF(FERCFP=T235,Forecast6))</f>
        <v>166666</v>
      </c>
      <c r="AE235" s="166">
        <f t="array" ref="AE235">SUM(IF(FERCFP=T235,Forecast7))</f>
        <v>166666</v>
      </c>
      <c r="AF235" s="166">
        <f t="array" ref="AF235">SUM(IF(FERCFP=T235,Forecast8))</f>
        <v>166666</v>
      </c>
      <c r="AG235" s="166">
        <f t="array" ref="AG235">SUM(IF(FERCFP=T235,Forecast9))</f>
        <v>166666</v>
      </c>
      <c r="AH235" s="166">
        <f t="array" ref="AH235">SUM(IF(FERCFP=T235,Forecast10))</f>
        <v>166666</v>
      </c>
      <c r="AI235" s="166">
        <f t="array" ref="AI235">SUM(IF(FERCFP=T235,Forecast11))</f>
        <v>166666</v>
      </c>
      <c r="AJ235" s="166">
        <f t="array" ref="AJ235">SUM(IF(FERCFP=T235,Forecast12))</f>
        <v>166666</v>
      </c>
      <c r="AK235" s="166">
        <f t="shared" si="16"/>
        <v>1999992</v>
      </c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  <c r="BA235" s="94"/>
      <c r="BB235" s="94"/>
      <c r="BC235" s="94"/>
    </row>
    <row r="236" spans="1:55">
      <c r="A236" s="94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>
        <f>T152</f>
        <v>456</v>
      </c>
      <c r="U236" s="126">
        <v>61</v>
      </c>
      <c r="V236" s="94"/>
      <c r="W236" s="94" t="s">
        <v>287</v>
      </c>
      <c r="X236" s="94"/>
      <c r="Y236" s="166">
        <f t="array" ref="Y236">SUM(IF(FERCFP=T236,Forecast1))</f>
        <v>14125</v>
      </c>
      <c r="Z236" s="166">
        <f t="array" ref="Z236">SUM(IF(FERCFP=T236,Forecast2))</f>
        <v>14125</v>
      </c>
      <c r="AA236" s="166">
        <f t="array" ref="AA236">SUM(IF(FERCFP=T236,Forecast3))</f>
        <v>14125</v>
      </c>
      <c r="AB236" s="166">
        <f t="array" ref="AB236">SUM(IF(FERCFP=T236,forecast4))</f>
        <v>14125</v>
      </c>
      <c r="AC236" s="166">
        <f t="array" ref="AC236">SUM(IF(FERCFP=T236,Forecast5))</f>
        <v>14125</v>
      </c>
      <c r="AD236" s="166">
        <f t="array" ref="AD236">SUM(IF(FERCFP=T236,Forecast6))</f>
        <v>14125</v>
      </c>
      <c r="AE236" s="166">
        <f t="array" ref="AE236">SUM(IF(FERCFP=T236,Forecast7))</f>
        <v>14125</v>
      </c>
      <c r="AF236" s="166">
        <f t="array" ref="AF236">SUM(IF(FERCFP=T236,Forecast8))</f>
        <v>14125</v>
      </c>
      <c r="AG236" s="166">
        <f t="array" ref="AG236">SUM(IF(FERCFP=T236,Forecast9))</f>
        <v>14125</v>
      </c>
      <c r="AH236" s="166">
        <f t="array" ref="AH236">SUM(IF(FERCFP=T236,Forecast10))</f>
        <v>14125</v>
      </c>
      <c r="AI236" s="166">
        <f t="array" ref="AI236">SUM(IF(FERCFP=T236,Forecast11))</f>
        <v>14125</v>
      </c>
      <c r="AJ236" s="166">
        <f t="array" ref="AJ236">SUM(IF(FERCFP=T236,Forecast12))</f>
        <v>14125</v>
      </c>
      <c r="AK236" s="166">
        <f t="shared" si="16"/>
        <v>169500</v>
      </c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</row>
    <row r="237" spans="1:55">
      <c r="A237" s="94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>
        <f>T153</f>
        <v>457</v>
      </c>
      <c r="U237" s="126">
        <v>62</v>
      </c>
      <c r="V237" s="94"/>
      <c r="W237" s="94" t="s">
        <v>1503</v>
      </c>
      <c r="X237" s="94"/>
      <c r="Y237" s="1499">
        <f t="array" ref="Y237">SUM(IF(FERCFP=T237,Forecast1))</f>
        <v>156750</v>
      </c>
      <c r="Z237" s="1499">
        <f t="array" ref="Z237">SUM(IF(FERCFP=T237,Forecast2))</f>
        <v>156750</v>
      </c>
      <c r="AA237" s="1499">
        <f t="array" ref="AA237">SUM(IF(FERCFP=T237,Forecast3))</f>
        <v>156750</v>
      </c>
      <c r="AB237" s="1499">
        <f t="array" ref="AB237">SUM(IF(FERCFP=T237,forecast4))</f>
        <v>156750</v>
      </c>
      <c r="AC237" s="1499">
        <f t="array" ref="AC237">SUM(IF(FERCFP=T237,Forecast5))</f>
        <v>156750</v>
      </c>
      <c r="AD237" s="1499">
        <f t="array" ref="AD237">SUM(IF(FERCFP=T237,Forecast6))</f>
        <v>156750</v>
      </c>
      <c r="AE237" s="1499">
        <f t="array" ref="AE237">SUM(IF(FERCFP=T237,Forecast7))</f>
        <v>156750</v>
      </c>
      <c r="AF237" s="1499">
        <f t="array" ref="AF237">SUM(IF(FERCFP=T237,Forecast8))</f>
        <v>156750</v>
      </c>
      <c r="AG237" s="1499">
        <f t="array" ref="AG237">SUM(IF(FERCFP=T237,Forecast9))</f>
        <v>156750</v>
      </c>
      <c r="AH237" s="1499">
        <f t="array" ref="AH237">SUM(IF(FERCFP=T237,Forecast10))</f>
        <v>156750</v>
      </c>
      <c r="AI237" s="1499">
        <f t="array" ref="AI237">SUM(IF(FERCFP=T237,Forecast11))</f>
        <v>156750</v>
      </c>
      <c r="AJ237" s="1499">
        <f t="array" ref="AJ237">SUM(IF(FERCFP=T237,Forecast12))</f>
        <v>156750</v>
      </c>
      <c r="AK237" s="1499">
        <f t="shared" si="16"/>
        <v>1881000</v>
      </c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  <c r="BA237" s="94"/>
      <c r="BB237" s="94"/>
      <c r="BC237" s="94"/>
    </row>
    <row r="238" spans="1:55">
      <c r="A238" s="94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126">
        <v>63</v>
      </c>
      <c r="V238" s="94"/>
      <c r="W238" s="94"/>
      <c r="X238" s="94"/>
      <c r="Y238" s="166"/>
      <c r="Z238" s="166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94"/>
      <c r="AM238" s="94"/>
      <c r="AN238" s="94"/>
      <c r="AO238" s="94"/>
      <c r="AP238" s="94"/>
      <c r="AQ238" s="94"/>
      <c r="AR238" s="94"/>
      <c r="AS238" s="94"/>
      <c r="AT238" s="94"/>
      <c r="AU238" s="94"/>
      <c r="AV238" s="94"/>
      <c r="AW238" s="94"/>
      <c r="AX238" s="94"/>
      <c r="AY238" s="94"/>
      <c r="AZ238" s="94"/>
      <c r="BA238" s="94"/>
      <c r="BB238" s="94"/>
      <c r="BC238" s="94"/>
    </row>
    <row r="239" spans="1:55" ht="13.8" thickBot="1">
      <c r="A239" s="94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126">
        <v>64</v>
      </c>
      <c r="V239" s="94"/>
      <c r="W239" s="94" t="s">
        <v>452</v>
      </c>
      <c r="X239" s="94"/>
      <c r="Y239" s="1943">
        <f>SUM(Y177:Y182)+SUM(Y185:Y189)+Y207+SUM(Y210:Y214)+SUM(Y217:Y221)+SUM(Y224:Y228)+Y230+SUM(Y232:Y237)</f>
        <v>46756419</v>
      </c>
      <c r="Z239" s="1943">
        <f>SUM(Z177:Z182)+SUM(Z185:Z189)+Z207+SUM(Z210:Z214)+SUM(Z217:Z221)+SUM(Z224:Z228)+Z230+SUM(Z232:Z237)</f>
        <v>46599417</v>
      </c>
      <c r="AA239" s="1943">
        <f t="shared" ref="AA239:AK239" si="18">SUM(AA177:AA182)+SUM(AA185:AA189)+AA207+SUM(AA210:AA214)+SUM(AA217:AA221)+SUM(AA224:AA228)+AA230+SUM(AA232:AA237)</f>
        <v>40987918</v>
      </c>
      <c r="AB239" s="1943">
        <f t="shared" si="18"/>
        <v>33441003</v>
      </c>
      <c r="AC239" s="1943">
        <f t="shared" si="18"/>
        <v>40170919</v>
      </c>
      <c r="AD239" s="1943">
        <f t="shared" si="18"/>
        <v>46615594</v>
      </c>
      <c r="AE239" s="1943">
        <f t="shared" si="18"/>
        <v>43184338</v>
      </c>
      <c r="AF239" s="1943">
        <f t="shared" si="18"/>
        <v>38304387</v>
      </c>
      <c r="AG239" s="1943">
        <f t="shared" si="18"/>
        <v>36146602</v>
      </c>
      <c r="AH239" s="1943">
        <f t="shared" si="18"/>
        <v>32233049</v>
      </c>
      <c r="AI239" s="1943">
        <f t="shared" si="18"/>
        <v>35889410</v>
      </c>
      <c r="AJ239" s="1943">
        <f t="shared" si="18"/>
        <v>42223921</v>
      </c>
      <c r="AK239" s="1943">
        <f t="shared" si="18"/>
        <v>482552977</v>
      </c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  <c r="BA239" s="94"/>
      <c r="BB239" s="94"/>
      <c r="BC239" s="94"/>
    </row>
    <row r="240" spans="1:55" ht="13.8" thickTop="1">
      <c r="A240" s="94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126"/>
      <c r="V240" s="94"/>
      <c r="W240" s="94"/>
      <c r="X240" s="94"/>
      <c r="Y240" s="94"/>
      <c r="Z240" s="166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4"/>
      <c r="AP240" s="94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  <c r="BA240" s="94"/>
      <c r="BB240" s="94"/>
      <c r="BC240" s="94"/>
    </row>
    <row r="241" spans="1:55">
      <c r="A241" s="94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166">
        <f>'FORECASTED PERIOD'!F245</f>
        <v>46756419</v>
      </c>
      <c r="Z241" s="166">
        <f>'FORECASTED PERIOD'!G245</f>
        <v>46599417</v>
      </c>
      <c r="AA241" s="166">
        <f>'FORECASTED PERIOD'!H245</f>
        <v>40987918</v>
      </c>
      <c r="AB241" s="166">
        <f>'FORECASTED PERIOD'!I245</f>
        <v>33441003</v>
      </c>
      <c r="AC241" s="166">
        <f>'FORECASTED PERIOD'!J245</f>
        <v>40170919</v>
      </c>
      <c r="AD241" s="166">
        <f>'FORECASTED PERIOD'!K245</f>
        <v>46615594</v>
      </c>
      <c r="AE241" s="166">
        <f>'FORECASTED PERIOD'!L245</f>
        <v>43184338</v>
      </c>
      <c r="AF241" s="166">
        <f>'FORECASTED PERIOD'!M245</f>
        <v>38304387</v>
      </c>
      <c r="AG241" s="166">
        <f>'FORECASTED PERIOD'!N245</f>
        <v>36146602</v>
      </c>
      <c r="AH241" s="166">
        <f>'FORECASTED PERIOD'!O245</f>
        <v>32233049</v>
      </c>
      <c r="AI241" s="166">
        <f>'FORECASTED PERIOD'!P245</f>
        <v>35889410</v>
      </c>
      <c r="AJ241" s="166">
        <f>'FORECASTED PERIOD'!Q245</f>
        <v>42223921</v>
      </c>
      <c r="AK241" s="166">
        <f>SUM(Y241:AJ241)</f>
        <v>482552977</v>
      </c>
      <c r="AL241" s="94"/>
      <c r="AM241" s="94"/>
      <c r="AN241" s="94"/>
      <c r="AO241" s="94"/>
      <c r="AP241" s="94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  <c r="BA241" s="94"/>
      <c r="BB241" s="94"/>
      <c r="BC241" s="94"/>
    </row>
    <row r="242" spans="1:55">
      <c r="A242" s="94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166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N242" s="94"/>
      <c r="AO242" s="94"/>
      <c r="AP242" s="94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  <c r="BA242" s="94"/>
      <c r="BB242" s="94"/>
      <c r="BC242" s="94"/>
    </row>
    <row r="243" spans="1:55">
      <c r="A243" s="94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166">
        <f t="shared" ref="Y243:AI243" si="19">Y239-Y241</f>
        <v>0</v>
      </c>
      <c r="Z243" s="166">
        <f t="shared" si="19"/>
        <v>0</v>
      </c>
      <c r="AA243" s="166">
        <f t="shared" si="19"/>
        <v>0</v>
      </c>
      <c r="AB243" s="166">
        <f t="shared" si="19"/>
        <v>0</v>
      </c>
      <c r="AC243" s="166">
        <f t="shared" si="19"/>
        <v>0</v>
      </c>
      <c r="AD243" s="166">
        <f t="shared" si="19"/>
        <v>0</v>
      </c>
      <c r="AE243" s="166">
        <f t="shared" si="19"/>
        <v>0</v>
      </c>
      <c r="AF243" s="166">
        <f t="shared" si="19"/>
        <v>0</v>
      </c>
      <c r="AG243" s="166">
        <f t="shared" si="19"/>
        <v>0</v>
      </c>
      <c r="AH243" s="166">
        <f t="shared" si="19"/>
        <v>0</v>
      </c>
      <c r="AI243" s="166">
        <f t="shared" si="19"/>
        <v>0</v>
      </c>
      <c r="AJ243" s="166">
        <f>AJ239-AJ241</f>
        <v>0</v>
      </c>
      <c r="AK243" s="166">
        <f>SUM(Y243:AJ243)</f>
        <v>0</v>
      </c>
      <c r="AL243" s="94"/>
      <c r="AM243" s="94"/>
      <c r="AN243" s="94"/>
      <c r="AO243" s="94"/>
      <c r="AP243" s="94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  <c r="BA243" s="94"/>
      <c r="BB243" s="94"/>
      <c r="BC243" s="94"/>
    </row>
    <row r="244" spans="1:55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2412"/>
      <c r="Z244" s="2412"/>
      <c r="AA244" s="2412"/>
      <c r="AB244" s="2412"/>
      <c r="AC244" s="2412"/>
      <c r="AD244" s="2412"/>
      <c r="AE244" s="2412"/>
      <c r="AF244" s="2412"/>
      <c r="AG244" s="2412"/>
      <c r="AH244" s="2412"/>
      <c r="AI244" s="2412"/>
      <c r="AJ244" s="2412"/>
      <c r="AK244" s="2412"/>
      <c r="AL244" s="94"/>
      <c r="AM244" s="94"/>
      <c r="AN244" s="94"/>
      <c r="AO244" s="94"/>
      <c r="AP244" s="94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  <c r="BA244" s="94"/>
      <c r="BB244" s="94"/>
      <c r="BC244" s="94"/>
    </row>
    <row r="245" spans="1:55">
      <c r="A245" s="94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2412"/>
      <c r="Z245" s="2412"/>
      <c r="AA245" s="2412"/>
      <c r="AB245" s="2412"/>
      <c r="AC245" s="2412"/>
      <c r="AD245" s="2412"/>
      <c r="AE245" s="2412"/>
      <c r="AF245" s="2412"/>
      <c r="AG245" s="2412"/>
      <c r="AH245" s="2412"/>
      <c r="AI245" s="2412"/>
      <c r="AJ245" s="2412"/>
      <c r="AK245" s="2412"/>
      <c r="AL245" s="94"/>
      <c r="AM245" s="94"/>
      <c r="AN245" s="94"/>
      <c r="AO245" s="94"/>
      <c r="AP245" s="94"/>
      <c r="AQ245" s="94"/>
      <c r="AR245" s="94"/>
      <c r="AS245" s="94"/>
      <c r="AT245" s="94"/>
      <c r="AU245" s="94"/>
      <c r="AV245" s="94"/>
      <c r="AW245" s="94"/>
      <c r="AX245" s="94"/>
      <c r="AY245" s="94"/>
      <c r="AZ245" s="94"/>
      <c r="BA245" s="94"/>
      <c r="BB245" s="94"/>
      <c r="BC245" s="94"/>
    </row>
    <row r="246" spans="1:55">
      <c r="A246" s="94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2412"/>
      <c r="Z246" s="2412"/>
      <c r="AA246" s="2412"/>
      <c r="AB246" s="2412"/>
      <c r="AC246" s="2412"/>
      <c r="AD246" s="2412"/>
      <c r="AE246" s="2412"/>
      <c r="AF246" s="2412"/>
      <c r="AG246" s="2412"/>
      <c r="AH246" s="2412"/>
      <c r="AI246" s="2412"/>
      <c r="AJ246" s="2412"/>
      <c r="AK246" s="2412"/>
      <c r="AL246" s="94"/>
      <c r="AM246" s="94"/>
      <c r="AN246" s="94"/>
      <c r="AO246" s="94"/>
      <c r="AP246" s="94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  <c r="BA246" s="94"/>
      <c r="BB246" s="94"/>
      <c r="BC246" s="94"/>
    </row>
    <row r="247" spans="1:55">
      <c r="A247" s="94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  <c r="BA247" s="94"/>
      <c r="BB247" s="94"/>
      <c r="BC247" s="94"/>
    </row>
    <row r="248" spans="1:55">
      <c r="A248" s="94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166"/>
      <c r="Z248" s="166"/>
      <c r="AA248" s="166"/>
      <c r="AB248" s="166"/>
      <c r="AC248" s="166"/>
      <c r="AD248" s="166"/>
      <c r="AE248" s="166"/>
      <c r="AF248" s="166"/>
      <c r="AG248" s="166"/>
      <c r="AH248" s="166"/>
      <c r="AI248" s="166"/>
      <c r="AJ248" s="166"/>
      <c r="AK248" s="166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  <c r="BA248" s="94"/>
      <c r="BB248" s="94"/>
      <c r="BC248" s="94"/>
    </row>
    <row r="249" spans="1:55">
      <c r="A249" s="94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198"/>
      <c r="X249" s="94"/>
      <c r="Y249" s="166"/>
      <c r="Z249" s="166"/>
      <c r="AA249" s="166"/>
      <c r="AB249" s="166"/>
      <c r="AC249" s="166"/>
      <c r="AD249" s="166"/>
      <c r="AE249" s="166"/>
      <c r="AF249" s="166"/>
      <c r="AG249" s="166"/>
      <c r="AH249" s="166"/>
      <c r="AI249" s="166"/>
      <c r="AJ249" s="166"/>
      <c r="AK249" s="166"/>
      <c r="AL249" s="94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  <c r="BA249" s="94"/>
      <c r="BB249" s="94"/>
      <c r="BC249" s="94"/>
    </row>
    <row r="250" spans="1:55">
      <c r="A250" s="94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198"/>
      <c r="X250" s="94"/>
      <c r="Y250" s="166"/>
      <c r="Z250" s="166"/>
      <c r="AA250" s="166"/>
      <c r="AB250" s="166"/>
      <c r="AC250" s="166"/>
      <c r="AD250" s="166"/>
      <c r="AE250" s="166"/>
      <c r="AF250" s="166"/>
      <c r="AG250" s="166"/>
      <c r="AH250" s="166"/>
      <c r="AI250" s="166"/>
      <c r="AJ250" s="166"/>
      <c r="AK250" s="166"/>
      <c r="AL250" s="94"/>
      <c r="AM250" s="589" t="str">
        <f>COMPANY</f>
        <v>DUKE ENERGY KENTUCKY, INC.</v>
      </c>
      <c r="AN250" s="589"/>
      <c r="AO250" s="589"/>
      <c r="AP250" s="589"/>
      <c r="AQ250" s="169" t="s">
        <v>1505</v>
      </c>
      <c r="AR250" s="589"/>
      <c r="AT250" s="589"/>
      <c r="AU250" s="589"/>
      <c r="AV250" s="94"/>
      <c r="AW250" s="94"/>
      <c r="AX250" s="94"/>
      <c r="AY250" s="94"/>
      <c r="AZ250" s="94"/>
      <c r="BA250" s="94"/>
      <c r="BB250" s="94"/>
      <c r="BC250" s="94"/>
    </row>
    <row r="251" spans="1:55">
      <c r="A251" s="94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198"/>
      <c r="X251" s="94"/>
      <c r="Y251" s="94"/>
      <c r="Z251" s="94"/>
      <c r="AA251" s="94"/>
      <c r="AB251" s="94"/>
      <c r="AC251" s="94"/>
      <c r="AD251" s="94"/>
      <c r="AE251" s="166"/>
      <c r="AF251" s="94"/>
      <c r="AG251" s="94"/>
      <c r="AH251" s="94"/>
      <c r="AI251" s="94"/>
      <c r="AJ251" s="94"/>
      <c r="AK251" s="94"/>
      <c r="AL251" s="94"/>
      <c r="AM251" s="589" t="str">
        <f>CASE</f>
        <v>CASE NO. 2024-00354</v>
      </c>
      <c r="AN251" s="589"/>
      <c r="AO251" s="589"/>
      <c r="AP251" s="589"/>
      <c r="AQ251" s="169" t="s">
        <v>468</v>
      </c>
      <c r="AR251" s="589"/>
      <c r="AT251" s="589"/>
      <c r="AU251" s="589"/>
      <c r="AV251" s="94"/>
      <c r="AW251" s="94"/>
      <c r="AX251" s="94"/>
      <c r="AY251" s="94"/>
      <c r="AZ251" s="94"/>
      <c r="BA251" s="94"/>
      <c r="BB251" s="94"/>
      <c r="BC251" s="94"/>
    </row>
    <row r="252" spans="1:55">
      <c r="A252" s="94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198"/>
      <c r="X252" s="94"/>
      <c r="Y252" s="94"/>
      <c r="Z252" s="94"/>
      <c r="AA252" s="94"/>
      <c r="AB252" s="94"/>
      <c r="AC252" s="94"/>
      <c r="AD252" s="94"/>
      <c r="AE252" s="166"/>
      <c r="AF252" s="94"/>
      <c r="AG252" s="94"/>
      <c r="AH252" s="94"/>
      <c r="AI252" s="94"/>
      <c r="AJ252" s="94"/>
      <c r="AK252" s="94"/>
      <c r="AL252" s="94"/>
      <c r="AM252" s="590" t="s">
        <v>1506</v>
      </c>
      <c r="AN252" s="589"/>
      <c r="AO252" s="589"/>
      <c r="AP252" s="589"/>
      <c r="AQ252" s="94" t="str">
        <f>_WIT1</f>
        <v>L. D. STEINKUHL</v>
      </c>
      <c r="AR252" s="589"/>
      <c r="AT252" s="589"/>
      <c r="AU252" s="589"/>
      <c r="AV252" s="94"/>
      <c r="AW252" s="94"/>
      <c r="AX252" s="94"/>
      <c r="AY252" s="94"/>
      <c r="AZ252" s="94"/>
      <c r="BA252" s="94"/>
      <c r="BB252" s="94"/>
      <c r="BC252" s="94"/>
    </row>
    <row r="253" spans="1:55">
      <c r="A253" s="94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198"/>
      <c r="X253" s="94"/>
      <c r="Y253" s="166"/>
      <c r="Z253" s="166"/>
      <c r="AA253" s="166"/>
      <c r="AB253" s="166"/>
      <c r="AC253" s="166"/>
      <c r="AD253" s="166"/>
      <c r="AE253" s="166"/>
      <c r="AF253" s="166"/>
      <c r="AG253" s="166"/>
      <c r="AH253" s="166"/>
      <c r="AI253" s="166"/>
      <c r="AJ253" s="166"/>
      <c r="AK253" s="166"/>
      <c r="AL253" s="94"/>
      <c r="AM253" s="169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  <c r="BA253" s="94"/>
      <c r="BB253" s="94"/>
      <c r="BC253" s="94"/>
    </row>
    <row r="254" spans="1:55">
      <c r="A254" s="94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198"/>
      <c r="X254" s="94"/>
      <c r="Y254" s="166"/>
      <c r="Z254" s="166"/>
      <c r="AA254" s="166"/>
      <c r="AB254" s="166"/>
      <c r="AC254" s="166"/>
      <c r="AD254" s="166"/>
      <c r="AE254" s="166"/>
      <c r="AF254" s="166"/>
      <c r="AG254" s="166"/>
      <c r="AH254" s="166"/>
      <c r="AI254" s="166"/>
      <c r="AJ254" s="166"/>
      <c r="AK254" s="166"/>
      <c r="AL254" s="94"/>
      <c r="AM254" s="169"/>
      <c r="AN254" s="94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  <c r="BA254" s="94"/>
      <c r="BB254" s="94"/>
      <c r="BC254" s="94"/>
    </row>
    <row r="255" spans="1:55">
      <c r="A255" s="94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198"/>
      <c r="X255" s="94"/>
      <c r="Y255" s="166"/>
      <c r="Z255" s="166"/>
      <c r="AA255" s="166"/>
      <c r="AB255" s="166"/>
      <c r="AC255" s="166"/>
      <c r="AD255" s="166"/>
      <c r="AE255" s="166"/>
      <c r="AF255" s="166"/>
      <c r="AG255" s="166"/>
      <c r="AH255" s="166"/>
      <c r="AI255" s="166"/>
      <c r="AJ255" s="166"/>
      <c r="AK255" s="166"/>
      <c r="AL255" s="94"/>
      <c r="AM255" s="126" t="s">
        <v>573</v>
      </c>
      <c r="AN255" s="94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  <c r="BA255" s="94"/>
      <c r="BB255" s="94"/>
      <c r="BC255" s="94"/>
    </row>
    <row r="256" spans="1:55">
      <c r="A256" s="94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198"/>
      <c r="X256" s="94"/>
      <c r="Y256" s="166"/>
      <c r="Z256" s="166"/>
      <c r="AA256" s="166"/>
      <c r="AB256" s="166"/>
      <c r="AC256" s="166"/>
      <c r="AD256" s="166"/>
      <c r="AE256" s="166"/>
      <c r="AF256" s="166"/>
      <c r="AG256" s="166"/>
      <c r="AH256" s="166"/>
      <c r="AI256" s="166"/>
      <c r="AJ256" s="166"/>
      <c r="AK256" s="166"/>
      <c r="AL256" s="94"/>
      <c r="AM256" s="97" t="s">
        <v>576</v>
      </c>
      <c r="AN256" s="2076" t="s">
        <v>2</v>
      </c>
      <c r="AO256" s="2076">
        <v>2023</v>
      </c>
      <c r="AP256" s="2076">
        <v>2022</v>
      </c>
      <c r="AQ256" s="2076">
        <v>2021</v>
      </c>
      <c r="AR256" s="2076" t="s">
        <v>592</v>
      </c>
      <c r="AS256" s="94"/>
      <c r="AT256" s="94"/>
      <c r="AU256" s="94"/>
      <c r="AV256" s="94"/>
      <c r="AW256" s="94"/>
      <c r="AX256" s="94"/>
      <c r="AY256" s="94"/>
      <c r="AZ256" s="94"/>
      <c r="BA256" s="94"/>
      <c r="BB256" s="94"/>
      <c r="BC256" s="94"/>
    </row>
    <row r="257" spans="1:55">
      <c r="A257" s="94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166"/>
      <c r="Z257" s="166"/>
      <c r="AA257" s="166"/>
      <c r="AB257" s="166"/>
      <c r="AC257" s="166"/>
      <c r="AD257" s="166"/>
      <c r="AE257" s="166"/>
      <c r="AF257" s="166"/>
      <c r="AG257" s="166"/>
      <c r="AH257" s="166"/>
      <c r="AI257" s="166"/>
      <c r="AJ257" s="166"/>
      <c r="AK257" s="166"/>
      <c r="AL257" s="94"/>
      <c r="AM257" s="126">
        <v>1</v>
      </c>
      <c r="AN257" s="1754" t="s">
        <v>1507</v>
      </c>
      <c r="AO257" s="166">
        <v>4537208</v>
      </c>
      <c r="AP257" s="166">
        <v>10932275</v>
      </c>
      <c r="AQ257" s="166">
        <v>8264605</v>
      </c>
      <c r="AR257" s="166">
        <f>ROUND(AVERAGE(AO257:AQ257),0)</f>
        <v>7911363</v>
      </c>
      <c r="AS257" s="94"/>
      <c r="AT257" s="94"/>
      <c r="AU257" s="94"/>
      <c r="AV257" s="94"/>
      <c r="AW257" s="94"/>
      <c r="AX257" s="94"/>
      <c r="AY257" s="94"/>
      <c r="AZ257" s="94"/>
      <c r="BA257" s="94"/>
      <c r="BB257" s="94"/>
      <c r="BC257" s="94"/>
    </row>
    <row r="258" spans="1:55">
      <c r="A258" s="94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126">
        <v>2</v>
      </c>
      <c r="AN258" s="1754" t="s">
        <v>1508</v>
      </c>
      <c r="AO258" s="166">
        <v>4537208</v>
      </c>
      <c r="AP258" s="166">
        <v>3710050</v>
      </c>
      <c r="AQ258" s="166">
        <v>4674065</v>
      </c>
      <c r="AR258" s="166">
        <f>ROUND(AVERAGE(AO258:AQ258),0)</f>
        <v>4307108</v>
      </c>
      <c r="AS258" s="94"/>
      <c r="AT258" s="94"/>
      <c r="AU258" s="94"/>
      <c r="AV258" s="94"/>
      <c r="AW258" s="94"/>
      <c r="AX258" s="94"/>
      <c r="AY258" s="94"/>
      <c r="AZ258" s="94"/>
      <c r="BA258" s="94"/>
      <c r="BB258" s="94"/>
      <c r="BC258" s="94"/>
    </row>
    <row r="259" spans="1:55" ht="13.8" thickBot="1">
      <c r="A259" s="94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126">
        <v>3</v>
      </c>
      <c r="AN259" s="1754" t="s">
        <v>1509</v>
      </c>
      <c r="AO259" s="1693">
        <f>AO257-AO258</f>
        <v>0</v>
      </c>
      <c r="AP259" s="1693">
        <f>AP257-AP258</f>
        <v>7222225</v>
      </c>
      <c r="AQ259" s="1693">
        <f>AQ257-AQ258</f>
        <v>3590540</v>
      </c>
      <c r="AR259" s="1693">
        <f>AR257-AR258</f>
        <v>3604255</v>
      </c>
      <c r="AS259" s="94"/>
      <c r="AT259" s="94"/>
      <c r="AU259" s="94"/>
      <c r="AV259" s="94"/>
      <c r="AW259" s="94"/>
      <c r="AX259" s="94"/>
      <c r="AY259" s="94"/>
      <c r="AZ259" s="94"/>
      <c r="BA259" s="94"/>
      <c r="BB259" s="94"/>
      <c r="BC259" s="94"/>
    </row>
    <row r="260" spans="1:55" ht="13.8" thickTop="1">
      <c r="A260" s="94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126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  <c r="BA260" s="94"/>
      <c r="BB260" s="94"/>
      <c r="BC260" s="94"/>
    </row>
    <row r="261" spans="1:55">
      <c r="A261" s="94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126"/>
      <c r="AN261" s="1015"/>
      <c r="AO261" s="94"/>
      <c r="AP261" s="94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  <c r="BA261" s="94"/>
      <c r="BB261" s="94"/>
      <c r="BC261" s="94"/>
    </row>
    <row r="262" spans="1:55">
      <c r="A262" s="94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126"/>
      <c r="BB262" s="94"/>
      <c r="BC262" s="94"/>
    </row>
    <row r="263" spans="1:55">
      <c r="A263" s="94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126"/>
      <c r="BB263" s="94"/>
      <c r="BC263" s="94"/>
    </row>
    <row r="264" spans="1:55">
      <c r="A264" s="94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126"/>
      <c r="BB264" s="94"/>
      <c r="BC264" s="94"/>
    </row>
    <row r="265" spans="1:55">
      <c r="A265" s="94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BB265" s="94"/>
      <c r="BC265" s="94"/>
    </row>
    <row r="266" spans="1:55">
      <c r="A266" s="94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BB266" s="94"/>
      <c r="BC266" s="94"/>
    </row>
    <row r="267" spans="1:55">
      <c r="A267" s="94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BB267" s="94"/>
      <c r="BC267" s="94"/>
    </row>
    <row r="268" spans="1:55">
      <c r="A268" s="94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BB268" s="94"/>
      <c r="BC268" s="94"/>
    </row>
    <row r="269" spans="1:55">
      <c r="A269" s="94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BB269" s="94"/>
      <c r="BC269" s="94"/>
    </row>
    <row r="270" spans="1:55">
      <c r="A270" s="94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BB270" s="94"/>
      <c r="BC270" s="94"/>
    </row>
    <row r="271" spans="1:55">
      <c r="A271" s="94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BB271" s="94"/>
      <c r="BC271" s="94"/>
    </row>
    <row r="272" spans="1:55">
      <c r="A272" s="94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BB272" s="94"/>
      <c r="BC272" s="94"/>
    </row>
    <row r="273" spans="1:55">
      <c r="A273" s="94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BB273" s="94"/>
      <c r="BC273" s="94"/>
    </row>
    <row r="274" spans="1:55">
      <c r="A274" s="94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BB274" s="94"/>
      <c r="BC274" s="94"/>
    </row>
    <row r="275" spans="1:55">
      <c r="A275" s="94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BB275" s="94"/>
      <c r="BC275" s="94"/>
    </row>
    <row r="276" spans="1:55">
      <c r="A276" s="94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BB276" s="94"/>
      <c r="BC276" s="94"/>
    </row>
    <row r="277" spans="1:55">
      <c r="A277" s="94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BB277" s="94"/>
      <c r="BC277" s="94"/>
    </row>
    <row r="278" spans="1:55">
      <c r="A278" s="94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BB278" s="94"/>
      <c r="BC278" s="94"/>
    </row>
    <row r="279" spans="1:55">
      <c r="A279" s="94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BB279" s="94"/>
      <c r="BC279" s="94"/>
    </row>
    <row r="280" spans="1:55">
      <c r="A280" s="94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BB280" s="94"/>
      <c r="BC280" s="94"/>
    </row>
    <row r="281" spans="1:55">
      <c r="A281" s="94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BB281" s="94"/>
      <c r="BC281" s="94"/>
    </row>
    <row r="282" spans="1:55">
      <c r="A282" s="94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BB282" s="94"/>
      <c r="BC282" s="94"/>
    </row>
    <row r="283" spans="1:55">
      <c r="A283" s="94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BB283" s="94"/>
      <c r="BC283" s="94"/>
    </row>
    <row r="284" spans="1:55">
      <c r="A284" s="94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BB284" s="94"/>
      <c r="BC284" s="94"/>
    </row>
    <row r="285" spans="1:55">
      <c r="A285" s="94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BB285" s="94"/>
      <c r="BC285" s="94"/>
    </row>
    <row r="286" spans="1:55">
      <c r="A286" s="94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BB286" s="94"/>
      <c r="BC286" s="94"/>
    </row>
    <row r="287" spans="1:55">
      <c r="A287" s="94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BB287" s="94"/>
      <c r="BC287" s="94"/>
    </row>
    <row r="288" spans="1:55">
      <c r="A288" s="94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BB288" s="94"/>
      <c r="BC288" s="94"/>
    </row>
    <row r="289" spans="1:55">
      <c r="A289" s="94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BB289" s="94"/>
      <c r="BC289" s="94"/>
    </row>
    <row r="290" spans="1:55">
      <c r="A290" s="94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BB290" s="94"/>
      <c r="BC290" s="94"/>
    </row>
    <row r="291" spans="1:55">
      <c r="A291" s="94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BB291" s="94"/>
      <c r="BC291" s="94"/>
    </row>
    <row r="292" spans="1:55">
      <c r="A292" s="94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BB292" s="94"/>
      <c r="BC292" s="94"/>
    </row>
    <row r="293" spans="1:55">
      <c r="A293" s="94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BB293" s="94"/>
      <c r="BC293" s="94"/>
    </row>
    <row r="294" spans="1:55">
      <c r="A294" s="94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BB294" s="94"/>
      <c r="BC294" s="94"/>
    </row>
    <row r="295" spans="1:55">
      <c r="A295" s="94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BB295" s="94"/>
      <c r="BC295" s="94"/>
    </row>
    <row r="296" spans="1:55">
      <c r="A296" s="94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N296" s="94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</row>
    <row r="297" spans="1:55">
      <c r="A297" s="94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</row>
    <row r="298" spans="1:55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</row>
  </sheetData>
  <phoneticPr fontId="19" type="noConversion"/>
  <pageMargins left="1" right="0.75" top="1" bottom="1" header="0.5" footer="0.5"/>
  <pageSetup scale="74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">
    <tabColor theme="2" tint="-0.499984740745262"/>
    <pageSetUpPr fitToPage="1"/>
  </sheetPr>
  <dimension ref="A1:R31"/>
  <sheetViews>
    <sheetView workbookViewId="0">
      <selection activeCell="E29" sqref="E29"/>
    </sheetView>
  </sheetViews>
  <sheetFormatPr defaultColWidth="8.5546875" defaultRowHeight="13.2"/>
  <cols>
    <col min="1" max="1" width="6.5546875" customWidth="1"/>
    <col min="2" max="2" width="10.5546875" customWidth="1"/>
    <col min="3" max="3" width="29.5546875" customWidth="1"/>
    <col min="4" max="4" width="12.44140625" customWidth="1"/>
    <col min="5" max="5" width="12.5546875" customWidth="1"/>
    <col min="6" max="7" width="12" customWidth="1"/>
    <col min="8" max="9" width="13.44140625" customWidth="1"/>
    <col min="10" max="11" width="12.5546875" hidden="1" customWidth="1"/>
    <col min="12" max="12" width="13.44140625" customWidth="1"/>
    <col min="13" max="13" width="11.5546875" customWidth="1"/>
    <col min="14" max="15" width="12.44140625" customWidth="1"/>
    <col min="16" max="16" width="12.5546875" customWidth="1"/>
    <col min="17" max="17" width="12.44140625" customWidth="1"/>
    <col min="18" max="18" width="13.44140625" customWidth="1"/>
  </cols>
  <sheetData>
    <row r="1" spans="1:18">
      <c r="A1" s="29" t="str">
        <f>COMPANY</f>
        <v>DUKE ENERGY KENTUCKY, INC.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 t="s">
        <v>1412</v>
      </c>
      <c r="R1" s="94"/>
    </row>
    <row r="2" spans="1:18">
      <c r="A2" s="29" t="str">
        <f>CASE</f>
        <v>CASE NO. 2024-00354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 t="s">
        <v>468</v>
      </c>
      <c r="R2" s="94"/>
    </row>
    <row r="3" spans="1:18">
      <c r="A3" s="29" t="s">
        <v>1680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 t="str">
        <f>_WIT1</f>
        <v>L. D. STEINKUHL</v>
      </c>
      <c r="R3" s="94"/>
    </row>
    <row r="4" spans="1:18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</row>
    <row r="5" spans="1:18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</row>
    <row r="6" spans="1:18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33" t="s">
        <v>1681</v>
      </c>
      <c r="N6" s="29"/>
      <c r="O6" s="29"/>
      <c r="P6" s="33"/>
      <c r="Q6" s="29"/>
      <c r="R6" s="33" t="s">
        <v>1444</v>
      </c>
    </row>
    <row r="7" spans="1:18">
      <c r="A7" s="29"/>
      <c r="B7" s="33"/>
      <c r="C7" s="33"/>
      <c r="D7" s="33"/>
      <c r="E7" s="33"/>
      <c r="F7" s="33"/>
      <c r="G7" s="33"/>
      <c r="H7" s="33"/>
      <c r="I7" s="33"/>
      <c r="J7" s="33" t="s">
        <v>1682</v>
      </c>
      <c r="K7" s="29"/>
      <c r="L7" s="33" t="s">
        <v>1681</v>
      </c>
      <c r="M7" s="33" t="s">
        <v>1683</v>
      </c>
      <c r="N7" s="33"/>
      <c r="O7" s="33"/>
      <c r="P7" s="200"/>
      <c r="Q7" s="33"/>
      <c r="R7" s="33" t="s">
        <v>1684</v>
      </c>
    </row>
    <row r="8" spans="1:18">
      <c r="A8" s="33" t="s">
        <v>573</v>
      </c>
      <c r="B8" s="33"/>
      <c r="C8" s="33"/>
      <c r="D8" s="33" t="s">
        <v>13</v>
      </c>
      <c r="E8" s="33" t="s">
        <v>217</v>
      </c>
      <c r="F8" s="33" t="s">
        <v>282</v>
      </c>
      <c r="G8" s="33" t="s">
        <v>282</v>
      </c>
      <c r="H8" s="33" t="s">
        <v>217</v>
      </c>
      <c r="I8" s="33" t="s">
        <v>343</v>
      </c>
      <c r="J8" s="33" t="s">
        <v>1685</v>
      </c>
      <c r="K8" s="33" t="s">
        <v>345</v>
      </c>
      <c r="L8" s="33" t="s">
        <v>1686</v>
      </c>
      <c r="M8" s="33" t="s">
        <v>1687</v>
      </c>
      <c r="N8" s="33" t="s">
        <v>1688</v>
      </c>
      <c r="O8" s="33" t="s">
        <v>346</v>
      </c>
      <c r="P8" s="33" t="s">
        <v>217</v>
      </c>
      <c r="Q8" s="33" t="s">
        <v>494</v>
      </c>
      <c r="R8" s="200" t="s">
        <v>1689</v>
      </c>
    </row>
    <row r="9" spans="1:18">
      <c r="A9" s="201" t="s">
        <v>576</v>
      </c>
      <c r="B9" s="201" t="s">
        <v>698</v>
      </c>
      <c r="C9" s="201" t="s">
        <v>2</v>
      </c>
      <c r="D9" s="201" t="s">
        <v>359</v>
      </c>
      <c r="E9" s="201" t="s">
        <v>359</v>
      </c>
      <c r="F9" s="201" t="s">
        <v>359</v>
      </c>
      <c r="G9" s="201" t="s">
        <v>849</v>
      </c>
      <c r="H9" s="201" t="s">
        <v>339</v>
      </c>
      <c r="I9" s="201" t="s">
        <v>849</v>
      </c>
      <c r="J9" s="201" t="s">
        <v>849</v>
      </c>
      <c r="K9" s="201" t="s">
        <v>849</v>
      </c>
      <c r="L9" s="201" t="s">
        <v>849</v>
      </c>
      <c r="M9" s="201" t="s">
        <v>849</v>
      </c>
      <c r="N9" s="201" t="s">
        <v>849</v>
      </c>
      <c r="O9" s="201" t="s">
        <v>849</v>
      </c>
      <c r="P9" s="201" t="s">
        <v>849</v>
      </c>
      <c r="Q9" s="201" t="s">
        <v>849</v>
      </c>
      <c r="R9" s="201" t="s">
        <v>1690</v>
      </c>
    </row>
    <row r="10" spans="1:18">
      <c r="A10" s="33">
        <v>1</v>
      </c>
      <c r="B10" s="33" t="s">
        <v>1691</v>
      </c>
      <c r="C10" s="29" t="s">
        <v>1692</v>
      </c>
      <c r="D10" s="30">
        <f>SCH_D1!W204</f>
        <v>1714280</v>
      </c>
      <c r="E10" s="30">
        <f>SCH_D1!W206</f>
        <v>0</v>
      </c>
      <c r="F10" s="30">
        <f>SCH_D1!W205</f>
        <v>0</v>
      </c>
      <c r="G10" s="30">
        <f>SCH_D1!W212</f>
        <v>2161285</v>
      </c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</row>
    <row r="11" spans="1:18">
      <c r="A11" s="33">
        <v>2</v>
      </c>
      <c r="B11" s="33" t="s">
        <v>1693</v>
      </c>
      <c r="C11" s="29" t="s">
        <v>1694</v>
      </c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>
        <f>SCH_D1!Y223</f>
        <v>176067</v>
      </c>
      <c r="Q11" s="30"/>
      <c r="R11" s="30"/>
    </row>
    <row r="12" spans="1:18">
      <c r="A12" s="33">
        <v>3</v>
      </c>
      <c r="B12" s="33" t="s">
        <v>1695</v>
      </c>
      <c r="C12" s="29" t="s">
        <v>1696</v>
      </c>
      <c r="D12" s="30">
        <f>SCH_D1!AA204</f>
        <v>-1999924</v>
      </c>
      <c r="E12" s="30"/>
      <c r="F12" s="30"/>
      <c r="G12" s="30"/>
      <c r="H12" s="30">
        <f>SCH_D1!AA213</f>
        <v>-1800036</v>
      </c>
      <c r="I12" s="30"/>
      <c r="J12" s="30"/>
      <c r="K12" s="30"/>
      <c r="L12" s="30"/>
      <c r="M12" s="30"/>
      <c r="N12" s="30"/>
      <c r="O12" s="30"/>
      <c r="P12" s="30">
        <f>SCH_D1!AA223</f>
        <v>-1931374</v>
      </c>
      <c r="Q12" s="30">
        <f>SCH_D1!AA226</f>
        <v>1665492</v>
      </c>
      <c r="R12" s="30">
        <f>SCH_D1!AA230</f>
        <v>163314</v>
      </c>
    </row>
    <row r="13" spans="1:18">
      <c r="A13" s="33">
        <v>4</v>
      </c>
      <c r="B13" s="33" t="s">
        <v>1697</v>
      </c>
      <c r="C13" s="29" t="s">
        <v>1698</v>
      </c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</row>
    <row r="14" spans="1:18">
      <c r="A14" s="33">
        <v>5</v>
      </c>
      <c r="B14" s="33" t="s">
        <v>1699</v>
      </c>
      <c r="C14" s="29" t="s">
        <v>1700</v>
      </c>
      <c r="D14" s="30">
        <f>SCH_D1!AE204</f>
        <v>13894708</v>
      </c>
      <c r="E14" s="30">
        <f>SCH_D1!AE206</f>
        <v>-33441809</v>
      </c>
      <c r="F14" s="30"/>
      <c r="G14" s="30">
        <f>SCH_D1!AE212</f>
        <v>-16120437</v>
      </c>
      <c r="H14" s="30">
        <f>SCH_D1!AE213</f>
        <v>0</v>
      </c>
      <c r="I14" s="30">
        <f>SCH_D1!AE216</f>
        <v>-1200000</v>
      </c>
      <c r="J14" s="30"/>
      <c r="K14" s="30"/>
      <c r="L14" s="30"/>
      <c r="M14" s="30"/>
      <c r="N14" s="30"/>
      <c r="O14" s="30"/>
      <c r="P14" s="30"/>
      <c r="Q14" s="30"/>
      <c r="R14" s="30"/>
    </row>
    <row r="15" spans="1:18">
      <c r="A15" s="33">
        <v>6</v>
      </c>
      <c r="B15" s="33" t="s">
        <v>1701</v>
      </c>
      <c r="C15" s="29" t="s">
        <v>1702</v>
      </c>
      <c r="D15" s="30"/>
      <c r="E15" s="30"/>
      <c r="F15" s="30"/>
      <c r="G15" s="30"/>
      <c r="H15" s="30"/>
      <c r="I15" s="30"/>
      <c r="J15" s="30"/>
      <c r="K15" s="30"/>
      <c r="L15" s="30">
        <f>SCH_D1!U281</f>
        <v>1785485</v>
      </c>
      <c r="M15" s="30"/>
      <c r="N15" s="30"/>
      <c r="O15" s="30"/>
      <c r="P15" s="30"/>
      <c r="Q15" s="30"/>
      <c r="R15" s="30"/>
    </row>
    <row r="16" spans="1:18">
      <c r="A16" s="33">
        <v>7</v>
      </c>
      <c r="B16" s="33" t="s">
        <v>1703</v>
      </c>
      <c r="C16" s="29" t="s">
        <v>1704</v>
      </c>
      <c r="D16" s="30">
        <f>SCH_D1!W266</f>
        <v>-7966807</v>
      </c>
      <c r="E16" s="30"/>
      <c r="F16" s="30"/>
      <c r="G16" s="30"/>
      <c r="H16" s="30">
        <f>SCH_D1!W275</f>
        <v>-8283237</v>
      </c>
      <c r="I16" s="30"/>
      <c r="J16" s="30"/>
      <c r="K16" s="30"/>
      <c r="L16" s="30"/>
      <c r="M16" s="30"/>
      <c r="N16" s="30"/>
      <c r="O16" s="30">
        <f>SCH_D1!W284</f>
        <v>-304011</v>
      </c>
      <c r="P16" s="30"/>
      <c r="Q16" s="30"/>
      <c r="R16" s="30">
        <f>SCH_D1!W293</f>
        <v>-74312</v>
      </c>
    </row>
    <row r="17" spans="1:18">
      <c r="A17" s="33">
        <v>8</v>
      </c>
      <c r="B17" s="33" t="s">
        <v>1705</v>
      </c>
      <c r="C17" s="29" t="s">
        <v>1706</v>
      </c>
      <c r="D17" s="30"/>
      <c r="E17" s="30"/>
      <c r="F17" s="30"/>
      <c r="G17" s="30"/>
      <c r="H17" s="30">
        <f ca="1">SCH_D1!Y275</f>
        <v>0</v>
      </c>
      <c r="I17" s="30"/>
      <c r="J17" s="30"/>
      <c r="K17" s="30"/>
      <c r="L17" s="30">
        <f ca="1">SCH_D1!Y281</f>
        <v>0</v>
      </c>
      <c r="M17" s="30">
        <f ca="1">SCH_D1!Y282</f>
        <v>0</v>
      </c>
      <c r="N17" s="30">
        <f ca="1">SCH_D1!Y283</f>
        <v>-48911</v>
      </c>
      <c r="O17" s="30">
        <f ca="1">SCH_D1!Y284</f>
        <v>-863674</v>
      </c>
      <c r="P17" s="30"/>
      <c r="Q17" s="30"/>
      <c r="R17" s="30">
        <f ca="1">SCH_D1!Y291+SCH_D1!Y292</f>
        <v>0</v>
      </c>
    </row>
    <row r="18" spans="1:18">
      <c r="A18" s="33">
        <v>9</v>
      </c>
      <c r="B18" s="33" t="s">
        <v>1707</v>
      </c>
      <c r="C18" s="29" t="s">
        <v>1708</v>
      </c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>
        <f>SCH_D1!AA288</f>
        <v>12796994</v>
      </c>
      <c r="R18" s="30"/>
    </row>
    <row r="19" spans="1:18">
      <c r="A19" s="33">
        <v>10</v>
      </c>
      <c r="B19" s="33" t="s">
        <v>1709</v>
      </c>
      <c r="C19" s="29" t="s">
        <v>1710</v>
      </c>
      <c r="D19" s="30">
        <f>SCH_D1!AC266</f>
        <v>-330788</v>
      </c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</row>
    <row r="20" spans="1:18">
      <c r="A20" s="33">
        <v>11</v>
      </c>
      <c r="B20" s="33" t="s">
        <v>1711</v>
      </c>
      <c r="C20" s="29" t="s">
        <v>1712</v>
      </c>
      <c r="D20" s="30"/>
      <c r="E20" s="30"/>
      <c r="F20" s="30"/>
      <c r="G20" s="30"/>
      <c r="I20" s="30"/>
      <c r="J20" s="30"/>
      <c r="K20" s="30"/>
      <c r="L20" s="30">
        <f>SCH_D1!AE281</f>
        <v>319314</v>
      </c>
      <c r="M20" s="30"/>
      <c r="N20" s="30"/>
      <c r="O20" s="30"/>
      <c r="P20" s="30"/>
      <c r="Q20" s="30"/>
      <c r="R20" s="30"/>
    </row>
    <row r="21" spans="1:18">
      <c r="A21" s="33">
        <v>12</v>
      </c>
      <c r="B21" s="33" t="s">
        <v>1713</v>
      </c>
      <c r="C21" s="29" t="s">
        <v>1714</v>
      </c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>
        <f>SCH_D1!U347</f>
        <v>1281601</v>
      </c>
      <c r="Q21" s="30"/>
      <c r="R21" s="30"/>
    </row>
    <row r="22" spans="1:18">
      <c r="A22" s="33">
        <v>13</v>
      </c>
      <c r="B22" s="33" t="s">
        <v>1715</v>
      </c>
      <c r="C22" s="29" t="s">
        <v>1716</v>
      </c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>SCH_D1!W346</f>
        <v>-2324831</v>
      </c>
      <c r="P22" s="30"/>
      <c r="Q22" s="30"/>
      <c r="R22" s="30">
        <f>SCH_D1!W353</f>
        <v>-100722</v>
      </c>
    </row>
    <row r="23" spans="1:18">
      <c r="A23" s="33">
        <v>14</v>
      </c>
      <c r="B23" s="33" t="s">
        <v>1717</v>
      </c>
      <c r="C23" s="29" t="s">
        <v>1718</v>
      </c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>
        <f>SCH_D1!Y346</f>
        <v>-533600</v>
      </c>
      <c r="P23" s="30"/>
      <c r="Q23" s="30"/>
      <c r="R23" s="30"/>
    </row>
    <row r="24" spans="1:18">
      <c r="A24" s="33">
        <v>15</v>
      </c>
      <c r="B24" s="33" t="s">
        <v>1719</v>
      </c>
      <c r="C24" s="29" t="s">
        <v>1720</v>
      </c>
      <c r="D24" s="30"/>
      <c r="E24" s="30"/>
      <c r="F24" s="30"/>
      <c r="G24" s="30"/>
      <c r="H24" s="30">
        <f>SCH_D1!AA337</f>
        <v>-2414473</v>
      </c>
      <c r="I24" s="30"/>
      <c r="J24" s="30"/>
      <c r="K24" s="30"/>
      <c r="L24" s="30"/>
      <c r="M24" s="30"/>
      <c r="N24" s="30"/>
      <c r="O24" s="30"/>
      <c r="P24" s="30"/>
      <c r="Q24" s="30"/>
      <c r="R24" s="30"/>
    </row>
    <row r="25" spans="1:18">
      <c r="A25" s="33">
        <v>16</v>
      </c>
      <c r="B25" s="33" t="s">
        <v>1721</v>
      </c>
      <c r="C25" s="29" t="s">
        <v>1722</v>
      </c>
      <c r="D25" s="30"/>
      <c r="E25" s="30"/>
      <c r="F25" s="30"/>
      <c r="G25" s="30"/>
      <c r="H25" s="30"/>
      <c r="I25" s="30"/>
      <c r="J25" s="30"/>
      <c r="K25" s="30"/>
      <c r="M25" s="30"/>
      <c r="N25" s="30"/>
      <c r="O25" s="30"/>
      <c r="P25" s="30"/>
      <c r="Q25" s="30"/>
      <c r="R25" s="30"/>
    </row>
    <row r="26" spans="1:18" ht="13.8" thickBot="1">
      <c r="A26" s="33">
        <v>17</v>
      </c>
      <c r="B26" s="29"/>
      <c r="C26" s="29"/>
      <c r="D26" s="1698">
        <f t="shared" ref="D26:K26" si="0">SUM(D10:D25)</f>
        <v>5311469</v>
      </c>
      <c r="E26" s="1698">
        <f t="shared" si="0"/>
        <v>-33441809</v>
      </c>
      <c r="F26" s="1698">
        <f t="shared" si="0"/>
        <v>0</v>
      </c>
      <c r="G26" s="1698">
        <f t="shared" si="0"/>
        <v>-13959152</v>
      </c>
      <c r="H26" s="1698">
        <f t="shared" ca="1" si="0"/>
        <v>-12497746</v>
      </c>
      <c r="I26" s="1698">
        <f t="shared" si="0"/>
        <v>-1200000</v>
      </c>
      <c r="J26" s="1698">
        <f t="shared" si="0"/>
        <v>0</v>
      </c>
      <c r="K26" s="1698">
        <f t="shared" si="0"/>
        <v>0</v>
      </c>
      <c r="L26" s="1698">
        <f ca="1">SUM(L10:L24)</f>
        <v>2104799</v>
      </c>
      <c r="M26" s="1698">
        <f t="shared" ref="M26:R26" ca="1" si="1">SUM(M10:M25)</f>
        <v>0</v>
      </c>
      <c r="N26" s="1698">
        <f t="shared" ca="1" si="1"/>
        <v>-48911</v>
      </c>
      <c r="O26" s="1698">
        <f t="shared" ca="1" si="1"/>
        <v>-4026116</v>
      </c>
      <c r="P26" s="1698">
        <f>SUM(P10:P25)</f>
        <v>-473706</v>
      </c>
      <c r="Q26" s="1698">
        <f t="shared" si="1"/>
        <v>14462486</v>
      </c>
      <c r="R26" s="1698">
        <f t="shared" ca="1" si="1"/>
        <v>-11720</v>
      </c>
    </row>
    <row r="27" spans="1:18" ht="13.8" thickTop="1"/>
    <row r="29" spans="1:18">
      <c r="C29" s="29" t="s">
        <v>1723</v>
      </c>
      <c r="D29" s="28">
        <f>SCH_D1!U204</f>
        <v>5311469</v>
      </c>
      <c r="E29" s="28">
        <f>SCH_D1!U206</f>
        <v>-33441809</v>
      </c>
      <c r="F29" s="28">
        <f>SCH_D1!U205</f>
        <v>0</v>
      </c>
      <c r="G29" s="28">
        <f>SCH_D1!U212</f>
        <v>-13959152</v>
      </c>
      <c r="H29" s="28">
        <f ca="1">SCH_D1!U213</f>
        <v>-12497746</v>
      </c>
      <c r="I29" s="28">
        <f>SCH_D1!U216</f>
        <v>-1200000</v>
      </c>
      <c r="J29" s="28">
        <f>SCH_D1!T217</f>
        <v>0</v>
      </c>
      <c r="K29" s="28">
        <f>SCH_D1!U218</f>
        <v>0</v>
      </c>
      <c r="L29" s="28">
        <f ca="1">SCH_D1!U219</f>
        <v>2104799</v>
      </c>
      <c r="M29" s="28">
        <f ca="1">SCH_D1!U220</f>
        <v>0</v>
      </c>
      <c r="N29" s="28">
        <f ca="1">SCH_D1!U221</f>
        <v>-48911</v>
      </c>
      <c r="O29" s="28">
        <f ca="1">SCH_D1!U222</f>
        <v>-4026116</v>
      </c>
      <c r="P29" s="28">
        <f>SCH_D1!U223</f>
        <v>-473706</v>
      </c>
      <c r="Q29" s="28">
        <f>SCH_D1!U226</f>
        <v>14462486</v>
      </c>
      <c r="R29" s="28">
        <f ca="1">SCH_D1!U231</f>
        <v>-11720</v>
      </c>
    </row>
    <row r="31" spans="1:18">
      <c r="D31" s="28">
        <f>D29-D26</f>
        <v>0</v>
      </c>
      <c r="E31" s="28">
        <f t="shared" ref="E31:R31" si="2">E29-E26</f>
        <v>0</v>
      </c>
      <c r="F31" s="28">
        <f t="shared" si="2"/>
        <v>0</v>
      </c>
      <c r="G31" s="28">
        <f t="shared" si="2"/>
        <v>0</v>
      </c>
      <c r="H31" s="28">
        <f t="shared" ca="1" si="2"/>
        <v>0</v>
      </c>
      <c r="I31" s="28">
        <f t="shared" si="2"/>
        <v>0</v>
      </c>
      <c r="J31" s="28">
        <f t="shared" si="2"/>
        <v>0</v>
      </c>
      <c r="K31" s="28">
        <f t="shared" si="2"/>
        <v>0</v>
      </c>
      <c r="L31" s="28">
        <f t="shared" ca="1" si="2"/>
        <v>0</v>
      </c>
      <c r="M31" s="28">
        <f t="shared" ref="M31" ca="1" si="3">M29-M26</f>
        <v>0</v>
      </c>
      <c r="N31" s="28">
        <f t="shared" ca="1" si="2"/>
        <v>0</v>
      </c>
      <c r="O31" s="28">
        <f t="shared" ca="1" si="2"/>
        <v>0</v>
      </c>
      <c r="P31" s="28">
        <f t="shared" si="2"/>
        <v>0</v>
      </c>
      <c r="Q31" s="28">
        <f t="shared" si="2"/>
        <v>0</v>
      </c>
      <c r="R31" s="28">
        <f t="shared" ca="1" si="2"/>
        <v>0</v>
      </c>
    </row>
  </sheetData>
  <pageMargins left="0.7" right="0.7" top="0.75" bottom="0.75" header="0.3" footer="0.3"/>
  <pageSetup scale="5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0">
    <tabColor theme="2" tint="-0.499984740745262"/>
    <pageSetUpPr fitToPage="1"/>
  </sheetPr>
  <dimension ref="A1:M382"/>
  <sheetViews>
    <sheetView zoomScale="90" zoomScaleNormal="90" workbookViewId="0"/>
  </sheetViews>
  <sheetFormatPr defaultColWidth="8" defaultRowHeight="13.2"/>
  <cols>
    <col min="1" max="1" width="10.5546875" customWidth="1"/>
    <col min="2" max="2" width="13.5546875" customWidth="1"/>
    <col min="3" max="3" width="6.5546875" customWidth="1"/>
    <col min="4" max="4" width="14.44140625" customWidth="1"/>
    <col min="5" max="5" width="2.44140625" customWidth="1"/>
    <col min="6" max="6" width="49.44140625" customWidth="1"/>
    <col min="7" max="7" width="17.5546875" customWidth="1"/>
    <col min="8" max="8" width="15.5546875" customWidth="1"/>
    <col min="9" max="9" width="1.44140625" customWidth="1"/>
    <col min="10" max="10" width="20" customWidth="1"/>
    <col min="11" max="11" width="21" customWidth="1"/>
  </cols>
  <sheetData>
    <row r="1" spans="1:12">
      <c r="A1" s="202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</row>
    <row r="2" spans="1:12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</row>
    <row r="3" spans="1:12">
      <c r="A3" s="202"/>
      <c r="B3" s="202"/>
      <c r="C3" s="203" t="str">
        <f>COMPANY</f>
        <v>DUKE ENERGY KENTUCKY, INC.</v>
      </c>
      <c r="D3" s="203"/>
      <c r="E3" s="203"/>
      <c r="F3" s="203"/>
      <c r="G3" s="203"/>
      <c r="H3" s="203"/>
      <c r="I3" s="203"/>
      <c r="J3" s="203"/>
      <c r="K3" s="203"/>
      <c r="L3" s="202"/>
    </row>
    <row r="4" spans="1:12">
      <c r="A4" s="202"/>
      <c r="B4" s="202"/>
      <c r="C4" s="203" t="str">
        <f>CASE</f>
        <v>CASE NO. 2024-00354</v>
      </c>
      <c r="D4" s="203"/>
      <c r="E4" s="203"/>
      <c r="F4" s="203"/>
      <c r="G4" s="203"/>
      <c r="H4" s="203"/>
      <c r="I4" s="203"/>
      <c r="J4" s="203"/>
      <c r="K4" s="203"/>
      <c r="L4" s="202"/>
    </row>
    <row r="5" spans="1:12">
      <c r="A5" s="202"/>
      <c r="B5" s="202"/>
      <c r="C5" s="203" t="s">
        <v>1511</v>
      </c>
      <c r="D5" s="203"/>
      <c r="E5" s="203"/>
      <c r="F5" s="203"/>
      <c r="G5" s="203"/>
      <c r="H5" s="203"/>
      <c r="I5" s="203"/>
      <c r="J5" s="203"/>
      <c r="K5" s="203"/>
      <c r="L5" s="202"/>
    </row>
    <row r="6" spans="1:12">
      <c r="A6" s="202"/>
      <c r="B6" s="202"/>
      <c r="C6" s="203" t="str">
        <f>PERIOD</f>
        <v>FOR THE TWELVE MONTHS ENDED FEBRUARY 28, 2025</v>
      </c>
      <c r="D6" s="203"/>
      <c r="E6" s="203"/>
      <c r="F6" s="203"/>
      <c r="G6" s="203"/>
      <c r="H6" s="203"/>
      <c r="I6" s="203"/>
      <c r="J6" s="203"/>
      <c r="K6" s="203"/>
      <c r="L6" s="202"/>
    </row>
    <row r="7" spans="1:12">
      <c r="A7" s="202"/>
      <c r="B7" s="202"/>
      <c r="C7" s="203"/>
      <c r="D7" s="203"/>
      <c r="E7" s="203"/>
      <c r="F7" s="203"/>
      <c r="G7" s="203"/>
      <c r="H7" s="203"/>
      <c r="I7" s="203"/>
      <c r="J7" s="202"/>
      <c r="K7" s="202"/>
      <c r="L7" s="202"/>
    </row>
    <row r="8" spans="1:12">
      <c r="A8" s="202"/>
      <c r="B8" s="202"/>
      <c r="C8" s="202"/>
      <c r="D8" s="202"/>
      <c r="E8" s="202"/>
      <c r="F8" s="202"/>
      <c r="G8" s="202"/>
      <c r="H8" s="202"/>
      <c r="I8" s="202"/>
      <c r="J8" s="660" t="str">
        <f>"                "&amp;"SCHEDULE C-2.1"</f>
        <v xml:space="preserve">                SCHEDULE C-2.1</v>
      </c>
      <c r="K8" s="202"/>
      <c r="L8" s="202"/>
    </row>
    <row r="9" spans="1:12">
      <c r="A9" s="202"/>
      <c r="B9" s="202"/>
      <c r="C9" s="202" t="str">
        <f>Data</f>
        <v>DATA: "X" BASE PERIOD   FORECASTED PERIOD</v>
      </c>
      <c r="D9" s="202"/>
      <c r="E9" s="202"/>
      <c r="F9" s="202"/>
      <c r="G9" s="202"/>
      <c r="H9" s="202"/>
      <c r="I9" s="202"/>
      <c r="J9" s="660" t="str">
        <f>"                "&amp;"PAGE  1  OF  14"</f>
        <v xml:space="preserve">                PAGE  1  OF  14</v>
      </c>
      <c r="K9" s="202"/>
      <c r="L9" s="202"/>
    </row>
    <row r="10" spans="1:12">
      <c r="A10" s="202"/>
      <c r="B10" s="202"/>
      <c r="C10" s="202" t="str">
        <f>Type</f>
        <v xml:space="preserve">TYPE OF FILING:  "X" ORIGINAL   UPDATED    REVISED  </v>
      </c>
      <c r="D10" s="202"/>
      <c r="E10" s="202"/>
      <c r="F10" s="202"/>
      <c r="G10" s="202"/>
      <c r="H10" s="202"/>
      <c r="I10" s="202"/>
      <c r="J10" s="660" t="str">
        <f>"                "&amp;"WITNESS RESPONSIBLE:"</f>
        <v xml:space="preserve">                WITNESS RESPONSIBLE:</v>
      </c>
      <c r="K10" s="202"/>
      <c r="L10" s="202"/>
    </row>
    <row r="11" spans="1:12">
      <c r="A11" s="202"/>
      <c r="B11" s="202"/>
      <c r="C11" s="660" t="s">
        <v>1512</v>
      </c>
      <c r="D11" s="202"/>
      <c r="E11" s="202"/>
      <c r="F11" s="202"/>
      <c r="G11" s="202"/>
      <c r="H11" s="202"/>
      <c r="I11" s="202"/>
      <c r="J11" s="660" t="str">
        <f>"                "&amp;_WIT1</f>
        <v xml:space="preserve">                L. D. STEINKUHL</v>
      </c>
      <c r="K11" s="202"/>
      <c r="L11" s="202"/>
    </row>
    <row r="12" spans="1:12">
      <c r="A12" s="202"/>
      <c r="B12" s="202"/>
      <c r="C12" s="1496"/>
      <c r="D12" s="1497"/>
      <c r="E12" s="1497"/>
      <c r="F12" s="1497"/>
      <c r="G12" s="1497"/>
      <c r="H12" s="1497"/>
      <c r="I12" s="1497"/>
      <c r="J12" s="1497"/>
      <c r="K12" s="1497"/>
      <c r="L12" s="202"/>
    </row>
    <row r="13" spans="1:12">
      <c r="A13" s="202"/>
      <c r="B13" s="202"/>
      <c r="C13" s="202"/>
      <c r="D13" s="202"/>
      <c r="E13" s="202"/>
      <c r="F13" s="202"/>
      <c r="G13" s="208" t="s">
        <v>1513</v>
      </c>
      <c r="H13" s="208" t="s">
        <v>970</v>
      </c>
      <c r="I13" s="202"/>
      <c r="J13" s="202"/>
      <c r="K13" s="208" t="s">
        <v>937</v>
      </c>
      <c r="L13" s="202"/>
    </row>
    <row r="14" spans="1:12">
      <c r="A14" s="202"/>
      <c r="B14" s="202"/>
      <c r="C14" s="208" t="s">
        <v>471</v>
      </c>
      <c r="D14" s="208" t="s">
        <v>1045</v>
      </c>
      <c r="E14" s="202"/>
      <c r="F14" s="202"/>
      <c r="G14" s="208" t="s">
        <v>972</v>
      </c>
      <c r="H14" s="208" t="s">
        <v>973</v>
      </c>
      <c r="I14" s="202"/>
      <c r="J14" s="208" t="s">
        <v>1513</v>
      </c>
      <c r="K14" s="208" t="s">
        <v>1514</v>
      </c>
      <c r="L14" s="202"/>
    </row>
    <row r="15" spans="1:12">
      <c r="A15" s="202"/>
      <c r="B15" s="202"/>
      <c r="C15" s="208" t="s">
        <v>475</v>
      </c>
      <c r="D15" s="208" t="s">
        <v>533</v>
      </c>
      <c r="E15" s="202"/>
      <c r="F15" s="203" t="s">
        <v>1515</v>
      </c>
      <c r="G15" s="208" t="s">
        <v>1153</v>
      </c>
      <c r="H15" s="208" t="s">
        <v>420</v>
      </c>
      <c r="I15" s="202"/>
      <c r="J15" s="208" t="s">
        <v>1516</v>
      </c>
      <c r="K15" s="208" t="s">
        <v>476</v>
      </c>
      <c r="L15" s="202"/>
    </row>
    <row r="16" spans="1:12">
      <c r="A16" s="202"/>
      <c r="B16" s="202"/>
      <c r="C16" s="1498"/>
      <c r="D16" s="1498"/>
      <c r="E16" s="1498"/>
      <c r="F16" s="1498"/>
      <c r="G16" s="1500" t="s">
        <v>506</v>
      </c>
      <c r="H16" s="1500" t="s">
        <v>510</v>
      </c>
      <c r="I16" s="1498"/>
      <c r="J16" s="1500" t="s">
        <v>519</v>
      </c>
      <c r="K16" s="1500" t="s">
        <v>911</v>
      </c>
      <c r="L16" s="202"/>
    </row>
    <row r="17" spans="1:12">
      <c r="A17" s="202"/>
      <c r="B17" s="202"/>
      <c r="C17" s="202"/>
      <c r="D17" s="208"/>
      <c r="E17" s="202"/>
      <c r="F17" s="202"/>
      <c r="G17" s="202"/>
      <c r="H17" s="202"/>
      <c r="I17" s="202"/>
      <c r="J17" s="202"/>
      <c r="K17" s="202"/>
      <c r="L17" s="202"/>
    </row>
    <row r="18" spans="1:12">
      <c r="A18" s="202"/>
      <c r="B18" s="202"/>
      <c r="C18" s="208">
        <v>1</v>
      </c>
      <c r="D18" s="208"/>
      <c r="E18" s="202"/>
      <c r="F18" s="204" t="s">
        <v>1517</v>
      </c>
      <c r="G18" s="202"/>
      <c r="H18" s="202"/>
      <c r="I18" s="202"/>
      <c r="J18" s="202"/>
      <c r="K18" s="202"/>
      <c r="L18" s="202"/>
    </row>
    <row r="19" spans="1:12">
      <c r="A19" s="202"/>
      <c r="B19" s="202"/>
      <c r="C19" s="208">
        <v>2</v>
      </c>
      <c r="D19" s="208"/>
      <c r="E19" s="202"/>
      <c r="F19" s="202"/>
      <c r="G19" s="202"/>
      <c r="H19" s="202"/>
      <c r="I19" s="202"/>
      <c r="J19" s="202"/>
      <c r="K19" s="202"/>
      <c r="L19" s="202"/>
    </row>
    <row r="20" spans="1:12">
      <c r="A20" s="202"/>
      <c r="B20" s="202"/>
      <c r="C20" s="208">
        <v>3</v>
      </c>
      <c r="D20" s="208"/>
      <c r="E20" s="202"/>
      <c r="F20" s="204" t="s">
        <v>1518</v>
      </c>
      <c r="G20" s="202"/>
      <c r="H20" s="202"/>
      <c r="I20" s="202"/>
      <c r="J20" s="202"/>
      <c r="K20" s="202"/>
      <c r="L20" s="202"/>
    </row>
    <row r="21" spans="1:12">
      <c r="A21" s="202"/>
      <c r="B21" s="202">
        <v>440</v>
      </c>
      <c r="C21" s="208">
        <v>4</v>
      </c>
      <c r="D21" s="208">
        <v>440</v>
      </c>
      <c r="E21" s="202"/>
      <c r="F21" s="660" t="s">
        <v>91</v>
      </c>
      <c r="G21" s="215">
        <f t="array" ref="G21">SUM(IF(FERCBP=B21,AmountBP))</f>
        <v>200481710</v>
      </c>
      <c r="H21" s="717">
        <f t="shared" ref="H21:H26" si="0">VLOOKUP(K21,ALLOCTABLE,2)</f>
        <v>100</v>
      </c>
      <c r="I21" s="202"/>
      <c r="J21" s="215">
        <f t="shared" ref="J21:J26" si="1">ROUND(G21*(H21/100),0)</f>
        <v>200481710</v>
      </c>
      <c r="K21" s="208" t="s">
        <v>428</v>
      </c>
      <c r="L21" s="202"/>
    </row>
    <row r="22" spans="1:12">
      <c r="A22" s="202">
        <v>442100</v>
      </c>
      <c r="B22" s="202">
        <v>442190</v>
      </c>
      <c r="C22" s="208">
        <v>5</v>
      </c>
      <c r="D22" s="208">
        <v>442</v>
      </c>
      <c r="E22" s="202"/>
      <c r="F22" s="660" t="s">
        <v>1488</v>
      </c>
      <c r="G22" s="215">
        <f>ROUND(VLOOKUP(A22,BasePeriod,5,FALSE)+VLOOKUP(B22,BasePeriod,5,FALSE),0)</f>
        <v>167628135</v>
      </c>
      <c r="H22" s="717">
        <f t="shared" si="0"/>
        <v>100</v>
      </c>
      <c r="I22" s="202"/>
      <c r="J22" s="215">
        <f t="shared" si="1"/>
        <v>167628135</v>
      </c>
      <c r="K22" s="208" t="s">
        <v>428</v>
      </c>
      <c r="L22" s="202"/>
    </row>
    <row r="23" spans="1:12">
      <c r="A23" s="202">
        <v>442200</v>
      </c>
      <c r="B23" s="202">
        <v>442290</v>
      </c>
      <c r="C23" s="208">
        <v>6</v>
      </c>
      <c r="D23" s="208">
        <v>442</v>
      </c>
      <c r="E23" s="202"/>
      <c r="F23" s="660" t="s">
        <v>1489</v>
      </c>
      <c r="G23" s="215">
        <f>ROUND(VLOOKUP(A23,BasePeriod,5,FALSE)+VLOOKUP(B23,BasePeriod,5,FALSE),0)</f>
        <v>73682627</v>
      </c>
      <c r="H23" s="717">
        <f t="shared" si="0"/>
        <v>100</v>
      </c>
      <c r="I23" s="202"/>
      <c r="J23" s="215">
        <f t="shared" si="1"/>
        <v>73682627</v>
      </c>
      <c r="K23" s="208" t="s">
        <v>428</v>
      </c>
      <c r="L23" s="202"/>
    </row>
    <row r="24" spans="1:12">
      <c r="A24" s="202"/>
      <c r="B24" s="202">
        <v>444</v>
      </c>
      <c r="C24" s="208">
        <v>7</v>
      </c>
      <c r="D24" s="208">
        <v>444</v>
      </c>
      <c r="E24" s="202"/>
      <c r="F24" s="660" t="s">
        <v>1519</v>
      </c>
      <c r="G24" s="215">
        <f t="array" ref="G24">SUM(IF(FERCBP=B24,AmountBP))</f>
        <v>1298976</v>
      </c>
      <c r="H24" s="717">
        <f t="shared" si="0"/>
        <v>100</v>
      </c>
      <c r="I24" s="202"/>
      <c r="J24" s="215">
        <f t="shared" si="1"/>
        <v>1298976</v>
      </c>
      <c r="K24" s="208" t="s">
        <v>428</v>
      </c>
      <c r="L24" s="202"/>
    </row>
    <row r="25" spans="1:12">
      <c r="A25" s="202"/>
      <c r="B25" s="202">
        <v>445</v>
      </c>
      <c r="C25" s="208">
        <v>8</v>
      </c>
      <c r="D25" s="208">
        <v>445</v>
      </c>
      <c r="E25" s="202"/>
      <c r="F25" s="660" t="s">
        <v>1520</v>
      </c>
      <c r="G25" s="215">
        <f t="array" ref="G25">SUM(IF(FERCBP=B25,AmountBP))</f>
        <v>26964598</v>
      </c>
      <c r="H25" s="717">
        <f t="shared" si="0"/>
        <v>100</v>
      </c>
      <c r="I25" s="202"/>
      <c r="J25" s="215">
        <f t="shared" si="1"/>
        <v>26964598</v>
      </c>
      <c r="K25" s="208" t="s">
        <v>428</v>
      </c>
      <c r="L25" s="202"/>
    </row>
    <row r="26" spans="1:12">
      <c r="A26" s="202">
        <v>448000</v>
      </c>
      <c r="B26" s="202"/>
      <c r="C26" s="208">
        <v>9</v>
      </c>
      <c r="D26" s="205">
        <v>448</v>
      </c>
      <c r="E26" s="202"/>
      <c r="F26" s="660" t="s">
        <v>1521</v>
      </c>
      <c r="G26" s="215">
        <f>ROUND(VLOOKUP(A26,BasePeriod,5,FALSE),0)</f>
        <v>27980</v>
      </c>
      <c r="H26" s="717">
        <f t="shared" si="0"/>
        <v>100</v>
      </c>
      <c r="I26" s="202"/>
      <c r="J26" s="215">
        <f t="shared" si="1"/>
        <v>27980</v>
      </c>
      <c r="K26" s="208" t="s">
        <v>428</v>
      </c>
      <c r="L26" s="202"/>
    </row>
    <row r="27" spans="1:12">
      <c r="A27" s="202"/>
      <c r="B27" s="202"/>
      <c r="C27" s="208">
        <v>10</v>
      </c>
      <c r="D27" s="208"/>
      <c r="E27" s="202"/>
      <c r="F27" s="660" t="s">
        <v>1522</v>
      </c>
      <c r="G27" s="2138">
        <f>SUM(G20:G26)</f>
        <v>470084026</v>
      </c>
      <c r="H27" s="215"/>
      <c r="I27" s="202"/>
      <c r="J27" s="2138">
        <f>SUM(J20:J26)</f>
        <v>470084026</v>
      </c>
      <c r="K27" s="202"/>
      <c r="L27" s="202"/>
    </row>
    <row r="28" spans="1:12">
      <c r="A28" s="202"/>
      <c r="B28" s="202"/>
      <c r="C28" s="208">
        <v>11</v>
      </c>
      <c r="D28" s="208"/>
      <c r="E28" s="202"/>
      <c r="F28" s="202"/>
      <c r="G28" s="206"/>
      <c r="H28" s="202"/>
      <c r="I28" s="202"/>
      <c r="J28" s="206"/>
      <c r="K28" s="202"/>
      <c r="L28" s="202"/>
    </row>
    <row r="29" spans="1:12">
      <c r="A29" s="202"/>
      <c r="B29" s="202">
        <v>447</v>
      </c>
      <c r="C29" s="208">
        <v>12</v>
      </c>
      <c r="D29" s="208" t="s">
        <v>405</v>
      </c>
      <c r="E29" s="202"/>
      <c r="F29" s="207" t="s">
        <v>381</v>
      </c>
      <c r="G29" s="2138">
        <f t="array" ref="G29">SUM(IF(FERCBP=B29,AmountBP))</f>
        <v>25728381</v>
      </c>
      <c r="H29" s="717">
        <f>VLOOKUP(K29,ALLOCTABLE,2)</f>
        <v>100</v>
      </c>
      <c r="I29" s="202"/>
      <c r="J29" s="2138">
        <f>ROUND(G29*(H29/100),0)</f>
        <v>25728381</v>
      </c>
      <c r="K29" s="208" t="s">
        <v>428</v>
      </c>
      <c r="L29" s="202"/>
    </row>
    <row r="30" spans="1:12">
      <c r="A30" s="202"/>
      <c r="B30" s="202"/>
      <c r="C30" s="208">
        <v>13</v>
      </c>
      <c r="D30" s="208"/>
      <c r="E30" s="202"/>
      <c r="F30" s="202"/>
      <c r="G30" s="206"/>
      <c r="H30" s="202"/>
      <c r="I30" s="202"/>
      <c r="J30" s="206"/>
      <c r="K30" s="202"/>
      <c r="L30" s="202"/>
    </row>
    <row r="31" spans="1:12">
      <c r="A31" s="202"/>
      <c r="B31" s="202"/>
      <c r="C31" s="208">
        <v>14</v>
      </c>
      <c r="D31" s="208"/>
      <c r="E31" s="202"/>
      <c r="F31" s="204" t="s">
        <v>1523</v>
      </c>
      <c r="G31" s="202"/>
      <c r="H31" s="717"/>
      <c r="I31" s="202"/>
      <c r="J31" s="215"/>
      <c r="K31" s="202"/>
      <c r="L31" s="202"/>
    </row>
    <row r="32" spans="1:12">
      <c r="A32" s="208"/>
      <c r="B32" s="208">
        <v>449</v>
      </c>
      <c r="C32" s="208">
        <v>15</v>
      </c>
      <c r="D32" s="208">
        <v>449</v>
      </c>
      <c r="E32" s="202"/>
      <c r="F32" s="660" t="s">
        <v>1500</v>
      </c>
      <c r="G32" s="215">
        <f t="array" ref="G32">SUM(IF(FERCBP=B32,AmountBP))</f>
        <v>-3740654</v>
      </c>
      <c r="H32" s="717">
        <f>VLOOKUP(K32,ALLOCTABLE,2)</f>
        <v>100</v>
      </c>
      <c r="I32" s="202"/>
      <c r="J32" s="215">
        <f t="shared" ref="J32:J50" si="2">ROUND(G32*(H32/100),0)</f>
        <v>-3740654</v>
      </c>
      <c r="K32" s="208" t="s">
        <v>428</v>
      </c>
      <c r="L32" s="202"/>
    </row>
    <row r="33" spans="1:12">
      <c r="A33" s="208"/>
      <c r="B33" s="208">
        <v>450100</v>
      </c>
      <c r="C33" s="208">
        <v>16</v>
      </c>
      <c r="D33" s="208">
        <v>450</v>
      </c>
      <c r="E33" s="202"/>
      <c r="F33" s="660" t="s">
        <v>1524</v>
      </c>
      <c r="G33" s="215">
        <f>ROUND(VLOOKUP(B33,BasePeriod,5,FALSE),0)</f>
        <v>1088122</v>
      </c>
      <c r="H33" s="717">
        <f t="shared" ref="H33:H45" si="3">VLOOKUP(K33,ALLOCTABLE,2)</f>
        <v>100</v>
      </c>
      <c r="I33" s="202"/>
      <c r="J33" s="215">
        <f t="shared" si="2"/>
        <v>1088122</v>
      </c>
      <c r="K33" s="208" t="s">
        <v>428</v>
      </c>
      <c r="L33" s="202"/>
    </row>
    <row r="34" spans="1:12">
      <c r="A34" s="208"/>
      <c r="B34" s="208">
        <v>451100</v>
      </c>
      <c r="C34" s="208">
        <v>17</v>
      </c>
      <c r="D34" s="208">
        <v>451</v>
      </c>
      <c r="E34" s="202"/>
      <c r="F34" s="660" t="s">
        <v>1525</v>
      </c>
      <c r="G34" s="215">
        <f>ROUND(VLOOKUP(B34,BasePeriod,5,FALSE),0)</f>
        <v>181631</v>
      </c>
      <c r="H34" s="717">
        <f>VLOOKUP(K34,ALLOCTABLE,2)</f>
        <v>100</v>
      </c>
      <c r="I34" s="202"/>
      <c r="J34" s="215">
        <f t="shared" si="2"/>
        <v>181631</v>
      </c>
      <c r="K34" s="208" t="s">
        <v>428</v>
      </c>
      <c r="L34" s="202"/>
    </row>
    <row r="35" spans="1:12">
      <c r="A35" s="208"/>
      <c r="B35" s="208">
        <v>454004</v>
      </c>
      <c r="C35" s="208">
        <v>18</v>
      </c>
      <c r="D35" s="208">
        <v>454004</v>
      </c>
      <c r="E35" s="202"/>
      <c r="F35" s="660" t="s">
        <v>106</v>
      </c>
      <c r="G35" s="215">
        <f>ROUND(VLOOKUP(B35,BasePeriod,5,FALSE),0)</f>
        <v>10580</v>
      </c>
      <c r="H35" s="717">
        <f>VLOOKUP(K35,ALLOCTABLE,2)</f>
        <v>100</v>
      </c>
      <c r="I35" s="202"/>
      <c r="J35" s="215">
        <f>ROUND(G35*(H35/100),0)</f>
        <v>10580</v>
      </c>
      <c r="K35" s="208" t="s">
        <v>428</v>
      </c>
      <c r="L35" s="202"/>
    </row>
    <row r="36" spans="1:12">
      <c r="A36" s="208"/>
      <c r="B36" s="208">
        <v>454100</v>
      </c>
      <c r="C36" s="208">
        <v>19</v>
      </c>
      <c r="D36" s="208">
        <v>454100</v>
      </c>
      <c r="E36" s="202"/>
      <c r="F36" s="660" t="s">
        <v>107</v>
      </c>
      <c r="G36" s="215">
        <f>ROUND(VLOOKUP(B36,BasePeriod,5,FALSE),0)</f>
        <v>271</v>
      </c>
      <c r="H36" s="717">
        <f>VLOOKUP(K36,ALLOCTABLE,2)</f>
        <v>100</v>
      </c>
      <c r="I36" s="202"/>
      <c r="J36" s="215">
        <f t="shared" ref="J36:J38" si="4">ROUND(G36*(H36/100),0)</f>
        <v>271</v>
      </c>
      <c r="K36" s="208" t="s">
        <v>428</v>
      </c>
      <c r="L36" s="202"/>
    </row>
    <row r="37" spans="1:12">
      <c r="A37" s="208"/>
      <c r="B37" s="208">
        <v>454200</v>
      </c>
      <c r="C37" s="208">
        <v>20</v>
      </c>
      <c r="D37" s="208">
        <v>454200</v>
      </c>
      <c r="E37" s="202"/>
      <c r="F37" s="660" t="str">
        <f t="shared" ref="F37:F50" si="5">VLOOKUP(D37,BasePeriod,2,FALSE)</f>
        <v>Pole &amp; Line Attachments</v>
      </c>
      <c r="G37" s="215">
        <f t="shared" ref="G37:G45" si="6">ROUND(VLOOKUP(B37,BasePeriod,5,FALSE),0)</f>
        <v>316666</v>
      </c>
      <c r="H37" s="717">
        <f t="shared" si="3"/>
        <v>100</v>
      </c>
      <c r="I37" s="202"/>
      <c r="J37" s="215">
        <f t="shared" si="4"/>
        <v>316666</v>
      </c>
      <c r="K37" s="208" t="s">
        <v>428</v>
      </c>
      <c r="L37" s="202"/>
    </row>
    <row r="38" spans="1:12">
      <c r="A38" s="208"/>
      <c r="B38" s="208">
        <v>454210</v>
      </c>
      <c r="C38" s="208">
        <v>21</v>
      </c>
      <c r="D38" s="208">
        <v>454210</v>
      </c>
      <c r="E38" s="202"/>
      <c r="F38" s="660" t="s">
        <v>109</v>
      </c>
      <c r="G38" s="215">
        <f t="shared" si="6"/>
        <v>0</v>
      </c>
      <c r="H38" s="717">
        <f t="shared" si="3"/>
        <v>100</v>
      </c>
      <c r="I38" s="202"/>
      <c r="J38" s="215">
        <f t="shared" si="4"/>
        <v>0</v>
      </c>
      <c r="K38" s="208" t="s">
        <v>428</v>
      </c>
      <c r="L38" s="202"/>
    </row>
    <row r="39" spans="1:12">
      <c r="A39" s="208"/>
      <c r="B39" s="208">
        <v>454300</v>
      </c>
      <c r="C39" s="208">
        <v>22</v>
      </c>
      <c r="D39" s="208">
        <v>454300</v>
      </c>
      <c r="E39" s="202"/>
      <c r="F39" s="660" t="str">
        <f t="shared" si="5"/>
        <v>Tower Lease Revenues</v>
      </c>
      <c r="G39" s="215">
        <f t="shared" si="6"/>
        <v>13045</v>
      </c>
      <c r="H39" s="717">
        <f t="shared" si="3"/>
        <v>100</v>
      </c>
      <c r="I39" s="202"/>
      <c r="J39" s="215">
        <f t="shared" si="2"/>
        <v>13045</v>
      </c>
      <c r="K39" s="208" t="s">
        <v>428</v>
      </c>
      <c r="L39" s="202"/>
    </row>
    <row r="40" spans="1:12">
      <c r="A40" s="208"/>
      <c r="B40" s="208">
        <v>454400</v>
      </c>
      <c r="C40" s="208">
        <v>23</v>
      </c>
      <c r="D40" s="208">
        <v>454400</v>
      </c>
      <c r="E40" s="202"/>
      <c r="F40" s="660" t="str">
        <f t="shared" si="5"/>
        <v>Other Electric Rents</v>
      </c>
      <c r="G40" s="215">
        <f t="shared" si="6"/>
        <v>1216743</v>
      </c>
      <c r="H40" s="717">
        <f t="shared" si="3"/>
        <v>100</v>
      </c>
      <c r="I40" s="202"/>
      <c r="J40" s="215">
        <f t="shared" si="2"/>
        <v>1216743</v>
      </c>
      <c r="K40" s="208" t="s">
        <v>428</v>
      </c>
      <c r="L40" s="202"/>
    </row>
    <row r="41" spans="1:12">
      <c r="A41" s="208"/>
      <c r="B41" s="208">
        <v>456025</v>
      </c>
      <c r="C41" s="208">
        <v>24</v>
      </c>
      <c r="D41" s="208">
        <v>456025</v>
      </c>
      <c r="E41" s="202"/>
      <c r="F41" s="660" t="str">
        <f t="shared" si="5"/>
        <v>RSG Rev - MISO Make Whole</v>
      </c>
      <c r="G41" s="215">
        <f t="shared" si="6"/>
        <v>3343177</v>
      </c>
      <c r="H41" s="717">
        <f t="shared" si="3"/>
        <v>100</v>
      </c>
      <c r="I41" s="202"/>
      <c r="J41" s="215">
        <f t="shared" si="2"/>
        <v>3343177</v>
      </c>
      <c r="K41" s="208" t="s">
        <v>428</v>
      </c>
      <c r="L41" s="202"/>
    </row>
    <row r="42" spans="1:12">
      <c r="A42" s="208"/>
      <c r="B42" s="208">
        <v>456040</v>
      </c>
      <c r="C42" s="208">
        <v>25</v>
      </c>
      <c r="D42" s="208">
        <v>456040</v>
      </c>
      <c r="E42" s="202"/>
      <c r="F42" s="660" t="str">
        <f t="shared" si="5"/>
        <v>Sales Use Tax Coll Fee</v>
      </c>
      <c r="G42" s="215">
        <f t="shared" si="6"/>
        <v>350</v>
      </c>
      <c r="H42" s="717">
        <f t="shared" si="3"/>
        <v>100</v>
      </c>
      <c r="I42" s="202"/>
      <c r="J42" s="215">
        <f t="shared" si="2"/>
        <v>350</v>
      </c>
      <c r="K42" s="208" t="s">
        <v>428</v>
      </c>
      <c r="L42" s="202"/>
    </row>
    <row r="43" spans="1:12">
      <c r="A43" s="208"/>
      <c r="B43" s="208">
        <v>456075</v>
      </c>
      <c r="C43" s="208">
        <v>26</v>
      </c>
      <c r="D43" s="208">
        <v>456075</v>
      </c>
      <c r="E43" s="202"/>
      <c r="F43" s="660" t="s">
        <v>114</v>
      </c>
      <c r="G43" s="215">
        <f t="shared" ref="G43" si="7">ROUND(VLOOKUP(B43,BasePeriod,5,FALSE),0)</f>
        <v>0</v>
      </c>
      <c r="H43" s="717">
        <f t="shared" ref="H43" si="8">VLOOKUP(K43,ALLOCTABLE,2)</f>
        <v>100</v>
      </c>
      <c r="I43" s="202"/>
      <c r="J43" s="215">
        <f t="shared" ref="J43" si="9">ROUND(G43*(H43/100),0)</f>
        <v>0</v>
      </c>
      <c r="K43" s="208" t="s">
        <v>428</v>
      </c>
      <c r="L43" s="202"/>
    </row>
    <row r="44" spans="1:12">
      <c r="A44" s="208"/>
      <c r="B44" s="208">
        <v>456110</v>
      </c>
      <c r="C44" s="208">
        <v>27</v>
      </c>
      <c r="D44" s="208">
        <v>456110</v>
      </c>
      <c r="E44" s="202"/>
      <c r="F44" s="660" t="str">
        <f t="shared" si="5"/>
        <v>Transmission Charge PTP</v>
      </c>
      <c r="G44" s="215">
        <f t="shared" si="6"/>
        <v>172002</v>
      </c>
      <c r="H44" s="717">
        <f t="shared" si="3"/>
        <v>100</v>
      </c>
      <c r="I44" s="202"/>
      <c r="J44" s="215">
        <f t="shared" si="2"/>
        <v>172002</v>
      </c>
      <c r="K44" s="208" t="s">
        <v>428</v>
      </c>
      <c r="L44" s="202"/>
    </row>
    <row r="45" spans="1:12">
      <c r="A45" s="202"/>
      <c r="B45" s="208">
        <v>456111</v>
      </c>
      <c r="C45" s="208">
        <v>28</v>
      </c>
      <c r="D45" s="208">
        <v>456111</v>
      </c>
      <c r="E45" s="202"/>
      <c r="F45" s="660" t="str">
        <f t="shared" si="5"/>
        <v>Other Transmission Revenues</v>
      </c>
      <c r="G45" s="215">
        <f t="shared" si="6"/>
        <v>2570647</v>
      </c>
      <c r="H45" s="717">
        <f t="shared" si="3"/>
        <v>100</v>
      </c>
      <c r="I45" s="202"/>
      <c r="J45" s="215">
        <f t="shared" si="2"/>
        <v>2570647</v>
      </c>
      <c r="K45" s="208" t="s">
        <v>428</v>
      </c>
      <c r="L45" s="202"/>
    </row>
    <row r="46" spans="1:12">
      <c r="A46" s="202"/>
      <c r="B46" s="208">
        <v>456610</v>
      </c>
      <c r="C46" s="208">
        <v>29</v>
      </c>
      <c r="D46" s="208">
        <v>456610</v>
      </c>
      <c r="E46" s="202"/>
      <c r="F46" s="660" t="str">
        <f>VLOOKUP(D46,BasePeriod,2,FALSE)</f>
        <v>Other Electric Revenues</v>
      </c>
      <c r="G46" s="215">
        <f>ROUND(VLOOKUP(B46,BasePeriod,5,FALSE),0)</f>
        <v>0</v>
      </c>
      <c r="H46" s="717">
        <f>VLOOKUP(K46,ALLOCTABLE,2)</f>
        <v>100</v>
      </c>
      <c r="I46" s="202"/>
      <c r="J46" s="215">
        <f>ROUND(G46*(H46/100),0)</f>
        <v>0</v>
      </c>
      <c r="K46" s="208" t="s">
        <v>428</v>
      </c>
      <c r="L46" s="202"/>
    </row>
    <row r="47" spans="1:12">
      <c r="A47" s="202"/>
      <c r="B47" s="208">
        <v>456970</v>
      </c>
      <c r="C47" s="208">
        <v>30</v>
      </c>
      <c r="D47" s="208">
        <v>456970</v>
      </c>
      <c r="E47" s="202"/>
      <c r="F47" s="660" t="str">
        <f t="shared" si="5"/>
        <v>Wheel Transmission Rev - ED</v>
      </c>
      <c r="G47" s="215">
        <f>ROUND(VLOOKUP(B47,BasePeriod,5,FALSE),0)</f>
        <v>40390</v>
      </c>
      <c r="H47" s="717">
        <f>VLOOKUP(K47,ALLOCTABLE,2)</f>
        <v>100</v>
      </c>
      <c r="I47" s="202"/>
      <c r="J47" s="215">
        <f>ROUND(G47*(H47/100),0)</f>
        <v>40390</v>
      </c>
      <c r="K47" s="208" t="s">
        <v>428</v>
      </c>
      <c r="L47" s="202"/>
    </row>
    <row r="48" spans="1:12">
      <c r="A48" s="202"/>
      <c r="B48" s="208">
        <v>457100</v>
      </c>
      <c r="C48" s="208">
        <v>31</v>
      </c>
      <c r="D48" s="208">
        <v>457100</v>
      </c>
      <c r="E48" s="202"/>
      <c r="F48" s="660" t="str">
        <f>VLOOKUP(D48,BasePeriod,2,FALSE)</f>
        <v>Regional Transmission Service</v>
      </c>
      <c r="G48" s="215">
        <f>ROUND(VLOOKUP(B48,BasePeriod,5,FALSE),0)</f>
        <v>0</v>
      </c>
      <c r="H48" s="717">
        <f>VLOOKUP(K48,ALLOCTABLE,2)</f>
        <v>100</v>
      </c>
      <c r="I48" s="202"/>
      <c r="J48" s="215">
        <f>ROUND(G48*(H48/100),0)</f>
        <v>0</v>
      </c>
      <c r="K48" s="208" t="s">
        <v>428</v>
      </c>
      <c r="L48" s="202"/>
    </row>
    <row r="49" spans="1:13">
      <c r="A49" s="202"/>
      <c r="B49" s="208">
        <v>457105</v>
      </c>
      <c r="C49" s="208">
        <v>32</v>
      </c>
      <c r="D49" s="208">
        <v>457105</v>
      </c>
      <c r="E49" s="202"/>
      <c r="F49" s="660" t="str">
        <f>VLOOKUP(D49,BasePeriod,2,FALSE)</f>
        <v>Scheduling &amp; Dispatch Revenues</v>
      </c>
      <c r="G49" s="215">
        <f>ROUND(VLOOKUP(B49,BasePeriod,5,FALSE),0)</f>
        <v>123475</v>
      </c>
      <c r="H49" s="717">
        <f>VLOOKUP(K49,ALLOCTABLE,2)</f>
        <v>100</v>
      </c>
      <c r="I49" s="202"/>
      <c r="J49" s="215">
        <f>ROUND(G49*(H49/100),0)</f>
        <v>123475</v>
      </c>
      <c r="K49" s="208" t="s">
        <v>428</v>
      </c>
      <c r="L49" s="202"/>
    </row>
    <row r="50" spans="1:13">
      <c r="A50" s="202"/>
      <c r="B50" s="208">
        <v>457204</v>
      </c>
      <c r="C50" s="208">
        <v>33</v>
      </c>
      <c r="D50" s="208">
        <v>457204</v>
      </c>
      <c r="E50" s="202"/>
      <c r="F50" s="660" t="str">
        <f t="shared" si="5"/>
        <v>PJM Reactive Rev</v>
      </c>
      <c r="G50" s="215">
        <f>ROUND(VLOOKUP(B50,BasePeriod,5,FALSE),0)</f>
        <v>2616295</v>
      </c>
      <c r="H50" s="717">
        <f>VLOOKUP(K50,ALLOCTABLE,2)</f>
        <v>100</v>
      </c>
      <c r="I50" s="202"/>
      <c r="J50" s="215">
        <f t="shared" si="2"/>
        <v>2616295</v>
      </c>
      <c r="K50" s="208" t="s">
        <v>428</v>
      </c>
      <c r="L50" s="202"/>
    </row>
    <row r="51" spans="1:13">
      <c r="A51" s="202"/>
      <c r="B51" s="202"/>
      <c r="C51" s="208">
        <v>34</v>
      </c>
      <c r="D51" s="208"/>
      <c r="E51" s="202"/>
      <c r="F51" s="660" t="s">
        <v>1526</v>
      </c>
      <c r="G51" s="2138">
        <f>SUM(G32:G50)</f>
        <v>7952740</v>
      </c>
      <c r="H51" s="717"/>
      <c r="I51" s="202"/>
      <c r="J51" s="2138">
        <f>SUM(J32:J50)</f>
        <v>7952740</v>
      </c>
      <c r="K51" s="202"/>
      <c r="L51" s="202"/>
    </row>
    <row r="52" spans="1:13">
      <c r="A52" s="202"/>
      <c r="B52" s="202"/>
      <c r="C52" s="208">
        <v>35</v>
      </c>
      <c r="D52" s="209"/>
      <c r="E52" s="202"/>
      <c r="F52" s="202"/>
      <c r="G52" s="210"/>
      <c r="H52" s="717"/>
      <c r="I52" s="202"/>
      <c r="J52" s="210"/>
      <c r="K52" s="202"/>
      <c r="L52" s="202"/>
    </row>
    <row r="53" spans="1:13" ht="13.8" thickBot="1">
      <c r="A53" s="202"/>
      <c r="B53" s="202"/>
      <c r="C53" s="208">
        <v>36</v>
      </c>
      <c r="D53" s="208"/>
      <c r="E53" s="202"/>
      <c r="F53" s="660" t="s">
        <v>1527</v>
      </c>
      <c r="G53" s="1952">
        <f>G27+G29+G51</f>
        <v>503765147</v>
      </c>
      <c r="H53" s="215"/>
      <c r="I53" s="202"/>
      <c r="J53" s="1952">
        <f>J27+J29+J51</f>
        <v>503765147</v>
      </c>
      <c r="K53" s="202"/>
      <c r="L53" s="202"/>
    </row>
    <row r="54" spans="1:13" ht="13.8" thickTop="1">
      <c r="A54" s="202"/>
      <c r="B54" s="202"/>
      <c r="C54" s="208"/>
      <c r="D54" s="202"/>
      <c r="E54" s="202"/>
      <c r="F54" s="202"/>
      <c r="G54" s="210"/>
      <c r="H54" s="717"/>
      <c r="I54" s="202"/>
      <c r="J54" s="210"/>
      <c r="K54" s="202"/>
      <c r="L54" s="202"/>
      <c r="M54" s="28"/>
    </row>
    <row r="55" spans="1:13">
      <c r="A55" s="202"/>
      <c r="B55" s="202"/>
      <c r="C55" s="203" t="str">
        <f>COMPANY</f>
        <v>DUKE ENERGY KENTUCKY, INC.</v>
      </c>
      <c r="D55" s="203"/>
      <c r="E55" s="203"/>
      <c r="F55" s="203"/>
      <c r="G55" s="203"/>
      <c r="H55" s="203"/>
      <c r="I55" s="203"/>
      <c r="J55" s="203"/>
      <c r="K55" s="203"/>
      <c r="L55" s="202"/>
    </row>
    <row r="56" spans="1:13">
      <c r="A56" s="202"/>
      <c r="B56" s="202"/>
      <c r="C56" s="203" t="str">
        <f>CASE</f>
        <v>CASE NO. 2024-00354</v>
      </c>
      <c r="D56" s="203"/>
      <c r="E56" s="203"/>
      <c r="F56" s="203"/>
      <c r="G56" s="203"/>
      <c r="H56" s="203"/>
      <c r="I56" s="203"/>
      <c r="J56" s="203"/>
      <c r="K56" s="203"/>
      <c r="L56" s="202"/>
    </row>
    <row r="57" spans="1:13">
      <c r="A57" s="202"/>
      <c r="B57" s="202"/>
      <c r="C57" s="203" t="s">
        <v>1511</v>
      </c>
      <c r="D57" s="203"/>
      <c r="E57" s="203"/>
      <c r="F57" s="203"/>
      <c r="G57" s="203"/>
      <c r="H57" s="203"/>
      <c r="I57" s="203"/>
      <c r="J57" s="203"/>
      <c r="K57" s="203"/>
      <c r="L57" s="202"/>
    </row>
    <row r="58" spans="1:13">
      <c r="A58" s="202"/>
      <c r="B58" s="202"/>
      <c r="C58" s="203" t="str">
        <f>PERIOD</f>
        <v>FOR THE TWELVE MONTHS ENDED FEBRUARY 28, 2025</v>
      </c>
      <c r="D58" s="203"/>
      <c r="E58" s="203"/>
      <c r="F58" s="203"/>
      <c r="G58" s="203"/>
      <c r="H58" s="203"/>
      <c r="I58" s="203"/>
      <c r="J58" s="203"/>
      <c r="K58" s="203"/>
      <c r="L58" s="202"/>
    </row>
    <row r="59" spans="1:13">
      <c r="A59" s="202"/>
      <c r="B59" s="202"/>
      <c r="C59" s="203"/>
      <c r="D59" s="203"/>
      <c r="E59" s="203"/>
      <c r="F59" s="203"/>
      <c r="G59" s="203"/>
      <c r="H59" s="203"/>
      <c r="I59" s="203"/>
      <c r="J59" s="202"/>
      <c r="K59" s="202"/>
      <c r="L59" s="202"/>
    </row>
    <row r="60" spans="1:13">
      <c r="A60" s="202"/>
      <c r="B60" s="202"/>
      <c r="C60" s="202"/>
      <c r="D60" s="202"/>
      <c r="E60" s="202"/>
      <c r="F60" s="202"/>
      <c r="G60" s="202"/>
      <c r="H60" s="202"/>
      <c r="I60" s="202"/>
      <c r="J60" s="660" t="str">
        <f>"                "&amp;"SCHEDULE C-2.1"</f>
        <v xml:space="preserve">                SCHEDULE C-2.1</v>
      </c>
      <c r="K60" s="202"/>
      <c r="L60" s="202"/>
    </row>
    <row r="61" spans="1:13">
      <c r="A61" s="202"/>
      <c r="B61" s="202"/>
      <c r="C61" s="202" t="str">
        <f>Data</f>
        <v>DATA: "X" BASE PERIOD   FORECASTED PERIOD</v>
      </c>
      <c r="D61" s="202"/>
      <c r="E61" s="202"/>
      <c r="F61" s="202"/>
      <c r="G61" s="202"/>
      <c r="H61" s="202"/>
      <c r="I61" s="202"/>
      <c r="J61" s="660" t="str">
        <f>"                "&amp;"PAGE  2  OF  14"</f>
        <v xml:space="preserve">                PAGE  2  OF  14</v>
      </c>
      <c r="K61" s="202"/>
      <c r="L61" s="202"/>
    </row>
    <row r="62" spans="1:13">
      <c r="A62" s="202"/>
      <c r="B62" s="202"/>
      <c r="C62" s="202" t="str">
        <f>Type</f>
        <v xml:space="preserve">TYPE OF FILING:  "X" ORIGINAL   UPDATED    REVISED  </v>
      </c>
      <c r="D62" s="202"/>
      <c r="E62" s="202"/>
      <c r="F62" s="202"/>
      <c r="G62" s="202"/>
      <c r="H62" s="202"/>
      <c r="I62" s="202"/>
      <c r="J62" s="660" t="str">
        <f>"                "&amp;"WITNESS RESPONSIBLE:"</f>
        <v xml:space="preserve">                WITNESS RESPONSIBLE:</v>
      </c>
      <c r="K62" s="202"/>
      <c r="L62" s="202"/>
    </row>
    <row r="63" spans="1:13">
      <c r="A63" s="202"/>
      <c r="B63" s="202"/>
      <c r="C63" s="660" t="str">
        <f>$C$11</f>
        <v>WORK PAPER REFERENCE NO(S).: WPC-2.1a_BP</v>
      </c>
      <c r="D63" s="202"/>
      <c r="E63" s="202"/>
      <c r="F63" s="202"/>
      <c r="G63" s="202"/>
      <c r="H63" s="202"/>
      <c r="I63" s="202"/>
      <c r="J63" s="660" t="str">
        <f>"                "&amp;_WIT1</f>
        <v xml:space="preserve">                L. D. STEINKUHL</v>
      </c>
      <c r="K63" s="202"/>
      <c r="L63" s="202"/>
    </row>
    <row r="64" spans="1:13">
      <c r="A64" s="202"/>
      <c r="B64" s="202"/>
      <c r="C64" s="1496"/>
      <c r="D64" s="1497"/>
      <c r="E64" s="1497"/>
      <c r="F64" s="1497"/>
      <c r="G64" s="1497"/>
      <c r="H64" s="1497"/>
      <c r="I64" s="1497"/>
      <c r="J64" s="1497"/>
      <c r="K64" s="1497"/>
      <c r="L64" s="202"/>
    </row>
    <row r="65" spans="1:12">
      <c r="A65" s="202"/>
      <c r="B65" s="202"/>
      <c r="C65" s="202"/>
      <c r="D65" s="202"/>
      <c r="E65" s="202"/>
      <c r="F65" s="202"/>
      <c r="G65" s="208" t="s">
        <v>1513</v>
      </c>
      <c r="H65" s="208" t="s">
        <v>970</v>
      </c>
      <c r="I65" s="202"/>
      <c r="J65" s="202"/>
      <c r="K65" s="208" t="s">
        <v>937</v>
      </c>
      <c r="L65" s="202"/>
    </row>
    <row r="66" spans="1:12">
      <c r="A66" s="202"/>
      <c r="B66" s="202"/>
      <c r="C66" s="208" t="s">
        <v>471</v>
      </c>
      <c r="D66" s="208" t="s">
        <v>1045</v>
      </c>
      <c r="E66" s="202"/>
      <c r="F66" s="202"/>
      <c r="G66" s="208" t="s">
        <v>972</v>
      </c>
      <c r="H66" s="208" t="s">
        <v>973</v>
      </c>
      <c r="I66" s="202"/>
      <c r="J66" s="208" t="s">
        <v>1513</v>
      </c>
      <c r="K66" s="208" t="s">
        <v>1514</v>
      </c>
      <c r="L66" s="202"/>
    </row>
    <row r="67" spans="1:12">
      <c r="A67" s="202"/>
      <c r="B67" s="202"/>
      <c r="C67" s="208" t="s">
        <v>475</v>
      </c>
      <c r="D67" s="208" t="s">
        <v>533</v>
      </c>
      <c r="E67" s="202"/>
      <c r="F67" s="203" t="s">
        <v>1515</v>
      </c>
      <c r="G67" s="208" t="s">
        <v>1153</v>
      </c>
      <c r="H67" s="208" t="s">
        <v>420</v>
      </c>
      <c r="I67" s="202"/>
      <c r="J67" s="208" t="s">
        <v>1516</v>
      </c>
      <c r="K67" s="208" t="s">
        <v>476</v>
      </c>
      <c r="L67" s="202"/>
    </row>
    <row r="68" spans="1:12" ht="14.1" customHeight="1">
      <c r="A68" s="202"/>
      <c r="B68" s="202"/>
      <c r="C68" s="1498"/>
      <c r="D68" s="1498"/>
      <c r="E68" s="1498"/>
      <c r="F68" s="1498"/>
      <c r="G68" s="1500" t="s">
        <v>506</v>
      </c>
      <c r="H68" s="1500" t="s">
        <v>510</v>
      </c>
      <c r="I68" s="1498"/>
      <c r="J68" s="1500" t="s">
        <v>519</v>
      </c>
      <c r="K68" s="1500" t="s">
        <v>911</v>
      </c>
      <c r="L68" s="202"/>
    </row>
    <row r="69" spans="1:12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</row>
    <row r="70" spans="1:12">
      <c r="A70" s="202"/>
      <c r="B70" s="202"/>
      <c r="C70" s="208">
        <v>1</v>
      </c>
      <c r="D70" s="202"/>
      <c r="E70" s="202"/>
      <c r="F70" s="204" t="s">
        <v>1416</v>
      </c>
      <c r="G70" s="202"/>
      <c r="H70" s="202"/>
      <c r="I70" s="202"/>
      <c r="J70" s="202"/>
      <c r="K70" s="202"/>
      <c r="L70" s="202"/>
    </row>
    <row r="71" spans="1:12">
      <c r="A71" s="202"/>
      <c r="B71" s="202"/>
      <c r="C71" s="208">
        <v>2</v>
      </c>
      <c r="D71" s="202"/>
      <c r="E71" s="202"/>
      <c r="F71" s="660"/>
      <c r="G71" s="202"/>
      <c r="H71" s="202"/>
      <c r="I71" s="202"/>
      <c r="J71" s="202"/>
      <c r="K71" s="202"/>
      <c r="L71" s="202"/>
    </row>
    <row r="72" spans="1:12">
      <c r="A72" s="202"/>
      <c r="B72" s="202"/>
      <c r="C72" s="208">
        <v>3</v>
      </c>
      <c r="D72" s="202"/>
      <c r="E72" s="202"/>
      <c r="F72" s="204" t="s">
        <v>1528</v>
      </c>
      <c r="G72" s="202"/>
      <c r="H72" s="202"/>
      <c r="I72" s="202"/>
      <c r="J72" s="202"/>
      <c r="K72" s="202"/>
      <c r="L72" s="202"/>
    </row>
    <row r="73" spans="1:12">
      <c r="A73" s="202"/>
      <c r="B73" s="202"/>
      <c r="C73" s="208">
        <v>4</v>
      </c>
      <c r="D73" s="202"/>
      <c r="E73" s="202"/>
      <c r="F73" s="204"/>
      <c r="G73" s="202"/>
      <c r="H73" s="202"/>
      <c r="I73" s="202"/>
      <c r="J73" s="202"/>
      <c r="K73" s="202"/>
      <c r="L73" s="202"/>
    </row>
    <row r="74" spans="1:12">
      <c r="A74" s="202"/>
      <c r="B74" s="202"/>
      <c r="C74" s="208">
        <v>5</v>
      </c>
      <c r="D74" s="202"/>
      <c r="E74" s="202"/>
      <c r="F74" s="204" t="s">
        <v>1529</v>
      </c>
      <c r="G74" s="39"/>
      <c r="H74" s="202"/>
      <c r="I74" s="202"/>
      <c r="J74" s="202"/>
      <c r="K74" s="202"/>
      <c r="L74" s="202"/>
    </row>
    <row r="75" spans="1:12">
      <c r="A75" s="202"/>
      <c r="B75" s="202"/>
      <c r="C75" s="208">
        <v>6</v>
      </c>
      <c r="D75" s="202"/>
      <c r="E75" s="202"/>
      <c r="F75" s="204" t="s">
        <v>338</v>
      </c>
      <c r="G75" s="202"/>
      <c r="H75" s="202"/>
      <c r="I75" s="202"/>
      <c r="J75" s="202"/>
      <c r="K75" s="202"/>
      <c r="L75" s="202"/>
    </row>
    <row r="76" spans="1:12">
      <c r="A76" s="202"/>
      <c r="B76" s="202">
        <v>500000</v>
      </c>
      <c r="C76" s="208">
        <v>7</v>
      </c>
      <c r="D76" s="208">
        <v>500</v>
      </c>
      <c r="E76" s="202"/>
      <c r="F76" s="660" t="s">
        <v>1530</v>
      </c>
      <c r="G76" s="215">
        <f>ROUND(VLOOKUP(B76,BasePeriod,5,FALSE),0)</f>
        <v>468545</v>
      </c>
      <c r="H76" s="717">
        <f t="shared" ref="H76:H84" si="10">VLOOKUP(K76,ALLOCTABLE,2)</f>
        <v>100</v>
      </c>
      <c r="I76" s="202"/>
      <c r="J76" s="215">
        <f t="shared" ref="J76:J84" si="11">ROUND(G76*(H76/100),0)</f>
        <v>468545</v>
      </c>
      <c r="K76" s="208" t="s">
        <v>428</v>
      </c>
      <c r="L76" s="202"/>
    </row>
    <row r="77" spans="1:12">
      <c r="A77" s="202"/>
      <c r="B77" s="211" t="s">
        <v>282</v>
      </c>
      <c r="C77" s="208">
        <v>8</v>
      </c>
      <c r="D77" s="208">
        <v>501</v>
      </c>
      <c r="E77" s="202"/>
      <c r="F77" s="660" t="s">
        <v>1531</v>
      </c>
      <c r="G77" s="215">
        <f t="array" ref="G77">SUM(IF(CODE=B77,IF(FERCBP=D77,AmountBP)))</f>
        <v>85531448</v>
      </c>
      <c r="H77" s="717">
        <f t="shared" si="10"/>
        <v>100</v>
      </c>
      <c r="I77" s="202"/>
      <c r="J77" s="215">
        <f t="shared" si="11"/>
        <v>85531448</v>
      </c>
      <c r="K77" s="208" t="s">
        <v>428</v>
      </c>
      <c r="L77" s="202"/>
    </row>
    <row r="78" spans="1:12">
      <c r="A78" s="202"/>
      <c r="B78" s="202">
        <v>501</v>
      </c>
      <c r="C78" s="208">
        <v>9</v>
      </c>
      <c r="D78" s="208">
        <v>501</v>
      </c>
      <c r="E78" s="202"/>
      <c r="F78" s="660" t="s">
        <v>1532</v>
      </c>
      <c r="G78" s="215" cm="1">
        <f t="array" ref="G78">SUM(IF(FERCBP=B78,AmountBP))-G77</f>
        <v>1060577</v>
      </c>
      <c r="H78" s="717">
        <f>VLOOKUP(K78,ALLOCTABLE,2)</f>
        <v>100</v>
      </c>
      <c r="I78" s="202"/>
      <c r="J78" s="215">
        <f t="shared" si="11"/>
        <v>1060577</v>
      </c>
      <c r="K78" s="208" t="s">
        <v>428</v>
      </c>
      <c r="L78" s="202"/>
    </row>
    <row r="79" spans="1:12">
      <c r="A79" s="202"/>
      <c r="B79" s="202">
        <v>502</v>
      </c>
      <c r="C79" s="208">
        <v>10</v>
      </c>
      <c r="D79" s="208">
        <v>502</v>
      </c>
      <c r="E79" s="202"/>
      <c r="F79" s="660" t="s">
        <v>1533</v>
      </c>
      <c r="G79" s="215">
        <f t="array" ref="G79">SUM(IF(FERCBP=B79,AmountBP))</f>
        <v>28372121</v>
      </c>
      <c r="H79" s="717">
        <f t="shared" si="10"/>
        <v>100</v>
      </c>
      <c r="I79" s="202"/>
      <c r="J79" s="215">
        <f t="shared" si="11"/>
        <v>28372121</v>
      </c>
      <c r="K79" s="208" t="s">
        <v>428</v>
      </c>
      <c r="L79" s="202"/>
    </row>
    <row r="80" spans="1:12">
      <c r="A80" s="202"/>
      <c r="B80" s="211">
        <v>505000</v>
      </c>
      <c r="C80" s="208">
        <v>11</v>
      </c>
      <c r="D80" s="208">
        <v>505</v>
      </c>
      <c r="E80" s="202"/>
      <c r="F80" s="660" t="s">
        <v>1534</v>
      </c>
      <c r="G80" s="215">
        <f>ROUND(VLOOKUP(B80,BasePeriod,5,FALSE),0)</f>
        <v>1003554</v>
      </c>
      <c r="H80" s="717">
        <f t="shared" si="10"/>
        <v>100</v>
      </c>
      <c r="I80" s="202"/>
      <c r="J80" s="215">
        <f t="shared" si="11"/>
        <v>1003554</v>
      </c>
      <c r="K80" s="208" t="s">
        <v>428</v>
      </c>
      <c r="L80" s="202"/>
    </row>
    <row r="81" spans="1:12">
      <c r="A81" s="202"/>
      <c r="B81" s="202">
        <v>506000</v>
      </c>
      <c r="C81" s="208">
        <v>12</v>
      </c>
      <c r="D81" s="208">
        <v>506</v>
      </c>
      <c r="E81" s="202"/>
      <c r="F81" s="660" t="s">
        <v>1535</v>
      </c>
      <c r="G81" s="215">
        <f>ROUND(VLOOKUP(B81,BasePeriod,5,FALSE),0)</f>
        <v>2154429</v>
      </c>
      <c r="H81" s="717">
        <f t="shared" si="10"/>
        <v>100</v>
      </c>
      <c r="I81" s="202"/>
      <c r="J81" s="215">
        <f t="shared" si="11"/>
        <v>2154429</v>
      </c>
      <c r="K81" s="208" t="s">
        <v>428</v>
      </c>
      <c r="L81" s="202"/>
    </row>
    <row r="82" spans="1:12">
      <c r="A82" s="202"/>
      <c r="B82" s="202">
        <v>507</v>
      </c>
      <c r="C82" s="208">
        <v>13</v>
      </c>
      <c r="D82" s="208">
        <v>507</v>
      </c>
      <c r="E82" s="202"/>
      <c r="F82" s="660" t="s">
        <v>1536</v>
      </c>
      <c r="G82" s="215">
        <f t="array" ref="G82">SUM(IF(FERCBP=B82,AmountBP))</f>
        <v>0</v>
      </c>
      <c r="H82" s="717">
        <f t="shared" ref="H82:H83" si="12">VLOOKUP(K82,ALLOCTABLE,2)</f>
        <v>100</v>
      </c>
      <c r="I82" s="202"/>
      <c r="J82" s="215">
        <f t="shared" si="11"/>
        <v>0</v>
      </c>
      <c r="K82" s="208" t="s">
        <v>428</v>
      </c>
      <c r="L82" s="202"/>
    </row>
    <row r="83" spans="1:12">
      <c r="A83" s="202"/>
      <c r="B83" s="202">
        <v>411835</v>
      </c>
      <c r="C83" s="208">
        <v>14</v>
      </c>
      <c r="D83" s="208" t="s">
        <v>405</v>
      </c>
      <c r="E83" s="202"/>
      <c r="F83" s="660" t="s">
        <v>1537</v>
      </c>
      <c r="G83" s="215">
        <f>VLOOKUP(A84,BasePeriod,5,FALSE)+VLOOKUP(B83,BasePeriod,5,FALSE)</f>
        <v>-450000</v>
      </c>
      <c r="H83" s="717">
        <f t="shared" si="12"/>
        <v>100</v>
      </c>
      <c r="I83" s="202"/>
      <c r="J83" s="215">
        <f t="shared" si="11"/>
        <v>-450000</v>
      </c>
      <c r="K83" s="208" t="s">
        <v>428</v>
      </c>
      <c r="L83" s="202"/>
    </row>
    <row r="84" spans="1:12">
      <c r="A84" s="202">
        <v>411834</v>
      </c>
      <c r="B84" s="202">
        <v>509</v>
      </c>
      <c r="C84" s="208">
        <v>15</v>
      </c>
      <c r="D84" s="208" t="s">
        <v>405</v>
      </c>
      <c r="E84" s="202"/>
      <c r="F84" s="660" t="s">
        <v>1538</v>
      </c>
      <c r="G84" s="215">
        <f t="array" ref="G84">SUM(IF(FERCBP=B84,AmountBP))</f>
        <v>0</v>
      </c>
      <c r="H84" s="717">
        <f t="shared" si="10"/>
        <v>100</v>
      </c>
      <c r="I84" s="202"/>
      <c r="J84" s="215">
        <f t="shared" si="11"/>
        <v>0</v>
      </c>
      <c r="K84" s="208" t="s">
        <v>428</v>
      </c>
      <c r="L84" s="1412"/>
    </row>
    <row r="85" spans="1:12">
      <c r="A85" s="202"/>
      <c r="B85" s="202"/>
      <c r="C85" s="208">
        <v>16</v>
      </c>
      <c r="D85" s="202"/>
      <c r="E85" s="202"/>
      <c r="F85" s="660" t="s">
        <v>1539</v>
      </c>
      <c r="G85" s="2138">
        <f>SUM(G76:G84)</f>
        <v>118140674</v>
      </c>
      <c r="H85" s="202"/>
      <c r="I85" s="202"/>
      <c r="J85" s="2138">
        <f>SUM(J76:J84)</f>
        <v>118140674</v>
      </c>
      <c r="K85" s="202"/>
      <c r="L85" s="202"/>
    </row>
    <row r="86" spans="1:12">
      <c r="A86" s="202"/>
      <c r="B86" s="202"/>
      <c r="C86" s="208">
        <v>17</v>
      </c>
      <c r="D86" s="202"/>
      <c r="E86" s="202"/>
      <c r="F86" s="660"/>
      <c r="G86" s="202"/>
      <c r="H86" s="202"/>
      <c r="I86" s="202"/>
      <c r="J86" s="202"/>
      <c r="K86" s="202"/>
      <c r="L86" s="202"/>
    </row>
    <row r="87" spans="1:12">
      <c r="A87" s="202"/>
      <c r="B87" s="202"/>
      <c r="C87" s="208">
        <v>18</v>
      </c>
      <c r="D87" s="202"/>
      <c r="E87" s="202"/>
      <c r="F87" s="204" t="s">
        <v>347</v>
      </c>
      <c r="G87" s="202"/>
      <c r="H87" s="202"/>
      <c r="I87" s="202"/>
      <c r="J87" s="202"/>
      <c r="K87" s="202"/>
      <c r="L87" s="202"/>
    </row>
    <row r="88" spans="1:12">
      <c r="A88" s="202"/>
      <c r="B88" s="202">
        <v>510</v>
      </c>
      <c r="C88" s="208">
        <v>19</v>
      </c>
      <c r="D88" s="208">
        <v>510</v>
      </c>
      <c r="E88" s="202"/>
      <c r="F88" s="660" t="s">
        <v>1530</v>
      </c>
      <c r="G88" s="215">
        <f t="array" ref="G88">SUM(IF(FERCBP=B88,AmountBP))</f>
        <v>3083581</v>
      </c>
      <c r="H88" s="717">
        <f>VLOOKUP(K88,ALLOCTABLE,2)</f>
        <v>100</v>
      </c>
      <c r="I88" s="202"/>
      <c r="J88" s="215">
        <f>ROUND(G88*(H88/100),0)</f>
        <v>3083581</v>
      </c>
      <c r="K88" s="208" t="s">
        <v>428</v>
      </c>
      <c r="L88" s="202"/>
    </row>
    <row r="89" spans="1:12">
      <c r="A89" s="202"/>
      <c r="B89" s="202">
        <v>511</v>
      </c>
      <c r="C89" s="208">
        <v>20</v>
      </c>
      <c r="D89" s="208">
        <v>511</v>
      </c>
      <c r="E89" s="202"/>
      <c r="F89" s="660" t="s">
        <v>1540</v>
      </c>
      <c r="G89" s="215">
        <f t="array" ref="G89">SUM(IF(FERCBP=B89,AmountBP))</f>
        <v>1885881</v>
      </c>
      <c r="H89" s="717">
        <f>VLOOKUP(K89,ALLOCTABLE,2)</f>
        <v>100</v>
      </c>
      <c r="I89" s="202"/>
      <c r="J89" s="215">
        <f>ROUND(G89*(H89/100),0)</f>
        <v>1885881</v>
      </c>
      <c r="K89" s="208" t="s">
        <v>428</v>
      </c>
      <c r="L89" s="202"/>
    </row>
    <row r="90" spans="1:12">
      <c r="A90" s="202"/>
      <c r="B90" s="202">
        <v>512</v>
      </c>
      <c r="C90" s="208">
        <v>21</v>
      </c>
      <c r="D90" s="208">
        <v>512</v>
      </c>
      <c r="E90" s="202"/>
      <c r="F90" s="660" t="s">
        <v>1541</v>
      </c>
      <c r="G90" s="215">
        <f t="array" ref="G90">SUM(IF(FERCBP=B90,AmountBP))</f>
        <v>8041780</v>
      </c>
      <c r="H90" s="717">
        <f>VLOOKUP(K90,ALLOCTABLE,2)</f>
        <v>100</v>
      </c>
      <c r="I90" s="202"/>
      <c r="J90" s="215">
        <f>ROUND(G90*(H90/100),0)</f>
        <v>8041780</v>
      </c>
      <c r="K90" s="208" t="s">
        <v>428</v>
      </c>
      <c r="L90" s="202"/>
    </row>
    <row r="91" spans="1:12">
      <c r="A91" s="202"/>
      <c r="B91" s="202">
        <v>513</v>
      </c>
      <c r="C91" s="208">
        <v>22</v>
      </c>
      <c r="D91" s="208">
        <v>513</v>
      </c>
      <c r="E91" s="202"/>
      <c r="F91" s="660" t="s">
        <v>1542</v>
      </c>
      <c r="G91" s="215">
        <f t="array" ref="G91">SUM(IF(FERCBP=B91,AmountBP))</f>
        <v>1774333</v>
      </c>
      <c r="H91" s="717">
        <f>VLOOKUP(K91,ALLOCTABLE,2)</f>
        <v>100</v>
      </c>
      <c r="I91" s="202"/>
      <c r="J91" s="215">
        <f>ROUND(G91*(H91/100),0)</f>
        <v>1774333</v>
      </c>
      <c r="K91" s="208" t="s">
        <v>428</v>
      </c>
      <c r="L91" s="202"/>
    </row>
    <row r="92" spans="1:12">
      <c r="A92" s="202"/>
      <c r="B92" s="202">
        <v>514</v>
      </c>
      <c r="C92" s="208">
        <v>23</v>
      </c>
      <c r="D92" s="208">
        <v>514</v>
      </c>
      <c r="E92" s="202"/>
      <c r="F92" s="660" t="s">
        <v>1543</v>
      </c>
      <c r="G92" s="215">
        <f t="array" ref="G92">SUM(IF(FERCBP=B92,AmountBP))</f>
        <v>558929</v>
      </c>
      <c r="H92" s="717">
        <f>VLOOKUP(K92,ALLOCTABLE,2)</f>
        <v>100</v>
      </c>
      <c r="I92" s="202"/>
      <c r="J92" s="215">
        <f>ROUND(G92*(H92/100),0)</f>
        <v>558929</v>
      </c>
      <c r="K92" s="208" t="s">
        <v>428</v>
      </c>
      <c r="L92" s="202"/>
    </row>
    <row r="93" spans="1:12">
      <c r="A93" s="202"/>
      <c r="B93" s="202"/>
      <c r="C93" s="208">
        <v>24</v>
      </c>
      <c r="D93" s="202"/>
      <c r="E93" s="202"/>
      <c r="F93" s="660" t="s">
        <v>1544</v>
      </c>
      <c r="G93" s="2138">
        <f>SUM(G88:G92)</f>
        <v>15344504</v>
      </c>
      <c r="H93" s="202"/>
      <c r="I93" s="202"/>
      <c r="J93" s="2138">
        <f>SUM(J88:J92)</f>
        <v>15344504</v>
      </c>
      <c r="K93" s="202"/>
      <c r="L93" s="202"/>
    </row>
    <row r="94" spans="1:12">
      <c r="A94" s="202"/>
      <c r="B94" s="202"/>
      <c r="C94" s="208">
        <v>25</v>
      </c>
      <c r="D94" s="202"/>
      <c r="E94" s="202"/>
      <c r="F94" s="660" t="s">
        <v>1545</v>
      </c>
      <c r="G94" s="2138">
        <f>G85+G93</f>
        <v>133485178</v>
      </c>
      <c r="H94" s="202"/>
      <c r="I94" s="202"/>
      <c r="J94" s="2138">
        <f>J85+J93</f>
        <v>133485178</v>
      </c>
      <c r="K94" s="202"/>
      <c r="L94" s="202"/>
    </row>
    <row r="95" spans="1:12">
      <c r="A95" s="202"/>
      <c r="B95" s="202"/>
      <c r="C95" s="208">
        <v>26</v>
      </c>
      <c r="D95" s="202"/>
      <c r="E95" s="202"/>
      <c r="F95" s="202"/>
      <c r="G95" s="202"/>
      <c r="H95" s="202"/>
      <c r="I95" s="202"/>
      <c r="J95" s="202"/>
      <c r="K95" s="202"/>
      <c r="L95" s="202"/>
    </row>
    <row r="96" spans="1:12">
      <c r="A96" s="202"/>
      <c r="B96" s="202"/>
      <c r="C96" s="208">
        <v>27</v>
      </c>
      <c r="D96" s="202"/>
      <c r="E96" s="202"/>
      <c r="F96" s="207" t="s">
        <v>1546</v>
      </c>
      <c r="G96" s="202"/>
      <c r="H96" s="202"/>
      <c r="I96" s="202"/>
      <c r="J96" s="202"/>
      <c r="K96" s="202"/>
      <c r="L96" s="202"/>
    </row>
    <row r="97" spans="1:12">
      <c r="A97" s="202"/>
      <c r="B97" s="202"/>
      <c r="C97" s="208">
        <v>28</v>
      </c>
      <c r="D97" s="202"/>
      <c r="E97" s="202"/>
      <c r="F97" s="204" t="s">
        <v>338</v>
      </c>
      <c r="G97" s="202"/>
      <c r="H97" s="202"/>
      <c r="I97" s="202"/>
      <c r="J97" s="202"/>
      <c r="K97" s="202"/>
      <c r="L97" s="202"/>
    </row>
    <row r="98" spans="1:12">
      <c r="A98" s="202"/>
      <c r="B98" s="202">
        <v>546000</v>
      </c>
      <c r="C98" s="208">
        <v>29</v>
      </c>
      <c r="D98" s="208">
        <v>546</v>
      </c>
      <c r="E98" s="202"/>
      <c r="F98" s="660" t="s">
        <v>1530</v>
      </c>
      <c r="G98" s="215">
        <f>ROUND(VLOOKUP(B98,BasePeriod,5,FALSE),0)</f>
        <v>193179</v>
      </c>
      <c r="H98" s="717">
        <f t="shared" ref="H98:H103" si="13">VLOOKUP(K98,ALLOCTABLE,2)</f>
        <v>100</v>
      </c>
      <c r="I98" s="202"/>
      <c r="J98" s="215">
        <f t="shared" ref="J98:J103" si="14">ROUND(G98*(H98/100),0)</f>
        <v>193179</v>
      </c>
      <c r="K98" s="208" t="s">
        <v>428</v>
      </c>
      <c r="L98" s="202"/>
    </row>
    <row r="99" spans="1:12">
      <c r="A99" s="202"/>
      <c r="B99" s="202">
        <v>547</v>
      </c>
      <c r="C99" s="208">
        <v>30</v>
      </c>
      <c r="D99" s="208">
        <v>547</v>
      </c>
      <c r="E99" s="202"/>
      <c r="F99" s="660" t="s">
        <v>1547</v>
      </c>
      <c r="G99" s="215">
        <f t="array" ref="G99">SUM(IF(FERCBP=B99,AmountBP))-G100</f>
        <v>5872864</v>
      </c>
      <c r="H99" s="717">
        <f t="shared" si="13"/>
        <v>100</v>
      </c>
      <c r="I99" s="202"/>
      <c r="J99" s="215">
        <f t="shared" si="14"/>
        <v>5872864</v>
      </c>
      <c r="K99" s="208" t="s">
        <v>428</v>
      </c>
      <c r="L99" s="202"/>
    </row>
    <row r="100" spans="1:12">
      <c r="A100" s="202"/>
      <c r="B100" s="202">
        <v>547150</v>
      </c>
      <c r="C100" s="208">
        <v>31</v>
      </c>
      <c r="D100" s="208">
        <v>547</v>
      </c>
      <c r="E100" s="202"/>
      <c r="F100" s="660" t="s">
        <v>1532</v>
      </c>
      <c r="G100" s="215">
        <f>ROUND(VLOOKUP(B100,BasePeriod,5,FALSE),0)</f>
        <v>39060</v>
      </c>
      <c r="H100" s="717">
        <f t="shared" si="13"/>
        <v>100</v>
      </c>
      <c r="I100" s="202"/>
      <c r="J100" s="215">
        <f t="shared" si="14"/>
        <v>39060</v>
      </c>
      <c r="K100" s="208" t="s">
        <v>428</v>
      </c>
      <c r="L100" s="202"/>
    </row>
    <row r="101" spans="1:12">
      <c r="A101" s="202"/>
      <c r="B101" s="202">
        <v>548</v>
      </c>
      <c r="C101" s="208">
        <v>32</v>
      </c>
      <c r="D101" s="208">
        <v>548</v>
      </c>
      <c r="E101" s="202"/>
      <c r="F101" s="202" t="s">
        <v>1548</v>
      </c>
      <c r="G101" s="215">
        <f t="array" ref="G101">SUM(IF(FERCBP=B101,AmountBP))</f>
        <v>408574</v>
      </c>
      <c r="H101" s="717">
        <f t="shared" si="13"/>
        <v>100</v>
      </c>
      <c r="I101" s="202"/>
      <c r="J101" s="215">
        <f t="shared" si="14"/>
        <v>408574</v>
      </c>
      <c r="K101" s="208" t="s">
        <v>428</v>
      </c>
      <c r="L101" s="202"/>
    </row>
    <row r="102" spans="1:12">
      <c r="A102" s="202"/>
      <c r="B102" s="202">
        <v>549</v>
      </c>
      <c r="C102" s="208">
        <v>33</v>
      </c>
      <c r="D102" s="208">
        <v>549</v>
      </c>
      <c r="E102" s="202"/>
      <c r="F102" s="202" t="s">
        <v>1549</v>
      </c>
      <c r="G102" s="215">
        <f t="array" ref="G102">SUM(IF(FERCBP=B102,AmountBP))</f>
        <v>900009</v>
      </c>
      <c r="H102" s="717">
        <f t="shared" si="13"/>
        <v>100</v>
      </c>
      <c r="I102" s="202"/>
      <c r="J102" s="215">
        <f t="shared" si="14"/>
        <v>900009</v>
      </c>
      <c r="K102" s="208" t="s">
        <v>428</v>
      </c>
      <c r="L102" s="202"/>
    </row>
    <row r="103" spans="1:12">
      <c r="A103" s="202"/>
      <c r="B103" s="202">
        <v>550</v>
      </c>
      <c r="C103" s="208">
        <v>34</v>
      </c>
      <c r="D103" s="208">
        <v>550</v>
      </c>
      <c r="E103" s="202"/>
      <c r="F103" s="660" t="s">
        <v>1550</v>
      </c>
      <c r="G103" s="215">
        <f t="array" ref="G103">SUM(IF(FERCBP=B103,AmountBP))</f>
        <v>-3</v>
      </c>
      <c r="H103" s="717">
        <f t="shared" si="13"/>
        <v>100</v>
      </c>
      <c r="I103" s="202"/>
      <c r="J103" s="215">
        <f t="shared" si="14"/>
        <v>-3</v>
      </c>
      <c r="K103" s="208" t="s">
        <v>428</v>
      </c>
      <c r="L103" s="202"/>
    </row>
    <row r="104" spans="1:12">
      <c r="A104" s="202"/>
      <c r="B104" s="202"/>
      <c r="C104" s="208">
        <v>35</v>
      </c>
      <c r="D104" s="208"/>
      <c r="E104" s="202"/>
      <c r="F104" s="660" t="s">
        <v>1539</v>
      </c>
      <c r="G104" s="2138">
        <f>SUM(G98:G103)</f>
        <v>7413683</v>
      </c>
      <c r="H104" s="202"/>
      <c r="I104" s="202"/>
      <c r="J104" s="2138">
        <f>SUM(J98:J103)</f>
        <v>7413683</v>
      </c>
      <c r="K104" s="202"/>
      <c r="L104" s="202"/>
    </row>
    <row r="105" spans="1:12">
      <c r="A105" s="202"/>
      <c r="B105" s="202"/>
      <c r="C105" s="208">
        <v>36</v>
      </c>
      <c r="D105" s="208"/>
      <c r="E105" s="202"/>
      <c r="F105" s="202"/>
      <c r="G105" s="202"/>
      <c r="H105" s="202"/>
      <c r="I105" s="202"/>
      <c r="J105" s="202"/>
      <c r="K105" s="202"/>
      <c r="L105" s="202"/>
    </row>
    <row r="106" spans="1:12">
      <c r="A106" s="202"/>
      <c r="B106" s="202"/>
      <c r="C106" s="208">
        <v>37</v>
      </c>
      <c r="D106" s="208"/>
      <c r="E106" s="202"/>
      <c r="F106" s="204" t="s">
        <v>347</v>
      </c>
      <c r="G106" s="202"/>
      <c r="H106" s="202"/>
      <c r="I106" s="202"/>
      <c r="J106" s="202"/>
      <c r="K106" s="202"/>
      <c r="L106" s="202"/>
    </row>
    <row r="107" spans="1:12">
      <c r="A107" s="202"/>
      <c r="B107" s="202">
        <v>551000</v>
      </c>
      <c r="C107" s="208">
        <v>38</v>
      </c>
      <c r="D107" s="208">
        <v>551</v>
      </c>
      <c r="E107" s="202"/>
      <c r="F107" s="660" t="s">
        <v>1530</v>
      </c>
      <c r="G107" s="215">
        <f>ROUND(VLOOKUP(B107,BasePeriod,5,FALSE),0)</f>
        <v>129300</v>
      </c>
      <c r="H107" s="717">
        <f>VLOOKUP(K107,ALLOCTABLE,2)</f>
        <v>100</v>
      </c>
      <c r="I107" s="202"/>
      <c r="J107" s="215">
        <f>ROUND(G107*(H107/100),0)</f>
        <v>129300</v>
      </c>
      <c r="K107" s="208" t="s">
        <v>428</v>
      </c>
      <c r="L107" s="202"/>
    </row>
    <row r="108" spans="1:12">
      <c r="A108" s="202"/>
      <c r="B108" s="202">
        <v>552</v>
      </c>
      <c r="C108" s="208">
        <v>39</v>
      </c>
      <c r="D108" s="208">
        <v>552</v>
      </c>
      <c r="E108" s="202"/>
      <c r="F108" s="202" t="s">
        <v>1551</v>
      </c>
      <c r="G108" s="215">
        <f t="array" ref="G108">SUM(IF(FERCBP=B108,AmountBP))</f>
        <v>279227</v>
      </c>
      <c r="H108" s="717">
        <f>VLOOKUP(K108,ALLOCTABLE,2)</f>
        <v>100</v>
      </c>
      <c r="I108" s="202"/>
      <c r="J108" s="215">
        <f>ROUND(G108*(H108/100),0)</f>
        <v>279227</v>
      </c>
      <c r="K108" s="208" t="s">
        <v>428</v>
      </c>
      <c r="L108" s="202"/>
    </row>
    <row r="109" spans="1:12">
      <c r="A109" s="202"/>
      <c r="B109" s="202">
        <v>553000</v>
      </c>
      <c r="C109" s="208">
        <v>40</v>
      </c>
      <c r="D109" s="208">
        <v>553</v>
      </c>
      <c r="E109" s="202"/>
      <c r="F109" s="202" t="s">
        <v>1552</v>
      </c>
      <c r="G109" s="215">
        <f>ROUND(VLOOKUP(B109,BasePeriod,5,FALSE),0)</f>
        <v>426697</v>
      </c>
      <c r="H109" s="717">
        <f>VLOOKUP(K109,ALLOCTABLE,2)</f>
        <v>100</v>
      </c>
      <c r="I109" s="202"/>
      <c r="J109" s="215">
        <f>ROUND(G109*(H109/100),0)</f>
        <v>426697</v>
      </c>
      <c r="K109" s="208" t="s">
        <v>428</v>
      </c>
      <c r="L109" s="202"/>
    </row>
    <row r="110" spans="1:12">
      <c r="A110" s="202"/>
      <c r="B110" s="202">
        <v>554</v>
      </c>
      <c r="C110" s="208">
        <v>41</v>
      </c>
      <c r="D110" s="208">
        <v>554</v>
      </c>
      <c r="E110" s="202"/>
      <c r="F110" s="202" t="s">
        <v>1553</v>
      </c>
      <c r="G110" s="215">
        <f t="array" ref="G110">SUM(IF(FERCBP=B110,AmountBP))</f>
        <v>248727</v>
      </c>
      <c r="H110" s="717">
        <f>VLOOKUP(K110,ALLOCTABLE,2)</f>
        <v>100</v>
      </c>
      <c r="I110" s="202"/>
      <c r="J110" s="215">
        <f>ROUND(G110*(H110/100),0)</f>
        <v>248727</v>
      </c>
      <c r="K110" s="208" t="s">
        <v>428</v>
      </c>
      <c r="L110" s="202"/>
    </row>
    <row r="111" spans="1:12">
      <c r="A111" s="202"/>
      <c r="B111" s="202"/>
      <c r="C111" s="208">
        <v>42</v>
      </c>
      <c r="D111" s="208"/>
      <c r="E111" s="202"/>
      <c r="F111" s="660" t="s">
        <v>1544</v>
      </c>
      <c r="G111" s="2138">
        <f>SUM(G107:G110)</f>
        <v>1083951</v>
      </c>
      <c r="H111" s="202"/>
      <c r="I111" s="202"/>
      <c r="J111" s="2138">
        <f>SUM(J107:J110)</f>
        <v>1083951</v>
      </c>
      <c r="K111" s="202"/>
      <c r="L111" s="202"/>
    </row>
    <row r="112" spans="1:12">
      <c r="A112" s="202"/>
      <c r="B112" s="202"/>
      <c r="C112" s="208">
        <v>43</v>
      </c>
      <c r="D112" s="208"/>
      <c r="E112" s="202"/>
      <c r="F112" s="202" t="s">
        <v>1554</v>
      </c>
      <c r="G112" s="2138">
        <f>G111+G104</f>
        <v>8497634</v>
      </c>
      <c r="H112" s="202"/>
      <c r="I112" s="202"/>
      <c r="J112" s="2138">
        <f>J111+J104</f>
        <v>8497634</v>
      </c>
      <c r="K112" s="202"/>
      <c r="L112" s="202"/>
    </row>
    <row r="113" spans="1:12">
      <c r="A113" s="202"/>
      <c r="B113" s="202"/>
      <c r="C113" s="208">
        <v>44</v>
      </c>
      <c r="D113" s="208"/>
      <c r="E113" s="202"/>
      <c r="F113" s="202"/>
      <c r="G113" s="202"/>
      <c r="H113" s="202"/>
      <c r="I113" s="202"/>
      <c r="J113" s="202"/>
      <c r="K113" s="202"/>
      <c r="L113" s="202"/>
    </row>
    <row r="114" spans="1:12">
      <c r="A114" s="202"/>
      <c r="B114" s="202"/>
      <c r="C114" s="208">
        <v>45</v>
      </c>
      <c r="D114" s="208"/>
      <c r="E114" s="202"/>
      <c r="F114" s="204" t="s">
        <v>1555</v>
      </c>
      <c r="G114" s="202"/>
      <c r="H114" s="202"/>
      <c r="I114" s="202"/>
      <c r="J114" s="202"/>
      <c r="K114" s="202"/>
      <c r="L114" s="202"/>
    </row>
    <row r="115" spans="1:12">
      <c r="A115" s="202"/>
      <c r="B115" s="202"/>
      <c r="C115" s="208">
        <v>46</v>
      </c>
      <c r="D115" s="202"/>
      <c r="E115" s="202"/>
      <c r="F115" s="204"/>
      <c r="G115" s="202"/>
      <c r="H115" s="202"/>
      <c r="I115" s="202"/>
      <c r="J115" s="202"/>
      <c r="K115" s="202"/>
      <c r="L115" s="202"/>
    </row>
    <row r="116" spans="1:12">
      <c r="A116" s="202"/>
      <c r="B116" s="202"/>
      <c r="C116" s="208">
        <v>47</v>
      </c>
      <c r="D116" s="202"/>
      <c r="E116" s="202"/>
      <c r="F116" s="204" t="s">
        <v>338</v>
      </c>
      <c r="G116" s="202"/>
      <c r="H116" s="202"/>
      <c r="I116" s="202"/>
      <c r="J116" s="202"/>
      <c r="K116" s="202"/>
      <c r="L116" s="202"/>
    </row>
    <row r="117" spans="1:12">
      <c r="A117" s="202"/>
      <c r="B117" s="202">
        <v>555</v>
      </c>
      <c r="C117" s="208">
        <v>48</v>
      </c>
      <c r="D117" s="208">
        <v>555</v>
      </c>
      <c r="E117" s="202"/>
      <c r="F117" s="660" t="s">
        <v>1556</v>
      </c>
      <c r="G117" s="202"/>
      <c r="H117" s="212"/>
      <c r="I117" s="202"/>
      <c r="J117" s="213"/>
      <c r="K117" s="202"/>
      <c r="L117" s="202"/>
    </row>
    <row r="118" spans="1:12">
      <c r="A118" s="202"/>
      <c r="B118" s="202">
        <v>555190</v>
      </c>
      <c r="C118" s="208">
        <v>49</v>
      </c>
      <c r="D118" s="208"/>
      <c r="E118" s="202"/>
      <c r="F118" s="660" t="s">
        <v>1557</v>
      </c>
      <c r="G118" s="215">
        <f>ROUND(VLOOKUP(B118,BasePeriod,5,FALSE),0)</f>
        <v>0</v>
      </c>
      <c r="H118" s="717">
        <f>VLOOKUP(K118,ALLOCTABLE,2)</f>
        <v>100</v>
      </c>
      <c r="I118" s="202"/>
      <c r="J118" s="215">
        <f>ROUND(G118*(H118/100),0)</f>
        <v>0</v>
      </c>
      <c r="K118" s="208" t="s">
        <v>428</v>
      </c>
      <c r="L118" s="202"/>
    </row>
    <row r="119" spans="1:12">
      <c r="A119" s="202"/>
      <c r="B119" s="202"/>
      <c r="C119" s="208">
        <v>50</v>
      </c>
      <c r="D119" s="208"/>
      <c r="E119" s="202"/>
      <c r="F119" s="660" t="s">
        <v>1558</v>
      </c>
      <c r="G119" s="215" cm="1">
        <f t="array" ref="G119">SUM(IF(FERCBP=B117,AmountBP))-G118</f>
        <v>75246458</v>
      </c>
      <c r="H119" s="717">
        <f>VLOOKUP(K119,ALLOCTABLE,2)</f>
        <v>100</v>
      </c>
      <c r="I119" s="202"/>
      <c r="J119" s="215">
        <f>ROUND(G119*(H119/100),0)</f>
        <v>75246458</v>
      </c>
      <c r="K119" s="208" t="s">
        <v>428</v>
      </c>
      <c r="L119" s="202"/>
    </row>
    <row r="120" spans="1:12">
      <c r="A120" s="202"/>
      <c r="B120" s="202">
        <v>556</v>
      </c>
      <c r="C120" s="208">
        <v>51</v>
      </c>
      <c r="D120" s="208">
        <v>556</v>
      </c>
      <c r="E120" s="202"/>
      <c r="F120" s="660" t="s">
        <v>1559</v>
      </c>
      <c r="G120" s="215">
        <f t="array" ref="G120">SUM(IF(FERCBP=B120,AmountBP))</f>
        <v>420</v>
      </c>
      <c r="H120" s="717">
        <f>VLOOKUP(K120,ALLOCTABLE,2)</f>
        <v>100</v>
      </c>
      <c r="I120" s="202"/>
      <c r="J120" s="215">
        <f>ROUND(G120*(H120/100),0)</f>
        <v>420</v>
      </c>
      <c r="K120" s="208" t="s">
        <v>428</v>
      </c>
      <c r="L120" s="202"/>
    </row>
    <row r="121" spans="1:12">
      <c r="A121" s="202"/>
      <c r="B121" s="202">
        <v>557</v>
      </c>
      <c r="C121" s="208">
        <v>52</v>
      </c>
      <c r="D121" s="205">
        <v>557</v>
      </c>
      <c r="E121" s="202"/>
      <c r="F121" s="660" t="s">
        <v>1560</v>
      </c>
      <c r="G121" s="215">
        <f t="array" ref="G121">SUM(IF(FERCBP=B121,AmountBP))-G122</f>
        <v>4586366</v>
      </c>
      <c r="H121" s="717">
        <f>VLOOKUP(K121,ALLOCTABLE,2)</f>
        <v>100</v>
      </c>
      <c r="I121" s="202"/>
      <c r="J121" s="215">
        <f>ROUND(G121*(H121/100),0)</f>
        <v>4586366</v>
      </c>
      <c r="K121" s="208" t="s">
        <v>428</v>
      </c>
      <c r="L121" s="202"/>
    </row>
    <row r="122" spans="1:12">
      <c r="A122" s="202"/>
      <c r="B122" s="202">
        <v>557980</v>
      </c>
      <c r="C122" s="208">
        <v>53</v>
      </c>
      <c r="D122" s="205">
        <v>557</v>
      </c>
      <c r="E122" s="202"/>
      <c r="F122" s="660" t="s">
        <v>1561</v>
      </c>
      <c r="G122" s="215">
        <f>ROUND(VLOOKUP(B122,BasePeriod,5,FALSE),0)</f>
        <v>6131084</v>
      </c>
      <c r="H122" s="717">
        <f>VLOOKUP(K122,ALLOCTABLE,2)</f>
        <v>100</v>
      </c>
      <c r="I122" s="202"/>
      <c r="J122" s="215">
        <f>ROUND(G122*(H122/100),0)</f>
        <v>6131084</v>
      </c>
      <c r="K122" s="208" t="s">
        <v>428</v>
      </c>
      <c r="L122" s="202"/>
    </row>
    <row r="123" spans="1:12">
      <c r="A123" s="202"/>
      <c r="B123" s="202"/>
      <c r="C123" s="208">
        <v>54</v>
      </c>
      <c r="D123" s="214"/>
      <c r="E123" s="202"/>
      <c r="F123" s="660" t="s">
        <v>1562</v>
      </c>
      <c r="G123" s="2138">
        <f>SUM(G118:G122)</f>
        <v>85964328</v>
      </c>
      <c r="H123" s="202"/>
      <c r="I123" s="202"/>
      <c r="J123" s="2138">
        <f>SUM(J118:J122)</f>
        <v>85964328</v>
      </c>
      <c r="K123" s="202"/>
      <c r="L123" s="202"/>
    </row>
    <row r="124" spans="1:12">
      <c r="A124" s="202"/>
      <c r="B124" s="202"/>
      <c r="C124" s="208">
        <v>55</v>
      </c>
      <c r="D124" s="214"/>
      <c r="E124" s="202"/>
      <c r="F124" s="660"/>
      <c r="G124" s="215"/>
      <c r="H124" s="202"/>
      <c r="I124" s="202"/>
      <c r="J124" s="215"/>
      <c r="K124" s="202"/>
      <c r="L124" s="202"/>
    </row>
    <row r="125" spans="1:12">
      <c r="A125" s="202"/>
      <c r="B125" s="202"/>
      <c r="C125" s="208">
        <v>56</v>
      </c>
      <c r="D125" s="214"/>
      <c r="E125" s="202"/>
      <c r="F125" s="660" t="s">
        <v>456</v>
      </c>
      <c r="G125" s="2138">
        <f>G123+G112+G94</f>
        <v>227947140</v>
      </c>
      <c r="H125" s="202"/>
      <c r="I125" s="202"/>
      <c r="J125" s="2138">
        <f>J123+J112+J94</f>
        <v>227947140</v>
      </c>
      <c r="K125" s="202"/>
      <c r="L125" s="202"/>
    </row>
    <row r="126" spans="1:12">
      <c r="A126" s="202"/>
      <c r="B126" s="202"/>
      <c r="C126" s="202"/>
      <c r="D126" s="214"/>
      <c r="E126" s="202"/>
      <c r="F126" s="202"/>
      <c r="G126" s="206"/>
      <c r="H126" s="202"/>
      <c r="I126" s="202"/>
      <c r="J126" s="206"/>
      <c r="K126" s="202"/>
      <c r="L126" s="202"/>
    </row>
    <row r="127" spans="1:12">
      <c r="A127" s="202"/>
      <c r="B127" s="202"/>
      <c r="C127" s="203" t="str">
        <f>COMPANY</f>
        <v>DUKE ENERGY KENTUCKY, INC.</v>
      </c>
      <c r="D127" s="203"/>
      <c r="E127" s="203"/>
      <c r="F127" s="203"/>
      <c r="G127" s="203"/>
      <c r="H127" s="203"/>
      <c r="I127" s="203"/>
      <c r="J127" s="203"/>
      <c r="K127" s="203"/>
      <c r="L127" s="202"/>
    </row>
    <row r="128" spans="1:12">
      <c r="A128" s="202"/>
      <c r="B128" s="202"/>
      <c r="C128" s="203" t="str">
        <f>CASE</f>
        <v>CASE NO. 2024-00354</v>
      </c>
      <c r="D128" s="203"/>
      <c r="E128" s="203"/>
      <c r="F128" s="203"/>
      <c r="G128" s="203"/>
      <c r="H128" s="203"/>
      <c r="I128" s="203"/>
      <c r="J128" s="203"/>
      <c r="K128" s="203"/>
      <c r="L128" s="202"/>
    </row>
    <row r="129" spans="1:12">
      <c r="A129" s="202"/>
      <c r="B129" s="202"/>
      <c r="C129" s="203" t="s">
        <v>1511</v>
      </c>
      <c r="D129" s="203"/>
      <c r="E129" s="203"/>
      <c r="F129" s="203"/>
      <c r="G129" s="203"/>
      <c r="H129" s="203"/>
      <c r="I129" s="203"/>
      <c r="J129" s="203"/>
      <c r="K129" s="203"/>
      <c r="L129" s="202"/>
    </row>
    <row r="130" spans="1:12">
      <c r="A130" s="202"/>
      <c r="B130" s="202"/>
      <c r="C130" s="203" t="str">
        <f>PERIOD</f>
        <v>FOR THE TWELVE MONTHS ENDED FEBRUARY 28, 2025</v>
      </c>
      <c r="D130" s="203"/>
      <c r="E130" s="203"/>
      <c r="F130" s="203"/>
      <c r="G130" s="203"/>
      <c r="H130" s="203"/>
      <c r="I130" s="203"/>
      <c r="J130" s="203"/>
      <c r="K130" s="203"/>
      <c r="L130" s="202"/>
    </row>
    <row r="131" spans="1:12">
      <c r="A131" s="202"/>
      <c r="B131" s="202"/>
      <c r="C131" s="203"/>
      <c r="D131" s="203"/>
      <c r="E131" s="203"/>
      <c r="F131" s="203"/>
      <c r="G131" s="203"/>
      <c r="H131" s="203"/>
      <c r="I131" s="203"/>
      <c r="J131" s="202"/>
      <c r="K131" s="202"/>
      <c r="L131" s="202"/>
    </row>
    <row r="132" spans="1:12">
      <c r="A132" s="202"/>
      <c r="B132" s="202"/>
      <c r="C132" s="202"/>
      <c r="D132" s="202"/>
      <c r="E132" s="202"/>
      <c r="F132" s="202"/>
      <c r="G132" s="202"/>
      <c r="H132" s="202"/>
      <c r="I132" s="202"/>
      <c r="J132" s="660" t="str">
        <f>"                "&amp;"SCHEDULE C-2.1"</f>
        <v xml:space="preserve">                SCHEDULE C-2.1</v>
      </c>
      <c r="K132" s="202"/>
      <c r="L132" s="202"/>
    </row>
    <row r="133" spans="1:12">
      <c r="A133" s="202"/>
      <c r="B133" s="202"/>
      <c r="C133" s="202" t="str">
        <f>Data</f>
        <v>DATA: "X" BASE PERIOD   FORECASTED PERIOD</v>
      </c>
      <c r="D133" s="202"/>
      <c r="E133" s="202"/>
      <c r="F133" s="202"/>
      <c r="G133" s="202"/>
      <c r="H133" s="202"/>
      <c r="I133" s="202"/>
      <c r="J133" s="660" t="str">
        <f>"                "&amp;"PAGE  3  OF  14"</f>
        <v xml:space="preserve">                PAGE  3  OF  14</v>
      </c>
      <c r="K133" s="202"/>
      <c r="L133" s="202"/>
    </row>
    <row r="134" spans="1:12">
      <c r="A134" s="202"/>
      <c r="B134" s="202"/>
      <c r="C134" s="202" t="str">
        <f>Type</f>
        <v xml:space="preserve">TYPE OF FILING:  "X" ORIGINAL   UPDATED    REVISED  </v>
      </c>
      <c r="D134" s="202"/>
      <c r="E134" s="202"/>
      <c r="F134" s="202"/>
      <c r="G134" s="202"/>
      <c r="H134" s="202"/>
      <c r="I134" s="202"/>
      <c r="J134" s="660" t="str">
        <f>"                "&amp;"WITNESS RESPONSIBLE:"</f>
        <v xml:space="preserve">                WITNESS RESPONSIBLE:</v>
      </c>
      <c r="K134" s="202"/>
      <c r="L134" s="202"/>
    </row>
    <row r="135" spans="1:12">
      <c r="A135" s="202"/>
      <c r="B135" s="202"/>
      <c r="C135" s="660" t="str">
        <f>$C$11</f>
        <v>WORK PAPER REFERENCE NO(S).: WPC-2.1a_BP</v>
      </c>
      <c r="D135" s="202"/>
      <c r="E135" s="202"/>
      <c r="F135" s="202"/>
      <c r="G135" s="202"/>
      <c r="H135" s="202"/>
      <c r="I135" s="202"/>
      <c r="J135" s="660" t="str">
        <f>"                "&amp;_WIT1</f>
        <v xml:space="preserve">                L. D. STEINKUHL</v>
      </c>
      <c r="K135" s="202"/>
      <c r="L135" s="202"/>
    </row>
    <row r="136" spans="1:12">
      <c r="A136" s="202"/>
      <c r="B136" s="202"/>
      <c r="C136" s="1496"/>
      <c r="D136" s="1497"/>
      <c r="E136" s="1497"/>
      <c r="F136" s="1497"/>
      <c r="G136" s="1497"/>
      <c r="H136" s="1497"/>
      <c r="I136" s="1497"/>
      <c r="J136" s="1497"/>
      <c r="K136" s="1497"/>
      <c r="L136" s="202"/>
    </row>
    <row r="137" spans="1:12">
      <c r="A137" s="202"/>
      <c r="B137" s="202"/>
      <c r="C137" s="202"/>
      <c r="D137" s="202"/>
      <c r="E137" s="202"/>
      <c r="F137" s="202"/>
      <c r="G137" s="208" t="s">
        <v>1513</v>
      </c>
      <c r="H137" s="208" t="s">
        <v>970</v>
      </c>
      <c r="I137" s="202"/>
      <c r="J137" s="202"/>
      <c r="K137" s="208" t="s">
        <v>937</v>
      </c>
      <c r="L137" s="202"/>
    </row>
    <row r="138" spans="1:12">
      <c r="A138" s="202"/>
      <c r="B138" s="202"/>
      <c r="C138" s="208" t="s">
        <v>471</v>
      </c>
      <c r="D138" s="208" t="s">
        <v>1045</v>
      </c>
      <c r="E138" s="202"/>
      <c r="F138" s="202"/>
      <c r="G138" s="208" t="s">
        <v>972</v>
      </c>
      <c r="H138" s="208" t="s">
        <v>973</v>
      </c>
      <c r="I138" s="202"/>
      <c r="J138" s="208" t="s">
        <v>1513</v>
      </c>
      <c r="K138" s="208" t="s">
        <v>1514</v>
      </c>
      <c r="L138" s="202"/>
    </row>
    <row r="139" spans="1:12">
      <c r="A139" s="202"/>
      <c r="B139" s="202"/>
      <c r="C139" s="208" t="s">
        <v>475</v>
      </c>
      <c r="D139" s="208" t="s">
        <v>533</v>
      </c>
      <c r="E139" s="202"/>
      <c r="F139" s="203" t="s">
        <v>1515</v>
      </c>
      <c r="G139" s="208" t="s">
        <v>1153</v>
      </c>
      <c r="H139" s="208" t="s">
        <v>420</v>
      </c>
      <c r="I139" s="202"/>
      <c r="J139" s="208" t="s">
        <v>1516</v>
      </c>
      <c r="K139" s="208" t="s">
        <v>476</v>
      </c>
      <c r="L139" s="202"/>
    </row>
    <row r="140" spans="1:12">
      <c r="A140" s="202"/>
      <c r="B140" s="202"/>
      <c r="C140" s="1498"/>
      <c r="D140" s="1498"/>
      <c r="E140" s="1498"/>
      <c r="F140" s="1498"/>
      <c r="G140" s="1500" t="s">
        <v>506</v>
      </c>
      <c r="H140" s="1500" t="s">
        <v>510</v>
      </c>
      <c r="I140" s="1498"/>
      <c r="J140" s="1500" t="s">
        <v>519</v>
      </c>
      <c r="K140" s="1500" t="s">
        <v>911</v>
      </c>
      <c r="L140" s="202"/>
    </row>
    <row r="141" spans="1:1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</row>
    <row r="142" spans="1:12">
      <c r="A142" s="202"/>
      <c r="B142" s="202"/>
      <c r="C142" s="208">
        <v>1</v>
      </c>
      <c r="D142" s="214"/>
      <c r="E142" s="202"/>
      <c r="F142" s="204" t="s">
        <v>457</v>
      </c>
      <c r="G142" s="202"/>
      <c r="H142" s="202"/>
      <c r="I142" s="202"/>
      <c r="J142" s="202"/>
      <c r="K142" s="202"/>
      <c r="L142" s="202"/>
    </row>
    <row r="143" spans="1:12">
      <c r="A143" s="202"/>
      <c r="B143" s="202"/>
      <c r="C143" s="208">
        <v>2</v>
      </c>
      <c r="D143" s="214"/>
      <c r="E143" s="202"/>
      <c r="F143" s="204"/>
      <c r="G143" s="202"/>
      <c r="H143" s="202"/>
      <c r="I143" s="202"/>
      <c r="J143" s="202"/>
      <c r="K143" s="202"/>
      <c r="L143" s="202"/>
    </row>
    <row r="144" spans="1:12">
      <c r="A144" s="202"/>
      <c r="B144" s="202"/>
      <c r="C144" s="208">
        <v>3</v>
      </c>
      <c r="D144" s="214"/>
      <c r="E144" s="202"/>
      <c r="F144" s="204" t="s">
        <v>338</v>
      </c>
      <c r="G144" s="202"/>
      <c r="H144" s="202"/>
      <c r="I144" s="202"/>
      <c r="J144" s="202"/>
      <c r="K144" s="202"/>
      <c r="L144" s="202"/>
    </row>
    <row r="145" spans="1:12">
      <c r="A145" s="202"/>
      <c r="B145" s="202">
        <v>560</v>
      </c>
      <c r="C145" s="208">
        <v>4</v>
      </c>
      <c r="D145" s="208">
        <v>560</v>
      </c>
      <c r="E145" s="202"/>
      <c r="F145" s="660" t="s">
        <v>1563</v>
      </c>
      <c r="G145" s="215">
        <f t="array" ref="G145">SUM(IF(FERCBP=B145,AmountBP))</f>
        <v>494</v>
      </c>
      <c r="H145" s="717">
        <f t="shared" ref="H145:H151" si="15">VLOOKUP(K145,ALLOCTABLE,2)</f>
        <v>100</v>
      </c>
      <c r="I145" s="202"/>
      <c r="J145" s="215">
        <f t="shared" ref="J145:J151" si="16">ROUND(G145*(H145/100),0)</f>
        <v>494</v>
      </c>
      <c r="K145" s="208" t="s">
        <v>428</v>
      </c>
      <c r="L145" s="202"/>
    </row>
    <row r="146" spans="1:12">
      <c r="A146" s="202"/>
      <c r="B146" s="202">
        <v>561</v>
      </c>
      <c r="C146" s="208">
        <v>5</v>
      </c>
      <c r="D146" s="208">
        <v>561</v>
      </c>
      <c r="E146" s="202"/>
      <c r="F146" s="660" t="s">
        <v>1564</v>
      </c>
      <c r="G146" s="215">
        <f t="array" ref="G146">SUM(IF(FERCBP=B146,AmountBP))</f>
        <v>4935418</v>
      </c>
      <c r="H146" s="717">
        <f t="shared" si="15"/>
        <v>100</v>
      </c>
      <c r="I146" s="202"/>
      <c r="J146" s="215">
        <f t="shared" si="16"/>
        <v>4935418</v>
      </c>
      <c r="K146" s="208" t="s">
        <v>428</v>
      </c>
      <c r="L146" s="202"/>
    </row>
    <row r="147" spans="1:12">
      <c r="A147" s="202"/>
      <c r="B147" s="202">
        <v>562</v>
      </c>
      <c r="C147" s="208">
        <v>6</v>
      </c>
      <c r="D147" s="208">
        <v>562</v>
      </c>
      <c r="E147" s="202"/>
      <c r="F147" s="660" t="s">
        <v>1565</v>
      </c>
      <c r="G147" s="215">
        <f t="array" ref="G147">SUM(IF(FERCBP=B147,AmountBP))</f>
        <v>57325</v>
      </c>
      <c r="H147" s="717">
        <f t="shared" si="15"/>
        <v>100</v>
      </c>
      <c r="I147" s="202"/>
      <c r="J147" s="215">
        <f t="shared" si="16"/>
        <v>57325</v>
      </c>
      <c r="K147" s="208" t="s">
        <v>428</v>
      </c>
      <c r="L147" s="202"/>
    </row>
    <row r="148" spans="1:12">
      <c r="A148" s="202"/>
      <c r="B148" s="202">
        <v>563</v>
      </c>
      <c r="C148" s="208">
        <v>7</v>
      </c>
      <c r="D148" s="208">
        <v>563</v>
      </c>
      <c r="E148" s="202"/>
      <c r="F148" s="660" t="s">
        <v>1566</v>
      </c>
      <c r="G148" s="215">
        <f t="array" ref="G148">SUM(IF(FERCBP=B148,AmountBP))</f>
        <v>52117</v>
      </c>
      <c r="H148" s="717">
        <f t="shared" si="15"/>
        <v>100</v>
      </c>
      <c r="I148" s="202"/>
      <c r="J148" s="215">
        <f t="shared" si="16"/>
        <v>52117</v>
      </c>
      <c r="K148" s="208" t="s">
        <v>428</v>
      </c>
      <c r="L148" s="202"/>
    </row>
    <row r="149" spans="1:12">
      <c r="A149" s="202"/>
      <c r="B149" s="202">
        <v>565</v>
      </c>
      <c r="C149" s="208">
        <v>8</v>
      </c>
      <c r="D149" s="208">
        <v>565</v>
      </c>
      <c r="E149" s="202"/>
      <c r="F149" s="660" t="s">
        <v>1567</v>
      </c>
      <c r="G149" s="215">
        <f t="array" ref="G149">SUM(IF(FERCBP=B149,AmountBP))</f>
        <v>24452046</v>
      </c>
      <c r="H149" s="717">
        <f t="shared" si="15"/>
        <v>100</v>
      </c>
      <c r="I149" s="202"/>
      <c r="J149" s="215">
        <f t="shared" si="16"/>
        <v>24452046</v>
      </c>
      <c r="K149" s="208" t="s">
        <v>428</v>
      </c>
      <c r="L149" s="202"/>
    </row>
    <row r="150" spans="1:12">
      <c r="A150" s="202"/>
      <c r="B150" s="202">
        <v>566</v>
      </c>
      <c r="C150" s="208">
        <v>9</v>
      </c>
      <c r="D150" s="208">
        <v>566</v>
      </c>
      <c r="E150" s="202"/>
      <c r="F150" s="660" t="s">
        <v>1568</v>
      </c>
      <c r="G150" s="215">
        <f t="array" ref="G150">SUM(IF(FERCBP=B150,AmountBP))</f>
        <v>132038</v>
      </c>
      <c r="H150" s="717">
        <f t="shared" si="15"/>
        <v>100</v>
      </c>
      <c r="I150" s="202"/>
      <c r="J150" s="215">
        <f t="shared" si="16"/>
        <v>132038</v>
      </c>
      <c r="K150" s="208" t="s">
        <v>428</v>
      </c>
      <c r="L150" s="202"/>
    </row>
    <row r="151" spans="1:12">
      <c r="A151" s="202"/>
      <c r="B151" s="202">
        <v>567</v>
      </c>
      <c r="C151" s="208">
        <v>10</v>
      </c>
      <c r="D151" s="208">
        <v>567</v>
      </c>
      <c r="E151" s="202"/>
      <c r="F151" s="660" t="s">
        <v>1569</v>
      </c>
      <c r="G151" s="215">
        <f t="array" ref="G151">SUM(IF(FERCBP=B151,AmountBP))</f>
        <v>3750</v>
      </c>
      <c r="H151" s="717">
        <f t="shared" si="15"/>
        <v>100</v>
      </c>
      <c r="I151" s="202"/>
      <c r="J151" s="215">
        <f t="shared" si="16"/>
        <v>3750</v>
      </c>
      <c r="K151" s="208" t="s">
        <v>428</v>
      </c>
      <c r="L151" s="202"/>
    </row>
    <row r="152" spans="1:12">
      <c r="A152" s="202"/>
      <c r="B152" s="202"/>
      <c r="C152" s="208">
        <v>11</v>
      </c>
      <c r="D152" s="202"/>
      <c r="E152" s="202"/>
      <c r="F152" s="660" t="s">
        <v>1539</v>
      </c>
      <c r="G152" s="2138">
        <f>SUM(G145:G151)</f>
        <v>29633188</v>
      </c>
      <c r="H152" s="202"/>
      <c r="I152" s="202"/>
      <c r="J152" s="2138">
        <f>SUM(J145:J151)</f>
        <v>29633188</v>
      </c>
      <c r="K152" s="202"/>
      <c r="L152" s="202"/>
    </row>
    <row r="153" spans="1:12">
      <c r="A153" s="202"/>
      <c r="B153" s="202"/>
      <c r="C153" s="208">
        <v>12</v>
      </c>
      <c r="D153" s="202"/>
      <c r="E153" s="202"/>
      <c r="F153" s="202"/>
      <c r="G153" s="206"/>
      <c r="H153" s="202"/>
      <c r="I153" s="202"/>
      <c r="J153" s="206"/>
      <c r="K153" s="202"/>
      <c r="L153" s="202"/>
    </row>
    <row r="154" spans="1:12">
      <c r="A154" s="202"/>
      <c r="B154" s="202"/>
      <c r="C154" s="208">
        <v>13</v>
      </c>
      <c r="D154" s="202"/>
      <c r="E154" s="202"/>
      <c r="F154" s="202"/>
      <c r="G154" s="202"/>
      <c r="H154" s="202"/>
      <c r="I154" s="202"/>
      <c r="J154" s="202"/>
      <c r="K154" s="202"/>
      <c r="L154" s="202"/>
    </row>
    <row r="155" spans="1:12">
      <c r="A155" s="202"/>
      <c r="B155" s="202"/>
      <c r="C155" s="208">
        <v>14</v>
      </c>
      <c r="D155" s="202"/>
      <c r="E155" s="202"/>
      <c r="F155" s="204" t="s">
        <v>347</v>
      </c>
      <c r="G155" s="202"/>
      <c r="H155" s="202"/>
      <c r="I155" s="202"/>
      <c r="J155" s="202"/>
      <c r="K155" s="202"/>
      <c r="L155" s="202"/>
    </row>
    <row r="156" spans="1:12">
      <c r="A156" s="202"/>
      <c r="B156" s="202">
        <v>568</v>
      </c>
      <c r="C156" s="208">
        <v>15</v>
      </c>
      <c r="D156" s="208">
        <v>568</v>
      </c>
      <c r="E156" s="202"/>
      <c r="F156" s="660" t="s">
        <v>1563</v>
      </c>
      <c r="G156" s="215">
        <f t="array" ref="G156">SUM(IF(FERCBP=B156,AmountBP))</f>
        <v>0</v>
      </c>
      <c r="H156" s="717">
        <f t="shared" ref="H156:H161" si="17">VLOOKUP(K156,ALLOCTABLE,2)</f>
        <v>100</v>
      </c>
      <c r="I156" s="202"/>
      <c r="J156" s="215">
        <f t="shared" ref="J156:J161" si="18">ROUND(G156*(H156/100),0)</f>
        <v>0</v>
      </c>
      <c r="K156" s="208" t="s">
        <v>428</v>
      </c>
      <c r="L156" s="202"/>
    </row>
    <row r="157" spans="1:12">
      <c r="A157" s="202"/>
      <c r="B157" s="202">
        <v>569</v>
      </c>
      <c r="C157" s="208">
        <v>16</v>
      </c>
      <c r="D157" s="208">
        <v>569</v>
      </c>
      <c r="E157" s="202"/>
      <c r="F157" s="660" t="s">
        <v>1570</v>
      </c>
      <c r="G157" s="215">
        <f t="array" ref="G157">SUM(IF(FERCBP=B157,AmountBP))</f>
        <v>96024</v>
      </c>
      <c r="H157" s="717">
        <f t="shared" si="17"/>
        <v>100</v>
      </c>
      <c r="I157" s="202"/>
      <c r="J157" s="215">
        <f t="shared" si="18"/>
        <v>96024</v>
      </c>
      <c r="K157" s="208" t="s">
        <v>428</v>
      </c>
      <c r="L157" s="202"/>
    </row>
    <row r="158" spans="1:12">
      <c r="A158" s="202"/>
      <c r="B158" s="202">
        <v>570</v>
      </c>
      <c r="C158" s="208">
        <v>17</v>
      </c>
      <c r="D158" s="208">
        <v>570</v>
      </c>
      <c r="E158" s="202"/>
      <c r="F158" s="660" t="s">
        <v>1571</v>
      </c>
      <c r="G158" s="215">
        <f t="array" ref="G158">SUM(IF(FERCBP=B158,AmountBP))</f>
        <v>163480</v>
      </c>
      <c r="H158" s="717">
        <f t="shared" si="17"/>
        <v>100</v>
      </c>
      <c r="I158" s="202"/>
      <c r="J158" s="215">
        <f t="shared" si="18"/>
        <v>163480</v>
      </c>
      <c r="K158" s="208" t="s">
        <v>428</v>
      </c>
      <c r="L158" s="202"/>
    </row>
    <row r="159" spans="1:12">
      <c r="A159" s="202"/>
      <c r="B159" s="202">
        <v>571</v>
      </c>
      <c r="C159" s="208">
        <v>18</v>
      </c>
      <c r="D159" s="208">
        <v>571</v>
      </c>
      <c r="E159" s="202"/>
      <c r="F159" s="660" t="s">
        <v>1566</v>
      </c>
      <c r="G159" s="215">
        <f t="array" ref="G159">SUM(IF(FERCBP=B159,AmountBP))</f>
        <v>624583</v>
      </c>
      <c r="H159" s="717">
        <f t="shared" si="17"/>
        <v>100</v>
      </c>
      <c r="I159" s="202"/>
      <c r="J159" s="215">
        <f t="shared" si="18"/>
        <v>624583</v>
      </c>
      <c r="K159" s="208" t="s">
        <v>428</v>
      </c>
      <c r="L159" s="202"/>
    </row>
    <row r="160" spans="1:12">
      <c r="A160" s="202"/>
      <c r="B160" s="202">
        <v>572</v>
      </c>
      <c r="C160" s="208">
        <v>19</v>
      </c>
      <c r="D160" s="208">
        <v>572</v>
      </c>
      <c r="E160" s="202"/>
      <c r="F160" s="660" t="s">
        <v>1572</v>
      </c>
      <c r="G160" s="215">
        <f t="array" ref="G160">SUM(IF(FERCBP=B160,AmountBP))</f>
        <v>0</v>
      </c>
      <c r="H160" s="717">
        <f t="shared" si="17"/>
        <v>100</v>
      </c>
      <c r="I160" s="202"/>
      <c r="J160" s="215">
        <f t="shared" si="18"/>
        <v>0</v>
      </c>
      <c r="K160" s="208" t="s">
        <v>428</v>
      </c>
      <c r="L160" s="202"/>
    </row>
    <row r="161" spans="1:12">
      <c r="A161" s="202"/>
      <c r="B161" s="202">
        <v>573</v>
      </c>
      <c r="C161" s="208">
        <v>20</v>
      </c>
      <c r="D161" s="208">
        <v>573</v>
      </c>
      <c r="E161" s="202"/>
      <c r="F161" s="660" t="s">
        <v>1573</v>
      </c>
      <c r="G161" s="215">
        <f t="array" ref="G161">SUM(IF(FERCBP=B161,AmountBP))</f>
        <v>0</v>
      </c>
      <c r="H161" s="717">
        <f t="shared" si="17"/>
        <v>100</v>
      </c>
      <c r="I161" s="202"/>
      <c r="J161" s="215">
        <f t="shared" si="18"/>
        <v>0</v>
      </c>
      <c r="K161" s="208" t="s">
        <v>428</v>
      </c>
      <c r="L161" s="202"/>
    </row>
    <row r="162" spans="1:12">
      <c r="A162" s="202"/>
      <c r="B162" s="202"/>
      <c r="C162" s="208">
        <v>21</v>
      </c>
      <c r="D162" s="202"/>
      <c r="E162" s="202"/>
      <c r="F162" s="660" t="s">
        <v>1544</v>
      </c>
      <c r="G162" s="2138">
        <f>SUM(G156:G161)</f>
        <v>884087</v>
      </c>
      <c r="H162" s="202"/>
      <c r="I162" s="202"/>
      <c r="J162" s="2138">
        <f>SUM(J156:J161)</f>
        <v>884087</v>
      </c>
      <c r="K162" s="208" t="s">
        <v>428</v>
      </c>
      <c r="L162" s="202"/>
    </row>
    <row r="163" spans="1:12">
      <c r="A163" s="202"/>
      <c r="B163" s="202"/>
      <c r="C163" s="208">
        <v>22</v>
      </c>
      <c r="D163" s="214"/>
      <c r="E163" s="202"/>
      <c r="F163" s="660" t="s">
        <v>1574</v>
      </c>
      <c r="G163" s="2138">
        <f>G152+G162</f>
        <v>30517275</v>
      </c>
      <c r="H163" s="202"/>
      <c r="I163" s="202"/>
      <c r="J163" s="2138">
        <f>J152+J162</f>
        <v>30517275</v>
      </c>
      <c r="K163" s="202"/>
      <c r="L163" s="202"/>
    </row>
    <row r="164" spans="1:12">
      <c r="A164" s="202"/>
      <c r="B164" s="202"/>
      <c r="C164" s="208">
        <v>23</v>
      </c>
      <c r="D164" s="202"/>
      <c r="E164" s="202"/>
      <c r="F164" s="202"/>
      <c r="G164" s="202"/>
      <c r="H164" s="202"/>
      <c r="I164" s="202"/>
      <c r="J164" s="202"/>
      <c r="K164" s="202"/>
      <c r="L164" s="202"/>
    </row>
    <row r="165" spans="1:12">
      <c r="A165" s="202"/>
      <c r="B165" s="202"/>
      <c r="C165" s="208">
        <v>24</v>
      </c>
      <c r="D165" s="202"/>
      <c r="E165" s="202"/>
      <c r="F165" s="204" t="s">
        <v>1575</v>
      </c>
      <c r="G165" s="202"/>
      <c r="H165" s="202"/>
      <c r="I165" s="202"/>
      <c r="J165" s="202"/>
      <c r="K165" s="202"/>
      <c r="L165" s="202"/>
    </row>
    <row r="166" spans="1:12">
      <c r="A166" s="202"/>
      <c r="B166" s="202"/>
      <c r="C166" s="208">
        <v>25</v>
      </c>
      <c r="D166" s="202"/>
      <c r="E166" s="202"/>
      <c r="F166" s="202"/>
      <c r="G166" s="202"/>
      <c r="H166" s="202"/>
      <c r="I166" s="202"/>
      <c r="J166" s="202"/>
      <c r="K166" s="202"/>
      <c r="L166" s="202"/>
    </row>
    <row r="167" spans="1:12">
      <c r="A167" s="202"/>
      <c r="B167" s="202"/>
      <c r="C167" s="208">
        <v>26</v>
      </c>
      <c r="D167" s="202"/>
      <c r="E167" s="202"/>
      <c r="F167" s="204" t="s">
        <v>338</v>
      </c>
      <c r="G167" s="202"/>
      <c r="H167" s="202"/>
      <c r="I167" s="202"/>
      <c r="J167" s="202"/>
      <c r="K167" s="202"/>
      <c r="L167" s="202"/>
    </row>
    <row r="168" spans="1:12">
      <c r="A168" s="202"/>
      <c r="B168" s="202">
        <v>575</v>
      </c>
      <c r="C168" s="208">
        <v>27</v>
      </c>
      <c r="D168" s="208">
        <v>575</v>
      </c>
      <c r="E168" s="202"/>
      <c r="F168" s="660" t="s">
        <v>1576</v>
      </c>
      <c r="G168" s="215">
        <f t="array" ref="G168">SUM(IF(FERCBP=B168,AmountBP))</f>
        <v>2770253</v>
      </c>
      <c r="H168" s="717">
        <f>VLOOKUP(K168,ALLOCTABLE,2)</f>
        <v>100</v>
      </c>
      <c r="I168" s="202"/>
      <c r="J168" s="215">
        <f>ROUND(G168*(H168/100),0)</f>
        <v>2770253</v>
      </c>
      <c r="K168" s="208" t="s">
        <v>428</v>
      </c>
      <c r="L168" s="202"/>
    </row>
    <row r="169" spans="1:12">
      <c r="A169" s="202"/>
      <c r="B169" s="202"/>
      <c r="C169" s="208">
        <v>28</v>
      </c>
      <c r="D169" s="202"/>
      <c r="E169" s="202"/>
      <c r="F169" s="660" t="s">
        <v>1577</v>
      </c>
      <c r="G169" s="2138">
        <f>SUM(G168)</f>
        <v>2770253</v>
      </c>
      <c r="H169" s="202"/>
      <c r="I169" s="202"/>
      <c r="J169" s="2138">
        <f>SUM(J168)</f>
        <v>2770253</v>
      </c>
      <c r="K169" s="202"/>
      <c r="L169" s="202"/>
    </row>
    <row r="170" spans="1:12">
      <c r="A170" s="202"/>
      <c r="B170" s="202"/>
      <c r="C170" s="208">
        <v>29</v>
      </c>
      <c r="D170" s="202"/>
      <c r="E170" s="202"/>
      <c r="F170" s="202"/>
      <c r="G170" s="202"/>
      <c r="H170" s="202"/>
      <c r="I170" s="202"/>
      <c r="J170" s="202"/>
      <c r="K170" s="202"/>
      <c r="L170" s="202"/>
    </row>
    <row r="171" spans="1:12">
      <c r="A171" s="202"/>
      <c r="B171" s="202"/>
      <c r="C171" s="208">
        <v>30</v>
      </c>
      <c r="D171" s="214"/>
      <c r="E171" s="202"/>
      <c r="F171" s="204" t="s">
        <v>458</v>
      </c>
      <c r="G171" s="202"/>
      <c r="H171" s="202"/>
      <c r="I171" s="202"/>
      <c r="J171" s="202"/>
      <c r="K171" s="202"/>
      <c r="L171" s="202"/>
    </row>
    <row r="172" spans="1:12">
      <c r="A172" s="202"/>
      <c r="B172" s="202"/>
      <c r="C172" s="208">
        <v>31</v>
      </c>
      <c r="D172" s="202"/>
      <c r="E172" s="202"/>
      <c r="F172" s="202"/>
      <c r="G172" s="202"/>
      <c r="H172" s="202"/>
      <c r="I172" s="202"/>
      <c r="J172" s="202"/>
      <c r="K172" s="202"/>
      <c r="L172" s="202"/>
    </row>
    <row r="173" spans="1:12">
      <c r="A173" s="202"/>
      <c r="B173" s="202"/>
      <c r="C173" s="208">
        <v>32</v>
      </c>
      <c r="D173" s="214"/>
      <c r="E173" s="202"/>
      <c r="F173" s="204" t="s">
        <v>338</v>
      </c>
      <c r="G173" s="202"/>
      <c r="H173" s="202"/>
      <c r="I173" s="202"/>
      <c r="J173" s="202"/>
      <c r="K173" s="202"/>
      <c r="L173" s="202"/>
    </row>
    <row r="174" spans="1:12">
      <c r="A174" s="202"/>
      <c r="B174" s="202">
        <v>580</v>
      </c>
      <c r="C174" s="208">
        <v>33</v>
      </c>
      <c r="D174" s="208">
        <v>580</v>
      </c>
      <c r="E174" s="202"/>
      <c r="F174" s="660" t="s">
        <v>1563</v>
      </c>
      <c r="G174" s="215">
        <f t="array" ref="G174">SUM(IF(FERCBP=B174,AmountBP))</f>
        <v>34615</v>
      </c>
      <c r="H174" s="717">
        <f t="shared" ref="H174:H183" si="19">VLOOKUP(K174,ALLOCTABLE,2)</f>
        <v>100</v>
      </c>
      <c r="I174" s="202"/>
      <c r="J174" s="215">
        <f t="shared" ref="J174:J183" si="20">ROUND(G174*(H174/100),0)</f>
        <v>34615</v>
      </c>
      <c r="K174" s="208" t="s">
        <v>428</v>
      </c>
      <c r="L174" s="202"/>
    </row>
    <row r="175" spans="1:12">
      <c r="A175" s="202"/>
      <c r="B175" s="202">
        <v>581</v>
      </c>
      <c r="C175" s="208">
        <v>34</v>
      </c>
      <c r="D175" s="208">
        <v>581</v>
      </c>
      <c r="E175" s="202"/>
      <c r="F175" s="660" t="s">
        <v>1564</v>
      </c>
      <c r="G175" s="215">
        <f t="array" ref="G175">SUM(IF(FERCBP=B175,AmountBP))</f>
        <v>428994</v>
      </c>
      <c r="H175" s="717">
        <f t="shared" si="19"/>
        <v>100</v>
      </c>
      <c r="I175" s="202"/>
      <c r="J175" s="215">
        <f t="shared" si="20"/>
        <v>428994</v>
      </c>
      <c r="K175" s="208" t="s">
        <v>428</v>
      </c>
      <c r="L175" s="202"/>
    </row>
    <row r="176" spans="1:12">
      <c r="A176" s="202"/>
      <c r="B176" s="202">
        <v>582</v>
      </c>
      <c r="C176" s="208">
        <v>35</v>
      </c>
      <c r="D176" s="208">
        <v>582</v>
      </c>
      <c r="E176" s="202"/>
      <c r="F176" s="660" t="s">
        <v>1578</v>
      </c>
      <c r="G176" s="215">
        <f t="array" ref="G176">SUM(IF(FERCBP=B176,AmountBP))</f>
        <v>60411</v>
      </c>
      <c r="H176" s="717">
        <f t="shared" si="19"/>
        <v>100</v>
      </c>
      <c r="I176" s="202"/>
      <c r="J176" s="215">
        <f t="shared" si="20"/>
        <v>60411</v>
      </c>
      <c r="K176" s="208" t="s">
        <v>428</v>
      </c>
      <c r="L176" s="202"/>
    </row>
    <row r="177" spans="1:12">
      <c r="A177" s="202"/>
      <c r="B177" s="202">
        <v>583</v>
      </c>
      <c r="C177" s="208">
        <v>36</v>
      </c>
      <c r="D177" s="208">
        <v>583</v>
      </c>
      <c r="E177" s="202"/>
      <c r="F177" s="660" t="s">
        <v>1566</v>
      </c>
      <c r="G177" s="215">
        <f t="array" ref="G177">SUM(IF(FERCBP=B177,AmountBP))</f>
        <v>373291</v>
      </c>
      <c r="H177" s="717">
        <f t="shared" si="19"/>
        <v>100</v>
      </c>
      <c r="I177" s="202"/>
      <c r="J177" s="215">
        <f t="shared" si="20"/>
        <v>373291</v>
      </c>
      <c r="K177" s="208" t="s">
        <v>428</v>
      </c>
      <c r="L177" s="202"/>
    </row>
    <row r="178" spans="1:12">
      <c r="A178" s="202"/>
      <c r="B178" s="202">
        <v>584</v>
      </c>
      <c r="C178" s="208">
        <v>37</v>
      </c>
      <c r="D178" s="208">
        <v>584</v>
      </c>
      <c r="E178" s="202"/>
      <c r="F178" s="660" t="s">
        <v>1572</v>
      </c>
      <c r="G178" s="215">
        <f t="array" ref="G178">SUM(IF(FERCBP=B178,AmountBP))</f>
        <v>674629</v>
      </c>
      <c r="H178" s="717">
        <f t="shared" si="19"/>
        <v>100</v>
      </c>
      <c r="I178" s="202"/>
      <c r="J178" s="215">
        <f t="shared" si="20"/>
        <v>674629</v>
      </c>
      <c r="K178" s="208" t="s">
        <v>428</v>
      </c>
      <c r="L178" s="202"/>
    </row>
    <row r="179" spans="1:12">
      <c r="A179" s="202"/>
      <c r="B179" s="202">
        <v>585</v>
      </c>
      <c r="C179" s="208">
        <v>38</v>
      </c>
      <c r="D179" s="208">
        <v>585</v>
      </c>
      <c r="E179" s="202"/>
      <c r="F179" s="660" t="s">
        <v>1579</v>
      </c>
      <c r="G179" s="215">
        <f t="array" ref="G179">SUM(IF(FERCBP=B179,AmountBP))</f>
        <v>0</v>
      </c>
      <c r="H179" s="717">
        <f t="shared" si="19"/>
        <v>100</v>
      </c>
      <c r="I179" s="202"/>
      <c r="J179" s="215">
        <f t="shared" si="20"/>
        <v>0</v>
      </c>
      <c r="K179" s="208" t="s">
        <v>428</v>
      </c>
      <c r="L179" s="202"/>
    </row>
    <row r="180" spans="1:12">
      <c r="A180" s="202"/>
      <c r="B180" s="202">
        <v>586</v>
      </c>
      <c r="C180" s="208">
        <v>39</v>
      </c>
      <c r="D180" s="208">
        <v>586</v>
      </c>
      <c r="E180" s="202"/>
      <c r="F180" s="660" t="s">
        <v>1580</v>
      </c>
      <c r="G180" s="215">
        <f t="array" ref="G180">SUM(IF(FERCBP=B180,AmountBP))</f>
        <v>490202</v>
      </c>
      <c r="H180" s="717">
        <f t="shared" si="19"/>
        <v>100</v>
      </c>
      <c r="I180" s="202"/>
      <c r="J180" s="215">
        <f t="shared" si="20"/>
        <v>490202</v>
      </c>
      <c r="K180" s="208" t="s">
        <v>428</v>
      </c>
      <c r="L180" s="202"/>
    </row>
    <row r="181" spans="1:12">
      <c r="A181" s="202"/>
      <c r="B181" s="202">
        <v>587</v>
      </c>
      <c r="C181" s="208">
        <v>40</v>
      </c>
      <c r="D181" s="208">
        <v>587</v>
      </c>
      <c r="E181" s="202"/>
      <c r="F181" s="660" t="s">
        <v>1581</v>
      </c>
      <c r="G181" s="215">
        <f t="array" ref="G181">SUM(IF(FERCBP=B181,AmountBP))</f>
        <v>613586</v>
      </c>
      <c r="H181" s="717">
        <f t="shared" si="19"/>
        <v>100</v>
      </c>
      <c r="I181" s="202"/>
      <c r="J181" s="215">
        <f t="shared" si="20"/>
        <v>613586</v>
      </c>
      <c r="K181" s="208" t="s">
        <v>428</v>
      </c>
      <c r="L181" s="202"/>
    </row>
    <row r="182" spans="1:12">
      <c r="A182" s="202"/>
      <c r="B182" s="202">
        <v>588</v>
      </c>
      <c r="C182" s="208">
        <v>41</v>
      </c>
      <c r="D182" s="208">
        <v>588</v>
      </c>
      <c r="E182" s="202"/>
      <c r="F182" s="660" t="s">
        <v>1582</v>
      </c>
      <c r="G182" s="215">
        <f t="array" ref="G182">SUM(IF(FERCBP=B182,AmountBP))</f>
        <v>1600034</v>
      </c>
      <c r="H182" s="717">
        <f t="shared" si="19"/>
        <v>100</v>
      </c>
      <c r="I182" s="202"/>
      <c r="J182" s="215">
        <f t="shared" si="20"/>
        <v>1600034</v>
      </c>
      <c r="K182" s="208" t="s">
        <v>428</v>
      </c>
      <c r="L182" s="202"/>
    </row>
    <row r="183" spans="1:12">
      <c r="A183" s="202"/>
      <c r="B183" s="202">
        <v>589</v>
      </c>
      <c r="C183" s="208">
        <v>42</v>
      </c>
      <c r="D183" s="208">
        <v>589</v>
      </c>
      <c r="E183" s="202"/>
      <c r="F183" s="660" t="s">
        <v>1583</v>
      </c>
      <c r="G183" s="215">
        <f t="array" ref="G183">SUM(IF(FERCBP=B183,AmountBP))</f>
        <v>11371</v>
      </c>
      <c r="H183" s="717">
        <f t="shared" si="19"/>
        <v>100</v>
      </c>
      <c r="I183" s="202"/>
      <c r="J183" s="215">
        <f t="shared" si="20"/>
        <v>11371</v>
      </c>
      <c r="K183" s="208" t="s">
        <v>428</v>
      </c>
      <c r="L183" s="202"/>
    </row>
    <row r="184" spans="1:12">
      <c r="A184" s="216"/>
      <c r="B184" s="202"/>
      <c r="C184" s="208">
        <v>43</v>
      </c>
      <c r="D184" s="202"/>
      <c r="E184" s="202"/>
      <c r="F184" s="660" t="s">
        <v>1539</v>
      </c>
      <c r="G184" s="2138">
        <f>SUM(G174:G183)</f>
        <v>4287133</v>
      </c>
      <c r="H184" s="202"/>
      <c r="I184" s="202"/>
      <c r="J184" s="2138">
        <f>SUM(J174:J183)</f>
        <v>4287133</v>
      </c>
      <c r="K184" s="202"/>
      <c r="L184" s="202"/>
    </row>
    <row r="185" spans="1:12">
      <c r="A185" s="202"/>
      <c r="B185" s="202"/>
      <c r="C185" s="208">
        <v>44</v>
      </c>
      <c r="D185" s="202"/>
      <c r="E185" s="202"/>
      <c r="F185" s="202"/>
      <c r="G185" s="206"/>
      <c r="H185" s="202"/>
      <c r="I185" s="202"/>
      <c r="J185" s="206"/>
      <c r="K185" s="202"/>
      <c r="L185" s="202"/>
    </row>
    <row r="186" spans="1:12">
      <c r="A186" s="216"/>
      <c r="B186" s="202"/>
      <c r="C186" s="208">
        <v>45</v>
      </c>
      <c r="D186" s="202"/>
      <c r="E186" s="202"/>
      <c r="F186" s="202"/>
      <c r="G186" s="217"/>
      <c r="H186" s="202"/>
      <c r="I186" s="202"/>
      <c r="J186" s="202"/>
      <c r="K186" s="202"/>
      <c r="L186" s="202"/>
    </row>
    <row r="187" spans="1:12">
      <c r="A187" s="216"/>
      <c r="B187" s="202"/>
      <c r="C187" s="208">
        <v>46</v>
      </c>
      <c r="D187" s="202"/>
      <c r="E187" s="202"/>
      <c r="F187" s="204" t="s">
        <v>347</v>
      </c>
      <c r="G187" s="202"/>
      <c r="H187" s="202"/>
      <c r="I187" s="202"/>
      <c r="J187" s="202"/>
      <c r="K187" s="202"/>
      <c r="L187" s="202"/>
    </row>
    <row r="188" spans="1:12">
      <c r="A188" s="216"/>
      <c r="B188" s="202">
        <v>590</v>
      </c>
      <c r="C188" s="208">
        <v>47</v>
      </c>
      <c r="D188" s="208">
        <v>590</v>
      </c>
      <c r="E188" s="202"/>
      <c r="F188" s="660" t="s">
        <v>1563</v>
      </c>
      <c r="G188" s="215">
        <f t="array" ref="G188">SUM(IF(FERCBP=B188,AmountBP))</f>
        <v>50110</v>
      </c>
      <c r="H188" s="717">
        <f t="shared" ref="H188:H196" si="21">VLOOKUP(K188,ALLOCTABLE,2)</f>
        <v>100</v>
      </c>
      <c r="I188" s="202"/>
      <c r="J188" s="215">
        <f t="shared" ref="J188:J196" si="22">ROUND(G188*(H188/100),0)</f>
        <v>50110</v>
      </c>
      <c r="K188" s="208" t="s">
        <v>428</v>
      </c>
      <c r="L188" s="202"/>
    </row>
    <row r="189" spans="1:12">
      <c r="A189" s="216"/>
      <c r="B189" s="202">
        <v>591</v>
      </c>
      <c r="C189" s="208">
        <v>48</v>
      </c>
      <c r="D189" s="208">
        <v>591</v>
      </c>
      <c r="E189" s="202"/>
      <c r="F189" s="660" t="s">
        <v>1570</v>
      </c>
      <c r="G189" s="215">
        <f t="array" ref="G189">SUM(IF(FERCBP=B189,AmountBP))</f>
        <v>6108</v>
      </c>
      <c r="H189" s="717">
        <f t="shared" si="21"/>
        <v>100</v>
      </c>
      <c r="I189" s="202"/>
      <c r="J189" s="215">
        <f t="shared" si="22"/>
        <v>6108</v>
      </c>
      <c r="K189" s="208" t="s">
        <v>428</v>
      </c>
      <c r="L189" s="202"/>
    </row>
    <row r="190" spans="1:12">
      <c r="A190" s="216"/>
      <c r="B190" s="202">
        <v>592</v>
      </c>
      <c r="C190" s="208">
        <v>49</v>
      </c>
      <c r="D190" s="208">
        <v>592</v>
      </c>
      <c r="E190" s="202"/>
      <c r="F190" s="660" t="s">
        <v>1571</v>
      </c>
      <c r="G190" s="215">
        <f t="array" ref="G190">SUM(IF(FERCBP=B190,AmountBP))</f>
        <v>303498</v>
      </c>
      <c r="H190" s="717">
        <f t="shared" si="21"/>
        <v>100</v>
      </c>
      <c r="I190" s="202"/>
      <c r="J190" s="215">
        <f t="shared" si="22"/>
        <v>303498</v>
      </c>
      <c r="K190" s="208" t="s">
        <v>428</v>
      </c>
      <c r="L190" s="202"/>
    </row>
    <row r="191" spans="1:12">
      <c r="A191" s="216"/>
      <c r="B191" s="218">
        <v>593</v>
      </c>
      <c r="C191" s="208">
        <v>50</v>
      </c>
      <c r="D191" s="205">
        <v>593</v>
      </c>
      <c r="E191" s="202"/>
      <c r="F191" s="660" t="s">
        <v>1566</v>
      </c>
      <c r="G191" s="215">
        <f t="array" ref="G191">SUM(IF(FERCBP=B191,AmountBP))</f>
        <v>6669579</v>
      </c>
      <c r="H191" s="717">
        <f t="shared" si="21"/>
        <v>100</v>
      </c>
      <c r="I191" s="202"/>
      <c r="J191" s="215">
        <f t="shared" si="22"/>
        <v>6669579</v>
      </c>
      <c r="K191" s="208" t="s">
        <v>428</v>
      </c>
      <c r="L191" s="202"/>
    </row>
    <row r="192" spans="1:12">
      <c r="A192" s="216"/>
      <c r="B192" s="202">
        <v>594</v>
      </c>
      <c r="C192" s="208">
        <v>51</v>
      </c>
      <c r="D192" s="208">
        <v>594</v>
      </c>
      <c r="E192" s="202"/>
      <c r="F192" s="660" t="s">
        <v>1584</v>
      </c>
      <c r="G192" s="215">
        <f t="array" ref="G192">SUM(IF(FERCBP=B192,AmountBP))</f>
        <v>244092</v>
      </c>
      <c r="H192" s="717">
        <f t="shared" si="21"/>
        <v>100</v>
      </c>
      <c r="I192" s="202"/>
      <c r="J192" s="215">
        <f t="shared" si="22"/>
        <v>244092</v>
      </c>
      <c r="K192" s="208" t="s">
        <v>428</v>
      </c>
      <c r="L192" s="202"/>
    </row>
    <row r="193" spans="1:12">
      <c r="A193" s="202"/>
      <c r="B193" s="202">
        <v>595</v>
      </c>
      <c r="C193" s="208">
        <v>52</v>
      </c>
      <c r="D193" s="208">
        <v>595</v>
      </c>
      <c r="E193" s="202"/>
      <c r="F193" s="660" t="s">
        <v>1585</v>
      </c>
      <c r="G193" s="215">
        <f t="array" ref="G193">SUM(IF(FERCBP=B193,AmountBP))</f>
        <v>1003</v>
      </c>
      <c r="H193" s="717">
        <f t="shared" si="21"/>
        <v>100</v>
      </c>
      <c r="I193" s="202"/>
      <c r="J193" s="215">
        <f t="shared" si="22"/>
        <v>1003</v>
      </c>
      <c r="K193" s="208" t="s">
        <v>428</v>
      </c>
      <c r="L193" s="202"/>
    </row>
    <row r="194" spans="1:12">
      <c r="A194" s="202"/>
      <c r="B194" s="202">
        <v>596</v>
      </c>
      <c r="C194" s="208">
        <v>53</v>
      </c>
      <c r="D194" s="208">
        <v>596</v>
      </c>
      <c r="E194" s="202"/>
      <c r="F194" s="660" t="s">
        <v>1579</v>
      </c>
      <c r="G194" s="215">
        <f t="array" ref="G194">SUM(IF(FERCBP=B194,AmountBP))</f>
        <v>306578</v>
      </c>
      <c r="H194" s="717">
        <f t="shared" si="21"/>
        <v>100</v>
      </c>
      <c r="I194" s="202"/>
      <c r="J194" s="215">
        <f t="shared" si="22"/>
        <v>306578</v>
      </c>
      <c r="K194" s="208" t="s">
        <v>428</v>
      </c>
      <c r="L194" s="202"/>
    </row>
    <row r="195" spans="1:12">
      <c r="A195" s="202"/>
      <c r="B195" s="202">
        <v>597</v>
      </c>
      <c r="C195" s="208">
        <v>54</v>
      </c>
      <c r="D195" s="208">
        <v>597</v>
      </c>
      <c r="E195" s="202"/>
      <c r="F195" s="660" t="s">
        <v>1586</v>
      </c>
      <c r="G195" s="215">
        <f t="array" ref="G195">SUM(IF(FERCBP=B195,AmountBP))</f>
        <v>380779</v>
      </c>
      <c r="H195" s="717">
        <f t="shared" si="21"/>
        <v>100</v>
      </c>
      <c r="I195" s="202"/>
      <c r="J195" s="215">
        <f t="shared" si="22"/>
        <v>380779</v>
      </c>
      <c r="K195" s="208" t="s">
        <v>428</v>
      </c>
      <c r="L195" s="202"/>
    </row>
    <row r="196" spans="1:12">
      <c r="A196" s="202"/>
      <c r="B196" s="202">
        <v>598</v>
      </c>
      <c r="C196" s="208">
        <v>55</v>
      </c>
      <c r="D196" s="208">
        <v>598</v>
      </c>
      <c r="E196" s="202"/>
      <c r="F196" s="660" t="s">
        <v>1587</v>
      </c>
      <c r="G196" s="215">
        <f t="array" ref="G196">SUM(IF(FERCBP=B196,AmountBP))</f>
        <v>168051</v>
      </c>
      <c r="H196" s="717">
        <f t="shared" si="21"/>
        <v>100</v>
      </c>
      <c r="I196" s="202"/>
      <c r="J196" s="215">
        <f t="shared" si="22"/>
        <v>168051</v>
      </c>
      <c r="K196" s="208" t="s">
        <v>428</v>
      </c>
      <c r="L196" s="202"/>
    </row>
    <row r="197" spans="1:12">
      <c r="A197" s="202"/>
      <c r="B197" s="202"/>
      <c r="C197" s="208">
        <v>56</v>
      </c>
      <c r="D197" s="202"/>
      <c r="E197" s="202"/>
      <c r="F197" s="660" t="s">
        <v>1544</v>
      </c>
      <c r="G197" s="2138">
        <f>SUM(G188:G196)</f>
        <v>8129798</v>
      </c>
      <c r="H197" s="202"/>
      <c r="I197" s="215"/>
      <c r="J197" s="2138">
        <f>SUM(J188:J196)</f>
        <v>8129798</v>
      </c>
      <c r="K197" s="202"/>
      <c r="L197" s="202"/>
    </row>
    <row r="198" spans="1:12">
      <c r="A198" s="202"/>
      <c r="B198" s="202"/>
      <c r="C198" s="208">
        <v>57</v>
      </c>
      <c r="D198" s="202"/>
      <c r="E198" s="202"/>
      <c r="F198" s="660" t="s">
        <v>1588</v>
      </c>
      <c r="G198" s="2138">
        <f>G184+G197</f>
        <v>12416931</v>
      </c>
      <c r="H198" s="202"/>
      <c r="I198" s="202"/>
      <c r="J198" s="2138">
        <f>J184+J197</f>
        <v>12416931</v>
      </c>
      <c r="K198" s="202"/>
      <c r="L198" s="202"/>
    </row>
    <row r="199" spans="1:12">
      <c r="A199" s="202"/>
      <c r="B199" s="202"/>
      <c r="C199" s="202"/>
      <c r="D199" s="202"/>
      <c r="E199" s="202"/>
      <c r="F199" s="202"/>
      <c r="G199" s="206"/>
      <c r="H199" s="202"/>
      <c r="I199" s="202"/>
      <c r="J199" s="206"/>
      <c r="K199" s="202"/>
      <c r="L199" s="202"/>
    </row>
    <row r="200" spans="1:12">
      <c r="A200" s="202"/>
      <c r="B200" s="202"/>
      <c r="C200" s="203" t="str">
        <f>COMPANY</f>
        <v>DUKE ENERGY KENTUCKY, INC.</v>
      </c>
      <c r="D200" s="203"/>
      <c r="E200" s="203"/>
      <c r="F200" s="203"/>
      <c r="G200" s="203"/>
      <c r="H200" s="203"/>
      <c r="I200" s="203"/>
      <c r="J200" s="203"/>
      <c r="K200" s="203"/>
      <c r="L200" s="202"/>
    </row>
    <row r="201" spans="1:12">
      <c r="A201" s="202"/>
      <c r="B201" s="202"/>
      <c r="C201" s="203" t="str">
        <f>CASE</f>
        <v>CASE NO. 2024-00354</v>
      </c>
      <c r="D201" s="203"/>
      <c r="E201" s="203"/>
      <c r="F201" s="203"/>
      <c r="G201" s="203"/>
      <c r="H201" s="203"/>
      <c r="I201" s="203"/>
      <c r="J201" s="203"/>
      <c r="K201" s="203"/>
      <c r="L201" s="202"/>
    </row>
    <row r="202" spans="1:12">
      <c r="A202" s="202"/>
      <c r="B202" s="202"/>
      <c r="C202" s="203" t="s">
        <v>1511</v>
      </c>
      <c r="D202" s="203"/>
      <c r="E202" s="203"/>
      <c r="F202" s="203"/>
      <c r="G202" s="203"/>
      <c r="H202" s="203"/>
      <c r="I202" s="203"/>
      <c r="J202" s="203"/>
      <c r="K202" s="203"/>
      <c r="L202" s="202"/>
    </row>
    <row r="203" spans="1:12">
      <c r="A203" s="202"/>
      <c r="B203" s="202"/>
      <c r="C203" s="203" t="str">
        <f>PERIOD</f>
        <v>FOR THE TWELVE MONTHS ENDED FEBRUARY 28, 2025</v>
      </c>
      <c r="D203" s="203"/>
      <c r="E203" s="203"/>
      <c r="F203" s="203"/>
      <c r="G203" s="203"/>
      <c r="H203" s="203"/>
      <c r="I203" s="203"/>
      <c r="J203" s="203"/>
      <c r="K203" s="203"/>
      <c r="L203" s="202"/>
    </row>
    <row r="204" spans="1:12">
      <c r="A204" s="202"/>
      <c r="B204" s="202"/>
      <c r="C204" s="203"/>
      <c r="D204" s="203"/>
      <c r="E204" s="203"/>
      <c r="F204" s="203"/>
      <c r="G204" s="203"/>
      <c r="H204" s="203"/>
      <c r="I204" s="203"/>
      <c r="J204" s="202"/>
      <c r="K204" s="202"/>
      <c r="L204" s="202"/>
    </row>
    <row r="205" spans="1:12">
      <c r="A205" s="202"/>
      <c r="B205" s="202"/>
      <c r="C205" s="202"/>
      <c r="D205" s="202"/>
      <c r="E205" s="202"/>
      <c r="F205" s="202"/>
      <c r="G205" s="202"/>
      <c r="H205" s="202"/>
      <c r="I205" s="202"/>
      <c r="J205" s="660" t="str">
        <f>"                "&amp;"SCHEDULE C-2.1"</f>
        <v xml:space="preserve">                SCHEDULE C-2.1</v>
      </c>
      <c r="K205" s="202"/>
      <c r="L205" s="202"/>
    </row>
    <row r="206" spans="1:12">
      <c r="A206" s="202"/>
      <c r="B206" s="202"/>
      <c r="C206" s="202" t="str">
        <f>Data</f>
        <v>DATA: "X" BASE PERIOD   FORECASTED PERIOD</v>
      </c>
      <c r="D206" s="202"/>
      <c r="E206" s="202"/>
      <c r="F206" s="202"/>
      <c r="G206" s="202"/>
      <c r="H206" s="202"/>
      <c r="I206" s="202"/>
      <c r="J206" s="660" t="str">
        <f>"                "&amp;"PAGE  4  OF  14"</f>
        <v xml:space="preserve">                PAGE  4  OF  14</v>
      </c>
      <c r="K206" s="202"/>
      <c r="L206" s="202"/>
    </row>
    <row r="207" spans="1:12">
      <c r="A207" s="202"/>
      <c r="B207" s="202"/>
      <c r="C207" s="202" t="str">
        <f>Type</f>
        <v xml:space="preserve">TYPE OF FILING:  "X" ORIGINAL   UPDATED    REVISED  </v>
      </c>
      <c r="D207" s="202"/>
      <c r="E207" s="202"/>
      <c r="F207" s="202"/>
      <c r="G207" s="202"/>
      <c r="H207" s="202"/>
      <c r="I207" s="202"/>
      <c r="J207" s="660" t="str">
        <f>"                "&amp;"WITNESS RESPONSIBLE:"</f>
        <v xml:space="preserve">                WITNESS RESPONSIBLE:</v>
      </c>
      <c r="K207" s="202"/>
      <c r="L207" s="202"/>
    </row>
    <row r="208" spans="1:12">
      <c r="A208" s="202"/>
      <c r="B208" s="202"/>
      <c r="C208" s="660" t="str">
        <f>$C$11&amp;", SCHEDULE F-3"</f>
        <v>WORK PAPER REFERENCE NO(S).: WPC-2.1a_BP, SCHEDULE F-3</v>
      </c>
      <c r="D208" s="202"/>
      <c r="E208" s="202"/>
      <c r="F208" s="202"/>
      <c r="G208" s="202"/>
      <c r="H208" s="202"/>
      <c r="I208" s="202"/>
      <c r="J208" s="660" t="str">
        <f>"                "&amp;_WIT1</f>
        <v xml:space="preserve">                L. D. STEINKUHL</v>
      </c>
      <c r="K208" s="202"/>
      <c r="L208" s="202"/>
    </row>
    <row r="209" spans="1:12">
      <c r="A209" s="202"/>
      <c r="B209" s="202"/>
      <c r="C209" s="1496"/>
      <c r="D209" s="1497"/>
      <c r="E209" s="1497"/>
      <c r="F209" s="1497"/>
      <c r="G209" s="1497"/>
      <c r="H209" s="1497"/>
      <c r="I209" s="1497"/>
      <c r="J209" s="1497"/>
      <c r="K209" s="1497"/>
      <c r="L209" s="202"/>
    </row>
    <row r="210" spans="1:12">
      <c r="A210" s="202"/>
      <c r="B210" s="202"/>
      <c r="C210" s="202"/>
      <c r="D210" s="202"/>
      <c r="E210" s="202"/>
      <c r="F210" s="202"/>
      <c r="G210" s="208" t="s">
        <v>1513</v>
      </c>
      <c r="H210" s="208" t="s">
        <v>970</v>
      </c>
      <c r="I210" s="202"/>
      <c r="J210" s="202"/>
      <c r="K210" s="208" t="s">
        <v>937</v>
      </c>
      <c r="L210" s="202"/>
    </row>
    <row r="211" spans="1:12">
      <c r="A211" s="202"/>
      <c r="B211" s="202"/>
      <c r="C211" s="208" t="s">
        <v>471</v>
      </c>
      <c r="D211" s="208" t="s">
        <v>1045</v>
      </c>
      <c r="E211" s="202"/>
      <c r="F211" s="202"/>
      <c r="G211" s="208" t="s">
        <v>972</v>
      </c>
      <c r="H211" s="208" t="s">
        <v>973</v>
      </c>
      <c r="I211" s="202"/>
      <c r="J211" s="208" t="s">
        <v>1513</v>
      </c>
      <c r="K211" s="208" t="s">
        <v>1514</v>
      </c>
      <c r="L211" s="202"/>
    </row>
    <row r="212" spans="1:12">
      <c r="A212" s="202"/>
      <c r="B212" s="202"/>
      <c r="C212" s="208" t="s">
        <v>475</v>
      </c>
      <c r="D212" s="208" t="s">
        <v>533</v>
      </c>
      <c r="E212" s="202"/>
      <c r="F212" s="203" t="s">
        <v>1515</v>
      </c>
      <c r="G212" s="208" t="s">
        <v>1153</v>
      </c>
      <c r="H212" s="208" t="s">
        <v>420</v>
      </c>
      <c r="I212" s="202"/>
      <c r="J212" s="208" t="s">
        <v>1516</v>
      </c>
      <c r="K212" s="208" t="s">
        <v>476</v>
      </c>
      <c r="L212" s="202"/>
    </row>
    <row r="213" spans="1:12">
      <c r="A213" s="202"/>
      <c r="B213" s="202"/>
      <c r="C213" s="1498"/>
      <c r="D213" s="1498"/>
      <c r="E213" s="1498"/>
      <c r="F213" s="1498"/>
      <c r="G213" s="1500" t="s">
        <v>506</v>
      </c>
      <c r="H213" s="1500" t="s">
        <v>510</v>
      </c>
      <c r="I213" s="1498"/>
      <c r="J213" s="1500" t="s">
        <v>519</v>
      </c>
      <c r="K213" s="1500" t="s">
        <v>911</v>
      </c>
      <c r="L213" s="202"/>
    </row>
    <row r="214" spans="1:1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</row>
    <row r="215" spans="1:12">
      <c r="A215" s="202"/>
      <c r="B215" s="202"/>
      <c r="C215" s="208">
        <v>1</v>
      </c>
      <c r="D215" s="202"/>
      <c r="E215" s="202"/>
      <c r="F215" s="204" t="s">
        <v>459</v>
      </c>
      <c r="G215" s="202"/>
      <c r="H215" s="202"/>
      <c r="I215" s="202"/>
      <c r="J215" s="202"/>
      <c r="K215" s="202"/>
      <c r="L215" s="202"/>
    </row>
    <row r="216" spans="1:12">
      <c r="A216" s="202"/>
      <c r="B216" s="202"/>
      <c r="C216" s="208">
        <v>2</v>
      </c>
      <c r="D216" s="202"/>
      <c r="E216" s="202"/>
      <c r="F216" s="202"/>
      <c r="G216" s="202"/>
      <c r="H216" s="202"/>
      <c r="I216" s="202"/>
      <c r="J216" s="202"/>
      <c r="K216" s="202"/>
      <c r="L216" s="202"/>
    </row>
    <row r="217" spans="1:12">
      <c r="A217" s="202"/>
      <c r="B217" s="202"/>
      <c r="C217" s="208">
        <v>3</v>
      </c>
      <c r="D217" s="202"/>
      <c r="E217" s="202"/>
      <c r="F217" s="204" t="s">
        <v>338</v>
      </c>
      <c r="G217" s="202"/>
      <c r="H217" s="202"/>
      <c r="I217" s="202"/>
      <c r="J217" s="202"/>
      <c r="K217" s="202"/>
      <c r="L217" s="202"/>
    </row>
    <row r="218" spans="1:12">
      <c r="A218" s="202"/>
      <c r="B218" s="202">
        <v>901</v>
      </c>
      <c r="C218" s="208">
        <v>4</v>
      </c>
      <c r="D218" s="208">
        <v>901</v>
      </c>
      <c r="E218" s="202"/>
      <c r="F218" s="660" t="s">
        <v>1563</v>
      </c>
      <c r="G218" s="215">
        <f t="array" ref="G218">SUM(IF(FERCBP=B218,AmountBP))</f>
        <v>81476</v>
      </c>
      <c r="H218" s="717">
        <f t="shared" ref="H218:H224" si="23">VLOOKUP(K218,ALLOCTABLE,2)</f>
        <v>100</v>
      </c>
      <c r="I218" s="202"/>
      <c r="J218" s="215">
        <f t="shared" ref="J218:J224" si="24">ROUND(G218*(H218/100),0)</f>
        <v>81476</v>
      </c>
      <c r="K218" s="208" t="s">
        <v>428</v>
      </c>
      <c r="L218" s="202"/>
    </row>
    <row r="219" spans="1:12">
      <c r="A219" s="202"/>
      <c r="B219" s="202">
        <v>902</v>
      </c>
      <c r="C219" s="208">
        <v>5</v>
      </c>
      <c r="D219" s="208">
        <v>902</v>
      </c>
      <c r="E219" s="202"/>
      <c r="F219" s="660" t="s">
        <v>1589</v>
      </c>
      <c r="G219" s="215">
        <f t="array" ref="G219">SUM(IF(FERCBP=B219,AmountBP))</f>
        <v>154925</v>
      </c>
      <c r="H219" s="717">
        <f t="shared" si="23"/>
        <v>100</v>
      </c>
      <c r="I219" s="202"/>
      <c r="J219" s="215">
        <f t="shared" si="24"/>
        <v>154925</v>
      </c>
      <c r="K219" s="208" t="s">
        <v>428</v>
      </c>
      <c r="L219" s="202"/>
    </row>
    <row r="220" spans="1:12">
      <c r="A220" s="202"/>
      <c r="B220" s="202">
        <v>903</v>
      </c>
      <c r="C220" s="208">
        <v>6</v>
      </c>
      <c r="D220" s="219">
        <v>903</v>
      </c>
      <c r="E220" s="202"/>
      <c r="F220" s="660" t="s">
        <v>1590</v>
      </c>
      <c r="G220" s="215">
        <f t="array" ref="G220">SUM(IF(FERCBP=B220,AmountBP))</f>
        <v>3782696</v>
      </c>
      <c r="H220" s="717">
        <f t="shared" si="23"/>
        <v>100</v>
      </c>
      <c r="I220" s="202"/>
      <c r="J220" s="215">
        <f t="shared" si="24"/>
        <v>3782696</v>
      </c>
      <c r="K220" s="208" t="s">
        <v>428</v>
      </c>
      <c r="L220" s="202"/>
    </row>
    <row r="221" spans="1:12">
      <c r="A221" s="202"/>
      <c r="B221" s="202">
        <v>904</v>
      </c>
      <c r="C221" s="208">
        <v>7</v>
      </c>
      <c r="D221" s="208">
        <v>904</v>
      </c>
      <c r="E221" s="202"/>
      <c r="F221" s="660" t="s">
        <v>1591</v>
      </c>
      <c r="G221" s="215">
        <f t="array" ref="G221">SUM(IF(FERCBP=B221,AmountBP))</f>
        <v>2246455</v>
      </c>
      <c r="H221" s="717">
        <f t="shared" si="23"/>
        <v>100</v>
      </c>
      <c r="I221" s="202"/>
      <c r="J221" s="215">
        <f t="shared" si="24"/>
        <v>2246455</v>
      </c>
      <c r="K221" s="208" t="s">
        <v>428</v>
      </c>
      <c r="L221" s="202"/>
    </row>
    <row r="222" spans="1:12">
      <c r="A222" s="202"/>
      <c r="B222" s="202">
        <v>904002</v>
      </c>
      <c r="C222" s="208">
        <v>8</v>
      </c>
      <c r="D222" s="208">
        <v>904002</v>
      </c>
      <c r="E222" s="202"/>
      <c r="F222" s="660" t="s">
        <v>1592</v>
      </c>
      <c r="G222" s="215">
        <f t="array" ref="G222">SUM(IF(FERCBP=B222,AmountBP))</f>
        <v>0</v>
      </c>
      <c r="H222" s="717">
        <f t="shared" si="23"/>
        <v>100</v>
      </c>
      <c r="I222" s="202"/>
      <c r="J222" s="215">
        <f t="shared" si="24"/>
        <v>0</v>
      </c>
      <c r="K222" s="208" t="s">
        <v>428</v>
      </c>
      <c r="L222" s="202"/>
    </row>
    <row r="223" spans="1:12">
      <c r="A223" s="202"/>
      <c r="B223" s="202">
        <v>426</v>
      </c>
      <c r="C223" s="208">
        <v>9</v>
      </c>
      <c r="D223" s="208">
        <v>426</v>
      </c>
      <c r="E223" s="202"/>
      <c r="F223" s="660" t="s">
        <v>1593</v>
      </c>
      <c r="G223" s="215">
        <f t="array" ref="G223">SUM(IF(FERCBP=B223,AmountBP))</f>
        <v>0</v>
      </c>
      <c r="H223" s="717">
        <f t="shared" ref="H223" si="25">VLOOKUP(K223,ALLOCTABLE,2)</f>
        <v>100</v>
      </c>
      <c r="I223" s="202"/>
      <c r="J223" s="215">
        <f t="shared" ref="J223" si="26">ROUND(G223*(H223/100),0)</f>
        <v>0</v>
      </c>
      <c r="K223" s="208" t="s">
        <v>428</v>
      </c>
      <c r="L223" s="202"/>
    </row>
    <row r="224" spans="1:12">
      <c r="A224" s="202"/>
      <c r="B224" s="202">
        <v>905</v>
      </c>
      <c r="C224" s="208">
        <v>10</v>
      </c>
      <c r="D224" s="208">
        <v>905</v>
      </c>
      <c r="E224" s="202"/>
      <c r="F224" s="660" t="s">
        <v>1594</v>
      </c>
      <c r="G224" s="215">
        <f t="array" ref="G224">SUM(IF(FERCBP=B224,AmountBP))</f>
        <v>35</v>
      </c>
      <c r="H224" s="717">
        <f t="shared" si="23"/>
        <v>100</v>
      </c>
      <c r="I224" s="202"/>
      <c r="J224" s="215">
        <f t="shared" si="24"/>
        <v>35</v>
      </c>
      <c r="K224" s="208" t="s">
        <v>428</v>
      </c>
      <c r="L224" s="202"/>
    </row>
    <row r="225" spans="1:12">
      <c r="A225" s="202"/>
      <c r="B225" s="202"/>
      <c r="C225" s="208">
        <v>11</v>
      </c>
      <c r="D225" s="202"/>
      <c r="E225" s="202"/>
      <c r="F225" s="660" t="s">
        <v>1595</v>
      </c>
      <c r="G225" s="2138">
        <f>SUM(G218:G224)</f>
        <v>6265587</v>
      </c>
      <c r="H225" s="202"/>
      <c r="I225" s="202"/>
      <c r="J225" s="2138">
        <f>SUM(J218:J224)</f>
        <v>6265587</v>
      </c>
      <c r="K225" s="202"/>
      <c r="L225" s="202"/>
    </row>
    <row r="226" spans="1:12">
      <c r="A226" s="202"/>
      <c r="B226" s="202"/>
      <c r="C226" s="208">
        <v>12</v>
      </c>
      <c r="D226" s="202"/>
      <c r="E226" s="202"/>
      <c r="F226" s="202"/>
      <c r="G226" s="206"/>
      <c r="H226" s="202"/>
      <c r="I226" s="202"/>
      <c r="J226" s="206"/>
      <c r="K226" s="202"/>
      <c r="L226" s="202"/>
    </row>
    <row r="227" spans="1:12">
      <c r="A227" s="202"/>
      <c r="B227" s="202"/>
      <c r="C227" s="208">
        <v>13</v>
      </c>
      <c r="D227" s="202"/>
      <c r="E227" s="202"/>
      <c r="F227" s="204" t="s">
        <v>1596</v>
      </c>
      <c r="G227" s="202"/>
      <c r="H227" s="202"/>
      <c r="I227" s="202"/>
      <c r="J227" s="202"/>
      <c r="K227" s="202"/>
      <c r="L227" s="202"/>
    </row>
    <row r="228" spans="1:12">
      <c r="A228" s="202"/>
      <c r="B228" s="202"/>
      <c r="C228" s="208">
        <v>14</v>
      </c>
      <c r="D228" s="202"/>
      <c r="E228" s="202"/>
      <c r="F228" s="202"/>
      <c r="G228" s="202"/>
      <c r="H228" s="202"/>
      <c r="I228" s="202"/>
      <c r="J228" s="202"/>
      <c r="K228" s="202"/>
      <c r="L228" s="202"/>
    </row>
    <row r="229" spans="1:12">
      <c r="A229" s="202"/>
      <c r="B229" s="202"/>
      <c r="C229" s="208">
        <v>15</v>
      </c>
      <c r="D229" s="202"/>
      <c r="E229" s="202"/>
      <c r="F229" s="204" t="s">
        <v>338</v>
      </c>
      <c r="G229" s="202"/>
      <c r="H229" s="202"/>
      <c r="I229" s="202"/>
      <c r="J229" s="202"/>
      <c r="K229" s="202"/>
      <c r="L229" s="202"/>
    </row>
    <row r="230" spans="1:12">
      <c r="A230" s="202"/>
      <c r="B230" s="202">
        <v>908</v>
      </c>
      <c r="C230" s="208">
        <v>16</v>
      </c>
      <c r="D230" s="208">
        <v>908</v>
      </c>
      <c r="E230" s="202"/>
      <c r="F230" s="660" t="s">
        <v>1597</v>
      </c>
      <c r="G230" s="215">
        <f t="array" ref="G230">SUM(IF(FERCBP=B230,AmountBP))</f>
        <v>100</v>
      </c>
      <c r="H230" s="717">
        <f t="shared" ref="H230:H232" si="27">VLOOKUP(K230,ALLOCTABLE,2)</f>
        <v>100</v>
      </c>
      <c r="I230" s="202"/>
      <c r="J230" s="215">
        <f t="shared" ref="J230:J232" si="28">ROUND(G230*(H230/100),0)</f>
        <v>100</v>
      </c>
      <c r="K230" s="208" t="s">
        <v>428</v>
      </c>
      <c r="L230" s="202"/>
    </row>
    <row r="231" spans="1:12">
      <c r="A231" s="202"/>
      <c r="B231" s="202">
        <v>909</v>
      </c>
      <c r="C231" s="208">
        <v>17</v>
      </c>
      <c r="D231" s="208">
        <v>909</v>
      </c>
      <c r="E231" s="202"/>
      <c r="F231" s="660" t="s">
        <v>1598</v>
      </c>
      <c r="G231" s="215">
        <f t="array" ref="G231">SUM(IF(FERCBP=B231,AmountBP))</f>
        <v>6719</v>
      </c>
      <c r="H231" s="717">
        <f t="shared" si="27"/>
        <v>100</v>
      </c>
      <c r="I231" s="202"/>
      <c r="J231" s="215">
        <f t="shared" si="28"/>
        <v>6719</v>
      </c>
      <c r="K231" s="208" t="s">
        <v>428</v>
      </c>
      <c r="L231" s="202"/>
    </row>
    <row r="232" spans="1:12">
      <c r="A232" s="202"/>
      <c r="B232" s="202">
        <v>910</v>
      </c>
      <c r="C232" s="208">
        <v>18</v>
      </c>
      <c r="D232" s="208">
        <v>910</v>
      </c>
      <c r="E232" s="202"/>
      <c r="F232" s="220" t="s">
        <v>1599</v>
      </c>
      <c r="G232" s="1501">
        <f t="array" ref="G232">SUM(IF(FERCBP=B232,AmountBP))</f>
        <v>1168708</v>
      </c>
      <c r="H232" s="717">
        <f t="shared" si="27"/>
        <v>100</v>
      </c>
      <c r="I232" s="202"/>
      <c r="J232" s="215">
        <f t="shared" si="28"/>
        <v>1168708</v>
      </c>
      <c r="K232" s="208" t="s">
        <v>428</v>
      </c>
      <c r="L232" s="202"/>
    </row>
    <row r="233" spans="1:12">
      <c r="A233" s="202"/>
      <c r="B233" s="202"/>
      <c r="C233" s="208">
        <v>19</v>
      </c>
      <c r="D233" s="202"/>
      <c r="E233" s="202"/>
      <c r="F233" s="660" t="s">
        <v>1600</v>
      </c>
      <c r="G233" s="202"/>
      <c r="H233" s="202"/>
      <c r="I233" s="202"/>
      <c r="J233" s="202"/>
      <c r="K233" s="202"/>
      <c r="L233" s="202"/>
    </row>
    <row r="234" spans="1:12">
      <c r="A234" s="202"/>
      <c r="B234" s="202"/>
      <c r="C234" s="208">
        <v>20</v>
      </c>
      <c r="D234" s="202"/>
      <c r="E234" s="202"/>
      <c r="F234" s="660" t="s">
        <v>1601</v>
      </c>
      <c r="G234" s="2138">
        <f>SUM(G230:G232)</f>
        <v>1175527</v>
      </c>
      <c r="H234" s="202"/>
      <c r="I234" s="202"/>
      <c r="J234" s="2138">
        <f>SUM(J230:J232)</f>
        <v>1175527</v>
      </c>
      <c r="K234" s="202"/>
      <c r="L234" s="202"/>
    </row>
    <row r="235" spans="1:12">
      <c r="A235" s="202"/>
      <c r="B235" s="202"/>
      <c r="C235" s="208">
        <v>21</v>
      </c>
      <c r="D235" s="202"/>
      <c r="E235" s="202"/>
      <c r="F235" s="202"/>
      <c r="G235" s="202"/>
      <c r="H235" s="202"/>
      <c r="I235" s="202"/>
      <c r="J235" s="202"/>
      <c r="K235" s="202"/>
      <c r="L235" s="202"/>
    </row>
    <row r="236" spans="1:12">
      <c r="A236" s="202"/>
      <c r="B236" s="202"/>
      <c r="C236" s="208">
        <v>22</v>
      </c>
      <c r="D236" s="202"/>
      <c r="E236" s="202"/>
      <c r="F236" s="204" t="s">
        <v>342</v>
      </c>
      <c r="G236" s="202"/>
      <c r="H236" s="202"/>
      <c r="I236" s="202"/>
      <c r="J236" s="202"/>
      <c r="K236" s="202"/>
      <c r="L236" s="202"/>
    </row>
    <row r="237" spans="1:12">
      <c r="A237" s="202"/>
      <c r="B237" s="202"/>
      <c r="C237" s="208">
        <v>23</v>
      </c>
      <c r="D237" s="202"/>
      <c r="E237" s="202"/>
      <c r="F237" s="202"/>
      <c r="G237" s="202"/>
      <c r="H237" s="202"/>
      <c r="I237" s="202"/>
      <c r="J237" s="202"/>
      <c r="K237" s="202"/>
      <c r="L237" s="202"/>
    </row>
    <row r="238" spans="1:12">
      <c r="A238" s="202"/>
      <c r="B238" s="202"/>
      <c r="C238" s="208">
        <v>24</v>
      </c>
      <c r="D238" s="202"/>
      <c r="E238" s="202"/>
      <c r="F238" s="204" t="s">
        <v>338</v>
      </c>
      <c r="G238" s="202"/>
      <c r="H238" s="202"/>
      <c r="I238" s="202"/>
      <c r="J238" s="202"/>
      <c r="K238" s="202"/>
      <c r="L238" s="202"/>
    </row>
    <row r="239" spans="1:12">
      <c r="A239" s="202"/>
      <c r="B239" s="202">
        <v>911</v>
      </c>
      <c r="C239" s="208">
        <v>25</v>
      </c>
      <c r="D239" s="208">
        <v>911</v>
      </c>
      <c r="E239" s="202"/>
      <c r="F239" s="660" t="s">
        <v>1602</v>
      </c>
      <c r="G239" s="215">
        <f t="array" ref="G239">SUM(IF(FERCBP=B239,AmountBP))</f>
        <v>0</v>
      </c>
      <c r="H239" s="717">
        <f t="shared" ref="H239:H241" si="29">VLOOKUP(K239,ALLOCTABLE,2)</f>
        <v>100</v>
      </c>
      <c r="I239" s="202"/>
      <c r="J239" s="215">
        <f t="shared" ref="J239:J241" si="30">ROUND(G239*(H239/100),0)</f>
        <v>0</v>
      </c>
      <c r="K239" s="208" t="s">
        <v>428</v>
      </c>
      <c r="L239" s="202"/>
    </row>
    <row r="240" spans="1:12">
      <c r="A240" s="202"/>
      <c r="B240" s="202">
        <v>912</v>
      </c>
      <c r="C240" s="208">
        <v>26</v>
      </c>
      <c r="D240" s="208">
        <v>912</v>
      </c>
      <c r="E240" s="202"/>
      <c r="F240" s="660" t="s">
        <v>1603</v>
      </c>
      <c r="G240" s="215">
        <f t="array" ref="G240">SUM(IF(FERCBP=B240,AmountBP))</f>
        <v>74183</v>
      </c>
      <c r="H240" s="717">
        <f t="shared" si="29"/>
        <v>100</v>
      </c>
      <c r="I240" s="202"/>
      <c r="J240" s="215">
        <f t="shared" si="30"/>
        <v>74183</v>
      </c>
      <c r="K240" s="208" t="s">
        <v>428</v>
      </c>
      <c r="L240" s="202"/>
    </row>
    <row r="241" spans="1:12">
      <c r="A241" s="202"/>
      <c r="B241" s="202">
        <v>913</v>
      </c>
      <c r="C241" s="208">
        <v>27</v>
      </c>
      <c r="D241" s="208">
        <v>913</v>
      </c>
      <c r="E241" s="202"/>
      <c r="F241" s="660" t="s">
        <v>1604</v>
      </c>
      <c r="G241" s="215">
        <f t="array" ref="G241">SUM(IF(FERCBP=B241,AmountBP))</f>
        <v>77993</v>
      </c>
      <c r="H241" s="717">
        <f t="shared" si="29"/>
        <v>100</v>
      </c>
      <c r="I241" s="202"/>
      <c r="J241" s="215">
        <f t="shared" si="30"/>
        <v>77993</v>
      </c>
      <c r="K241" s="208" t="s">
        <v>428</v>
      </c>
      <c r="L241" s="202"/>
    </row>
    <row r="242" spans="1:12">
      <c r="A242" s="202"/>
      <c r="B242" s="202"/>
      <c r="C242" s="208">
        <v>28</v>
      </c>
      <c r="D242" s="202"/>
      <c r="E242" s="202"/>
      <c r="F242" s="660" t="s">
        <v>1605</v>
      </c>
      <c r="G242" s="2138">
        <f>SUM(G239:G241)</f>
        <v>152176</v>
      </c>
      <c r="H242" s="202"/>
      <c r="I242" s="202"/>
      <c r="J242" s="2138">
        <f>SUM(J239:J241)</f>
        <v>152176</v>
      </c>
      <c r="K242" s="202"/>
      <c r="L242" s="202"/>
    </row>
    <row r="243" spans="1:1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</row>
    <row r="244" spans="1:12">
      <c r="A244" s="202"/>
      <c r="B244" s="202"/>
      <c r="C244" s="203" t="str">
        <f>COMPANY</f>
        <v>DUKE ENERGY KENTUCKY, INC.</v>
      </c>
      <c r="D244" s="203"/>
      <c r="E244" s="203"/>
      <c r="F244" s="203"/>
      <c r="G244" s="203"/>
      <c r="H244" s="203"/>
      <c r="I244" s="203"/>
      <c r="J244" s="203"/>
      <c r="K244" s="203"/>
      <c r="L244" s="202"/>
    </row>
    <row r="245" spans="1:12">
      <c r="A245" s="202"/>
      <c r="B245" s="202"/>
      <c r="C245" s="203" t="str">
        <f>CASE</f>
        <v>CASE NO. 2024-00354</v>
      </c>
      <c r="D245" s="203"/>
      <c r="E245" s="203"/>
      <c r="F245" s="203"/>
      <c r="G245" s="203"/>
      <c r="H245" s="203"/>
      <c r="I245" s="203"/>
      <c r="J245" s="203"/>
      <c r="K245" s="203"/>
      <c r="L245" s="202"/>
    </row>
    <row r="246" spans="1:12">
      <c r="A246" s="202"/>
      <c r="B246" s="202"/>
      <c r="C246" s="203" t="s">
        <v>1511</v>
      </c>
      <c r="D246" s="203"/>
      <c r="E246" s="203"/>
      <c r="F246" s="203"/>
      <c r="G246" s="203"/>
      <c r="H246" s="203"/>
      <c r="I246" s="203"/>
      <c r="J246" s="203"/>
      <c r="K246" s="203"/>
      <c r="L246" s="202"/>
    </row>
    <row r="247" spans="1:12">
      <c r="A247" s="202"/>
      <c r="B247" s="202"/>
      <c r="C247" s="203" t="str">
        <f>PERIOD</f>
        <v>FOR THE TWELVE MONTHS ENDED FEBRUARY 28, 2025</v>
      </c>
      <c r="D247" s="203"/>
      <c r="E247" s="203"/>
      <c r="F247" s="203"/>
      <c r="G247" s="203"/>
      <c r="H247" s="203"/>
      <c r="I247" s="203"/>
      <c r="J247" s="203"/>
      <c r="K247" s="203"/>
      <c r="L247" s="202"/>
    </row>
    <row r="248" spans="1:12">
      <c r="A248" s="202"/>
      <c r="B248" s="202"/>
      <c r="C248" s="203"/>
      <c r="D248" s="203"/>
      <c r="E248" s="203"/>
      <c r="F248" s="203"/>
      <c r="G248" s="203"/>
      <c r="H248" s="203"/>
      <c r="I248" s="203"/>
      <c r="J248" s="202"/>
      <c r="K248" s="202"/>
      <c r="L248" s="202"/>
    </row>
    <row r="249" spans="1:12">
      <c r="A249" s="202"/>
      <c r="B249" s="202"/>
      <c r="C249" s="202"/>
      <c r="D249" s="202"/>
      <c r="E249" s="202"/>
      <c r="F249" s="202"/>
      <c r="G249" s="202"/>
      <c r="H249" s="202"/>
      <c r="I249" s="202"/>
      <c r="J249" s="660" t="str">
        <f>"                "&amp;"SCHEDULE C-2.1"</f>
        <v xml:space="preserve">                SCHEDULE C-2.1</v>
      </c>
      <c r="K249" s="202"/>
      <c r="L249" s="202"/>
    </row>
    <row r="250" spans="1:12">
      <c r="A250" s="202"/>
      <c r="B250" s="202"/>
      <c r="C250" s="202" t="str">
        <f>Data</f>
        <v>DATA: "X" BASE PERIOD   FORECASTED PERIOD</v>
      </c>
      <c r="D250" s="202"/>
      <c r="E250" s="202"/>
      <c r="F250" s="202"/>
      <c r="G250" s="202"/>
      <c r="H250" s="202"/>
      <c r="I250" s="202"/>
      <c r="J250" s="660" t="str">
        <f>"                "&amp;"PAGE  5  OF  14"</f>
        <v xml:space="preserve">                PAGE  5  OF  14</v>
      </c>
      <c r="K250" s="202"/>
      <c r="L250" s="202"/>
    </row>
    <row r="251" spans="1:12">
      <c r="A251" s="202"/>
      <c r="B251" s="202"/>
      <c r="C251" s="202" t="str">
        <f>Type</f>
        <v xml:space="preserve">TYPE OF FILING:  "X" ORIGINAL   UPDATED    REVISED  </v>
      </c>
      <c r="D251" s="202"/>
      <c r="E251" s="202"/>
      <c r="F251" s="202"/>
      <c r="G251" s="202"/>
      <c r="H251" s="202"/>
      <c r="I251" s="202"/>
      <c r="J251" s="660" t="str">
        <f>"                "&amp;"WITNESS RESPONSIBLE:"</f>
        <v xml:space="preserve">                WITNESS RESPONSIBLE:</v>
      </c>
      <c r="K251" s="202"/>
      <c r="L251" s="202"/>
    </row>
    <row r="252" spans="1:12">
      <c r="A252" s="202"/>
      <c r="B252" s="202"/>
      <c r="C252" s="660" t="str">
        <f>$C$11&amp;", SCHEDULE F-3"</f>
        <v>WORK PAPER REFERENCE NO(S).: WPC-2.1a_BP, SCHEDULE F-3</v>
      </c>
      <c r="D252" s="202"/>
      <c r="E252" s="202"/>
      <c r="F252" s="202"/>
      <c r="G252" s="202"/>
      <c r="H252" s="202"/>
      <c r="I252" s="202"/>
      <c r="J252" s="660" t="str">
        <f>"                "&amp;_WIT1</f>
        <v xml:space="preserve">                L. D. STEINKUHL</v>
      </c>
      <c r="K252" s="202"/>
      <c r="L252" s="202"/>
    </row>
    <row r="253" spans="1:12">
      <c r="A253" s="202"/>
      <c r="B253" s="202"/>
      <c r="C253" s="1496"/>
      <c r="D253" s="1497"/>
      <c r="E253" s="1497"/>
      <c r="F253" s="1497"/>
      <c r="G253" s="1497"/>
      <c r="H253" s="1497"/>
      <c r="I253" s="1497"/>
      <c r="J253" s="1497"/>
      <c r="K253" s="1497"/>
      <c r="L253" s="202"/>
    </row>
    <row r="254" spans="1:12">
      <c r="A254" s="202"/>
      <c r="B254" s="202"/>
      <c r="C254" s="202"/>
      <c r="D254" s="202"/>
      <c r="E254" s="202"/>
      <c r="F254" s="202"/>
      <c r="G254" s="208" t="s">
        <v>1513</v>
      </c>
      <c r="H254" s="208" t="s">
        <v>970</v>
      </c>
      <c r="I254" s="202"/>
      <c r="J254" s="202"/>
      <c r="K254" s="208" t="s">
        <v>937</v>
      </c>
      <c r="L254" s="202"/>
    </row>
    <row r="255" spans="1:12">
      <c r="A255" s="202"/>
      <c r="B255" s="202"/>
      <c r="C255" s="208" t="s">
        <v>471</v>
      </c>
      <c r="D255" s="208" t="s">
        <v>1045</v>
      </c>
      <c r="E255" s="202"/>
      <c r="F255" s="202"/>
      <c r="G255" s="208" t="s">
        <v>972</v>
      </c>
      <c r="H255" s="208" t="s">
        <v>973</v>
      </c>
      <c r="I255" s="202"/>
      <c r="J255" s="208" t="s">
        <v>1513</v>
      </c>
      <c r="K255" s="208" t="s">
        <v>1514</v>
      </c>
      <c r="L255" s="202"/>
    </row>
    <row r="256" spans="1:12">
      <c r="A256" s="202"/>
      <c r="B256" s="202"/>
      <c r="C256" s="208" t="s">
        <v>475</v>
      </c>
      <c r="D256" s="208" t="s">
        <v>533</v>
      </c>
      <c r="E256" s="202"/>
      <c r="F256" s="203" t="s">
        <v>1515</v>
      </c>
      <c r="G256" s="208" t="s">
        <v>1153</v>
      </c>
      <c r="H256" s="208" t="s">
        <v>420</v>
      </c>
      <c r="I256" s="202"/>
      <c r="J256" s="208" t="s">
        <v>1516</v>
      </c>
      <c r="K256" s="208" t="s">
        <v>476</v>
      </c>
      <c r="L256" s="202"/>
    </row>
    <row r="257" spans="1:12">
      <c r="A257" s="202"/>
      <c r="B257" s="202"/>
      <c r="C257" s="1498"/>
      <c r="D257" s="1498"/>
      <c r="E257" s="1498"/>
      <c r="F257" s="1498"/>
      <c r="G257" s="1500" t="s">
        <v>506</v>
      </c>
      <c r="H257" s="1500" t="s">
        <v>510</v>
      </c>
      <c r="I257" s="1498"/>
      <c r="J257" s="1500" t="s">
        <v>519</v>
      </c>
      <c r="K257" s="1500" t="s">
        <v>911</v>
      </c>
      <c r="L257" s="202"/>
    </row>
    <row r="258" spans="1:1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</row>
    <row r="259" spans="1:12">
      <c r="A259" s="202"/>
      <c r="B259" s="202"/>
      <c r="C259" s="208">
        <v>1</v>
      </c>
      <c r="D259" s="202"/>
      <c r="E259" s="202"/>
      <c r="F259" s="204" t="s">
        <v>461</v>
      </c>
      <c r="G259" s="202"/>
      <c r="H259" s="202"/>
      <c r="I259" s="202"/>
      <c r="J259" s="202"/>
      <c r="K259" s="202"/>
      <c r="L259" s="202"/>
    </row>
    <row r="260" spans="1:12">
      <c r="A260" s="202"/>
      <c r="B260" s="202"/>
      <c r="C260" s="208">
        <v>2</v>
      </c>
      <c r="D260" s="202"/>
      <c r="E260" s="202"/>
      <c r="F260" s="202"/>
      <c r="G260" s="202"/>
      <c r="H260" s="202"/>
      <c r="I260" s="202"/>
      <c r="J260" s="202"/>
      <c r="K260" s="202"/>
      <c r="L260" s="202"/>
    </row>
    <row r="261" spans="1:12">
      <c r="A261" s="202"/>
      <c r="B261" s="202"/>
      <c r="C261" s="208">
        <v>3</v>
      </c>
      <c r="D261" s="202"/>
      <c r="E261" s="202"/>
      <c r="F261" s="204" t="s">
        <v>338</v>
      </c>
      <c r="G261" s="202"/>
      <c r="H261" s="202"/>
      <c r="I261" s="202"/>
      <c r="J261" s="202"/>
      <c r="K261" s="202"/>
      <c r="L261" s="202"/>
    </row>
    <row r="262" spans="1:12">
      <c r="A262" s="202"/>
      <c r="B262" s="202">
        <v>920</v>
      </c>
      <c r="C262" s="208">
        <v>4</v>
      </c>
      <c r="D262" s="208">
        <v>920</v>
      </c>
      <c r="E262" s="202"/>
      <c r="F262" s="660" t="s">
        <v>1606</v>
      </c>
      <c r="G262" s="215">
        <f t="array" ref="G262">SUM(IF(FERCBP=B262,AmountBP))</f>
        <v>7498141</v>
      </c>
      <c r="H262" s="717">
        <f t="shared" ref="H262:H268" si="31">VLOOKUP(K262,ALLOCTABLE,2)</f>
        <v>100</v>
      </c>
      <c r="I262" s="202"/>
      <c r="J262" s="215">
        <f t="shared" ref="J262:J281" si="32">ROUND(G262*(H262/100),0)</f>
        <v>7498141</v>
      </c>
      <c r="K262" s="208" t="s">
        <v>428</v>
      </c>
      <c r="L262" s="202"/>
    </row>
    <row r="263" spans="1:12">
      <c r="A263" s="202"/>
      <c r="B263" s="202">
        <v>921</v>
      </c>
      <c r="C263" s="208">
        <v>5</v>
      </c>
      <c r="D263" s="208">
        <v>921</v>
      </c>
      <c r="E263" s="202"/>
      <c r="F263" s="660" t="s">
        <v>1607</v>
      </c>
      <c r="G263" s="215">
        <f t="array" ref="G263">SUM(IF(FERCBP=B263,AmountBP))</f>
        <v>3026791</v>
      </c>
      <c r="H263" s="717">
        <f t="shared" si="31"/>
        <v>100</v>
      </c>
      <c r="I263" s="202"/>
      <c r="J263" s="215">
        <f t="shared" si="32"/>
        <v>3026791</v>
      </c>
      <c r="K263" s="208" t="s">
        <v>428</v>
      </c>
      <c r="L263" s="202"/>
    </row>
    <row r="264" spans="1:12">
      <c r="A264" s="202"/>
      <c r="B264" s="202">
        <v>922</v>
      </c>
      <c r="C264" s="208">
        <v>6</v>
      </c>
      <c r="D264" s="208">
        <v>922</v>
      </c>
      <c r="E264" s="202"/>
      <c r="F264" s="660" t="s">
        <v>1608</v>
      </c>
      <c r="G264" s="215">
        <f t="array" ref="G264">SUM(IF(FERCBP=B264,AmountBP))</f>
        <v>0</v>
      </c>
      <c r="H264" s="717">
        <f t="shared" si="31"/>
        <v>100</v>
      </c>
      <c r="I264" s="202"/>
      <c r="J264" s="215">
        <f t="shared" si="32"/>
        <v>0</v>
      </c>
      <c r="K264" s="208" t="s">
        <v>428</v>
      </c>
      <c r="L264" s="202"/>
    </row>
    <row r="265" spans="1:12">
      <c r="A265" s="202"/>
      <c r="B265" s="202">
        <v>923</v>
      </c>
      <c r="C265" s="208">
        <v>7</v>
      </c>
      <c r="D265" s="208">
        <v>923</v>
      </c>
      <c r="E265" s="202"/>
      <c r="F265" s="660" t="s">
        <v>1609</v>
      </c>
      <c r="G265" s="215">
        <f t="array" ref="G265">SUM(IF(FERCBP=B265,AmountBP))</f>
        <v>2941129</v>
      </c>
      <c r="H265" s="717">
        <f t="shared" si="31"/>
        <v>100</v>
      </c>
      <c r="I265" s="202"/>
      <c r="J265" s="215">
        <f t="shared" si="32"/>
        <v>2941129</v>
      </c>
      <c r="K265" s="208" t="s">
        <v>428</v>
      </c>
      <c r="L265" s="202"/>
    </row>
    <row r="266" spans="1:12">
      <c r="A266" s="202"/>
      <c r="B266" s="202">
        <v>924</v>
      </c>
      <c r="C266" s="208">
        <v>8</v>
      </c>
      <c r="D266" s="208">
        <v>924</v>
      </c>
      <c r="E266" s="202"/>
      <c r="F266" s="660" t="s">
        <v>1610</v>
      </c>
      <c r="G266" s="215">
        <f t="array" ref="G266">SUM(IF(FERCBP=B266,AmountBP))</f>
        <v>1513175</v>
      </c>
      <c r="H266" s="717">
        <f t="shared" si="31"/>
        <v>100</v>
      </c>
      <c r="I266" s="202"/>
      <c r="J266" s="215">
        <f t="shared" si="32"/>
        <v>1513175</v>
      </c>
      <c r="K266" s="208" t="s">
        <v>428</v>
      </c>
      <c r="L266" s="202"/>
    </row>
    <row r="267" spans="1:12">
      <c r="A267" s="202"/>
      <c r="B267" s="202">
        <v>925</v>
      </c>
      <c r="C267" s="208">
        <v>9</v>
      </c>
      <c r="D267" s="208">
        <v>925</v>
      </c>
      <c r="E267" s="202"/>
      <c r="F267" s="660" t="s">
        <v>1611</v>
      </c>
      <c r="G267" s="215">
        <f t="array" ref="G267">SUM(IF(FERCBP=B267,AmountBP))</f>
        <v>539234</v>
      </c>
      <c r="H267" s="717">
        <f t="shared" si="31"/>
        <v>100</v>
      </c>
      <c r="I267" s="202"/>
      <c r="J267" s="215">
        <f t="shared" si="32"/>
        <v>539234</v>
      </c>
      <c r="K267" s="208" t="s">
        <v>428</v>
      </c>
      <c r="L267" s="202"/>
    </row>
    <row r="268" spans="1:12">
      <c r="A268" s="202"/>
      <c r="B268" s="202">
        <v>926</v>
      </c>
      <c r="C268" s="208">
        <v>10</v>
      </c>
      <c r="D268" s="208">
        <v>926</v>
      </c>
      <c r="E268" s="202"/>
      <c r="F268" s="660" t="s">
        <v>1612</v>
      </c>
      <c r="G268" s="215">
        <f t="array" ref="G268">SUM(IF(FERCBP=B268,AmountBP))</f>
        <v>4631538</v>
      </c>
      <c r="H268" s="717">
        <f t="shared" si="31"/>
        <v>100</v>
      </c>
      <c r="I268" s="202"/>
      <c r="J268" s="215">
        <f t="shared" si="32"/>
        <v>4631538</v>
      </c>
      <c r="K268" s="208" t="s">
        <v>428</v>
      </c>
      <c r="L268" s="202"/>
    </row>
    <row r="269" spans="1:12">
      <c r="A269" s="202"/>
      <c r="B269" s="202">
        <v>928</v>
      </c>
      <c r="C269" s="208">
        <v>11</v>
      </c>
      <c r="D269" s="208">
        <v>928</v>
      </c>
      <c r="E269" s="202"/>
      <c r="F269" s="660" t="s">
        <v>1613</v>
      </c>
      <c r="G269" s="215">
        <f t="array" ref="G269">SUM(IF(FERCBP=B269,AmountBP))</f>
        <v>840994</v>
      </c>
      <c r="H269" s="717">
        <f t="shared" ref="H269:H281" si="33">VLOOKUP(K269,ALLOCTABLE,2)</f>
        <v>100</v>
      </c>
      <c r="I269" s="202"/>
      <c r="J269" s="215">
        <f t="shared" si="32"/>
        <v>840994</v>
      </c>
      <c r="K269" s="208" t="s">
        <v>428</v>
      </c>
      <c r="L269" s="202"/>
    </row>
    <row r="270" spans="1:12">
      <c r="A270" s="202"/>
      <c r="B270" s="202">
        <v>929</v>
      </c>
      <c r="C270" s="208">
        <v>12</v>
      </c>
      <c r="D270" s="208">
        <v>929</v>
      </c>
      <c r="E270" s="202"/>
      <c r="F270" s="660" t="s">
        <v>1614</v>
      </c>
      <c r="G270" s="215">
        <f t="array" ref="G270">SUM(IF(FERCBP=B270,AmountBP))</f>
        <v>-706866</v>
      </c>
      <c r="H270" s="717">
        <f t="shared" si="33"/>
        <v>100</v>
      </c>
      <c r="I270" s="202"/>
      <c r="J270" s="215">
        <f t="shared" si="32"/>
        <v>-706866</v>
      </c>
      <c r="K270" s="208" t="s">
        <v>428</v>
      </c>
      <c r="L270" s="202"/>
    </row>
    <row r="271" spans="1:12">
      <c r="A271" s="202"/>
      <c r="B271" s="202">
        <v>930150</v>
      </c>
      <c r="C271" s="208">
        <v>13</v>
      </c>
      <c r="D271" s="208">
        <v>930150</v>
      </c>
      <c r="E271" s="202"/>
      <c r="F271" s="660" t="s">
        <v>1615</v>
      </c>
      <c r="G271" s="215">
        <f>ROUND(VLOOKUP(B271,BasePeriod,5,FALSE),0)</f>
        <v>266115</v>
      </c>
      <c r="H271" s="717">
        <f t="shared" si="33"/>
        <v>100</v>
      </c>
      <c r="I271" s="202"/>
      <c r="J271" s="215">
        <f t="shared" si="32"/>
        <v>266115</v>
      </c>
      <c r="K271" s="208" t="s">
        <v>428</v>
      </c>
      <c r="L271" s="202"/>
    </row>
    <row r="272" spans="1:12">
      <c r="A272" s="202"/>
      <c r="B272" s="202">
        <v>930200</v>
      </c>
      <c r="C272" s="208">
        <v>14</v>
      </c>
      <c r="D272" s="208">
        <v>930200</v>
      </c>
      <c r="E272" s="202"/>
      <c r="F272" s="660" t="s">
        <v>1616</v>
      </c>
      <c r="G272" s="215">
        <f t="shared" ref="G272:G279" si="34">ROUND(VLOOKUP(B272,BasePeriod,5,FALSE),0)</f>
        <v>729130</v>
      </c>
      <c r="H272" s="717">
        <f t="shared" si="33"/>
        <v>100</v>
      </c>
      <c r="I272" s="202"/>
      <c r="J272" s="215">
        <f t="shared" si="32"/>
        <v>729130</v>
      </c>
      <c r="K272" s="208" t="s">
        <v>428</v>
      </c>
      <c r="L272" s="202"/>
    </row>
    <row r="273" spans="1:13">
      <c r="A273" s="202"/>
      <c r="B273" s="202">
        <v>930210</v>
      </c>
      <c r="C273" s="208">
        <v>15</v>
      </c>
      <c r="D273" s="208">
        <v>930210</v>
      </c>
      <c r="E273" s="202"/>
      <c r="F273" s="660" t="s">
        <v>1617</v>
      </c>
      <c r="G273" s="215">
        <f t="shared" si="34"/>
        <v>42956</v>
      </c>
      <c r="H273" s="717">
        <f t="shared" si="33"/>
        <v>100</v>
      </c>
      <c r="I273" s="202"/>
      <c r="J273" s="215">
        <f t="shared" si="32"/>
        <v>42956</v>
      </c>
      <c r="K273" s="208" t="s">
        <v>428</v>
      </c>
      <c r="L273" s="202"/>
    </row>
    <row r="274" spans="1:13">
      <c r="A274" s="202"/>
      <c r="B274" s="202">
        <v>930220</v>
      </c>
      <c r="C274" s="208">
        <v>16</v>
      </c>
      <c r="D274" s="208">
        <v>930220</v>
      </c>
      <c r="E274" s="202"/>
      <c r="F274" s="660" t="s">
        <v>1618</v>
      </c>
      <c r="G274" s="215">
        <f t="shared" si="34"/>
        <v>50500</v>
      </c>
      <c r="H274" s="717">
        <f t="shared" si="33"/>
        <v>100</v>
      </c>
      <c r="I274" s="202"/>
      <c r="J274" s="215">
        <f t="shared" si="32"/>
        <v>50500</v>
      </c>
      <c r="K274" s="208" t="s">
        <v>428</v>
      </c>
      <c r="L274" s="202"/>
    </row>
    <row r="275" spans="1:13">
      <c r="A275" s="202"/>
      <c r="B275" s="202">
        <v>930230</v>
      </c>
      <c r="C275" s="208">
        <v>17</v>
      </c>
      <c r="D275" s="208">
        <v>930230</v>
      </c>
      <c r="E275" s="202"/>
      <c r="F275" s="660" t="s">
        <v>1619</v>
      </c>
      <c r="G275" s="215">
        <f t="shared" si="34"/>
        <v>26027</v>
      </c>
      <c r="H275" s="717">
        <f t="shared" si="33"/>
        <v>100</v>
      </c>
      <c r="I275" s="202"/>
      <c r="J275" s="215">
        <f t="shared" si="32"/>
        <v>26027</v>
      </c>
      <c r="K275" s="208" t="s">
        <v>428</v>
      </c>
      <c r="L275" s="202"/>
    </row>
    <row r="276" spans="1:13">
      <c r="A276" s="202"/>
      <c r="B276" s="202">
        <v>930240</v>
      </c>
      <c r="C276" s="208">
        <v>18</v>
      </c>
      <c r="D276" s="208">
        <v>930240</v>
      </c>
      <c r="E276" s="202"/>
      <c r="F276" s="660" t="s">
        <v>1620</v>
      </c>
      <c r="G276" s="215">
        <f t="shared" si="34"/>
        <v>50419</v>
      </c>
      <c r="H276" s="717">
        <f t="shared" si="33"/>
        <v>100</v>
      </c>
      <c r="I276" s="202"/>
      <c r="J276" s="215">
        <f t="shared" si="32"/>
        <v>50419</v>
      </c>
      <c r="K276" s="208" t="s">
        <v>428</v>
      </c>
      <c r="L276" s="202"/>
    </row>
    <row r="277" spans="1:13">
      <c r="A277" s="202"/>
      <c r="B277" s="202">
        <v>930250</v>
      </c>
      <c r="C277" s="208">
        <v>19</v>
      </c>
      <c r="D277" s="208">
        <v>930250</v>
      </c>
      <c r="E277" s="202"/>
      <c r="F277" s="660" t="s">
        <v>1621</v>
      </c>
      <c r="G277" s="215">
        <f t="shared" si="34"/>
        <v>764</v>
      </c>
      <c r="H277" s="717">
        <f t="shared" si="33"/>
        <v>100</v>
      </c>
      <c r="I277" s="202"/>
      <c r="J277" s="215">
        <f t="shared" si="32"/>
        <v>764</v>
      </c>
      <c r="K277" s="208" t="s">
        <v>428</v>
      </c>
      <c r="L277" s="202"/>
    </row>
    <row r="278" spans="1:13">
      <c r="A278" s="202"/>
      <c r="B278" s="202">
        <v>930600</v>
      </c>
      <c r="C278" s="208">
        <v>20</v>
      </c>
      <c r="D278" s="208">
        <v>930600</v>
      </c>
      <c r="E278" s="202"/>
      <c r="F278" s="660" t="s">
        <v>1622</v>
      </c>
      <c r="G278" s="215">
        <f t="shared" si="34"/>
        <v>39</v>
      </c>
      <c r="H278" s="717">
        <f t="shared" si="33"/>
        <v>100</v>
      </c>
      <c r="I278" s="202"/>
      <c r="J278" s="215">
        <f t="shared" si="32"/>
        <v>39</v>
      </c>
      <c r="K278" s="208" t="s">
        <v>428</v>
      </c>
      <c r="L278" s="202"/>
    </row>
    <row r="279" spans="1:13">
      <c r="A279" s="202"/>
      <c r="B279" s="202">
        <v>930700</v>
      </c>
      <c r="C279" s="208">
        <v>21</v>
      </c>
      <c r="D279" s="208">
        <v>930700</v>
      </c>
      <c r="E279" s="202"/>
      <c r="F279" s="660" t="s">
        <v>1623</v>
      </c>
      <c r="G279" s="215">
        <f t="shared" si="34"/>
        <v>0</v>
      </c>
      <c r="H279" s="717">
        <f t="shared" si="33"/>
        <v>100</v>
      </c>
      <c r="I279" s="202"/>
      <c r="J279" s="215">
        <f t="shared" si="32"/>
        <v>0</v>
      </c>
      <c r="K279" s="208" t="s">
        <v>428</v>
      </c>
      <c r="L279" s="202"/>
    </row>
    <row r="280" spans="1:13">
      <c r="A280" s="202"/>
      <c r="B280" s="202">
        <v>930940</v>
      </c>
      <c r="C280" s="208">
        <v>22</v>
      </c>
      <c r="D280" s="205">
        <v>930940</v>
      </c>
      <c r="E280" s="202"/>
      <c r="F280" s="660" t="s">
        <v>1624</v>
      </c>
      <c r="G280" s="215">
        <f>ROUND(VLOOKUP(B280,BasePeriod,5,FALSE),0)</f>
        <v>75309</v>
      </c>
      <c r="H280" s="717">
        <f t="shared" si="33"/>
        <v>100</v>
      </c>
      <c r="I280" s="202"/>
      <c r="J280" s="215">
        <f t="shared" si="32"/>
        <v>75309</v>
      </c>
      <c r="K280" s="208" t="s">
        <v>428</v>
      </c>
      <c r="L280" s="202"/>
    </row>
    <row r="281" spans="1:13">
      <c r="A281" s="202"/>
      <c r="B281" s="202">
        <v>931</v>
      </c>
      <c r="C281" s="208">
        <v>23</v>
      </c>
      <c r="D281" s="219">
        <v>931</v>
      </c>
      <c r="E281" s="202"/>
      <c r="F281" s="660" t="s">
        <v>1625</v>
      </c>
      <c r="G281" s="215">
        <f t="array" ref="G281">SUM(IF(FERCBP=B281,AmountBP))</f>
        <v>2702959</v>
      </c>
      <c r="H281" s="717">
        <f t="shared" si="33"/>
        <v>100</v>
      </c>
      <c r="I281" s="202"/>
      <c r="J281" s="215">
        <f t="shared" si="32"/>
        <v>2702959</v>
      </c>
      <c r="K281" s="208" t="s">
        <v>428</v>
      </c>
      <c r="L281" s="202"/>
    </row>
    <row r="282" spans="1:13">
      <c r="A282" s="202"/>
      <c r="B282" s="202"/>
      <c r="C282" s="208">
        <v>24</v>
      </c>
      <c r="D282" s="202"/>
      <c r="E282" s="202"/>
      <c r="F282" s="660" t="s">
        <v>1539</v>
      </c>
      <c r="G282" s="2138">
        <f>SUM(G262:G281)</f>
        <v>24228354</v>
      </c>
      <c r="H282" s="202"/>
      <c r="I282" s="202"/>
      <c r="J282" s="2138">
        <f>SUM(J262:J281)</f>
        <v>24228354</v>
      </c>
      <c r="K282" s="202"/>
      <c r="L282" s="202"/>
    </row>
    <row r="283" spans="1:13">
      <c r="A283" s="202"/>
      <c r="B283" s="202"/>
      <c r="C283" s="208">
        <v>25</v>
      </c>
      <c r="D283" s="202"/>
      <c r="E283" s="202"/>
      <c r="F283" s="202"/>
      <c r="G283" s="206"/>
      <c r="H283" s="202"/>
      <c r="I283" s="202"/>
      <c r="J283" s="206"/>
      <c r="K283" s="202"/>
      <c r="L283" s="202"/>
    </row>
    <row r="284" spans="1:13">
      <c r="A284" s="202"/>
      <c r="B284" s="202"/>
      <c r="C284" s="208">
        <v>26</v>
      </c>
      <c r="D284" s="202"/>
      <c r="E284" s="202"/>
      <c r="F284" s="204" t="s">
        <v>347</v>
      </c>
      <c r="G284" s="202"/>
      <c r="H284" s="202"/>
      <c r="I284" s="202"/>
      <c r="J284" s="202"/>
      <c r="K284" s="202"/>
      <c r="L284" s="202"/>
    </row>
    <row r="285" spans="1:13">
      <c r="A285" s="202">
        <v>932</v>
      </c>
      <c r="B285" s="202">
        <v>935</v>
      </c>
      <c r="C285" s="208">
        <v>27</v>
      </c>
      <c r="D285" s="208" t="s">
        <v>405</v>
      </c>
      <c r="E285" s="202"/>
      <c r="F285" s="660" t="s">
        <v>1626</v>
      </c>
      <c r="G285" s="215" cm="1">
        <f t="array" ref="G285">SUM(IF(FERCBP=A285,AmountBP))+SUM(IF(FERCBP=B285,AmountBP))</f>
        <v>538</v>
      </c>
      <c r="H285" s="717">
        <f>VLOOKUP(K285,ALLOCTABLE,2)</f>
        <v>100</v>
      </c>
      <c r="I285" s="202"/>
      <c r="J285" s="215">
        <f>ROUND(G285*(H285/100),0)</f>
        <v>538</v>
      </c>
      <c r="K285" s="208" t="s">
        <v>428</v>
      </c>
      <c r="L285" s="202"/>
    </row>
    <row r="286" spans="1:13">
      <c r="B286" s="202"/>
      <c r="C286" s="208">
        <v>28</v>
      </c>
      <c r="D286" s="202"/>
      <c r="E286" s="202"/>
      <c r="F286" s="660" t="s">
        <v>1627</v>
      </c>
      <c r="G286" s="2138">
        <f>G282+G285</f>
        <v>24228892</v>
      </c>
      <c r="H286" s="202"/>
      <c r="I286" s="202"/>
      <c r="J286" s="2138">
        <f>J282+J285</f>
        <v>24228892</v>
      </c>
      <c r="K286" s="202"/>
      <c r="L286" s="202"/>
    </row>
    <row r="287" spans="1:13">
      <c r="A287" s="202"/>
      <c r="B287" s="202"/>
      <c r="C287" s="208">
        <v>29</v>
      </c>
      <c r="D287" s="202"/>
      <c r="E287" s="202"/>
      <c r="F287" s="660" t="s">
        <v>1628</v>
      </c>
      <c r="G287" s="2138">
        <f>G125+G163+G169+G198+G225+G234+G242+G286</f>
        <v>305473781</v>
      </c>
      <c r="H287" s="202"/>
      <c r="I287" s="202"/>
      <c r="J287" s="2138">
        <f>J125+J163+J169+J198+J225+J234+J242+J286</f>
        <v>305473781</v>
      </c>
      <c r="K287" s="202"/>
      <c r="L287" s="202"/>
    </row>
    <row r="288" spans="1:13">
      <c r="A288" s="202"/>
      <c r="B288" s="202"/>
      <c r="C288" s="208">
        <v>30</v>
      </c>
      <c r="D288" s="202"/>
      <c r="E288" s="202"/>
      <c r="F288" s="202"/>
      <c r="G288" s="206"/>
      <c r="H288" s="202"/>
      <c r="I288" s="202"/>
      <c r="J288" s="206"/>
      <c r="K288" s="202"/>
      <c r="L288" s="202"/>
      <c r="M288" s="28"/>
    </row>
    <row r="289" spans="1:13">
      <c r="A289" s="202"/>
      <c r="B289" s="202"/>
      <c r="C289" s="208">
        <v>31</v>
      </c>
      <c r="D289" s="202"/>
      <c r="E289" s="202"/>
      <c r="F289" s="204" t="s">
        <v>351</v>
      </c>
      <c r="G289" s="202"/>
      <c r="H289" s="202"/>
      <c r="I289" s="202"/>
      <c r="J289" s="202"/>
      <c r="K289" s="202"/>
      <c r="L289" s="202"/>
    </row>
    <row r="290" spans="1:13">
      <c r="A290" s="202"/>
      <c r="B290" s="202">
        <v>404</v>
      </c>
      <c r="C290" s="208">
        <v>32</v>
      </c>
      <c r="D290" s="208" t="s">
        <v>405</v>
      </c>
      <c r="E290" s="202"/>
      <c r="F290" s="660" t="s">
        <v>1629</v>
      </c>
      <c r="G290" s="2138" cm="1">
        <f t="array" ref="G290">SUM(IF(FERCBP=A291,AmountBP))+SUM(IF(FERCBP=B290,AmountBP))</f>
        <v>69049642</v>
      </c>
      <c r="H290" s="717">
        <f>VLOOKUP(K290,ALLOCTABLE,2)</f>
        <v>100</v>
      </c>
      <c r="I290" s="202"/>
      <c r="J290" s="2138">
        <f>ROUND(G290*(H290/100),0)</f>
        <v>69049642</v>
      </c>
      <c r="K290" s="208" t="s">
        <v>428</v>
      </c>
      <c r="L290" s="202"/>
    </row>
    <row r="291" spans="1:13">
      <c r="A291" s="202">
        <v>403</v>
      </c>
      <c r="B291" s="202"/>
      <c r="C291" s="208">
        <v>33</v>
      </c>
      <c r="D291" s="208"/>
      <c r="E291" s="202"/>
      <c r="F291" s="660"/>
      <c r="G291" s="215"/>
      <c r="H291" s="717"/>
      <c r="I291" s="202"/>
      <c r="J291" s="215"/>
      <c r="K291" s="208"/>
      <c r="L291" s="202"/>
      <c r="M291" s="28"/>
    </row>
    <row r="292" spans="1:13">
      <c r="A292" s="202"/>
      <c r="B292" s="202"/>
      <c r="C292" s="208">
        <v>34</v>
      </c>
      <c r="D292" s="202"/>
      <c r="E292" s="202"/>
      <c r="F292" s="204" t="s">
        <v>1630</v>
      </c>
      <c r="G292" s="202"/>
      <c r="H292" s="202"/>
      <c r="I292" s="202"/>
      <c r="J292" s="202"/>
      <c r="K292" s="202"/>
      <c r="L292" s="202"/>
      <c r="M292" s="28"/>
    </row>
    <row r="293" spans="1:13">
      <c r="A293" s="202"/>
      <c r="B293" s="202">
        <v>407354</v>
      </c>
      <c r="C293" s="208">
        <v>35</v>
      </c>
      <c r="D293" s="208">
        <v>407354</v>
      </c>
      <c r="E293" s="202"/>
      <c r="F293" s="660" t="s">
        <v>1631</v>
      </c>
      <c r="G293" s="215">
        <f>ROUND(VLOOKUP(B293,BasePeriod,5,FALSE),0)</f>
        <v>2021588</v>
      </c>
      <c r="H293" s="717">
        <f t="shared" ref="H293:H297" si="35">VLOOKUP(K293,ALLOCTABLE,2)</f>
        <v>100</v>
      </c>
      <c r="I293" s="202"/>
      <c r="J293" s="215">
        <f>ROUND(G293*(H293/100),0)</f>
        <v>2021588</v>
      </c>
      <c r="K293" s="208" t="s">
        <v>428</v>
      </c>
      <c r="L293" s="202"/>
    </row>
    <row r="294" spans="1:13">
      <c r="A294" s="202"/>
      <c r="B294" s="202">
        <v>407407</v>
      </c>
      <c r="C294" s="208">
        <v>36</v>
      </c>
      <c r="D294" s="208">
        <v>407407</v>
      </c>
      <c r="E294" s="202"/>
      <c r="F294" s="660" t="s">
        <v>1632</v>
      </c>
      <c r="G294" s="215">
        <f>ROUND(VLOOKUP(B294,BasePeriod,5,FALSE),0)</f>
        <v>-389214</v>
      </c>
      <c r="H294" s="717">
        <f t="shared" si="35"/>
        <v>100</v>
      </c>
      <c r="I294" s="202"/>
      <c r="J294" s="215">
        <f>ROUND(G294*(H294/100),0)</f>
        <v>-389214</v>
      </c>
      <c r="K294" s="208" t="s">
        <v>428</v>
      </c>
      <c r="L294" s="202"/>
    </row>
    <row r="295" spans="1:13">
      <c r="A295" s="202"/>
      <c r="B295" s="202">
        <v>407115</v>
      </c>
      <c r="C295" s="208">
        <v>37</v>
      </c>
      <c r="D295" s="208">
        <v>407115</v>
      </c>
      <c r="E295" s="202"/>
      <c r="F295" s="660" t="s">
        <v>1633</v>
      </c>
      <c r="G295" s="215">
        <f t="shared" ref="G295:G297" si="36">ROUND(VLOOKUP(B295,BasePeriod,5,FALSE),0)</f>
        <v>463932</v>
      </c>
      <c r="H295" s="717">
        <f t="shared" si="35"/>
        <v>100</v>
      </c>
      <c r="I295" s="202"/>
      <c r="J295" s="215">
        <f t="shared" ref="J295:J297" si="37">ROUND(G295*(H295/100),0)</f>
        <v>463932</v>
      </c>
      <c r="K295" s="208" t="s">
        <v>428</v>
      </c>
      <c r="L295" s="202"/>
    </row>
    <row r="296" spans="1:13">
      <c r="A296" s="202"/>
      <c r="B296" s="202">
        <v>407305</v>
      </c>
      <c r="C296" s="208">
        <v>38</v>
      </c>
      <c r="D296" s="208">
        <v>407305</v>
      </c>
      <c r="E296" s="202"/>
      <c r="F296" s="660" t="s">
        <v>1634</v>
      </c>
      <c r="G296" s="215">
        <f t="shared" si="36"/>
        <v>6716022</v>
      </c>
      <c r="H296" s="717">
        <f t="shared" si="35"/>
        <v>100</v>
      </c>
      <c r="I296" s="202"/>
      <c r="J296" s="215">
        <f t="shared" si="37"/>
        <v>6716022</v>
      </c>
      <c r="K296" s="208" t="s">
        <v>428</v>
      </c>
      <c r="L296" s="202"/>
      <c r="M296" s="28"/>
    </row>
    <row r="297" spans="1:13">
      <c r="A297" s="202"/>
      <c r="B297" s="202">
        <v>407324</v>
      </c>
      <c r="C297" s="208">
        <v>39</v>
      </c>
      <c r="D297" s="208">
        <v>407324</v>
      </c>
      <c r="E297" s="202"/>
      <c r="F297" s="660" t="s">
        <v>1635</v>
      </c>
      <c r="G297" s="215">
        <f t="shared" si="36"/>
        <v>7797214</v>
      </c>
      <c r="H297" s="717">
        <f t="shared" si="35"/>
        <v>100</v>
      </c>
      <c r="I297" s="202"/>
      <c r="J297" s="215">
        <f t="shared" si="37"/>
        <v>7797214</v>
      </c>
      <c r="K297" s="208" t="s">
        <v>428</v>
      </c>
      <c r="L297" s="202"/>
      <c r="M297" s="28"/>
    </row>
    <row r="298" spans="1:13">
      <c r="A298" s="202"/>
      <c r="B298" s="202"/>
      <c r="C298" s="208">
        <v>40</v>
      </c>
      <c r="D298" s="202"/>
      <c r="E298" s="202"/>
      <c r="F298" s="660" t="s">
        <v>1636</v>
      </c>
      <c r="G298" s="2138">
        <f>SUM(G293:G297)</f>
        <v>16609542</v>
      </c>
      <c r="H298" s="717"/>
      <c r="I298" s="202"/>
      <c r="J298" s="2138">
        <f>SUM(J293:J297)</f>
        <v>16609542</v>
      </c>
      <c r="K298" s="202"/>
      <c r="L298" s="202"/>
      <c r="M298" s="28"/>
    </row>
    <row r="299" spans="1:13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8"/>
    </row>
    <row r="300" spans="1:13">
      <c r="A300" s="202"/>
      <c r="B300" s="202"/>
      <c r="C300" s="203" t="str">
        <f>COMPANY</f>
        <v>DUKE ENERGY KENTUCKY, INC.</v>
      </c>
      <c r="D300" s="203"/>
      <c r="E300" s="203"/>
      <c r="F300" s="203"/>
      <c r="G300" s="203"/>
      <c r="H300" s="203"/>
      <c r="I300" s="203"/>
      <c r="J300" s="203"/>
      <c r="K300" s="203"/>
      <c r="L300" s="202"/>
    </row>
    <row r="301" spans="1:13">
      <c r="A301" s="202"/>
      <c r="B301" s="202"/>
      <c r="C301" s="203" t="str">
        <f>CASE</f>
        <v>CASE NO. 2024-00354</v>
      </c>
      <c r="D301" s="203"/>
      <c r="E301" s="203"/>
      <c r="F301" s="203"/>
      <c r="G301" s="203"/>
      <c r="H301" s="203"/>
      <c r="I301" s="203"/>
      <c r="J301" s="203"/>
      <c r="K301" s="203"/>
      <c r="L301" s="202"/>
    </row>
    <row r="302" spans="1:13">
      <c r="A302" s="202"/>
      <c r="B302" s="202"/>
      <c r="C302" s="203" t="s">
        <v>1511</v>
      </c>
      <c r="D302" s="203"/>
      <c r="E302" s="203"/>
      <c r="F302" s="203"/>
      <c r="G302" s="203"/>
      <c r="H302" s="203"/>
      <c r="I302" s="203"/>
      <c r="J302" s="203"/>
      <c r="K302" s="203"/>
      <c r="L302" s="202"/>
    </row>
    <row r="303" spans="1:13">
      <c r="A303" s="202"/>
      <c r="B303" s="202"/>
      <c r="C303" s="203" t="str">
        <f>PERIOD</f>
        <v>FOR THE TWELVE MONTHS ENDED FEBRUARY 28, 2025</v>
      </c>
      <c r="D303" s="203"/>
      <c r="E303" s="203"/>
      <c r="F303" s="203"/>
      <c r="G303" s="203"/>
      <c r="H303" s="203"/>
      <c r="I303" s="203"/>
      <c r="J303" s="203"/>
      <c r="K303" s="203"/>
      <c r="L303" s="202"/>
    </row>
    <row r="304" spans="1:13">
      <c r="A304" s="202"/>
      <c r="B304" s="202"/>
      <c r="C304" s="203"/>
      <c r="D304" s="203"/>
      <c r="E304" s="203"/>
      <c r="F304" s="203"/>
      <c r="G304" s="203"/>
      <c r="H304" s="203"/>
      <c r="I304" s="203"/>
      <c r="J304" s="202"/>
      <c r="K304" s="202"/>
      <c r="L304" s="202"/>
    </row>
    <row r="305" spans="1:12">
      <c r="A305" s="202"/>
      <c r="B305" s="202"/>
      <c r="C305" s="202"/>
      <c r="D305" s="202"/>
      <c r="E305" s="202"/>
      <c r="F305" s="202"/>
      <c r="G305" s="202"/>
      <c r="H305" s="202"/>
      <c r="I305" s="202"/>
      <c r="J305" s="660" t="str">
        <f>"                "&amp;"SCHEDULE C-2.1"</f>
        <v xml:space="preserve">                SCHEDULE C-2.1</v>
      </c>
      <c r="K305" s="202"/>
      <c r="L305" s="202"/>
    </row>
    <row r="306" spans="1:12">
      <c r="A306" s="202"/>
      <c r="B306" s="202"/>
      <c r="C306" s="202" t="str">
        <f>Data</f>
        <v>DATA: "X" BASE PERIOD   FORECASTED PERIOD</v>
      </c>
      <c r="D306" s="202"/>
      <c r="E306" s="202"/>
      <c r="F306" s="202"/>
      <c r="G306" s="202"/>
      <c r="H306" s="202"/>
      <c r="I306" s="202"/>
      <c r="J306" s="660" t="str">
        <f>"                "&amp;"PAGE  6  OF  14"</f>
        <v xml:space="preserve">                PAGE  6  OF  14</v>
      </c>
      <c r="K306" s="202"/>
      <c r="L306" s="202"/>
    </row>
    <row r="307" spans="1:12">
      <c r="A307" s="202"/>
      <c r="B307" s="202"/>
      <c r="C307" s="202" t="str">
        <f>Type</f>
        <v xml:space="preserve">TYPE OF FILING:  "X" ORIGINAL   UPDATED    REVISED  </v>
      </c>
      <c r="D307" s="202"/>
      <c r="E307" s="202"/>
      <c r="F307" s="202"/>
      <c r="G307" s="202"/>
      <c r="H307" s="202"/>
      <c r="I307" s="202"/>
      <c r="J307" s="660" t="str">
        <f>"                "&amp;"WITNESS RESPONSIBLE:"</f>
        <v xml:space="preserve">                WITNESS RESPONSIBLE:</v>
      </c>
      <c r="K307" s="202"/>
      <c r="L307" s="202"/>
    </row>
    <row r="308" spans="1:12">
      <c r="A308" s="202"/>
      <c r="B308" s="202"/>
      <c r="C308" s="660" t="str">
        <f>$C$11</f>
        <v>WORK PAPER REFERENCE NO(S).: WPC-2.1a_BP</v>
      </c>
      <c r="D308" s="202"/>
      <c r="E308" s="202"/>
      <c r="F308" s="202"/>
      <c r="G308" s="202"/>
      <c r="H308" s="202"/>
      <c r="I308" s="202"/>
      <c r="J308" s="660" t="str">
        <f>"                "&amp;_WIT1</f>
        <v xml:space="preserve">                L. D. STEINKUHL</v>
      </c>
      <c r="K308" s="202"/>
      <c r="L308" s="202"/>
    </row>
    <row r="309" spans="1:12">
      <c r="A309" s="202"/>
      <c r="B309" s="202"/>
      <c r="C309" s="1496"/>
      <c r="D309" s="1497"/>
      <c r="E309" s="1497"/>
      <c r="F309" s="1497"/>
      <c r="G309" s="1497"/>
      <c r="H309" s="1497"/>
      <c r="I309" s="1497"/>
      <c r="J309" s="1497"/>
      <c r="K309" s="1497"/>
      <c r="L309" s="202"/>
    </row>
    <row r="310" spans="1:12">
      <c r="A310" s="202"/>
      <c r="B310" s="202"/>
      <c r="C310" s="202"/>
      <c r="D310" s="202"/>
      <c r="E310" s="202"/>
      <c r="F310" s="202"/>
      <c r="G310" s="208" t="s">
        <v>1513</v>
      </c>
      <c r="H310" s="208" t="s">
        <v>970</v>
      </c>
      <c r="I310" s="202"/>
      <c r="J310" s="202"/>
      <c r="K310" s="208" t="s">
        <v>937</v>
      </c>
      <c r="L310" s="202"/>
    </row>
    <row r="311" spans="1:12">
      <c r="A311" s="202"/>
      <c r="B311" s="202"/>
      <c r="C311" s="208" t="s">
        <v>471</v>
      </c>
      <c r="D311" s="208" t="s">
        <v>1045</v>
      </c>
      <c r="E311" s="202"/>
      <c r="F311" s="202"/>
      <c r="G311" s="208" t="s">
        <v>972</v>
      </c>
      <c r="H311" s="208" t="s">
        <v>973</v>
      </c>
      <c r="I311" s="202"/>
      <c r="J311" s="208" t="s">
        <v>1513</v>
      </c>
      <c r="K311" s="208" t="s">
        <v>1514</v>
      </c>
      <c r="L311" s="202"/>
    </row>
    <row r="312" spans="1:12">
      <c r="A312" s="202"/>
      <c r="B312" s="202"/>
      <c r="C312" s="208" t="s">
        <v>475</v>
      </c>
      <c r="D312" s="208" t="s">
        <v>533</v>
      </c>
      <c r="E312" s="202"/>
      <c r="F312" s="203" t="s">
        <v>1515</v>
      </c>
      <c r="G312" s="208" t="s">
        <v>1153</v>
      </c>
      <c r="H312" s="208" t="s">
        <v>420</v>
      </c>
      <c r="I312" s="202"/>
      <c r="J312" s="208" t="s">
        <v>1516</v>
      </c>
      <c r="K312" s="208" t="s">
        <v>476</v>
      </c>
      <c r="L312" s="202"/>
    </row>
    <row r="313" spans="1:12">
      <c r="A313" s="202"/>
      <c r="B313" s="202"/>
      <c r="C313" s="1498"/>
      <c r="D313" s="1498"/>
      <c r="E313" s="1498"/>
      <c r="F313" s="1498"/>
      <c r="G313" s="1500" t="s">
        <v>506</v>
      </c>
      <c r="H313" s="1500" t="s">
        <v>510</v>
      </c>
      <c r="I313" s="1498"/>
      <c r="J313" s="1500" t="s">
        <v>519</v>
      </c>
      <c r="K313" s="1500" t="s">
        <v>911</v>
      </c>
      <c r="L313" s="202"/>
    </row>
    <row r="314" spans="1:1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</row>
    <row r="315" spans="1:12">
      <c r="A315" s="202"/>
      <c r="B315" s="202"/>
      <c r="C315" s="208">
        <v>1</v>
      </c>
      <c r="D315" s="202"/>
      <c r="E315" s="202"/>
      <c r="F315" s="204" t="s">
        <v>1637</v>
      </c>
      <c r="G315" s="202"/>
      <c r="H315" s="202"/>
      <c r="I315" s="202"/>
      <c r="J315" s="202"/>
      <c r="K315" s="202"/>
      <c r="L315" s="202"/>
    </row>
    <row r="316" spans="1:12">
      <c r="A316" s="202"/>
      <c r="B316" s="202"/>
      <c r="C316" s="208">
        <v>2</v>
      </c>
      <c r="D316" s="202"/>
      <c r="E316" s="202"/>
      <c r="F316" s="202"/>
      <c r="G316" s="202"/>
      <c r="H316" s="202"/>
      <c r="I316" s="202"/>
      <c r="J316" s="202"/>
      <c r="K316" s="202"/>
      <c r="L316" s="202"/>
    </row>
    <row r="317" spans="1:12">
      <c r="A317" s="202"/>
      <c r="B317" s="202"/>
      <c r="C317" s="208">
        <v>3</v>
      </c>
      <c r="D317" s="202"/>
      <c r="E317" s="202"/>
      <c r="F317" s="204" t="s">
        <v>1638</v>
      </c>
      <c r="G317" s="202"/>
      <c r="H317" s="202"/>
      <c r="I317" s="202"/>
      <c r="J317" s="202"/>
      <c r="K317" s="202"/>
      <c r="L317" s="202"/>
    </row>
    <row r="318" spans="1:12">
      <c r="A318" s="202"/>
      <c r="B318" s="202">
        <v>408700</v>
      </c>
      <c r="C318" s="208">
        <v>4</v>
      </c>
      <c r="D318" s="208">
        <v>408700</v>
      </c>
      <c r="E318" s="221"/>
      <c r="F318" s="660" t="s">
        <v>1639</v>
      </c>
      <c r="G318" s="215">
        <f>ROUND(VLOOKUP(B318,BasePeriod,5,FALSE),0)</f>
        <v>-1000</v>
      </c>
      <c r="H318" s="717">
        <f>VLOOKUP(K318,ALLOCTABLE,2)</f>
        <v>100</v>
      </c>
      <c r="I318" s="202"/>
      <c r="J318" s="215">
        <f>ROUND(G318*(H318/100),0)</f>
        <v>-1000</v>
      </c>
      <c r="K318" s="208" t="s">
        <v>428</v>
      </c>
      <c r="L318" s="202"/>
    </row>
    <row r="319" spans="1:12">
      <c r="A319" s="202"/>
      <c r="B319" s="202">
        <v>408151</v>
      </c>
      <c r="C319" s="208">
        <v>5</v>
      </c>
      <c r="D319" s="208">
        <v>408151</v>
      </c>
      <c r="E319" s="202"/>
      <c r="F319" s="660" t="s">
        <v>1640</v>
      </c>
      <c r="G319" s="215">
        <f>ROUND(VLOOKUP(B319,BasePeriod,5,FALSE),0)</f>
        <v>-1342</v>
      </c>
      <c r="H319" s="717">
        <f>VLOOKUP(K319,ALLOCTABLE,2)</f>
        <v>100</v>
      </c>
      <c r="I319" s="202"/>
      <c r="J319" s="215">
        <f>ROUND(G319*(H319/100),0)</f>
        <v>-1342</v>
      </c>
      <c r="K319" s="208" t="s">
        <v>428</v>
      </c>
      <c r="L319" s="202"/>
    </row>
    <row r="320" spans="1:12">
      <c r="A320" s="202"/>
      <c r="B320" s="202">
        <v>408800</v>
      </c>
      <c r="C320" s="208">
        <v>6</v>
      </c>
      <c r="D320" s="208">
        <v>408800</v>
      </c>
      <c r="E320" s="202"/>
      <c r="F320" s="660" t="s">
        <v>1641</v>
      </c>
      <c r="G320" s="215">
        <f>ROUND(VLOOKUP(B320,BasePeriod,5,FALSE),0)</f>
        <v>0</v>
      </c>
      <c r="H320" s="717">
        <f>VLOOKUP(K320,ALLOCTABLE,2)</f>
        <v>100</v>
      </c>
      <c r="I320" s="202"/>
      <c r="J320" s="215">
        <f>ROUND(G320*(H320/100),0)</f>
        <v>0</v>
      </c>
      <c r="K320" s="208" t="s">
        <v>428</v>
      </c>
      <c r="L320" s="202"/>
    </row>
    <row r="321" spans="1:13">
      <c r="A321" s="202"/>
      <c r="B321" s="202"/>
      <c r="C321" s="208">
        <v>7</v>
      </c>
      <c r="D321" s="202"/>
      <c r="E321" s="202"/>
      <c r="F321" s="660" t="s">
        <v>1642</v>
      </c>
      <c r="G321" s="2138">
        <f>SUM(G318:G320)</f>
        <v>-2342</v>
      </c>
      <c r="H321" s="202"/>
      <c r="I321" s="202"/>
      <c r="J321" s="2138">
        <f>SUM(J318:J320)</f>
        <v>-2342</v>
      </c>
      <c r="K321" s="202"/>
      <c r="L321" s="202"/>
    </row>
    <row r="322" spans="1:13">
      <c r="A322" s="222"/>
      <c r="B322" s="202"/>
      <c r="C322" s="208">
        <v>8</v>
      </c>
      <c r="D322" s="202"/>
      <c r="E322" s="202"/>
      <c r="F322" s="202"/>
      <c r="G322" s="206"/>
      <c r="H322" s="202"/>
      <c r="I322" s="202"/>
      <c r="J322" s="206"/>
      <c r="K322" s="202"/>
      <c r="L322" s="202"/>
    </row>
    <row r="323" spans="1:13">
      <c r="A323" s="222"/>
      <c r="B323" s="202"/>
      <c r="C323" s="208">
        <v>9</v>
      </c>
      <c r="D323" s="202"/>
      <c r="E323" s="202"/>
      <c r="F323" s="204" t="s">
        <v>1643</v>
      </c>
      <c r="G323" s="202"/>
      <c r="H323" s="202"/>
      <c r="I323" s="202"/>
      <c r="J323" s="202"/>
      <c r="K323" s="202"/>
      <c r="L323" s="202"/>
    </row>
    <row r="324" spans="1:13">
      <c r="A324" s="222"/>
      <c r="B324" s="202">
        <v>408040</v>
      </c>
      <c r="C324" s="208">
        <v>10</v>
      </c>
      <c r="D324" s="208">
        <v>408040</v>
      </c>
      <c r="E324" s="202"/>
      <c r="F324" s="660" t="s">
        <v>1644</v>
      </c>
      <c r="G324" s="215">
        <f t="shared" ref="G324:G329" si="38">ROUND(VLOOKUP(B324,BasePeriod,5,FALSE),0)</f>
        <v>48196</v>
      </c>
      <c r="H324" s="717">
        <f t="shared" ref="H324:H328" si="39">VLOOKUP(K324,ALLOCTABLE,2)</f>
        <v>100</v>
      </c>
      <c r="I324" s="202"/>
      <c r="J324" s="215">
        <f t="shared" ref="J324:J332" si="40">ROUND(G324*(H324/100),0)</f>
        <v>48196</v>
      </c>
      <c r="K324" s="208" t="s">
        <v>428</v>
      </c>
      <c r="L324" s="202"/>
    </row>
    <row r="325" spans="1:13">
      <c r="A325" s="222"/>
      <c r="B325" s="202">
        <v>408120</v>
      </c>
      <c r="C325" s="208">
        <v>11</v>
      </c>
      <c r="D325" s="208">
        <v>408120</v>
      </c>
      <c r="E325" s="202"/>
      <c r="F325" s="660" t="s">
        <v>1645</v>
      </c>
      <c r="G325" s="215">
        <f t="shared" si="38"/>
        <v>5</v>
      </c>
      <c r="H325" s="717">
        <f t="shared" si="39"/>
        <v>100</v>
      </c>
      <c r="I325" s="202"/>
      <c r="J325" s="215">
        <f t="shared" si="40"/>
        <v>5</v>
      </c>
      <c r="K325" s="208" t="s">
        <v>428</v>
      </c>
      <c r="L325" s="202"/>
    </row>
    <row r="326" spans="1:13">
      <c r="A326" s="222"/>
      <c r="B326" s="202">
        <v>408121</v>
      </c>
      <c r="C326" s="208">
        <v>12</v>
      </c>
      <c r="D326" s="208">
        <v>408121</v>
      </c>
      <c r="E326" s="202"/>
      <c r="F326" s="660" t="s">
        <v>1646</v>
      </c>
      <c r="G326" s="215">
        <f t="shared" si="38"/>
        <v>14241432</v>
      </c>
      <c r="H326" s="717">
        <f t="shared" si="39"/>
        <v>100</v>
      </c>
      <c r="I326" s="202"/>
      <c r="J326" s="215">
        <f t="shared" si="40"/>
        <v>14241432</v>
      </c>
      <c r="K326" s="208" t="s">
        <v>428</v>
      </c>
      <c r="L326" s="202"/>
    </row>
    <row r="327" spans="1:13">
      <c r="A327" s="222"/>
      <c r="B327" s="202">
        <v>408150</v>
      </c>
      <c r="C327" s="208">
        <v>13</v>
      </c>
      <c r="D327" s="208">
        <v>408150</v>
      </c>
      <c r="E327" s="202"/>
      <c r="F327" s="660" t="s">
        <v>1647</v>
      </c>
      <c r="G327" s="215">
        <f t="shared" si="38"/>
        <v>557</v>
      </c>
      <c r="H327" s="717">
        <f t="shared" si="39"/>
        <v>100</v>
      </c>
      <c r="I327" s="202"/>
      <c r="J327" s="215">
        <f t="shared" si="40"/>
        <v>557</v>
      </c>
      <c r="K327" s="208" t="s">
        <v>428</v>
      </c>
      <c r="L327" s="202"/>
    </row>
    <row r="328" spans="1:13">
      <c r="A328" s="222"/>
      <c r="B328" s="202">
        <v>408152</v>
      </c>
      <c r="C328" s="208">
        <v>14</v>
      </c>
      <c r="D328" s="208">
        <v>408152</v>
      </c>
      <c r="E328" s="202"/>
      <c r="F328" s="660" t="s">
        <v>1648</v>
      </c>
      <c r="G328" s="215">
        <f t="shared" si="38"/>
        <v>529596</v>
      </c>
      <c r="H328" s="717">
        <f t="shared" si="39"/>
        <v>100</v>
      </c>
      <c r="I328" s="202"/>
      <c r="J328" s="215">
        <f t="shared" si="40"/>
        <v>529596</v>
      </c>
      <c r="K328" s="208" t="s">
        <v>428</v>
      </c>
      <c r="L328" s="202"/>
    </row>
    <row r="329" spans="1:13">
      <c r="A329" s="222"/>
      <c r="B329" s="202">
        <v>408205</v>
      </c>
      <c r="C329" s="208">
        <v>15</v>
      </c>
      <c r="D329" s="208">
        <v>408205</v>
      </c>
      <c r="E329" s="202"/>
      <c r="F329" s="660" t="s">
        <v>1641</v>
      </c>
      <c r="G329" s="215">
        <f t="shared" si="38"/>
        <v>0</v>
      </c>
      <c r="H329" s="717">
        <f>VLOOKUP(K329,ALLOCTABLE,2)</f>
        <v>100</v>
      </c>
      <c r="I329" s="202"/>
      <c r="J329" s="215">
        <f t="shared" si="40"/>
        <v>0</v>
      </c>
      <c r="K329" s="208" t="s">
        <v>428</v>
      </c>
      <c r="L329" s="202"/>
    </row>
    <row r="330" spans="1:13">
      <c r="A330" s="222"/>
      <c r="B330" s="202">
        <v>408470</v>
      </c>
      <c r="C330" s="208">
        <v>16</v>
      </c>
      <c r="D330" s="208">
        <v>408470</v>
      </c>
      <c r="E330" s="202"/>
      <c r="F330" s="660" t="s">
        <v>1649</v>
      </c>
      <c r="G330" s="215">
        <f t="shared" ref="G330" si="41">ROUND(VLOOKUP(B330,BasePeriod,5,FALSE),0)</f>
        <v>2580</v>
      </c>
      <c r="H330" s="717">
        <f>VLOOKUP(K330,ALLOCTABLE,2)</f>
        <v>100</v>
      </c>
      <c r="I330" s="202"/>
      <c r="J330" s="215">
        <f t="shared" ref="J330" si="42">ROUND(G330*(H330/100),0)</f>
        <v>2580</v>
      </c>
      <c r="K330" s="208" t="s">
        <v>428</v>
      </c>
      <c r="L330" s="202"/>
    </row>
    <row r="331" spans="1:13">
      <c r="A331" s="222"/>
      <c r="B331" s="202">
        <v>408851</v>
      </c>
      <c r="C331" s="208">
        <v>17</v>
      </c>
      <c r="D331" s="208">
        <v>408851</v>
      </c>
      <c r="E331" s="202"/>
      <c r="F331" s="660" t="s">
        <v>1650</v>
      </c>
      <c r="G331" s="215">
        <f>ROUND(VLOOKUP(B331,BasePeriod,5,FALSE),0)</f>
        <v>-1464</v>
      </c>
      <c r="H331" s="717">
        <f>VLOOKUP(K331,ALLOCTABLE,2)</f>
        <v>100</v>
      </c>
      <c r="I331" s="202"/>
      <c r="J331" s="215">
        <f t="shared" si="40"/>
        <v>-1464</v>
      </c>
      <c r="K331" s="208" t="s">
        <v>428</v>
      </c>
      <c r="L331" s="202"/>
    </row>
    <row r="332" spans="1:13">
      <c r="A332" s="222"/>
      <c r="B332" s="202">
        <v>408960</v>
      </c>
      <c r="C332" s="208">
        <v>18</v>
      </c>
      <c r="D332" s="208">
        <v>408960</v>
      </c>
      <c r="E332" s="202"/>
      <c r="F332" s="660" t="s">
        <v>1651</v>
      </c>
      <c r="G332" s="215">
        <f>ROUND(VLOOKUP(B332,BasePeriod,5,FALSE),0)</f>
        <v>1260581</v>
      </c>
      <c r="H332" s="717">
        <f>VLOOKUP(K332,ALLOCTABLE,2)</f>
        <v>100</v>
      </c>
      <c r="I332" s="202"/>
      <c r="J332" s="215">
        <f t="shared" si="40"/>
        <v>1260581</v>
      </c>
      <c r="K332" s="208" t="s">
        <v>428</v>
      </c>
      <c r="L332" s="202"/>
    </row>
    <row r="333" spans="1:13">
      <c r="A333" s="202"/>
      <c r="B333" s="202"/>
      <c r="C333" s="208">
        <v>19</v>
      </c>
      <c r="D333" s="202"/>
      <c r="E333" s="202"/>
      <c r="F333" s="660" t="s">
        <v>1652</v>
      </c>
      <c r="G333" s="2138">
        <f>SUM(G324:G332)</f>
        <v>16081483</v>
      </c>
      <c r="H333" s="202"/>
      <c r="I333" s="202"/>
      <c r="J333" s="2138">
        <f>SUM(J324:J332)</f>
        <v>16081483</v>
      </c>
      <c r="K333" s="202"/>
      <c r="L333" s="202"/>
    </row>
    <row r="334" spans="1:13">
      <c r="A334" s="202"/>
      <c r="B334" s="202"/>
      <c r="C334" s="208">
        <v>20</v>
      </c>
      <c r="D334" s="202"/>
      <c r="E334" s="202"/>
      <c r="F334" s="202"/>
      <c r="G334" s="206"/>
      <c r="H334" s="202"/>
      <c r="I334" s="202"/>
      <c r="J334" s="206"/>
      <c r="K334" s="202"/>
      <c r="L334" s="202"/>
    </row>
    <row r="335" spans="1:13">
      <c r="A335" s="202"/>
      <c r="B335" s="202"/>
      <c r="C335" s="208">
        <v>21</v>
      </c>
      <c r="D335" s="202"/>
      <c r="E335" s="202"/>
      <c r="F335" s="660" t="s">
        <v>1653</v>
      </c>
      <c r="G335" s="1501">
        <f>G321+G333</f>
        <v>16079141</v>
      </c>
      <c r="H335" s="202"/>
      <c r="I335" s="202"/>
      <c r="J335" s="1501">
        <f>J321+J333</f>
        <v>16079141</v>
      </c>
      <c r="K335" s="202"/>
      <c r="L335" s="202"/>
    </row>
    <row r="336" spans="1:13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8"/>
    </row>
    <row r="337" spans="1:12">
      <c r="A337" s="202"/>
      <c r="B337" s="202"/>
      <c r="C337" s="203" t="str">
        <f>COMPANY</f>
        <v>DUKE ENERGY KENTUCKY, INC.</v>
      </c>
      <c r="D337" s="203"/>
      <c r="E337" s="203"/>
      <c r="F337" s="203"/>
      <c r="G337" s="203"/>
      <c r="H337" s="203"/>
      <c r="I337" s="203"/>
      <c r="J337" s="203"/>
      <c r="K337" s="203"/>
      <c r="L337" s="202"/>
    </row>
    <row r="338" spans="1:12">
      <c r="A338" s="202"/>
      <c r="B338" s="202"/>
      <c r="C338" s="203" t="str">
        <f>CASE</f>
        <v>CASE NO. 2024-00354</v>
      </c>
      <c r="D338" s="203"/>
      <c r="E338" s="203"/>
      <c r="F338" s="203"/>
      <c r="G338" s="203"/>
      <c r="H338" s="203"/>
      <c r="I338" s="203"/>
      <c r="J338" s="203"/>
      <c r="K338" s="203"/>
      <c r="L338" s="202"/>
    </row>
    <row r="339" spans="1:12">
      <c r="A339" s="202"/>
      <c r="B339" s="202"/>
      <c r="C339" s="203" t="s">
        <v>1511</v>
      </c>
      <c r="D339" s="203"/>
      <c r="E339" s="203"/>
      <c r="F339" s="203"/>
      <c r="G339" s="203"/>
      <c r="H339" s="203"/>
      <c r="I339" s="203"/>
      <c r="J339" s="203"/>
      <c r="K339" s="203"/>
      <c r="L339" s="202"/>
    </row>
    <row r="340" spans="1:12">
      <c r="A340" s="202"/>
      <c r="B340" s="202"/>
      <c r="C340" s="203" t="str">
        <f>PERIOD</f>
        <v>FOR THE TWELVE MONTHS ENDED FEBRUARY 28, 2025</v>
      </c>
      <c r="D340" s="203"/>
      <c r="E340" s="203"/>
      <c r="F340" s="203"/>
      <c r="G340" s="203"/>
      <c r="H340" s="203"/>
      <c r="I340" s="203"/>
      <c r="J340" s="203"/>
      <c r="K340" s="203"/>
      <c r="L340" s="202"/>
    </row>
    <row r="341" spans="1:12">
      <c r="A341" s="202"/>
      <c r="B341" s="202"/>
      <c r="C341" s="203"/>
      <c r="D341" s="203"/>
      <c r="E341" s="203"/>
      <c r="F341" s="203"/>
      <c r="G341" s="203"/>
      <c r="H341" s="203"/>
      <c r="I341" s="203"/>
      <c r="J341" s="202"/>
      <c r="K341" s="202"/>
      <c r="L341" s="202"/>
    </row>
    <row r="342" spans="1:12">
      <c r="A342" s="202"/>
      <c r="B342" s="202"/>
      <c r="C342" s="202"/>
      <c r="D342" s="202"/>
      <c r="E342" s="202"/>
      <c r="F342" s="202"/>
      <c r="G342" s="202"/>
      <c r="H342" s="202"/>
      <c r="I342" s="202"/>
      <c r="J342" s="660" t="str">
        <f>"                "&amp;"SCHEDULE C-2.1"</f>
        <v xml:space="preserve">                SCHEDULE C-2.1</v>
      </c>
      <c r="K342" s="202"/>
      <c r="L342" s="202"/>
    </row>
    <row r="343" spans="1:12">
      <c r="A343" s="202"/>
      <c r="B343" s="202"/>
      <c r="C343" s="202" t="str">
        <f>Data</f>
        <v>DATA: "X" BASE PERIOD   FORECASTED PERIOD</v>
      </c>
      <c r="D343" s="202"/>
      <c r="E343" s="202"/>
      <c r="F343" s="202"/>
      <c r="G343" s="202"/>
      <c r="H343" s="202"/>
      <c r="I343" s="202"/>
      <c r="J343" s="660" t="str">
        <f>"                "&amp;"PAGE  7  OF  14"</f>
        <v xml:space="preserve">                PAGE  7  OF  14</v>
      </c>
      <c r="K343" s="202"/>
      <c r="L343" s="202"/>
    </row>
    <row r="344" spans="1:12">
      <c r="A344" s="202"/>
      <c r="B344" s="202"/>
      <c r="C344" s="202" t="str">
        <f>Type</f>
        <v xml:space="preserve">TYPE OF FILING:  "X" ORIGINAL   UPDATED    REVISED  </v>
      </c>
      <c r="D344" s="202"/>
      <c r="E344" s="202"/>
      <c r="F344" s="202"/>
      <c r="G344" s="202"/>
      <c r="H344" s="202"/>
      <c r="I344" s="202"/>
      <c r="J344" s="660" t="str">
        <f>"                "&amp;"WITNESS RESPONSIBLE:"</f>
        <v xml:space="preserve">                WITNESS RESPONSIBLE:</v>
      </c>
      <c r="K344" s="202"/>
      <c r="L344" s="202"/>
    </row>
    <row r="345" spans="1:12">
      <c r="A345" s="202"/>
      <c r="B345" s="202"/>
      <c r="C345" s="660" t="str">
        <f>$C$11</f>
        <v>WORK PAPER REFERENCE NO(S).: WPC-2.1a_BP</v>
      </c>
      <c r="D345" s="202"/>
      <c r="E345" s="202"/>
      <c r="F345" s="202"/>
      <c r="G345" s="202"/>
      <c r="H345" s="202"/>
      <c r="I345" s="202"/>
      <c r="J345" s="660" t="str">
        <f>"                "&amp;_WIT1</f>
        <v xml:space="preserve">                L. D. STEINKUHL</v>
      </c>
      <c r="K345" s="202"/>
      <c r="L345" s="202"/>
    </row>
    <row r="346" spans="1:12">
      <c r="A346" s="202"/>
      <c r="B346" s="202"/>
      <c r="C346" s="1496"/>
      <c r="D346" s="1497"/>
      <c r="E346" s="1497"/>
      <c r="F346" s="1497"/>
      <c r="G346" s="1497"/>
      <c r="H346" s="1497"/>
      <c r="I346" s="1497"/>
      <c r="J346" s="1497"/>
      <c r="K346" s="1497"/>
      <c r="L346" s="202"/>
    </row>
    <row r="347" spans="1:12">
      <c r="A347" s="202"/>
      <c r="B347" s="202"/>
      <c r="C347" s="202"/>
      <c r="D347" s="202"/>
      <c r="E347" s="202"/>
      <c r="F347" s="202"/>
      <c r="G347" s="208" t="s">
        <v>1513</v>
      </c>
      <c r="H347" s="208" t="s">
        <v>970</v>
      </c>
      <c r="I347" s="202"/>
      <c r="J347" s="202"/>
      <c r="K347" s="208" t="s">
        <v>937</v>
      </c>
      <c r="L347" s="202"/>
    </row>
    <row r="348" spans="1:12">
      <c r="A348" s="202"/>
      <c r="B348" s="202"/>
      <c r="C348" s="208" t="s">
        <v>471</v>
      </c>
      <c r="D348" s="208" t="s">
        <v>1045</v>
      </c>
      <c r="E348" s="202"/>
      <c r="F348" s="202"/>
      <c r="G348" s="208" t="s">
        <v>972</v>
      </c>
      <c r="H348" s="208" t="s">
        <v>973</v>
      </c>
      <c r="I348" s="202"/>
      <c r="J348" s="208" t="s">
        <v>1513</v>
      </c>
      <c r="K348" s="208" t="s">
        <v>1514</v>
      </c>
      <c r="L348" s="202"/>
    </row>
    <row r="349" spans="1:12">
      <c r="A349" s="202"/>
      <c r="B349" s="202"/>
      <c r="C349" s="208" t="s">
        <v>475</v>
      </c>
      <c r="D349" s="208" t="s">
        <v>533</v>
      </c>
      <c r="E349" s="202"/>
      <c r="F349" s="203" t="s">
        <v>1515</v>
      </c>
      <c r="G349" s="208" t="s">
        <v>1153</v>
      </c>
      <c r="H349" s="208" t="s">
        <v>420</v>
      </c>
      <c r="I349" s="202"/>
      <c r="J349" s="208" t="s">
        <v>1516</v>
      </c>
      <c r="K349" s="208" t="s">
        <v>476</v>
      </c>
      <c r="L349" s="202"/>
    </row>
    <row r="350" spans="1:12">
      <c r="A350" s="202"/>
      <c r="B350" s="202"/>
      <c r="C350" s="1498"/>
      <c r="D350" s="1498"/>
      <c r="E350" s="1498"/>
      <c r="F350" s="1498"/>
      <c r="G350" s="1500" t="s">
        <v>506</v>
      </c>
      <c r="H350" s="1500" t="s">
        <v>510</v>
      </c>
      <c r="I350" s="1498"/>
      <c r="J350" s="1500" t="s">
        <v>519</v>
      </c>
      <c r="K350" s="1500" t="s">
        <v>911</v>
      </c>
      <c r="L350" s="202"/>
    </row>
    <row r="351" spans="1:12">
      <c r="A351" s="202"/>
      <c r="B351" s="202"/>
      <c r="C351" s="202"/>
      <c r="D351" s="202"/>
      <c r="E351" s="202"/>
      <c r="F351" s="202"/>
      <c r="G351" s="208"/>
      <c r="H351" s="208"/>
      <c r="I351" s="202"/>
      <c r="J351" s="208"/>
      <c r="K351" s="208"/>
      <c r="L351" s="202"/>
    </row>
    <row r="352" spans="1:12">
      <c r="A352" s="202"/>
      <c r="B352" s="202"/>
      <c r="C352" s="208">
        <v>1</v>
      </c>
      <c r="D352" s="202"/>
      <c r="E352" s="202"/>
      <c r="F352" s="204" t="s">
        <v>496</v>
      </c>
      <c r="G352" s="202"/>
      <c r="H352" s="202"/>
      <c r="I352" s="202"/>
      <c r="J352" s="202"/>
      <c r="K352" s="202"/>
      <c r="L352" s="202"/>
    </row>
    <row r="353" spans="1:12">
      <c r="A353" s="202"/>
      <c r="B353" s="202">
        <v>409102</v>
      </c>
      <c r="C353" s="208">
        <v>2</v>
      </c>
      <c r="D353" s="208">
        <v>409102</v>
      </c>
      <c r="E353" s="202"/>
      <c r="F353" s="660" t="s">
        <v>1654</v>
      </c>
      <c r="G353" s="215">
        <f>VLOOKUP(B353,BasePeriod,5,FALSE)</f>
        <v>1793879</v>
      </c>
      <c r="H353" s="212" t="s">
        <v>1655</v>
      </c>
      <c r="I353" s="202"/>
      <c r="J353" s="215">
        <f>G353</f>
        <v>1793879</v>
      </c>
      <c r="K353" s="208" t="s">
        <v>428</v>
      </c>
      <c r="L353" s="202"/>
    </row>
    <row r="354" spans="1:12">
      <c r="A354" s="202"/>
      <c r="B354" s="202">
        <v>409104</v>
      </c>
      <c r="C354" s="208">
        <v>3</v>
      </c>
      <c r="D354" s="208">
        <v>409104</v>
      </c>
      <c r="E354" s="202"/>
      <c r="F354" s="660" t="s">
        <v>1656</v>
      </c>
      <c r="G354" s="215">
        <f>VLOOKUP(B354,BasePeriod,5,FALSE)</f>
        <v>0</v>
      </c>
      <c r="H354" s="717">
        <f>VLOOKUP(K354,ALLOCTABLE,2)</f>
        <v>100</v>
      </c>
      <c r="I354" s="202"/>
      <c r="J354" s="215">
        <f>ROUND(G354*(H354/100),0)</f>
        <v>0</v>
      </c>
      <c r="K354" s="208" t="s">
        <v>428</v>
      </c>
      <c r="L354" s="202"/>
    </row>
    <row r="355" spans="1:12">
      <c r="A355" s="202"/>
      <c r="B355" s="202">
        <v>409197</v>
      </c>
      <c r="C355" s="208">
        <v>4</v>
      </c>
      <c r="D355" s="208">
        <v>409197</v>
      </c>
      <c r="E355" s="202"/>
      <c r="F355" s="660" t="s">
        <v>1657</v>
      </c>
      <c r="G355" s="215">
        <f>VLOOKUP(B355,BasePeriod,5,FALSE)</f>
        <v>0</v>
      </c>
      <c r="H355" s="717">
        <f>VLOOKUP(K355,ALLOCTABLE,2)</f>
        <v>100</v>
      </c>
      <c r="I355" s="202"/>
      <c r="J355" s="215">
        <f>ROUND(G355*(H355/100),0)</f>
        <v>0</v>
      </c>
      <c r="K355" s="208" t="s">
        <v>428</v>
      </c>
      <c r="L355" s="202"/>
    </row>
    <row r="356" spans="1:12">
      <c r="A356" s="202"/>
      <c r="B356" s="202"/>
      <c r="C356" s="208">
        <v>5</v>
      </c>
      <c r="D356" s="202"/>
      <c r="E356" s="202"/>
      <c r="F356" s="660" t="s">
        <v>1658</v>
      </c>
      <c r="G356" s="2138">
        <f>SUM(G353:G355)</f>
        <v>1793879</v>
      </c>
      <c r="H356" s="202"/>
      <c r="I356" s="202"/>
      <c r="J356" s="2138">
        <f>SUM(J353:J355)</f>
        <v>1793879</v>
      </c>
      <c r="K356" s="202"/>
      <c r="L356" s="202"/>
    </row>
    <row r="357" spans="1:12">
      <c r="A357" s="202"/>
      <c r="B357" s="202"/>
      <c r="C357" s="208">
        <v>6</v>
      </c>
      <c r="D357" s="202"/>
      <c r="E357" s="202"/>
      <c r="F357" s="202"/>
      <c r="G357" s="206"/>
      <c r="H357" s="202"/>
      <c r="I357" s="202"/>
      <c r="J357" s="206"/>
      <c r="K357" s="202"/>
      <c r="L357" s="202"/>
    </row>
    <row r="358" spans="1:12">
      <c r="A358" s="202"/>
      <c r="B358" s="202"/>
      <c r="C358" s="208">
        <v>7</v>
      </c>
      <c r="D358" s="202"/>
      <c r="E358" s="202"/>
      <c r="F358" s="204" t="s">
        <v>495</v>
      </c>
      <c r="G358" s="202"/>
      <c r="H358" s="202"/>
      <c r="I358" s="202"/>
      <c r="J358" s="202"/>
      <c r="K358" s="202"/>
      <c r="L358" s="202"/>
    </row>
    <row r="359" spans="1:12">
      <c r="A359" s="202"/>
      <c r="B359" s="202">
        <v>409190</v>
      </c>
      <c r="C359" s="208">
        <v>8</v>
      </c>
      <c r="D359" s="208">
        <v>409190</v>
      </c>
      <c r="E359" s="202"/>
      <c r="F359" s="660" t="s">
        <v>1659</v>
      </c>
      <c r="G359" s="215">
        <f>VLOOKUP(B359,BasePeriod,5,FALSE)</f>
        <v>16748583</v>
      </c>
      <c r="H359" s="212" t="s">
        <v>1655</v>
      </c>
      <c r="I359" s="202"/>
      <c r="J359" s="215">
        <f>G359</f>
        <v>16748583</v>
      </c>
      <c r="K359" s="208" t="s">
        <v>428</v>
      </c>
      <c r="L359" s="202"/>
    </row>
    <row r="360" spans="1:12">
      <c r="A360" s="202"/>
      <c r="B360" s="202">
        <v>409191</v>
      </c>
      <c r="C360" s="208">
        <v>9</v>
      </c>
      <c r="D360" s="208">
        <v>409191</v>
      </c>
      <c r="E360" s="202"/>
      <c r="F360" s="660" t="s">
        <v>1660</v>
      </c>
      <c r="G360" s="215">
        <f>VLOOKUP(B360,BasePeriod,5,FALSE)</f>
        <v>0</v>
      </c>
      <c r="H360" s="717">
        <f>VLOOKUP(K360,ALLOCTABLE,2)</f>
        <v>100</v>
      </c>
      <c r="I360" s="202"/>
      <c r="J360" s="215">
        <f>ROUND(G360*(H360/100),0)</f>
        <v>0</v>
      </c>
      <c r="K360" s="208" t="s">
        <v>428</v>
      </c>
      <c r="L360" s="202"/>
    </row>
    <row r="361" spans="1:12">
      <c r="A361" s="202"/>
      <c r="B361" s="202">
        <v>409194</v>
      </c>
      <c r="C361" s="208">
        <v>10</v>
      </c>
      <c r="D361" s="208">
        <v>409194</v>
      </c>
      <c r="E361" s="202"/>
      <c r="F361" s="660" t="s">
        <v>1661</v>
      </c>
      <c r="G361" s="215">
        <f>VLOOKUP(B361,BasePeriod,5,FALSE)</f>
        <v>0</v>
      </c>
      <c r="H361" s="717">
        <f>VLOOKUP(K361,ALLOCTABLE,2)</f>
        <v>100</v>
      </c>
      <c r="I361" s="202"/>
      <c r="J361" s="215">
        <f>ROUND(G361*(H361/100),0)</f>
        <v>0</v>
      </c>
      <c r="K361" s="208" t="s">
        <v>428</v>
      </c>
      <c r="L361" s="202"/>
    </row>
    <row r="362" spans="1:12">
      <c r="A362" s="202"/>
      <c r="B362" s="202">
        <v>409195</v>
      </c>
      <c r="C362" s="208">
        <v>11</v>
      </c>
      <c r="D362" s="208">
        <v>409195</v>
      </c>
      <c r="E362" s="202"/>
      <c r="F362" s="660" t="s">
        <v>1662</v>
      </c>
      <c r="G362" s="215">
        <f>VLOOKUP(B362,BasePeriod,5,FALSE)</f>
        <v>0</v>
      </c>
      <c r="H362" s="717">
        <f>VLOOKUP(K362,ALLOCTABLE,2)</f>
        <v>100</v>
      </c>
      <c r="I362" s="202"/>
      <c r="J362" s="215">
        <f>ROUND(G362*(H362/100),0)</f>
        <v>0</v>
      </c>
      <c r="K362" s="208" t="s">
        <v>428</v>
      </c>
      <c r="L362" s="202"/>
    </row>
    <row r="363" spans="1:12">
      <c r="A363" s="202"/>
      <c r="B363" s="202"/>
      <c r="C363" s="208">
        <v>12</v>
      </c>
      <c r="D363" s="202"/>
      <c r="E363" s="202"/>
      <c r="F363" s="202" t="s">
        <v>1663</v>
      </c>
      <c r="G363" s="2138">
        <f>SUM(G359:G362)</f>
        <v>16748583</v>
      </c>
      <c r="H363" s="202"/>
      <c r="I363" s="202"/>
      <c r="J363" s="2138">
        <f>SUM(J359:J362)</f>
        <v>16748583</v>
      </c>
      <c r="K363" s="202"/>
      <c r="L363" s="202"/>
    </row>
    <row r="364" spans="1:12">
      <c r="A364" s="202"/>
      <c r="B364" s="202"/>
      <c r="C364" s="208">
        <v>13</v>
      </c>
      <c r="D364" s="202"/>
      <c r="E364" s="202"/>
      <c r="F364" s="202"/>
      <c r="G364" s="206"/>
      <c r="H364" s="202"/>
      <c r="I364" s="202"/>
      <c r="J364" s="206"/>
      <c r="K364" s="202"/>
      <c r="L364" s="202"/>
    </row>
    <row r="365" spans="1:12">
      <c r="A365" s="202"/>
      <c r="B365" s="202"/>
      <c r="C365" s="208">
        <v>14</v>
      </c>
      <c r="D365" s="202"/>
      <c r="E365" s="202"/>
      <c r="F365" s="204" t="s">
        <v>1664</v>
      </c>
      <c r="G365" s="202"/>
      <c r="H365" s="202"/>
      <c r="I365" s="202"/>
      <c r="J365" s="202"/>
      <c r="K365" s="202"/>
      <c r="L365" s="202"/>
    </row>
    <row r="366" spans="1:12">
      <c r="A366" s="202"/>
      <c r="B366" s="202">
        <v>410105</v>
      </c>
      <c r="C366" s="208">
        <v>15</v>
      </c>
      <c r="D366" s="208" t="s">
        <v>405</v>
      </c>
      <c r="E366" s="202"/>
      <c r="F366" s="660" t="s">
        <v>1665</v>
      </c>
      <c r="G366" s="215">
        <f>VLOOKUP(A367,BasePeriod,5,FALSE)+VLOOKUP(B366,BasePeriod,5,FALSE)</f>
        <v>-7248058</v>
      </c>
      <c r="H366" s="717">
        <f>VLOOKUP(K366,ALLOCTABLE,2)</f>
        <v>100</v>
      </c>
      <c r="I366" s="202"/>
      <c r="J366" s="215">
        <f>ROUND(G366*(H366/100),0)</f>
        <v>-7248058</v>
      </c>
      <c r="K366" s="208" t="s">
        <v>428</v>
      </c>
      <c r="L366" s="202"/>
    </row>
    <row r="367" spans="1:12">
      <c r="A367" s="202">
        <v>410100</v>
      </c>
      <c r="B367" s="202">
        <v>410106</v>
      </c>
      <c r="C367" s="208">
        <v>16</v>
      </c>
      <c r="D367" s="208" t="s">
        <v>405</v>
      </c>
      <c r="E367" s="202"/>
      <c r="F367" s="660" t="s">
        <v>1666</v>
      </c>
      <c r="G367" s="215">
        <f>VLOOKUP(A368,BasePeriod,5,FALSE)+VLOOKUP(B367,BasePeriod,5,FALSE)</f>
        <v>1420518</v>
      </c>
      <c r="H367" s="717">
        <f>VLOOKUP(K367,ALLOCTABLE,2)</f>
        <v>100</v>
      </c>
      <c r="I367" s="202"/>
      <c r="J367" s="215">
        <f>ROUND(G367*(H367/100),0)</f>
        <v>1420518</v>
      </c>
      <c r="K367" s="208" t="s">
        <v>428</v>
      </c>
      <c r="L367" s="202"/>
    </row>
    <row r="368" spans="1:12">
      <c r="A368" s="202">
        <v>410102</v>
      </c>
      <c r="B368" s="202">
        <v>411102</v>
      </c>
      <c r="C368" s="208">
        <v>17</v>
      </c>
      <c r="D368" s="208" t="s">
        <v>405</v>
      </c>
      <c r="E368" s="202"/>
      <c r="F368" s="660" t="s">
        <v>1667</v>
      </c>
      <c r="G368" s="215">
        <f>VLOOKUP(A369,BasePeriod,5,FALSE)+VLOOKUP(B368,BasePeriod,5,FALSE)</f>
        <v>0</v>
      </c>
      <c r="H368" s="717">
        <f>VLOOKUP(K368,ALLOCTABLE,2)</f>
        <v>100</v>
      </c>
      <c r="I368" s="202"/>
      <c r="J368" s="215">
        <f>ROUND(G368*(H368/100),0)</f>
        <v>0</v>
      </c>
      <c r="K368" s="208" t="s">
        <v>428</v>
      </c>
      <c r="L368" s="202"/>
    </row>
    <row r="369" spans="1:12">
      <c r="A369" s="202">
        <v>411100</v>
      </c>
      <c r="B369" s="202">
        <v>411103</v>
      </c>
      <c r="C369" s="208">
        <v>18</v>
      </c>
      <c r="D369" s="208" t="s">
        <v>405</v>
      </c>
      <c r="E369" s="202"/>
      <c r="F369" s="660" t="s">
        <v>1668</v>
      </c>
      <c r="G369" s="215">
        <f>VLOOKUP(A370,BasePeriod,5,FALSE)+VLOOKUP(B369,BasePeriod,5,FALSE)</f>
        <v>0</v>
      </c>
      <c r="H369" s="717">
        <f>VLOOKUP(K369,ALLOCTABLE,2)</f>
        <v>100</v>
      </c>
      <c r="I369" s="202"/>
      <c r="J369" s="215">
        <f>ROUND(G369*(H369/100),0)</f>
        <v>0</v>
      </c>
      <c r="K369" s="208" t="s">
        <v>428</v>
      </c>
      <c r="L369" s="202"/>
    </row>
    <row r="370" spans="1:12">
      <c r="A370" s="202">
        <v>411101</v>
      </c>
      <c r="B370" s="202"/>
      <c r="C370" s="208">
        <v>19</v>
      </c>
      <c r="D370" s="202"/>
      <c r="E370" s="202"/>
      <c r="F370" s="660" t="s">
        <v>1669</v>
      </c>
      <c r="G370" s="2138">
        <f>SUM(G366:G369)</f>
        <v>-5827540</v>
      </c>
      <c r="H370" s="215"/>
      <c r="I370" s="215"/>
      <c r="J370" s="2138">
        <f>SUM(J366:J369)</f>
        <v>-5827540</v>
      </c>
      <c r="K370" s="215"/>
      <c r="L370" s="202"/>
    </row>
    <row r="371" spans="1:12">
      <c r="A371" s="202"/>
      <c r="B371" s="202"/>
      <c r="C371" s="208">
        <v>20</v>
      </c>
      <c r="D371" s="202"/>
      <c r="E371" s="202"/>
      <c r="F371" s="660"/>
      <c r="G371" s="215"/>
      <c r="H371" s="215"/>
      <c r="I371" s="215"/>
      <c r="J371" s="215"/>
      <c r="K371" s="215"/>
      <c r="L371" s="202"/>
    </row>
    <row r="372" spans="1:12">
      <c r="A372" s="202"/>
      <c r="B372" s="202">
        <v>411410</v>
      </c>
      <c r="C372" s="208">
        <v>21</v>
      </c>
      <c r="D372" s="208">
        <v>411065</v>
      </c>
      <c r="E372" s="202"/>
      <c r="F372" s="660" t="s">
        <v>1670</v>
      </c>
      <c r="G372" s="215">
        <f>ROUND(VLOOKUP(B372,BasePeriod,5,FALSE),0)</f>
        <v>0</v>
      </c>
      <c r="H372" s="717">
        <f>VLOOKUP(K372,ALLOCTABLE,2)</f>
        <v>100</v>
      </c>
      <c r="I372" s="202"/>
      <c r="J372" s="215">
        <f>ROUND(G372*(H372/100),0)</f>
        <v>0</v>
      </c>
      <c r="K372" s="208" t="s">
        <v>428</v>
      </c>
      <c r="L372" s="202"/>
    </row>
    <row r="373" spans="1:12">
      <c r="A373" s="202"/>
      <c r="B373" s="202"/>
      <c r="C373" s="208">
        <v>22</v>
      </c>
      <c r="D373" s="208"/>
      <c r="E373" s="202"/>
      <c r="F373" s="660"/>
      <c r="G373" s="215"/>
      <c r="H373" s="717"/>
      <c r="I373" s="202"/>
      <c r="J373" s="215"/>
      <c r="K373" s="208"/>
      <c r="L373" s="202"/>
    </row>
    <row r="374" spans="1:12">
      <c r="A374" s="202"/>
      <c r="B374" s="202"/>
      <c r="C374" s="208">
        <v>23</v>
      </c>
      <c r="D374" s="202"/>
      <c r="E374" s="202"/>
      <c r="F374" s="660" t="s">
        <v>1671</v>
      </c>
      <c r="G374" s="2138">
        <f>G356+G363+G370+G372</f>
        <v>12714922</v>
      </c>
      <c r="H374" s="215"/>
      <c r="I374" s="215"/>
      <c r="J374" s="2138">
        <f>J356+J363+J370+J372</f>
        <v>12714922</v>
      </c>
      <c r="K374" s="215"/>
      <c r="L374" s="202"/>
    </row>
    <row r="375" spans="1:12">
      <c r="A375" s="202"/>
      <c r="B375" s="202"/>
      <c r="C375" s="208">
        <v>24</v>
      </c>
      <c r="D375" s="202"/>
      <c r="E375" s="202"/>
      <c r="F375" s="660" t="s">
        <v>1672</v>
      </c>
      <c r="G375" s="2138">
        <f>G287+G290+G298+G335+G374</f>
        <v>419927028</v>
      </c>
      <c r="H375" s="215"/>
      <c r="I375" s="215"/>
      <c r="J375" s="2138">
        <f>J287+J290+J298+J335+J374</f>
        <v>419927028</v>
      </c>
      <c r="K375" s="202"/>
      <c r="L375" s="202"/>
    </row>
    <row r="376" spans="1:12" ht="13.8" thickBot="1">
      <c r="A376" s="202"/>
      <c r="B376" s="202"/>
      <c r="C376" s="208">
        <v>25</v>
      </c>
      <c r="D376" s="202"/>
      <c r="E376" s="202"/>
      <c r="F376" s="660" t="s">
        <v>1673</v>
      </c>
      <c r="G376" s="1952">
        <f>G53-G375</f>
        <v>83838119</v>
      </c>
      <c r="H376" s="215"/>
      <c r="I376" s="215"/>
      <c r="J376" s="1952">
        <f>J53-J375</f>
        <v>83838119</v>
      </c>
      <c r="K376" s="202"/>
      <c r="L376" s="202"/>
    </row>
    <row r="377" spans="1:12" ht="13.8" thickTop="1">
      <c r="A377" s="202"/>
      <c r="B377" s="202"/>
      <c r="C377" s="202"/>
      <c r="D377" s="202"/>
      <c r="E377" s="202"/>
      <c r="F377" s="202"/>
      <c r="G377" s="215"/>
      <c r="H377" s="215"/>
      <c r="I377" s="215"/>
      <c r="J377" s="215"/>
      <c r="K377" s="202"/>
      <c r="L377" s="202"/>
    </row>
    <row r="378" spans="1:12">
      <c r="A378" s="202"/>
      <c r="B378" s="202"/>
      <c r="C378" s="202"/>
      <c r="D378" s="202"/>
      <c r="E378" s="202"/>
      <c r="F378" s="202"/>
      <c r="G378" s="215"/>
      <c r="H378" s="202"/>
      <c r="I378" s="202"/>
      <c r="J378" s="202"/>
      <c r="K378" s="202"/>
      <c r="L378" s="202"/>
    </row>
    <row r="379" spans="1:12">
      <c r="A379" s="202"/>
      <c r="B379" s="202"/>
      <c r="C379" s="202"/>
      <c r="D379" s="202"/>
      <c r="E379" s="202"/>
      <c r="F379" s="202"/>
      <c r="G379" s="215"/>
      <c r="H379" s="202"/>
      <c r="I379" s="202"/>
      <c r="J379" s="206"/>
      <c r="K379" s="202"/>
      <c r="L379" s="202"/>
    </row>
    <row r="380" spans="1:12">
      <c r="A380" s="202"/>
      <c r="B380" s="202"/>
      <c r="C380" s="202"/>
      <c r="D380" s="202"/>
      <c r="E380" s="202"/>
      <c r="F380" s="202"/>
      <c r="G380" s="215"/>
      <c r="H380" s="202"/>
      <c r="I380" s="202"/>
      <c r="J380" s="202"/>
      <c r="K380" s="202"/>
      <c r="L380" s="202"/>
    </row>
    <row r="381" spans="1:12">
      <c r="A381" s="202"/>
      <c r="G381" s="811"/>
      <c r="L381" s="202"/>
    </row>
    <row r="382" spans="1:12">
      <c r="G382" s="28"/>
    </row>
  </sheetData>
  <phoneticPr fontId="19" type="noConversion"/>
  <pageMargins left="1" right="0.75" top="1" bottom="0" header="0" footer="0"/>
  <pageSetup scale="59" orientation="portrait" blackAndWhite="1" r:id="rId1"/>
  <headerFooter alignWithMargins="0"/>
  <rowBreaks count="3" manualBreakCount="3">
    <brk id="84" max="65535" man="1"/>
    <brk id="183" max="65535" man="1"/>
    <brk id="230" max="65535" man="1"/>
  </rowBreaks>
  <colBreaks count="1" manualBreakCount="1">
    <brk id="2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68">
    <tabColor theme="2" tint="-0.499984740745262"/>
    <pageSetUpPr fitToPage="1"/>
  </sheetPr>
  <dimension ref="A1:W378"/>
  <sheetViews>
    <sheetView zoomScale="90" zoomScaleNormal="90" workbookViewId="0"/>
  </sheetViews>
  <sheetFormatPr defaultColWidth="8" defaultRowHeight="13.2"/>
  <cols>
    <col min="1" max="1" width="10.5546875" customWidth="1"/>
    <col min="2" max="2" width="15.5546875" customWidth="1"/>
    <col min="3" max="3" width="6.5546875" customWidth="1"/>
    <col min="4" max="4" width="15.5546875" customWidth="1"/>
    <col min="5" max="5" width="1" customWidth="1"/>
    <col min="6" max="6" width="60.5546875" customWidth="1"/>
    <col min="7" max="7" width="17.5546875" customWidth="1"/>
    <col min="8" max="8" width="15.5546875" customWidth="1"/>
    <col min="9" max="9" width="1.44140625" customWidth="1"/>
    <col min="10" max="10" width="20" customWidth="1"/>
    <col min="11" max="11" width="21" customWidth="1"/>
    <col min="12" max="12" width="4.5546875" customWidth="1"/>
    <col min="13" max="14" width="16.5546875" customWidth="1"/>
    <col min="15" max="15" width="16.44140625" customWidth="1"/>
    <col min="16" max="21" width="16.5546875" customWidth="1"/>
    <col min="22" max="22" width="17.44140625" customWidth="1"/>
    <col min="23" max="23" width="3.5546875" customWidth="1"/>
    <col min="24" max="24" width="17.44140625" customWidth="1"/>
    <col min="25" max="25" width="8" customWidth="1"/>
    <col min="26" max="26" width="14.5546875" customWidth="1"/>
    <col min="27" max="28" width="13.5546875" customWidth="1"/>
    <col min="29" max="29" width="15.44140625" customWidth="1"/>
    <col min="30" max="30" width="13" customWidth="1"/>
  </cols>
  <sheetData>
    <row r="1" spans="1:23">
      <c r="A1" s="202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</row>
    <row r="2" spans="1:23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</row>
    <row r="3" spans="1:23">
      <c r="A3" s="202"/>
      <c r="B3" s="202"/>
      <c r="C3" s="203" t="str">
        <f>COMPANY</f>
        <v>DUKE ENERGY KENTUCKY, INC.</v>
      </c>
      <c r="D3" s="203"/>
      <c r="E3" s="203"/>
      <c r="F3" s="203"/>
      <c r="G3" s="203"/>
      <c r="H3" s="203"/>
      <c r="I3" s="203"/>
      <c r="J3" s="203"/>
      <c r="K3" s="203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</row>
    <row r="4" spans="1:23">
      <c r="A4" s="202"/>
      <c r="B4" s="202"/>
      <c r="C4" s="203" t="str">
        <f>CASE</f>
        <v>CASE NO. 2024-00354</v>
      </c>
      <c r="D4" s="203"/>
      <c r="E4" s="203"/>
      <c r="F4" s="203"/>
      <c r="G4" s="203"/>
      <c r="H4" s="203"/>
      <c r="I4" s="203"/>
      <c r="J4" s="203"/>
      <c r="K4" s="203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</row>
    <row r="5" spans="1:23">
      <c r="A5" s="202"/>
      <c r="B5" s="202"/>
      <c r="C5" s="203" t="s">
        <v>1511</v>
      </c>
      <c r="D5" s="203"/>
      <c r="E5" s="203"/>
      <c r="F5" s="203"/>
      <c r="G5" s="203"/>
      <c r="H5" s="203"/>
      <c r="I5" s="203"/>
      <c r="J5" s="203"/>
      <c r="K5" s="203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</row>
    <row r="6" spans="1:23">
      <c r="A6" s="202"/>
      <c r="B6" s="202"/>
      <c r="C6" s="203" t="str">
        <f>PeriodF</f>
        <v>FOR THE TWELVE MONTHS ENDED JUNE 30, 2026</v>
      </c>
      <c r="D6" s="203"/>
      <c r="E6" s="203"/>
      <c r="F6" s="203"/>
      <c r="G6" s="203"/>
      <c r="H6" s="203"/>
      <c r="I6" s="203"/>
      <c r="J6" s="203"/>
      <c r="K6" s="203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</row>
    <row r="7" spans="1:23">
      <c r="A7" s="202"/>
      <c r="B7" s="202"/>
      <c r="C7" s="203"/>
      <c r="D7" s="203"/>
      <c r="E7" s="203"/>
      <c r="F7" s="203"/>
      <c r="G7" s="203"/>
      <c r="H7" s="203"/>
      <c r="I7" s="203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</row>
    <row r="8" spans="1:23">
      <c r="A8" s="223"/>
      <c r="B8" s="223"/>
      <c r="C8" s="202"/>
      <c r="D8" s="202"/>
      <c r="E8" s="202"/>
      <c r="F8" s="202"/>
      <c r="G8" s="202"/>
      <c r="H8" s="202"/>
      <c r="I8" s="202"/>
      <c r="J8" s="660" t="str">
        <f>"                "&amp;"SCHEDULE C-2.1"</f>
        <v xml:space="preserve">                SCHEDULE C-2.1</v>
      </c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</row>
    <row r="9" spans="1:23">
      <c r="A9" s="208"/>
      <c r="B9" s="208"/>
      <c r="C9" s="202" t="str">
        <f>DataF</f>
        <v>DATA:  BASE PERIOD  "X" FORECASTED PERIOD</v>
      </c>
      <c r="D9" s="202"/>
      <c r="E9" s="202"/>
      <c r="F9" s="202"/>
      <c r="G9" s="202"/>
      <c r="H9" s="202"/>
      <c r="I9" s="202"/>
      <c r="J9" s="660" t="str">
        <f>"                "&amp;"PAGE  8  OF  14"</f>
        <v xml:space="preserve">                PAGE  8  OF  14</v>
      </c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02"/>
      <c r="V9" s="202"/>
      <c r="W9" s="202"/>
    </row>
    <row r="10" spans="1:23">
      <c r="A10" s="208"/>
      <c r="B10" s="208"/>
      <c r="C10" s="202" t="str">
        <f>Type</f>
        <v xml:space="preserve">TYPE OF FILING:  "X" ORIGINAL   UPDATED    REVISED  </v>
      </c>
      <c r="D10" s="202"/>
      <c r="E10" s="202"/>
      <c r="F10" s="202"/>
      <c r="G10" s="202"/>
      <c r="H10" s="202"/>
      <c r="I10" s="202"/>
      <c r="J10" s="660" t="str">
        <f>"                "&amp;"WITNESS RESPONSIBLE:"</f>
        <v xml:space="preserve">                WITNESS RESPONSIBLE:</v>
      </c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</row>
    <row r="11" spans="1:23">
      <c r="A11" s="208"/>
      <c r="B11" s="208"/>
      <c r="C11" s="660" t="s">
        <v>1674</v>
      </c>
      <c r="D11" s="202"/>
      <c r="E11" s="202"/>
      <c r="F11" s="202"/>
      <c r="G11" s="202"/>
      <c r="H11" s="202"/>
      <c r="I11" s="202"/>
      <c r="J11" s="660" t="str">
        <f>"                "&amp;_WIT1</f>
        <v xml:space="preserve">                L. D. STEINKUHL</v>
      </c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</row>
    <row r="12" spans="1:23">
      <c r="A12" s="208"/>
      <c r="B12" s="208"/>
      <c r="C12" s="1496"/>
      <c r="D12" s="1497"/>
      <c r="E12" s="1497"/>
      <c r="F12" s="1497"/>
      <c r="G12" s="1497"/>
      <c r="H12" s="1497"/>
      <c r="I12" s="1497"/>
      <c r="J12" s="1497"/>
      <c r="K12" s="1497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</row>
    <row r="13" spans="1:23">
      <c r="A13" s="208"/>
      <c r="B13" s="208"/>
      <c r="C13" s="202"/>
      <c r="D13" s="202"/>
      <c r="E13" s="202"/>
      <c r="F13" s="202"/>
      <c r="G13" s="208" t="s">
        <v>1513</v>
      </c>
      <c r="H13" s="208" t="s">
        <v>970</v>
      </c>
      <c r="I13" s="202"/>
      <c r="J13" s="202"/>
      <c r="K13" s="208" t="s">
        <v>937</v>
      </c>
      <c r="L13" s="202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2"/>
    </row>
    <row r="14" spans="1:23">
      <c r="A14" s="208"/>
      <c r="B14" s="208"/>
      <c r="C14" s="208" t="s">
        <v>471</v>
      </c>
      <c r="D14" s="208" t="s">
        <v>1045</v>
      </c>
      <c r="E14" s="202"/>
      <c r="F14" s="202"/>
      <c r="G14" s="208" t="s">
        <v>972</v>
      </c>
      <c r="H14" s="208" t="s">
        <v>973</v>
      </c>
      <c r="I14" s="202"/>
      <c r="J14" s="208" t="s">
        <v>1513</v>
      </c>
      <c r="K14" s="208" t="s">
        <v>1514</v>
      </c>
      <c r="L14" s="202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2"/>
    </row>
    <row r="15" spans="1:23">
      <c r="A15" s="208"/>
      <c r="B15" s="208"/>
      <c r="C15" s="208" t="s">
        <v>475</v>
      </c>
      <c r="D15" s="208" t="s">
        <v>533</v>
      </c>
      <c r="E15" s="202"/>
      <c r="F15" s="203" t="s">
        <v>1515</v>
      </c>
      <c r="G15" s="208" t="s">
        <v>1153</v>
      </c>
      <c r="H15" s="208" t="s">
        <v>420</v>
      </c>
      <c r="I15" s="202"/>
      <c r="J15" s="208" t="s">
        <v>1516</v>
      </c>
      <c r="K15" s="208" t="s">
        <v>476</v>
      </c>
      <c r="L15" s="202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202"/>
    </row>
    <row r="16" spans="1:23">
      <c r="A16" s="208"/>
      <c r="B16" s="208"/>
      <c r="C16" s="1498"/>
      <c r="D16" s="1498"/>
      <c r="E16" s="1498"/>
      <c r="F16" s="1498"/>
      <c r="G16" s="1500" t="s">
        <v>506</v>
      </c>
      <c r="H16" s="1500" t="s">
        <v>510</v>
      </c>
      <c r="I16" s="1498"/>
      <c r="J16" s="1500" t="s">
        <v>519</v>
      </c>
      <c r="K16" s="1500" t="s">
        <v>911</v>
      </c>
      <c r="L16" s="202"/>
      <c r="M16" s="208"/>
      <c r="N16" s="208"/>
      <c r="O16" s="208"/>
      <c r="P16" s="208"/>
      <c r="Q16" s="208"/>
      <c r="R16" s="208"/>
      <c r="S16" s="208"/>
      <c r="T16" s="208"/>
      <c r="U16" s="208"/>
      <c r="V16" s="208"/>
      <c r="W16" s="202"/>
    </row>
    <row r="17" spans="1:23">
      <c r="A17" s="208"/>
      <c r="B17" s="208"/>
      <c r="C17" s="202"/>
      <c r="D17" s="208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</row>
    <row r="18" spans="1:23">
      <c r="A18" s="208"/>
      <c r="B18" s="208"/>
      <c r="C18" s="208">
        <v>1</v>
      </c>
      <c r="D18" s="208"/>
      <c r="E18" s="202"/>
      <c r="F18" s="204" t="s">
        <v>1517</v>
      </c>
      <c r="G18" s="202"/>
      <c r="H18" s="202"/>
      <c r="I18" s="202"/>
      <c r="J18" s="202"/>
      <c r="K18" s="202"/>
      <c r="L18" s="202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02"/>
    </row>
    <row r="19" spans="1:23">
      <c r="A19" s="202"/>
      <c r="B19" s="202"/>
      <c r="C19" s="208">
        <v>2</v>
      </c>
      <c r="D19" s="208"/>
      <c r="E19" s="202"/>
      <c r="F19" s="202"/>
      <c r="G19" s="202"/>
      <c r="H19" s="202"/>
      <c r="I19" s="202"/>
      <c r="J19" s="202"/>
      <c r="K19" s="202"/>
      <c r="L19" s="202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02"/>
    </row>
    <row r="20" spans="1:23">
      <c r="A20" s="202"/>
      <c r="B20" s="202"/>
      <c r="C20" s="208">
        <v>3</v>
      </c>
      <c r="D20" s="208"/>
      <c r="E20" s="202"/>
      <c r="F20" s="204" t="s">
        <v>1518</v>
      </c>
      <c r="G20" s="202"/>
      <c r="H20" s="202"/>
      <c r="I20" s="202"/>
      <c r="J20" s="202"/>
      <c r="K20" s="202"/>
      <c r="L20" s="202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</row>
    <row r="21" spans="1:23">
      <c r="A21" s="202"/>
      <c r="B21" s="202">
        <v>440</v>
      </c>
      <c r="C21" s="208">
        <v>4</v>
      </c>
      <c r="D21" s="208">
        <v>440</v>
      </c>
      <c r="E21" s="202"/>
      <c r="F21" s="660" t="str">
        <f>'SCH_C2.1 - Base Period'!F21</f>
        <v>Residential</v>
      </c>
      <c r="G21" s="215">
        <f t="array" ref="G21">SUM(IF(FERCFP=B21,AmountFP))</f>
        <v>188621557</v>
      </c>
      <c r="H21" s="717">
        <f t="shared" ref="H21:H26" si="0">VLOOKUP(K21,ALLOCTABLE,2)</f>
        <v>100</v>
      </c>
      <c r="I21" s="202"/>
      <c r="J21" s="215">
        <f t="shared" ref="J21:J26" si="1">ROUND(G21*(H21/100),0)</f>
        <v>188621557</v>
      </c>
      <c r="K21" s="208" t="s">
        <v>428</v>
      </c>
      <c r="L21" s="202"/>
      <c r="M21" s="215"/>
      <c r="N21" s="215"/>
      <c r="O21" s="224"/>
      <c r="P21" s="224"/>
      <c r="Q21" s="42"/>
      <c r="R21" s="224"/>
      <c r="S21" s="224"/>
      <c r="T21" s="224"/>
      <c r="U21" s="224"/>
      <c r="V21" s="215"/>
      <c r="W21" s="215"/>
    </row>
    <row r="22" spans="1:23">
      <c r="A22" s="202">
        <v>442100</v>
      </c>
      <c r="B22" s="202">
        <v>442190</v>
      </c>
      <c r="C22" s="208">
        <v>5</v>
      </c>
      <c r="D22" s="208">
        <v>442</v>
      </c>
      <c r="E22" s="202"/>
      <c r="F22" s="660" t="str">
        <f>'SCH_C2.1 - Base Period'!F22</f>
        <v>Commercial</v>
      </c>
      <c r="G22" s="215">
        <f>ROUND(VLOOKUP(A22,FPERIOD,5,FALSE)+VLOOKUP(B22,FPERIOD,5,FALSE),0)</f>
        <v>155530076</v>
      </c>
      <c r="H22" s="717">
        <f t="shared" si="0"/>
        <v>100</v>
      </c>
      <c r="I22" s="202"/>
      <c r="J22" s="215">
        <f t="shared" si="1"/>
        <v>155530076</v>
      </c>
      <c r="K22" s="208" t="s">
        <v>428</v>
      </c>
      <c r="L22" s="202"/>
      <c r="M22" s="215"/>
      <c r="N22" s="215"/>
      <c r="O22" s="224"/>
      <c r="P22" s="224"/>
      <c r="Q22" s="42"/>
      <c r="R22" s="224"/>
      <c r="S22" s="224"/>
      <c r="T22" s="224"/>
      <c r="U22" s="224"/>
      <c r="V22" s="215"/>
      <c r="W22" s="215"/>
    </row>
    <row r="23" spans="1:23">
      <c r="A23" s="202">
        <v>442200</v>
      </c>
      <c r="B23" s="202">
        <v>442290</v>
      </c>
      <c r="C23" s="208">
        <v>6</v>
      </c>
      <c r="D23" s="208">
        <v>442</v>
      </c>
      <c r="E23" s="202"/>
      <c r="F23" s="660" t="str">
        <f>'SCH_C2.1 - Base Period'!F23</f>
        <v>Industrial</v>
      </c>
      <c r="G23" s="215">
        <f>ROUND(VLOOKUP(A23,FPERIOD,5,FALSE)+VLOOKUP(B23,FPERIOD,5,FALSE),0)</f>
        <v>72666667</v>
      </c>
      <c r="H23" s="717">
        <f t="shared" si="0"/>
        <v>100</v>
      </c>
      <c r="I23" s="202"/>
      <c r="J23" s="215">
        <f t="shared" si="1"/>
        <v>72666667</v>
      </c>
      <c r="K23" s="208" t="s">
        <v>428</v>
      </c>
      <c r="L23" s="202"/>
      <c r="M23" s="215"/>
      <c r="N23" s="215"/>
      <c r="O23" s="224"/>
      <c r="P23" s="224"/>
      <c r="Q23" s="42"/>
      <c r="R23" s="224"/>
      <c r="S23" s="224"/>
      <c r="T23" s="224"/>
      <c r="U23" s="224"/>
      <c r="V23" s="215"/>
      <c r="W23" s="215"/>
    </row>
    <row r="24" spans="1:23">
      <c r="A24" s="202"/>
      <c r="B24" s="202">
        <v>444</v>
      </c>
      <c r="C24" s="208">
        <v>7</v>
      </c>
      <c r="D24" s="208">
        <v>444</v>
      </c>
      <c r="E24" s="202"/>
      <c r="F24" s="660" t="str">
        <f>'SCH_C2.1 - Base Period'!F24</f>
        <v>Public Street &amp; Hwy. Lighting</v>
      </c>
      <c r="G24" s="215">
        <f t="array" ref="G24">SUM(IF(FERCFP=B24,AmountFP))</f>
        <v>1768975</v>
      </c>
      <c r="H24" s="717">
        <f t="shared" si="0"/>
        <v>100</v>
      </c>
      <c r="I24" s="202"/>
      <c r="J24" s="215">
        <f t="shared" si="1"/>
        <v>1768975</v>
      </c>
      <c r="K24" s="208" t="s">
        <v>428</v>
      </c>
      <c r="L24" s="202"/>
      <c r="M24" s="215"/>
      <c r="N24" s="215"/>
      <c r="O24" s="224"/>
      <c r="P24" s="224"/>
      <c r="Q24" s="42"/>
      <c r="R24" s="224"/>
      <c r="S24" s="224"/>
      <c r="T24" s="224"/>
      <c r="U24" s="224"/>
      <c r="V24" s="215"/>
      <c r="W24" s="215"/>
    </row>
    <row r="25" spans="1:23">
      <c r="A25" s="202"/>
      <c r="B25" s="202">
        <v>445</v>
      </c>
      <c r="C25" s="208">
        <v>8</v>
      </c>
      <c r="D25" s="208">
        <v>445</v>
      </c>
      <c r="E25" s="202"/>
      <c r="F25" s="660" t="str">
        <f>'SCH_C2.1 - Base Period'!F25</f>
        <v>Other Public Authority</v>
      </c>
      <c r="G25" s="215">
        <f t="array" ref="G25">SUM(IF(FERCFP=B25,AmountFP))</f>
        <v>26915804</v>
      </c>
      <c r="H25" s="717">
        <f t="shared" si="0"/>
        <v>100</v>
      </c>
      <c r="I25" s="202"/>
      <c r="J25" s="215">
        <f t="shared" si="1"/>
        <v>26915804</v>
      </c>
      <c r="K25" s="208" t="s">
        <v>428</v>
      </c>
      <c r="L25" s="202"/>
      <c r="M25" s="215"/>
      <c r="N25" s="215"/>
      <c r="O25" s="224"/>
      <c r="P25" s="224"/>
      <c r="Q25" s="42"/>
      <c r="R25" s="224"/>
      <c r="S25" s="224"/>
      <c r="T25" s="224"/>
      <c r="U25" s="224"/>
      <c r="V25" s="215"/>
      <c r="W25" s="215"/>
    </row>
    <row r="26" spans="1:23">
      <c r="A26" s="202">
        <v>448000</v>
      </c>
      <c r="B26" s="202"/>
      <c r="C26" s="208">
        <v>9</v>
      </c>
      <c r="D26" s="205">
        <v>448</v>
      </c>
      <c r="E26" s="202"/>
      <c r="F26" s="660" t="str">
        <f>'SCH_C2.1 - Base Period'!F26</f>
        <v>Interdepartmental</v>
      </c>
      <c r="G26" s="215">
        <f>ROUND(VLOOKUP(A26,FPERIOD,5,FALSE),0)</f>
        <v>33541</v>
      </c>
      <c r="H26" s="717">
        <f t="shared" si="0"/>
        <v>100</v>
      </c>
      <c r="I26" s="202"/>
      <c r="J26" s="215">
        <f t="shared" si="1"/>
        <v>33541</v>
      </c>
      <c r="K26" s="208" t="s">
        <v>428</v>
      </c>
      <c r="L26" s="202"/>
      <c r="M26" s="215"/>
      <c r="N26" s="215"/>
      <c r="O26" s="224"/>
      <c r="P26" s="224"/>
      <c r="Q26" s="42"/>
      <c r="R26" s="224"/>
      <c r="S26" s="224"/>
      <c r="T26" s="224"/>
      <c r="U26" s="224"/>
      <c r="V26" s="215"/>
      <c r="W26" s="215"/>
    </row>
    <row r="27" spans="1:23">
      <c r="A27" s="202"/>
      <c r="B27" s="202"/>
      <c r="C27" s="208">
        <v>10</v>
      </c>
      <c r="D27" s="208"/>
      <c r="E27" s="202"/>
      <c r="F27" s="660" t="s">
        <v>1522</v>
      </c>
      <c r="G27" s="2138">
        <f>SUM(G20:G26)</f>
        <v>445536620</v>
      </c>
      <c r="H27" s="215"/>
      <c r="I27" s="202"/>
      <c r="J27" s="2138">
        <f>SUM(J20:J26)</f>
        <v>445536620</v>
      </c>
      <c r="K27" s="202"/>
      <c r="L27" s="202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</row>
    <row r="28" spans="1:23">
      <c r="A28" s="202"/>
      <c r="B28" s="202"/>
      <c r="C28" s="208">
        <v>11</v>
      </c>
      <c r="D28" s="208"/>
      <c r="E28" s="202"/>
      <c r="F28" s="202"/>
      <c r="G28" s="206"/>
      <c r="H28" s="202"/>
      <c r="I28" s="202"/>
      <c r="J28" s="206"/>
      <c r="K28" s="202"/>
      <c r="L28" s="202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</row>
    <row r="29" spans="1:23">
      <c r="A29" s="202"/>
      <c r="B29" s="202">
        <v>447</v>
      </c>
      <c r="C29" s="208">
        <v>12</v>
      </c>
      <c r="D29" s="208" t="s">
        <v>405</v>
      </c>
      <c r="E29" s="202"/>
      <c r="F29" s="204" t="str">
        <f>'SCH_C2.1 - Base Period'!F29</f>
        <v>Sales for Resale</v>
      </c>
      <c r="G29" s="2138">
        <f t="array" ref="G29">SUM(IF(FERCFP=B29,AmountFP))</f>
        <v>31560809</v>
      </c>
      <c r="H29" s="717">
        <f>VLOOKUP(K29,ALLOCTABLE,2)</f>
        <v>100</v>
      </c>
      <c r="I29" s="202"/>
      <c r="J29" s="2138">
        <f>ROUND(G29*(H29/100),0)</f>
        <v>31560809</v>
      </c>
      <c r="K29" s="208" t="s">
        <v>428</v>
      </c>
      <c r="L29" s="202"/>
      <c r="M29" s="224"/>
      <c r="N29" s="224"/>
      <c r="O29" s="224"/>
      <c r="P29" s="224"/>
      <c r="Q29" s="224"/>
      <c r="R29" s="224"/>
      <c r="S29" s="224"/>
      <c r="T29" s="224"/>
      <c r="U29" s="224"/>
      <c r="V29" s="215"/>
      <c r="W29" s="215"/>
    </row>
    <row r="30" spans="1:23">
      <c r="A30" s="202"/>
      <c r="B30" s="202"/>
      <c r="C30" s="208">
        <v>13</v>
      </c>
      <c r="D30" s="208"/>
      <c r="E30" s="202"/>
      <c r="F30" s="202"/>
      <c r="G30" s="206"/>
      <c r="H30" s="202"/>
      <c r="I30" s="202"/>
      <c r="J30" s="206"/>
      <c r="K30" s="202"/>
      <c r="L30" s="202"/>
      <c r="M30" s="224"/>
      <c r="N30" s="224"/>
      <c r="O30" s="224"/>
      <c r="P30" s="224"/>
      <c r="Q30" s="224"/>
      <c r="R30" s="224"/>
      <c r="S30" s="224"/>
      <c r="T30" s="224"/>
      <c r="U30" s="224"/>
      <c r="V30" s="215"/>
      <c r="W30" s="215"/>
    </row>
    <row r="31" spans="1:23">
      <c r="A31" s="202"/>
      <c r="B31" s="202"/>
      <c r="C31" s="208">
        <v>14</v>
      </c>
      <c r="D31" s="208"/>
      <c r="E31" s="202"/>
      <c r="F31" s="204" t="s">
        <v>1523</v>
      </c>
      <c r="G31" s="202"/>
      <c r="H31" s="717"/>
      <c r="I31" s="202"/>
      <c r="J31" s="215"/>
      <c r="K31" s="202"/>
      <c r="L31" s="202"/>
      <c r="M31" s="224"/>
      <c r="N31" s="224"/>
      <c r="O31" s="224"/>
      <c r="P31" s="224"/>
      <c r="Q31" s="224"/>
      <c r="R31" s="224"/>
      <c r="S31" s="224"/>
      <c r="T31" s="224"/>
      <c r="U31" s="224"/>
      <c r="V31" s="215"/>
      <c r="W31" s="215"/>
    </row>
    <row r="32" spans="1:23">
      <c r="A32" s="208"/>
      <c r="B32" s="208">
        <v>449</v>
      </c>
      <c r="C32" s="208">
        <v>15</v>
      </c>
      <c r="D32" s="208">
        <v>449</v>
      </c>
      <c r="E32" s="202"/>
      <c r="F32" s="660" t="str">
        <f>'SCH_C2.1 - Base Period'!F32</f>
        <v>Provision for Rate Refunds</v>
      </c>
      <c r="G32" s="215">
        <f t="array" ref="G32">SUM(IF(FERCFP=B32,AmountFP))</f>
        <v>0</v>
      </c>
      <c r="H32" s="717">
        <f t="shared" ref="H32:H43" si="2">VLOOKUP(K32,ALLOCTABLE,2)</f>
        <v>100</v>
      </c>
      <c r="I32" s="202"/>
      <c r="J32" s="215">
        <f t="shared" ref="J32:J43" si="3">ROUND(G32*(H32/100),0)</f>
        <v>0</v>
      </c>
      <c r="K32" s="208" t="s">
        <v>428</v>
      </c>
      <c r="L32" s="202"/>
      <c r="M32" s="224"/>
      <c r="N32" s="224"/>
      <c r="O32" s="224"/>
      <c r="P32" s="224"/>
      <c r="Q32" s="224"/>
      <c r="R32" s="224"/>
      <c r="S32" s="224"/>
      <c r="T32" s="224"/>
      <c r="U32" s="224"/>
      <c r="V32" s="215"/>
      <c r="W32" s="215"/>
    </row>
    <row r="33" spans="1:23">
      <c r="A33" s="208"/>
      <c r="B33" s="208">
        <v>450100</v>
      </c>
      <c r="C33" s="208">
        <v>16</v>
      </c>
      <c r="D33" s="208">
        <v>450</v>
      </c>
      <c r="E33" s="202"/>
      <c r="F33" s="660" t="str">
        <f>'SCH_C2.1 - Base Period'!F33</f>
        <v>Late Payment Charges</v>
      </c>
      <c r="G33" s="215">
        <f t="shared" ref="G33:G43" si="4">ROUND(VLOOKUP(B33,FPERIOD,5,FALSE),0)</f>
        <v>1155060</v>
      </c>
      <c r="H33" s="717">
        <f t="shared" si="2"/>
        <v>100</v>
      </c>
      <c r="I33" s="202"/>
      <c r="J33" s="215">
        <f t="shared" si="3"/>
        <v>1155060</v>
      </c>
      <c r="K33" s="208" t="s">
        <v>428</v>
      </c>
      <c r="L33" s="202"/>
      <c r="M33" s="224"/>
      <c r="N33" s="224"/>
      <c r="O33" s="224"/>
      <c r="P33" s="224"/>
      <c r="Q33" s="224"/>
      <c r="R33" s="224"/>
      <c r="S33" s="224"/>
      <c r="T33" s="224"/>
      <c r="U33" s="224"/>
      <c r="V33" s="215"/>
      <c r="W33" s="215"/>
    </row>
    <row r="34" spans="1:23">
      <c r="A34" s="208"/>
      <c r="B34" s="208">
        <v>451100</v>
      </c>
      <c r="C34" s="208">
        <v>17</v>
      </c>
      <c r="D34" s="208">
        <v>451</v>
      </c>
      <c r="E34" s="202"/>
      <c r="F34" s="660" t="str">
        <f>'SCH_C2.1 - Base Period'!F34</f>
        <v>Miscellaneous Service Revenues</v>
      </c>
      <c r="G34" s="215">
        <f t="shared" si="4"/>
        <v>249996</v>
      </c>
      <c r="H34" s="717">
        <f t="shared" si="2"/>
        <v>100</v>
      </c>
      <c r="I34" s="202"/>
      <c r="J34" s="215">
        <f t="shared" si="3"/>
        <v>249996</v>
      </c>
      <c r="K34" s="208" t="s">
        <v>428</v>
      </c>
      <c r="L34" s="202"/>
      <c r="M34" s="224"/>
      <c r="N34" s="224"/>
      <c r="O34" s="224"/>
      <c r="P34" s="224"/>
      <c r="Q34" s="224"/>
      <c r="R34" s="224"/>
      <c r="S34" s="224"/>
      <c r="T34" s="224"/>
      <c r="U34" s="224"/>
      <c r="V34" s="215"/>
      <c r="W34" s="215"/>
    </row>
    <row r="35" spans="1:23">
      <c r="A35" s="208"/>
      <c r="B35" s="208">
        <v>454200</v>
      </c>
      <c r="C35" s="208">
        <v>18</v>
      </c>
      <c r="D35" s="208">
        <v>454200</v>
      </c>
      <c r="E35" s="202"/>
      <c r="F35" s="660" t="str">
        <f>'SCH_C2.1 - Base Period'!F37</f>
        <v>Pole &amp; Line Attachments</v>
      </c>
      <c r="G35" s="215">
        <f t="shared" si="4"/>
        <v>699996</v>
      </c>
      <c r="H35" s="717">
        <f t="shared" si="2"/>
        <v>100</v>
      </c>
      <c r="I35" s="202"/>
      <c r="J35" s="215">
        <f t="shared" si="3"/>
        <v>699996</v>
      </c>
      <c r="K35" s="208" t="s">
        <v>428</v>
      </c>
      <c r="L35" s="202"/>
      <c r="M35" s="224"/>
      <c r="N35" s="224"/>
      <c r="O35" s="224"/>
      <c r="P35" s="224"/>
      <c r="Q35" s="224"/>
      <c r="R35" s="224"/>
      <c r="S35" s="224"/>
      <c r="T35" s="224"/>
      <c r="U35" s="224"/>
      <c r="V35" s="215"/>
      <c r="W35" s="215"/>
    </row>
    <row r="36" spans="1:23">
      <c r="A36" s="208"/>
      <c r="B36" s="208">
        <v>454300</v>
      </c>
      <c r="C36" s="208">
        <v>19</v>
      </c>
      <c r="D36" s="208">
        <v>454300</v>
      </c>
      <c r="E36" s="202"/>
      <c r="F36" s="660" t="str">
        <f>'SCH_C2.1 - Base Period'!F39</f>
        <v>Tower Lease Revenues</v>
      </c>
      <c r="G36" s="215">
        <f t="shared" si="4"/>
        <v>0</v>
      </c>
      <c r="H36" s="717">
        <f t="shared" si="2"/>
        <v>100</v>
      </c>
      <c r="I36" s="202"/>
      <c r="J36" s="215">
        <f t="shared" si="3"/>
        <v>0</v>
      </c>
      <c r="K36" s="208" t="s">
        <v>428</v>
      </c>
      <c r="L36" s="202"/>
      <c r="M36" s="224"/>
      <c r="N36" s="224"/>
      <c r="O36" s="224"/>
      <c r="P36" s="224"/>
      <c r="Q36" s="224"/>
      <c r="R36" s="224"/>
      <c r="S36" s="224"/>
      <c r="T36" s="224"/>
      <c r="U36" s="224"/>
      <c r="V36" s="215"/>
      <c r="W36" s="215"/>
    </row>
    <row r="37" spans="1:23">
      <c r="A37" s="208"/>
      <c r="B37" s="208">
        <v>454400</v>
      </c>
      <c r="C37" s="208">
        <v>20</v>
      </c>
      <c r="D37" s="208">
        <v>454400</v>
      </c>
      <c r="E37" s="202"/>
      <c r="F37" s="660" t="str">
        <f>'SCH_C2.1 - Base Period'!F40</f>
        <v>Other Electric Rents</v>
      </c>
      <c r="G37" s="215">
        <f t="shared" si="4"/>
        <v>1299996</v>
      </c>
      <c r="H37" s="717">
        <f t="shared" si="2"/>
        <v>100</v>
      </c>
      <c r="I37" s="202"/>
      <c r="J37" s="215">
        <f t="shared" si="3"/>
        <v>1299996</v>
      </c>
      <c r="K37" s="208" t="s">
        <v>428</v>
      </c>
      <c r="L37" s="202"/>
      <c r="M37" s="224"/>
      <c r="N37" s="224"/>
      <c r="O37" s="224"/>
      <c r="P37" s="224"/>
      <c r="Q37" s="224"/>
      <c r="R37" s="224"/>
      <c r="S37" s="224"/>
      <c r="T37" s="224"/>
      <c r="U37" s="224"/>
      <c r="V37" s="215"/>
      <c r="W37" s="215"/>
    </row>
    <row r="38" spans="1:23">
      <c r="A38" s="208"/>
      <c r="B38" s="208">
        <v>456025</v>
      </c>
      <c r="C38" s="208">
        <v>21</v>
      </c>
      <c r="D38" s="208">
        <v>456025</v>
      </c>
      <c r="E38" s="202"/>
      <c r="F38" s="660" t="str">
        <f>'SCH_C2.1 - Base Period'!F41</f>
        <v>RSG Rev - MISO Make Whole</v>
      </c>
      <c r="G38" s="215">
        <f t="shared" si="4"/>
        <v>0</v>
      </c>
      <c r="H38" s="717">
        <f t="shared" si="2"/>
        <v>100</v>
      </c>
      <c r="I38" s="202"/>
      <c r="J38" s="215">
        <f t="shared" si="3"/>
        <v>0</v>
      </c>
      <c r="K38" s="208" t="s">
        <v>428</v>
      </c>
      <c r="L38" s="202"/>
      <c r="M38" s="224"/>
      <c r="N38" s="224"/>
      <c r="O38" s="224"/>
      <c r="P38" s="224"/>
      <c r="Q38" s="224"/>
      <c r="R38" s="224"/>
      <c r="S38" s="224"/>
      <c r="T38" s="224"/>
      <c r="U38" s="224"/>
      <c r="V38" s="215"/>
      <c r="W38" s="215"/>
    </row>
    <row r="39" spans="1:23">
      <c r="A39" s="208"/>
      <c r="B39" s="208">
        <v>456040</v>
      </c>
      <c r="C39" s="208">
        <v>22</v>
      </c>
      <c r="D39" s="208">
        <v>456040</v>
      </c>
      <c r="E39" s="202"/>
      <c r="F39" s="660" t="str">
        <f>'SCH_C2.1 - Base Period'!F42</f>
        <v>Sales Use Tax Coll Fee</v>
      </c>
      <c r="G39" s="215">
        <f t="shared" si="4"/>
        <v>0</v>
      </c>
      <c r="H39" s="717">
        <f t="shared" si="2"/>
        <v>100</v>
      </c>
      <c r="I39" s="202"/>
      <c r="J39" s="215">
        <f t="shared" si="3"/>
        <v>0</v>
      </c>
      <c r="K39" s="208" t="s">
        <v>428</v>
      </c>
      <c r="L39" s="202"/>
      <c r="M39" s="224"/>
      <c r="N39" s="224"/>
      <c r="O39" s="224"/>
      <c r="P39" s="224"/>
      <c r="Q39" s="224"/>
      <c r="R39" s="224"/>
      <c r="S39" s="224"/>
      <c r="T39" s="224"/>
      <c r="U39" s="224"/>
      <c r="V39" s="215"/>
      <c r="W39" s="215"/>
    </row>
    <row r="40" spans="1:23">
      <c r="A40" s="208"/>
      <c r="B40" s="208">
        <v>456110</v>
      </c>
      <c r="C40" s="208">
        <v>23</v>
      </c>
      <c r="D40" s="208">
        <v>456110</v>
      </c>
      <c r="E40" s="202"/>
      <c r="F40" s="660" t="str">
        <f>'SCH_C2.1 - Base Period'!F44</f>
        <v>Transmission Charge PTP</v>
      </c>
      <c r="G40" s="215">
        <f t="shared" si="4"/>
        <v>144996</v>
      </c>
      <c r="H40" s="717">
        <f t="shared" si="2"/>
        <v>100</v>
      </c>
      <c r="I40" s="202"/>
      <c r="J40" s="215">
        <f t="shared" si="3"/>
        <v>144996</v>
      </c>
      <c r="K40" s="208" t="s">
        <v>428</v>
      </c>
      <c r="L40" s="202"/>
      <c r="M40" s="224"/>
      <c r="N40" s="224"/>
      <c r="O40" s="224"/>
      <c r="P40" s="224"/>
      <c r="Q40" s="224"/>
      <c r="R40" s="224"/>
      <c r="S40" s="224"/>
      <c r="T40" s="224"/>
      <c r="U40" s="224"/>
      <c r="V40" s="215"/>
      <c r="W40" s="215"/>
    </row>
    <row r="41" spans="1:23">
      <c r="A41" s="202"/>
      <c r="B41" s="208">
        <v>456111</v>
      </c>
      <c r="C41" s="208">
        <v>24</v>
      </c>
      <c r="D41" s="208">
        <v>456111</v>
      </c>
      <c r="E41" s="202"/>
      <c r="F41" s="660" t="str">
        <f>'SCH_C2.1 - Base Period'!F45</f>
        <v>Other Transmission Revenues</v>
      </c>
      <c r="G41" s="215">
        <f t="shared" si="4"/>
        <v>0</v>
      </c>
      <c r="H41" s="717">
        <f t="shared" si="2"/>
        <v>100</v>
      </c>
      <c r="I41" s="202"/>
      <c r="J41" s="215">
        <f t="shared" si="3"/>
        <v>0</v>
      </c>
      <c r="K41" s="208" t="s">
        <v>428</v>
      </c>
      <c r="L41" s="202"/>
      <c r="M41" s="224"/>
      <c r="N41" s="224"/>
      <c r="O41" s="224"/>
      <c r="P41" s="224"/>
      <c r="Q41" s="224"/>
      <c r="R41" s="224"/>
      <c r="S41" s="224"/>
      <c r="T41" s="224"/>
      <c r="U41" s="224"/>
      <c r="V41" s="215"/>
      <c r="W41" s="215"/>
    </row>
    <row r="42" spans="1:23">
      <c r="A42" s="202"/>
      <c r="B42" s="208">
        <v>456610</v>
      </c>
      <c r="C42" s="208">
        <v>25</v>
      </c>
      <c r="D42" s="208">
        <v>456610</v>
      </c>
      <c r="E42" s="202"/>
      <c r="F42" s="660" t="str">
        <f>'SCH_C2.1 - Base Period'!F46</f>
        <v>Other Electric Revenues</v>
      </c>
      <c r="G42" s="215">
        <f>ROUND(VLOOKUP(B42,FPERIOD,5,FALSE),0)</f>
        <v>0</v>
      </c>
      <c r="H42" s="717">
        <f>VLOOKUP(K42,ALLOCTABLE,2)</f>
        <v>100</v>
      </c>
      <c r="I42" s="202"/>
      <c r="J42" s="215">
        <f>ROUND(G42*(H42/100),0)</f>
        <v>0</v>
      </c>
      <c r="K42" s="208" t="s">
        <v>428</v>
      </c>
      <c r="L42" s="202"/>
      <c r="M42" s="224"/>
      <c r="N42" s="224"/>
      <c r="O42" s="224"/>
      <c r="P42" s="224"/>
      <c r="Q42" s="224"/>
      <c r="R42" s="224"/>
      <c r="S42" s="224"/>
      <c r="T42" s="224"/>
      <c r="U42" s="224"/>
      <c r="V42" s="215"/>
      <c r="W42" s="215"/>
    </row>
    <row r="43" spans="1:23">
      <c r="A43" s="202"/>
      <c r="B43" s="208">
        <v>456970</v>
      </c>
      <c r="C43" s="208">
        <v>26</v>
      </c>
      <c r="D43" s="208">
        <v>456970</v>
      </c>
      <c r="E43" s="202"/>
      <c r="F43" s="660" t="str">
        <f>'SCH_C2.1 - Base Period'!F47</f>
        <v>Wheel Transmission Rev - ED</v>
      </c>
      <c r="G43" s="215">
        <f t="shared" si="4"/>
        <v>24504</v>
      </c>
      <c r="H43" s="717">
        <f t="shared" si="2"/>
        <v>100</v>
      </c>
      <c r="I43" s="202"/>
      <c r="J43" s="215">
        <f t="shared" si="3"/>
        <v>24504</v>
      </c>
      <c r="K43" s="208" t="s">
        <v>428</v>
      </c>
      <c r="L43" s="202"/>
      <c r="M43" s="224"/>
      <c r="N43" s="224"/>
      <c r="O43" s="224"/>
      <c r="P43" s="224"/>
      <c r="Q43" s="224"/>
      <c r="R43" s="224"/>
      <c r="S43" s="224"/>
      <c r="T43" s="224"/>
      <c r="U43" s="224"/>
      <c r="V43" s="215"/>
      <c r="W43" s="215"/>
    </row>
    <row r="44" spans="1:23">
      <c r="A44" s="202"/>
      <c r="B44" s="208">
        <v>457204</v>
      </c>
      <c r="C44" s="208">
        <v>27</v>
      </c>
      <c r="D44" s="208">
        <v>457204</v>
      </c>
      <c r="E44" s="202"/>
      <c r="F44" s="660" t="str">
        <f>'SCH_C2.1 - Base Period'!F50</f>
        <v>PJM Reactive Rev</v>
      </c>
      <c r="G44" s="215">
        <f>ROUND(VLOOKUP(B44,FPERIOD,5,FALSE),0)</f>
        <v>1881000</v>
      </c>
      <c r="H44" s="717">
        <f>VLOOKUP(K44,ALLOCTABLE,2)</f>
        <v>100</v>
      </c>
      <c r="I44" s="202"/>
      <c r="J44" s="215">
        <f>ROUND(G44*(H44/100),0)</f>
        <v>1881000</v>
      </c>
      <c r="K44" s="208" t="s">
        <v>428</v>
      </c>
      <c r="L44" s="202"/>
      <c r="M44" s="224"/>
      <c r="N44" s="224"/>
      <c r="O44" s="224"/>
      <c r="P44" s="224"/>
      <c r="Q44" s="224"/>
      <c r="R44" s="224"/>
      <c r="S44" s="224"/>
      <c r="T44" s="224"/>
      <c r="U44" s="224"/>
      <c r="V44" s="215"/>
      <c r="W44" s="215"/>
    </row>
    <row r="45" spans="1:23">
      <c r="A45" s="202"/>
      <c r="B45" s="202"/>
      <c r="C45" s="208">
        <v>28</v>
      </c>
      <c r="D45" s="208"/>
      <c r="E45" s="202"/>
      <c r="F45" s="660" t="s">
        <v>1526</v>
      </c>
      <c r="G45" s="2138">
        <f>SUM(G32:G44)</f>
        <v>5455548</v>
      </c>
      <c r="H45" s="717"/>
      <c r="I45" s="202"/>
      <c r="J45" s="2138">
        <f>SUM(J32:J44)</f>
        <v>5455548</v>
      </c>
      <c r="K45" s="202"/>
      <c r="L45" s="202"/>
      <c r="M45" s="224"/>
      <c r="N45" s="224"/>
      <c r="O45" s="224"/>
      <c r="P45" s="224"/>
      <c r="Q45" s="224"/>
      <c r="R45" s="224"/>
      <c r="S45" s="224"/>
      <c r="T45" s="224"/>
      <c r="U45" s="224"/>
      <c r="V45" s="215"/>
      <c r="W45" s="215"/>
    </row>
    <row r="46" spans="1:23">
      <c r="A46" s="202"/>
      <c r="B46" s="202"/>
      <c r="C46" s="208">
        <v>29</v>
      </c>
      <c r="D46" s="209"/>
      <c r="E46" s="202"/>
      <c r="F46" s="202"/>
      <c r="G46" s="210"/>
      <c r="H46" s="717"/>
      <c r="I46" s="202"/>
      <c r="J46" s="210"/>
      <c r="K46" s="202"/>
      <c r="L46" s="202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</row>
    <row r="47" spans="1:23" ht="13.8" thickBot="1">
      <c r="A47" s="202"/>
      <c r="B47" s="202"/>
      <c r="C47" s="208">
        <v>30</v>
      </c>
      <c r="D47" s="208"/>
      <c r="E47" s="202"/>
      <c r="F47" s="660" t="s">
        <v>1527</v>
      </c>
      <c r="G47" s="1952">
        <f>G27+G29+G45</f>
        <v>482552977</v>
      </c>
      <c r="H47" s="215"/>
      <c r="I47" s="202"/>
      <c r="J47" s="1952">
        <f>J27+J29+J45</f>
        <v>482552977</v>
      </c>
      <c r="K47" s="202"/>
      <c r="L47" s="202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5"/>
    </row>
    <row r="48" spans="1:23" ht="13.8" thickTop="1">
      <c r="A48" s="202"/>
      <c r="B48" s="202"/>
      <c r="C48" s="202"/>
      <c r="D48" s="202"/>
      <c r="E48" s="202"/>
      <c r="F48" s="202"/>
      <c r="G48" s="210"/>
      <c r="H48" s="717"/>
      <c r="I48" s="202"/>
      <c r="J48" s="210"/>
      <c r="K48" s="202"/>
      <c r="L48" s="202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</row>
    <row r="49" spans="1:23">
      <c r="A49" s="202"/>
      <c r="B49" s="202"/>
      <c r="C49" s="203" t="str">
        <f>COMPANY</f>
        <v>DUKE ENERGY KENTUCKY, INC.</v>
      </c>
      <c r="D49" s="203"/>
      <c r="E49" s="203"/>
      <c r="F49" s="203"/>
      <c r="G49" s="203"/>
      <c r="H49" s="203"/>
      <c r="I49" s="203"/>
      <c r="J49" s="203"/>
      <c r="K49" s="203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15"/>
      <c r="W49" s="215"/>
    </row>
    <row r="50" spans="1:23">
      <c r="A50" s="202"/>
      <c r="B50" s="202"/>
      <c r="C50" s="203" t="str">
        <f>CASE</f>
        <v>CASE NO. 2024-00354</v>
      </c>
      <c r="D50" s="203"/>
      <c r="E50" s="203"/>
      <c r="F50" s="203"/>
      <c r="G50" s="203"/>
      <c r="H50" s="203"/>
      <c r="I50" s="203"/>
      <c r="J50" s="203"/>
      <c r="K50" s="203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25"/>
      <c r="W50" s="225"/>
    </row>
    <row r="51" spans="1:23">
      <c r="A51" s="202"/>
      <c r="B51" s="202"/>
      <c r="C51" s="203" t="s">
        <v>1511</v>
      </c>
      <c r="D51" s="203"/>
      <c r="E51" s="203"/>
      <c r="F51" s="203"/>
      <c r="G51" s="203"/>
      <c r="H51" s="203"/>
      <c r="I51" s="203"/>
      <c r="J51" s="203"/>
      <c r="K51" s="203"/>
      <c r="L51" s="202"/>
      <c r="M51" s="202"/>
      <c r="N51" s="202"/>
      <c r="O51" s="202"/>
      <c r="P51" s="202"/>
      <c r="Q51" s="202"/>
      <c r="R51" s="202"/>
      <c r="S51" s="202"/>
      <c r="T51" s="215"/>
      <c r="U51" s="215"/>
      <c r="V51" s="226"/>
      <c r="W51" s="202"/>
    </row>
    <row r="52" spans="1:23">
      <c r="A52" s="202"/>
      <c r="B52" s="202"/>
      <c r="C52" s="203" t="str">
        <f>PeriodF</f>
        <v>FOR THE TWELVE MONTHS ENDED JUNE 30, 2026</v>
      </c>
      <c r="D52" s="203"/>
      <c r="E52" s="203"/>
      <c r="F52" s="203"/>
      <c r="G52" s="203"/>
      <c r="H52" s="203"/>
      <c r="I52" s="203"/>
      <c r="J52" s="203"/>
      <c r="K52" s="203"/>
      <c r="L52" s="202"/>
      <c r="M52" s="202"/>
      <c r="N52" s="202"/>
      <c r="O52" s="202"/>
      <c r="P52" s="202"/>
      <c r="Q52" s="202"/>
      <c r="R52" s="202"/>
      <c r="S52" s="202"/>
      <c r="T52" s="215"/>
      <c r="U52" s="215"/>
      <c r="V52" s="215"/>
      <c r="W52" s="202"/>
    </row>
    <row r="53" spans="1:23">
      <c r="A53" s="202"/>
      <c r="B53" s="202"/>
      <c r="C53" s="203"/>
      <c r="D53" s="203"/>
      <c r="E53" s="203"/>
      <c r="F53" s="203"/>
      <c r="G53" s="203"/>
      <c r="H53" s="203"/>
      <c r="I53" s="203"/>
      <c r="J53" s="202"/>
      <c r="K53" s="202"/>
      <c r="L53" s="202"/>
      <c r="O53" s="202"/>
      <c r="P53" s="202"/>
      <c r="Q53" s="202"/>
      <c r="R53" s="202"/>
      <c r="S53" s="202"/>
      <c r="T53" s="215"/>
      <c r="U53" s="215"/>
      <c r="V53" s="215"/>
      <c r="W53" s="202"/>
    </row>
    <row r="54" spans="1:23">
      <c r="A54" s="202"/>
      <c r="B54" s="202"/>
      <c r="C54" s="202"/>
      <c r="D54" s="202"/>
      <c r="E54" s="202"/>
      <c r="F54" s="202"/>
      <c r="G54" s="202"/>
      <c r="H54" s="202"/>
      <c r="I54" s="202"/>
      <c r="J54" s="660" t="str">
        <f>"                "&amp;"SCHEDULE C-2.1"</f>
        <v xml:space="preserve">                SCHEDULE C-2.1</v>
      </c>
      <c r="K54" s="202"/>
      <c r="L54" s="202"/>
      <c r="O54" s="202"/>
      <c r="R54" s="202"/>
      <c r="S54" s="202"/>
      <c r="T54" s="215"/>
      <c r="U54" s="215"/>
      <c r="V54" s="226"/>
      <c r="W54" s="202"/>
    </row>
    <row r="55" spans="1:23">
      <c r="A55" s="202"/>
      <c r="B55" s="202"/>
      <c r="C55" s="202" t="str">
        <f>DataF</f>
        <v>DATA:  BASE PERIOD  "X" FORECASTED PERIOD</v>
      </c>
      <c r="D55" s="202"/>
      <c r="E55" s="202"/>
      <c r="F55" s="202"/>
      <c r="G55" s="202"/>
      <c r="H55" s="202"/>
      <c r="I55" s="202"/>
      <c r="J55" s="660" t="str">
        <f>"                "&amp;"PAGE  9  OF  14"</f>
        <v xml:space="preserve">                PAGE  9  OF  14</v>
      </c>
      <c r="K55" s="202"/>
      <c r="L55" s="202"/>
      <c r="O55" s="202"/>
      <c r="P55" s="202"/>
      <c r="Q55" s="202"/>
      <c r="R55" s="202"/>
      <c r="S55" s="202"/>
      <c r="T55" s="215"/>
      <c r="U55" s="215"/>
      <c r="V55" s="215"/>
      <c r="W55" s="202"/>
    </row>
    <row r="56" spans="1:23">
      <c r="A56" s="202"/>
      <c r="B56" s="202"/>
      <c r="C56" s="202" t="str">
        <f>Type</f>
        <v xml:space="preserve">TYPE OF FILING:  "X" ORIGINAL   UPDATED    REVISED  </v>
      </c>
      <c r="D56" s="202"/>
      <c r="E56" s="202"/>
      <c r="F56" s="202"/>
      <c r="G56" s="202"/>
      <c r="H56" s="202"/>
      <c r="I56" s="202"/>
      <c r="J56" s="660" t="str">
        <f>"                "&amp;"WITNESS RESPONSIBLE:"</f>
        <v xml:space="preserve">                WITNESS RESPONSIBLE:</v>
      </c>
      <c r="K56" s="202"/>
      <c r="L56" s="202"/>
      <c r="O56" s="202"/>
      <c r="P56" s="202"/>
      <c r="Q56" s="202"/>
      <c r="R56" s="202"/>
      <c r="S56" s="202"/>
      <c r="T56" s="215"/>
      <c r="U56" s="215"/>
      <c r="V56" s="215"/>
      <c r="W56" s="202"/>
    </row>
    <row r="57" spans="1:23">
      <c r="A57" s="202"/>
      <c r="B57" s="202"/>
      <c r="C57" s="660" t="str">
        <f>$C$11</f>
        <v>WORK PAPER REFERENCE NO(S).: WPC-2.1a_FP</v>
      </c>
      <c r="D57" s="202"/>
      <c r="E57" s="202"/>
      <c r="F57" s="202"/>
      <c r="G57" s="202"/>
      <c r="H57" s="202"/>
      <c r="I57" s="202"/>
      <c r="J57" s="660" t="str">
        <f>"                "&amp;_WIT1</f>
        <v xml:space="preserve">                L. D. STEINKUHL</v>
      </c>
      <c r="K57" s="202"/>
      <c r="L57" s="202"/>
      <c r="M57" s="202"/>
      <c r="N57" s="202"/>
      <c r="O57" s="202"/>
      <c r="P57" s="202"/>
      <c r="Q57" s="202"/>
      <c r="R57" s="202"/>
      <c r="S57" s="202"/>
      <c r="T57" s="215"/>
      <c r="U57" s="215"/>
      <c r="V57" s="215"/>
      <c r="W57" s="202"/>
    </row>
    <row r="58" spans="1:23">
      <c r="A58" s="202"/>
      <c r="B58" s="202"/>
      <c r="C58" s="1496"/>
      <c r="D58" s="1497"/>
      <c r="E58" s="1497"/>
      <c r="F58" s="1497"/>
      <c r="G58" s="1497"/>
      <c r="H58" s="1497"/>
      <c r="I58" s="1497"/>
      <c r="J58" s="1497"/>
      <c r="K58" s="1497"/>
      <c r="L58" s="202"/>
      <c r="M58" s="202"/>
      <c r="N58" s="202"/>
      <c r="O58" s="202"/>
      <c r="P58" s="202"/>
      <c r="Q58" s="202"/>
      <c r="R58" s="202"/>
      <c r="S58" s="202"/>
      <c r="T58" s="215"/>
      <c r="U58" s="215"/>
      <c r="V58" s="215"/>
      <c r="W58" s="202"/>
    </row>
    <row r="59" spans="1:23">
      <c r="A59" s="202"/>
      <c r="B59" s="202"/>
      <c r="C59" s="202"/>
      <c r="D59" s="202"/>
      <c r="E59" s="202"/>
      <c r="F59" s="202"/>
      <c r="G59" s="208" t="s">
        <v>1513</v>
      </c>
      <c r="H59" s="208" t="s">
        <v>970</v>
      </c>
      <c r="I59" s="202"/>
      <c r="J59" s="202"/>
      <c r="K59" s="208" t="s">
        <v>937</v>
      </c>
      <c r="L59" s="202"/>
      <c r="M59" s="202"/>
      <c r="N59" s="202"/>
      <c r="O59" s="202"/>
      <c r="P59" s="202"/>
      <c r="Q59" s="202"/>
      <c r="R59" s="202"/>
      <c r="S59" s="202"/>
      <c r="T59" s="215"/>
      <c r="U59" s="215"/>
      <c r="V59" s="215"/>
      <c r="W59" s="202"/>
    </row>
    <row r="60" spans="1:23">
      <c r="A60" s="202"/>
      <c r="B60" s="202"/>
      <c r="C60" s="208" t="s">
        <v>471</v>
      </c>
      <c r="D60" s="208" t="s">
        <v>1045</v>
      </c>
      <c r="E60" s="202"/>
      <c r="F60" s="202"/>
      <c r="G60" s="208" t="s">
        <v>972</v>
      </c>
      <c r="H60" s="208" t="s">
        <v>973</v>
      </c>
      <c r="I60" s="202"/>
      <c r="J60" s="208" t="s">
        <v>1513</v>
      </c>
      <c r="K60" s="208" t="s">
        <v>1514</v>
      </c>
      <c r="L60" s="202"/>
      <c r="M60" s="202"/>
      <c r="N60" s="202"/>
      <c r="O60" s="202"/>
      <c r="P60" s="202"/>
      <c r="Q60" s="202"/>
      <c r="R60" s="202"/>
      <c r="S60" s="202"/>
      <c r="T60" s="215"/>
      <c r="U60" s="215"/>
      <c r="V60" s="215"/>
      <c r="W60" s="202"/>
    </row>
    <row r="61" spans="1:23">
      <c r="A61" s="202"/>
      <c r="B61" s="202"/>
      <c r="C61" s="208" t="s">
        <v>475</v>
      </c>
      <c r="D61" s="208" t="s">
        <v>533</v>
      </c>
      <c r="E61" s="202"/>
      <c r="F61" s="203" t="s">
        <v>1515</v>
      </c>
      <c r="G61" s="208" t="s">
        <v>1153</v>
      </c>
      <c r="H61" s="208" t="s">
        <v>420</v>
      </c>
      <c r="I61" s="202"/>
      <c r="J61" s="208" t="s">
        <v>1516</v>
      </c>
      <c r="K61" s="208" t="s">
        <v>476</v>
      </c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</row>
    <row r="62" spans="1:23">
      <c r="A62" s="202"/>
      <c r="B62" s="202"/>
      <c r="C62" s="1498"/>
      <c r="D62" s="1498"/>
      <c r="E62" s="1498"/>
      <c r="F62" s="1498"/>
      <c r="G62" s="1500" t="s">
        <v>506</v>
      </c>
      <c r="H62" s="1500" t="s">
        <v>510</v>
      </c>
      <c r="I62" s="1498"/>
      <c r="J62" s="1500" t="s">
        <v>519</v>
      </c>
      <c r="K62" s="1500" t="s">
        <v>911</v>
      </c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15"/>
      <c r="W62" s="202"/>
    </row>
    <row r="63" spans="1:23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</row>
    <row r="64" spans="1:23" ht="13.35" customHeight="1">
      <c r="A64" s="202"/>
      <c r="B64" s="202"/>
      <c r="C64" s="208">
        <v>1</v>
      </c>
      <c r="D64" s="202"/>
      <c r="E64" s="202"/>
      <c r="F64" s="204" t="s">
        <v>1416</v>
      </c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</row>
    <row r="65" spans="1:23">
      <c r="A65" s="202"/>
      <c r="B65" s="202"/>
      <c r="C65" s="208">
        <v>2</v>
      </c>
      <c r="D65" s="202"/>
      <c r="E65" s="202"/>
      <c r="F65" s="660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</row>
    <row r="66" spans="1:23">
      <c r="A66" s="202"/>
      <c r="B66" s="202"/>
      <c r="C66" s="208">
        <v>3</v>
      </c>
      <c r="D66" s="202"/>
      <c r="E66" s="202"/>
      <c r="F66" s="204" t="s">
        <v>1528</v>
      </c>
      <c r="G66" s="65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</row>
    <row r="67" spans="1:23">
      <c r="A67" s="202"/>
      <c r="B67" s="202"/>
      <c r="C67" s="208">
        <v>4</v>
      </c>
      <c r="D67" s="202"/>
      <c r="E67" s="202"/>
      <c r="F67" s="204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</row>
    <row r="68" spans="1:23">
      <c r="A68" s="202"/>
      <c r="B68" s="202"/>
      <c r="C68" s="208">
        <v>5</v>
      </c>
      <c r="D68" s="202"/>
      <c r="E68" s="202"/>
      <c r="F68" s="204" t="s">
        <v>1529</v>
      </c>
      <c r="G68" s="39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</row>
    <row r="69" spans="1:23">
      <c r="A69" s="202"/>
      <c r="B69" s="202"/>
      <c r="C69" s="208">
        <v>6</v>
      </c>
      <c r="D69" s="202"/>
      <c r="E69" s="202"/>
      <c r="F69" s="204" t="s">
        <v>338</v>
      </c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</row>
    <row r="70" spans="1:23">
      <c r="A70" s="202"/>
      <c r="B70" s="202">
        <v>500000</v>
      </c>
      <c r="C70" s="208">
        <v>7</v>
      </c>
      <c r="D70" s="208">
        <v>500</v>
      </c>
      <c r="E70" s="202"/>
      <c r="F70" s="660" t="str">
        <f>'SCH_C2.1 - Base Period'!F76</f>
        <v xml:space="preserve"> Supervision and Engineering</v>
      </c>
      <c r="G70" s="215">
        <f>ROUND(VLOOKUP(B70,FPERIOD,5,FALSE),0)</f>
        <v>506647</v>
      </c>
      <c r="H70" s="717">
        <f t="shared" ref="H70:H77" si="5">VLOOKUP(K70,ALLOCTABLE,2)</f>
        <v>100</v>
      </c>
      <c r="I70" s="202"/>
      <c r="J70" s="215">
        <f t="shared" ref="J70:J77" si="6">ROUND(G70*(H70/100),0)</f>
        <v>506647</v>
      </c>
      <c r="K70" s="208" t="s">
        <v>428</v>
      </c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</row>
    <row r="71" spans="1:23">
      <c r="A71" s="202"/>
      <c r="B71" s="211" t="s">
        <v>282</v>
      </c>
      <c r="C71" s="208">
        <v>8</v>
      </c>
      <c r="D71" s="208">
        <v>501</v>
      </c>
      <c r="E71" s="202"/>
      <c r="F71" s="660" t="str">
        <f>'SCH_C2.1 - Base Period'!F77</f>
        <v xml:space="preserve"> Fuel Consumed</v>
      </c>
      <c r="G71" s="215">
        <f t="array" ref="G71">SUM(IF(CodeF=B71,IF(FERCFP=D71,AmountFP)))</f>
        <v>64666281</v>
      </c>
      <c r="H71" s="717">
        <f t="shared" si="5"/>
        <v>100</v>
      </c>
      <c r="I71" s="202"/>
      <c r="J71" s="215">
        <f t="shared" si="6"/>
        <v>64666281</v>
      </c>
      <c r="K71" s="208" t="s">
        <v>428</v>
      </c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</row>
    <row r="72" spans="1:23">
      <c r="A72" s="202"/>
      <c r="B72" s="202">
        <v>501</v>
      </c>
      <c r="C72" s="208">
        <v>9</v>
      </c>
      <c r="D72" s="208">
        <v>501</v>
      </c>
      <c r="E72" s="202"/>
      <c r="F72" s="660" t="str">
        <f>'SCH_C2.1 - Base Period'!F78</f>
        <v xml:space="preserve"> Fuel - Miscellaneous</v>
      </c>
      <c r="G72" s="215">
        <f t="array" ref="G72">SUM(IF(FERCFP=B72,AmountFP))-G71</f>
        <v>1349750</v>
      </c>
      <c r="H72" s="717">
        <f>VLOOKUP(K72,ALLOCTABLE,2)</f>
        <v>100</v>
      </c>
      <c r="I72" s="202"/>
      <c r="J72" s="215">
        <f t="shared" si="6"/>
        <v>1349750</v>
      </c>
      <c r="K72" s="208" t="s">
        <v>428</v>
      </c>
      <c r="L72" s="202"/>
      <c r="O72" s="202"/>
      <c r="P72" s="202"/>
      <c r="Q72" s="202"/>
      <c r="R72" s="202"/>
      <c r="S72" s="202"/>
      <c r="T72" s="202"/>
      <c r="U72" s="202"/>
      <c r="V72" s="202"/>
      <c r="W72" s="202"/>
    </row>
    <row r="73" spans="1:23">
      <c r="A73" s="202"/>
      <c r="B73" s="202">
        <v>502</v>
      </c>
      <c r="C73" s="208">
        <v>10</v>
      </c>
      <c r="D73" s="208">
        <v>502</v>
      </c>
      <c r="E73" s="202"/>
      <c r="F73" s="660" t="str">
        <f>'SCH_C2.1 - Base Period'!F79</f>
        <v xml:space="preserve"> Steam Expenses</v>
      </c>
      <c r="G73" s="215">
        <f t="array" ref="G73">SUM(IF(FERCFP=B73,AmountFP))-G74</f>
        <v>4442315</v>
      </c>
      <c r="H73" s="717">
        <f t="shared" si="5"/>
        <v>100</v>
      </c>
      <c r="I73" s="202"/>
      <c r="J73" s="215">
        <f t="shared" si="6"/>
        <v>4442315</v>
      </c>
      <c r="K73" s="208" t="s">
        <v>428</v>
      </c>
      <c r="L73" s="202"/>
      <c r="O73" s="202"/>
      <c r="P73" s="202"/>
      <c r="Q73" s="202"/>
      <c r="R73" s="202"/>
      <c r="S73" s="202"/>
      <c r="T73" s="202"/>
      <c r="U73" s="202"/>
      <c r="V73" s="202"/>
      <c r="W73" s="202"/>
    </row>
    <row r="74" spans="1:23">
      <c r="A74" s="202"/>
      <c r="B74" s="202">
        <v>502</v>
      </c>
      <c r="C74" s="208">
        <v>11</v>
      </c>
      <c r="D74" s="208">
        <v>502</v>
      </c>
      <c r="E74" s="202"/>
      <c r="F74" s="660" t="s">
        <v>1675</v>
      </c>
      <c r="G74" s="215">
        <f>SCH_D2.18!P79</f>
        <v>13418900</v>
      </c>
      <c r="H74" s="717">
        <f t="shared" ref="H74" si="7">VLOOKUP(K74,ALLOCTABLE,2)</f>
        <v>100</v>
      </c>
      <c r="I74" s="202"/>
      <c r="J74" s="215">
        <f t="shared" ref="J74" si="8">ROUND(G74*(H74/100),0)</f>
        <v>13418900</v>
      </c>
      <c r="K74" s="208" t="s">
        <v>428</v>
      </c>
      <c r="L74" s="202"/>
      <c r="O74" s="202"/>
      <c r="P74" s="202"/>
      <c r="Q74" s="202"/>
      <c r="R74" s="202"/>
      <c r="S74" s="202"/>
      <c r="T74" s="202"/>
      <c r="U74" s="202"/>
      <c r="V74" s="202"/>
      <c r="W74" s="202"/>
    </row>
    <row r="75" spans="1:23">
      <c r="A75" s="202"/>
      <c r="B75" s="211">
        <v>505000</v>
      </c>
      <c r="C75" s="208">
        <v>12</v>
      </c>
      <c r="D75" s="208">
        <v>505</v>
      </c>
      <c r="E75" s="202"/>
      <c r="F75" s="660" t="str">
        <f>'SCH_C2.1 - Base Period'!F80</f>
        <v xml:space="preserve"> Electric Expenses</v>
      </c>
      <c r="G75" s="215">
        <f>ROUND(VLOOKUP(B75,FPERIOD,5,FALSE),0)</f>
        <v>1296582</v>
      </c>
      <c r="H75" s="717">
        <f t="shared" si="5"/>
        <v>100</v>
      </c>
      <c r="I75" s="202"/>
      <c r="J75" s="215">
        <f t="shared" si="6"/>
        <v>1296582</v>
      </c>
      <c r="K75" s="208" t="s">
        <v>428</v>
      </c>
      <c r="L75" s="202"/>
      <c r="O75" s="202"/>
      <c r="P75" s="202"/>
      <c r="Q75" s="202"/>
      <c r="R75" s="202"/>
      <c r="S75" s="202"/>
      <c r="T75" s="202"/>
      <c r="U75" s="202"/>
      <c r="V75" s="202"/>
      <c r="W75" s="202"/>
    </row>
    <row r="76" spans="1:23">
      <c r="A76" s="202"/>
      <c r="B76" s="202">
        <v>506000</v>
      </c>
      <c r="C76" s="208">
        <v>13</v>
      </c>
      <c r="D76" s="208">
        <v>506</v>
      </c>
      <c r="E76" s="202"/>
      <c r="F76" s="660" t="str">
        <f>'SCH_C2.1 - Base Period'!F81</f>
        <v xml:space="preserve"> Miscellaneous</v>
      </c>
      <c r="G76" s="215">
        <f>ROUND(VLOOKUP(B76,FPERIOD,5,FALSE),0)</f>
        <v>1616855</v>
      </c>
      <c r="H76" s="717">
        <f t="shared" si="5"/>
        <v>100</v>
      </c>
      <c r="I76" s="202"/>
      <c r="J76" s="215">
        <f t="shared" si="6"/>
        <v>1616855</v>
      </c>
      <c r="K76" s="208" t="s">
        <v>428</v>
      </c>
      <c r="L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</row>
    <row r="77" spans="1:23">
      <c r="A77" s="202"/>
      <c r="B77" s="202">
        <v>509</v>
      </c>
      <c r="C77" s="208">
        <v>14</v>
      </c>
      <c r="D77" s="208" t="s">
        <v>405</v>
      </c>
      <c r="E77" s="202"/>
      <c r="F77" s="660" t="str">
        <f>'SCH_C2.1 - Base Period'!F84</f>
        <v xml:space="preserve"> Emission Allowance Expenses</v>
      </c>
      <c r="G77" s="215">
        <f t="array" ref="G77">SUM(IF(FERCFP=B77,AmountFP))</f>
        <v>0</v>
      </c>
      <c r="H77" s="717">
        <f t="shared" si="5"/>
        <v>100</v>
      </c>
      <c r="I77" s="202"/>
      <c r="J77" s="215">
        <f t="shared" si="6"/>
        <v>0</v>
      </c>
      <c r="K77" s="208" t="s">
        <v>428</v>
      </c>
      <c r="L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</row>
    <row r="78" spans="1:23">
      <c r="A78" s="202"/>
      <c r="B78" s="202"/>
      <c r="C78" s="208">
        <v>15</v>
      </c>
      <c r="D78" s="202"/>
      <c r="E78" s="202"/>
      <c r="F78" s="660" t="s">
        <v>1539</v>
      </c>
      <c r="G78" s="2138">
        <f>SUM(G70:G77)</f>
        <v>87297330</v>
      </c>
      <c r="H78" s="202"/>
      <c r="I78" s="202"/>
      <c r="J78" s="2138">
        <f>SUM(J70:J77)</f>
        <v>87297330</v>
      </c>
      <c r="K78" s="202"/>
      <c r="L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</row>
    <row r="79" spans="1:23">
      <c r="A79" s="202"/>
      <c r="B79" s="202"/>
      <c r="C79" s="208">
        <v>16</v>
      </c>
      <c r="D79" s="202"/>
      <c r="E79" s="202"/>
      <c r="F79" s="660"/>
      <c r="G79" s="215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</row>
    <row r="80" spans="1:23">
      <c r="A80" s="202"/>
      <c r="B80" s="202"/>
      <c r="C80" s="208">
        <v>17</v>
      </c>
      <c r="D80" s="202"/>
      <c r="E80" s="202"/>
      <c r="F80" s="204" t="s">
        <v>347</v>
      </c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</row>
    <row r="81" spans="1:23">
      <c r="A81" s="202"/>
      <c r="B81" s="202">
        <v>510</v>
      </c>
      <c r="C81" s="208">
        <v>18</v>
      </c>
      <c r="D81" s="208">
        <v>510</v>
      </c>
      <c r="E81" s="202"/>
      <c r="F81" s="660" t="str">
        <f>'SCH_C2.1 - Base Period'!F88</f>
        <v xml:space="preserve"> Supervision and Engineering</v>
      </c>
      <c r="G81" s="215">
        <f t="array" ref="G81">SUM(IF(FERCFP=B81,AmountFP))</f>
        <v>4855653</v>
      </c>
      <c r="H81" s="717">
        <f t="shared" ref="H81:H85" si="9">VLOOKUP(K81,ALLOCTABLE,2)</f>
        <v>100</v>
      </c>
      <c r="I81" s="202"/>
      <c r="J81" s="215">
        <f t="shared" ref="J81:J85" si="10">ROUND(G81*(H81/100),0)</f>
        <v>4855653</v>
      </c>
      <c r="K81" s="208" t="s">
        <v>428</v>
      </c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</row>
    <row r="82" spans="1:23">
      <c r="A82" s="202"/>
      <c r="B82" s="202">
        <v>511000</v>
      </c>
      <c r="C82" s="208">
        <v>19</v>
      </c>
      <c r="D82" s="208">
        <v>511</v>
      </c>
      <c r="E82" s="202"/>
      <c r="F82" s="660" t="str">
        <f>'SCH_C2.1 - Base Period'!F89</f>
        <v xml:space="preserve"> Maintenance of Structures</v>
      </c>
      <c r="G82" s="215">
        <f>ROUND(VLOOKUP(B82,FPERIOD,5,FALSE),0)</f>
        <v>2523605</v>
      </c>
      <c r="H82" s="717">
        <f t="shared" si="9"/>
        <v>100</v>
      </c>
      <c r="I82" s="202"/>
      <c r="J82" s="215">
        <f t="shared" si="10"/>
        <v>2523605</v>
      </c>
      <c r="K82" s="208" t="s">
        <v>428</v>
      </c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</row>
    <row r="83" spans="1:23">
      <c r="A83" s="202"/>
      <c r="B83" s="202">
        <v>512</v>
      </c>
      <c r="C83" s="208">
        <v>20</v>
      </c>
      <c r="D83" s="208">
        <v>512</v>
      </c>
      <c r="E83" s="202"/>
      <c r="F83" s="660" t="str">
        <f>'SCH_C2.1 - Base Period'!F90</f>
        <v xml:space="preserve"> Maintenance of Boiler Plant</v>
      </c>
      <c r="G83" s="215">
        <f t="array" ref="G83">SUM(IF(FERCFP=B83,AmountFP))</f>
        <v>11526453</v>
      </c>
      <c r="H83" s="717">
        <f t="shared" si="9"/>
        <v>100</v>
      </c>
      <c r="I83" s="202"/>
      <c r="J83" s="215">
        <f t="shared" si="10"/>
        <v>11526453</v>
      </c>
      <c r="K83" s="208" t="s">
        <v>428</v>
      </c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</row>
    <row r="84" spans="1:23">
      <c r="A84" s="202"/>
      <c r="B84" s="202">
        <v>513</v>
      </c>
      <c r="C84" s="208">
        <v>21</v>
      </c>
      <c r="D84" s="208">
        <v>513</v>
      </c>
      <c r="E84" s="202"/>
      <c r="F84" s="660" t="str">
        <f>'SCH_C2.1 - Base Period'!F91</f>
        <v xml:space="preserve"> Maintenance of Electric Plant</v>
      </c>
      <c r="G84" s="215">
        <f t="array" ref="G84">SUM(IF(FERCFP=B84,AmountFP))</f>
        <v>2751064</v>
      </c>
      <c r="H84" s="717">
        <f t="shared" si="9"/>
        <v>100</v>
      </c>
      <c r="I84" s="202"/>
      <c r="J84" s="215">
        <f t="shared" si="10"/>
        <v>2751064</v>
      </c>
      <c r="K84" s="208" t="s">
        <v>428</v>
      </c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</row>
    <row r="85" spans="1:23">
      <c r="A85" s="202"/>
      <c r="B85" s="202">
        <v>514</v>
      </c>
      <c r="C85" s="208">
        <v>22</v>
      </c>
      <c r="D85" s="208">
        <v>514</v>
      </c>
      <c r="E85" s="202"/>
      <c r="F85" s="660" t="str">
        <f>'SCH_C2.1 - Base Period'!F92</f>
        <v xml:space="preserve"> Maintenance of Misc Steam Plant</v>
      </c>
      <c r="G85" s="215">
        <f t="array" ref="G85">SUM(IF(FERCFP=B85,AmountFP))</f>
        <v>561107</v>
      </c>
      <c r="H85" s="717">
        <f t="shared" si="9"/>
        <v>100</v>
      </c>
      <c r="I85" s="202"/>
      <c r="J85" s="215">
        <f t="shared" si="10"/>
        <v>561107</v>
      </c>
      <c r="K85" s="208" t="s">
        <v>428</v>
      </c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</row>
    <row r="86" spans="1:23">
      <c r="A86" s="202"/>
      <c r="B86" s="202"/>
      <c r="C86" s="208">
        <v>23</v>
      </c>
      <c r="D86" s="202"/>
      <c r="E86" s="202"/>
      <c r="F86" s="660" t="s">
        <v>1544</v>
      </c>
      <c r="G86" s="2138">
        <f>SUM(G81:G85)</f>
        <v>22217882</v>
      </c>
      <c r="H86" s="202"/>
      <c r="I86" s="202"/>
      <c r="J86" s="2138">
        <f>SUM(J81:J85)</f>
        <v>22217882</v>
      </c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</row>
    <row r="87" spans="1:23">
      <c r="A87" s="202"/>
      <c r="B87" s="202"/>
      <c r="C87" s="208">
        <v>24</v>
      </c>
      <c r="D87" s="202"/>
      <c r="E87" s="202"/>
      <c r="F87" s="660" t="s">
        <v>1545</v>
      </c>
      <c r="G87" s="2138">
        <f>G78+G86</f>
        <v>109515212</v>
      </c>
      <c r="H87" s="202"/>
      <c r="I87" s="202"/>
      <c r="J87" s="2138">
        <f>J78+J86</f>
        <v>109515212</v>
      </c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</row>
    <row r="88" spans="1:23">
      <c r="A88" s="202"/>
      <c r="B88" s="202"/>
      <c r="C88" s="208">
        <v>25</v>
      </c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</row>
    <row r="89" spans="1:23">
      <c r="A89" s="202"/>
      <c r="B89" s="202"/>
      <c r="C89" s="208">
        <v>26</v>
      </c>
      <c r="D89" s="202"/>
      <c r="E89" s="202"/>
      <c r="F89" s="207" t="s">
        <v>1546</v>
      </c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</row>
    <row r="90" spans="1:23">
      <c r="A90" s="202"/>
      <c r="B90" s="202"/>
      <c r="C90" s="208">
        <v>27</v>
      </c>
      <c r="D90" s="202"/>
      <c r="E90" s="202"/>
      <c r="F90" s="204" t="s">
        <v>338</v>
      </c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</row>
    <row r="91" spans="1:23">
      <c r="A91" s="202"/>
      <c r="B91" s="202">
        <v>546000</v>
      </c>
      <c r="C91" s="208">
        <v>28</v>
      </c>
      <c r="D91" s="208">
        <v>546</v>
      </c>
      <c r="E91" s="202"/>
      <c r="F91" s="660" t="str">
        <f>'SCH_C2.1 - Base Period'!F98</f>
        <v xml:space="preserve"> Supervision and Engineering</v>
      </c>
      <c r="G91" s="215">
        <f>ROUND(VLOOKUP(B91,FPERIOD,5,FALSE),0)</f>
        <v>703683</v>
      </c>
      <c r="H91" s="717">
        <f>VLOOKUP(K91,ALLOCTABLE,2)</f>
        <v>100</v>
      </c>
      <c r="I91" s="202"/>
      <c r="J91" s="215">
        <f>ROUND(G91*(H91/100),0)</f>
        <v>703683</v>
      </c>
      <c r="K91" s="208" t="s">
        <v>428</v>
      </c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</row>
    <row r="92" spans="1:23">
      <c r="A92" s="202"/>
      <c r="B92" s="202">
        <v>547</v>
      </c>
      <c r="C92" s="208">
        <v>29</v>
      </c>
      <c r="D92" s="208">
        <v>547</v>
      </c>
      <c r="E92" s="202"/>
      <c r="F92" s="660" t="str">
        <f>'SCH_C2.1 - Base Period'!F99</f>
        <v xml:space="preserve"> Fuel</v>
      </c>
      <c r="G92" s="215">
        <f t="array" ref="G92">SUM(IF(FERCFP=B92,AmountFP))-G93</f>
        <v>0</v>
      </c>
      <c r="H92" s="717">
        <f>VLOOKUP(K92,ALLOCTABLE,2)</f>
        <v>100</v>
      </c>
      <c r="I92" s="202"/>
      <c r="J92" s="215">
        <f>ROUND(G92*(H92/100),0)</f>
        <v>0</v>
      </c>
      <c r="K92" s="208" t="s">
        <v>428</v>
      </c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</row>
    <row r="93" spans="1:23">
      <c r="A93" s="202"/>
      <c r="B93" s="202">
        <v>547150</v>
      </c>
      <c r="C93" s="208">
        <v>30</v>
      </c>
      <c r="D93" s="208">
        <v>547</v>
      </c>
      <c r="E93" s="202"/>
      <c r="F93" s="660" t="str">
        <f>'SCH_C2.1 - Base Period'!F100</f>
        <v xml:space="preserve"> Fuel - Miscellaneous</v>
      </c>
      <c r="G93" s="215">
        <f>ROUND(VLOOKUP(B93,FPERIOD,5,FALSE),0)</f>
        <v>33876</v>
      </c>
      <c r="H93" s="717">
        <f>VLOOKUP(K93,ALLOCTABLE,2)</f>
        <v>100</v>
      </c>
      <c r="I93" s="202"/>
      <c r="J93" s="215">
        <f>ROUND(G93*(H93/100),0)</f>
        <v>33876</v>
      </c>
      <c r="K93" s="208" t="s">
        <v>428</v>
      </c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</row>
    <row r="94" spans="1:23">
      <c r="A94" s="202"/>
      <c r="B94" s="202">
        <v>548</v>
      </c>
      <c r="C94" s="208">
        <v>31</v>
      </c>
      <c r="D94" s="208">
        <v>548</v>
      </c>
      <c r="E94" s="202"/>
      <c r="F94" s="660" t="str">
        <f>'SCH_C2.1 - Base Period'!F101</f>
        <v xml:space="preserve"> Generating Expense</v>
      </c>
      <c r="G94" s="215">
        <f t="array" ref="G94">SUM(IF(FERCFP=B94,AmountFP))</f>
        <v>358358</v>
      </c>
      <c r="H94" s="717">
        <f>VLOOKUP(K94,ALLOCTABLE,2)</f>
        <v>100</v>
      </c>
      <c r="I94" s="202"/>
      <c r="J94" s="215">
        <f>ROUND(G94*(H94/100),0)</f>
        <v>358358</v>
      </c>
      <c r="K94" s="208" t="s">
        <v>428</v>
      </c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</row>
    <row r="95" spans="1:23">
      <c r="A95" s="202"/>
      <c r="B95" s="202">
        <v>549</v>
      </c>
      <c r="C95" s="208">
        <v>32</v>
      </c>
      <c r="D95" s="208">
        <v>549</v>
      </c>
      <c r="E95" s="202"/>
      <c r="F95" s="660" t="str">
        <f>'SCH_C2.1 - Base Period'!F102</f>
        <v xml:space="preserve"> Misc. Other Power Generation</v>
      </c>
      <c r="G95" s="215">
        <f t="array" ref="G95">SUM(IF(FERCFP=B95,AmountFP))</f>
        <v>799349</v>
      </c>
      <c r="H95" s="717">
        <f>VLOOKUP(K95,ALLOCTABLE,2)</f>
        <v>100</v>
      </c>
      <c r="I95" s="202"/>
      <c r="J95" s="215">
        <f>ROUND(G95*(H95/100),0)</f>
        <v>799349</v>
      </c>
      <c r="K95" s="208" t="s">
        <v>428</v>
      </c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</row>
    <row r="96" spans="1:23">
      <c r="A96" s="202"/>
      <c r="B96" s="202"/>
      <c r="C96" s="208">
        <v>33</v>
      </c>
      <c r="D96" s="208"/>
      <c r="E96" s="202"/>
      <c r="F96" s="660" t="s">
        <v>1539</v>
      </c>
      <c r="G96" s="2138">
        <f>SUM(G91:G95)</f>
        <v>1895266</v>
      </c>
      <c r="H96" s="202"/>
      <c r="I96" s="202"/>
      <c r="J96" s="2138">
        <f>SUM(J91:J95)</f>
        <v>1895266</v>
      </c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</row>
    <row r="97" spans="1:23">
      <c r="A97" s="202"/>
      <c r="B97" s="202"/>
      <c r="C97" s="208">
        <v>34</v>
      </c>
      <c r="D97" s="208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</row>
    <row r="98" spans="1:23">
      <c r="A98" s="202"/>
      <c r="B98" s="202"/>
      <c r="C98" s="208">
        <v>35</v>
      </c>
      <c r="D98" s="208"/>
      <c r="E98" s="202"/>
      <c r="F98" s="204" t="s">
        <v>347</v>
      </c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</row>
    <row r="99" spans="1:23">
      <c r="A99" s="202"/>
      <c r="B99" s="202">
        <v>551000</v>
      </c>
      <c r="C99" s="208">
        <v>36</v>
      </c>
      <c r="D99" s="208">
        <v>551</v>
      </c>
      <c r="E99" s="202"/>
      <c r="F99" s="660" t="str">
        <f>'SCH_C2.1 - Base Period'!F107</f>
        <v xml:space="preserve"> Supervision and Engineering</v>
      </c>
      <c r="G99" s="215">
        <f>ROUND(VLOOKUP(B99,FPERIOD,5,FALSE),0)</f>
        <v>139930</v>
      </c>
      <c r="H99" s="717">
        <f>VLOOKUP(K99,ALLOCTABLE,2)</f>
        <v>100</v>
      </c>
      <c r="I99" s="202"/>
      <c r="J99" s="215">
        <f>ROUND(G99*(H99/100),0)</f>
        <v>139930</v>
      </c>
      <c r="K99" s="208" t="s">
        <v>428</v>
      </c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</row>
    <row r="100" spans="1:23">
      <c r="A100" s="202"/>
      <c r="B100" s="202">
        <v>552000</v>
      </c>
      <c r="C100" s="208">
        <v>37</v>
      </c>
      <c r="D100" s="208">
        <v>552</v>
      </c>
      <c r="E100" s="202"/>
      <c r="F100" s="660" t="str">
        <f>'SCH_C2.1 - Base Period'!F108</f>
        <v xml:space="preserve"> Structures</v>
      </c>
      <c r="G100" s="215">
        <f>ROUND(VLOOKUP(B100,FPERIOD,5,FALSE),0)</f>
        <v>374608</v>
      </c>
      <c r="H100" s="717">
        <f>VLOOKUP(K100,ALLOCTABLE,2)</f>
        <v>100</v>
      </c>
      <c r="I100" s="202"/>
      <c r="J100" s="215">
        <f>ROUND(G100*(H100/100),0)</f>
        <v>374608</v>
      </c>
      <c r="K100" s="208" t="s">
        <v>428</v>
      </c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</row>
    <row r="101" spans="1:23">
      <c r="A101" s="202"/>
      <c r="B101" s="202">
        <v>553000</v>
      </c>
      <c r="C101" s="208">
        <v>38</v>
      </c>
      <c r="D101" s="208">
        <v>553</v>
      </c>
      <c r="E101" s="202"/>
      <c r="F101" s="660" t="str">
        <f>'SCH_C2.1 - Base Period'!F109</f>
        <v xml:space="preserve"> Generating &amp; Electrical Equipment</v>
      </c>
      <c r="G101" s="215">
        <f>ROUND(VLOOKUP(B101,FPERIOD,5,FALSE),0)</f>
        <v>3285442</v>
      </c>
      <c r="H101" s="717">
        <f>VLOOKUP(K101,ALLOCTABLE,2)</f>
        <v>100</v>
      </c>
      <c r="I101" s="202"/>
      <c r="J101" s="215">
        <f>ROUND(G101*(H101/100),0)</f>
        <v>3285442</v>
      </c>
      <c r="K101" s="208" t="s">
        <v>428</v>
      </c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</row>
    <row r="102" spans="1:23">
      <c r="A102" s="202"/>
      <c r="B102" s="202">
        <v>554</v>
      </c>
      <c r="C102" s="208">
        <v>39</v>
      </c>
      <c r="D102" s="208">
        <v>554</v>
      </c>
      <c r="E102" s="202"/>
      <c r="F102" s="660" t="str">
        <f>'SCH_C2.1 - Base Period'!F110</f>
        <v xml:space="preserve"> Miscellaneous Other Power Gen</v>
      </c>
      <c r="G102" s="215">
        <f t="array" ref="G102">SUM(IF(FERCFP=B102,AmountFP))</f>
        <v>130077</v>
      </c>
      <c r="H102" s="717">
        <f>VLOOKUP(K102,ALLOCTABLE,2)</f>
        <v>100</v>
      </c>
      <c r="I102" s="202"/>
      <c r="J102" s="215">
        <f>ROUND(G102*(H102/100),0)</f>
        <v>130077</v>
      </c>
      <c r="K102" s="208" t="s">
        <v>428</v>
      </c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</row>
    <row r="103" spans="1:23">
      <c r="A103" s="202"/>
      <c r="B103" s="202"/>
      <c r="C103" s="208">
        <v>40</v>
      </c>
      <c r="D103" s="208"/>
      <c r="E103" s="202"/>
      <c r="F103" s="660" t="s">
        <v>1544</v>
      </c>
      <c r="G103" s="2138">
        <f>SUM(G99:G102)</f>
        <v>3930057</v>
      </c>
      <c r="H103" s="202"/>
      <c r="I103" s="202"/>
      <c r="J103" s="2138">
        <f>SUM(J99:J102)</f>
        <v>3930057</v>
      </c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</row>
    <row r="104" spans="1:23">
      <c r="A104" s="202"/>
      <c r="B104" s="202"/>
      <c r="C104" s="208">
        <v>41</v>
      </c>
      <c r="D104" s="208"/>
      <c r="E104" s="202"/>
      <c r="F104" s="202" t="s">
        <v>1554</v>
      </c>
      <c r="G104" s="2138">
        <f>G103+G96</f>
        <v>5825323</v>
      </c>
      <c r="H104" s="202"/>
      <c r="I104" s="202"/>
      <c r="J104" s="2138">
        <f>J103+J96</f>
        <v>5825323</v>
      </c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</row>
    <row r="105" spans="1:23">
      <c r="A105" s="202"/>
      <c r="B105" s="202"/>
      <c r="C105" s="208">
        <v>42</v>
      </c>
      <c r="D105" s="208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</row>
    <row r="106" spans="1:23">
      <c r="A106" s="202"/>
      <c r="B106" s="202"/>
      <c r="C106" s="208">
        <v>43</v>
      </c>
      <c r="D106" s="208"/>
      <c r="E106" s="202"/>
      <c r="F106" s="204" t="s">
        <v>1555</v>
      </c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</row>
    <row r="107" spans="1:23">
      <c r="A107" s="202"/>
      <c r="B107" s="202"/>
      <c r="C107" s="208">
        <v>44</v>
      </c>
      <c r="D107" s="202"/>
      <c r="E107" s="202"/>
      <c r="F107" s="204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</row>
    <row r="108" spans="1:23">
      <c r="A108" s="202"/>
      <c r="B108" s="202"/>
      <c r="C108" s="208">
        <v>45</v>
      </c>
      <c r="D108" s="202"/>
      <c r="E108" s="202"/>
      <c r="F108" s="204" t="s">
        <v>338</v>
      </c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</row>
    <row r="109" spans="1:23">
      <c r="A109" s="202"/>
      <c r="B109" s="202">
        <v>555</v>
      </c>
      <c r="C109" s="208">
        <v>46</v>
      </c>
      <c r="D109" s="208">
        <v>555</v>
      </c>
      <c r="E109" s="202"/>
      <c r="F109" s="660" t="str">
        <f>'SCH_C2.1 - Base Period'!F117</f>
        <v xml:space="preserve">  Electric Purchased Inter Co.</v>
      </c>
      <c r="G109" s="202"/>
      <c r="H109" s="212"/>
      <c r="I109" s="202"/>
      <c r="J109" s="213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</row>
    <row r="110" spans="1:23">
      <c r="A110" s="202"/>
      <c r="B110" s="202">
        <v>555190</v>
      </c>
      <c r="C110" s="208">
        <v>47</v>
      </c>
      <c r="D110" s="208"/>
      <c r="E110" s="202"/>
      <c r="F110" s="660" t="s">
        <v>1557</v>
      </c>
      <c r="G110" s="215">
        <f>ROUND(VLOOKUP(B110,FPERIOD,5,FALSE),0)</f>
        <v>0</v>
      </c>
      <c r="H110" s="717">
        <f>VLOOKUP(K110,ALLOCTABLE,2)</f>
        <v>100</v>
      </c>
      <c r="I110" s="202"/>
      <c r="J110" s="215">
        <f>ROUND(G110*(H110/100),0)</f>
        <v>0</v>
      </c>
      <c r="K110" s="208" t="s">
        <v>428</v>
      </c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</row>
    <row r="111" spans="1:23">
      <c r="A111" s="202"/>
      <c r="B111" s="202"/>
      <c r="C111" s="208">
        <v>48</v>
      </c>
      <c r="D111" s="208"/>
      <c r="E111" s="202"/>
      <c r="F111" s="660" t="s">
        <v>1558</v>
      </c>
      <c r="G111" s="215">
        <f t="array" ref="G111">SUM(IF(FERCFP=B109,AmountFP))-G110</f>
        <v>99073890</v>
      </c>
      <c r="H111" s="717">
        <f>VLOOKUP(K111,ALLOCTABLE,2)</f>
        <v>100</v>
      </c>
      <c r="I111" s="202"/>
      <c r="J111" s="215">
        <f>ROUND(G111*(H111/100),0)</f>
        <v>99073890</v>
      </c>
      <c r="K111" s="208" t="s">
        <v>428</v>
      </c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</row>
    <row r="112" spans="1:23">
      <c r="A112" s="202"/>
      <c r="B112" s="202">
        <v>556</v>
      </c>
      <c r="C112" s="208">
        <v>49</v>
      </c>
      <c r="D112" s="208">
        <v>556</v>
      </c>
      <c r="E112" s="202"/>
      <c r="F112" s="660" t="str">
        <f>'SCH_C2.1 - Base Period'!F120</f>
        <v xml:space="preserve">  Electric Systems Operations Dept</v>
      </c>
      <c r="G112" s="215">
        <f t="array" ref="G112">SUM(IF(FERCFP=B112,AmountFP))</f>
        <v>840</v>
      </c>
      <c r="H112" s="717">
        <f>VLOOKUP(K112,ALLOCTABLE,2)</f>
        <v>100</v>
      </c>
      <c r="I112" s="202"/>
      <c r="J112" s="215">
        <f>ROUND(G112*(H112/100),0)</f>
        <v>840</v>
      </c>
      <c r="K112" s="208" t="s">
        <v>428</v>
      </c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</row>
    <row r="113" spans="1:23">
      <c r="A113" s="202"/>
      <c r="B113" s="202">
        <v>557</v>
      </c>
      <c r="C113" s="208">
        <v>50</v>
      </c>
      <c r="D113" s="205">
        <v>557</v>
      </c>
      <c r="E113" s="202"/>
      <c r="F113" s="660" t="str">
        <f>'SCH_C2.1 - Base Period'!F121</f>
        <v xml:space="preserve">  Electric Other Power Supply</v>
      </c>
      <c r="G113" s="215">
        <f t="array" ref="G113">SUM(IF(FERCFP=B113,AmountFP))-G114</f>
        <v>8298338</v>
      </c>
      <c r="H113" s="717">
        <f>VLOOKUP(K113,ALLOCTABLE,2)</f>
        <v>100</v>
      </c>
      <c r="I113" s="202"/>
      <c r="J113" s="215">
        <f>ROUND(G113*(H113/100),0)</f>
        <v>8298338</v>
      </c>
      <c r="K113" s="208" t="s">
        <v>428</v>
      </c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</row>
    <row r="114" spans="1:23">
      <c r="A114" s="202"/>
      <c r="B114" s="202">
        <v>557980</v>
      </c>
      <c r="C114" s="208">
        <v>51</v>
      </c>
      <c r="D114" s="205">
        <v>557</v>
      </c>
      <c r="E114" s="202"/>
      <c r="F114" s="660" t="str">
        <f>'SCH_C2.1 - Base Period'!F122</f>
        <v xml:space="preserve">  Retail Deferred Fuel Expenses</v>
      </c>
      <c r="G114" s="215">
        <f>ROUND(VLOOKUP(B114,FPERIOD,5,FALSE),0)</f>
        <v>1086449</v>
      </c>
      <c r="H114" s="717">
        <f>VLOOKUP(K114,ALLOCTABLE,2)</f>
        <v>100</v>
      </c>
      <c r="I114" s="202"/>
      <c r="J114" s="215">
        <f>ROUND(G114*(H114/100),0)</f>
        <v>1086449</v>
      </c>
      <c r="K114" s="208" t="s">
        <v>428</v>
      </c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</row>
    <row r="115" spans="1:23">
      <c r="A115" s="202"/>
      <c r="B115" s="202"/>
      <c r="C115" s="208">
        <v>52</v>
      </c>
      <c r="D115" s="214"/>
      <c r="E115" s="202"/>
      <c r="F115" s="660" t="s">
        <v>1562</v>
      </c>
      <c r="G115" s="2138">
        <f>SUM(G110:G114)</f>
        <v>108459517</v>
      </c>
      <c r="H115" s="202"/>
      <c r="I115" s="202"/>
      <c r="J115" s="2138">
        <f>SUM(J108:J114)</f>
        <v>108459517</v>
      </c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</row>
    <row r="116" spans="1:23">
      <c r="A116" s="202"/>
      <c r="B116" s="202"/>
      <c r="C116" s="208">
        <v>53</v>
      </c>
      <c r="D116" s="214"/>
      <c r="E116" s="202"/>
      <c r="F116" s="660"/>
      <c r="G116" s="215"/>
      <c r="H116" s="202"/>
      <c r="I116" s="202"/>
      <c r="J116" s="215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</row>
    <row r="117" spans="1:23">
      <c r="A117" s="202"/>
      <c r="B117" s="202"/>
      <c r="C117" s="208">
        <v>54</v>
      </c>
      <c r="D117" s="214"/>
      <c r="E117" s="202"/>
      <c r="F117" s="660" t="s">
        <v>456</v>
      </c>
      <c r="G117" s="2138">
        <f>G115+G104+G87</f>
        <v>223800052</v>
      </c>
      <c r="H117" s="202"/>
      <c r="I117" s="202"/>
      <c r="J117" s="2138">
        <f>J115+J104+J87</f>
        <v>223800052</v>
      </c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</row>
    <row r="118" spans="1:23">
      <c r="A118" s="202"/>
      <c r="B118" s="202"/>
      <c r="C118" s="208"/>
      <c r="D118" s="214"/>
      <c r="E118" s="202"/>
      <c r="F118" s="660"/>
      <c r="G118" s="215"/>
      <c r="H118" s="202"/>
      <c r="I118" s="202"/>
      <c r="J118" s="215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</row>
    <row r="119" spans="1:23">
      <c r="A119" s="202"/>
      <c r="B119" s="202"/>
      <c r="C119" s="203" t="str">
        <f>COMPANY</f>
        <v>DUKE ENERGY KENTUCKY, INC.</v>
      </c>
      <c r="D119" s="203"/>
      <c r="E119" s="203"/>
      <c r="F119" s="203"/>
      <c r="G119" s="203"/>
      <c r="H119" s="203"/>
      <c r="I119" s="203"/>
      <c r="J119" s="203"/>
      <c r="K119" s="203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</row>
    <row r="120" spans="1:23">
      <c r="A120" s="202"/>
      <c r="B120" s="202"/>
      <c r="C120" s="203" t="str">
        <f>CASE</f>
        <v>CASE NO. 2024-00354</v>
      </c>
      <c r="D120" s="203"/>
      <c r="E120" s="203"/>
      <c r="F120" s="203"/>
      <c r="G120" s="203"/>
      <c r="H120" s="203"/>
      <c r="I120" s="203"/>
      <c r="J120" s="203"/>
      <c r="K120" s="203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</row>
    <row r="121" spans="1:23">
      <c r="A121" s="202"/>
      <c r="B121" s="202"/>
      <c r="C121" s="203" t="s">
        <v>1511</v>
      </c>
      <c r="D121" s="203"/>
      <c r="E121" s="203"/>
      <c r="F121" s="203"/>
      <c r="G121" s="203"/>
      <c r="H121" s="203"/>
      <c r="I121" s="203"/>
      <c r="J121" s="203"/>
      <c r="K121" s="203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</row>
    <row r="122" spans="1:23">
      <c r="A122" s="202"/>
      <c r="B122" s="202"/>
      <c r="C122" s="203" t="str">
        <f>PeriodF</f>
        <v>FOR THE TWELVE MONTHS ENDED JUNE 30, 2026</v>
      </c>
      <c r="D122" s="203"/>
      <c r="E122" s="203"/>
      <c r="F122" s="203"/>
      <c r="G122" s="203"/>
      <c r="H122" s="203"/>
      <c r="I122" s="203"/>
      <c r="J122" s="203"/>
      <c r="K122" s="203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</row>
    <row r="123" spans="1:23">
      <c r="A123" s="202"/>
      <c r="B123" s="202"/>
      <c r="C123" s="203"/>
      <c r="D123" s="203"/>
      <c r="E123" s="203"/>
      <c r="F123" s="203"/>
      <c r="G123" s="203"/>
      <c r="H123" s="203"/>
      <c r="I123" s="203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</row>
    <row r="124" spans="1:23">
      <c r="A124" s="202"/>
      <c r="B124" s="202"/>
      <c r="C124" s="202"/>
      <c r="D124" s="202"/>
      <c r="E124" s="202"/>
      <c r="F124" s="202"/>
      <c r="G124" s="202"/>
      <c r="H124" s="202"/>
      <c r="I124" s="202"/>
      <c r="J124" s="660" t="str">
        <f>"                "&amp;"SCHEDULE C-2.1"</f>
        <v xml:space="preserve">                SCHEDULE C-2.1</v>
      </c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</row>
    <row r="125" spans="1:23">
      <c r="A125" s="202"/>
      <c r="B125" s="202"/>
      <c r="C125" s="202" t="str">
        <f>DataF</f>
        <v>DATA:  BASE PERIOD  "X" FORECASTED PERIOD</v>
      </c>
      <c r="D125" s="202"/>
      <c r="E125" s="202"/>
      <c r="F125" s="202"/>
      <c r="G125" s="202"/>
      <c r="H125" s="202"/>
      <c r="I125" s="202"/>
      <c r="J125" s="660" t="str">
        <f>"                "&amp;"PAGE  10  OF  14"</f>
        <v xml:space="preserve">                PAGE  10  OF  14</v>
      </c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</row>
    <row r="126" spans="1:23">
      <c r="A126" s="202"/>
      <c r="B126" s="202"/>
      <c r="C126" s="202" t="str">
        <f>Type</f>
        <v xml:space="preserve">TYPE OF FILING:  "X" ORIGINAL   UPDATED    REVISED  </v>
      </c>
      <c r="D126" s="202"/>
      <c r="E126" s="202"/>
      <c r="F126" s="202"/>
      <c r="G126" s="202"/>
      <c r="H126" s="202"/>
      <c r="I126" s="202"/>
      <c r="J126" s="660" t="str">
        <f>"                "&amp;"WITNESS RESPONSIBLE:"</f>
        <v xml:space="preserve">                WITNESS RESPONSIBLE:</v>
      </c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</row>
    <row r="127" spans="1:23">
      <c r="A127" s="202"/>
      <c r="B127" s="202"/>
      <c r="C127" s="660" t="str">
        <f>$C$11</f>
        <v>WORK PAPER REFERENCE NO(S).: WPC-2.1a_FP</v>
      </c>
      <c r="D127" s="202"/>
      <c r="E127" s="202"/>
      <c r="F127" s="202"/>
      <c r="G127" s="202"/>
      <c r="H127" s="202"/>
      <c r="I127" s="202"/>
      <c r="J127" s="660" t="str">
        <f>"                "&amp;_WIT1</f>
        <v xml:space="preserve">                L. D. STEINKUHL</v>
      </c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</row>
    <row r="128" spans="1:23">
      <c r="A128" s="202"/>
      <c r="B128" s="202"/>
      <c r="C128" s="1496"/>
      <c r="D128" s="1497"/>
      <c r="E128" s="1497"/>
      <c r="F128" s="1497"/>
      <c r="G128" s="1497"/>
      <c r="H128" s="1497"/>
      <c r="I128" s="1497"/>
      <c r="J128" s="1497"/>
      <c r="K128" s="1497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</row>
    <row r="129" spans="1:23">
      <c r="A129" s="202"/>
      <c r="B129" s="202"/>
      <c r="C129" s="202"/>
      <c r="D129" s="202"/>
      <c r="E129" s="202"/>
      <c r="F129" s="202"/>
      <c r="G129" s="208" t="s">
        <v>1513</v>
      </c>
      <c r="H129" s="208" t="s">
        <v>970</v>
      </c>
      <c r="I129" s="202"/>
      <c r="J129" s="202"/>
      <c r="K129" s="208" t="s">
        <v>937</v>
      </c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</row>
    <row r="130" spans="1:23">
      <c r="A130" s="202"/>
      <c r="B130" s="202"/>
      <c r="C130" s="208" t="s">
        <v>471</v>
      </c>
      <c r="D130" s="208" t="s">
        <v>1045</v>
      </c>
      <c r="E130" s="202"/>
      <c r="F130" s="202"/>
      <c r="G130" s="208" t="s">
        <v>972</v>
      </c>
      <c r="H130" s="208" t="s">
        <v>973</v>
      </c>
      <c r="I130" s="202"/>
      <c r="J130" s="208" t="s">
        <v>1513</v>
      </c>
      <c r="K130" s="208" t="s">
        <v>1514</v>
      </c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</row>
    <row r="131" spans="1:23">
      <c r="A131" s="202"/>
      <c r="B131" s="202"/>
      <c r="C131" s="208" t="s">
        <v>475</v>
      </c>
      <c r="D131" s="208" t="s">
        <v>533</v>
      </c>
      <c r="E131" s="202"/>
      <c r="F131" s="203" t="s">
        <v>1515</v>
      </c>
      <c r="G131" s="208" t="s">
        <v>1153</v>
      </c>
      <c r="H131" s="208" t="s">
        <v>420</v>
      </c>
      <c r="I131" s="202"/>
      <c r="J131" s="208" t="s">
        <v>1516</v>
      </c>
      <c r="K131" s="208" t="s">
        <v>476</v>
      </c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</row>
    <row r="132" spans="1:23">
      <c r="A132" s="202"/>
      <c r="B132" s="202"/>
      <c r="C132" s="1498"/>
      <c r="D132" s="1498"/>
      <c r="E132" s="1498"/>
      <c r="F132" s="1498"/>
      <c r="G132" s="1500" t="s">
        <v>506</v>
      </c>
      <c r="H132" s="1500" t="s">
        <v>510</v>
      </c>
      <c r="I132" s="1498"/>
      <c r="J132" s="1500" t="s">
        <v>519</v>
      </c>
      <c r="K132" s="1500" t="s">
        <v>911</v>
      </c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</row>
    <row r="133" spans="1:23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</row>
    <row r="134" spans="1:23">
      <c r="A134" s="202"/>
      <c r="B134" s="202"/>
      <c r="C134" s="208">
        <v>1</v>
      </c>
      <c r="D134" s="214"/>
      <c r="E134" s="202"/>
      <c r="F134" s="204" t="s">
        <v>457</v>
      </c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</row>
    <row r="135" spans="1:23">
      <c r="A135" s="202"/>
      <c r="B135" s="202"/>
      <c r="C135" s="208">
        <v>2</v>
      </c>
      <c r="D135" s="214"/>
      <c r="E135" s="202"/>
      <c r="F135" s="204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</row>
    <row r="136" spans="1:23">
      <c r="A136" s="202"/>
      <c r="B136" s="202"/>
      <c r="C136" s="208">
        <v>3</v>
      </c>
      <c r="D136" s="214"/>
      <c r="E136" s="202"/>
      <c r="F136" s="204" t="s">
        <v>338</v>
      </c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</row>
    <row r="137" spans="1:23">
      <c r="A137" s="202"/>
      <c r="B137" s="202">
        <v>560</v>
      </c>
      <c r="C137" s="208">
        <v>4</v>
      </c>
      <c r="D137" s="208">
        <v>560</v>
      </c>
      <c r="E137" s="202"/>
      <c r="F137" s="660" t="str">
        <f>'SCH_C2.1 - Base Period'!F145</f>
        <v xml:space="preserve">  Supervision &amp; Engineering</v>
      </c>
      <c r="G137" s="215">
        <f t="array" ref="G137">SUM(IF(FERCFP=B137,AmountFP))</f>
        <v>0</v>
      </c>
      <c r="H137" s="717">
        <f t="shared" ref="H137:H146" si="11">VLOOKUP(K137,ALLOCTABLE,2)</f>
        <v>100</v>
      </c>
      <c r="I137" s="202"/>
      <c r="J137" s="215">
        <f t="shared" ref="J137:J146" si="12">ROUND(G137*(H137/100),0)</f>
        <v>0</v>
      </c>
      <c r="K137" s="208" t="s">
        <v>428</v>
      </c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</row>
    <row r="138" spans="1:23">
      <c r="A138" s="202"/>
      <c r="B138" s="202">
        <v>561</v>
      </c>
      <c r="C138" s="208">
        <v>5</v>
      </c>
      <c r="D138" s="208">
        <v>561</v>
      </c>
      <c r="E138" s="202"/>
      <c r="F138" s="660" t="str">
        <f>'SCH_C2.1 - Base Period'!F146</f>
        <v xml:space="preserve">  Load Dispatching</v>
      </c>
      <c r="G138" s="215">
        <f t="array" ref="G138">SUM(IF(FERCFP=B138,AmountFP))-G139-G140</f>
        <v>463059</v>
      </c>
      <c r="H138" s="717">
        <f t="shared" si="11"/>
        <v>100</v>
      </c>
      <c r="I138" s="202"/>
      <c r="J138" s="215">
        <f t="shared" si="12"/>
        <v>463059</v>
      </c>
      <c r="K138" s="208" t="s">
        <v>428</v>
      </c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</row>
    <row r="139" spans="1:23">
      <c r="A139" s="202"/>
      <c r="B139" s="202">
        <v>561800</v>
      </c>
      <c r="C139" s="208">
        <v>6</v>
      </c>
      <c r="D139" s="208">
        <v>561800</v>
      </c>
      <c r="E139" s="202"/>
      <c r="F139" s="660" t="s">
        <v>1676</v>
      </c>
      <c r="G139" s="215">
        <f t="shared" ref="G139:G140" si="13">ROUND(VLOOKUP(B139,FPERIOD,5,FALSE),0)</f>
        <v>2307336</v>
      </c>
      <c r="H139" s="717">
        <f t="shared" ref="H139:H140" si="14">VLOOKUP(K139,ALLOCTABLE,2)</f>
        <v>100</v>
      </c>
      <c r="I139" s="202"/>
      <c r="J139" s="215">
        <f t="shared" ref="J139:J140" si="15">ROUND(G139*(H139/100),0)</f>
        <v>2307336</v>
      </c>
      <c r="K139" s="208" t="s">
        <v>428</v>
      </c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</row>
    <row r="140" spans="1:23">
      <c r="A140" s="202"/>
      <c r="B140" s="202">
        <v>561400</v>
      </c>
      <c r="C140" s="208">
        <v>7</v>
      </c>
      <c r="D140" s="208">
        <v>561400</v>
      </c>
      <c r="E140" s="202"/>
      <c r="F140" s="660" t="s">
        <v>1677</v>
      </c>
      <c r="G140" s="215">
        <f t="shared" si="13"/>
        <v>1200000</v>
      </c>
      <c r="H140" s="717">
        <f t="shared" si="14"/>
        <v>100</v>
      </c>
      <c r="I140" s="202"/>
      <c r="J140" s="215">
        <f t="shared" si="15"/>
        <v>1200000</v>
      </c>
      <c r="K140" s="208" t="s">
        <v>428</v>
      </c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</row>
    <row r="141" spans="1:23">
      <c r="A141" s="202"/>
      <c r="B141" s="202">
        <v>562</v>
      </c>
      <c r="C141" s="208">
        <v>8</v>
      </c>
      <c r="D141" s="208">
        <v>562</v>
      </c>
      <c r="E141" s="202"/>
      <c r="F141" s="660" t="str">
        <f>'SCH_C2.1 - Base Period'!F147</f>
        <v xml:space="preserve">  Station Expense</v>
      </c>
      <c r="G141" s="215">
        <f t="array" ref="G141">SUM(IF(FERCFP=B141,AmountFP))</f>
        <v>86871</v>
      </c>
      <c r="H141" s="717">
        <f t="shared" si="11"/>
        <v>100</v>
      </c>
      <c r="I141" s="202"/>
      <c r="J141" s="215">
        <f t="shared" si="12"/>
        <v>86871</v>
      </c>
      <c r="K141" s="208" t="s">
        <v>428</v>
      </c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</row>
    <row r="142" spans="1:23">
      <c r="A142" s="202"/>
      <c r="B142" s="202">
        <v>563</v>
      </c>
      <c r="C142" s="208">
        <v>9</v>
      </c>
      <c r="D142" s="208">
        <v>563</v>
      </c>
      <c r="E142" s="202"/>
      <c r="F142" s="660" t="str">
        <f>'SCH_C2.1 - Base Period'!F148</f>
        <v xml:space="preserve">  Overhead Lines</v>
      </c>
      <c r="G142" s="215">
        <f t="array" ref="G142">SUM(IF(FERCFP=B142,AmountFP))</f>
        <v>9090</v>
      </c>
      <c r="H142" s="717">
        <f t="shared" si="11"/>
        <v>100</v>
      </c>
      <c r="I142" s="202"/>
      <c r="J142" s="215">
        <f t="shared" si="12"/>
        <v>9090</v>
      </c>
      <c r="K142" s="208" t="s">
        <v>428</v>
      </c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</row>
    <row r="143" spans="1:23">
      <c r="A143" s="202"/>
      <c r="B143" s="202">
        <v>565</v>
      </c>
      <c r="C143" s="208">
        <v>10</v>
      </c>
      <c r="D143" s="208">
        <v>565</v>
      </c>
      <c r="E143" s="202"/>
      <c r="F143" s="660" t="str">
        <f>'SCH_C2.1 - Base Period'!F149</f>
        <v xml:space="preserve">  Transmission of Electricity by Others</v>
      </c>
      <c r="G143" s="215">
        <f t="array" ref="G143">SUM(IF(FERCFP=B143,AmountFP))-G144</f>
        <v>557000</v>
      </c>
      <c r="H143" s="717">
        <f t="shared" si="11"/>
        <v>100</v>
      </c>
      <c r="I143" s="202"/>
      <c r="J143" s="215">
        <f t="shared" si="12"/>
        <v>557000</v>
      </c>
      <c r="K143" s="208" t="s">
        <v>428</v>
      </c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</row>
    <row r="144" spans="1:23">
      <c r="A144" s="202"/>
      <c r="B144" s="202"/>
      <c r="C144" s="208">
        <v>11</v>
      </c>
      <c r="D144" s="208">
        <v>565</v>
      </c>
      <c r="E144" s="202"/>
      <c r="F144" s="660" t="s">
        <v>1678</v>
      </c>
      <c r="G144" s="224">
        <v>28795086</v>
      </c>
      <c r="H144" s="717">
        <f t="shared" ref="H144" si="16">VLOOKUP(K144,ALLOCTABLE,2)</f>
        <v>100</v>
      </c>
      <c r="I144" s="202"/>
      <c r="J144" s="215">
        <f t="shared" ref="J144" si="17">ROUND(G144*(H144/100),0)</f>
        <v>28795086</v>
      </c>
      <c r="K144" s="208" t="s">
        <v>428</v>
      </c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</row>
    <row r="145" spans="1:23">
      <c r="A145" s="202"/>
      <c r="B145" s="202">
        <v>566</v>
      </c>
      <c r="C145" s="208">
        <v>12</v>
      </c>
      <c r="D145" s="208">
        <v>566</v>
      </c>
      <c r="E145" s="202"/>
      <c r="F145" s="660" t="str">
        <f>'SCH_C2.1 - Base Period'!F150</f>
        <v xml:space="preserve">  Miscellaneous Transmission</v>
      </c>
      <c r="G145" s="215">
        <f t="array" ref="G145">SUM(IF(FERCFP=B145,AmountFP))</f>
        <v>129764</v>
      </c>
      <c r="H145" s="717">
        <f t="shared" si="11"/>
        <v>100</v>
      </c>
      <c r="I145" s="202"/>
      <c r="J145" s="215">
        <f t="shared" si="12"/>
        <v>129764</v>
      </c>
      <c r="K145" s="208" t="s">
        <v>428</v>
      </c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</row>
    <row r="146" spans="1:23">
      <c r="A146" s="202"/>
      <c r="B146" s="202">
        <v>567</v>
      </c>
      <c r="C146" s="208">
        <v>13</v>
      </c>
      <c r="D146" s="208">
        <v>567</v>
      </c>
      <c r="E146" s="202"/>
      <c r="F146" s="660" t="str">
        <f>'SCH_C2.1 - Base Period'!F151</f>
        <v xml:space="preserve">  Rents - Interco CG&amp;E</v>
      </c>
      <c r="G146" s="215">
        <f t="array" ref="G146">SUM(IF(FERCFP=B146,AmountFP))</f>
        <v>7500</v>
      </c>
      <c r="H146" s="717">
        <f t="shared" si="11"/>
        <v>100</v>
      </c>
      <c r="I146" s="202"/>
      <c r="J146" s="215">
        <f t="shared" si="12"/>
        <v>7500</v>
      </c>
      <c r="K146" s="208" t="s">
        <v>428</v>
      </c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</row>
    <row r="147" spans="1:23">
      <c r="A147" s="202"/>
      <c r="B147" s="202"/>
      <c r="C147" s="208">
        <v>14</v>
      </c>
      <c r="D147" s="202"/>
      <c r="E147" s="202"/>
      <c r="F147" s="660" t="s">
        <v>1539</v>
      </c>
      <c r="G147" s="2138">
        <f>SUM(G137:G146)</f>
        <v>33555706</v>
      </c>
      <c r="H147" s="202"/>
      <c r="I147" s="202"/>
      <c r="J147" s="2138">
        <f>SUM(J137:J146)</f>
        <v>33555706</v>
      </c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</row>
    <row r="148" spans="1:23">
      <c r="A148" s="202"/>
      <c r="B148" s="202"/>
      <c r="C148" s="208">
        <v>15</v>
      </c>
      <c r="D148" s="202"/>
      <c r="E148" s="202"/>
      <c r="F148" s="202"/>
      <c r="G148" s="206"/>
      <c r="H148" s="202"/>
      <c r="I148" s="202"/>
      <c r="J148" s="206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</row>
    <row r="149" spans="1:23">
      <c r="A149" s="202"/>
      <c r="B149" s="202"/>
      <c r="C149" s="208">
        <v>16</v>
      </c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</row>
    <row r="150" spans="1:23">
      <c r="A150" s="202"/>
      <c r="B150" s="202"/>
      <c r="C150" s="208">
        <v>17</v>
      </c>
      <c r="D150" s="202"/>
      <c r="E150" s="202"/>
      <c r="F150" s="204" t="s">
        <v>347</v>
      </c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</row>
    <row r="151" spans="1:23">
      <c r="A151" s="202"/>
      <c r="B151" s="202">
        <v>568</v>
      </c>
      <c r="C151" s="208">
        <v>18</v>
      </c>
      <c r="D151" s="208">
        <v>568</v>
      </c>
      <c r="E151" s="202"/>
      <c r="F151" s="660" t="str">
        <f>'SCH_C2.1 - Base Period'!F156</f>
        <v xml:space="preserve">  Supervision &amp; Engineering</v>
      </c>
      <c r="G151" s="215">
        <f t="array" ref="G151">SUM(IF(FERCFP=B151,AmountFP))</f>
        <v>0</v>
      </c>
      <c r="H151" s="717">
        <f t="shared" ref="H151:H156" si="18">VLOOKUP(K151,ALLOCTABLE,2)</f>
        <v>100</v>
      </c>
      <c r="I151" s="202"/>
      <c r="J151" s="215">
        <f t="shared" ref="J151:J156" si="19">ROUND(G151*(H151/100),0)</f>
        <v>0</v>
      </c>
      <c r="K151" s="208" t="s">
        <v>428</v>
      </c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</row>
    <row r="152" spans="1:23">
      <c r="A152" s="202"/>
      <c r="B152" s="202">
        <v>569</v>
      </c>
      <c r="C152" s="208">
        <v>19</v>
      </c>
      <c r="D152" s="208">
        <v>569</v>
      </c>
      <c r="E152" s="202"/>
      <c r="F152" s="660" t="str">
        <f>'SCH_C2.1 - Base Period'!F157</f>
        <v xml:space="preserve">  Structures</v>
      </c>
      <c r="G152" s="215">
        <f t="array" ref="G152">SUM(IF(FERCFP=B152,AmountFP))</f>
        <v>103839</v>
      </c>
      <c r="H152" s="717">
        <f t="shared" si="18"/>
        <v>100</v>
      </c>
      <c r="I152" s="202"/>
      <c r="J152" s="215">
        <f t="shared" si="19"/>
        <v>103839</v>
      </c>
      <c r="K152" s="208" t="s">
        <v>428</v>
      </c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</row>
    <row r="153" spans="1:23">
      <c r="A153" s="202"/>
      <c r="B153" s="202">
        <v>570</v>
      </c>
      <c r="C153" s="208">
        <v>20</v>
      </c>
      <c r="D153" s="208">
        <v>570</v>
      </c>
      <c r="E153" s="202"/>
      <c r="F153" s="660" t="str">
        <f>'SCH_C2.1 - Base Period'!F158</f>
        <v xml:space="preserve">  Station Equipment</v>
      </c>
      <c r="G153" s="215">
        <f t="array" ref="G153">SUM(IF(FERCFP=B153,AmountFP))</f>
        <v>117056</v>
      </c>
      <c r="H153" s="717">
        <f t="shared" si="18"/>
        <v>100</v>
      </c>
      <c r="I153" s="202"/>
      <c r="J153" s="215">
        <f t="shared" si="19"/>
        <v>117056</v>
      </c>
      <c r="K153" s="208" t="s">
        <v>428</v>
      </c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</row>
    <row r="154" spans="1:23">
      <c r="A154" s="202"/>
      <c r="B154" s="202">
        <v>571</v>
      </c>
      <c r="C154" s="208">
        <v>21</v>
      </c>
      <c r="D154" s="208">
        <v>571</v>
      </c>
      <c r="E154" s="202"/>
      <c r="F154" s="660" t="str">
        <f>'SCH_C2.1 - Base Period'!F159</f>
        <v xml:space="preserve">  Overhead Lines</v>
      </c>
      <c r="G154" s="215">
        <f t="array" ref="G154">SUM(IF(FERCFP=B154,AmountFP))</f>
        <v>1037403</v>
      </c>
      <c r="H154" s="717">
        <f t="shared" si="18"/>
        <v>100</v>
      </c>
      <c r="I154" s="202"/>
      <c r="J154" s="215">
        <f t="shared" si="19"/>
        <v>1037403</v>
      </c>
      <c r="K154" s="208" t="s">
        <v>428</v>
      </c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</row>
    <row r="155" spans="1:23">
      <c r="A155" s="202"/>
      <c r="B155" s="202">
        <v>572</v>
      </c>
      <c r="C155" s="208">
        <v>22</v>
      </c>
      <c r="D155" s="208">
        <v>572</v>
      </c>
      <c r="E155" s="202"/>
      <c r="F155" s="660" t="str">
        <f>'SCH_C2.1 - Base Period'!F160</f>
        <v xml:space="preserve">  Underground Lines</v>
      </c>
      <c r="G155" s="215">
        <f t="array" ref="G155">SUM(IF(FERCFP=B155,AmountFP))</f>
        <v>0</v>
      </c>
      <c r="H155" s="717">
        <f t="shared" si="18"/>
        <v>100</v>
      </c>
      <c r="I155" s="202"/>
      <c r="J155" s="215">
        <f t="shared" si="19"/>
        <v>0</v>
      </c>
      <c r="K155" s="208" t="s">
        <v>428</v>
      </c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</row>
    <row r="156" spans="1:23">
      <c r="A156" s="202"/>
      <c r="B156" s="202">
        <v>573</v>
      </c>
      <c r="C156" s="208">
        <v>23</v>
      </c>
      <c r="D156" s="208">
        <v>573</v>
      </c>
      <c r="E156" s="202"/>
      <c r="F156" s="660" t="str">
        <f>'SCH_C2.1 - Base Period'!F161</f>
        <v xml:space="preserve">  Miscellaneous</v>
      </c>
      <c r="G156" s="215">
        <f t="array" ref="G156">SUM(IF(FERCFP=B156,AmountFP))</f>
        <v>0</v>
      </c>
      <c r="H156" s="717">
        <f t="shared" si="18"/>
        <v>100</v>
      </c>
      <c r="I156" s="202"/>
      <c r="J156" s="215">
        <f t="shared" si="19"/>
        <v>0</v>
      </c>
      <c r="K156" s="208" t="s">
        <v>428</v>
      </c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</row>
    <row r="157" spans="1:23">
      <c r="A157" s="202"/>
      <c r="B157" s="202"/>
      <c r="C157" s="208">
        <v>24</v>
      </c>
      <c r="D157" s="202"/>
      <c r="E157" s="202"/>
      <c r="F157" s="660" t="s">
        <v>1544</v>
      </c>
      <c r="G157" s="2138">
        <f>SUM(G151:G156)</f>
        <v>1258298</v>
      </c>
      <c r="H157" s="202"/>
      <c r="I157" s="202"/>
      <c r="J157" s="2138">
        <f>SUM(J151:J156)</f>
        <v>1258298</v>
      </c>
      <c r="K157" s="208" t="s">
        <v>428</v>
      </c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</row>
    <row r="158" spans="1:23">
      <c r="A158" s="202"/>
      <c r="B158" s="202"/>
      <c r="C158" s="208">
        <v>25</v>
      </c>
      <c r="D158" s="214"/>
      <c r="E158" s="202"/>
      <c r="F158" s="660" t="s">
        <v>1574</v>
      </c>
      <c r="G158" s="2138">
        <f>G147+G157</f>
        <v>34814004</v>
      </c>
      <c r="H158" s="202"/>
      <c r="I158" s="202"/>
      <c r="J158" s="2138">
        <f>J147+J157</f>
        <v>34814004</v>
      </c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</row>
    <row r="159" spans="1:23">
      <c r="A159" s="202"/>
      <c r="B159" s="202"/>
      <c r="C159" s="208">
        <v>26</v>
      </c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</row>
    <row r="160" spans="1:23">
      <c r="A160" s="202"/>
      <c r="B160" s="202"/>
      <c r="C160" s="208">
        <v>27</v>
      </c>
      <c r="D160" s="202"/>
      <c r="E160" s="202"/>
      <c r="F160" s="204" t="s">
        <v>1575</v>
      </c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</row>
    <row r="161" spans="1:23">
      <c r="A161" s="202"/>
      <c r="B161" s="202"/>
      <c r="C161" s="208">
        <v>28</v>
      </c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</row>
    <row r="162" spans="1:23">
      <c r="A162" s="202"/>
      <c r="B162" s="202"/>
      <c r="C162" s="208">
        <v>29</v>
      </c>
      <c r="D162" s="202"/>
      <c r="E162" s="202"/>
      <c r="F162" s="204" t="s">
        <v>338</v>
      </c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</row>
    <row r="163" spans="1:23">
      <c r="A163" s="202"/>
      <c r="B163" s="202">
        <v>575</v>
      </c>
      <c r="C163" s="208">
        <v>30</v>
      </c>
      <c r="D163" s="208">
        <v>575</v>
      </c>
      <c r="E163" s="202"/>
      <c r="F163" s="668" t="str">
        <f>'SCH_C2.1 - Base Period'!F168</f>
        <v>Market Facilitation-Mntr&amp;Comp</v>
      </c>
      <c r="G163" s="215">
        <f t="array" ref="G163">SUM(IF(FERCFP=B163,AmountFP))</f>
        <v>3440220</v>
      </c>
      <c r="H163" s="717">
        <f>VLOOKUP(K163,ALLOCTABLE,2)</f>
        <v>100</v>
      </c>
      <c r="I163" s="202"/>
      <c r="J163" s="215">
        <f>ROUND(G163*(H163/100),0)</f>
        <v>3440220</v>
      </c>
      <c r="K163" s="208" t="s">
        <v>428</v>
      </c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</row>
    <row r="164" spans="1:23">
      <c r="A164" s="202"/>
      <c r="B164" s="202"/>
      <c r="C164" s="208">
        <v>31</v>
      </c>
      <c r="D164" s="202"/>
      <c r="E164" s="202"/>
      <c r="F164" s="660" t="s">
        <v>1577</v>
      </c>
      <c r="G164" s="2138">
        <f>SUM(G163)</f>
        <v>3440220</v>
      </c>
      <c r="H164" s="202"/>
      <c r="I164" s="202"/>
      <c r="J164" s="2138">
        <f>SUM(J163)</f>
        <v>3440220</v>
      </c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</row>
    <row r="165" spans="1:23">
      <c r="A165" s="202"/>
      <c r="B165" s="202"/>
      <c r="C165" s="208">
        <v>32</v>
      </c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</row>
    <row r="166" spans="1:23">
      <c r="A166" s="202"/>
      <c r="B166" s="202"/>
      <c r="C166" s="208">
        <v>33</v>
      </c>
      <c r="D166" s="214"/>
      <c r="E166" s="202"/>
      <c r="F166" s="204" t="s">
        <v>458</v>
      </c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</row>
    <row r="167" spans="1:23">
      <c r="A167" s="202"/>
      <c r="B167" s="202"/>
      <c r="C167" s="208">
        <v>34</v>
      </c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</row>
    <row r="168" spans="1:23">
      <c r="A168" s="202"/>
      <c r="B168" s="202"/>
      <c r="C168" s="208">
        <v>35</v>
      </c>
      <c r="D168" s="214"/>
      <c r="E168" s="202"/>
      <c r="F168" s="204" t="s">
        <v>338</v>
      </c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</row>
    <row r="169" spans="1:23">
      <c r="A169" s="202"/>
      <c r="B169" s="202">
        <v>580</v>
      </c>
      <c r="C169" s="208">
        <v>36</v>
      </c>
      <c r="D169" s="208">
        <v>580</v>
      </c>
      <c r="E169" s="202"/>
      <c r="F169" s="660" t="str">
        <f>'SCH_C2.1 - Base Period'!F174</f>
        <v xml:space="preserve">  Supervision &amp; Engineering</v>
      </c>
      <c r="G169" s="215">
        <f t="array" ref="G169">SUM(IF(FERCFP=B169,AmountFP))</f>
        <v>23748</v>
      </c>
      <c r="H169" s="717">
        <f t="shared" ref="H169:H178" si="20">VLOOKUP(K169,ALLOCTABLE,2)</f>
        <v>100</v>
      </c>
      <c r="I169" s="202"/>
      <c r="J169" s="215">
        <f t="shared" ref="J169:J178" si="21">ROUND(G169*(H169/100),0)</f>
        <v>23748</v>
      </c>
      <c r="K169" s="208" t="s">
        <v>428</v>
      </c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</row>
    <row r="170" spans="1:23">
      <c r="A170" s="202"/>
      <c r="B170" s="202">
        <v>581</v>
      </c>
      <c r="C170" s="208">
        <v>37</v>
      </c>
      <c r="D170" s="208">
        <v>581</v>
      </c>
      <c r="E170" s="202"/>
      <c r="F170" s="660" t="str">
        <f>'SCH_C2.1 - Base Period'!F175</f>
        <v xml:space="preserve">  Load Dispatching</v>
      </c>
      <c r="G170" s="215">
        <f t="array" ref="G170">SUM(IF(FERCFP=B170,AmountFP))</f>
        <v>480602</v>
      </c>
      <c r="H170" s="717">
        <f t="shared" si="20"/>
        <v>100</v>
      </c>
      <c r="I170" s="202"/>
      <c r="J170" s="215">
        <f t="shared" si="21"/>
        <v>480602</v>
      </c>
      <c r="K170" s="208" t="s">
        <v>428</v>
      </c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</row>
    <row r="171" spans="1:23">
      <c r="A171" s="202"/>
      <c r="B171" s="202">
        <v>582</v>
      </c>
      <c r="C171" s="208">
        <v>38</v>
      </c>
      <c r="D171" s="208">
        <v>582</v>
      </c>
      <c r="E171" s="202"/>
      <c r="F171" s="660" t="str">
        <f>'SCH_C2.1 - Base Period'!F176</f>
        <v xml:space="preserve">  Station Expenses</v>
      </c>
      <c r="G171" s="215">
        <f t="array" ref="G171">SUM(IF(FERCFP=B171,AmountFP))</f>
        <v>54453</v>
      </c>
      <c r="H171" s="717">
        <f t="shared" si="20"/>
        <v>100</v>
      </c>
      <c r="I171" s="202"/>
      <c r="J171" s="215">
        <f t="shared" si="21"/>
        <v>54453</v>
      </c>
      <c r="K171" s="208" t="s">
        <v>428</v>
      </c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</row>
    <row r="172" spans="1:23">
      <c r="A172" s="202"/>
      <c r="B172" s="202">
        <v>583</v>
      </c>
      <c r="C172" s="208">
        <v>39</v>
      </c>
      <c r="D172" s="208">
        <v>583</v>
      </c>
      <c r="E172" s="202"/>
      <c r="F172" s="660" t="str">
        <f>'SCH_C2.1 - Base Period'!F177</f>
        <v xml:space="preserve">  Overhead Lines</v>
      </c>
      <c r="G172" s="215">
        <f t="array" ref="G172">SUM(IF(FERCFP=B172,AmountFP))</f>
        <v>510475</v>
      </c>
      <c r="H172" s="717">
        <f t="shared" si="20"/>
        <v>100</v>
      </c>
      <c r="I172" s="202"/>
      <c r="J172" s="215">
        <f t="shared" si="21"/>
        <v>510475</v>
      </c>
      <c r="K172" s="208" t="s">
        <v>428</v>
      </c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</row>
    <row r="173" spans="1:23">
      <c r="A173" s="202"/>
      <c r="B173" s="202">
        <v>584</v>
      </c>
      <c r="C173" s="208">
        <v>40</v>
      </c>
      <c r="D173" s="208">
        <v>584</v>
      </c>
      <c r="E173" s="202"/>
      <c r="F173" s="660" t="str">
        <f>'SCH_C2.1 - Base Period'!F178</f>
        <v xml:space="preserve">  Underground Lines</v>
      </c>
      <c r="G173" s="215">
        <f t="array" ref="G173">SUM(IF(FERCFP=B173,AmountFP))</f>
        <v>642890</v>
      </c>
      <c r="H173" s="717">
        <f t="shared" si="20"/>
        <v>100</v>
      </c>
      <c r="I173" s="202"/>
      <c r="J173" s="215">
        <f t="shared" si="21"/>
        <v>642890</v>
      </c>
      <c r="K173" s="208" t="s">
        <v>428</v>
      </c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</row>
    <row r="174" spans="1:23">
      <c r="A174" s="202"/>
      <c r="B174" s="202">
        <v>585</v>
      </c>
      <c r="C174" s="208">
        <v>41</v>
      </c>
      <c r="D174" s="208">
        <v>585</v>
      </c>
      <c r="E174" s="202"/>
      <c r="F174" s="660" t="str">
        <f>'SCH_C2.1 - Base Period'!F179</f>
        <v xml:space="preserve">  Street Lighting &amp; Signal Systems</v>
      </c>
      <c r="G174" s="215">
        <f t="array" ref="G174">SUM(IF(FERCFP=B174,AmountFP))</f>
        <v>0</v>
      </c>
      <c r="H174" s="717">
        <f t="shared" si="20"/>
        <v>100</v>
      </c>
      <c r="I174" s="202"/>
      <c r="J174" s="215">
        <f t="shared" si="21"/>
        <v>0</v>
      </c>
      <c r="K174" s="208" t="s">
        <v>428</v>
      </c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</row>
    <row r="175" spans="1:23">
      <c r="A175" s="202"/>
      <c r="B175" s="202">
        <v>586</v>
      </c>
      <c r="C175" s="208">
        <v>42</v>
      </c>
      <c r="D175" s="208">
        <v>586</v>
      </c>
      <c r="E175" s="202"/>
      <c r="F175" s="660" t="str">
        <f>'SCH_C2.1 - Base Period'!F180</f>
        <v xml:space="preserve">  Meter Expense</v>
      </c>
      <c r="G175" s="215">
        <f t="array" ref="G175">SUM(IF(FERCFP=B175,AmountFP))</f>
        <v>660959</v>
      </c>
      <c r="H175" s="717">
        <f t="shared" si="20"/>
        <v>100</v>
      </c>
      <c r="I175" s="202"/>
      <c r="J175" s="215">
        <f t="shared" si="21"/>
        <v>660959</v>
      </c>
      <c r="K175" s="208" t="s">
        <v>428</v>
      </c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</row>
    <row r="176" spans="1:23">
      <c r="A176" s="202"/>
      <c r="B176" s="202">
        <v>587</v>
      </c>
      <c r="C176" s="208">
        <v>43</v>
      </c>
      <c r="D176" s="208">
        <v>587</v>
      </c>
      <c r="E176" s="202"/>
      <c r="F176" s="660" t="str">
        <f>'SCH_C2.1 - Base Period'!F181</f>
        <v xml:space="preserve">  Customer Installations</v>
      </c>
      <c r="G176" s="215">
        <f t="array" ref="G176">SUM(IF(FERCFP=B176,AmountFP))</f>
        <v>695935</v>
      </c>
      <c r="H176" s="717">
        <f t="shared" si="20"/>
        <v>100</v>
      </c>
      <c r="I176" s="202"/>
      <c r="J176" s="215">
        <f t="shared" si="21"/>
        <v>695935</v>
      </c>
      <c r="K176" s="208" t="s">
        <v>428</v>
      </c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</row>
    <row r="177" spans="1:23">
      <c r="A177" s="202"/>
      <c r="B177" s="202">
        <v>588</v>
      </c>
      <c r="C177" s="208">
        <v>44</v>
      </c>
      <c r="D177" s="208">
        <v>588</v>
      </c>
      <c r="E177" s="202"/>
      <c r="F177" s="660" t="str">
        <f>'SCH_C2.1 - Base Period'!F182</f>
        <v xml:space="preserve">  Miscellaneous Distribution</v>
      </c>
      <c r="G177" s="215">
        <f t="array" ref="G177">SUM(IF(FERCFP=B177,AmountFP))</f>
        <v>2022105</v>
      </c>
      <c r="H177" s="717">
        <f t="shared" si="20"/>
        <v>100</v>
      </c>
      <c r="I177" s="202"/>
      <c r="J177" s="215">
        <f t="shared" si="21"/>
        <v>2022105</v>
      </c>
      <c r="K177" s="208" t="s">
        <v>428</v>
      </c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</row>
    <row r="178" spans="1:23">
      <c r="A178" s="202"/>
      <c r="B178" s="202">
        <v>589</v>
      </c>
      <c r="C178" s="208">
        <v>45</v>
      </c>
      <c r="D178" s="208">
        <v>589</v>
      </c>
      <c r="E178" s="202"/>
      <c r="F178" s="660" t="str">
        <f>'SCH_C2.1 - Base Period'!F183</f>
        <v xml:space="preserve">  Rents - Interco - CG&amp;E</v>
      </c>
      <c r="G178" s="215">
        <f t="array" ref="G178">SUM(IF(FERCFP=B178,AmountFP))</f>
        <v>0</v>
      </c>
      <c r="H178" s="717">
        <f t="shared" si="20"/>
        <v>100</v>
      </c>
      <c r="I178" s="202"/>
      <c r="J178" s="215">
        <f t="shared" si="21"/>
        <v>0</v>
      </c>
      <c r="K178" s="208" t="s">
        <v>428</v>
      </c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</row>
    <row r="179" spans="1:23">
      <c r="A179" s="216"/>
      <c r="B179" s="202"/>
      <c r="C179" s="208">
        <v>46</v>
      </c>
      <c r="D179" s="202"/>
      <c r="E179" s="202"/>
      <c r="F179" s="660" t="s">
        <v>1539</v>
      </c>
      <c r="G179" s="2138">
        <f>SUM(G169:G178)</f>
        <v>5091167</v>
      </c>
      <c r="H179" s="202"/>
      <c r="I179" s="202"/>
      <c r="J179" s="2138">
        <f>SUM(J169:J178)</f>
        <v>5091167</v>
      </c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</row>
    <row r="180" spans="1:23">
      <c r="A180" s="202"/>
      <c r="B180" s="202"/>
      <c r="C180" s="208">
        <v>47</v>
      </c>
      <c r="D180" s="202"/>
      <c r="E180" s="202"/>
      <c r="F180" s="202"/>
      <c r="G180" s="206"/>
      <c r="H180" s="202"/>
      <c r="I180" s="202"/>
      <c r="J180" s="206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</row>
    <row r="181" spans="1:23">
      <c r="A181" s="216"/>
      <c r="B181" s="202"/>
      <c r="C181" s="208">
        <v>48</v>
      </c>
      <c r="D181" s="202"/>
      <c r="E181" s="202"/>
      <c r="F181" s="202"/>
      <c r="G181" s="217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</row>
    <row r="182" spans="1:23">
      <c r="A182" s="216"/>
      <c r="B182" s="202"/>
      <c r="C182" s="208">
        <v>49</v>
      </c>
      <c r="D182" s="202"/>
      <c r="E182" s="202"/>
      <c r="F182" s="204" t="s">
        <v>347</v>
      </c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</row>
    <row r="183" spans="1:23">
      <c r="A183" s="216"/>
      <c r="B183" s="202">
        <v>590</v>
      </c>
      <c r="C183" s="208">
        <v>50</v>
      </c>
      <c r="D183" s="208">
        <v>590</v>
      </c>
      <c r="E183" s="202"/>
      <c r="F183" s="660" t="str">
        <f>'SCH_C2.1 - Base Period'!F188</f>
        <v xml:space="preserve">  Supervision &amp; Engineering</v>
      </c>
      <c r="G183" s="215">
        <f t="array" ref="G183">SUM(IF(FERCFP=B183,AmountFP))</f>
        <v>11520</v>
      </c>
      <c r="H183" s="717">
        <f t="shared" ref="H183:H191" si="22">VLOOKUP(K183,ALLOCTABLE,2)</f>
        <v>100</v>
      </c>
      <c r="I183" s="202"/>
      <c r="J183" s="215">
        <f t="shared" ref="J183:J191" si="23">ROUND(G183*(H183/100),0)</f>
        <v>11520</v>
      </c>
      <c r="K183" s="208" t="s">
        <v>428</v>
      </c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</row>
    <row r="184" spans="1:23">
      <c r="A184" s="216"/>
      <c r="B184" s="202">
        <v>591</v>
      </c>
      <c r="C184" s="208">
        <v>51</v>
      </c>
      <c r="D184" s="208">
        <v>591</v>
      </c>
      <c r="E184" s="202"/>
      <c r="F184" s="660" t="str">
        <f>'SCH_C2.1 - Base Period'!F189</f>
        <v xml:space="preserve">  Structures</v>
      </c>
      <c r="G184" s="215">
        <f t="array" ref="G184">SUM(IF(FERCFP=B184,AmountFP))</f>
        <v>7860</v>
      </c>
      <c r="H184" s="717">
        <f t="shared" si="22"/>
        <v>100</v>
      </c>
      <c r="I184" s="202"/>
      <c r="J184" s="215">
        <f t="shared" si="23"/>
        <v>7860</v>
      </c>
      <c r="K184" s="208" t="s">
        <v>428</v>
      </c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</row>
    <row r="185" spans="1:23">
      <c r="A185" s="216"/>
      <c r="B185" s="202">
        <v>592</v>
      </c>
      <c r="C185" s="208">
        <v>52</v>
      </c>
      <c r="D185" s="208">
        <v>592</v>
      </c>
      <c r="E185" s="202"/>
      <c r="F185" s="660" t="str">
        <f>'SCH_C2.1 - Base Period'!F190</f>
        <v xml:space="preserve">  Station Equipment</v>
      </c>
      <c r="G185" s="215">
        <f t="array" ref="G185">SUM(IF(FERCFP=B185,AmountFP))</f>
        <v>322173</v>
      </c>
      <c r="H185" s="717">
        <f t="shared" si="22"/>
        <v>100</v>
      </c>
      <c r="I185" s="202"/>
      <c r="J185" s="215">
        <f t="shared" si="23"/>
        <v>322173</v>
      </c>
      <c r="K185" s="208" t="s">
        <v>428</v>
      </c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</row>
    <row r="186" spans="1:23">
      <c r="A186" s="216"/>
      <c r="B186" s="218">
        <v>593</v>
      </c>
      <c r="C186" s="208">
        <v>53</v>
      </c>
      <c r="D186" s="205">
        <v>593</v>
      </c>
      <c r="E186" s="202"/>
      <c r="F186" s="660" t="str">
        <f>'SCH_C2.1 - Base Period'!F191</f>
        <v xml:space="preserve">  Overhead Lines</v>
      </c>
      <c r="G186" s="215">
        <f t="array" ref="G186">SUM(IF(FERCFP=B186,AmountFP))</f>
        <v>8152102</v>
      </c>
      <c r="H186" s="717">
        <f t="shared" si="22"/>
        <v>100</v>
      </c>
      <c r="I186" s="202"/>
      <c r="J186" s="215">
        <f t="shared" si="23"/>
        <v>8152102</v>
      </c>
      <c r="K186" s="208" t="s">
        <v>428</v>
      </c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</row>
    <row r="187" spans="1:23">
      <c r="A187" s="216"/>
      <c r="B187" s="202">
        <v>594</v>
      </c>
      <c r="C187" s="208">
        <v>54</v>
      </c>
      <c r="D187" s="208">
        <v>594</v>
      </c>
      <c r="E187" s="202"/>
      <c r="F187" s="660" t="str">
        <f>'SCH_C2.1 - Base Period'!F192</f>
        <v xml:space="preserve">  Underground Lines-Conduit</v>
      </c>
      <c r="G187" s="215">
        <f t="array" ref="G187">SUM(IF(FERCFP=B187,AmountFP))</f>
        <v>106096</v>
      </c>
      <c r="H187" s="717">
        <f t="shared" si="22"/>
        <v>100</v>
      </c>
      <c r="I187" s="202"/>
      <c r="J187" s="215">
        <f t="shared" si="23"/>
        <v>106096</v>
      </c>
      <c r="K187" s="208" t="s">
        <v>428</v>
      </c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</row>
    <row r="188" spans="1:23">
      <c r="A188" s="202"/>
      <c r="B188" s="202">
        <v>595</v>
      </c>
      <c r="C188" s="208">
        <v>55</v>
      </c>
      <c r="D188" s="208">
        <v>595</v>
      </c>
      <c r="E188" s="202"/>
      <c r="F188" s="660" t="str">
        <f>'SCH_C2.1 - Base Period'!F193</f>
        <v xml:space="preserve">  Line Transformers</v>
      </c>
      <c r="G188" s="215">
        <f t="array" ref="G188">SUM(IF(FERCFP=B188,AmountFP))</f>
        <v>0</v>
      </c>
      <c r="H188" s="717">
        <f t="shared" si="22"/>
        <v>100</v>
      </c>
      <c r="I188" s="202"/>
      <c r="J188" s="215">
        <f t="shared" si="23"/>
        <v>0</v>
      </c>
      <c r="K188" s="208" t="s">
        <v>428</v>
      </c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</row>
    <row r="189" spans="1:23">
      <c r="A189" s="202"/>
      <c r="B189" s="202">
        <v>596</v>
      </c>
      <c r="C189" s="208">
        <v>56</v>
      </c>
      <c r="D189" s="208">
        <v>596</v>
      </c>
      <c r="E189" s="202"/>
      <c r="F189" s="660" t="str">
        <f>'SCH_C2.1 - Base Period'!F194</f>
        <v xml:space="preserve">  Street Lighting &amp; Signal Systems</v>
      </c>
      <c r="G189" s="215">
        <f t="array" ref="G189">SUM(IF(FERCFP=B189,AmountFP))</f>
        <v>293324</v>
      </c>
      <c r="H189" s="717">
        <f t="shared" si="22"/>
        <v>100</v>
      </c>
      <c r="I189" s="202"/>
      <c r="J189" s="215">
        <f t="shared" si="23"/>
        <v>293324</v>
      </c>
      <c r="K189" s="208" t="s">
        <v>428</v>
      </c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</row>
    <row r="190" spans="1:23">
      <c r="A190" s="202"/>
      <c r="B190" s="202">
        <v>597</v>
      </c>
      <c r="C190" s="208">
        <v>57</v>
      </c>
      <c r="D190" s="208">
        <v>597</v>
      </c>
      <c r="E190" s="202"/>
      <c r="F190" s="660" t="str">
        <f>'SCH_C2.1 - Base Period'!F195</f>
        <v xml:space="preserve">  Meters</v>
      </c>
      <c r="G190" s="215">
        <f t="array" ref="G190">SUM(IF(FERCFP=B190,AmountFP))</f>
        <v>430329</v>
      </c>
      <c r="H190" s="717">
        <f t="shared" si="22"/>
        <v>100</v>
      </c>
      <c r="I190" s="202"/>
      <c r="J190" s="215">
        <f t="shared" si="23"/>
        <v>430329</v>
      </c>
      <c r="K190" s="208" t="s">
        <v>428</v>
      </c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</row>
    <row r="191" spans="1:23">
      <c r="A191" s="202"/>
      <c r="B191" s="202">
        <v>598</v>
      </c>
      <c r="C191" s="208">
        <v>58</v>
      </c>
      <c r="D191" s="208">
        <v>598</v>
      </c>
      <c r="E191" s="202"/>
      <c r="F191" s="660" t="str">
        <f>'SCH_C2.1 - Base Period'!F196</f>
        <v xml:space="preserve">  Miscellaneous Distr. Plant</v>
      </c>
      <c r="G191" s="215">
        <f t="array" ref="G191">SUM(IF(FERCFP=B191,AmountFP))</f>
        <v>19105</v>
      </c>
      <c r="H191" s="717">
        <f t="shared" si="22"/>
        <v>100</v>
      </c>
      <c r="I191" s="202"/>
      <c r="J191" s="215">
        <f t="shared" si="23"/>
        <v>19105</v>
      </c>
      <c r="K191" s="208" t="s">
        <v>428</v>
      </c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</row>
    <row r="192" spans="1:23">
      <c r="A192" s="202"/>
      <c r="B192" s="202"/>
      <c r="C192" s="208">
        <v>59</v>
      </c>
      <c r="D192" s="202"/>
      <c r="E192" s="202"/>
      <c r="F192" s="660" t="s">
        <v>1544</v>
      </c>
      <c r="G192" s="2138">
        <f>SUM(G183:G191)</f>
        <v>9342509</v>
      </c>
      <c r="H192" s="202"/>
      <c r="I192" s="215"/>
      <c r="J192" s="2138">
        <f>SUM(J183:J191)</f>
        <v>9342509</v>
      </c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</row>
    <row r="193" spans="1:23">
      <c r="A193" s="202"/>
      <c r="B193" s="202"/>
      <c r="C193" s="208">
        <v>60</v>
      </c>
      <c r="D193" s="202"/>
      <c r="E193" s="202"/>
      <c r="F193" s="660" t="s">
        <v>1588</v>
      </c>
      <c r="G193" s="2138">
        <f>G179+G192</f>
        <v>14433676</v>
      </c>
      <c r="H193" s="202"/>
      <c r="I193" s="202"/>
      <c r="J193" s="2138">
        <f>J179+J192</f>
        <v>14433676</v>
      </c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</row>
    <row r="194" spans="1:23">
      <c r="A194" s="202"/>
      <c r="B194" s="202"/>
      <c r="C194" s="202"/>
      <c r="D194" s="202"/>
      <c r="E194" s="202"/>
      <c r="F194" s="202"/>
      <c r="G194" s="206"/>
      <c r="H194" s="202"/>
      <c r="I194" s="202"/>
      <c r="J194" s="206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</row>
    <row r="195" spans="1:23">
      <c r="A195" s="202"/>
      <c r="B195" s="202"/>
      <c r="C195" s="203" t="str">
        <f>COMPANY</f>
        <v>DUKE ENERGY KENTUCKY, INC.</v>
      </c>
      <c r="D195" s="203"/>
      <c r="E195" s="203"/>
      <c r="F195" s="203"/>
      <c r="G195" s="203"/>
      <c r="H195" s="203"/>
      <c r="I195" s="203"/>
      <c r="J195" s="203"/>
      <c r="K195" s="203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</row>
    <row r="196" spans="1:23">
      <c r="A196" s="202"/>
      <c r="B196" s="202"/>
      <c r="C196" s="203" t="str">
        <f>CASE</f>
        <v>CASE NO. 2024-00354</v>
      </c>
      <c r="D196" s="203"/>
      <c r="E196" s="203"/>
      <c r="F196" s="203"/>
      <c r="G196" s="203"/>
      <c r="H196" s="203"/>
      <c r="I196" s="203"/>
      <c r="J196" s="203"/>
      <c r="K196" s="203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</row>
    <row r="197" spans="1:23">
      <c r="A197" s="202"/>
      <c r="B197" s="202"/>
      <c r="C197" s="203" t="s">
        <v>1511</v>
      </c>
      <c r="D197" s="203"/>
      <c r="E197" s="203"/>
      <c r="F197" s="203"/>
      <c r="G197" s="203"/>
      <c r="H197" s="203"/>
      <c r="I197" s="203"/>
      <c r="J197" s="203"/>
      <c r="K197" s="203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</row>
    <row r="198" spans="1:23">
      <c r="A198" s="202"/>
      <c r="B198" s="202"/>
      <c r="C198" s="203" t="str">
        <f>PeriodF</f>
        <v>FOR THE TWELVE MONTHS ENDED JUNE 30, 2026</v>
      </c>
      <c r="D198" s="203"/>
      <c r="E198" s="203"/>
      <c r="F198" s="203"/>
      <c r="G198" s="203"/>
      <c r="H198" s="203"/>
      <c r="I198" s="203"/>
      <c r="J198" s="203"/>
      <c r="K198" s="203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</row>
    <row r="199" spans="1:23">
      <c r="A199" s="202"/>
      <c r="B199" s="202"/>
      <c r="C199" s="203"/>
      <c r="D199" s="203"/>
      <c r="E199" s="203"/>
      <c r="F199" s="203"/>
      <c r="G199" s="203"/>
      <c r="H199" s="203"/>
      <c r="I199" s="203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</row>
    <row r="200" spans="1:23">
      <c r="A200" s="202"/>
      <c r="B200" s="202"/>
      <c r="C200" s="202"/>
      <c r="D200" s="202"/>
      <c r="E200" s="202"/>
      <c r="F200" s="202"/>
      <c r="G200" s="202"/>
      <c r="H200" s="202"/>
      <c r="I200" s="202"/>
      <c r="J200" s="660" t="str">
        <f>"                "&amp;"SCHEDULE C-2.1"</f>
        <v xml:space="preserve">                SCHEDULE C-2.1</v>
      </c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</row>
    <row r="201" spans="1:23">
      <c r="A201" s="202"/>
      <c r="B201" s="202"/>
      <c r="C201" s="202" t="str">
        <f>DataF</f>
        <v>DATA:  BASE PERIOD  "X" FORECASTED PERIOD</v>
      </c>
      <c r="D201" s="202"/>
      <c r="E201" s="202"/>
      <c r="F201" s="202"/>
      <c r="G201" s="202"/>
      <c r="H201" s="202"/>
      <c r="I201" s="202"/>
      <c r="J201" s="660" t="str">
        <f>"                "&amp;"PAGE  11  OF  14"</f>
        <v xml:space="preserve">                PAGE  11  OF  14</v>
      </c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</row>
    <row r="202" spans="1:23">
      <c r="A202" s="202"/>
      <c r="B202" s="202"/>
      <c r="C202" s="202" t="str">
        <f>Type</f>
        <v xml:space="preserve">TYPE OF FILING:  "X" ORIGINAL   UPDATED    REVISED  </v>
      </c>
      <c r="D202" s="202"/>
      <c r="E202" s="202"/>
      <c r="F202" s="202"/>
      <c r="G202" s="202"/>
      <c r="H202" s="202"/>
      <c r="I202" s="202"/>
      <c r="J202" s="660" t="str">
        <f>"                "&amp;"WITNESS RESPONSIBLE:"</f>
        <v xml:space="preserve">                WITNESS RESPONSIBLE:</v>
      </c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</row>
    <row r="203" spans="1:23">
      <c r="A203" s="202"/>
      <c r="B203" s="202"/>
      <c r="C203" s="660" t="str">
        <f>$C$11&amp;", SCHEDULE F-3"</f>
        <v>WORK PAPER REFERENCE NO(S).: WPC-2.1a_FP, SCHEDULE F-3</v>
      </c>
      <c r="D203" s="202"/>
      <c r="E203" s="202"/>
      <c r="F203" s="202"/>
      <c r="G203" s="202"/>
      <c r="H203" s="202"/>
      <c r="I203" s="202"/>
      <c r="J203" s="660" t="str">
        <f>"                "&amp;_WIT1</f>
        <v xml:space="preserve">                L. D. STEINKUHL</v>
      </c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</row>
    <row r="204" spans="1:23">
      <c r="A204" s="202"/>
      <c r="B204" s="202"/>
      <c r="C204" s="1496"/>
      <c r="D204" s="1497"/>
      <c r="E204" s="1497"/>
      <c r="F204" s="1497"/>
      <c r="G204" s="1497"/>
      <c r="H204" s="1497"/>
      <c r="I204" s="1497"/>
      <c r="J204" s="1497"/>
      <c r="K204" s="1497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</row>
    <row r="205" spans="1:23">
      <c r="A205" s="202"/>
      <c r="B205" s="202"/>
      <c r="C205" s="202"/>
      <c r="D205" s="202"/>
      <c r="E205" s="202"/>
      <c r="F205" s="202"/>
      <c r="G205" s="208" t="s">
        <v>1513</v>
      </c>
      <c r="H205" s="208" t="s">
        <v>970</v>
      </c>
      <c r="I205" s="202"/>
      <c r="J205" s="202"/>
      <c r="K205" s="208" t="s">
        <v>937</v>
      </c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</row>
    <row r="206" spans="1:23">
      <c r="A206" s="202"/>
      <c r="B206" s="202"/>
      <c r="C206" s="208" t="s">
        <v>471</v>
      </c>
      <c r="D206" s="208" t="s">
        <v>1045</v>
      </c>
      <c r="E206" s="202"/>
      <c r="F206" s="202"/>
      <c r="G206" s="208" t="s">
        <v>972</v>
      </c>
      <c r="H206" s="208" t="s">
        <v>973</v>
      </c>
      <c r="I206" s="202"/>
      <c r="J206" s="208" t="s">
        <v>1513</v>
      </c>
      <c r="K206" s="208" t="s">
        <v>1514</v>
      </c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</row>
    <row r="207" spans="1:23">
      <c r="A207" s="202"/>
      <c r="B207" s="202"/>
      <c r="C207" s="208" t="s">
        <v>475</v>
      </c>
      <c r="D207" s="208" t="s">
        <v>533</v>
      </c>
      <c r="E207" s="202"/>
      <c r="F207" s="203" t="s">
        <v>1515</v>
      </c>
      <c r="G207" s="208" t="s">
        <v>1153</v>
      </c>
      <c r="H207" s="208" t="s">
        <v>420</v>
      </c>
      <c r="I207" s="202"/>
      <c r="J207" s="208" t="s">
        <v>1516</v>
      </c>
      <c r="K207" s="208" t="s">
        <v>476</v>
      </c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</row>
    <row r="208" spans="1:23">
      <c r="A208" s="202"/>
      <c r="B208" s="202"/>
      <c r="C208" s="1498"/>
      <c r="D208" s="1498"/>
      <c r="E208" s="1498"/>
      <c r="F208" s="1498"/>
      <c r="G208" s="1500" t="s">
        <v>506</v>
      </c>
      <c r="H208" s="1500" t="s">
        <v>510</v>
      </c>
      <c r="I208" s="1498"/>
      <c r="J208" s="1500" t="s">
        <v>519</v>
      </c>
      <c r="K208" s="1500" t="s">
        <v>911</v>
      </c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</row>
    <row r="209" spans="1:23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</row>
    <row r="210" spans="1:23">
      <c r="A210" s="202"/>
      <c r="B210" s="202"/>
      <c r="C210" s="208">
        <v>1</v>
      </c>
      <c r="D210" s="202"/>
      <c r="E210" s="202"/>
      <c r="F210" s="204" t="s">
        <v>459</v>
      </c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</row>
    <row r="211" spans="1:23">
      <c r="A211" s="202"/>
      <c r="B211" s="202"/>
      <c r="C211" s="208">
        <v>2</v>
      </c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</row>
    <row r="212" spans="1:23">
      <c r="A212" s="202"/>
      <c r="B212" s="202"/>
      <c r="C212" s="208">
        <v>3</v>
      </c>
      <c r="D212" s="202"/>
      <c r="E212" s="202"/>
      <c r="F212" s="204" t="s">
        <v>338</v>
      </c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</row>
    <row r="213" spans="1:23">
      <c r="A213" s="202"/>
      <c r="B213" s="202">
        <v>901</v>
      </c>
      <c r="C213" s="208">
        <v>4</v>
      </c>
      <c r="D213" s="208">
        <v>901</v>
      </c>
      <c r="E213" s="202"/>
      <c r="F213" s="660" t="str">
        <f>'SCH_C2.1 - Base Period'!F218</f>
        <v xml:space="preserve">  Supervision &amp; Engineering</v>
      </c>
      <c r="G213" s="215">
        <f t="array" ref="G213">SUM(IF(FERCFP=B213,AmountFP))</f>
        <v>83817</v>
      </c>
      <c r="H213" s="717">
        <f t="shared" ref="H213:H219" si="24">VLOOKUP(K213,ALLOCTABLE,2)</f>
        <v>100</v>
      </c>
      <c r="I213" s="202"/>
      <c r="J213" s="215">
        <f t="shared" ref="J213:J219" si="25">ROUND(G213*(H213/100),0)</f>
        <v>83817</v>
      </c>
      <c r="K213" s="208" t="s">
        <v>428</v>
      </c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</row>
    <row r="214" spans="1:23">
      <c r="A214" s="202"/>
      <c r="B214" s="202">
        <v>902</v>
      </c>
      <c r="C214" s="208">
        <v>5</v>
      </c>
      <c r="D214" s="208">
        <v>902</v>
      </c>
      <c r="E214" s="202"/>
      <c r="F214" s="660" t="str">
        <f>'SCH_C2.1 - Base Period'!F219</f>
        <v xml:space="preserve">  Meter Reading Expense</v>
      </c>
      <c r="G214" s="215">
        <f t="array" ref="G214">SUM(IF(FERCFP=B214,AmountFP))</f>
        <v>147507</v>
      </c>
      <c r="H214" s="717">
        <f t="shared" si="24"/>
        <v>100</v>
      </c>
      <c r="I214" s="202"/>
      <c r="J214" s="215">
        <f t="shared" si="25"/>
        <v>147507</v>
      </c>
      <c r="K214" s="208" t="s">
        <v>428</v>
      </c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</row>
    <row r="215" spans="1:23">
      <c r="A215" s="202"/>
      <c r="B215" s="202">
        <v>903</v>
      </c>
      <c r="C215" s="208">
        <v>6</v>
      </c>
      <c r="D215" s="219">
        <v>903</v>
      </c>
      <c r="E215" s="202"/>
      <c r="F215" s="660" t="str">
        <f>'SCH_C2.1 - Base Period'!F220</f>
        <v xml:space="preserve">  Customer Records &amp; Collections</v>
      </c>
      <c r="G215" s="215">
        <f t="array" ref="G215">SUM(IF(FERCFP=B215,AmountFP))</f>
        <v>3734316</v>
      </c>
      <c r="H215" s="717">
        <f t="shared" si="24"/>
        <v>100</v>
      </c>
      <c r="I215" s="202"/>
      <c r="J215" s="215">
        <f t="shared" si="25"/>
        <v>3734316</v>
      </c>
      <c r="K215" s="208" t="s">
        <v>428</v>
      </c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</row>
    <row r="216" spans="1:23">
      <c r="A216" s="202"/>
      <c r="B216" s="202">
        <v>904</v>
      </c>
      <c r="C216" s="208">
        <v>7</v>
      </c>
      <c r="D216" s="208">
        <v>904</v>
      </c>
      <c r="E216" s="202"/>
      <c r="F216" s="660" t="str">
        <f>'SCH_C2.1 - Base Period'!F221</f>
        <v xml:space="preserve">  Uncollectible Accounts</v>
      </c>
      <c r="G216" s="215">
        <f t="array" ref="G216">SUM(IF(FERCFP=B216,AmountFP))</f>
        <v>2366517</v>
      </c>
      <c r="H216" s="717">
        <f t="shared" si="24"/>
        <v>100</v>
      </c>
      <c r="I216" s="202"/>
      <c r="J216" s="215">
        <f t="shared" si="25"/>
        <v>2366517</v>
      </c>
      <c r="K216" s="208" t="s">
        <v>428</v>
      </c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</row>
    <row r="217" spans="1:23">
      <c r="A217" s="202"/>
      <c r="B217" s="202">
        <v>904002</v>
      </c>
      <c r="C217" s="208">
        <v>8</v>
      </c>
      <c r="D217" s="208">
        <v>904002</v>
      </c>
      <c r="E217" s="202"/>
      <c r="F217" s="660" t="str">
        <f>'SCH_C2.1 - Base Period'!F222</f>
        <v xml:space="preserve">  Loss on Sale of A/R</v>
      </c>
      <c r="G217" s="215">
        <f t="array" ref="G217">SUM(IF(FERCFP=B217,AmountFP))</f>
        <v>0</v>
      </c>
      <c r="H217" s="717">
        <f t="shared" si="24"/>
        <v>100</v>
      </c>
      <c r="I217" s="202"/>
      <c r="J217" s="215">
        <f t="shared" si="25"/>
        <v>0</v>
      </c>
      <c r="K217" s="208" t="s">
        <v>428</v>
      </c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</row>
    <row r="218" spans="1:23">
      <c r="A218" s="202"/>
      <c r="B218" s="202">
        <v>426</v>
      </c>
      <c r="C218" s="208">
        <v>9</v>
      </c>
      <c r="D218" s="208">
        <v>426</v>
      </c>
      <c r="E218" s="202"/>
      <c r="F218" s="660" t="str">
        <f>'SCH_C2.1 - Base Period'!F223</f>
        <v xml:space="preserve">  Sale of A/R</v>
      </c>
      <c r="G218" s="215">
        <f t="array" ref="G218">SUM(IF(FERCFP=B218,AmountFP))</f>
        <v>0</v>
      </c>
      <c r="H218" s="717">
        <f t="shared" si="24"/>
        <v>100</v>
      </c>
      <c r="I218" s="202"/>
      <c r="J218" s="215">
        <f t="shared" si="25"/>
        <v>0</v>
      </c>
      <c r="K218" s="208" t="s">
        <v>428</v>
      </c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</row>
    <row r="219" spans="1:23">
      <c r="A219" s="202"/>
      <c r="B219" s="202">
        <v>905</v>
      </c>
      <c r="C219" s="208">
        <v>10</v>
      </c>
      <c r="D219" s="208">
        <v>905</v>
      </c>
      <c r="E219" s="202"/>
      <c r="F219" s="660" t="str">
        <f>'SCH_C2.1 - Base Period'!F224</f>
        <v xml:space="preserve">  Miscellaneous Customers Accounts</v>
      </c>
      <c r="G219" s="215">
        <f t="array" ref="G219">SUM(IF(FERCFP=B219,AmountFP))</f>
        <v>0</v>
      </c>
      <c r="H219" s="717">
        <f t="shared" si="24"/>
        <v>100</v>
      </c>
      <c r="I219" s="202"/>
      <c r="J219" s="215">
        <f t="shared" si="25"/>
        <v>0</v>
      </c>
      <c r="K219" s="208" t="s">
        <v>428</v>
      </c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</row>
    <row r="220" spans="1:23">
      <c r="A220" s="202"/>
      <c r="B220" s="202"/>
      <c r="C220" s="208">
        <v>11</v>
      </c>
      <c r="D220" s="202"/>
      <c r="E220" s="202"/>
      <c r="F220" s="660" t="s">
        <v>1595</v>
      </c>
      <c r="G220" s="2138">
        <f>SUM(G213:G219)</f>
        <v>6332157</v>
      </c>
      <c r="H220" s="202"/>
      <c r="I220" s="202"/>
      <c r="J220" s="2138">
        <f>SUM(J213:J219)</f>
        <v>6332157</v>
      </c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</row>
    <row r="221" spans="1:23">
      <c r="A221" s="202"/>
      <c r="B221" s="202"/>
      <c r="C221" s="208">
        <v>12</v>
      </c>
      <c r="D221" s="202"/>
      <c r="E221" s="202"/>
      <c r="F221" s="202"/>
      <c r="G221" s="206"/>
      <c r="H221" s="202"/>
      <c r="I221" s="202"/>
      <c r="J221" s="206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</row>
    <row r="222" spans="1:23">
      <c r="A222" s="202"/>
      <c r="B222" s="202"/>
      <c r="C222" s="208">
        <v>13</v>
      </c>
      <c r="D222" s="202"/>
      <c r="E222" s="202"/>
      <c r="F222" s="204" t="s">
        <v>1596</v>
      </c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</row>
    <row r="223" spans="1:23">
      <c r="A223" s="202"/>
      <c r="B223" s="202"/>
      <c r="C223" s="208">
        <v>14</v>
      </c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</row>
    <row r="224" spans="1:23">
      <c r="A224" s="202"/>
      <c r="B224" s="202"/>
      <c r="C224" s="208">
        <v>15</v>
      </c>
      <c r="D224" s="202"/>
      <c r="E224" s="202"/>
      <c r="F224" s="204" t="s">
        <v>338</v>
      </c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</row>
    <row r="225" spans="1:23">
      <c r="A225" s="202"/>
      <c r="B225" s="202">
        <v>908</v>
      </c>
      <c r="C225" s="208">
        <v>16</v>
      </c>
      <c r="D225" s="208">
        <v>908</v>
      </c>
      <c r="E225" s="202"/>
      <c r="F225" s="660" t="str">
        <f>'SCH_C2.1 - Base Period'!F230</f>
        <v xml:space="preserve">  Customer Assistance Activities</v>
      </c>
      <c r="G225" s="215">
        <f t="array" ref="G225">SUM(IF(FERCFP=B225,AmountFP))</f>
        <v>0</v>
      </c>
      <c r="H225" s="717">
        <f t="shared" ref="H225:H227" si="26">VLOOKUP(K225,ALLOCTABLE,2)</f>
        <v>100</v>
      </c>
      <c r="I225" s="202"/>
      <c r="J225" s="215">
        <f t="shared" ref="J225:J227" si="27">ROUND(G225*(H225/100),0)</f>
        <v>0</v>
      </c>
      <c r="K225" s="208" t="s">
        <v>428</v>
      </c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</row>
    <row r="226" spans="1:23">
      <c r="A226" s="202"/>
      <c r="B226" s="202">
        <v>909</v>
      </c>
      <c r="C226" s="208">
        <v>17</v>
      </c>
      <c r="D226" s="208">
        <v>909</v>
      </c>
      <c r="E226" s="202"/>
      <c r="F226" s="660" t="str">
        <f>'SCH_C2.1 - Base Period'!F231</f>
        <v xml:space="preserve">  Informational &amp; Instructional Adver.</v>
      </c>
      <c r="G226" s="215">
        <f t="array" ref="G226">SUM(IF(FERCFP=B226,AmountFP))</f>
        <v>0</v>
      </c>
      <c r="H226" s="717">
        <f t="shared" si="26"/>
        <v>100</v>
      </c>
      <c r="I226" s="202"/>
      <c r="J226" s="215">
        <f t="shared" si="27"/>
        <v>0</v>
      </c>
      <c r="K226" s="208" t="s">
        <v>428</v>
      </c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</row>
    <row r="227" spans="1:23">
      <c r="A227" s="202"/>
      <c r="B227" s="202">
        <v>910</v>
      </c>
      <c r="C227" s="208">
        <v>18</v>
      </c>
      <c r="D227" s="208">
        <v>910</v>
      </c>
      <c r="E227" s="202"/>
      <c r="F227" s="660" t="str">
        <f>'SCH_C2.1 - Base Period'!F232</f>
        <v xml:space="preserve">  Misc. Cust. Serv. &amp; Info.</v>
      </c>
      <c r="G227" s="1501">
        <f t="array" ref="G227">SUM(IF(FERCFP=B227,AmountFP))</f>
        <v>1514280</v>
      </c>
      <c r="H227" s="717">
        <f t="shared" si="26"/>
        <v>100</v>
      </c>
      <c r="I227" s="202"/>
      <c r="J227" s="215">
        <f t="shared" si="27"/>
        <v>1514280</v>
      </c>
      <c r="K227" s="208" t="s">
        <v>428</v>
      </c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</row>
    <row r="228" spans="1:23">
      <c r="A228" s="202"/>
      <c r="B228" s="202"/>
      <c r="C228" s="208">
        <v>19</v>
      </c>
      <c r="D228" s="202"/>
      <c r="E228" s="202"/>
      <c r="F228" s="660" t="s">
        <v>1600</v>
      </c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</row>
    <row r="229" spans="1:23">
      <c r="A229" s="202"/>
      <c r="B229" s="202"/>
      <c r="C229" s="208">
        <v>20</v>
      </c>
      <c r="D229" s="202"/>
      <c r="E229" s="202"/>
      <c r="F229" s="660" t="s">
        <v>1601</v>
      </c>
      <c r="G229" s="2138">
        <f>SUM(G225:G227)</f>
        <v>1514280</v>
      </c>
      <c r="H229" s="202"/>
      <c r="I229" s="202"/>
      <c r="J229" s="2138">
        <f>SUM(J225:J227)</f>
        <v>1514280</v>
      </c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</row>
    <row r="230" spans="1:23">
      <c r="A230" s="202"/>
      <c r="B230" s="202"/>
      <c r="C230" s="208">
        <v>21</v>
      </c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</row>
    <row r="231" spans="1:23">
      <c r="A231" s="202"/>
      <c r="B231" s="202"/>
      <c r="C231" s="208">
        <v>22</v>
      </c>
      <c r="D231" s="202"/>
      <c r="E231" s="202"/>
      <c r="F231" s="204" t="s">
        <v>342</v>
      </c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</row>
    <row r="232" spans="1:23">
      <c r="A232" s="202"/>
      <c r="B232" s="202"/>
      <c r="C232" s="208">
        <v>23</v>
      </c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</row>
    <row r="233" spans="1:23">
      <c r="A233" s="202"/>
      <c r="B233" s="202"/>
      <c r="C233" s="208">
        <v>24</v>
      </c>
      <c r="D233" s="202"/>
      <c r="E233" s="202"/>
      <c r="F233" s="204" t="s">
        <v>338</v>
      </c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</row>
    <row r="234" spans="1:23">
      <c r="A234" s="202"/>
      <c r="B234" s="202">
        <v>911</v>
      </c>
      <c r="C234" s="208">
        <v>25</v>
      </c>
      <c r="D234" s="208">
        <v>911</v>
      </c>
      <c r="E234" s="202"/>
      <c r="F234" s="660" t="str">
        <f>'SCH_C2.1 - Base Period'!F239</f>
        <v xml:space="preserve">  Supervision</v>
      </c>
      <c r="G234" s="215">
        <f t="array" ref="G234">SUM(IF(FERCFP=B234,AmountFP))</f>
        <v>0</v>
      </c>
      <c r="H234" s="717">
        <f t="shared" ref="H234:H236" si="28">VLOOKUP(K234,ALLOCTABLE,2)</f>
        <v>100</v>
      </c>
      <c r="I234" s="202"/>
      <c r="J234" s="215">
        <f t="shared" ref="J234:J236" si="29">ROUND(G234*(H234/100),0)</f>
        <v>0</v>
      </c>
      <c r="K234" s="208" t="s">
        <v>428</v>
      </c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</row>
    <row r="235" spans="1:23">
      <c r="A235" s="202"/>
      <c r="B235" s="202">
        <v>912</v>
      </c>
      <c r="C235" s="208">
        <v>26</v>
      </c>
      <c r="D235" s="208">
        <v>912</v>
      </c>
      <c r="E235" s="202"/>
      <c r="F235" s="660" t="str">
        <f>'SCH_C2.1 - Base Period'!F240</f>
        <v xml:space="preserve">  Demonstrating &amp; Selling Exp</v>
      </c>
      <c r="G235" s="215">
        <f t="array" ref="G235">SUM(IF(FERCFP=B235,AmountFP))</f>
        <v>102807</v>
      </c>
      <c r="H235" s="717">
        <f t="shared" si="28"/>
        <v>100</v>
      </c>
      <c r="I235" s="202"/>
      <c r="J235" s="215">
        <f t="shared" si="29"/>
        <v>102807</v>
      </c>
      <c r="K235" s="208" t="s">
        <v>428</v>
      </c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</row>
    <row r="236" spans="1:23">
      <c r="A236" s="202"/>
      <c r="B236" s="202">
        <v>913</v>
      </c>
      <c r="C236" s="208">
        <v>27</v>
      </c>
      <c r="D236" s="208">
        <v>913</v>
      </c>
      <c r="E236" s="202"/>
      <c r="F236" s="660" t="str">
        <f>'SCH_C2.1 - Base Period'!F241</f>
        <v xml:space="preserve">  Advertising</v>
      </c>
      <c r="G236" s="215">
        <f t="array" ref="G236">SUM(IF(FERCFP=B236,AmountFP))</f>
        <v>153352</v>
      </c>
      <c r="H236" s="717">
        <f t="shared" si="28"/>
        <v>100</v>
      </c>
      <c r="I236" s="202"/>
      <c r="J236" s="215">
        <f t="shared" si="29"/>
        <v>153352</v>
      </c>
      <c r="K236" s="208" t="s">
        <v>428</v>
      </c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</row>
    <row r="237" spans="1:23">
      <c r="A237" s="202"/>
      <c r="B237" s="202"/>
      <c r="C237" s="208">
        <v>28</v>
      </c>
      <c r="D237" s="202"/>
      <c r="E237" s="202"/>
      <c r="F237" s="660" t="s">
        <v>1605</v>
      </c>
      <c r="G237" s="2138">
        <f>SUM(G234:G236)</f>
        <v>256159</v>
      </c>
      <c r="H237" s="202"/>
      <c r="I237" s="202"/>
      <c r="J237" s="2138">
        <f>SUM(J234:J236)</f>
        <v>256159</v>
      </c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</row>
    <row r="238" spans="1:23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</row>
    <row r="239" spans="1:23">
      <c r="A239" s="202"/>
      <c r="B239" s="202"/>
      <c r="C239" s="203" t="str">
        <f>COMPANY</f>
        <v>DUKE ENERGY KENTUCKY, INC.</v>
      </c>
      <c r="D239" s="203"/>
      <c r="E239" s="203"/>
      <c r="F239" s="203"/>
      <c r="G239" s="203"/>
      <c r="H239" s="203"/>
      <c r="I239" s="203"/>
      <c r="J239" s="203"/>
      <c r="K239" s="203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</row>
    <row r="240" spans="1:23">
      <c r="A240" s="202"/>
      <c r="B240" s="202"/>
      <c r="C240" s="203" t="str">
        <f>CASE</f>
        <v>CASE NO. 2024-00354</v>
      </c>
      <c r="D240" s="203"/>
      <c r="E240" s="203"/>
      <c r="F240" s="203"/>
      <c r="G240" s="203"/>
      <c r="H240" s="203"/>
      <c r="I240" s="203"/>
      <c r="J240" s="203"/>
      <c r="K240" s="203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</row>
    <row r="241" spans="1:23">
      <c r="A241" s="202"/>
      <c r="B241" s="202"/>
      <c r="C241" s="203" t="s">
        <v>1511</v>
      </c>
      <c r="D241" s="203"/>
      <c r="E241" s="203"/>
      <c r="F241" s="203"/>
      <c r="G241" s="203"/>
      <c r="H241" s="203"/>
      <c r="I241" s="203"/>
      <c r="J241" s="203"/>
      <c r="K241" s="203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</row>
    <row r="242" spans="1:23">
      <c r="A242" s="202"/>
      <c r="B242" s="202"/>
      <c r="C242" s="203" t="str">
        <f>PeriodF</f>
        <v>FOR THE TWELVE MONTHS ENDED JUNE 30, 2026</v>
      </c>
      <c r="D242" s="203"/>
      <c r="E242" s="203"/>
      <c r="F242" s="203"/>
      <c r="G242" s="203"/>
      <c r="H242" s="203"/>
      <c r="I242" s="203"/>
      <c r="J242" s="203"/>
      <c r="K242" s="203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</row>
    <row r="243" spans="1:23">
      <c r="A243" s="202"/>
      <c r="B243" s="202"/>
      <c r="C243" s="203"/>
      <c r="D243" s="203"/>
      <c r="E243" s="203"/>
      <c r="F243" s="203"/>
      <c r="G243" s="203"/>
      <c r="H243" s="203"/>
      <c r="I243" s="203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</row>
    <row r="244" spans="1:23">
      <c r="A244" s="202"/>
      <c r="B244" s="202"/>
      <c r="C244" s="202"/>
      <c r="D244" s="202"/>
      <c r="E244" s="202"/>
      <c r="F244" s="202"/>
      <c r="G244" s="202"/>
      <c r="H244" s="202"/>
      <c r="I244" s="202"/>
      <c r="J244" s="660" t="str">
        <f>"                "&amp;"SCHEDULE C-2.1"</f>
        <v xml:space="preserve">                SCHEDULE C-2.1</v>
      </c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</row>
    <row r="245" spans="1:23">
      <c r="A245" s="202"/>
      <c r="B245" s="202"/>
      <c r="C245" s="202" t="str">
        <f>DataF</f>
        <v>DATA:  BASE PERIOD  "X" FORECASTED PERIOD</v>
      </c>
      <c r="D245" s="202"/>
      <c r="E245" s="202"/>
      <c r="F245" s="202"/>
      <c r="G245" s="202"/>
      <c r="H245" s="202"/>
      <c r="I245" s="202"/>
      <c r="J245" s="660" t="str">
        <f>"                "&amp;"PAGE  12  OF  14"</f>
        <v xml:space="preserve">                PAGE  12  OF  14</v>
      </c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</row>
    <row r="246" spans="1:23">
      <c r="A246" s="202"/>
      <c r="B246" s="202"/>
      <c r="C246" s="202" t="str">
        <f>Type</f>
        <v xml:space="preserve">TYPE OF FILING:  "X" ORIGINAL   UPDATED    REVISED  </v>
      </c>
      <c r="D246" s="202"/>
      <c r="E246" s="202"/>
      <c r="F246" s="202"/>
      <c r="G246" s="202"/>
      <c r="H246" s="202"/>
      <c r="I246" s="202"/>
      <c r="J246" s="660" t="str">
        <f>"                "&amp;"WITNESS RESPONSIBLE:"</f>
        <v xml:space="preserve">                WITNESS RESPONSIBLE:</v>
      </c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</row>
    <row r="247" spans="1:23">
      <c r="A247" s="202"/>
      <c r="B247" s="202"/>
      <c r="C247" s="660" t="str">
        <f>$C$11&amp;", SCHEDULE F-3"</f>
        <v>WORK PAPER REFERENCE NO(S).: WPC-2.1a_FP, SCHEDULE F-3</v>
      </c>
      <c r="D247" s="202"/>
      <c r="E247" s="202"/>
      <c r="F247" s="202"/>
      <c r="G247" s="202"/>
      <c r="H247" s="202"/>
      <c r="I247" s="202"/>
      <c r="J247" s="660" t="str">
        <f>"                "&amp;_WIT1</f>
        <v xml:space="preserve">                L. D. STEINKUHL</v>
      </c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</row>
    <row r="248" spans="1:23">
      <c r="A248" s="202"/>
      <c r="B248" s="202"/>
      <c r="C248" s="1496"/>
      <c r="D248" s="1497"/>
      <c r="E248" s="1497"/>
      <c r="F248" s="1497"/>
      <c r="G248" s="1497"/>
      <c r="H248" s="1497"/>
      <c r="I248" s="1497"/>
      <c r="J248" s="1497"/>
      <c r="K248" s="1497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</row>
    <row r="249" spans="1:23">
      <c r="A249" s="202"/>
      <c r="B249" s="202"/>
      <c r="C249" s="202"/>
      <c r="D249" s="202"/>
      <c r="E249" s="202"/>
      <c r="F249" s="202"/>
      <c r="G249" s="208" t="s">
        <v>1513</v>
      </c>
      <c r="H249" s="208" t="s">
        <v>970</v>
      </c>
      <c r="I249" s="202"/>
      <c r="J249" s="202"/>
      <c r="K249" s="208" t="s">
        <v>937</v>
      </c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</row>
    <row r="250" spans="1:23">
      <c r="A250" s="202"/>
      <c r="B250" s="202"/>
      <c r="C250" s="208" t="s">
        <v>471</v>
      </c>
      <c r="D250" s="208" t="s">
        <v>1045</v>
      </c>
      <c r="E250" s="202"/>
      <c r="F250" s="202"/>
      <c r="G250" s="208" t="s">
        <v>972</v>
      </c>
      <c r="H250" s="208" t="s">
        <v>973</v>
      </c>
      <c r="I250" s="202"/>
      <c r="J250" s="208" t="s">
        <v>1513</v>
      </c>
      <c r="K250" s="208" t="s">
        <v>1514</v>
      </c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</row>
    <row r="251" spans="1:23">
      <c r="A251" s="202"/>
      <c r="B251" s="202"/>
      <c r="C251" s="208" t="s">
        <v>475</v>
      </c>
      <c r="D251" s="208" t="s">
        <v>533</v>
      </c>
      <c r="E251" s="202"/>
      <c r="F251" s="203" t="s">
        <v>1515</v>
      </c>
      <c r="G251" s="208" t="s">
        <v>1153</v>
      </c>
      <c r="H251" s="208" t="s">
        <v>420</v>
      </c>
      <c r="I251" s="202"/>
      <c r="J251" s="208" t="s">
        <v>1516</v>
      </c>
      <c r="K251" s="208" t="s">
        <v>476</v>
      </c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</row>
    <row r="252" spans="1:23">
      <c r="A252" s="202"/>
      <c r="B252" s="202"/>
      <c r="C252" s="1498"/>
      <c r="D252" s="1498"/>
      <c r="E252" s="1498"/>
      <c r="F252" s="1498"/>
      <c r="G252" s="1500" t="s">
        <v>506</v>
      </c>
      <c r="H252" s="1500" t="s">
        <v>510</v>
      </c>
      <c r="I252" s="1498"/>
      <c r="J252" s="1500" t="s">
        <v>519</v>
      </c>
      <c r="K252" s="1500" t="s">
        <v>911</v>
      </c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</row>
    <row r="253" spans="1:23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</row>
    <row r="254" spans="1:23">
      <c r="A254" s="202"/>
      <c r="B254" s="202"/>
      <c r="C254" s="208">
        <v>1</v>
      </c>
      <c r="D254" s="202"/>
      <c r="E254" s="202"/>
      <c r="F254" s="204" t="s">
        <v>461</v>
      </c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</row>
    <row r="255" spans="1:23">
      <c r="A255" s="202"/>
      <c r="B255" s="202"/>
      <c r="C255" s="208">
        <v>2</v>
      </c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</row>
    <row r="256" spans="1:23">
      <c r="A256" s="202"/>
      <c r="B256" s="202"/>
      <c r="C256" s="208">
        <v>3</v>
      </c>
      <c r="D256" s="202"/>
      <c r="E256" s="202"/>
      <c r="F256" s="204" t="s">
        <v>338</v>
      </c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</row>
    <row r="257" spans="1:23">
      <c r="A257" s="202"/>
      <c r="B257" s="202">
        <v>920</v>
      </c>
      <c r="C257" s="208">
        <v>4</v>
      </c>
      <c r="D257" s="208">
        <v>920</v>
      </c>
      <c r="E257" s="202"/>
      <c r="F257" s="660" t="str">
        <f>'SCH_C2.1 - Base Period'!F262</f>
        <v xml:space="preserve">  Administrative &amp; General Salaries</v>
      </c>
      <c r="G257" s="215">
        <f t="array" ref="G257">SUM(IF(FERCFP=B257,AmountFP))</f>
        <v>8788381</v>
      </c>
      <c r="H257" s="717">
        <f t="shared" ref="H257:H263" si="30">VLOOKUP(K257,ALLOCTABLE,2)</f>
        <v>100</v>
      </c>
      <c r="I257" s="202"/>
      <c r="J257" s="215">
        <f t="shared" ref="J257:J275" si="31">ROUND(G257*(H257/100),0)</f>
        <v>8788381</v>
      </c>
      <c r="K257" s="208" t="s">
        <v>428</v>
      </c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</row>
    <row r="258" spans="1:23">
      <c r="A258" s="202"/>
      <c r="B258" s="202">
        <v>921</v>
      </c>
      <c r="C258" s="208">
        <v>5</v>
      </c>
      <c r="D258" s="208">
        <v>921</v>
      </c>
      <c r="E258" s="202"/>
      <c r="F258" s="660" t="str">
        <f>'SCH_C2.1 - Base Period'!F263</f>
        <v xml:space="preserve">  Office Supplies &amp; Expenses</v>
      </c>
      <c r="G258" s="215">
        <f t="array" ref="G258">SUM(IF(FERCFP=B258,AmountFP))</f>
        <v>3905526</v>
      </c>
      <c r="H258" s="717">
        <f t="shared" si="30"/>
        <v>100</v>
      </c>
      <c r="I258" s="202"/>
      <c r="J258" s="215">
        <f t="shared" si="31"/>
        <v>3905526</v>
      </c>
      <c r="K258" s="208" t="s">
        <v>428</v>
      </c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</row>
    <row r="259" spans="1:23">
      <c r="A259" s="202"/>
      <c r="B259" s="202">
        <v>922</v>
      </c>
      <c r="C259" s="208">
        <v>6</v>
      </c>
      <c r="D259" s="208">
        <v>922</v>
      </c>
      <c r="E259" s="202"/>
      <c r="F259" s="660" t="str">
        <f>'SCH_C2.1 - Base Period'!F264</f>
        <v xml:space="preserve">  Administrative Expenses Transfer Cr.</v>
      </c>
      <c r="G259" s="215">
        <f t="array" ref="G259">SUM(IF(FERCFP=B259,AmountFP))</f>
        <v>0</v>
      </c>
      <c r="H259" s="717">
        <f t="shared" si="30"/>
        <v>100</v>
      </c>
      <c r="I259" s="202"/>
      <c r="J259" s="215">
        <f t="shared" si="31"/>
        <v>0</v>
      </c>
      <c r="K259" s="208" t="s">
        <v>428</v>
      </c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</row>
    <row r="260" spans="1:23">
      <c r="A260" s="202"/>
      <c r="B260" s="202">
        <v>923</v>
      </c>
      <c r="C260" s="208">
        <v>7</v>
      </c>
      <c r="D260" s="208">
        <v>923</v>
      </c>
      <c r="E260" s="202"/>
      <c r="F260" s="660" t="str">
        <f>'SCH_C2.1 - Base Period'!F265</f>
        <v xml:space="preserve">  Outside Services Employed</v>
      </c>
      <c r="G260" s="215">
        <f t="array" ref="G260">SUM(IF(FERCFP=B260,AmountFP))</f>
        <v>2151690</v>
      </c>
      <c r="H260" s="717">
        <f t="shared" si="30"/>
        <v>100</v>
      </c>
      <c r="I260" s="202"/>
      <c r="J260" s="215">
        <f t="shared" si="31"/>
        <v>2151690</v>
      </c>
      <c r="K260" s="208" t="s">
        <v>428</v>
      </c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</row>
    <row r="261" spans="1:23">
      <c r="A261" s="202"/>
      <c r="B261" s="202">
        <v>924</v>
      </c>
      <c r="C261" s="208">
        <v>8</v>
      </c>
      <c r="D261" s="208">
        <v>924</v>
      </c>
      <c r="E261" s="202"/>
      <c r="F261" s="660" t="str">
        <f>'SCH_C2.1 - Base Period'!F266</f>
        <v xml:space="preserve">  Property Insurance</v>
      </c>
      <c r="G261" s="215">
        <f t="array" ref="G261">SUM(IF(FERCFP=B261,AmountFP))</f>
        <v>1582153</v>
      </c>
      <c r="H261" s="717">
        <f t="shared" si="30"/>
        <v>100</v>
      </c>
      <c r="I261" s="202"/>
      <c r="J261" s="215">
        <f t="shared" si="31"/>
        <v>1582153</v>
      </c>
      <c r="K261" s="208" t="s">
        <v>428</v>
      </c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</row>
    <row r="262" spans="1:23">
      <c r="A262" s="202"/>
      <c r="B262" s="202">
        <v>925</v>
      </c>
      <c r="C262" s="208">
        <v>9</v>
      </c>
      <c r="D262" s="208">
        <v>925</v>
      </c>
      <c r="E262" s="202"/>
      <c r="F262" s="660" t="str">
        <f>'SCH_C2.1 - Base Period'!F267</f>
        <v xml:space="preserve">  Injuries &amp; Damages</v>
      </c>
      <c r="G262" s="215">
        <f t="array" ref="G262">SUM(IF(FERCFP=B262,AmountFP))</f>
        <v>483696</v>
      </c>
      <c r="H262" s="717">
        <f t="shared" si="30"/>
        <v>100</v>
      </c>
      <c r="I262" s="202"/>
      <c r="J262" s="215">
        <f t="shared" si="31"/>
        <v>483696</v>
      </c>
      <c r="K262" s="208" t="s">
        <v>428</v>
      </c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</row>
    <row r="263" spans="1:23">
      <c r="A263" s="202"/>
      <c r="B263" s="202">
        <v>926</v>
      </c>
      <c r="C263" s="208">
        <v>10</v>
      </c>
      <c r="D263" s="208">
        <v>926</v>
      </c>
      <c r="E263" s="202"/>
      <c r="F263" s="660" t="str">
        <f>'SCH_C2.1 - Base Period'!F268</f>
        <v xml:space="preserve">  Employee Pension &amp; Benefits</v>
      </c>
      <c r="G263" s="215">
        <f t="array" ref="G263">SUM(IF(FERCFP=B263,AmountFP))</f>
        <v>6216562</v>
      </c>
      <c r="H263" s="717">
        <f t="shared" si="30"/>
        <v>100</v>
      </c>
      <c r="I263" s="202"/>
      <c r="J263" s="215">
        <f t="shared" si="31"/>
        <v>6216562</v>
      </c>
      <c r="K263" s="208" t="s">
        <v>428</v>
      </c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</row>
    <row r="264" spans="1:23">
      <c r="A264" s="202"/>
      <c r="B264" s="202">
        <v>928</v>
      </c>
      <c r="C264" s="208">
        <v>11</v>
      </c>
      <c r="D264" s="208">
        <v>928</v>
      </c>
      <c r="E264" s="202"/>
      <c r="F264" s="660" t="str">
        <f>'SCH_C2.1 - Base Period'!F269</f>
        <v xml:space="preserve">  State Reg. Commission Expense</v>
      </c>
      <c r="G264" s="215">
        <f t="array" ref="G264">SUM(IF(FERCFP=B264,AmountFP))</f>
        <v>755244</v>
      </c>
      <c r="H264" s="717">
        <f t="shared" ref="H264:H275" si="32">VLOOKUP(K264,ALLOCTABLE,2)</f>
        <v>100</v>
      </c>
      <c r="I264" s="202"/>
      <c r="J264" s="215">
        <f t="shared" si="31"/>
        <v>755244</v>
      </c>
      <c r="K264" s="208" t="s">
        <v>428</v>
      </c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</row>
    <row r="265" spans="1:23">
      <c r="A265" s="202"/>
      <c r="B265" s="202">
        <v>929</v>
      </c>
      <c r="C265" s="208">
        <v>12</v>
      </c>
      <c r="D265" s="208">
        <v>929</v>
      </c>
      <c r="E265" s="202"/>
      <c r="F265" s="660" t="str">
        <f>'SCH_C2.1 - Base Period'!F270</f>
        <v xml:space="preserve">  Duplicate Charges-Credit</v>
      </c>
      <c r="G265" s="215">
        <f t="array" ref="G265">SUM(IF(FERCFP=B265,AmountFP))</f>
        <v>-434247</v>
      </c>
      <c r="H265" s="717">
        <f t="shared" si="32"/>
        <v>100</v>
      </c>
      <c r="I265" s="202"/>
      <c r="J265" s="215">
        <f t="shared" si="31"/>
        <v>-434247</v>
      </c>
      <c r="K265" s="208" t="s">
        <v>428</v>
      </c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</row>
    <row r="266" spans="1:23">
      <c r="A266" s="202"/>
      <c r="B266" s="202">
        <v>930150</v>
      </c>
      <c r="C266" s="208">
        <v>13</v>
      </c>
      <c r="D266" s="208">
        <v>930150</v>
      </c>
      <c r="E266" s="202"/>
      <c r="F266" s="660" t="str">
        <f>'SCH_C2.1 - Base Period'!F271</f>
        <v xml:space="preserve">  Miscellaneous Advertising Exp</v>
      </c>
      <c r="G266" s="215">
        <f t="shared" ref="G266:G274" si="33">ROUND(VLOOKUP(B266,FPERIOD,5,FALSE),0)</f>
        <v>231622</v>
      </c>
      <c r="H266" s="717">
        <f t="shared" si="32"/>
        <v>100</v>
      </c>
      <c r="I266" s="202"/>
      <c r="J266" s="215">
        <f t="shared" si="31"/>
        <v>231622</v>
      </c>
      <c r="K266" s="208" t="s">
        <v>428</v>
      </c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</row>
    <row r="267" spans="1:23">
      <c r="A267" s="202"/>
      <c r="B267" s="202">
        <v>930200</v>
      </c>
      <c r="C267" s="208">
        <v>14</v>
      </c>
      <c r="D267" s="208">
        <v>930200</v>
      </c>
      <c r="E267" s="202"/>
      <c r="F267" s="660" t="str">
        <f>'SCH_C2.1 - Base Period'!F272</f>
        <v xml:space="preserve">  Misc General Expenses</v>
      </c>
      <c r="G267" s="215">
        <f t="shared" si="33"/>
        <v>813131</v>
      </c>
      <c r="H267" s="717">
        <f t="shared" si="32"/>
        <v>100</v>
      </c>
      <c r="I267" s="202"/>
      <c r="J267" s="215">
        <f t="shared" si="31"/>
        <v>813131</v>
      </c>
      <c r="K267" s="208" t="s">
        <v>428</v>
      </c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</row>
    <row r="268" spans="1:23">
      <c r="A268" s="202"/>
      <c r="B268" s="202">
        <v>930210</v>
      </c>
      <c r="C268" s="208">
        <v>15</v>
      </c>
      <c r="D268" s="208">
        <v>930210</v>
      </c>
      <c r="E268" s="202"/>
      <c r="F268" s="660" t="str">
        <f>'SCH_C2.1 - Base Period'!F273</f>
        <v xml:space="preserve">  Industry Association Dues</v>
      </c>
      <c r="G268" s="215">
        <f t="shared" si="33"/>
        <v>42956</v>
      </c>
      <c r="H268" s="717">
        <f t="shared" si="32"/>
        <v>100</v>
      </c>
      <c r="I268" s="202"/>
      <c r="J268" s="215">
        <f t="shared" si="31"/>
        <v>42956</v>
      </c>
      <c r="K268" s="208" t="s">
        <v>428</v>
      </c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</row>
    <row r="269" spans="1:23">
      <c r="A269" s="202"/>
      <c r="B269" s="202">
        <v>930220</v>
      </c>
      <c r="C269" s="208">
        <v>16</v>
      </c>
      <c r="D269" s="208">
        <v>930220</v>
      </c>
      <c r="E269" s="202"/>
      <c r="F269" s="660" t="str">
        <f>'SCH_C2.1 - Base Period'!F274</f>
        <v xml:space="preserve">  Exp Of Servicing Securities</v>
      </c>
      <c r="G269" s="215">
        <f t="shared" si="33"/>
        <v>95000</v>
      </c>
      <c r="H269" s="717">
        <f t="shared" si="32"/>
        <v>100</v>
      </c>
      <c r="I269" s="202"/>
      <c r="J269" s="215">
        <f t="shared" si="31"/>
        <v>95000</v>
      </c>
      <c r="K269" s="208" t="s">
        <v>428</v>
      </c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</row>
    <row r="270" spans="1:23">
      <c r="A270" s="202"/>
      <c r="B270" s="202">
        <v>930230</v>
      </c>
      <c r="C270" s="208">
        <v>17</v>
      </c>
      <c r="D270" s="208">
        <v>930230</v>
      </c>
      <c r="E270" s="202"/>
      <c r="F270" s="660" t="str">
        <f>'SCH_C2.1 - Base Period'!F275</f>
        <v xml:space="preserve">  Dues To Various Organizations</v>
      </c>
      <c r="G270" s="215">
        <f t="shared" si="33"/>
        <v>21760</v>
      </c>
      <c r="H270" s="717">
        <f t="shared" si="32"/>
        <v>100</v>
      </c>
      <c r="I270" s="202"/>
      <c r="J270" s="215">
        <f t="shared" si="31"/>
        <v>21760</v>
      </c>
      <c r="K270" s="208" t="s">
        <v>428</v>
      </c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</row>
    <row r="271" spans="1:23">
      <c r="A271" s="202"/>
      <c r="B271" s="202">
        <v>930240</v>
      </c>
      <c r="C271" s="208">
        <v>18</v>
      </c>
      <c r="D271" s="208">
        <v>930240</v>
      </c>
      <c r="E271" s="202"/>
      <c r="F271" s="660" t="str">
        <f>'SCH_C2.1 - Base Period'!F276</f>
        <v xml:space="preserve">  Director's Expenses</v>
      </c>
      <c r="G271" s="215">
        <f t="shared" si="33"/>
        <v>52479</v>
      </c>
      <c r="H271" s="717">
        <f t="shared" si="32"/>
        <v>100</v>
      </c>
      <c r="I271" s="202"/>
      <c r="J271" s="215">
        <f t="shared" si="31"/>
        <v>52479</v>
      </c>
      <c r="K271" s="208" t="s">
        <v>428</v>
      </c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</row>
    <row r="272" spans="1:23">
      <c r="A272" s="202"/>
      <c r="B272" s="202">
        <v>930250</v>
      </c>
      <c r="C272" s="208">
        <v>19</v>
      </c>
      <c r="D272" s="208">
        <v>930250</v>
      </c>
      <c r="E272" s="202"/>
      <c r="F272" s="660" t="str">
        <f>'SCH_C2.1 - Base Period'!F277</f>
        <v xml:space="preserve">  Buy\Sell Transf Employee Homes</v>
      </c>
      <c r="G272" s="215">
        <f t="shared" si="33"/>
        <v>0</v>
      </c>
      <c r="H272" s="717">
        <f t="shared" si="32"/>
        <v>100</v>
      </c>
      <c r="I272" s="202"/>
      <c r="J272" s="215">
        <f t="shared" si="31"/>
        <v>0</v>
      </c>
      <c r="K272" s="208" t="s">
        <v>428</v>
      </c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</row>
    <row r="273" spans="1:23">
      <c r="A273" s="202"/>
      <c r="B273" s="202">
        <v>930700</v>
      </c>
      <c r="C273" s="208">
        <v>20</v>
      </c>
      <c r="D273" s="208">
        <v>930700</v>
      </c>
      <c r="E273" s="202"/>
      <c r="F273" s="660" t="str">
        <f>'SCH_C2.1 - Base Period'!F279</f>
        <v xml:space="preserve">  Research &amp; Development</v>
      </c>
      <c r="G273" s="215">
        <f t="shared" si="33"/>
        <v>0</v>
      </c>
      <c r="H273" s="717">
        <f t="shared" si="32"/>
        <v>100</v>
      </c>
      <c r="I273" s="202"/>
      <c r="J273" s="215">
        <f t="shared" si="31"/>
        <v>0</v>
      </c>
      <c r="K273" s="208" t="s">
        <v>428</v>
      </c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</row>
    <row r="274" spans="1:23">
      <c r="A274" s="202"/>
      <c r="B274" s="202">
        <v>930940</v>
      </c>
      <c r="C274" s="208">
        <v>21</v>
      </c>
      <c r="D274" s="205">
        <v>930940</v>
      </c>
      <c r="E274" s="202"/>
      <c r="F274" s="660" t="str">
        <f>'SCH_C2.1 - Base Period'!F280</f>
        <v xml:space="preserve">  General Expenses</v>
      </c>
      <c r="G274" s="215">
        <f t="shared" si="33"/>
        <v>0</v>
      </c>
      <c r="H274" s="717">
        <f t="shared" si="32"/>
        <v>100</v>
      </c>
      <c r="I274" s="202"/>
      <c r="J274" s="215">
        <f t="shared" si="31"/>
        <v>0</v>
      </c>
      <c r="K274" s="208" t="s">
        <v>428</v>
      </c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</row>
    <row r="275" spans="1:23">
      <c r="A275" s="202"/>
      <c r="B275" s="202">
        <v>931</v>
      </c>
      <c r="C275" s="208">
        <v>22</v>
      </c>
      <c r="D275" s="219">
        <v>931</v>
      </c>
      <c r="E275" s="202"/>
      <c r="F275" s="660" t="str">
        <f>'SCH_C2.1 - Base Period'!F281</f>
        <v xml:space="preserve">  Rents</v>
      </c>
      <c r="G275" s="215">
        <f t="array" ref="G275">SUM(IF(FERCFP=B275,AmountFP))</f>
        <v>2519259</v>
      </c>
      <c r="H275" s="717">
        <f t="shared" si="32"/>
        <v>100</v>
      </c>
      <c r="I275" s="202"/>
      <c r="J275" s="215">
        <f t="shared" si="31"/>
        <v>2519259</v>
      </c>
      <c r="K275" s="208" t="s">
        <v>428</v>
      </c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</row>
    <row r="276" spans="1:23">
      <c r="A276" s="202"/>
      <c r="B276" s="202"/>
      <c r="C276" s="208">
        <v>23</v>
      </c>
      <c r="D276" s="202"/>
      <c r="E276" s="202"/>
      <c r="F276" s="660" t="s">
        <v>1539</v>
      </c>
      <c r="G276" s="2138">
        <f>SUM(G257:G275)</f>
        <v>27225212</v>
      </c>
      <c r="H276" s="202"/>
      <c r="I276" s="202"/>
      <c r="J276" s="2138">
        <f>SUM(J257:J275)</f>
        <v>27225212</v>
      </c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</row>
    <row r="277" spans="1:23">
      <c r="A277" s="202"/>
      <c r="B277" s="202"/>
      <c r="C277" s="208">
        <v>24</v>
      </c>
      <c r="D277" s="202"/>
      <c r="E277" s="202"/>
      <c r="F277" s="202"/>
      <c r="G277" s="206"/>
      <c r="H277" s="202"/>
      <c r="I277" s="202"/>
      <c r="J277" s="206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</row>
    <row r="278" spans="1:23">
      <c r="A278" s="202"/>
      <c r="B278" s="202"/>
      <c r="C278" s="208">
        <v>25</v>
      </c>
      <c r="D278" s="202"/>
      <c r="E278" s="202"/>
      <c r="F278" s="204" t="s">
        <v>347</v>
      </c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</row>
    <row r="279" spans="1:23">
      <c r="A279" s="202">
        <v>932</v>
      </c>
      <c r="B279" s="202">
        <v>935</v>
      </c>
      <c r="C279" s="208">
        <v>26</v>
      </c>
      <c r="D279" s="208">
        <v>935</v>
      </c>
      <c r="E279" s="202"/>
      <c r="F279" s="660" t="str">
        <f>'SCH_C2.1 - Base Period'!F285</f>
        <v xml:space="preserve">  Maintenence of General Plant</v>
      </c>
      <c r="G279" s="215" cm="1">
        <f t="array" ref="G279">SUM(IF(FERCFP=A279,AmountFP))+SUM(IF(FERCFP=B279,AmountFP))</f>
        <v>60</v>
      </c>
      <c r="H279" s="717">
        <f>VLOOKUP(K279,ALLOCTABLE,2)</f>
        <v>100</v>
      </c>
      <c r="I279" s="202"/>
      <c r="J279" s="215">
        <f>ROUND(G279*(H279/100),0)</f>
        <v>60</v>
      </c>
      <c r="K279" s="208" t="s">
        <v>428</v>
      </c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</row>
    <row r="280" spans="1:23">
      <c r="A280" s="202"/>
      <c r="B280" s="202"/>
      <c r="C280" s="208">
        <v>27</v>
      </c>
      <c r="D280" s="202"/>
      <c r="E280" s="202"/>
      <c r="F280" s="660" t="s">
        <v>1627</v>
      </c>
      <c r="G280" s="2138">
        <f>G276+G279</f>
        <v>27225272</v>
      </c>
      <c r="H280" s="202"/>
      <c r="I280" s="202"/>
      <c r="J280" s="2138">
        <f>J276+J279</f>
        <v>27225272</v>
      </c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</row>
    <row r="281" spans="1:23">
      <c r="A281" s="202"/>
      <c r="B281" s="202"/>
      <c r="C281" s="208">
        <v>28</v>
      </c>
      <c r="D281" s="202"/>
      <c r="E281" s="202"/>
      <c r="F281" s="660" t="s">
        <v>1628</v>
      </c>
      <c r="G281" s="2138">
        <f>G117+G158+G164+G193+G220+G229+G237+G280</f>
        <v>311815820</v>
      </c>
      <c r="H281" s="202"/>
      <c r="I281" s="202"/>
      <c r="J281" s="2138">
        <f>J117+J158+J164+J193+J220+J229+J237+J280</f>
        <v>311815820</v>
      </c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</row>
    <row r="282" spans="1:23">
      <c r="A282" s="202"/>
      <c r="B282" s="202"/>
      <c r="C282" s="208">
        <v>29</v>
      </c>
      <c r="D282" s="202"/>
      <c r="E282" s="202"/>
      <c r="F282" s="202"/>
      <c r="G282" s="206"/>
      <c r="H282" s="202"/>
      <c r="I282" s="202"/>
      <c r="J282" s="206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</row>
    <row r="283" spans="1:23">
      <c r="A283" s="202"/>
      <c r="B283" s="202"/>
      <c r="C283" s="208">
        <v>30</v>
      </c>
      <c r="D283" s="202"/>
      <c r="E283" s="202"/>
      <c r="F283" s="202"/>
      <c r="G283" s="206"/>
      <c r="H283" s="202"/>
      <c r="I283" s="202"/>
      <c r="J283" s="206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</row>
    <row r="284" spans="1:23">
      <c r="A284" s="202">
        <v>403</v>
      </c>
      <c r="B284" s="202">
        <v>404</v>
      </c>
      <c r="C284" s="208">
        <v>31</v>
      </c>
      <c r="D284" s="208" t="s">
        <v>405</v>
      </c>
      <c r="E284" s="202"/>
      <c r="F284" s="660" t="s">
        <v>1629</v>
      </c>
      <c r="G284" s="2138" cm="1">
        <f t="array" ref="G284">SUM(IF(FERCFP=A284,AmountFP))+SUM(IF(FERCFP=B284,AmountFP))</f>
        <v>73446048</v>
      </c>
      <c r="H284" s="717">
        <f>VLOOKUP(K284,ALLOCTABLE,2)</f>
        <v>100</v>
      </c>
      <c r="I284" s="202"/>
      <c r="J284" s="2138">
        <f>ROUND(G284*(H284/100),0)</f>
        <v>73446048</v>
      </c>
      <c r="K284" s="208" t="s">
        <v>428</v>
      </c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</row>
    <row r="285" spans="1:23">
      <c r="B285" s="202"/>
      <c r="C285" s="208">
        <v>32</v>
      </c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</row>
    <row r="286" spans="1:23">
      <c r="A286" s="202"/>
      <c r="B286" s="202"/>
      <c r="C286" s="208">
        <v>33</v>
      </c>
      <c r="D286" s="202"/>
      <c r="E286" s="202"/>
      <c r="F286" s="204" t="s">
        <v>1630</v>
      </c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</row>
    <row r="287" spans="1:23">
      <c r="A287" s="202"/>
      <c r="B287" s="202">
        <v>407354</v>
      </c>
      <c r="C287" s="208">
        <v>34</v>
      </c>
      <c r="D287" s="208">
        <v>407354</v>
      </c>
      <c r="E287" s="202"/>
      <c r="F287" s="660" t="str">
        <f>'SCH_C2.1 - Base Period'!F293</f>
        <v xml:space="preserve">  DSM Deferral - Electric</v>
      </c>
      <c r="G287" s="215">
        <f t="shared" ref="G287:G292" si="34">ROUND(VLOOKUP(B287,FPERIOD,5,FALSE),0)</f>
        <v>0</v>
      </c>
      <c r="H287" s="717">
        <f t="shared" ref="H287:H292" si="35">VLOOKUP(K287,ALLOCTABLE,2)</f>
        <v>100</v>
      </c>
      <c r="I287" s="202"/>
      <c r="J287" s="215">
        <f t="shared" ref="J287:J292" si="36">ROUND(G287*(H287/100),0)</f>
        <v>0</v>
      </c>
      <c r="K287" s="208" t="s">
        <v>428</v>
      </c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</row>
    <row r="288" spans="1:23">
      <c r="A288" s="202"/>
      <c r="B288" s="202">
        <v>407407</v>
      </c>
      <c r="C288" s="208">
        <v>35</v>
      </c>
      <c r="D288" s="208">
        <v>407407</v>
      </c>
      <c r="E288" s="202"/>
      <c r="F288" s="660" t="str">
        <f>'SCH_C2.1 - Base Period'!F294</f>
        <v xml:space="preserve">  Carrying Charges</v>
      </c>
      <c r="G288" s="215">
        <f t="shared" si="34"/>
        <v>0</v>
      </c>
      <c r="H288" s="717">
        <f t="shared" si="35"/>
        <v>100</v>
      </c>
      <c r="I288" s="202"/>
      <c r="J288" s="215">
        <f t="shared" si="36"/>
        <v>0</v>
      </c>
      <c r="K288" s="208" t="s">
        <v>428</v>
      </c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</row>
    <row r="289" spans="1:23">
      <c r="A289" s="202"/>
      <c r="B289" s="202">
        <v>411051</v>
      </c>
      <c r="C289" s="208">
        <v>36</v>
      </c>
      <c r="D289" s="208">
        <v>411051</v>
      </c>
      <c r="E289" s="202"/>
      <c r="F289" s="660" t="s">
        <v>1679</v>
      </c>
      <c r="G289" s="215">
        <f t="shared" si="34"/>
        <v>0</v>
      </c>
      <c r="H289" s="717">
        <f t="shared" si="35"/>
        <v>100</v>
      </c>
      <c r="I289" s="202"/>
      <c r="J289" s="215">
        <f t="shared" si="36"/>
        <v>0</v>
      </c>
      <c r="K289" s="208" t="s">
        <v>428</v>
      </c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</row>
    <row r="290" spans="1:23">
      <c r="A290" s="202"/>
      <c r="B290" s="202">
        <v>407115</v>
      </c>
      <c r="C290" s="208">
        <v>37</v>
      </c>
      <c r="D290" s="208">
        <v>407115</v>
      </c>
      <c r="E290" s="202"/>
      <c r="F290" s="660" t="s">
        <v>1633</v>
      </c>
      <c r="G290" s="215">
        <f t="shared" si="34"/>
        <v>463932</v>
      </c>
      <c r="H290" s="717">
        <f t="shared" si="35"/>
        <v>100</v>
      </c>
      <c r="I290" s="202"/>
      <c r="J290" s="215">
        <f t="shared" si="36"/>
        <v>463932</v>
      </c>
      <c r="K290" s="208" t="s">
        <v>428</v>
      </c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</row>
    <row r="291" spans="1:23">
      <c r="A291" s="202"/>
      <c r="B291" s="202">
        <v>407305</v>
      </c>
      <c r="C291" s="208">
        <v>38</v>
      </c>
      <c r="D291" s="208">
        <v>407305</v>
      </c>
      <c r="E291" s="202"/>
      <c r="F291" s="660" t="s">
        <v>1634</v>
      </c>
      <c r="G291" s="215">
        <f t="shared" si="34"/>
        <v>6716022</v>
      </c>
      <c r="H291" s="717">
        <f t="shared" si="35"/>
        <v>100</v>
      </c>
      <c r="I291" s="202"/>
      <c r="J291" s="215">
        <f t="shared" si="36"/>
        <v>6716022</v>
      </c>
      <c r="K291" s="208" t="s">
        <v>428</v>
      </c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</row>
    <row r="292" spans="1:23">
      <c r="A292" s="202"/>
      <c r="B292" s="202">
        <v>407324</v>
      </c>
      <c r="C292" s="208">
        <v>39</v>
      </c>
      <c r="D292" s="208">
        <v>407324</v>
      </c>
      <c r="E292" s="202"/>
      <c r="F292" s="660" t="s">
        <v>1635</v>
      </c>
      <c r="G292" s="215">
        <f t="shared" si="34"/>
        <v>5681148</v>
      </c>
      <c r="H292" s="717">
        <f t="shared" si="35"/>
        <v>100</v>
      </c>
      <c r="I292" s="202"/>
      <c r="J292" s="215">
        <f t="shared" si="36"/>
        <v>5681148</v>
      </c>
      <c r="K292" s="208" t="s">
        <v>428</v>
      </c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</row>
    <row r="293" spans="1:23">
      <c r="A293" s="202"/>
      <c r="B293" s="202"/>
      <c r="C293" s="208">
        <v>40</v>
      </c>
      <c r="D293" s="202"/>
      <c r="E293" s="202"/>
      <c r="F293" s="660" t="s">
        <v>1636</v>
      </c>
      <c r="G293" s="2138">
        <f>SUM(G287:G292)</f>
        <v>12861102</v>
      </c>
      <c r="H293" s="717"/>
      <c r="I293" s="202"/>
      <c r="J293" s="2138">
        <f>SUM(J287:J292)</f>
        <v>12861102</v>
      </c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</row>
    <row r="294" spans="1:23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</row>
    <row r="295" spans="1:23">
      <c r="A295" s="202"/>
      <c r="B295" s="202"/>
      <c r="C295" s="203" t="str">
        <f>COMPANY</f>
        <v>DUKE ENERGY KENTUCKY, INC.</v>
      </c>
      <c r="D295" s="203"/>
      <c r="E295" s="203"/>
      <c r="F295" s="203"/>
      <c r="G295" s="203"/>
      <c r="H295" s="203"/>
      <c r="I295" s="203"/>
      <c r="J295" s="203"/>
      <c r="K295" s="203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</row>
    <row r="296" spans="1:23">
      <c r="A296" s="202"/>
      <c r="B296" s="202"/>
      <c r="C296" s="203" t="str">
        <f>CASE</f>
        <v>CASE NO. 2024-00354</v>
      </c>
      <c r="D296" s="203"/>
      <c r="E296" s="203"/>
      <c r="F296" s="203"/>
      <c r="G296" s="203"/>
      <c r="H296" s="203"/>
      <c r="I296" s="203"/>
      <c r="J296" s="203"/>
      <c r="K296" s="203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</row>
    <row r="297" spans="1:23">
      <c r="A297" s="202"/>
      <c r="B297" s="202"/>
      <c r="C297" s="203" t="s">
        <v>1511</v>
      </c>
      <c r="D297" s="203"/>
      <c r="E297" s="203"/>
      <c r="F297" s="203"/>
      <c r="G297" s="203"/>
      <c r="H297" s="203"/>
      <c r="I297" s="203"/>
      <c r="J297" s="203"/>
      <c r="K297" s="203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</row>
    <row r="298" spans="1:23">
      <c r="A298" s="202"/>
      <c r="B298" s="202"/>
      <c r="C298" s="203" t="str">
        <f>PeriodF</f>
        <v>FOR THE TWELVE MONTHS ENDED JUNE 30, 2026</v>
      </c>
      <c r="D298" s="203"/>
      <c r="E298" s="203"/>
      <c r="F298" s="203"/>
      <c r="G298" s="203"/>
      <c r="H298" s="203"/>
      <c r="I298" s="203"/>
      <c r="J298" s="203"/>
      <c r="K298" s="203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</row>
    <row r="299" spans="1:23">
      <c r="A299" s="202"/>
      <c r="B299" s="202"/>
      <c r="C299" s="203"/>
      <c r="D299" s="203"/>
      <c r="E299" s="203"/>
      <c r="F299" s="203"/>
      <c r="G299" s="203"/>
      <c r="H299" s="203"/>
      <c r="I299" s="203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</row>
    <row r="300" spans="1:23">
      <c r="A300" s="202"/>
      <c r="B300" s="202"/>
      <c r="C300" s="202"/>
      <c r="D300" s="202"/>
      <c r="E300" s="202"/>
      <c r="F300" s="202"/>
      <c r="G300" s="202"/>
      <c r="H300" s="202"/>
      <c r="I300" s="202"/>
      <c r="J300" s="660" t="str">
        <f>"                "&amp;"SCHEDULE C-2.1"</f>
        <v xml:space="preserve">                SCHEDULE C-2.1</v>
      </c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</row>
    <row r="301" spans="1:23">
      <c r="A301" s="202"/>
      <c r="B301" s="202"/>
      <c r="C301" s="202" t="str">
        <f>DataF</f>
        <v>DATA:  BASE PERIOD  "X" FORECASTED PERIOD</v>
      </c>
      <c r="D301" s="202"/>
      <c r="E301" s="202"/>
      <c r="F301" s="202"/>
      <c r="G301" s="202"/>
      <c r="H301" s="202"/>
      <c r="I301" s="202"/>
      <c r="J301" s="660" t="str">
        <f>"                "&amp;"PAGE  13  OF  14"</f>
        <v xml:space="preserve">                PAGE  13  OF  14</v>
      </c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</row>
    <row r="302" spans="1:23">
      <c r="A302" s="202"/>
      <c r="B302" s="202"/>
      <c r="C302" s="202" t="str">
        <f>Type</f>
        <v xml:space="preserve">TYPE OF FILING:  "X" ORIGINAL   UPDATED    REVISED  </v>
      </c>
      <c r="D302" s="202"/>
      <c r="E302" s="202"/>
      <c r="F302" s="202"/>
      <c r="G302" s="202"/>
      <c r="H302" s="202"/>
      <c r="I302" s="202"/>
      <c r="J302" s="660" t="str">
        <f>"                "&amp;"WITNESS RESPONSIBLE:"</f>
        <v xml:space="preserve">                WITNESS RESPONSIBLE:</v>
      </c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</row>
    <row r="303" spans="1:23">
      <c r="A303" s="202"/>
      <c r="B303" s="202"/>
      <c r="C303" s="660" t="str">
        <f>$C$11</f>
        <v>WORK PAPER REFERENCE NO(S).: WPC-2.1a_FP</v>
      </c>
      <c r="D303" s="202"/>
      <c r="E303" s="202"/>
      <c r="F303" s="202"/>
      <c r="G303" s="202"/>
      <c r="H303" s="202"/>
      <c r="I303" s="202"/>
      <c r="J303" s="660" t="str">
        <f>"                "&amp;_WIT1</f>
        <v xml:space="preserve">                L. D. STEINKUHL</v>
      </c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</row>
    <row r="304" spans="1:23">
      <c r="A304" s="202"/>
      <c r="B304" s="202"/>
      <c r="C304" s="1496"/>
      <c r="D304" s="1497"/>
      <c r="E304" s="1497"/>
      <c r="F304" s="1497"/>
      <c r="G304" s="1497"/>
      <c r="H304" s="1497"/>
      <c r="I304" s="1497"/>
      <c r="J304" s="1497"/>
      <c r="K304" s="1497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</row>
    <row r="305" spans="1:23">
      <c r="A305" s="202"/>
      <c r="B305" s="202"/>
      <c r="C305" s="202"/>
      <c r="D305" s="202"/>
      <c r="E305" s="202"/>
      <c r="F305" s="202"/>
      <c r="G305" s="208" t="s">
        <v>1513</v>
      </c>
      <c r="H305" s="208" t="s">
        <v>970</v>
      </c>
      <c r="I305" s="202"/>
      <c r="J305" s="202"/>
      <c r="K305" s="208" t="s">
        <v>937</v>
      </c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</row>
    <row r="306" spans="1:23">
      <c r="A306" s="202"/>
      <c r="B306" s="202"/>
      <c r="C306" s="208" t="s">
        <v>471</v>
      </c>
      <c r="D306" s="208" t="s">
        <v>1045</v>
      </c>
      <c r="E306" s="202"/>
      <c r="F306" s="202"/>
      <c r="G306" s="208" t="s">
        <v>972</v>
      </c>
      <c r="H306" s="208" t="s">
        <v>973</v>
      </c>
      <c r="I306" s="202"/>
      <c r="J306" s="208" t="s">
        <v>1513</v>
      </c>
      <c r="K306" s="208" t="s">
        <v>1514</v>
      </c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</row>
    <row r="307" spans="1:23">
      <c r="A307" s="202"/>
      <c r="B307" s="202"/>
      <c r="C307" s="208" t="s">
        <v>475</v>
      </c>
      <c r="D307" s="208" t="s">
        <v>533</v>
      </c>
      <c r="E307" s="202"/>
      <c r="F307" s="203" t="s">
        <v>1515</v>
      </c>
      <c r="G307" s="208" t="s">
        <v>1153</v>
      </c>
      <c r="H307" s="208" t="s">
        <v>420</v>
      </c>
      <c r="I307" s="202"/>
      <c r="J307" s="208" t="s">
        <v>1516</v>
      </c>
      <c r="K307" s="208" t="s">
        <v>476</v>
      </c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</row>
    <row r="308" spans="1:23">
      <c r="A308" s="202"/>
      <c r="B308" s="202"/>
      <c r="C308" s="1498"/>
      <c r="D308" s="1498"/>
      <c r="E308" s="1498"/>
      <c r="F308" s="1498"/>
      <c r="G308" s="1500" t="s">
        <v>506</v>
      </c>
      <c r="H308" s="1500" t="s">
        <v>510</v>
      </c>
      <c r="I308" s="1498"/>
      <c r="J308" s="1500" t="s">
        <v>519</v>
      </c>
      <c r="K308" s="1500" t="s">
        <v>911</v>
      </c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</row>
    <row r="309" spans="1:23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</row>
    <row r="310" spans="1:23">
      <c r="A310" s="202"/>
      <c r="B310" s="202"/>
      <c r="C310" s="208">
        <v>1</v>
      </c>
      <c r="D310" s="202"/>
      <c r="E310" s="202"/>
      <c r="F310" s="204" t="s">
        <v>1637</v>
      </c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</row>
    <row r="311" spans="1:23">
      <c r="A311" s="202"/>
      <c r="B311" s="202"/>
      <c r="C311" s="208">
        <v>2</v>
      </c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</row>
    <row r="312" spans="1:23">
      <c r="A312" s="202"/>
      <c r="B312" s="202"/>
      <c r="C312" s="208">
        <v>3</v>
      </c>
      <c r="D312" s="202"/>
      <c r="E312" s="202"/>
      <c r="F312" s="204" t="s">
        <v>1638</v>
      </c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</row>
    <row r="313" spans="1:23">
      <c r="A313" s="202"/>
      <c r="B313" s="202">
        <v>408700</v>
      </c>
      <c r="C313" s="208">
        <v>4</v>
      </c>
      <c r="D313" s="208">
        <v>408700</v>
      </c>
      <c r="E313" s="221"/>
      <c r="F313" s="660" t="str">
        <f>'SCH_C2.1 - Base Period'!F318</f>
        <v xml:space="preserve">  Insurance Contribution</v>
      </c>
      <c r="G313" s="215">
        <f>ROUND(VLOOKUP(B313,FPERIOD,5,FALSE),0)</f>
        <v>0</v>
      </c>
      <c r="H313" s="717">
        <f>VLOOKUP(K313,ALLOCTABLE,2)</f>
        <v>100</v>
      </c>
      <c r="I313" s="202"/>
      <c r="J313" s="215">
        <f>ROUND(G313*(H313/100),0)</f>
        <v>0</v>
      </c>
      <c r="K313" s="208" t="s">
        <v>428</v>
      </c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</row>
    <row r="314" spans="1:23">
      <c r="A314" s="202"/>
      <c r="B314" s="202">
        <v>408151</v>
      </c>
      <c r="C314" s="208">
        <v>5</v>
      </c>
      <c r="D314" s="208">
        <v>408151</v>
      </c>
      <c r="E314" s="202"/>
      <c r="F314" s="660" t="str">
        <f>'SCH_C2.1 - Base Period'!F319</f>
        <v xml:space="preserve">  Unemployment Compensation</v>
      </c>
      <c r="G314" s="215">
        <f>ROUND(VLOOKUP(B314,FPERIOD,5,FALSE),0)</f>
        <v>0</v>
      </c>
      <c r="H314" s="717">
        <f>VLOOKUP(K314,ALLOCTABLE,2)</f>
        <v>100</v>
      </c>
      <c r="I314" s="202"/>
      <c r="J314" s="215">
        <f>ROUND(G314*(H314/100),0)</f>
        <v>0</v>
      </c>
      <c r="K314" s="208" t="s">
        <v>428</v>
      </c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</row>
    <row r="315" spans="1:23">
      <c r="A315" s="202"/>
      <c r="B315" s="202">
        <v>408800</v>
      </c>
      <c r="C315" s="208">
        <v>6</v>
      </c>
      <c r="D315" s="208">
        <v>408800</v>
      </c>
      <c r="E315" s="202"/>
      <c r="F315" s="660" t="str">
        <f>'SCH_C2.1 - Base Period'!F320</f>
        <v xml:space="preserve">  Highway Use</v>
      </c>
      <c r="G315" s="215">
        <f>ROUND(VLOOKUP(B315,FPERIOD,5,FALSE),0)</f>
        <v>0</v>
      </c>
      <c r="H315" s="717">
        <f>VLOOKUP(K315,ALLOCTABLE,2)</f>
        <v>100</v>
      </c>
      <c r="I315" s="202"/>
      <c r="J315" s="215">
        <f>ROUND(G315*(H315/100),0)</f>
        <v>0</v>
      </c>
      <c r="K315" s="208" t="s">
        <v>428</v>
      </c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</row>
    <row r="316" spans="1:23">
      <c r="A316" s="202"/>
      <c r="B316" s="202"/>
      <c r="C316" s="208">
        <v>7</v>
      </c>
      <c r="D316" s="202"/>
      <c r="E316" s="202"/>
      <c r="F316" s="660" t="s">
        <v>1642</v>
      </c>
      <c r="G316" s="2138">
        <f>SUM(G313:G315)</f>
        <v>0</v>
      </c>
      <c r="H316" s="202"/>
      <c r="I316" s="202"/>
      <c r="J316" s="2138">
        <f>SUM(J313:J315)</f>
        <v>0</v>
      </c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</row>
    <row r="317" spans="1:23">
      <c r="A317" s="222"/>
      <c r="B317" s="202"/>
      <c r="C317" s="208">
        <v>8</v>
      </c>
      <c r="D317" s="202"/>
      <c r="E317" s="202"/>
      <c r="F317" s="202"/>
      <c r="G317" s="206"/>
      <c r="H317" s="202"/>
      <c r="I317" s="202"/>
      <c r="J317" s="206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</row>
    <row r="318" spans="1:23">
      <c r="A318" s="222"/>
      <c r="B318" s="202"/>
      <c r="C318" s="208">
        <v>9</v>
      </c>
      <c r="D318" s="202"/>
      <c r="E318" s="202"/>
      <c r="F318" s="204" t="s">
        <v>1643</v>
      </c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</row>
    <row r="319" spans="1:23">
      <c r="A319" s="222"/>
      <c r="B319" s="202">
        <v>408040</v>
      </c>
      <c r="C319" s="208">
        <v>10</v>
      </c>
      <c r="D319" s="208">
        <v>408040</v>
      </c>
      <c r="E319" s="202"/>
      <c r="F319" s="660" t="str">
        <f>'SCH_C2.1 - Base Period'!F324</f>
        <v xml:space="preserve">  Taxes Property-Allocated</v>
      </c>
      <c r="G319" s="215">
        <f t="shared" ref="G319:G326" si="37">ROUND(VLOOKUP(B319,FPERIOD,5,FALSE),0)</f>
        <v>96384</v>
      </c>
      <c r="H319" s="717">
        <f t="shared" ref="H319:H326" si="38">VLOOKUP(K319,ALLOCTABLE,2)</f>
        <v>100</v>
      </c>
      <c r="I319" s="202"/>
      <c r="J319" s="215">
        <f t="shared" ref="J319:J326" si="39">ROUND(G319*(H319/100),0)</f>
        <v>96384</v>
      </c>
      <c r="K319" s="208" t="s">
        <v>428</v>
      </c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</row>
    <row r="320" spans="1:23">
      <c r="A320" s="222"/>
      <c r="B320" s="202">
        <v>408120</v>
      </c>
      <c r="C320" s="208">
        <v>11</v>
      </c>
      <c r="D320" s="208">
        <v>408120</v>
      </c>
      <c r="E320" s="202"/>
      <c r="F320" s="660" t="str">
        <f>'SCH_C2.1 - Base Period'!F325</f>
        <v xml:space="preserve">  Franchise Tax - Non Electric</v>
      </c>
      <c r="G320" s="215">
        <f>ROUND(VLOOKUP(B320,FPERIOD,5,FALSE),0)</f>
        <v>0</v>
      </c>
      <c r="H320" s="717">
        <f>VLOOKUP(K320,ALLOCTABLE,2)</f>
        <v>100</v>
      </c>
      <c r="I320" s="202"/>
      <c r="J320" s="215">
        <f>ROUND(G320*(H320/100),0)</f>
        <v>0</v>
      </c>
      <c r="K320" s="208" t="s">
        <v>428</v>
      </c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</row>
    <row r="321" spans="1:23">
      <c r="A321" s="222"/>
      <c r="B321" s="202">
        <v>408121</v>
      </c>
      <c r="C321" s="208">
        <v>12</v>
      </c>
      <c r="D321" s="208">
        <v>408121</v>
      </c>
      <c r="E321" s="202"/>
      <c r="F321" s="660" t="str">
        <f>'SCH_C2.1 - Base Period'!F326</f>
        <v xml:space="preserve">  Taxes Property-Operating</v>
      </c>
      <c r="G321" s="215">
        <f t="shared" si="37"/>
        <v>16318986</v>
      </c>
      <c r="H321" s="717">
        <f t="shared" si="38"/>
        <v>100</v>
      </c>
      <c r="I321" s="202"/>
      <c r="J321" s="215">
        <f t="shared" si="39"/>
        <v>16318986</v>
      </c>
      <c r="K321" s="208" t="s">
        <v>428</v>
      </c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</row>
    <row r="322" spans="1:23">
      <c r="A322" s="222"/>
      <c r="B322" s="202">
        <v>408150</v>
      </c>
      <c r="C322" s="208">
        <v>13</v>
      </c>
      <c r="D322" s="208">
        <v>408150</v>
      </c>
      <c r="E322" s="202"/>
      <c r="F322" s="660" t="str">
        <f>'SCH_C2.1 - Base Period'!F327</f>
        <v xml:space="preserve">  State Unemployment Tax</v>
      </c>
      <c r="G322" s="215">
        <f t="shared" si="37"/>
        <v>0</v>
      </c>
      <c r="H322" s="717">
        <f t="shared" si="38"/>
        <v>100</v>
      </c>
      <c r="I322" s="202"/>
      <c r="J322" s="215">
        <f t="shared" si="39"/>
        <v>0</v>
      </c>
      <c r="K322" s="208" t="s">
        <v>428</v>
      </c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</row>
    <row r="323" spans="1:23">
      <c r="A323" s="222"/>
      <c r="B323" s="202">
        <v>408152</v>
      </c>
      <c r="C323" s="208">
        <v>14</v>
      </c>
      <c r="D323" s="208">
        <v>408152</v>
      </c>
      <c r="E323" s="202"/>
      <c r="F323" s="660" t="str">
        <f>'SCH_C2.1 - Base Period'!F328</f>
        <v xml:space="preserve">  Employer FICA Tax</v>
      </c>
      <c r="G323" s="215">
        <f t="shared" si="37"/>
        <v>0</v>
      </c>
      <c r="H323" s="717">
        <f t="shared" si="38"/>
        <v>100</v>
      </c>
      <c r="I323" s="202"/>
      <c r="J323" s="215">
        <f t="shared" si="39"/>
        <v>0</v>
      </c>
      <c r="K323" s="208" t="s">
        <v>428</v>
      </c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</row>
    <row r="324" spans="1:23">
      <c r="A324" s="222"/>
      <c r="B324" s="202">
        <v>408205</v>
      </c>
      <c r="C324" s="208">
        <v>15</v>
      </c>
      <c r="D324" s="208">
        <v>408205</v>
      </c>
      <c r="E324" s="202"/>
      <c r="F324" s="660" t="str">
        <f>'SCH_C2.1 - Base Period'!F329</f>
        <v xml:space="preserve">  Highway Use</v>
      </c>
      <c r="G324" s="215">
        <f t="shared" si="37"/>
        <v>0</v>
      </c>
      <c r="H324" s="717">
        <f t="shared" si="38"/>
        <v>100</v>
      </c>
      <c r="I324" s="202"/>
      <c r="J324" s="215">
        <f t="shared" si="39"/>
        <v>0</v>
      </c>
      <c r="K324" s="208" t="s">
        <v>428</v>
      </c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</row>
    <row r="325" spans="1:23">
      <c r="A325" s="222"/>
      <c r="B325" s="202">
        <v>408851</v>
      </c>
      <c r="C325" s="208">
        <v>16</v>
      </c>
      <c r="D325" s="208">
        <v>408851</v>
      </c>
      <c r="E325" s="202"/>
      <c r="F325" s="660" t="str">
        <f>'SCH_C2.1 - Base Period'!F331</f>
        <v xml:space="preserve">  Sales &amp; Use Tax</v>
      </c>
      <c r="G325" s="215">
        <f t="shared" si="37"/>
        <v>0</v>
      </c>
      <c r="H325" s="717">
        <f>VLOOKUP(K325,ALLOCTABLE,2)</f>
        <v>100</v>
      </c>
      <c r="I325" s="202"/>
      <c r="J325" s="215">
        <f t="shared" si="39"/>
        <v>0</v>
      </c>
      <c r="K325" s="208" t="s">
        <v>428</v>
      </c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</row>
    <row r="326" spans="1:23">
      <c r="A326" s="222"/>
      <c r="B326" s="202">
        <v>408960</v>
      </c>
      <c r="C326" s="208">
        <v>17</v>
      </c>
      <c r="D326" s="208">
        <v>408960</v>
      </c>
      <c r="E326" s="202"/>
      <c r="F326" s="660" t="str">
        <f>'SCH_C2.1 - Base Period'!F332</f>
        <v xml:space="preserve">  Allocated Payroll Taxes</v>
      </c>
      <c r="G326" s="215">
        <f t="shared" si="37"/>
        <v>1905396</v>
      </c>
      <c r="H326" s="717">
        <f t="shared" si="38"/>
        <v>100</v>
      </c>
      <c r="I326" s="202"/>
      <c r="J326" s="215">
        <f t="shared" si="39"/>
        <v>1905396</v>
      </c>
      <c r="K326" s="208" t="s">
        <v>428</v>
      </c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</row>
    <row r="327" spans="1:23">
      <c r="A327" s="202"/>
      <c r="B327" s="202"/>
      <c r="C327" s="208">
        <v>18</v>
      </c>
      <c r="D327" s="202"/>
      <c r="E327" s="202"/>
      <c r="F327" s="660" t="s">
        <v>1652</v>
      </c>
      <c r="G327" s="2138">
        <f>SUM(G319:G326)</f>
        <v>18320766</v>
      </c>
      <c r="H327" s="202"/>
      <c r="I327" s="202"/>
      <c r="J327" s="2138">
        <f>SUM(J319:J326)</f>
        <v>18320766</v>
      </c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</row>
    <row r="328" spans="1:23">
      <c r="A328" s="202"/>
      <c r="B328" s="202"/>
      <c r="C328" s="208">
        <v>19</v>
      </c>
      <c r="D328" s="202"/>
      <c r="E328" s="202"/>
      <c r="F328" s="202"/>
      <c r="G328" s="206"/>
      <c r="H328" s="202"/>
      <c r="I328" s="202"/>
      <c r="J328" s="206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</row>
    <row r="329" spans="1:23">
      <c r="A329" s="202"/>
      <c r="B329" s="202"/>
      <c r="C329" s="208">
        <v>20</v>
      </c>
      <c r="D329" s="202"/>
      <c r="E329" s="202"/>
      <c r="F329" s="660" t="s">
        <v>1653</v>
      </c>
      <c r="G329" s="1501">
        <f>G316+G327</f>
        <v>18320766</v>
      </c>
      <c r="H329" s="202"/>
      <c r="I329" s="202"/>
      <c r="J329" s="1501">
        <f>J316+J327</f>
        <v>18320766</v>
      </c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</row>
    <row r="330" spans="1:23">
      <c r="A330" s="202"/>
      <c r="B330" s="202"/>
      <c r="C330" s="208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</row>
    <row r="331" spans="1:23">
      <c r="A331" s="202"/>
      <c r="B331" s="202"/>
      <c r="C331" s="203" t="str">
        <f>COMPANY</f>
        <v>DUKE ENERGY KENTUCKY, INC.</v>
      </c>
      <c r="D331" s="203"/>
      <c r="E331" s="203"/>
      <c r="F331" s="203"/>
      <c r="G331" s="203"/>
      <c r="H331" s="203"/>
      <c r="I331" s="203"/>
      <c r="J331" s="203"/>
      <c r="K331" s="203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</row>
    <row r="332" spans="1:23">
      <c r="A332" s="202"/>
      <c r="B332" s="202"/>
      <c r="C332" s="203" t="str">
        <f>CASE</f>
        <v>CASE NO. 2024-00354</v>
      </c>
      <c r="D332" s="203"/>
      <c r="E332" s="203"/>
      <c r="F332" s="203"/>
      <c r="G332" s="203"/>
      <c r="H332" s="203"/>
      <c r="I332" s="203"/>
      <c r="J332" s="203"/>
      <c r="K332" s="203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</row>
    <row r="333" spans="1:23">
      <c r="A333" s="202"/>
      <c r="B333" s="202"/>
      <c r="C333" s="203" t="s">
        <v>1511</v>
      </c>
      <c r="D333" s="203"/>
      <c r="E333" s="203"/>
      <c r="F333" s="203"/>
      <c r="G333" s="203"/>
      <c r="H333" s="203"/>
      <c r="I333" s="203"/>
      <c r="J333" s="203"/>
      <c r="K333" s="203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</row>
    <row r="334" spans="1:23">
      <c r="A334" s="202"/>
      <c r="B334" s="202"/>
      <c r="C334" s="203" t="str">
        <f>PeriodF</f>
        <v>FOR THE TWELVE MONTHS ENDED JUNE 30, 2026</v>
      </c>
      <c r="D334" s="203"/>
      <c r="E334" s="203"/>
      <c r="F334" s="203"/>
      <c r="G334" s="203"/>
      <c r="H334" s="203"/>
      <c r="I334" s="203"/>
      <c r="J334" s="203"/>
      <c r="K334" s="203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</row>
    <row r="335" spans="1:23">
      <c r="A335" s="202"/>
      <c r="B335" s="202"/>
      <c r="C335" s="203"/>
      <c r="D335" s="203"/>
      <c r="E335" s="203"/>
      <c r="F335" s="203"/>
      <c r="G335" s="203"/>
      <c r="H335" s="203"/>
      <c r="I335" s="203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</row>
    <row r="336" spans="1:23">
      <c r="A336" s="202"/>
      <c r="B336" s="202"/>
      <c r="C336" s="202"/>
      <c r="D336" s="202"/>
      <c r="E336" s="202"/>
      <c r="F336" s="202"/>
      <c r="G336" s="202"/>
      <c r="H336" s="202"/>
      <c r="I336" s="202"/>
      <c r="J336" s="660" t="str">
        <f>"                "&amp;"SCHEDULE C-2.1"</f>
        <v xml:space="preserve">                SCHEDULE C-2.1</v>
      </c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</row>
    <row r="337" spans="1:23">
      <c r="A337" s="202"/>
      <c r="B337" s="202"/>
      <c r="C337" s="202" t="str">
        <f>DataF</f>
        <v>DATA:  BASE PERIOD  "X" FORECASTED PERIOD</v>
      </c>
      <c r="D337" s="202"/>
      <c r="E337" s="202"/>
      <c r="F337" s="202"/>
      <c r="G337" s="202"/>
      <c r="H337" s="202"/>
      <c r="I337" s="202"/>
      <c r="J337" s="660" t="str">
        <f>"                "&amp;"PAGE  14  OF  14"</f>
        <v xml:space="preserve">                PAGE  14  OF  14</v>
      </c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</row>
    <row r="338" spans="1:23">
      <c r="A338" s="202"/>
      <c r="B338" s="202"/>
      <c r="C338" s="202" t="str">
        <f>Type</f>
        <v xml:space="preserve">TYPE OF FILING:  "X" ORIGINAL   UPDATED    REVISED  </v>
      </c>
      <c r="D338" s="202"/>
      <c r="E338" s="202"/>
      <c r="F338" s="202"/>
      <c r="G338" s="202"/>
      <c r="H338" s="202"/>
      <c r="I338" s="202"/>
      <c r="J338" s="660" t="str">
        <f>"                "&amp;"WITNESS RESPONSIBLE:"</f>
        <v xml:space="preserve">                WITNESS RESPONSIBLE:</v>
      </c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</row>
    <row r="339" spans="1:23">
      <c r="A339" s="202"/>
      <c r="B339" s="202"/>
      <c r="C339" s="660" t="str">
        <f>$C$11</f>
        <v>WORK PAPER REFERENCE NO(S).: WPC-2.1a_FP</v>
      </c>
      <c r="D339" s="202"/>
      <c r="E339" s="202"/>
      <c r="F339" s="202"/>
      <c r="G339" s="202"/>
      <c r="H339" s="202"/>
      <c r="I339" s="202"/>
      <c r="J339" s="660" t="str">
        <f>"                "&amp;_WIT1</f>
        <v xml:space="preserve">                L. D. STEINKUHL</v>
      </c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</row>
    <row r="340" spans="1:23">
      <c r="A340" s="202"/>
      <c r="B340" s="202"/>
      <c r="C340" s="1496"/>
      <c r="D340" s="1497"/>
      <c r="E340" s="1497"/>
      <c r="F340" s="1497"/>
      <c r="G340" s="1497"/>
      <c r="H340" s="1497"/>
      <c r="I340" s="1497"/>
      <c r="J340" s="1497"/>
      <c r="K340" s="1497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</row>
    <row r="341" spans="1:23">
      <c r="A341" s="202"/>
      <c r="B341" s="202"/>
      <c r="C341" s="202"/>
      <c r="D341" s="202"/>
      <c r="E341" s="202"/>
      <c r="F341" s="202"/>
      <c r="G341" s="208" t="s">
        <v>1513</v>
      </c>
      <c r="H341" s="208" t="s">
        <v>970</v>
      </c>
      <c r="I341" s="202"/>
      <c r="J341" s="202"/>
      <c r="K341" s="208" t="s">
        <v>937</v>
      </c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</row>
    <row r="342" spans="1:23">
      <c r="A342" s="202"/>
      <c r="B342" s="202"/>
      <c r="C342" s="208" t="s">
        <v>471</v>
      </c>
      <c r="D342" s="208" t="s">
        <v>1045</v>
      </c>
      <c r="E342" s="202"/>
      <c r="F342" s="202"/>
      <c r="G342" s="208" t="s">
        <v>972</v>
      </c>
      <c r="H342" s="208" t="s">
        <v>973</v>
      </c>
      <c r="I342" s="202"/>
      <c r="J342" s="208" t="s">
        <v>1513</v>
      </c>
      <c r="K342" s="208" t="s">
        <v>1514</v>
      </c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</row>
    <row r="343" spans="1:23">
      <c r="A343" s="202"/>
      <c r="B343" s="202"/>
      <c r="C343" s="208" t="s">
        <v>475</v>
      </c>
      <c r="D343" s="208" t="s">
        <v>533</v>
      </c>
      <c r="E343" s="202"/>
      <c r="F343" s="203" t="s">
        <v>1515</v>
      </c>
      <c r="G343" s="208" t="s">
        <v>1153</v>
      </c>
      <c r="H343" s="208" t="s">
        <v>420</v>
      </c>
      <c r="I343" s="202"/>
      <c r="J343" s="208" t="s">
        <v>1516</v>
      </c>
      <c r="K343" s="208" t="s">
        <v>476</v>
      </c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</row>
    <row r="344" spans="1:23">
      <c r="A344" s="202"/>
      <c r="B344" s="202"/>
      <c r="C344" s="1498"/>
      <c r="D344" s="1498"/>
      <c r="E344" s="1498"/>
      <c r="F344" s="1498"/>
      <c r="G344" s="1500" t="s">
        <v>506</v>
      </c>
      <c r="H344" s="1500" t="s">
        <v>510</v>
      </c>
      <c r="I344" s="1498"/>
      <c r="J344" s="1500" t="s">
        <v>519</v>
      </c>
      <c r="K344" s="1500" t="s">
        <v>911</v>
      </c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</row>
    <row r="345" spans="1:23">
      <c r="A345" s="202"/>
      <c r="B345" s="202"/>
      <c r="C345" s="202"/>
      <c r="D345" s="202"/>
      <c r="E345" s="202"/>
      <c r="F345" s="202"/>
      <c r="G345" s="208"/>
      <c r="H345" s="208"/>
      <c r="I345" s="202"/>
      <c r="J345" s="208"/>
      <c r="K345" s="208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</row>
    <row r="346" spans="1:23">
      <c r="A346" s="202"/>
      <c r="B346" s="202"/>
      <c r="C346" s="208">
        <v>1</v>
      </c>
      <c r="D346" s="202"/>
      <c r="E346" s="202"/>
      <c r="F346" s="204" t="s">
        <v>496</v>
      </c>
      <c r="G346" s="202"/>
      <c r="H346" s="208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</row>
    <row r="347" spans="1:23">
      <c r="A347" s="202"/>
      <c r="B347" s="202">
        <v>409102</v>
      </c>
      <c r="C347" s="208">
        <v>2</v>
      </c>
      <c r="D347" s="208">
        <v>409102</v>
      </c>
      <c r="E347" s="202"/>
      <c r="F347" s="660" t="str">
        <f>'SCH_C2.1 - Base Period'!F353</f>
        <v xml:space="preserve">  Normal and Surtax</v>
      </c>
      <c r="G347" s="215">
        <f t="shared" ref="G347" si="40">ROUND(VLOOKUP(B347,FPERIOD,5,FALSE),0)</f>
        <v>-437041</v>
      </c>
      <c r="H347" s="212" t="s">
        <v>1655</v>
      </c>
      <c r="I347" s="202"/>
      <c r="J347" s="215">
        <f>ROUND(G347,0)</f>
        <v>-437041</v>
      </c>
      <c r="K347" s="208" t="s">
        <v>428</v>
      </c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</row>
    <row r="348" spans="1:23">
      <c r="A348" s="202"/>
      <c r="B348" s="202">
        <v>409104</v>
      </c>
      <c r="C348" s="208">
        <v>3</v>
      </c>
      <c r="D348" s="208">
        <v>409104</v>
      </c>
      <c r="E348" s="202"/>
      <c r="F348" s="660" t="str">
        <f>'SCH_C2.1 - Base Period'!F354</f>
        <v xml:space="preserve">  SIT - Prior Year</v>
      </c>
      <c r="G348" s="215">
        <f>VLOOKUP(B348,FPERIOD,5,FALSE)</f>
        <v>0</v>
      </c>
      <c r="H348" s="717">
        <f>VLOOKUP(K348,ALLOCTABLE,2)</f>
        <v>100</v>
      </c>
      <c r="I348" s="202"/>
      <c r="J348" s="215">
        <f>ROUND(G348*(H348/100),0)</f>
        <v>0</v>
      </c>
      <c r="K348" s="208" t="s">
        <v>428</v>
      </c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</row>
    <row r="349" spans="1:23">
      <c r="A349" s="202"/>
      <c r="B349" s="202">
        <v>409197</v>
      </c>
      <c r="C349" s="208">
        <v>4</v>
      </c>
      <c r="D349" s="208">
        <v>409197</v>
      </c>
      <c r="E349" s="202"/>
      <c r="F349" s="660" t="str">
        <f>'SCH_C2.1 - Base Period'!F355</f>
        <v xml:space="preserve">  Current State Inc Tax - Util</v>
      </c>
      <c r="G349" s="215">
        <f>VLOOKUP(B349,FPERIOD,5,FALSE)</f>
        <v>0</v>
      </c>
      <c r="H349" s="717">
        <f>VLOOKUP(K349,ALLOCTABLE,2)</f>
        <v>100</v>
      </c>
      <c r="I349" s="202"/>
      <c r="J349" s="215">
        <f>ROUND(G349*(H349/100),0)</f>
        <v>0</v>
      </c>
      <c r="K349" s="208" t="s">
        <v>428</v>
      </c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</row>
    <row r="350" spans="1:23">
      <c r="A350" s="202"/>
      <c r="B350" s="202"/>
      <c r="C350" s="208">
        <v>5</v>
      </c>
      <c r="D350" s="202"/>
      <c r="E350" s="202"/>
      <c r="F350" s="660" t="s">
        <v>1658</v>
      </c>
      <c r="G350" s="2138">
        <f>SUM(G347:G349)</f>
        <v>-437041</v>
      </c>
      <c r="H350" s="202"/>
      <c r="I350" s="202"/>
      <c r="J350" s="2138">
        <f>SUM(J347:J349)</f>
        <v>-437041</v>
      </c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</row>
    <row r="351" spans="1:23">
      <c r="A351" s="202"/>
      <c r="B351" s="202"/>
      <c r="C351" s="208">
        <v>6</v>
      </c>
      <c r="D351" s="202"/>
      <c r="E351" s="202"/>
      <c r="F351" s="202"/>
      <c r="G351" s="206"/>
      <c r="H351" s="202"/>
      <c r="I351" s="202"/>
      <c r="J351" s="206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</row>
    <row r="352" spans="1:23">
      <c r="A352" s="202"/>
      <c r="B352" s="202"/>
      <c r="C352" s="208">
        <v>7</v>
      </c>
      <c r="D352" s="202"/>
      <c r="E352" s="202"/>
      <c r="F352" s="204" t="s">
        <v>495</v>
      </c>
      <c r="G352" s="208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</row>
    <row r="353" spans="1:23">
      <c r="A353" s="202"/>
      <c r="B353" s="202">
        <v>409190</v>
      </c>
      <c r="C353" s="208">
        <v>8</v>
      </c>
      <c r="D353" s="208">
        <v>409190</v>
      </c>
      <c r="E353" s="202"/>
      <c r="F353" s="660" t="str">
        <f>'SCH_C2.1 - Base Period'!F359</f>
        <v xml:space="preserve">  Normal &amp; Surtax</v>
      </c>
      <c r="G353" s="215">
        <f t="shared" ref="G353" si="41">ROUND(VLOOKUP(B353,FPERIOD,5,FALSE),0)</f>
        <v>1614652</v>
      </c>
      <c r="H353" s="212" t="s">
        <v>1655</v>
      </c>
      <c r="I353" s="202"/>
      <c r="J353" s="215">
        <f>ROUND(G353,0)</f>
        <v>1614652</v>
      </c>
      <c r="K353" s="208" t="s">
        <v>428</v>
      </c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</row>
    <row r="354" spans="1:23">
      <c r="A354" s="202"/>
      <c r="B354" s="202">
        <v>409191</v>
      </c>
      <c r="C354" s="208">
        <v>9</v>
      </c>
      <c r="D354" s="208">
        <v>409191</v>
      </c>
      <c r="E354" s="202"/>
      <c r="F354" s="660" t="str">
        <f>'SCH_C2.1 - Base Period'!F360</f>
        <v xml:space="preserve">  FIT - Prior Year</v>
      </c>
      <c r="G354" s="215">
        <f>VLOOKUP(B354,FPERIOD,5,FALSE)</f>
        <v>0</v>
      </c>
      <c r="H354" s="717">
        <f>VLOOKUP(K354,ALLOCTABLE,2)</f>
        <v>100</v>
      </c>
      <c r="I354" s="202"/>
      <c r="J354" s="215">
        <f>ROUND(G354*(H354/100),0)</f>
        <v>0</v>
      </c>
      <c r="K354" s="208" t="s">
        <v>428</v>
      </c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</row>
    <row r="355" spans="1:23">
      <c r="A355" s="202"/>
      <c r="B355" s="202">
        <v>409194</v>
      </c>
      <c r="C355" s="208">
        <v>10</v>
      </c>
      <c r="D355" s="208">
        <v>409194</v>
      </c>
      <c r="E355" s="202"/>
      <c r="F355" s="660" t="str">
        <f>'SCH_C2.1 - Base Period'!F361</f>
        <v xml:space="preserve">  Current FIT - Prior Year Audit</v>
      </c>
      <c r="G355" s="215">
        <f>VLOOKUP(B355,FPERIOD,5,FALSE)</f>
        <v>0</v>
      </c>
      <c r="H355" s="717">
        <f>VLOOKUP(K355,ALLOCTABLE,2)</f>
        <v>100</v>
      </c>
      <c r="I355" s="202"/>
      <c r="J355" s="215">
        <f>ROUND(G355*(H355/100),0)</f>
        <v>0</v>
      </c>
      <c r="K355" s="208" t="s">
        <v>428</v>
      </c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</row>
    <row r="356" spans="1:23">
      <c r="A356" s="202"/>
      <c r="B356" s="202">
        <v>409195</v>
      </c>
      <c r="C356" s="208">
        <v>11</v>
      </c>
      <c r="D356" s="208">
        <v>409195</v>
      </c>
      <c r="E356" s="202"/>
      <c r="F356" s="660" t="str">
        <f>'SCH_C2.1 - Base Period'!F362</f>
        <v xml:space="preserve">  UTP Tax Expense - Prior Year</v>
      </c>
      <c r="G356" s="215">
        <f>VLOOKUP(B356,FPERIOD,5,FALSE)</f>
        <v>0</v>
      </c>
      <c r="H356" s="717">
        <f>VLOOKUP(K356,ALLOCTABLE,2)</f>
        <v>100</v>
      </c>
      <c r="I356" s="202"/>
      <c r="J356" s="215">
        <f>ROUND(G356*(H356/100),0)</f>
        <v>0</v>
      </c>
      <c r="K356" s="208" t="s">
        <v>428</v>
      </c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</row>
    <row r="357" spans="1:23">
      <c r="A357" s="202"/>
      <c r="B357" s="202"/>
      <c r="C357" s="208">
        <v>12</v>
      </c>
      <c r="D357" s="202"/>
      <c r="E357" s="202"/>
      <c r="F357" s="202" t="s">
        <v>1663</v>
      </c>
      <c r="G357" s="2138">
        <f>SUM(G353:G356)</f>
        <v>1614652</v>
      </c>
      <c r="H357" s="202"/>
      <c r="I357" s="202"/>
      <c r="J357" s="2138">
        <f>SUM(J353:J356)</f>
        <v>1614652</v>
      </c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</row>
    <row r="358" spans="1:23">
      <c r="A358" s="202"/>
      <c r="B358" s="202"/>
      <c r="C358" s="208">
        <v>13</v>
      </c>
      <c r="D358" s="202"/>
      <c r="E358" s="202"/>
      <c r="F358" s="202"/>
      <c r="G358" s="206"/>
      <c r="H358" s="202"/>
      <c r="I358" s="202"/>
      <c r="J358" s="206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</row>
    <row r="359" spans="1:23">
      <c r="A359" s="202"/>
      <c r="B359" s="202"/>
      <c r="C359" s="208">
        <v>14</v>
      </c>
      <c r="D359" s="202"/>
      <c r="E359" s="202"/>
      <c r="F359" s="204" t="s">
        <v>1664</v>
      </c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</row>
    <row r="360" spans="1:23">
      <c r="A360" s="202"/>
      <c r="B360" s="202">
        <v>410105</v>
      </c>
      <c r="C360" s="208">
        <v>15</v>
      </c>
      <c r="D360" s="208" t="s">
        <v>405</v>
      </c>
      <c r="E360" s="202"/>
      <c r="F360" s="660" t="str">
        <f>'SCH_C2.1 - Base Period'!F366</f>
        <v>Deferrals - Federal</v>
      </c>
      <c r="G360" s="215">
        <f>VLOOKUP(A361,FPERIOD,5,FALSE)+VLOOKUP(B360,FPERIOD,5,FALSE)</f>
        <v>2173281</v>
      </c>
      <c r="H360" s="717">
        <f>VLOOKUP(K360,ALLOCTABLE,2)</f>
        <v>100</v>
      </c>
      <c r="I360" s="202"/>
      <c r="J360" s="215">
        <f>ROUND(G360*(H360/100),0)</f>
        <v>2173281</v>
      </c>
      <c r="K360" s="208" t="s">
        <v>428</v>
      </c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</row>
    <row r="361" spans="1:23">
      <c r="A361" s="202">
        <v>410100</v>
      </c>
      <c r="B361" s="202">
        <v>410106</v>
      </c>
      <c r="C361" s="208">
        <v>16</v>
      </c>
      <c r="D361" s="208" t="s">
        <v>405</v>
      </c>
      <c r="E361" s="202"/>
      <c r="F361" s="660" t="str">
        <f>'SCH_C2.1 - Base Period'!F367</f>
        <v>Deferrals - State</v>
      </c>
      <c r="G361" s="215">
        <f>VLOOKUP(A362,FPERIOD,5,FALSE)+VLOOKUP(B361,FPERIOD,5,FALSE)</f>
        <v>1569720</v>
      </c>
      <c r="H361" s="717">
        <f>VLOOKUP(K361,ALLOCTABLE,2)</f>
        <v>100</v>
      </c>
      <c r="I361" s="202"/>
      <c r="J361" s="215">
        <f>ROUND(G361*(H361/100),0)</f>
        <v>1569720</v>
      </c>
      <c r="K361" s="208" t="s">
        <v>428</v>
      </c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</row>
    <row r="362" spans="1:23">
      <c r="A362" s="202">
        <v>410102</v>
      </c>
      <c r="B362" s="202">
        <v>411102</v>
      </c>
      <c r="C362" s="208">
        <v>17</v>
      </c>
      <c r="D362" s="208" t="s">
        <v>405</v>
      </c>
      <c r="E362" s="202"/>
      <c r="F362" s="660" t="str">
        <f>'SCH_C2.1 - Base Period'!F368</f>
        <v>Writebacks - Federal</v>
      </c>
      <c r="G362" s="215">
        <f>VLOOKUP(A363,FPERIOD,5,FALSE)+VLOOKUP(B362,FPERIOD,5,FALSE)</f>
        <v>0</v>
      </c>
      <c r="H362" s="717">
        <f>VLOOKUP(K362,ALLOCTABLE,2)</f>
        <v>100</v>
      </c>
      <c r="I362" s="202"/>
      <c r="J362" s="215">
        <f>ROUND(G362*(H362/100),0)</f>
        <v>0</v>
      </c>
      <c r="K362" s="208" t="s">
        <v>428</v>
      </c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</row>
    <row r="363" spans="1:23">
      <c r="A363" s="202">
        <v>411100</v>
      </c>
      <c r="B363" s="202">
        <v>411103</v>
      </c>
      <c r="C363" s="208">
        <v>18</v>
      </c>
      <c r="D363" s="208" t="s">
        <v>405</v>
      </c>
      <c r="E363" s="202"/>
      <c r="F363" s="660" t="str">
        <f>'SCH_C2.1 - Base Period'!F369</f>
        <v>Writebacks - State</v>
      </c>
      <c r="G363" s="215">
        <f>VLOOKUP(A364,FPERIOD,5,FALSE)+VLOOKUP(B363,FPERIOD,5,FALSE)</f>
        <v>0</v>
      </c>
      <c r="H363" s="717">
        <f>VLOOKUP(K363,ALLOCTABLE,2)</f>
        <v>100</v>
      </c>
      <c r="I363" s="202"/>
      <c r="J363" s="215">
        <f>ROUND(G363*(H363/100),0)</f>
        <v>0</v>
      </c>
      <c r="K363" s="208" t="s">
        <v>428</v>
      </c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</row>
    <row r="364" spans="1:23">
      <c r="A364" s="202">
        <v>411101</v>
      </c>
      <c r="B364" s="202"/>
      <c r="C364" s="208">
        <v>19</v>
      </c>
      <c r="D364" s="202"/>
      <c r="E364" s="202"/>
      <c r="F364" s="660" t="s">
        <v>1669</v>
      </c>
      <c r="G364" s="2138">
        <f>SUM(G360:G363)</f>
        <v>3743001</v>
      </c>
      <c r="H364" s="215"/>
      <c r="I364" s="215"/>
      <c r="J364" s="2138">
        <f>SUM(J360:J363)</f>
        <v>3743001</v>
      </c>
      <c r="K364" s="215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</row>
    <row r="365" spans="1:23">
      <c r="A365" s="202"/>
      <c r="B365" s="202"/>
      <c r="C365" s="208">
        <v>20</v>
      </c>
      <c r="D365" s="202"/>
      <c r="E365" s="202"/>
      <c r="F365" s="660"/>
      <c r="G365" s="215"/>
      <c r="H365" s="215"/>
      <c r="I365" s="215"/>
      <c r="J365" s="215"/>
      <c r="K365" s="215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</row>
    <row r="366" spans="1:23">
      <c r="A366" s="202"/>
      <c r="B366" s="202">
        <v>411410</v>
      </c>
      <c r="C366" s="208">
        <v>21</v>
      </c>
      <c r="D366" s="208">
        <v>411065</v>
      </c>
      <c r="E366" s="202"/>
      <c r="F366" s="660" t="str">
        <f>'SCH_C2.1 - Base Period'!F372</f>
        <v>Amortization of ITC</v>
      </c>
      <c r="G366" s="215">
        <f>ROUND(VLOOKUP(B366,FPERIOD,5,FALSE),0)</f>
        <v>0</v>
      </c>
      <c r="H366" s="717">
        <f>VLOOKUP(K366,ALLOCTABLE,2)</f>
        <v>100</v>
      </c>
      <c r="I366" s="202"/>
      <c r="J366" s="215">
        <f>ROUND(G366*(H366/100),0)</f>
        <v>0</v>
      </c>
      <c r="K366" s="208" t="s">
        <v>428</v>
      </c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</row>
    <row r="367" spans="1:23">
      <c r="A367" s="202"/>
      <c r="B367" s="202"/>
      <c r="C367" s="208">
        <v>22</v>
      </c>
      <c r="D367" s="208"/>
      <c r="E367" s="202"/>
      <c r="F367" s="660"/>
      <c r="G367" s="215"/>
      <c r="H367" s="717"/>
      <c r="I367" s="202"/>
      <c r="J367" s="215"/>
      <c r="K367" s="208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</row>
    <row r="368" spans="1:23">
      <c r="A368" s="202"/>
      <c r="B368" s="202"/>
      <c r="C368" s="208">
        <v>23</v>
      </c>
      <c r="D368" s="202"/>
      <c r="E368" s="202"/>
      <c r="F368" s="660" t="s">
        <v>1671</v>
      </c>
      <c r="G368" s="2138">
        <f>G350+G357+G364+G366</f>
        <v>4920612</v>
      </c>
      <c r="H368" s="215"/>
      <c r="I368" s="215"/>
      <c r="J368" s="2138">
        <f>J350+J357+J364+J366</f>
        <v>4920612</v>
      </c>
      <c r="K368" s="215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</row>
    <row r="369" spans="1:23">
      <c r="A369" s="202"/>
      <c r="B369" s="202"/>
      <c r="C369" s="208">
        <v>24</v>
      </c>
      <c r="D369" s="202"/>
      <c r="E369" s="202"/>
      <c r="F369" s="660" t="s">
        <v>1672</v>
      </c>
      <c r="G369" s="2138">
        <f>G281+G284+G293+G329+G368</f>
        <v>421364348</v>
      </c>
      <c r="H369" s="215"/>
      <c r="I369" s="215"/>
      <c r="J369" s="2138">
        <f>J281+J284+J293+J329+J368</f>
        <v>421364348</v>
      </c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</row>
    <row r="370" spans="1:23" ht="13.8" thickBot="1">
      <c r="A370" s="202"/>
      <c r="B370" s="202"/>
      <c r="C370" s="208">
        <v>25</v>
      </c>
      <c r="D370" s="202"/>
      <c r="E370" s="202"/>
      <c r="F370" s="660" t="s">
        <v>1673</v>
      </c>
      <c r="G370" s="1952">
        <f>G47-G369</f>
        <v>61188629</v>
      </c>
      <c r="H370" s="215"/>
      <c r="I370" s="215"/>
      <c r="J370" s="1952">
        <f>J47-J369</f>
        <v>61188629</v>
      </c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</row>
    <row r="371" spans="1:23" ht="13.8" thickTop="1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</row>
    <row r="372" spans="1:23">
      <c r="A372" s="202"/>
      <c r="B372" s="202"/>
      <c r="C372" s="202"/>
      <c r="D372" s="202"/>
      <c r="E372" s="202"/>
      <c r="F372" s="202"/>
      <c r="G372" s="215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</row>
    <row r="373" spans="1:23">
      <c r="A373" s="202"/>
      <c r="B373" s="202"/>
      <c r="C373" s="202"/>
      <c r="D373" s="202"/>
      <c r="E373" s="202"/>
      <c r="F373" s="202"/>
      <c r="G373" s="215"/>
      <c r="H373" s="202"/>
      <c r="I373" s="202"/>
      <c r="J373" s="206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</row>
    <row r="374" spans="1:23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</row>
    <row r="375" spans="1:23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</row>
    <row r="376" spans="1:23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</row>
    <row r="377" spans="1:23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</row>
    <row r="378" spans="1:23">
      <c r="A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</row>
  </sheetData>
  <phoneticPr fontId="19" type="noConversion"/>
  <pageMargins left="1" right="0.75" top="1" bottom="0" header="0" footer="0"/>
  <pageSetup scale="55" orientation="portrait" r:id="rId1"/>
  <headerFooter alignWithMargins="0"/>
  <rowBreaks count="4" manualBreakCount="4">
    <brk id="134" max="65535" man="1"/>
    <brk id="183" max="65535" man="1"/>
    <brk id="277" max="65535" man="1"/>
    <brk id="365" max="65535" man="1"/>
  </rowBreaks>
  <colBreaks count="1" manualBreakCount="1">
    <brk id="2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2">
    <tabColor theme="7" tint="-0.249977111117893"/>
    <pageSetUpPr fitToPage="1"/>
  </sheetPr>
  <dimension ref="A1:AU559"/>
  <sheetViews>
    <sheetView topLeftCell="O432" zoomScale="90" zoomScaleNormal="90" workbookViewId="0">
      <selection activeCell="S13" sqref="S13"/>
    </sheetView>
  </sheetViews>
  <sheetFormatPr defaultColWidth="8" defaultRowHeight="13.2"/>
  <cols>
    <col min="1" max="1" width="7.5546875" customWidth="1"/>
    <col min="2" max="2" width="1" customWidth="1"/>
    <col min="3" max="3" width="50" customWidth="1"/>
    <col min="4" max="4" width="1.44140625" customWidth="1"/>
    <col min="5" max="5" width="20.5546875" customWidth="1"/>
    <col min="6" max="6" width="0.5546875" customWidth="1"/>
    <col min="7" max="7" width="19.44140625" customWidth="1"/>
    <col min="8" max="8" width="0.5546875" customWidth="1"/>
    <col min="9" max="9" width="19.5546875" customWidth="1"/>
    <col min="10" max="10" width="0.5546875" customWidth="1"/>
    <col min="11" max="11" width="19.5546875" customWidth="1"/>
    <col min="12" max="12" width="0.5546875" customWidth="1"/>
    <col min="13" max="13" width="19.44140625" customWidth="1"/>
    <col min="14" max="14" width="0.5546875" customWidth="1"/>
    <col min="15" max="15" width="21" customWidth="1"/>
    <col min="16" max="17" width="7.44140625" customWidth="1"/>
    <col min="18" max="18" width="2.5546875" customWidth="1"/>
    <col min="19" max="19" width="33.5546875" customWidth="1"/>
    <col min="20" max="20" width="1.5546875" customWidth="1"/>
    <col min="21" max="21" width="18.5546875" customWidth="1"/>
    <col min="22" max="22" width="0.5546875" customWidth="1"/>
    <col min="23" max="23" width="15.5546875" customWidth="1"/>
    <col min="24" max="24" width="0.5546875" customWidth="1"/>
    <col min="25" max="25" width="15.5546875" customWidth="1"/>
    <col min="26" max="26" width="0.44140625" customWidth="1"/>
    <col min="27" max="27" width="15.44140625" customWidth="1"/>
    <col min="28" max="28" width="0.5546875" customWidth="1"/>
    <col min="29" max="29" width="13.5546875" customWidth="1"/>
    <col min="30" max="30" width="0.5546875" customWidth="1"/>
    <col min="31" max="31" width="15.44140625" customWidth="1"/>
    <col min="32" max="32" width="8" customWidth="1"/>
    <col min="33" max="33" width="7.44140625" customWidth="1"/>
    <col min="34" max="34" width="1.5546875" customWidth="1"/>
    <col min="35" max="35" width="40.44140625" customWidth="1"/>
    <col min="36" max="36" width="1.5546875" customWidth="1"/>
    <col min="37" max="37" width="18.44140625" customWidth="1"/>
    <col min="38" max="38" width="4.5546875" customWidth="1"/>
    <col min="39" max="39" width="20.5546875" customWidth="1"/>
    <col min="40" max="40" width="6.44140625" customWidth="1"/>
    <col min="41" max="41" width="23.5546875" customWidth="1"/>
    <col min="42" max="42" width="8" customWidth="1"/>
    <col min="43" max="43" width="15.5546875" customWidth="1"/>
    <col min="44" max="44" width="17.5546875" customWidth="1"/>
    <col min="45" max="45" width="14" customWidth="1"/>
    <col min="46" max="46" width="21.5546875" customWidth="1"/>
  </cols>
  <sheetData>
    <row r="1" spans="1:47">
      <c r="A1" s="228" t="str">
        <f>COMPANY</f>
        <v>DUKE ENERGY KENTUCKY, INC.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29"/>
      <c r="AO1" s="229"/>
      <c r="AP1" s="229"/>
      <c r="AQ1" s="229"/>
      <c r="AR1" s="229"/>
      <c r="AS1" s="229"/>
      <c r="AT1" s="229"/>
      <c r="AU1" s="229"/>
    </row>
    <row r="2" spans="1:47">
      <c r="A2" s="228" t="str">
        <f>CASE</f>
        <v>CASE NO. 2024-00354</v>
      </c>
      <c r="B2" s="228"/>
      <c r="C2" s="228"/>
      <c r="D2" s="228"/>
      <c r="E2" s="230"/>
      <c r="F2" s="230"/>
      <c r="G2" s="228"/>
      <c r="H2" s="228"/>
      <c r="I2" s="228"/>
      <c r="J2" s="228"/>
      <c r="K2" s="228"/>
      <c r="L2" s="228"/>
      <c r="M2" s="228"/>
      <c r="N2" s="228"/>
      <c r="O2" s="228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29"/>
      <c r="AO2" s="229"/>
      <c r="AP2" s="229"/>
      <c r="AQ2" s="229"/>
      <c r="AR2" s="229"/>
      <c r="AS2" s="229"/>
      <c r="AT2" s="229"/>
      <c r="AU2" s="229"/>
    </row>
    <row r="3" spans="1:47">
      <c r="A3" s="231" t="str">
        <f>$AG$500</f>
        <v>SUMMARY OF UTILITY JURISDICTIONAL ADJUSTMENTS TO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</row>
    <row r="4" spans="1:47">
      <c r="A4" s="231" t="str">
        <f>$AG$501</f>
        <v>OPERATING INCOME BY MAJOR ACCOUNTS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29"/>
      <c r="AO4" s="229"/>
      <c r="AP4" s="229"/>
      <c r="AQ4" s="229"/>
      <c r="AR4" s="229"/>
      <c r="AS4" s="229"/>
      <c r="AT4" s="229"/>
      <c r="AU4" s="229"/>
    </row>
    <row r="5" spans="1:47">
      <c r="A5" s="232" t="s">
        <v>1724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29"/>
      <c r="AR5" s="229"/>
      <c r="AS5" s="229"/>
      <c r="AT5" s="229"/>
      <c r="AU5" s="229"/>
    </row>
    <row r="6" spans="1:47">
      <c r="A6" s="228" t="str">
        <f>PERIOD</f>
        <v>FOR THE TWELVE MONTHS ENDED FEBRUARY 28, 2025</v>
      </c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</row>
    <row r="7" spans="1:47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</row>
    <row r="8" spans="1:47">
      <c r="A8" s="229" t="str">
        <f>Data</f>
        <v>DATA: "X" BASE PERIOD   FORECASTED PERIOD</v>
      </c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33" t="s">
        <v>1725</v>
      </c>
      <c r="N8" s="234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</row>
    <row r="9" spans="1:47">
      <c r="A9" s="229" t="str">
        <f>Type</f>
        <v xml:space="preserve">TYPE OF FILING:  "X" ORIGINAL   UPDATED    REVISED  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34" t="s">
        <v>1726</v>
      </c>
      <c r="N9" s="234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  <c r="AU9" s="229"/>
    </row>
    <row r="10" spans="1:47">
      <c r="A10" s="234" t="s">
        <v>467</v>
      </c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33" t="s">
        <v>1727</v>
      </c>
      <c r="N10" s="234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229"/>
      <c r="AL10" s="229"/>
      <c r="AM10" s="229"/>
      <c r="AN10" s="229"/>
      <c r="AO10" s="229"/>
      <c r="AP10" s="229"/>
      <c r="AQ10" s="229"/>
      <c r="AR10" s="229"/>
      <c r="AS10" s="229"/>
      <c r="AT10" s="229"/>
      <c r="AU10" s="229"/>
    </row>
    <row r="11" spans="1:47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34" t="str">
        <f>"          "&amp;_WIT1</f>
        <v xml:space="preserve">          L. D. STEINKUHL</v>
      </c>
      <c r="N11" s="234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9"/>
      <c r="AQ11" s="229"/>
      <c r="AR11" s="229"/>
      <c r="AS11" s="229"/>
      <c r="AT11" s="229"/>
      <c r="AU11" s="229"/>
    </row>
    <row r="12" spans="1:47">
      <c r="A12" s="1502"/>
      <c r="B12" s="1502"/>
      <c r="C12" s="1502"/>
      <c r="D12" s="1502"/>
      <c r="E12" s="1502"/>
      <c r="F12" s="1502"/>
      <c r="G12" s="1502"/>
      <c r="H12" s="1502"/>
      <c r="I12" s="1502"/>
      <c r="J12" s="1502"/>
      <c r="K12" s="1502"/>
      <c r="L12" s="1502"/>
      <c r="M12" s="1502"/>
      <c r="N12" s="1502"/>
      <c r="O12" s="1502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</row>
    <row r="13" spans="1:47">
      <c r="A13" s="229"/>
      <c r="B13" s="229"/>
      <c r="C13" s="229"/>
      <c r="D13" s="229"/>
      <c r="E13" s="240" t="s">
        <v>972</v>
      </c>
      <c r="F13" s="229"/>
      <c r="G13" s="235"/>
      <c r="H13" s="235"/>
      <c r="I13" s="235" t="s">
        <v>1728</v>
      </c>
      <c r="J13" s="240"/>
      <c r="K13" s="240" t="s">
        <v>1728</v>
      </c>
      <c r="L13" s="240"/>
      <c r="M13" s="240"/>
      <c r="N13" s="240"/>
      <c r="O13" s="240" t="s">
        <v>1728</v>
      </c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  <c r="AN13" s="229"/>
      <c r="AO13" s="229"/>
      <c r="AP13" s="229"/>
      <c r="AQ13" s="229"/>
      <c r="AR13" s="229"/>
      <c r="AS13" s="229"/>
      <c r="AT13" s="229"/>
      <c r="AU13" s="229"/>
    </row>
    <row r="14" spans="1:47">
      <c r="A14" s="240" t="s">
        <v>471</v>
      </c>
      <c r="B14" s="229"/>
      <c r="C14" s="229"/>
      <c r="D14" s="229"/>
      <c r="E14" s="240" t="s">
        <v>1729</v>
      </c>
      <c r="F14" s="229"/>
      <c r="G14" s="235" t="s">
        <v>1728</v>
      </c>
      <c r="H14" s="235"/>
      <c r="I14" s="236" t="s">
        <v>1730</v>
      </c>
      <c r="J14" s="236"/>
      <c r="K14" s="240" t="s">
        <v>413</v>
      </c>
      <c r="L14" s="240"/>
      <c r="M14" s="240" t="s">
        <v>1731</v>
      </c>
      <c r="N14" s="240"/>
      <c r="O14" s="240" t="s">
        <v>1732</v>
      </c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229"/>
      <c r="AO14" s="229"/>
      <c r="AP14" s="229"/>
      <c r="AQ14" s="229"/>
      <c r="AR14" s="229"/>
      <c r="AS14" s="229"/>
      <c r="AT14" s="229"/>
      <c r="AU14" s="229"/>
    </row>
    <row r="15" spans="1:47">
      <c r="A15" s="1503" t="s">
        <v>533</v>
      </c>
      <c r="B15" s="1504"/>
      <c r="C15" s="1503" t="s">
        <v>1733</v>
      </c>
      <c r="D15" s="1504"/>
      <c r="E15" s="1503" t="s">
        <v>252</v>
      </c>
      <c r="F15" s="229"/>
      <c r="G15" s="1503" t="s">
        <v>1517</v>
      </c>
      <c r="H15" s="1503"/>
      <c r="I15" s="1822" t="s">
        <v>1734</v>
      </c>
      <c r="J15" s="1822"/>
      <c r="K15" s="1503" t="s">
        <v>1735</v>
      </c>
      <c r="L15" s="1503"/>
      <c r="M15" s="1503"/>
      <c r="N15" s="1503"/>
      <c r="O15" s="1503" t="s">
        <v>1736</v>
      </c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229"/>
      <c r="AO15" s="229"/>
      <c r="AP15" s="229"/>
      <c r="AQ15" s="229"/>
      <c r="AR15" s="229"/>
      <c r="AS15" s="229"/>
      <c r="AT15" s="229"/>
      <c r="AU15" s="229"/>
    </row>
    <row r="16" spans="1:47">
      <c r="A16" s="1504"/>
      <c r="B16" s="1504"/>
      <c r="C16" s="1505" t="s">
        <v>1737</v>
      </c>
      <c r="D16" s="1504"/>
      <c r="E16" s="1503" t="s">
        <v>1738</v>
      </c>
      <c r="F16" s="2139"/>
      <c r="G16" s="1503" t="s">
        <v>1411</v>
      </c>
      <c r="H16" s="1503"/>
      <c r="I16" s="1503" t="s">
        <v>1419</v>
      </c>
      <c r="J16" s="1503"/>
      <c r="K16" s="1503" t="s">
        <v>1420</v>
      </c>
      <c r="L16" s="1503"/>
      <c r="M16" s="1503" t="s">
        <v>1739</v>
      </c>
      <c r="N16" s="1503"/>
      <c r="O16" s="1503" t="s">
        <v>1421</v>
      </c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  <c r="AD16" s="229"/>
      <c r="AE16" s="229"/>
      <c r="AF16" s="229"/>
      <c r="AG16" s="229"/>
      <c r="AH16" s="229"/>
      <c r="AI16" s="229"/>
      <c r="AJ16" s="229"/>
      <c r="AK16" s="229"/>
      <c r="AL16" s="229"/>
      <c r="AM16" s="229"/>
      <c r="AN16" s="229"/>
      <c r="AO16" s="229"/>
      <c r="AP16" s="229"/>
      <c r="AQ16" s="229"/>
      <c r="AR16" s="229"/>
      <c r="AS16" s="229"/>
      <c r="AT16" s="229"/>
      <c r="AU16" s="229"/>
    </row>
    <row r="17" spans="1:47">
      <c r="A17" s="240">
        <v>1</v>
      </c>
      <c r="B17" s="237" t="s">
        <v>451</v>
      </c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29"/>
      <c r="AH17" s="229"/>
      <c r="AI17" s="229"/>
      <c r="AJ17" s="229"/>
      <c r="AK17" s="229"/>
      <c r="AL17" s="229"/>
      <c r="AM17" s="229"/>
      <c r="AN17" s="229"/>
      <c r="AO17" s="229"/>
      <c r="AP17" s="229"/>
      <c r="AQ17" s="229"/>
      <c r="AR17" s="229"/>
      <c r="AS17" s="229"/>
      <c r="AT17" s="229"/>
      <c r="AU17" s="229"/>
    </row>
    <row r="18" spans="1:47">
      <c r="A18" s="240">
        <v>2</v>
      </c>
      <c r="B18" s="229"/>
      <c r="C18" s="234" t="s">
        <v>1740</v>
      </c>
      <c r="D18" s="229"/>
      <c r="E18" s="238">
        <f>SUM(G18:O18)+SUM(E80:O80)+SUM(E142:O142)</f>
        <v>-21828073</v>
      </c>
      <c r="F18" s="229"/>
      <c r="G18" s="238">
        <f>SCH_C2!F17</f>
        <v>-21828073</v>
      </c>
      <c r="H18" s="238"/>
      <c r="I18" s="238"/>
      <c r="J18" s="238"/>
      <c r="K18" s="238"/>
      <c r="L18" s="238"/>
      <c r="M18" s="238"/>
      <c r="N18" s="238"/>
      <c r="O18" s="238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29"/>
      <c r="AE18" s="229"/>
      <c r="AF18" s="229"/>
      <c r="AG18" s="229"/>
      <c r="AH18" s="229"/>
      <c r="AI18" s="229"/>
      <c r="AJ18" s="229"/>
      <c r="AK18" s="229"/>
      <c r="AL18" s="229"/>
      <c r="AM18" s="229"/>
      <c r="AN18" s="229"/>
      <c r="AO18" s="229"/>
      <c r="AP18" s="229"/>
      <c r="AQ18" s="229"/>
      <c r="AR18" s="229"/>
      <c r="AS18" s="229"/>
      <c r="AT18" s="229"/>
      <c r="AU18" s="229"/>
    </row>
    <row r="19" spans="1:47">
      <c r="A19" s="240">
        <v>3</v>
      </c>
      <c r="B19" s="229"/>
      <c r="C19" s="234" t="s">
        <v>1741</v>
      </c>
      <c r="D19" s="229"/>
      <c r="E19" s="238">
        <f>SUM(G19:O19)+SUM(E81:O81)+SUM(E143:O143)</f>
        <v>-2719333</v>
      </c>
      <c r="F19" s="229"/>
      <c r="G19" s="238">
        <f>SCH_C2!F18</f>
        <v>-2719333</v>
      </c>
      <c r="H19" s="238"/>
      <c r="I19" s="238"/>
      <c r="J19" s="238"/>
      <c r="K19" s="238"/>
      <c r="L19" s="238"/>
      <c r="M19" s="238"/>
      <c r="N19" s="238"/>
      <c r="O19" s="238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</row>
    <row r="20" spans="1:47">
      <c r="A20" s="240">
        <v>4</v>
      </c>
      <c r="B20" s="229"/>
      <c r="C20" s="234" t="s">
        <v>1742</v>
      </c>
      <c r="D20" s="229"/>
      <c r="E20" s="238">
        <f>SUM(G20:O20)+SUM(E82:O82)+SUM(E144:O144)</f>
        <v>3335236</v>
      </c>
      <c r="F20" s="229"/>
      <c r="G20" s="238">
        <f>SCH_C2!F19</f>
        <v>3335236</v>
      </c>
      <c r="H20" s="238"/>
      <c r="I20" s="238"/>
      <c r="J20" s="238"/>
      <c r="K20" s="238"/>
      <c r="L20" s="238"/>
      <c r="M20" s="238"/>
      <c r="N20" s="238"/>
      <c r="O20" s="238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29"/>
      <c r="AE20" s="229"/>
      <c r="AF20" s="229"/>
      <c r="AG20" s="229"/>
      <c r="AH20" s="229"/>
      <c r="AI20" s="229"/>
      <c r="AJ20" s="229"/>
      <c r="AK20" s="229"/>
      <c r="AL20" s="229"/>
      <c r="AM20" s="229"/>
      <c r="AN20" s="229"/>
      <c r="AO20" s="229"/>
      <c r="AP20" s="229"/>
      <c r="AQ20" s="229"/>
      <c r="AR20" s="229"/>
      <c r="AS20" s="229"/>
      <c r="AT20" s="229"/>
      <c r="AU20" s="229"/>
    </row>
    <row r="21" spans="1:47">
      <c r="A21" s="240">
        <v>5</v>
      </c>
      <c r="B21" s="229"/>
      <c r="C21" s="234" t="s">
        <v>1743</v>
      </c>
      <c r="D21" s="229"/>
      <c r="E21" s="2140">
        <f>SUM(E18:E20)</f>
        <v>-21212170</v>
      </c>
      <c r="F21" s="229"/>
      <c r="G21" s="2140">
        <f>SUM(G18:G20)</f>
        <v>-21212170</v>
      </c>
      <c r="H21" s="238"/>
      <c r="I21" s="2140">
        <f>SUM(I18:I20)</f>
        <v>0</v>
      </c>
      <c r="J21" s="238"/>
      <c r="K21" s="2140">
        <f>SUM(K18:K20)</f>
        <v>0</v>
      </c>
      <c r="L21" s="238"/>
      <c r="M21" s="2140">
        <f>SUM(M18:M20)</f>
        <v>0</v>
      </c>
      <c r="N21" s="238"/>
      <c r="O21" s="2140">
        <f>SUM(O18:O20)</f>
        <v>0</v>
      </c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9"/>
      <c r="AQ21" s="229"/>
      <c r="AR21" s="229"/>
      <c r="AS21" s="229"/>
      <c r="AT21" s="229"/>
      <c r="AU21" s="229"/>
    </row>
    <row r="22" spans="1:47">
      <c r="A22" s="240">
        <v>6</v>
      </c>
      <c r="B22" s="229"/>
      <c r="C22" s="229"/>
      <c r="D22" s="229"/>
      <c r="E22" s="239"/>
      <c r="F22" s="229"/>
      <c r="G22" s="239"/>
      <c r="H22" s="239"/>
      <c r="I22" s="239"/>
      <c r="J22" s="239"/>
      <c r="K22" s="239"/>
      <c r="L22" s="239"/>
      <c r="M22" s="239"/>
      <c r="N22" s="239"/>
      <c r="O22" s="23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</row>
    <row r="23" spans="1:47">
      <c r="A23" s="240">
        <v>7</v>
      </c>
      <c r="B23" s="237" t="s">
        <v>404</v>
      </c>
      <c r="C23" s="229"/>
      <c r="D23" s="229"/>
      <c r="E23" s="1752" t="str">
        <f>IF(SUM(E24:E25,E42,E47,E52)=0,"","DATA ENTERED IN WRONG LINE")</f>
        <v/>
      </c>
      <c r="F23" s="1752"/>
      <c r="G23" s="1752" t="str">
        <f>IF(SUM(G24:G25,G42,G47,G52)=0,"","DATA ENTERED IN WRONG LINE")</f>
        <v/>
      </c>
      <c r="H23" s="1752"/>
      <c r="I23" s="1752" t="str">
        <f>IF(SUM(I24:I25,I42,I47,I52)=0,"","DATA ENTERED IN WRONG LINE")</f>
        <v/>
      </c>
      <c r="J23" s="1752"/>
      <c r="K23" s="1752" t="str">
        <f>IF(SUM(K24:K25,K42,K47,K52)=0,"","DATA ENTERED IN WRONG LINE")</f>
        <v/>
      </c>
      <c r="L23" s="1752"/>
      <c r="M23" s="1752" t="str">
        <f>IF(SUM(M24:M25,M42,M47,M52)=0,"","DATA ENTERED IN WRONG LINE")</f>
        <v/>
      </c>
      <c r="N23" s="1752"/>
      <c r="O23" s="1752" t="str">
        <f>IF(SUM(O24:O25,O42,O47,O52)=0,"","DATA ENTERED IN WRONG LINE")</f>
        <v/>
      </c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  <c r="AA23" s="229"/>
      <c r="AB23" s="229"/>
      <c r="AC23" s="229"/>
      <c r="AD23" s="229"/>
      <c r="AE23" s="229"/>
      <c r="AF23" s="229"/>
      <c r="AG23" s="229"/>
      <c r="AH23" s="229"/>
      <c r="AI23" s="229"/>
      <c r="AJ23" s="229"/>
      <c r="AK23" s="229"/>
      <c r="AL23" s="229"/>
      <c r="AM23" s="229"/>
      <c r="AN23" s="229"/>
      <c r="AO23" s="229"/>
      <c r="AP23" s="229"/>
      <c r="AQ23" s="229"/>
      <c r="AR23" s="229"/>
      <c r="AS23" s="229"/>
      <c r="AT23" s="229"/>
      <c r="AU23" s="229"/>
    </row>
    <row r="24" spans="1:47">
      <c r="A24" s="240">
        <v>8</v>
      </c>
      <c r="B24" s="229"/>
      <c r="C24" s="234" t="s">
        <v>1744</v>
      </c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9"/>
      <c r="AB24" s="229"/>
      <c r="AC24" s="229"/>
      <c r="AD24" s="229"/>
      <c r="AE24" s="229"/>
      <c r="AF24" s="229"/>
      <c r="AG24" s="229"/>
      <c r="AH24" s="229"/>
      <c r="AI24" s="229"/>
      <c r="AJ24" s="229"/>
      <c r="AK24" s="229"/>
      <c r="AL24" s="229"/>
      <c r="AM24" s="229"/>
      <c r="AN24" s="229"/>
      <c r="AO24" s="229"/>
      <c r="AP24" s="229"/>
      <c r="AQ24" s="229"/>
      <c r="AR24" s="229"/>
      <c r="AS24" s="229"/>
      <c r="AT24" s="229"/>
      <c r="AU24" s="229"/>
    </row>
    <row r="25" spans="1:47">
      <c r="A25" s="240">
        <v>9</v>
      </c>
      <c r="B25" s="229"/>
      <c r="C25" s="234" t="s">
        <v>1745</v>
      </c>
      <c r="D25" s="229"/>
      <c r="E25" s="238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  <c r="AA25" s="229"/>
      <c r="AB25" s="229"/>
      <c r="AC25" s="229"/>
      <c r="AD25" s="229"/>
      <c r="AE25" s="229"/>
      <c r="AF25" s="229"/>
      <c r="AG25" s="229"/>
      <c r="AH25" s="229"/>
      <c r="AI25" s="229"/>
      <c r="AJ25" s="229"/>
      <c r="AK25" s="229"/>
      <c r="AL25" s="229"/>
      <c r="AM25" s="229"/>
      <c r="AN25" s="229"/>
      <c r="AO25" s="229"/>
      <c r="AP25" s="229"/>
      <c r="AQ25" s="229"/>
      <c r="AR25" s="229"/>
      <c r="AS25" s="229"/>
      <c r="AT25" s="229"/>
      <c r="AU25" s="229"/>
    </row>
    <row r="26" spans="1:47">
      <c r="A26" s="240">
        <v>10</v>
      </c>
      <c r="B26" s="229"/>
      <c r="C26" s="181" t="s">
        <v>454</v>
      </c>
      <c r="D26" s="229"/>
      <c r="E26" s="238">
        <f>SUM(G26:O26)+SUM(E88:O88)+SUM(E150:O150)</f>
        <v>-7955234</v>
      </c>
      <c r="F26" s="229"/>
      <c r="G26" s="238"/>
      <c r="H26" s="238"/>
      <c r="I26" s="238">
        <f>SCH_C2!F25</f>
        <v>-7955234</v>
      </c>
      <c r="J26" s="238"/>
      <c r="K26" s="238"/>
      <c r="L26" s="238"/>
      <c r="M26" s="238"/>
      <c r="N26" s="238"/>
      <c r="O26" s="238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  <c r="AM26" s="229"/>
      <c r="AN26" s="229"/>
      <c r="AO26" s="229"/>
      <c r="AP26" s="229"/>
      <c r="AQ26" s="229"/>
      <c r="AR26" s="229"/>
      <c r="AS26" s="229"/>
      <c r="AT26" s="229"/>
      <c r="AU26" s="229"/>
    </row>
    <row r="27" spans="1:47">
      <c r="A27" s="240">
        <v>11</v>
      </c>
      <c r="B27" s="229"/>
      <c r="C27" s="234" t="s">
        <v>1746</v>
      </c>
      <c r="D27" s="229"/>
      <c r="E27" s="238">
        <f>SUM(G27:O27)+SUM(E89:O89)+SUM(E151:O151)</f>
        <v>3808146</v>
      </c>
      <c r="F27" s="229"/>
      <c r="G27" s="238"/>
      <c r="H27" s="238"/>
      <c r="I27" s="238"/>
      <c r="J27" s="238"/>
      <c r="K27" s="238">
        <f>SCH_C2!F26</f>
        <v>3808146</v>
      </c>
      <c r="L27" s="238"/>
      <c r="M27" s="238"/>
      <c r="N27" s="238"/>
      <c r="O27" s="238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9"/>
      <c r="AP27" s="229"/>
      <c r="AQ27" s="229"/>
      <c r="AR27" s="229"/>
      <c r="AS27" s="229"/>
      <c r="AT27" s="229"/>
      <c r="AU27" s="229"/>
    </row>
    <row r="28" spans="1:47">
      <c r="A28" s="240">
        <v>12</v>
      </c>
      <c r="B28" s="229"/>
      <c r="C28" s="234" t="s">
        <v>1747</v>
      </c>
      <c r="D28" s="229"/>
      <c r="E28" s="2141">
        <f>SUM(E25:E27)</f>
        <v>-4147088</v>
      </c>
      <c r="F28" s="229"/>
      <c r="G28" s="2141">
        <f>SUM(G25:G27)</f>
        <v>0</v>
      </c>
      <c r="H28" s="238"/>
      <c r="I28" s="2141">
        <f>SUM(I25:I27)</f>
        <v>-7955234</v>
      </c>
      <c r="J28" s="238"/>
      <c r="K28" s="2141">
        <f>SUM(K25:K27)</f>
        <v>3808146</v>
      </c>
      <c r="L28" s="238"/>
      <c r="M28" s="2141">
        <f>SUM(M25:M27)</f>
        <v>0</v>
      </c>
      <c r="N28" s="238"/>
      <c r="O28" s="2141">
        <f>SUM(O25:O27)</f>
        <v>0</v>
      </c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  <c r="AO28" s="229"/>
      <c r="AP28" s="229"/>
      <c r="AQ28" s="229"/>
      <c r="AR28" s="229"/>
      <c r="AS28" s="229"/>
      <c r="AT28" s="229"/>
      <c r="AU28" s="229"/>
    </row>
    <row r="29" spans="1:47">
      <c r="A29" s="240">
        <v>13</v>
      </c>
      <c r="B29" s="229"/>
      <c r="C29" s="234"/>
      <c r="D29" s="229"/>
      <c r="E29" s="239"/>
      <c r="F29" s="229"/>
      <c r="G29" s="238"/>
      <c r="H29" s="238"/>
      <c r="I29" s="238"/>
      <c r="J29" s="238"/>
      <c r="K29" s="238"/>
      <c r="L29" s="238"/>
      <c r="M29" s="238"/>
      <c r="N29" s="238"/>
      <c r="O29" s="238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9"/>
      <c r="AP29" s="229"/>
      <c r="AQ29" s="229"/>
      <c r="AR29" s="229"/>
      <c r="AS29" s="229"/>
      <c r="AT29" s="229"/>
      <c r="AU29" s="229"/>
    </row>
    <row r="30" spans="1:47">
      <c r="A30" s="240">
        <v>14</v>
      </c>
      <c r="B30" s="229"/>
      <c r="C30" s="234" t="s">
        <v>1748</v>
      </c>
      <c r="D30" s="229"/>
      <c r="E30" s="238">
        <f t="shared" ref="E30:E37" si="0">SUM(G30:O30)+SUM(E92:O92)+SUM(E154:O154)</f>
        <v>4296729</v>
      </c>
      <c r="F30" s="229"/>
      <c r="G30" s="239"/>
      <c r="H30" s="239"/>
      <c r="I30" s="239"/>
      <c r="J30" s="239"/>
      <c r="K30" s="239"/>
      <c r="L30" s="239"/>
      <c r="M30" s="239"/>
      <c r="N30" s="239"/>
      <c r="O30" s="238">
        <f>SCH_C2!F29</f>
        <v>4296729</v>
      </c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</row>
    <row r="31" spans="1:47">
      <c r="A31" s="240">
        <v>15</v>
      </c>
      <c r="B31" s="229"/>
      <c r="C31" s="234" t="s">
        <v>1749</v>
      </c>
      <c r="D31" s="229"/>
      <c r="E31" s="238">
        <f t="shared" si="0"/>
        <v>669967</v>
      </c>
      <c r="F31" s="229"/>
      <c r="G31" s="239"/>
      <c r="H31" s="239"/>
      <c r="I31" s="239"/>
      <c r="J31" s="239"/>
      <c r="K31" s="239"/>
      <c r="L31" s="239"/>
      <c r="M31" s="239"/>
      <c r="N31" s="239"/>
      <c r="O31" s="238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Z31" s="229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</row>
    <row r="32" spans="1:47">
      <c r="A32" s="240">
        <v>16</v>
      </c>
      <c r="B32" s="229"/>
      <c r="C32" s="234" t="s">
        <v>1750</v>
      </c>
      <c r="D32" s="229"/>
      <c r="E32" s="238">
        <f t="shared" si="0"/>
        <v>2016745</v>
      </c>
      <c r="F32" s="229"/>
      <c r="G32" s="238"/>
      <c r="H32" s="238"/>
      <c r="I32" s="238"/>
      <c r="J32" s="238"/>
      <c r="K32" s="238"/>
      <c r="L32" s="238"/>
      <c r="M32" s="238"/>
      <c r="N32" s="238"/>
      <c r="O32" s="238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  <c r="AA32" s="229"/>
      <c r="AB32" s="229"/>
      <c r="AC32" s="229"/>
      <c r="AD32" s="229"/>
      <c r="AE32" s="229"/>
      <c r="AF32" s="229"/>
      <c r="AG32" s="229"/>
      <c r="AH32" s="229"/>
      <c r="AI32" s="229"/>
      <c r="AJ32" s="229"/>
      <c r="AK32" s="229"/>
      <c r="AL32" s="229"/>
      <c r="AM32" s="229"/>
      <c r="AN32" s="229"/>
      <c r="AO32" s="229"/>
      <c r="AP32" s="229"/>
      <c r="AQ32" s="229"/>
      <c r="AR32" s="229"/>
      <c r="AS32" s="229"/>
      <c r="AT32" s="229"/>
      <c r="AU32" s="229"/>
    </row>
    <row r="33" spans="1:47">
      <c r="A33" s="240">
        <v>17</v>
      </c>
      <c r="B33" s="229"/>
      <c r="C33" s="234" t="s">
        <v>1751</v>
      </c>
      <c r="D33" s="229"/>
      <c r="E33" s="238">
        <f t="shared" si="0"/>
        <v>66570</v>
      </c>
      <c r="F33" s="229"/>
      <c r="G33" s="238"/>
      <c r="H33" s="238"/>
      <c r="I33" s="238"/>
      <c r="J33" s="238"/>
      <c r="K33" s="238"/>
      <c r="L33" s="238"/>
      <c r="M33" s="238"/>
      <c r="N33" s="238"/>
      <c r="O33" s="238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  <c r="AA33" s="229"/>
      <c r="AB33" s="229"/>
      <c r="AC33" s="229"/>
      <c r="AD33" s="229"/>
      <c r="AE33" s="229"/>
      <c r="AF33" s="229"/>
      <c r="AG33" s="229"/>
      <c r="AH33" s="229"/>
      <c r="AI33" s="229"/>
      <c r="AJ33" s="229"/>
      <c r="AK33" s="229"/>
      <c r="AL33" s="229"/>
      <c r="AM33" s="229"/>
      <c r="AN33" s="229"/>
      <c r="AO33" s="229"/>
      <c r="AP33" s="229"/>
      <c r="AQ33" s="229"/>
      <c r="AR33" s="229"/>
      <c r="AS33" s="229"/>
      <c r="AT33" s="229"/>
      <c r="AU33" s="229"/>
    </row>
    <row r="34" spans="1:47">
      <c r="A34" s="240">
        <v>18</v>
      </c>
      <c r="B34" s="229"/>
      <c r="C34" s="234" t="s">
        <v>1752</v>
      </c>
      <c r="D34" s="229"/>
      <c r="E34" s="238">
        <f t="shared" si="0"/>
        <v>338753</v>
      </c>
      <c r="F34" s="229"/>
      <c r="G34" s="238"/>
      <c r="H34" s="238"/>
      <c r="I34" s="238"/>
      <c r="J34" s="238"/>
      <c r="K34" s="238"/>
      <c r="L34" s="238"/>
      <c r="M34" s="238"/>
      <c r="N34" s="238"/>
      <c r="O34" s="238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  <c r="AN34" s="229"/>
      <c r="AO34" s="229"/>
      <c r="AP34" s="229"/>
      <c r="AQ34" s="229"/>
      <c r="AR34" s="229"/>
      <c r="AS34" s="229"/>
      <c r="AT34" s="229"/>
      <c r="AU34" s="229"/>
    </row>
    <row r="35" spans="1:47">
      <c r="A35" s="240">
        <v>19</v>
      </c>
      <c r="B35" s="229"/>
      <c r="C35" s="234" t="s">
        <v>1753</v>
      </c>
      <c r="D35" s="229"/>
      <c r="E35" s="238">
        <f t="shared" si="0"/>
        <v>103983</v>
      </c>
      <c r="F35" s="229"/>
      <c r="G35" s="238"/>
      <c r="H35" s="238"/>
      <c r="I35" s="238"/>
      <c r="J35" s="238"/>
      <c r="K35" s="238"/>
      <c r="L35" s="238"/>
      <c r="M35" s="238"/>
      <c r="N35" s="238"/>
      <c r="O35" s="238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9"/>
    </row>
    <row r="36" spans="1:47">
      <c r="A36" s="240">
        <v>20</v>
      </c>
      <c r="B36" s="229"/>
      <c r="C36" s="234" t="s">
        <v>1754</v>
      </c>
      <c r="D36" s="229"/>
      <c r="E36" s="238">
        <f>SUM(G36:O36)+SUM(E98:O98)+SUM(E160:O160)</f>
        <v>2996380</v>
      </c>
      <c r="F36" s="229"/>
      <c r="G36" s="238"/>
      <c r="H36" s="238"/>
      <c r="I36" s="238"/>
      <c r="J36" s="238"/>
      <c r="K36" s="229"/>
      <c r="L36" s="238"/>
      <c r="M36" s="238"/>
      <c r="N36" s="238"/>
      <c r="O36" s="238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</row>
    <row r="37" spans="1:47">
      <c r="A37" s="240">
        <v>21</v>
      </c>
      <c r="B37" s="229"/>
      <c r="C37" s="234" t="s">
        <v>1755</v>
      </c>
      <c r="D37" s="229"/>
      <c r="E37" s="238">
        <f t="shared" si="0"/>
        <v>-3748440</v>
      </c>
      <c r="F37" s="229"/>
      <c r="G37" s="238"/>
      <c r="H37" s="238"/>
      <c r="I37" s="238"/>
      <c r="J37" s="238"/>
      <c r="K37" s="229"/>
      <c r="L37" s="238"/>
      <c r="M37" s="238"/>
      <c r="N37" s="238"/>
      <c r="O37" s="238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  <c r="AA37" s="229"/>
      <c r="AB37" s="229"/>
      <c r="AC37" s="229"/>
      <c r="AD37" s="229"/>
      <c r="AE37" s="229"/>
      <c r="AF37" s="229"/>
      <c r="AG37" s="229"/>
      <c r="AH37" s="229"/>
      <c r="AI37" s="229"/>
      <c r="AJ37" s="229"/>
      <c r="AK37" s="229"/>
      <c r="AL37" s="229"/>
      <c r="AM37" s="229"/>
      <c r="AN37" s="229"/>
      <c r="AO37" s="229"/>
      <c r="AP37" s="229"/>
      <c r="AQ37" s="229"/>
      <c r="AR37" s="229"/>
      <c r="AS37" s="229"/>
      <c r="AT37" s="229"/>
      <c r="AU37" s="229"/>
    </row>
    <row r="38" spans="1:47">
      <c r="A38" s="240">
        <v>22</v>
      </c>
      <c r="B38" s="229"/>
      <c r="C38" s="234" t="s">
        <v>1756</v>
      </c>
      <c r="D38" s="229"/>
      <c r="E38" s="2140">
        <f>E28+SUM(E30:E37)</f>
        <v>2593599</v>
      </c>
      <c r="F38" s="229"/>
      <c r="G38" s="2140">
        <f>G28+SUM(G30:G37)</f>
        <v>0</v>
      </c>
      <c r="H38" s="238"/>
      <c r="I38" s="2140">
        <f>I28+SUM(I30:I37)</f>
        <v>-7955234</v>
      </c>
      <c r="J38" s="238"/>
      <c r="K38" s="2140">
        <f>K28+SUM(K30:K37)</f>
        <v>3808146</v>
      </c>
      <c r="L38" s="238"/>
      <c r="M38" s="2140">
        <f>M28+SUM(M30:M37)</f>
        <v>0</v>
      </c>
      <c r="N38" s="238"/>
      <c r="O38" s="2140">
        <f>O28+SUM(O30:O37)</f>
        <v>4296729</v>
      </c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  <c r="AL38" s="229"/>
      <c r="AM38" s="229"/>
      <c r="AN38" s="229"/>
      <c r="AO38" s="229"/>
      <c r="AP38" s="229"/>
      <c r="AQ38" s="229"/>
      <c r="AR38" s="229"/>
      <c r="AS38" s="229"/>
      <c r="AT38" s="229"/>
      <c r="AU38" s="229"/>
    </row>
    <row r="39" spans="1:47">
      <c r="A39" s="240">
        <v>23</v>
      </c>
      <c r="B39" s="229"/>
      <c r="C39" s="229"/>
      <c r="D39" s="229"/>
      <c r="E39" s="239"/>
      <c r="F39" s="229"/>
      <c r="G39" s="239"/>
      <c r="H39" s="239"/>
      <c r="I39" s="239"/>
      <c r="J39" s="239"/>
      <c r="K39" s="239"/>
      <c r="L39" s="239"/>
      <c r="M39" s="239"/>
      <c r="N39" s="239"/>
      <c r="O39" s="23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  <c r="AL39" s="229"/>
      <c r="AM39" s="229"/>
      <c r="AN39" s="229"/>
      <c r="AO39" s="229"/>
      <c r="AP39" s="229"/>
      <c r="AQ39" s="229"/>
      <c r="AR39" s="229"/>
      <c r="AS39" s="229"/>
      <c r="AT39" s="229"/>
      <c r="AU39" s="229"/>
    </row>
    <row r="40" spans="1:47">
      <c r="A40" s="240">
        <v>24</v>
      </c>
      <c r="B40" s="229"/>
      <c r="C40" s="234" t="s">
        <v>1757</v>
      </c>
      <c r="D40" s="229"/>
      <c r="E40" s="1506">
        <f>SUM(G40:O40)+SUM(E102:O102)+SUM(E164:O164)</f>
        <v>4396406</v>
      </c>
      <c r="F40" s="229"/>
      <c r="G40" s="1506">
        <v>0</v>
      </c>
      <c r="H40" s="238"/>
      <c r="I40" s="1506">
        <v>0</v>
      </c>
      <c r="J40" s="238"/>
      <c r="K40" s="1506">
        <v>0</v>
      </c>
      <c r="L40" s="238"/>
      <c r="M40" s="1506">
        <v>0</v>
      </c>
      <c r="N40" s="238"/>
      <c r="O40" s="1506">
        <v>0</v>
      </c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  <c r="AA40" s="229"/>
      <c r="AB40" s="229"/>
      <c r="AC40" s="229"/>
      <c r="AD40" s="229"/>
      <c r="AE40" s="229"/>
      <c r="AF40" s="229"/>
      <c r="AG40" s="229"/>
      <c r="AH40" s="229"/>
      <c r="AI40" s="229"/>
      <c r="AJ40" s="229"/>
      <c r="AK40" s="229"/>
      <c r="AL40" s="229"/>
      <c r="AM40" s="229"/>
      <c r="AN40" s="229"/>
      <c r="AO40" s="229"/>
      <c r="AP40" s="229"/>
      <c r="AQ40" s="229"/>
      <c r="AR40" s="229"/>
      <c r="AS40" s="229"/>
      <c r="AT40" s="229"/>
      <c r="AU40" s="229"/>
    </row>
    <row r="41" spans="1:47">
      <c r="A41" s="240">
        <v>25</v>
      </c>
      <c r="B41" s="229"/>
      <c r="C41" s="229"/>
      <c r="D41" s="229"/>
      <c r="E41" s="239"/>
      <c r="F41" s="229"/>
      <c r="G41" s="239"/>
      <c r="H41" s="239"/>
      <c r="I41" s="239"/>
      <c r="J41" s="239"/>
      <c r="K41" s="239"/>
      <c r="L41" s="239"/>
      <c r="M41" s="239"/>
      <c r="N41" s="239"/>
      <c r="O41" s="23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  <c r="AA41" s="229"/>
      <c r="AB41" s="229"/>
      <c r="AC41" s="229"/>
      <c r="AD41" s="229"/>
      <c r="AE41" s="229"/>
      <c r="AF41" s="229"/>
      <c r="AG41" s="229"/>
      <c r="AH41" s="229"/>
      <c r="AI41" s="229"/>
      <c r="AJ41" s="229"/>
      <c r="AK41" s="229"/>
      <c r="AL41" s="229"/>
      <c r="AM41" s="229"/>
      <c r="AN41" s="229"/>
      <c r="AO41" s="229"/>
      <c r="AP41" s="229"/>
      <c r="AQ41" s="229"/>
      <c r="AR41" s="229"/>
      <c r="AS41" s="229"/>
      <c r="AT41" s="229"/>
      <c r="AU41" s="229"/>
    </row>
    <row r="42" spans="1:47">
      <c r="A42" s="240">
        <v>26</v>
      </c>
      <c r="B42" s="229"/>
      <c r="C42" s="234" t="s">
        <v>1758</v>
      </c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40"/>
      <c r="V42" s="240"/>
      <c r="W42" s="229"/>
      <c r="X42" s="229"/>
      <c r="Y42" s="229"/>
      <c r="Z42" s="229"/>
      <c r="AA42" s="229"/>
      <c r="AB42" s="229"/>
      <c r="AC42" s="229"/>
      <c r="AD42" s="229"/>
      <c r="AE42" s="229"/>
      <c r="AF42" s="229"/>
      <c r="AG42" s="229"/>
      <c r="AH42" s="229"/>
      <c r="AI42" s="229"/>
      <c r="AJ42" s="229"/>
      <c r="AK42" s="229"/>
      <c r="AL42" s="229"/>
      <c r="AM42" s="229"/>
      <c r="AN42" s="229"/>
      <c r="AO42" s="229"/>
      <c r="AP42" s="229"/>
      <c r="AQ42" s="229"/>
      <c r="AR42" s="229"/>
      <c r="AS42" s="229"/>
      <c r="AT42" s="229"/>
      <c r="AU42" s="229"/>
    </row>
    <row r="43" spans="1:47">
      <c r="A43" s="240">
        <v>27</v>
      </c>
      <c r="B43" s="229"/>
      <c r="C43" s="234" t="s">
        <v>1759</v>
      </c>
      <c r="D43" s="229"/>
      <c r="E43" s="238">
        <f>SUM(G43:O43)+SUM(E105:O105)+SUM(E167:O167)</f>
        <v>2342</v>
      </c>
      <c r="F43" s="229"/>
      <c r="G43" s="238"/>
      <c r="H43" s="238"/>
      <c r="I43" s="238"/>
      <c r="J43" s="238"/>
      <c r="K43" s="238"/>
      <c r="L43" s="238"/>
      <c r="M43" s="238"/>
      <c r="N43" s="238"/>
      <c r="O43" s="238"/>
      <c r="P43" s="229"/>
      <c r="Q43" s="229"/>
      <c r="R43" s="229"/>
      <c r="S43" s="229"/>
      <c r="T43" s="229"/>
      <c r="U43" s="240"/>
      <c r="V43" s="240"/>
      <c r="W43" s="229"/>
      <c r="X43" s="229"/>
      <c r="Y43" s="229"/>
      <c r="Z43" s="229"/>
      <c r="AA43" s="229"/>
      <c r="AB43" s="229"/>
      <c r="AC43" s="229"/>
      <c r="AD43" s="229"/>
      <c r="AE43" s="229"/>
      <c r="AF43" s="229"/>
      <c r="AG43" s="229"/>
      <c r="AH43" s="229"/>
      <c r="AI43" s="229"/>
      <c r="AJ43" s="229"/>
      <c r="AK43" s="229"/>
      <c r="AL43" s="229"/>
      <c r="AM43" s="229"/>
      <c r="AN43" s="229"/>
      <c r="AO43" s="229"/>
      <c r="AP43" s="229"/>
      <c r="AQ43" s="229"/>
      <c r="AR43" s="229"/>
      <c r="AS43" s="229"/>
      <c r="AT43" s="229"/>
      <c r="AU43" s="229"/>
    </row>
    <row r="44" spans="1:47">
      <c r="A44" s="240">
        <v>28</v>
      </c>
      <c r="B44" s="229"/>
      <c r="C44" s="234" t="s">
        <v>1760</v>
      </c>
      <c r="D44" s="229"/>
      <c r="E44" s="238">
        <f>SUM(G44:O44)+SUM(E106:O106)+SUM(E168:O168)</f>
        <v>2239283</v>
      </c>
      <c r="F44" s="229"/>
      <c r="G44" s="238"/>
      <c r="H44" s="238"/>
      <c r="I44" s="238"/>
      <c r="J44" s="238"/>
      <c r="K44" s="238"/>
      <c r="L44" s="238"/>
      <c r="M44" s="238"/>
      <c r="N44" s="238"/>
      <c r="O44" s="238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  <c r="AO44" s="229"/>
      <c r="AP44" s="229"/>
      <c r="AQ44" s="229"/>
      <c r="AR44" s="229"/>
      <c r="AS44" s="229"/>
      <c r="AT44" s="229"/>
      <c r="AU44" s="229"/>
    </row>
    <row r="45" spans="1:47">
      <c r="A45" s="240">
        <v>29</v>
      </c>
      <c r="B45" s="229"/>
      <c r="C45" s="234" t="s">
        <v>1761</v>
      </c>
      <c r="D45" s="229"/>
      <c r="E45" s="2140">
        <f>SUM(E43:E44)</f>
        <v>2241625</v>
      </c>
      <c r="F45" s="229"/>
      <c r="G45" s="2140">
        <f>SUM(G43:G44)</f>
        <v>0</v>
      </c>
      <c r="H45" s="238"/>
      <c r="I45" s="2140">
        <f>SUM(I43:I44)</f>
        <v>0</v>
      </c>
      <c r="J45" s="238"/>
      <c r="K45" s="2140">
        <f>SUM(K43:K44)</f>
        <v>0</v>
      </c>
      <c r="L45" s="238"/>
      <c r="M45" s="2140">
        <f>SUM(M43:M44)</f>
        <v>0</v>
      </c>
      <c r="N45" s="238"/>
      <c r="O45" s="2140">
        <f>SUM(O43:O44)</f>
        <v>0</v>
      </c>
      <c r="P45" s="229"/>
      <c r="Q45" s="229"/>
      <c r="R45" s="229"/>
      <c r="S45" s="229"/>
      <c r="T45" s="229"/>
      <c r="U45" s="229"/>
      <c r="V45" s="238"/>
      <c r="W45" s="229"/>
      <c r="X45" s="229"/>
      <c r="Y45" s="229"/>
      <c r="Z45" s="229"/>
      <c r="AA45" s="229"/>
      <c r="AB45" s="229"/>
      <c r="AC45" s="229"/>
      <c r="AD45" s="229"/>
      <c r="AE45" s="229"/>
      <c r="AF45" s="229"/>
      <c r="AG45" s="229"/>
      <c r="AH45" s="229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</row>
    <row r="46" spans="1:47">
      <c r="A46" s="240">
        <v>30</v>
      </c>
      <c r="B46" s="229"/>
      <c r="C46" s="234"/>
      <c r="D46" s="229"/>
      <c r="E46" s="239"/>
      <c r="F46" s="229"/>
      <c r="G46" s="238"/>
      <c r="H46" s="238"/>
      <c r="I46" s="238"/>
      <c r="J46" s="238"/>
      <c r="K46" s="238"/>
      <c r="L46" s="238"/>
      <c r="M46" s="238"/>
      <c r="N46" s="238"/>
      <c r="O46" s="238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  <c r="AA46" s="229"/>
      <c r="AB46" s="229"/>
      <c r="AC46" s="229"/>
      <c r="AD46" s="229"/>
      <c r="AE46" s="229"/>
      <c r="AF46" s="229"/>
      <c r="AG46" s="229"/>
      <c r="AH46" s="229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</row>
    <row r="47" spans="1:47">
      <c r="A47" s="240">
        <v>31</v>
      </c>
      <c r="B47" s="229"/>
      <c r="C47" s="234" t="s">
        <v>1762</v>
      </c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  <c r="AA47" s="229"/>
      <c r="AB47" s="229"/>
      <c r="AC47" s="229"/>
      <c r="AD47" s="229"/>
      <c r="AE47" s="229"/>
      <c r="AF47" s="229"/>
      <c r="AG47" s="229"/>
      <c r="AH47" s="229"/>
      <c r="AI47" s="229"/>
      <c r="AJ47" s="229"/>
      <c r="AK47" s="229"/>
      <c r="AL47" s="229"/>
      <c r="AM47" s="229"/>
      <c r="AN47" s="229"/>
      <c r="AO47" s="229"/>
      <c r="AP47" s="229"/>
      <c r="AQ47" s="229"/>
      <c r="AR47" s="229"/>
      <c r="AS47" s="229"/>
      <c r="AT47" s="229"/>
      <c r="AU47" s="229"/>
    </row>
    <row r="48" spans="1:47">
      <c r="A48" s="240">
        <v>32</v>
      </c>
      <c r="B48" s="229"/>
      <c r="C48" s="234" t="s">
        <v>1654</v>
      </c>
      <c r="D48" s="229"/>
      <c r="E48" s="238">
        <f ca="1">SUM(G48:O48)+SUM(E110:O110)+SUM(E172:O172)</f>
        <v>-2230920</v>
      </c>
      <c r="F48" s="229"/>
      <c r="G48" s="238">
        <f>ROUND((G21-G38-G40-G45)*SIT*APPORT,0)</f>
        <v>-1053927</v>
      </c>
      <c r="H48" s="238"/>
      <c r="I48" s="238">
        <f>ROUND((I21-I38-I40-I45)*SIT*APPORT,0)</f>
        <v>395256</v>
      </c>
      <c r="J48" s="238"/>
      <c r="K48" s="238">
        <f>ROUND((K21-K38-K40-K45)*SIT*APPORT,0)</f>
        <v>-189208</v>
      </c>
      <c r="L48" s="238"/>
      <c r="M48" s="238">
        <f>ROUND((M21-M38-M40-M45)*SIT*APPORT,0)</f>
        <v>0</v>
      </c>
      <c r="N48" s="238"/>
      <c r="O48" s="238">
        <f>ROUND((O21-O38-O40-O45)*SIT*APPORT,0)</f>
        <v>-213483</v>
      </c>
      <c r="P48" s="229"/>
      <c r="Q48" s="229"/>
      <c r="R48" s="229"/>
      <c r="S48" s="229"/>
      <c r="T48" s="229"/>
      <c r="U48" s="229"/>
      <c r="V48" s="229"/>
      <c r="W48" s="238"/>
      <c r="X48" s="229"/>
      <c r="Y48" s="229"/>
      <c r="Z48" s="229"/>
      <c r="AA48" s="229"/>
      <c r="AB48" s="229"/>
      <c r="AC48" s="229"/>
      <c r="AD48" s="229"/>
      <c r="AE48" s="229"/>
      <c r="AF48" s="229"/>
      <c r="AG48" s="229"/>
      <c r="AH48" s="229"/>
      <c r="AI48" s="229"/>
      <c r="AJ48" s="229"/>
      <c r="AK48" s="229"/>
      <c r="AL48" s="229"/>
      <c r="AM48" s="229"/>
      <c r="AN48" s="229"/>
      <c r="AO48" s="229"/>
      <c r="AP48" s="229"/>
      <c r="AQ48" s="229"/>
      <c r="AR48" s="229"/>
      <c r="AS48" s="229"/>
      <c r="AT48" s="229"/>
      <c r="AU48" s="229"/>
    </row>
    <row r="49" spans="1:47">
      <c r="A49" s="240">
        <v>33</v>
      </c>
      <c r="B49" s="229"/>
      <c r="C49" s="234" t="s">
        <v>1763</v>
      </c>
      <c r="D49" s="229"/>
      <c r="E49" s="238">
        <f>SUM(G49:O49)+SUM(E111:O111)+SUM(E173:O173)</f>
        <v>149202</v>
      </c>
      <c r="F49" s="229"/>
      <c r="G49" s="238"/>
      <c r="H49" s="238"/>
      <c r="I49" s="238"/>
      <c r="J49" s="238"/>
      <c r="K49" s="238"/>
      <c r="L49" s="238"/>
      <c r="M49" s="238"/>
      <c r="N49" s="238"/>
      <c r="O49" s="238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  <c r="AA49" s="229"/>
      <c r="AB49" s="229"/>
      <c r="AC49" s="229"/>
      <c r="AD49" s="229"/>
      <c r="AE49" s="229"/>
      <c r="AF49" s="229"/>
      <c r="AG49" s="229"/>
      <c r="AH49" s="229"/>
      <c r="AI49" s="229"/>
      <c r="AJ49" s="229"/>
      <c r="AK49" s="229"/>
      <c r="AL49" s="229"/>
      <c r="AM49" s="229"/>
      <c r="AN49" s="229"/>
      <c r="AO49" s="229"/>
      <c r="AP49" s="229"/>
      <c r="AQ49" s="229"/>
      <c r="AR49" s="229"/>
      <c r="AS49" s="229"/>
      <c r="AT49" s="229"/>
      <c r="AU49" s="229"/>
    </row>
    <row r="50" spans="1:47">
      <c r="A50" s="240">
        <v>34</v>
      </c>
      <c r="B50" s="229"/>
      <c r="C50" s="234" t="s">
        <v>1764</v>
      </c>
      <c r="D50" s="229"/>
      <c r="E50" s="2140">
        <f ca="1">SUM(E48:E49)</f>
        <v>-2081718</v>
      </c>
      <c r="F50" s="229"/>
      <c r="G50" s="2140">
        <f>SUM(G48:G49)</f>
        <v>-1053927</v>
      </c>
      <c r="H50" s="238"/>
      <c r="I50" s="2140">
        <f>SUM(I48:I49)</f>
        <v>395256</v>
      </c>
      <c r="J50" s="238"/>
      <c r="K50" s="2140">
        <f>SUM(K48:K49)</f>
        <v>-189208</v>
      </c>
      <c r="L50" s="238"/>
      <c r="M50" s="2140">
        <f>SUM(M48:M49)</f>
        <v>0</v>
      </c>
      <c r="N50" s="238"/>
      <c r="O50" s="2140">
        <f>SUM(O48:O49)</f>
        <v>-213483</v>
      </c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29"/>
      <c r="AO50" s="229"/>
      <c r="AP50" s="229"/>
      <c r="AQ50" s="229"/>
      <c r="AR50" s="229"/>
      <c r="AS50" s="229"/>
      <c r="AT50" s="229"/>
      <c r="AU50" s="229"/>
    </row>
    <row r="51" spans="1:47">
      <c r="A51" s="240">
        <v>35</v>
      </c>
      <c r="B51" s="229"/>
      <c r="C51" s="229"/>
      <c r="D51" s="229"/>
      <c r="E51" s="239"/>
      <c r="F51" s="229"/>
      <c r="G51" s="239"/>
      <c r="H51" s="239"/>
      <c r="I51" s="239"/>
      <c r="J51" s="239"/>
      <c r="K51" s="239"/>
      <c r="L51" s="239"/>
      <c r="M51" s="239"/>
      <c r="N51" s="239"/>
      <c r="O51" s="23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  <c r="AC51" s="229"/>
      <c r="AD51" s="229"/>
      <c r="AE51" s="229"/>
      <c r="AF51" s="229"/>
      <c r="AG51" s="229"/>
      <c r="AH51" s="229"/>
      <c r="AI51" s="229"/>
      <c r="AJ51" s="229"/>
      <c r="AK51" s="229"/>
      <c r="AL51" s="229"/>
      <c r="AM51" s="229"/>
      <c r="AN51" s="229"/>
      <c r="AO51" s="229"/>
      <c r="AP51" s="229"/>
      <c r="AQ51" s="229"/>
      <c r="AR51" s="229"/>
      <c r="AS51" s="229"/>
      <c r="AT51" s="229"/>
      <c r="AU51" s="229"/>
    </row>
    <row r="52" spans="1:47">
      <c r="A52" s="240">
        <v>36</v>
      </c>
      <c r="B52" s="229"/>
      <c r="C52" s="234" t="s">
        <v>1765</v>
      </c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  <c r="AA52" s="229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  <c r="AO52" s="229"/>
      <c r="AP52" s="229"/>
      <c r="AQ52" s="229"/>
      <c r="AR52" s="229"/>
      <c r="AS52" s="229"/>
      <c r="AT52" s="229"/>
      <c r="AU52" s="229"/>
    </row>
    <row r="53" spans="1:47">
      <c r="A53" s="240">
        <v>37</v>
      </c>
      <c r="B53" s="229"/>
      <c r="C53" s="234" t="s">
        <v>1654</v>
      </c>
      <c r="D53" s="229"/>
      <c r="E53" s="238">
        <f ca="1">SUM(G53:O53)+SUM(E115:O115)+SUM(E177:O177)</f>
        <v>-15133931</v>
      </c>
      <c r="F53" s="229"/>
      <c r="G53" s="238">
        <f>ROUND((G21-G38-G40-G45-G48)*FIT,0)</f>
        <v>-4233231</v>
      </c>
      <c r="H53" s="238"/>
      <c r="I53" s="238">
        <f>ROUND((I21-I38-I40-I45-I48)*FIT,0)</f>
        <v>1587595</v>
      </c>
      <c r="J53" s="238"/>
      <c r="K53" s="238">
        <f>ROUND((K21-K38-K40-K45-K48)*FIT,0)</f>
        <v>-759977</v>
      </c>
      <c r="L53" s="238"/>
      <c r="M53" s="238">
        <f>ROUND((M21-M38-M40-M45-M48)*FIT,0)</f>
        <v>0</v>
      </c>
      <c r="N53" s="238"/>
      <c r="O53" s="238">
        <f>ROUND((O21-O38-O40-O45-O48)*FIT,0)</f>
        <v>-857482</v>
      </c>
      <c r="P53" s="229"/>
      <c r="Q53" s="229"/>
      <c r="R53" s="229"/>
      <c r="S53" s="229"/>
      <c r="T53" s="229"/>
      <c r="U53" s="229"/>
      <c r="V53" s="229"/>
      <c r="W53" s="229"/>
      <c r="X53" s="238"/>
      <c r="Y53" s="229"/>
      <c r="Z53" s="229"/>
      <c r="AA53" s="229"/>
      <c r="AB53" s="229"/>
      <c r="AC53" s="229"/>
      <c r="AD53" s="229"/>
      <c r="AE53" s="229"/>
      <c r="AF53" s="229"/>
      <c r="AG53" s="229"/>
      <c r="AH53" s="229"/>
      <c r="AI53" s="229"/>
      <c r="AJ53" s="229"/>
      <c r="AK53" s="229"/>
      <c r="AL53" s="229"/>
      <c r="AM53" s="229"/>
      <c r="AN53" s="229"/>
      <c r="AO53" s="229"/>
      <c r="AP53" s="229"/>
      <c r="AQ53" s="229"/>
      <c r="AR53" s="229"/>
      <c r="AS53" s="229"/>
      <c r="AT53" s="229"/>
      <c r="AU53" s="229"/>
    </row>
    <row r="54" spans="1:47">
      <c r="A54" s="240">
        <v>38</v>
      </c>
      <c r="B54" s="229"/>
      <c r="C54" s="234" t="s">
        <v>1763</v>
      </c>
      <c r="D54" s="229"/>
      <c r="E54" s="238">
        <f>SUM(G54:O54)+SUM(E116:O116)+SUM(E178:O178)</f>
        <v>9421339</v>
      </c>
      <c r="F54" s="229"/>
      <c r="G54" s="238"/>
      <c r="H54" s="238"/>
      <c r="I54" s="238"/>
      <c r="J54" s="238"/>
      <c r="K54" s="238"/>
      <c r="L54" s="238"/>
      <c r="M54" s="238"/>
      <c r="N54" s="238"/>
      <c r="O54" s="238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  <c r="AA54" s="229"/>
      <c r="AB54" s="229"/>
      <c r="AC54" s="229"/>
      <c r="AD54" s="229"/>
      <c r="AE54" s="229"/>
      <c r="AF54" s="229"/>
      <c r="AG54" s="229"/>
      <c r="AH54" s="229"/>
      <c r="AI54" s="229"/>
      <c r="AJ54" s="229"/>
      <c r="AK54" s="229"/>
      <c r="AL54" s="229"/>
      <c r="AM54" s="229"/>
      <c r="AN54" s="229"/>
      <c r="AO54" s="229"/>
      <c r="AP54" s="229"/>
      <c r="AQ54" s="229"/>
      <c r="AR54" s="229"/>
      <c r="AS54" s="229"/>
      <c r="AT54" s="229"/>
      <c r="AU54" s="229"/>
    </row>
    <row r="55" spans="1:47">
      <c r="A55" s="240">
        <v>39</v>
      </c>
      <c r="B55" s="229"/>
      <c r="C55" s="234" t="s">
        <v>1441</v>
      </c>
      <c r="D55" s="229"/>
      <c r="E55" s="238">
        <f>SUM(G55:O55)+SUM(E117:O117)+SUM(E179:O179)</f>
        <v>0</v>
      </c>
      <c r="F55" s="229"/>
      <c r="G55" s="238"/>
      <c r="H55" s="238"/>
      <c r="I55" s="238"/>
      <c r="J55" s="238"/>
      <c r="K55" s="238"/>
      <c r="L55" s="238"/>
      <c r="M55" s="238"/>
      <c r="N55" s="238"/>
      <c r="O55" s="238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  <c r="AA55" s="229"/>
      <c r="AB55" s="229"/>
      <c r="AC55" s="229"/>
      <c r="AD55" s="229"/>
      <c r="AE55" s="229"/>
      <c r="AF55" s="229"/>
      <c r="AG55" s="229"/>
      <c r="AH55" s="229"/>
      <c r="AI55" s="229"/>
      <c r="AJ55" s="229"/>
      <c r="AK55" s="229"/>
      <c r="AL55" s="229"/>
      <c r="AM55" s="229"/>
      <c r="AN55" s="229"/>
      <c r="AO55" s="229"/>
      <c r="AP55" s="229"/>
      <c r="AQ55" s="229"/>
      <c r="AR55" s="229"/>
      <c r="AS55" s="229"/>
      <c r="AT55" s="229"/>
      <c r="AU55" s="229"/>
    </row>
    <row r="56" spans="1:47">
      <c r="A56" s="240">
        <v>40</v>
      </c>
      <c r="B56" s="229"/>
      <c r="C56" s="234" t="s">
        <v>1766</v>
      </c>
      <c r="D56" s="229"/>
      <c r="E56" s="2140">
        <f ca="1">SUM(E53:E55)</f>
        <v>-5712592</v>
      </c>
      <c r="F56" s="229"/>
      <c r="G56" s="2140">
        <f>SUM(G53:G55)</f>
        <v>-4233231</v>
      </c>
      <c r="H56" s="238"/>
      <c r="I56" s="2140">
        <f>SUM(I53:I55)</f>
        <v>1587595</v>
      </c>
      <c r="J56" s="238"/>
      <c r="K56" s="2140">
        <f>SUM(K53:K55)</f>
        <v>-759977</v>
      </c>
      <c r="L56" s="238"/>
      <c r="M56" s="2140">
        <f>SUM(M53:M55)</f>
        <v>0</v>
      </c>
      <c r="N56" s="238"/>
      <c r="O56" s="2140">
        <f>SUM(O53:O55)</f>
        <v>-857482</v>
      </c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  <c r="AA56" s="229"/>
      <c r="AB56" s="229"/>
      <c r="AC56" s="229"/>
      <c r="AD56" s="229"/>
      <c r="AE56" s="229"/>
      <c r="AF56" s="229"/>
      <c r="AG56" s="229"/>
      <c r="AH56" s="229"/>
      <c r="AI56" s="229"/>
      <c r="AJ56" s="229"/>
      <c r="AK56" s="229"/>
      <c r="AL56" s="229"/>
      <c r="AM56" s="229"/>
      <c r="AN56" s="229"/>
      <c r="AO56" s="229"/>
      <c r="AP56" s="229"/>
      <c r="AQ56" s="229"/>
      <c r="AR56" s="229"/>
      <c r="AS56" s="229"/>
      <c r="AT56" s="229"/>
      <c r="AU56" s="229"/>
    </row>
    <row r="57" spans="1:47">
      <c r="A57" s="240">
        <v>41</v>
      </c>
      <c r="B57" s="229"/>
      <c r="C57" s="229"/>
      <c r="D57" s="229"/>
      <c r="E57" s="239"/>
      <c r="F57" s="229"/>
      <c r="G57" s="239"/>
      <c r="H57" s="239"/>
      <c r="I57" s="239"/>
      <c r="J57" s="239"/>
      <c r="K57" s="239"/>
      <c r="L57" s="239"/>
      <c r="M57" s="239"/>
      <c r="N57" s="239"/>
      <c r="O57" s="23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  <c r="AA57" s="229"/>
      <c r="AB57" s="229"/>
      <c r="AC57" s="229"/>
      <c r="AD57" s="229"/>
      <c r="AE57" s="229"/>
      <c r="AF57" s="229"/>
      <c r="AG57" s="229"/>
      <c r="AH57" s="229"/>
      <c r="AI57" s="229"/>
      <c r="AJ57" s="229"/>
      <c r="AK57" s="229"/>
      <c r="AL57" s="229"/>
      <c r="AM57" s="229"/>
      <c r="AN57" s="229"/>
      <c r="AO57" s="229"/>
      <c r="AP57" s="229"/>
      <c r="AQ57" s="229"/>
      <c r="AR57" s="229"/>
      <c r="AS57" s="229"/>
      <c r="AT57" s="229"/>
      <c r="AU57" s="229"/>
    </row>
    <row r="58" spans="1:47">
      <c r="A58" s="240">
        <v>42</v>
      </c>
      <c r="B58" s="229"/>
      <c r="C58" s="234" t="s">
        <v>1767</v>
      </c>
      <c r="D58" s="229"/>
      <c r="E58" s="1506">
        <f ca="1">E38+E40+E45+E50+E56</f>
        <v>1437320</v>
      </c>
      <c r="F58" s="229"/>
      <c r="G58" s="1506">
        <f>G38+G40+G45+G50+G56</f>
        <v>-5287158</v>
      </c>
      <c r="H58" s="238"/>
      <c r="I58" s="1506">
        <f>I38+I40+I45+I50+I56</f>
        <v>-5972383</v>
      </c>
      <c r="J58" s="238"/>
      <c r="K58" s="1506">
        <f>K38+K40+K45+K50+K56</f>
        <v>2858961</v>
      </c>
      <c r="L58" s="238"/>
      <c r="M58" s="1506">
        <f>M38+M40+M45+M50+M56</f>
        <v>0</v>
      </c>
      <c r="N58" s="238"/>
      <c r="O58" s="1506">
        <f>O38+O40+O45+O50+O56</f>
        <v>3225764</v>
      </c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29"/>
      <c r="AI58" s="229"/>
      <c r="AJ58" s="229"/>
      <c r="AK58" s="229"/>
      <c r="AL58" s="229"/>
      <c r="AM58" s="229"/>
      <c r="AN58" s="229"/>
      <c r="AO58" s="229"/>
      <c r="AP58" s="229"/>
      <c r="AQ58" s="229"/>
      <c r="AR58" s="229"/>
      <c r="AS58" s="229"/>
      <c r="AT58" s="229"/>
      <c r="AU58" s="229"/>
    </row>
    <row r="59" spans="1:47">
      <c r="A59" s="240">
        <v>43</v>
      </c>
      <c r="B59" s="229"/>
      <c r="C59" s="229"/>
      <c r="D59" s="229"/>
      <c r="E59" s="239"/>
      <c r="F59" s="229"/>
      <c r="G59" s="239"/>
      <c r="H59" s="239"/>
      <c r="I59" s="239"/>
      <c r="J59" s="239"/>
      <c r="K59" s="239"/>
      <c r="L59" s="239"/>
      <c r="M59" s="239"/>
      <c r="N59" s="239"/>
      <c r="O59" s="239"/>
      <c r="P59" s="229"/>
      <c r="Q59" s="229"/>
      <c r="R59" s="229"/>
      <c r="S59" s="229"/>
      <c r="T59" s="229"/>
      <c r="U59" s="229"/>
      <c r="V59" s="229"/>
      <c r="W59" s="229"/>
      <c r="X59" s="229"/>
      <c r="Y59" s="229"/>
      <c r="Z59" s="229"/>
      <c r="AA59" s="229"/>
      <c r="AB59" s="229"/>
      <c r="AC59" s="229"/>
      <c r="AD59" s="229"/>
      <c r="AE59" s="229"/>
      <c r="AF59" s="229"/>
      <c r="AG59" s="229"/>
      <c r="AH59" s="229"/>
      <c r="AI59" s="229"/>
      <c r="AJ59" s="229"/>
      <c r="AK59" s="229"/>
      <c r="AL59" s="229"/>
      <c r="AM59" s="229"/>
      <c r="AN59" s="229"/>
      <c r="AO59" s="229"/>
      <c r="AP59" s="229"/>
      <c r="AQ59" s="229"/>
      <c r="AR59" s="229"/>
      <c r="AS59" s="229"/>
      <c r="AT59" s="229"/>
      <c r="AU59" s="229"/>
    </row>
    <row r="60" spans="1:47" ht="13.8" thickBot="1">
      <c r="A60" s="240">
        <v>44</v>
      </c>
      <c r="B60" s="229"/>
      <c r="C60" s="234" t="s">
        <v>1443</v>
      </c>
      <c r="D60" s="229"/>
      <c r="E60" s="1953">
        <f ca="1">E21-E58</f>
        <v>-22649490</v>
      </c>
      <c r="F60" s="229"/>
      <c r="G60" s="1953">
        <f>G21-G58</f>
        <v>-15925012</v>
      </c>
      <c r="H60" s="238"/>
      <c r="I60" s="1953">
        <f>I21-I58</f>
        <v>5972383</v>
      </c>
      <c r="J60" s="238"/>
      <c r="K60" s="1953">
        <f>K21-K58</f>
        <v>-2858961</v>
      </c>
      <c r="L60" s="238"/>
      <c r="M60" s="1953">
        <f>M21-M58</f>
        <v>0</v>
      </c>
      <c r="N60" s="238"/>
      <c r="O60" s="1953">
        <f>O21-O58</f>
        <v>-3225764</v>
      </c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  <c r="AA60" s="229"/>
      <c r="AB60" s="229"/>
      <c r="AC60" s="229"/>
      <c r="AD60" s="229"/>
      <c r="AE60" s="229"/>
      <c r="AF60" s="229"/>
      <c r="AG60" s="229"/>
      <c r="AH60" s="229"/>
      <c r="AI60" s="229"/>
      <c r="AJ60" s="229"/>
      <c r="AK60" s="229"/>
      <c r="AL60" s="229"/>
      <c r="AM60" s="229"/>
      <c r="AN60" s="229"/>
      <c r="AO60" s="229"/>
      <c r="AP60" s="229"/>
      <c r="AQ60" s="229"/>
      <c r="AR60" s="229"/>
      <c r="AS60" s="229"/>
      <c r="AT60" s="229"/>
      <c r="AU60" s="229"/>
    </row>
    <row r="61" spans="1:47" ht="13.8" thickTop="1">
      <c r="A61" s="229"/>
      <c r="B61" s="229"/>
      <c r="C61" s="229"/>
      <c r="D61" s="229"/>
      <c r="E61" s="241">
        <f ca="1">IF(ISERR(ROUND((E50+E56)/(E60+E50+E56),4)=TRUE)," ",ROUND((E50+E56)/(E60+E50+E56),4))</f>
        <v>0.25600000000000001</v>
      </c>
      <c r="F61" s="229"/>
      <c r="G61" s="241">
        <f>IF(ISERR(ROUND((G50+G56)/(G60+G50+G56),4)=TRUE)," ",ROUND((G50+G56)/(G60+G50+G56),4))</f>
        <v>0.24929999999999999</v>
      </c>
      <c r="H61" s="241"/>
      <c r="I61" s="241">
        <f>IF(ISERR(ROUND((I50+I56)/(I60+I50+I56),4)=TRUE)," ",ROUND((I50+I56)/(I60+I50+I56),4))</f>
        <v>0.24929999999999999</v>
      </c>
      <c r="J61" s="241"/>
      <c r="K61" s="241">
        <f>IF(ISERR(ROUND((K50+K56)/(K60+K50+K56),4)=TRUE)," ",ROUND((K50+K56)/(K60+K50+K56),4))</f>
        <v>0.24929999999999999</v>
      </c>
      <c r="L61" s="241"/>
      <c r="M61" s="241" t="str">
        <f>IF(ISERR(ROUND((M50+M56)/(M60+M50+M56),4)=TRUE)," ",ROUND((M50+M56)/(M60+M50+M56),4))</f>
        <v xml:space="preserve"> </v>
      </c>
      <c r="N61" s="241"/>
      <c r="O61" s="241">
        <f>IF(ISERR(ROUND((O50+O56)/(O60+O50+O56),4)=TRUE)," ",ROUND((O50+O56)/(O60+O50+O56),4))</f>
        <v>0.24929999999999999</v>
      </c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</row>
    <row r="62" spans="1:47">
      <c r="A62" s="234"/>
      <c r="B62" s="229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29"/>
      <c r="AF62" s="229"/>
      <c r="AG62" s="229"/>
      <c r="AH62" s="229"/>
      <c r="AI62" s="229"/>
      <c r="AJ62" s="229"/>
      <c r="AK62" s="229"/>
      <c r="AL62" s="229"/>
      <c r="AM62" s="229"/>
      <c r="AN62" s="229"/>
      <c r="AO62" s="229"/>
      <c r="AP62" s="229"/>
      <c r="AQ62" s="229"/>
      <c r="AR62" s="229"/>
      <c r="AS62" s="229"/>
      <c r="AT62" s="229"/>
      <c r="AU62" s="229"/>
    </row>
    <row r="63" spans="1:47">
      <c r="A63" s="228" t="str">
        <f>COMPANY</f>
        <v>DUKE ENERGY KENTUCKY, INC.</v>
      </c>
      <c r="B63" s="228"/>
      <c r="C63" s="228"/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  <c r="AA63" s="229"/>
      <c r="AB63" s="229"/>
      <c r="AC63" s="229"/>
      <c r="AD63" s="229"/>
      <c r="AE63" s="229"/>
      <c r="AF63" s="229"/>
      <c r="AG63" s="229"/>
      <c r="AH63" s="229"/>
      <c r="AI63" s="229"/>
      <c r="AJ63" s="229"/>
      <c r="AK63" s="229"/>
      <c r="AL63" s="229"/>
      <c r="AM63" s="229"/>
      <c r="AN63" s="229"/>
      <c r="AO63" s="229"/>
      <c r="AP63" s="229"/>
      <c r="AQ63" s="229"/>
      <c r="AR63" s="229"/>
      <c r="AS63" s="229"/>
      <c r="AT63" s="229"/>
      <c r="AU63" s="229"/>
    </row>
    <row r="64" spans="1:47">
      <c r="A64" s="228" t="str">
        <f>CASE</f>
        <v>CASE NO. 2024-00354</v>
      </c>
      <c r="B64" s="228"/>
      <c r="C64" s="228"/>
      <c r="D64" s="228"/>
      <c r="E64" s="230"/>
      <c r="F64" s="230"/>
      <c r="G64" s="228"/>
      <c r="H64" s="228"/>
      <c r="I64" s="228"/>
      <c r="J64" s="228"/>
      <c r="K64" s="228"/>
      <c r="L64" s="228"/>
      <c r="M64" s="228"/>
      <c r="N64" s="228"/>
      <c r="O64" s="228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</row>
    <row r="65" spans="1:47">
      <c r="A65" s="231" t="str">
        <f>$AG$500</f>
        <v>SUMMARY OF UTILITY JURISDICTIONAL ADJUSTMENTS TO</v>
      </c>
      <c r="B65" s="228"/>
      <c r="C65" s="228"/>
      <c r="D65" s="228"/>
      <c r="E65" s="228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29"/>
      <c r="AA65" s="229"/>
      <c r="AB65" s="229"/>
      <c r="AC65" s="229"/>
      <c r="AD65" s="229"/>
      <c r="AE65" s="229"/>
      <c r="AF65" s="229"/>
      <c r="AG65" s="229"/>
      <c r="AH65" s="229"/>
      <c r="AI65" s="229"/>
      <c r="AJ65" s="229"/>
      <c r="AK65" s="229"/>
      <c r="AL65" s="229"/>
      <c r="AM65" s="229"/>
      <c r="AN65" s="229"/>
      <c r="AO65" s="229"/>
      <c r="AP65" s="229"/>
      <c r="AQ65" s="229"/>
      <c r="AR65" s="229"/>
      <c r="AS65" s="229"/>
      <c r="AT65" s="229"/>
      <c r="AU65" s="229"/>
    </row>
    <row r="66" spans="1:47">
      <c r="A66" s="231" t="str">
        <f>$AG$501</f>
        <v>OPERATING INCOME BY MAJOR ACCOUNTS</v>
      </c>
      <c r="B66" s="228"/>
      <c r="C66" s="228"/>
      <c r="D66" s="228"/>
      <c r="E66" s="228"/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  <c r="AA66" s="229"/>
      <c r="AB66" s="229"/>
      <c r="AC66" s="229"/>
      <c r="AD66" s="229"/>
      <c r="AE66" s="229"/>
      <c r="AF66" s="229"/>
      <c r="AG66" s="229"/>
      <c r="AH66" s="229"/>
      <c r="AI66" s="229"/>
      <c r="AJ66" s="229"/>
      <c r="AK66" s="229"/>
      <c r="AL66" s="229"/>
      <c r="AM66" s="229"/>
      <c r="AN66" s="229"/>
      <c r="AO66" s="229"/>
      <c r="AP66" s="229"/>
      <c r="AQ66" s="229"/>
      <c r="AR66" s="229"/>
      <c r="AS66" s="229"/>
      <c r="AT66" s="229"/>
      <c r="AU66" s="229"/>
    </row>
    <row r="67" spans="1:47">
      <c r="A67" s="232" t="str">
        <f>$A$5</f>
        <v>ADJUSTMENTS TO THE BASE PERIOD</v>
      </c>
      <c r="B67" s="228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</row>
    <row r="68" spans="1:47">
      <c r="A68" s="228" t="str">
        <f>A6</f>
        <v>FOR THE TWELVE MONTHS ENDED FEBRUARY 28, 2025</v>
      </c>
      <c r="B68" s="228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  <c r="AA68" s="229"/>
      <c r="AB68" s="229"/>
      <c r="AC68" s="229"/>
      <c r="AD68" s="229"/>
      <c r="AE68" s="229"/>
      <c r="AF68" s="229"/>
      <c r="AG68" s="229"/>
      <c r="AH68" s="229"/>
      <c r="AI68" s="229"/>
      <c r="AJ68" s="229"/>
      <c r="AK68" s="229"/>
      <c r="AL68" s="229"/>
      <c r="AM68" s="229"/>
      <c r="AN68" s="229"/>
      <c r="AO68" s="229"/>
      <c r="AP68" s="229"/>
      <c r="AQ68" s="229"/>
      <c r="AR68" s="229"/>
      <c r="AS68" s="229"/>
      <c r="AT68" s="229"/>
      <c r="AU68" s="229"/>
    </row>
    <row r="69" spans="1:47">
      <c r="A69" s="229"/>
      <c r="B69" s="229"/>
      <c r="C69" s="229"/>
      <c r="D69" s="229"/>
      <c r="E69" s="229"/>
      <c r="F69" s="229"/>
      <c r="G69" s="229"/>
      <c r="H69" s="229"/>
      <c r="I69" s="229"/>
      <c r="J69" s="229"/>
      <c r="K69" s="229"/>
      <c r="L69" s="229"/>
      <c r="M69" s="229"/>
      <c r="N69" s="229"/>
      <c r="O69" s="229"/>
      <c r="P69" s="229"/>
      <c r="Q69" s="229"/>
      <c r="R69" s="229"/>
      <c r="S69" s="229"/>
      <c r="T69" s="229"/>
      <c r="U69" s="229"/>
      <c r="V69" s="229"/>
      <c r="W69" s="229"/>
      <c r="X69" s="229"/>
      <c r="Y69" s="229"/>
      <c r="Z69" s="229"/>
      <c r="AA69" s="229"/>
      <c r="AB69" s="229"/>
      <c r="AC69" s="229"/>
      <c r="AD69" s="229"/>
      <c r="AE69" s="229"/>
      <c r="AF69" s="229"/>
      <c r="AG69" s="229"/>
      <c r="AH69" s="229"/>
      <c r="AI69" s="229"/>
      <c r="AJ69" s="229"/>
      <c r="AK69" s="229"/>
      <c r="AL69" s="229"/>
      <c r="AM69" s="229"/>
      <c r="AN69" s="229"/>
      <c r="AO69" s="229"/>
      <c r="AP69" s="229"/>
      <c r="AQ69" s="229"/>
      <c r="AR69" s="229"/>
      <c r="AS69" s="229"/>
      <c r="AT69" s="229"/>
      <c r="AU69" s="229"/>
    </row>
    <row r="70" spans="1:47">
      <c r="A70" s="229" t="str">
        <f>Data</f>
        <v>DATA: "X" BASE PERIOD   FORECASTED PERIOD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33" t="s">
        <v>1725</v>
      </c>
      <c r="N70" s="234"/>
      <c r="O70" s="234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</row>
    <row r="71" spans="1:47">
      <c r="A71" s="229" t="str">
        <f>Type</f>
        <v xml:space="preserve">TYPE OF FILING:  "X" ORIGINAL   UPDATED    REVISED  </v>
      </c>
      <c r="B71" s="229"/>
      <c r="C71" s="229"/>
      <c r="D71" s="229"/>
      <c r="E71" s="229"/>
      <c r="F71" s="229"/>
      <c r="G71" s="229"/>
      <c r="H71" s="229"/>
      <c r="I71" s="229"/>
      <c r="J71" s="229"/>
      <c r="K71" s="229"/>
      <c r="L71" s="229"/>
      <c r="M71" s="234" t="s">
        <v>1768</v>
      </c>
      <c r="N71" s="234"/>
      <c r="O71" s="234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  <c r="AA71" s="229"/>
      <c r="AB71" s="229"/>
      <c r="AC71" s="229"/>
      <c r="AD71" s="229"/>
      <c r="AE71" s="229"/>
      <c r="AF71" s="229"/>
      <c r="AG71" s="229"/>
      <c r="AH71" s="229"/>
      <c r="AI71" s="229"/>
      <c r="AJ71" s="229"/>
      <c r="AK71" s="229"/>
      <c r="AL71" s="229"/>
      <c r="AM71" s="229"/>
      <c r="AN71" s="229"/>
      <c r="AO71" s="229"/>
      <c r="AP71" s="229"/>
      <c r="AQ71" s="229"/>
      <c r="AR71" s="229"/>
      <c r="AS71" s="229"/>
      <c r="AT71" s="229"/>
      <c r="AU71" s="229"/>
    </row>
    <row r="72" spans="1:47">
      <c r="A72" s="234" t="s">
        <v>467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33" t="s">
        <v>1727</v>
      </c>
      <c r="N72" s="234"/>
      <c r="O72" s="234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229"/>
      <c r="AF72" s="229"/>
      <c r="AG72" s="229"/>
      <c r="AH72" s="229"/>
      <c r="AI72" s="229"/>
      <c r="AJ72" s="229"/>
      <c r="AK72" s="229"/>
      <c r="AL72" s="229"/>
      <c r="AM72" s="229"/>
      <c r="AN72" s="229"/>
      <c r="AO72" s="229"/>
      <c r="AP72" s="229"/>
      <c r="AQ72" s="229"/>
      <c r="AR72" s="229"/>
      <c r="AS72" s="229"/>
      <c r="AT72" s="229"/>
      <c r="AU72" s="229"/>
    </row>
    <row r="73" spans="1:47">
      <c r="A73" s="229"/>
      <c r="B73" s="229"/>
      <c r="C73" s="229"/>
      <c r="D73" s="229"/>
      <c r="E73" s="229"/>
      <c r="F73" s="229"/>
      <c r="G73" s="229"/>
      <c r="H73" s="229"/>
      <c r="I73" s="229"/>
      <c r="J73" s="229"/>
      <c r="K73" s="229"/>
      <c r="L73" s="229"/>
      <c r="M73" s="234" t="str">
        <f>"          "&amp;_WIT1</f>
        <v xml:space="preserve">          L. D. STEINKUHL</v>
      </c>
      <c r="N73" s="234"/>
      <c r="O73" s="234"/>
      <c r="P73" s="229"/>
      <c r="Q73" s="229"/>
      <c r="R73" s="229"/>
      <c r="S73" s="229"/>
      <c r="T73" s="229"/>
      <c r="U73" s="229"/>
      <c r="V73" s="229"/>
      <c r="W73" s="229"/>
      <c r="X73" s="229"/>
      <c r="Y73" s="229"/>
      <c r="Z73" s="229"/>
      <c r="AA73" s="229"/>
      <c r="AB73" s="229"/>
      <c r="AC73" s="229"/>
      <c r="AD73" s="229"/>
      <c r="AE73" s="229"/>
      <c r="AF73" s="229"/>
      <c r="AG73" s="229"/>
      <c r="AH73" s="229"/>
      <c r="AI73" s="229"/>
      <c r="AJ73" s="229"/>
      <c r="AK73" s="229"/>
      <c r="AL73" s="229"/>
      <c r="AM73" s="229"/>
      <c r="AN73" s="229"/>
      <c r="AO73" s="229"/>
      <c r="AP73" s="229"/>
      <c r="AQ73" s="229"/>
      <c r="AR73" s="229"/>
      <c r="AS73" s="229"/>
      <c r="AT73" s="229"/>
      <c r="AU73" s="229"/>
    </row>
    <row r="74" spans="1:47">
      <c r="A74" s="1502"/>
      <c r="B74" s="1502"/>
      <c r="C74" s="1502"/>
      <c r="D74" s="1502"/>
      <c r="E74" s="1502"/>
      <c r="F74" s="1502"/>
      <c r="G74" s="1502"/>
      <c r="H74" s="1502"/>
      <c r="I74" s="1502"/>
      <c r="J74" s="1502"/>
      <c r="K74" s="1502"/>
      <c r="L74" s="1502"/>
      <c r="M74" s="1502"/>
      <c r="N74" s="1502"/>
      <c r="O74" s="1502"/>
      <c r="P74" s="229"/>
      <c r="Q74" s="229"/>
      <c r="R74" s="229"/>
      <c r="S74" s="229"/>
      <c r="T74" s="229"/>
      <c r="U74" s="229"/>
      <c r="V74" s="229"/>
      <c r="W74" s="229"/>
      <c r="X74" s="229"/>
      <c r="Y74" s="229"/>
      <c r="Z74" s="229"/>
      <c r="AA74" s="229"/>
      <c r="AB74" s="229"/>
      <c r="AC74" s="229"/>
      <c r="AD74" s="229"/>
      <c r="AE74" s="229"/>
      <c r="AF74" s="229"/>
      <c r="AG74" s="229"/>
      <c r="AH74" s="229"/>
      <c r="AI74" s="229"/>
      <c r="AJ74" s="229"/>
      <c r="AK74" s="229"/>
      <c r="AL74" s="229"/>
      <c r="AM74" s="229"/>
      <c r="AN74" s="229"/>
      <c r="AO74" s="229"/>
      <c r="AP74" s="229"/>
      <c r="AQ74" s="229"/>
      <c r="AR74" s="229"/>
      <c r="AS74" s="229"/>
      <c r="AT74" s="229"/>
      <c r="AU74" s="229"/>
    </row>
    <row r="75" spans="1:47">
      <c r="A75" s="229"/>
      <c r="B75" s="229"/>
      <c r="C75" s="229"/>
      <c r="D75" s="229"/>
      <c r="E75" s="240" t="s">
        <v>1728</v>
      </c>
      <c r="F75" s="229"/>
      <c r="G75" s="240" t="s">
        <v>1728</v>
      </c>
      <c r="H75" s="229"/>
      <c r="I75" s="240" t="s">
        <v>1728</v>
      </c>
      <c r="J75" s="235"/>
      <c r="K75" s="240" t="s">
        <v>1728</v>
      </c>
      <c r="L75" s="236"/>
      <c r="M75" s="240" t="s">
        <v>1728</v>
      </c>
      <c r="N75" s="240"/>
      <c r="O75" s="240" t="s">
        <v>1728</v>
      </c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  <c r="AA75" s="229"/>
      <c r="AB75" s="229"/>
      <c r="AC75" s="229"/>
      <c r="AD75" s="229"/>
      <c r="AE75" s="229"/>
      <c r="AF75" s="229"/>
      <c r="AG75" s="229"/>
      <c r="AH75" s="229"/>
      <c r="AI75" s="229"/>
      <c r="AJ75" s="229"/>
      <c r="AK75" s="229"/>
      <c r="AL75" s="229"/>
      <c r="AM75" s="229"/>
      <c r="AN75" s="229"/>
      <c r="AO75" s="229"/>
      <c r="AP75" s="229"/>
      <c r="AQ75" s="229"/>
      <c r="AR75" s="229"/>
      <c r="AS75" s="229"/>
      <c r="AT75" s="229"/>
      <c r="AU75" s="229"/>
    </row>
    <row r="76" spans="1:47">
      <c r="A76" s="234" t="s">
        <v>471</v>
      </c>
      <c r="B76" s="229"/>
      <c r="C76" s="229"/>
      <c r="D76" s="229"/>
      <c r="E76" s="240" t="s">
        <v>1769</v>
      </c>
      <c r="F76" s="229"/>
      <c r="G76" s="240" t="s">
        <v>1770</v>
      </c>
      <c r="H76" s="229"/>
      <c r="I76" s="240" t="s">
        <v>1771</v>
      </c>
      <c r="J76" s="235"/>
      <c r="K76" s="240" t="s">
        <v>1772</v>
      </c>
      <c r="L76" s="236"/>
      <c r="M76" s="236" t="s">
        <v>1773</v>
      </c>
      <c r="N76" s="240"/>
      <c r="O76" s="240" t="s">
        <v>346</v>
      </c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  <c r="AA76" s="229"/>
      <c r="AB76" s="229"/>
      <c r="AC76" s="229"/>
      <c r="AD76" s="229"/>
      <c r="AE76" s="229"/>
      <c r="AF76" s="229"/>
      <c r="AG76" s="229"/>
      <c r="AH76" s="229"/>
      <c r="AI76" s="229"/>
      <c r="AJ76" s="229"/>
      <c r="AK76" s="229"/>
      <c r="AL76" s="229"/>
      <c r="AM76" s="229"/>
      <c r="AN76" s="229"/>
      <c r="AO76" s="229"/>
      <c r="AP76" s="229"/>
      <c r="AQ76" s="229"/>
      <c r="AR76" s="229"/>
      <c r="AS76" s="229"/>
      <c r="AT76" s="229"/>
      <c r="AU76" s="229"/>
    </row>
    <row r="77" spans="1:47">
      <c r="A77" s="1503" t="s">
        <v>533</v>
      </c>
      <c r="B77" s="1504"/>
      <c r="C77" s="1503" t="s">
        <v>1733</v>
      </c>
      <c r="D77" s="1502"/>
      <c r="E77" s="1503" t="s">
        <v>1736</v>
      </c>
      <c r="F77" s="229"/>
      <c r="G77" s="1503" t="s">
        <v>1736</v>
      </c>
      <c r="H77" s="229"/>
      <c r="I77" s="1503" t="s">
        <v>1774</v>
      </c>
      <c r="J77" s="1502"/>
      <c r="K77" s="1503" t="s">
        <v>1775</v>
      </c>
      <c r="L77" s="1502"/>
      <c r="M77" s="1503" t="s">
        <v>1736</v>
      </c>
      <c r="N77" s="1502"/>
      <c r="O77" s="1503" t="s">
        <v>1736</v>
      </c>
      <c r="P77" s="229"/>
      <c r="Q77" s="229"/>
      <c r="R77" s="229"/>
      <c r="S77" s="229"/>
      <c r="T77" s="229"/>
      <c r="U77" s="229"/>
      <c r="V77" s="229"/>
      <c r="W77" s="229"/>
      <c r="X77" s="229"/>
      <c r="Y77" s="229"/>
      <c r="Z77" s="229"/>
      <c r="AA77" s="229"/>
      <c r="AB77" s="229"/>
      <c r="AC77" s="229"/>
      <c r="AD77" s="229"/>
      <c r="AE77" s="229"/>
      <c r="AF77" s="229"/>
      <c r="AG77" s="229"/>
      <c r="AH77" s="229"/>
      <c r="AI77" s="229"/>
      <c r="AJ77" s="229"/>
      <c r="AK77" s="229"/>
      <c r="AL77" s="229"/>
      <c r="AM77" s="229"/>
      <c r="AN77" s="229"/>
      <c r="AO77" s="229"/>
      <c r="AP77" s="229"/>
      <c r="AQ77" s="229"/>
      <c r="AR77" s="229"/>
      <c r="AS77" s="229"/>
      <c r="AT77" s="229"/>
      <c r="AU77" s="229"/>
    </row>
    <row r="78" spans="1:47">
      <c r="A78" s="1504"/>
      <c r="B78" s="1504"/>
      <c r="C78" s="1505" t="s">
        <v>1737</v>
      </c>
      <c r="D78" s="1504"/>
      <c r="E78" s="1503" t="s">
        <v>1423</v>
      </c>
      <c r="F78" s="229"/>
      <c r="G78" s="1503" t="s">
        <v>1424</v>
      </c>
      <c r="H78" s="1503"/>
      <c r="I78" s="1503" t="s">
        <v>1425</v>
      </c>
      <c r="J78" s="1503"/>
      <c r="K78" s="1503" t="s">
        <v>1426</v>
      </c>
      <c r="L78" s="1503"/>
      <c r="M78" s="1503" t="s">
        <v>1427</v>
      </c>
      <c r="N78" s="1503"/>
      <c r="O78" s="1503" t="s">
        <v>1428</v>
      </c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29"/>
      <c r="AA78" s="229"/>
      <c r="AB78" s="229"/>
      <c r="AC78" s="229"/>
      <c r="AD78" s="229"/>
      <c r="AE78" s="229"/>
      <c r="AF78" s="229"/>
      <c r="AG78" s="229"/>
      <c r="AH78" s="229"/>
      <c r="AI78" s="229"/>
      <c r="AJ78" s="229"/>
      <c r="AK78" s="229"/>
      <c r="AL78" s="229"/>
      <c r="AM78" s="229"/>
      <c r="AN78" s="229"/>
      <c r="AO78" s="229"/>
      <c r="AP78" s="229"/>
      <c r="AQ78" s="229"/>
      <c r="AR78" s="229"/>
      <c r="AS78" s="229"/>
      <c r="AT78" s="229"/>
      <c r="AU78" s="229"/>
    </row>
    <row r="79" spans="1:47">
      <c r="A79" s="240">
        <v>1</v>
      </c>
      <c r="B79" s="242" t="s">
        <v>451</v>
      </c>
      <c r="C79" s="229"/>
      <c r="D79" s="229"/>
      <c r="E79" s="229"/>
      <c r="F79" s="229"/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229"/>
      <c r="R79" s="229"/>
      <c r="S79" s="229"/>
      <c r="T79" s="229"/>
      <c r="U79" s="229"/>
      <c r="V79" s="229"/>
      <c r="W79" s="229"/>
      <c r="X79" s="229"/>
      <c r="Y79" s="229"/>
      <c r="Z79" s="229"/>
      <c r="AA79" s="229"/>
      <c r="AB79" s="229"/>
      <c r="AC79" s="229"/>
      <c r="AD79" s="229"/>
      <c r="AE79" s="229"/>
      <c r="AF79" s="229"/>
      <c r="AG79" s="229"/>
      <c r="AH79" s="229"/>
      <c r="AI79" s="229"/>
      <c r="AJ79" s="229"/>
      <c r="AK79" s="229"/>
      <c r="AL79" s="229"/>
      <c r="AM79" s="229"/>
      <c r="AN79" s="229"/>
      <c r="AO79" s="229"/>
      <c r="AP79" s="229"/>
      <c r="AQ79" s="229"/>
      <c r="AR79" s="229"/>
      <c r="AS79" s="229"/>
      <c r="AT79" s="229"/>
      <c r="AU79" s="229"/>
    </row>
    <row r="80" spans="1:47">
      <c r="A80" s="240">
        <v>2</v>
      </c>
      <c r="B80" s="229"/>
      <c r="C80" s="234" t="s">
        <v>1740</v>
      </c>
      <c r="D80" s="229"/>
      <c r="E80" s="238"/>
      <c r="F80" s="229"/>
      <c r="G80" s="238"/>
      <c r="H80" s="229"/>
      <c r="I80" s="238"/>
      <c r="J80" s="238"/>
      <c r="K80" s="238"/>
      <c r="L80" s="238"/>
      <c r="M80" s="238"/>
      <c r="N80" s="238"/>
      <c r="O80" s="238"/>
      <c r="P80" s="229"/>
      <c r="Q80" s="229"/>
      <c r="R80" s="229"/>
      <c r="S80" s="229"/>
      <c r="T80" s="229"/>
      <c r="U80" s="229"/>
      <c r="V80" s="229"/>
      <c r="W80" s="229"/>
      <c r="X80" s="229"/>
      <c r="Y80" s="229"/>
      <c r="Z80" s="229"/>
      <c r="AA80" s="229"/>
      <c r="AB80" s="229"/>
      <c r="AC80" s="229"/>
      <c r="AD80" s="229"/>
      <c r="AE80" s="229"/>
      <c r="AF80" s="229"/>
      <c r="AG80" s="229"/>
      <c r="AH80" s="229"/>
      <c r="AI80" s="229"/>
      <c r="AJ80" s="229"/>
      <c r="AK80" s="229"/>
      <c r="AL80" s="229"/>
      <c r="AM80" s="229"/>
      <c r="AN80" s="229"/>
      <c r="AO80" s="229"/>
      <c r="AP80" s="229"/>
      <c r="AQ80" s="229"/>
      <c r="AR80" s="229"/>
      <c r="AS80" s="229"/>
      <c r="AT80" s="229"/>
      <c r="AU80" s="229"/>
    </row>
    <row r="81" spans="1:47">
      <c r="A81" s="240">
        <v>3</v>
      </c>
      <c r="B81" s="229"/>
      <c r="C81" s="234" t="s">
        <v>1741</v>
      </c>
      <c r="D81" s="229"/>
      <c r="E81" s="238"/>
      <c r="F81" s="229"/>
      <c r="G81" s="238"/>
      <c r="H81" s="229"/>
      <c r="I81" s="238"/>
      <c r="J81" s="238"/>
      <c r="K81" s="238"/>
      <c r="L81" s="238"/>
      <c r="M81" s="238"/>
      <c r="N81" s="238"/>
      <c r="O81" s="238"/>
      <c r="P81" s="229"/>
      <c r="Q81" s="229"/>
      <c r="R81" s="229"/>
      <c r="S81" s="229"/>
      <c r="T81" s="229"/>
      <c r="U81" s="229"/>
      <c r="V81" s="229"/>
      <c r="W81" s="229"/>
      <c r="X81" s="229"/>
      <c r="Y81" s="229"/>
      <c r="Z81" s="229"/>
      <c r="AA81" s="229"/>
      <c r="AB81" s="229"/>
      <c r="AC81" s="229"/>
      <c r="AD81" s="229"/>
      <c r="AE81" s="229"/>
      <c r="AF81" s="229"/>
      <c r="AG81" s="229"/>
      <c r="AH81" s="229"/>
      <c r="AI81" s="229"/>
      <c r="AJ81" s="229"/>
      <c r="AK81" s="229"/>
      <c r="AL81" s="229"/>
      <c r="AM81" s="229"/>
      <c r="AN81" s="229"/>
      <c r="AO81" s="229"/>
      <c r="AP81" s="229"/>
      <c r="AQ81" s="229"/>
      <c r="AR81" s="229"/>
      <c r="AS81" s="229"/>
      <c r="AT81" s="229"/>
      <c r="AU81" s="229"/>
    </row>
    <row r="82" spans="1:47">
      <c r="A82" s="240">
        <v>4</v>
      </c>
      <c r="B82" s="229"/>
      <c r="C82" s="234" t="s">
        <v>1742</v>
      </c>
      <c r="D82" s="229"/>
      <c r="E82" s="238"/>
      <c r="F82" s="229"/>
      <c r="G82" s="238"/>
      <c r="H82" s="229"/>
      <c r="I82" s="238"/>
      <c r="J82" s="238"/>
      <c r="K82" s="238"/>
      <c r="L82" s="238"/>
      <c r="M82" s="238"/>
      <c r="N82" s="238"/>
      <c r="O82" s="238"/>
      <c r="P82" s="229"/>
      <c r="Q82" s="229"/>
      <c r="R82" s="229"/>
      <c r="S82" s="229"/>
      <c r="T82" s="229"/>
      <c r="U82" s="229"/>
      <c r="V82" s="229"/>
      <c r="W82" s="229"/>
      <c r="X82" s="229"/>
      <c r="Y82" s="229"/>
      <c r="Z82" s="229"/>
      <c r="AA82" s="229"/>
      <c r="AB82" s="229"/>
      <c r="AC82" s="229"/>
      <c r="AD82" s="229"/>
      <c r="AE82" s="229"/>
      <c r="AF82" s="229"/>
      <c r="AG82" s="229"/>
      <c r="AH82" s="229"/>
      <c r="AI82" s="229"/>
      <c r="AJ82" s="229"/>
      <c r="AK82" s="229"/>
      <c r="AL82" s="229"/>
      <c r="AM82" s="229"/>
      <c r="AN82" s="229"/>
      <c r="AO82" s="229"/>
      <c r="AP82" s="229"/>
      <c r="AQ82" s="229"/>
      <c r="AR82" s="229"/>
      <c r="AS82" s="229"/>
      <c r="AT82" s="229"/>
      <c r="AU82" s="229"/>
    </row>
    <row r="83" spans="1:47">
      <c r="A83" s="240">
        <v>5</v>
      </c>
      <c r="B83" s="229"/>
      <c r="C83" s="234" t="s">
        <v>1743</v>
      </c>
      <c r="D83" s="229"/>
      <c r="E83" s="2140">
        <f>SUM(E80:E82)</f>
        <v>0</v>
      </c>
      <c r="F83" s="229"/>
      <c r="G83" s="2140">
        <f>SUM(G80:G82)</f>
        <v>0</v>
      </c>
      <c r="H83" s="229"/>
      <c r="I83" s="2140">
        <f>SUM(I80:I82)</f>
        <v>0</v>
      </c>
      <c r="J83" s="238"/>
      <c r="K83" s="2140">
        <f>SUM(K80:K82)</f>
        <v>0</v>
      </c>
      <c r="L83" s="238"/>
      <c r="M83" s="2140">
        <f>SUM(M80:M82)</f>
        <v>0</v>
      </c>
      <c r="N83" s="238"/>
      <c r="O83" s="2140">
        <f>SUM(O80:O82)</f>
        <v>0</v>
      </c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  <c r="AF83" s="229"/>
      <c r="AG83" s="229"/>
      <c r="AH83" s="229"/>
      <c r="AI83" s="229"/>
      <c r="AJ83" s="229"/>
      <c r="AK83" s="229"/>
      <c r="AL83" s="229"/>
      <c r="AM83" s="229"/>
      <c r="AN83" s="229"/>
      <c r="AO83" s="229"/>
      <c r="AP83" s="229"/>
      <c r="AQ83" s="229"/>
      <c r="AR83" s="229"/>
      <c r="AS83" s="229"/>
      <c r="AT83" s="229"/>
      <c r="AU83" s="229"/>
    </row>
    <row r="84" spans="1:47">
      <c r="A84" s="240">
        <v>6</v>
      </c>
      <c r="B84" s="229"/>
      <c r="C84" s="229"/>
      <c r="D84" s="229"/>
      <c r="E84" s="239"/>
      <c r="F84" s="229"/>
      <c r="G84" s="239"/>
      <c r="H84" s="229"/>
      <c r="I84" s="239"/>
      <c r="J84" s="239"/>
      <c r="K84" s="239"/>
      <c r="L84" s="239"/>
      <c r="M84" s="239"/>
      <c r="N84" s="239"/>
      <c r="O84" s="239"/>
      <c r="P84" s="229"/>
      <c r="Q84" s="229"/>
      <c r="R84" s="229"/>
      <c r="S84" s="229"/>
      <c r="T84" s="229"/>
      <c r="U84" s="229"/>
      <c r="V84" s="229"/>
      <c r="W84" s="229"/>
      <c r="X84" s="229"/>
      <c r="Y84" s="229"/>
      <c r="Z84" s="229"/>
      <c r="AA84" s="229"/>
      <c r="AB84" s="229"/>
      <c r="AC84" s="229"/>
      <c r="AD84" s="229"/>
      <c r="AE84" s="229"/>
      <c r="AF84" s="229"/>
      <c r="AG84" s="229"/>
      <c r="AH84" s="229"/>
      <c r="AI84" s="229"/>
      <c r="AJ84" s="229"/>
      <c r="AK84" s="229"/>
      <c r="AL84" s="229"/>
      <c r="AM84" s="229"/>
      <c r="AN84" s="229"/>
      <c r="AO84" s="229"/>
      <c r="AP84" s="229"/>
      <c r="AQ84" s="229"/>
      <c r="AR84" s="229"/>
      <c r="AS84" s="229"/>
      <c r="AT84" s="229"/>
      <c r="AU84" s="229"/>
    </row>
    <row r="85" spans="1:47">
      <c r="A85" s="240">
        <v>7</v>
      </c>
      <c r="B85" s="242" t="s">
        <v>404</v>
      </c>
      <c r="C85" s="229"/>
      <c r="D85" s="229"/>
      <c r="E85" s="1752" t="str">
        <f>IF(SUM(E86:E87,E104,E109,E114)=0,"","DATA ENTERED IN WRONG LINE")</f>
        <v/>
      </c>
      <c r="F85" s="1752"/>
      <c r="G85" s="1752" t="str">
        <f>IF(SUM(G86:G87,G104,G109,G114)=0,"","DATA ENTERED IN WRONG LINE")</f>
        <v/>
      </c>
      <c r="H85" s="1752"/>
      <c r="I85" s="1752" t="str">
        <f>IF(SUM(I86:I87,I104,I109,I114)=0,"","DATA ENTERED IN WRONG LINE")</f>
        <v/>
      </c>
      <c r="J85" s="1752"/>
      <c r="K85" s="1752" t="str">
        <f>IF(SUM(K86:K87,K104,K109,K114)=0,"","DATA ENTERED IN WRONG LINE")</f>
        <v/>
      </c>
      <c r="L85" s="1752"/>
      <c r="M85" s="1752" t="str">
        <f>IF(SUM(M86:M87,M104,M109,M114)=0,"","DATA ENTERED IN WRONG LINE")</f>
        <v/>
      </c>
      <c r="N85" s="1752"/>
      <c r="O85" s="1752" t="str">
        <f>IF(SUM(O86:O87,O104,O109,O114)=0,"","DATA ENTERED IN WRONG LINE")</f>
        <v/>
      </c>
      <c r="P85" s="229"/>
      <c r="Q85" s="229"/>
      <c r="R85" s="229"/>
      <c r="S85" s="229"/>
      <c r="T85" s="229"/>
      <c r="U85" s="229"/>
      <c r="V85" s="229"/>
      <c r="W85" s="229"/>
      <c r="X85" s="229"/>
      <c r="Y85" s="229"/>
      <c r="Z85" s="229"/>
      <c r="AA85" s="229"/>
      <c r="AB85" s="229"/>
      <c r="AC85" s="229"/>
      <c r="AD85" s="229"/>
      <c r="AE85" s="229"/>
      <c r="AF85" s="229"/>
      <c r="AG85" s="229"/>
      <c r="AH85" s="229"/>
      <c r="AI85" s="229"/>
      <c r="AJ85" s="229"/>
      <c r="AK85" s="229"/>
      <c r="AL85" s="229"/>
      <c r="AM85" s="229"/>
      <c r="AN85" s="229"/>
      <c r="AO85" s="229"/>
      <c r="AP85" s="229"/>
      <c r="AQ85" s="229"/>
      <c r="AR85" s="229"/>
      <c r="AS85" s="229"/>
      <c r="AT85" s="229"/>
      <c r="AU85" s="229"/>
    </row>
    <row r="86" spans="1:47">
      <c r="A86" s="240">
        <v>8</v>
      </c>
      <c r="B86" s="229"/>
      <c r="C86" s="234" t="s">
        <v>1744</v>
      </c>
      <c r="D86" s="229"/>
      <c r="E86" s="229"/>
      <c r="F86" s="229"/>
      <c r="G86" s="229"/>
      <c r="H86" s="229"/>
      <c r="I86" s="229"/>
      <c r="J86" s="229"/>
      <c r="K86" s="229"/>
      <c r="L86" s="229"/>
      <c r="M86" s="229"/>
      <c r="N86" s="229"/>
      <c r="O86" s="229"/>
      <c r="P86" s="229"/>
      <c r="Q86" s="229"/>
      <c r="R86" s="229"/>
      <c r="S86" s="229"/>
      <c r="T86" s="229"/>
      <c r="U86" s="229"/>
      <c r="V86" s="229"/>
      <c r="W86" s="229"/>
      <c r="X86" s="229"/>
      <c r="Y86" s="229"/>
      <c r="Z86" s="229"/>
      <c r="AA86" s="229"/>
      <c r="AB86" s="229"/>
      <c r="AC86" s="229"/>
      <c r="AD86" s="229"/>
      <c r="AE86" s="229"/>
      <c r="AF86" s="229"/>
      <c r="AG86" s="229"/>
      <c r="AH86" s="229"/>
      <c r="AI86" s="229"/>
      <c r="AJ86" s="229"/>
      <c r="AK86" s="229"/>
      <c r="AL86" s="229"/>
      <c r="AM86" s="229"/>
      <c r="AN86" s="229"/>
      <c r="AO86" s="229"/>
      <c r="AP86" s="229"/>
      <c r="AQ86" s="229"/>
      <c r="AR86" s="229"/>
      <c r="AS86" s="229"/>
      <c r="AT86" s="229"/>
      <c r="AU86" s="229"/>
    </row>
    <row r="87" spans="1:47">
      <c r="A87" s="240">
        <v>9</v>
      </c>
      <c r="B87" s="229"/>
      <c r="C87" s="234" t="s">
        <v>1745</v>
      </c>
      <c r="D87" s="229"/>
      <c r="E87" s="229"/>
      <c r="F87" s="229"/>
      <c r="G87" s="229"/>
      <c r="H87" s="229"/>
      <c r="I87" s="22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  <c r="V87" s="229"/>
      <c r="W87" s="229"/>
      <c r="X87" s="229"/>
      <c r="Y87" s="229"/>
      <c r="Z87" s="229"/>
      <c r="AA87" s="229"/>
      <c r="AB87" s="229"/>
      <c r="AC87" s="229"/>
      <c r="AD87" s="229"/>
      <c r="AE87" s="229"/>
      <c r="AF87" s="229"/>
      <c r="AG87" s="229"/>
      <c r="AH87" s="229"/>
      <c r="AI87" s="229"/>
      <c r="AJ87" s="229"/>
      <c r="AK87" s="229"/>
      <c r="AL87" s="229"/>
      <c r="AM87" s="229"/>
      <c r="AN87" s="229"/>
      <c r="AO87" s="229"/>
      <c r="AP87" s="229"/>
      <c r="AQ87" s="229"/>
      <c r="AR87" s="229"/>
      <c r="AS87" s="229"/>
      <c r="AT87" s="229"/>
      <c r="AU87" s="229"/>
    </row>
    <row r="88" spans="1:47">
      <c r="A88" s="240">
        <v>10</v>
      </c>
      <c r="B88" s="229"/>
      <c r="C88" s="181" t="s">
        <v>454</v>
      </c>
      <c r="D88" s="229"/>
      <c r="E88" s="238"/>
      <c r="F88" s="229"/>
      <c r="G88" s="238"/>
      <c r="H88" s="229"/>
      <c r="I88" s="238"/>
      <c r="J88" s="238"/>
      <c r="K88" s="238"/>
      <c r="L88" s="238"/>
      <c r="M88" s="238"/>
      <c r="N88" s="238"/>
      <c r="O88" s="238"/>
      <c r="P88" s="229"/>
      <c r="Q88" s="229"/>
      <c r="R88" s="229"/>
      <c r="S88" s="229"/>
      <c r="T88" s="229"/>
      <c r="U88" s="229"/>
      <c r="V88" s="229"/>
      <c r="W88" s="229"/>
      <c r="X88" s="229"/>
      <c r="Y88" s="229"/>
      <c r="Z88" s="229"/>
      <c r="AA88" s="229"/>
      <c r="AB88" s="229"/>
      <c r="AC88" s="229"/>
      <c r="AD88" s="229"/>
      <c r="AE88" s="229"/>
      <c r="AF88" s="229"/>
      <c r="AG88" s="229"/>
      <c r="AH88" s="229"/>
      <c r="AI88" s="229"/>
      <c r="AJ88" s="229"/>
      <c r="AK88" s="229"/>
      <c r="AL88" s="229"/>
      <c r="AM88" s="229"/>
      <c r="AN88" s="229"/>
      <c r="AO88" s="229"/>
      <c r="AP88" s="229"/>
      <c r="AQ88" s="229"/>
      <c r="AR88" s="229"/>
      <c r="AS88" s="229"/>
      <c r="AT88" s="229"/>
      <c r="AU88" s="229"/>
    </row>
    <row r="89" spans="1:47">
      <c r="A89" s="240">
        <v>11</v>
      </c>
      <c r="B89" s="229"/>
      <c r="C89" s="234" t="s">
        <v>1746</v>
      </c>
      <c r="D89" s="229"/>
      <c r="E89" s="238"/>
      <c r="F89" s="229"/>
      <c r="G89" s="238"/>
      <c r="H89" s="229"/>
      <c r="I89" s="238"/>
      <c r="J89" s="238"/>
      <c r="K89" s="238"/>
      <c r="L89" s="238"/>
      <c r="M89" s="238"/>
      <c r="N89" s="238"/>
      <c r="O89" s="238"/>
      <c r="P89" s="229"/>
      <c r="Q89" s="229"/>
      <c r="R89" s="229"/>
      <c r="S89" s="229"/>
      <c r="T89" s="229"/>
      <c r="U89" s="229"/>
      <c r="V89" s="229"/>
      <c r="W89" s="229"/>
      <c r="X89" s="229"/>
      <c r="Y89" s="229"/>
      <c r="Z89" s="229"/>
      <c r="AA89" s="229"/>
      <c r="AB89" s="229"/>
      <c r="AC89" s="229"/>
      <c r="AD89" s="229"/>
      <c r="AE89" s="229"/>
      <c r="AF89" s="229"/>
      <c r="AG89" s="229"/>
      <c r="AH89" s="229"/>
      <c r="AI89" s="229"/>
      <c r="AJ89" s="229"/>
      <c r="AK89" s="229"/>
      <c r="AL89" s="229"/>
      <c r="AM89" s="229"/>
      <c r="AN89" s="229"/>
      <c r="AO89" s="229"/>
      <c r="AP89" s="229"/>
      <c r="AQ89" s="229"/>
      <c r="AR89" s="229"/>
      <c r="AS89" s="229"/>
      <c r="AT89" s="229"/>
      <c r="AU89" s="229"/>
    </row>
    <row r="90" spans="1:47">
      <c r="A90" s="240">
        <v>12</v>
      </c>
      <c r="B90" s="229"/>
      <c r="C90" s="234" t="s">
        <v>1747</v>
      </c>
      <c r="D90" s="229"/>
      <c r="E90" s="2141">
        <f>SUM(E87:E89)</f>
        <v>0</v>
      </c>
      <c r="F90" s="229"/>
      <c r="G90" s="2141">
        <f>SUM(G87:G89)</f>
        <v>0</v>
      </c>
      <c r="H90" s="229"/>
      <c r="I90" s="2141">
        <f>SUM(I87:I89)</f>
        <v>0</v>
      </c>
      <c r="J90" s="238"/>
      <c r="K90" s="2141">
        <f>SUM(K87:K89)</f>
        <v>0</v>
      </c>
      <c r="L90" s="238"/>
      <c r="M90" s="2141">
        <f>SUM(M87:M89)</f>
        <v>0</v>
      </c>
      <c r="N90" s="238"/>
      <c r="O90" s="2141">
        <f>SUM(O87:O89)</f>
        <v>0</v>
      </c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  <c r="AA90" s="229"/>
      <c r="AB90" s="229"/>
      <c r="AC90" s="229"/>
      <c r="AD90" s="229"/>
      <c r="AE90" s="229"/>
      <c r="AF90" s="229"/>
      <c r="AG90" s="229"/>
      <c r="AH90" s="229"/>
      <c r="AI90" s="229"/>
      <c r="AJ90" s="229"/>
      <c r="AK90" s="229"/>
      <c r="AL90" s="229"/>
      <c r="AM90" s="229"/>
      <c r="AN90" s="229"/>
      <c r="AO90" s="229"/>
      <c r="AP90" s="229"/>
      <c r="AQ90" s="229"/>
      <c r="AR90" s="229"/>
      <c r="AS90" s="229"/>
      <c r="AT90" s="229"/>
      <c r="AU90" s="229"/>
    </row>
    <row r="91" spans="1:47">
      <c r="A91" s="240">
        <v>13</v>
      </c>
      <c r="B91" s="229"/>
      <c r="C91" s="229"/>
      <c r="D91" s="229"/>
      <c r="E91" s="238"/>
      <c r="F91" s="229"/>
      <c r="G91" s="238"/>
      <c r="H91" s="229"/>
      <c r="I91" s="239"/>
      <c r="J91" s="239"/>
      <c r="K91" s="239"/>
      <c r="L91" s="239"/>
      <c r="M91" s="239"/>
      <c r="N91" s="239"/>
      <c r="O91" s="239"/>
      <c r="P91" s="229"/>
      <c r="Q91" s="229"/>
      <c r="R91" s="229"/>
      <c r="S91" s="229"/>
      <c r="T91" s="229"/>
      <c r="U91" s="229"/>
      <c r="V91" s="229"/>
      <c r="W91" s="229"/>
      <c r="X91" s="229"/>
      <c r="Y91" s="229"/>
      <c r="Z91" s="229"/>
      <c r="AA91" s="229"/>
      <c r="AB91" s="229"/>
      <c r="AC91" s="229"/>
      <c r="AD91" s="229"/>
      <c r="AE91" s="229"/>
      <c r="AF91" s="229"/>
      <c r="AG91" s="229"/>
      <c r="AH91" s="229"/>
      <c r="AI91" s="229"/>
      <c r="AJ91" s="229"/>
      <c r="AK91" s="229"/>
      <c r="AL91" s="229"/>
      <c r="AM91" s="229"/>
      <c r="AN91" s="229"/>
      <c r="AO91" s="229"/>
      <c r="AP91" s="229"/>
      <c r="AQ91" s="229"/>
      <c r="AR91" s="229"/>
      <c r="AS91" s="229"/>
      <c r="AT91" s="229"/>
      <c r="AU91" s="229"/>
    </row>
    <row r="92" spans="1:47">
      <c r="A92" s="240">
        <v>14</v>
      </c>
      <c r="B92" s="229"/>
      <c r="C92" s="234" t="s">
        <v>1776</v>
      </c>
      <c r="D92" s="229"/>
      <c r="E92" s="239"/>
      <c r="F92" s="229"/>
      <c r="G92" s="239"/>
      <c r="H92" s="229"/>
      <c r="I92" s="239"/>
      <c r="J92" s="239"/>
      <c r="K92" s="239"/>
      <c r="L92" s="239"/>
      <c r="M92" s="239"/>
      <c r="N92" s="239"/>
      <c r="O92" s="23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  <c r="AA92" s="229"/>
      <c r="AB92" s="229"/>
      <c r="AC92" s="229"/>
      <c r="AD92" s="229"/>
      <c r="AE92" s="229"/>
      <c r="AF92" s="229"/>
      <c r="AG92" s="229"/>
      <c r="AH92" s="229"/>
      <c r="AI92" s="229"/>
      <c r="AJ92" s="229"/>
      <c r="AK92" s="229"/>
      <c r="AL92" s="229"/>
      <c r="AM92" s="229"/>
      <c r="AN92" s="229"/>
      <c r="AO92" s="229"/>
      <c r="AP92" s="229"/>
      <c r="AQ92" s="229"/>
      <c r="AR92" s="229"/>
      <c r="AS92" s="229"/>
      <c r="AT92" s="229"/>
      <c r="AU92" s="229"/>
    </row>
    <row r="93" spans="1:47">
      <c r="A93" s="240">
        <v>15</v>
      </c>
      <c r="B93" s="229"/>
      <c r="C93" s="234" t="s">
        <v>1777</v>
      </c>
      <c r="D93" s="229"/>
      <c r="E93" s="238">
        <f>SCH_C2!F30</f>
        <v>669967</v>
      </c>
      <c r="F93" s="229"/>
      <c r="G93" s="239"/>
      <c r="H93" s="229"/>
      <c r="I93" s="239"/>
      <c r="J93" s="239"/>
      <c r="K93" s="239"/>
      <c r="L93" s="239"/>
      <c r="M93" s="239"/>
      <c r="N93" s="239"/>
      <c r="O93" s="239"/>
      <c r="P93" s="229"/>
      <c r="Q93" s="229"/>
      <c r="R93" s="229"/>
      <c r="S93" s="229"/>
      <c r="T93" s="229"/>
      <c r="U93" s="229"/>
      <c r="V93" s="229"/>
      <c r="W93" s="229"/>
      <c r="X93" s="229"/>
      <c r="Y93" s="229"/>
      <c r="Z93" s="229"/>
      <c r="AA93" s="229"/>
      <c r="AB93" s="229"/>
      <c r="AC93" s="229"/>
      <c r="AD93" s="229"/>
      <c r="AE93" s="229"/>
      <c r="AF93" s="229"/>
      <c r="AG93" s="229"/>
      <c r="AH93" s="229"/>
      <c r="AI93" s="229"/>
      <c r="AJ93" s="229"/>
      <c r="AK93" s="229"/>
      <c r="AL93" s="229"/>
      <c r="AM93" s="229"/>
      <c r="AN93" s="229"/>
      <c r="AO93" s="229"/>
      <c r="AP93" s="229"/>
      <c r="AQ93" s="229"/>
      <c r="AR93" s="229"/>
      <c r="AS93" s="229"/>
      <c r="AT93" s="229"/>
      <c r="AU93" s="229"/>
    </row>
    <row r="94" spans="1:47">
      <c r="A94" s="240">
        <v>16</v>
      </c>
      <c r="B94" s="229"/>
      <c r="C94" s="234" t="s">
        <v>1778</v>
      </c>
      <c r="D94" s="229"/>
      <c r="E94" s="238"/>
      <c r="F94" s="229"/>
      <c r="G94" s="238">
        <f>SCH_C2!F31</f>
        <v>2016745</v>
      </c>
      <c r="H94" s="229"/>
      <c r="I94" s="238"/>
      <c r="J94" s="238"/>
      <c r="K94" s="238"/>
      <c r="L94" s="238"/>
      <c r="M94" s="238"/>
      <c r="N94" s="238"/>
      <c r="O94" s="238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  <c r="AA94" s="229"/>
      <c r="AB94" s="229"/>
      <c r="AC94" s="229"/>
      <c r="AD94" s="229"/>
      <c r="AE94" s="229"/>
      <c r="AF94" s="229"/>
      <c r="AG94" s="229"/>
      <c r="AH94" s="229"/>
      <c r="AI94" s="229"/>
      <c r="AJ94" s="229"/>
      <c r="AK94" s="229"/>
      <c r="AL94" s="229"/>
      <c r="AM94" s="229"/>
      <c r="AN94" s="229"/>
      <c r="AO94" s="229"/>
      <c r="AP94" s="229"/>
      <c r="AQ94" s="229"/>
      <c r="AR94" s="229"/>
      <c r="AS94" s="229"/>
      <c r="AT94" s="229"/>
      <c r="AU94" s="229"/>
    </row>
    <row r="95" spans="1:47">
      <c r="A95" s="240">
        <v>17</v>
      </c>
      <c r="B95" s="229"/>
      <c r="C95" s="234" t="s">
        <v>1779</v>
      </c>
      <c r="D95" s="229"/>
      <c r="E95" s="238"/>
      <c r="F95" s="229"/>
      <c r="G95" s="238"/>
      <c r="H95" s="229"/>
      <c r="I95" s="238">
        <f>SCH_C2!F32</f>
        <v>66570</v>
      </c>
      <c r="J95" s="238"/>
      <c r="K95" s="238"/>
      <c r="L95" s="238"/>
      <c r="M95" s="238"/>
      <c r="N95" s="238"/>
      <c r="O95" s="238"/>
      <c r="P95" s="229"/>
      <c r="Q95" s="229"/>
      <c r="R95" s="229"/>
      <c r="S95" s="229"/>
      <c r="T95" s="229"/>
      <c r="U95" s="229"/>
      <c r="V95" s="229"/>
      <c r="W95" s="229"/>
      <c r="X95" s="229"/>
      <c r="Y95" s="229"/>
      <c r="Z95" s="229"/>
      <c r="AA95" s="229"/>
      <c r="AB95" s="229"/>
      <c r="AC95" s="229"/>
      <c r="AD95" s="229"/>
      <c r="AE95" s="229"/>
      <c r="AF95" s="229"/>
      <c r="AG95" s="229"/>
      <c r="AH95" s="229"/>
      <c r="AI95" s="229"/>
      <c r="AJ95" s="229"/>
      <c r="AK95" s="229"/>
      <c r="AL95" s="229"/>
      <c r="AM95" s="229"/>
      <c r="AN95" s="229"/>
      <c r="AO95" s="229"/>
      <c r="AP95" s="229"/>
      <c r="AQ95" s="229"/>
      <c r="AR95" s="229"/>
      <c r="AS95" s="229"/>
      <c r="AT95" s="229"/>
      <c r="AU95" s="229"/>
    </row>
    <row r="96" spans="1:47">
      <c r="A96" s="240">
        <v>18</v>
      </c>
      <c r="B96" s="229"/>
      <c r="C96" s="234" t="s">
        <v>1780</v>
      </c>
      <c r="D96" s="229"/>
      <c r="E96" s="238"/>
      <c r="F96" s="229"/>
      <c r="G96" s="238"/>
      <c r="H96" s="229"/>
      <c r="I96" s="238"/>
      <c r="J96" s="238"/>
      <c r="K96" s="238">
        <f>SCH_C2!F33</f>
        <v>338753</v>
      </c>
      <c r="L96" s="238"/>
      <c r="M96" s="238"/>
      <c r="N96" s="238"/>
      <c r="O96" s="238"/>
      <c r="P96" s="229"/>
      <c r="Q96" s="229"/>
      <c r="R96" s="229"/>
      <c r="S96" s="229"/>
      <c r="T96" s="229"/>
      <c r="U96" s="229"/>
      <c r="V96" s="229"/>
      <c r="W96" s="229"/>
      <c r="X96" s="229"/>
      <c r="Y96" s="229"/>
      <c r="Z96" s="229"/>
      <c r="AA96" s="229"/>
      <c r="AB96" s="229"/>
      <c r="AC96" s="229"/>
      <c r="AD96" s="229"/>
      <c r="AE96" s="229"/>
      <c r="AF96" s="229"/>
      <c r="AG96" s="229"/>
      <c r="AH96" s="229"/>
      <c r="AI96" s="229"/>
      <c r="AJ96" s="229"/>
      <c r="AK96" s="229"/>
      <c r="AL96" s="229"/>
      <c r="AM96" s="229"/>
      <c r="AN96" s="229"/>
      <c r="AO96" s="229"/>
      <c r="AP96" s="229"/>
      <c r="AQ96" s="229"/>
      <c r="AR96" s="229"/>
      <c r="AS96" s="229"/>
      <c r="AT96" s="229"/>
      <c r="AU96" s="229"/>
    </row>
    <row r="97" spans="1:47">
      <c r="A97" s="240">
        <v>19</v>
      </c>
      <c r="B97" s="229"/>
      <c r="C97" s="234" t="s">
        <v>1781</v>
      </c>
      <c r="D97" s="229"/>
      <c r="E97" s="238"/>
      <c r="F97" s="229"/>
      <c r="G97" s="238"/>
      <c r="H97" s="229"/>
      <c r="I97" s="238"/>
      <c r="J97" s="238"/>
      <c r="K97" s="238"/>
      <c r="L97" s="238"/>
      <c r="M97" s="238">
        <f>SCH_C2!F34</f>
        <v>103983</v>
      </c>
      <c r="N97" s="238"/>
      <c r="O97" s="238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  <c r="AA97" s="229"/>
      <c r="AB97" s="229"/>
      <c r="AC97" s="229"/>
      <c r="AD97" s="229"/>
      <c r="AE97" s="229"/>
      <c r="AF97" s="229"/>
      <c r="AG97" s="229"/>
      <c r="AH97" s="229"/>
      <c r="AI97" s="229"/>
      <c r="AJ97" s="229"/>
      <c r="AK97" s="229"/>
      <c r="AL97" s="229"/>
      <c r="AM97" s="229"/>
      <c r="AN97" s="229"/>
      <c r="AO97" s="229"/>
      <c r="AP97" s="229"/>
      <c r="AQ97" s="229"/>
      <c r="AR97" s="229"/>
      <c r="AS97" s="229"/>
      <c r="AT97" s="229"/>
      <c r="AU97" s="229"/>
    </row>
    <row r="98" spans="1:47">
      <c r="A98" s="240">
        <v>20</v>
      </c>
      <c r="B98" s="229"/>
      <c r="C98" s="234" t="s">
        <v>1782</v>
      </c>
      <c r="D98" s="229"/>
      <c r="E98" s="238"/>
      <c r="F98" s="229"/>
      <c r="G98" s="238"/>
      <c r="H98" s="229"/>
      <c r="I98" s="238"/>
      <c r="J98" s="238"/>
      <c r="K98" s="238"/>
      <c r="L98" s="238"/>
      <c r="M98" s="238"/>
      <c r="N98" s="238"/>
      <c r="O98" s="238">
        <f>SCH_C2!F35</f>
        <v>2996380</v>
      </c>
      <c r="P98" s="229"/>
      <c r="Q98" s="229"/>
      <c r="R98" s="229"/>
      <c r="S98" s="229"/>
      <c r="T98" s="229"/>
      <c r="U98" s="229"/>
      <c r="V98" s="229"/>
      <c r="W98" s="229"/>
      <c r="X98" s="229"/>
      <c r="Y98" s="229"/>
      <c r="Z98" s="229"/>
      <c r="AA98" s="229"/>
      <c r="AB98" s="229"/>
      <c r="AC98" s="229"/>
      <c r="AD98" s="229"/>
      <c r="AE98" s="229"/>
      <c r="AF98" s="229"/>
      <c r="AG98" s="229"/>
      <c r="AH98" s="229"/>
      <c r="AI98" s="229"/>
      <c r="AJ98" s="229"/>
      <c r="AK98" s="229"/>
      <c r="AL98" s="229"/>
      <c r="AM98" s="229"/>
      <c r="AN98" s="229"/>
      <c r="AO98" s="229"/>
      <c r="AP98" s="229"/>
      <c r="AQ98" s="229"/>
      <c r="AR98" s="229"/>
      <c r="AS98" s="229"/>
      <c r="AT98" s="229"/>
      <c r="AU98" s="229"/>
    </row>
    <row r="99" spans="1:47">
      <c r="A99" s="240">
        <v>21</v>
      </c>
      <c r="B99" s="229"/>
      <c r="C99" s="234" t="s">
        <v>1783</v>
      </c>
      <c r="D99" s="229"/>
      <c r="E99" s="238"/>
      <c r="F99" s="229"/>
      <c r="G99" s="238"/>
      <c r="H99" s="229"/>
      <c r="I99" s="238"/>
      <c r="J99" s="238"/>
      <c r="K99" s="238"/>
      <c r="L99" s="238"/>
      <c r="M99" s="238"/>
      <c r="N99" s="238"/>
      <c r="O99" s="238"/>
      <c r="P99" s="229"/>
      <c r="Q99" s="229"/>
      <c r="R99" s="229"/>
      <c r="S99" s="229"/>
      <c r="T99" s="229"/>
      <c r="U99" s="229"/>
      <c r="V99" s="229"/>
      <c r="W99" s="229"/>
      <c r="X99" s="229"/>
      <c r="Y99" s="229"/>
      <c r="Z99" s="229"/>
      <c r="AA99" s="229"/>
      <c r="AB99" s="229"/>
      <c r="AC99" s="229"/>
      <c r="AD99" s="229"/>
      <c r="AE99" s="229"/>
      <c r="AF99" s="229"/>
      <c r="AG99" s="229"/>
      <c r="AH99" s="229"/>
      <c r="AI99" s="229"/>
      <c r="AJ99" s="229"/>
      <c r="AK99" s="229"/>
      <c r="AL99" s="229"/>
      <c r="AM99" s="229"/>
      <c r="AN99" s="229"/>
      <c r="AO99" s="229"/>
      <c r="AP99" s="229"/>
      <c r="AQ99" s="229"/>
      <c r="AR99" s="229"/>
      <c r="AS99" s="229"/>
      <c r="AT99" s="229"/>
      <c r="AU99" s="229"/>
    </row>
    <row r="100" spans="1:47">
      <c r="A100" s="240">
        <v>22</v>
      </c>
      <c r="B100" s="229"/>
      <c r="C100" s="234" t="s">
        <v>1756</v>
      </c>
      <c r="D100" s="229"/>
      <c r="E100" s="2140">
        <f>E90+SUM(E92:E99)</f>
        <v>669967</v>
      </c>
      <c r="F100" s="229"/>
      <c r="G100" s="2140">
        <f>G90+SUM(G92:G99)</f>
        <v>2016745</v>
      </c>
      <c r="H100" s="229"/>
      <c r="I100" s="2140">
        <f>I90+SUM(I92:I99)</f>
        <v>66570</v>
      </c>
      <c r="J100" s="238"/>
      <c r="K100" s="2140">
        <f>K90+SUM(K92:K99)</f>
        <v>338753</v>
      </c>
      <c r="L100" s="238"/>
      <c r="M100" s="2140">
        <f>M90+SUM(M92:M99)</f>
        <v>103983</v>
      </c>
      <c r="N100" s="238"/>
      <c r="O100" s="2140">
        <f>O90+SUM(O92:O99)</f>
        <v>2996380</v>
      </c>
      <c r="P100" s="229"/>
      <c r="Q100" s="229"/>
      <c r="R100" s="229"/>
      <c r="S100" s="229"/>
      <c r="T100" s="229"/>
      <c r="U100" s="229"/>
      <c r="V100" s="229"/>
      <c r="W100" s="229"/>
      <c r="X100" s="229"/>
      <c r="Y100" s="229"/>
      <c r="Z100" s="229"/>
      <c r="AA100" s="229"/>
      <c r="AB100" s="229"/>
      <c r="AC100" s="229"/>
      <c r="AD100" s="229"/>
      <c r="AE100" s="229"/>
      <c r="AF100" s="229"/>
      <c r="AG100" s="229"/>
      <c r="AH100" s="229"/>
      <c r="AI100" s="229"/>
      <c r="AJ100" s="229"/>
      <c r="AK100" s="229"/>
      <c r="AL100" s="229"/>
      <c r="AM100" s="229"/>
      <c r="AN100" s="229"/>
      <c r="AO100" s="229"/>
      <c r="AP100" s="229"/>
      <c r="AQ100" s="229"/>
      <c r="AR100" s="229"/>
      <c r="AS100" s="229"/>
      <c r="AT100" s="229"/>
      <c r="AU100" s="229"/>
    </row>
    <row r="101" spans="1:47">
      <c r="A101" s="240">
        <v>23</v>
      </c>
      <c r="B101" s="229"/>
      <c r="C101" s="229"/>
      <c r="D101" s="229"/>
      <c r="E101" s="239"/>
      <c r="F101" s="229"/>
      <c r="G101" s="239"/>
      <c r="H101" s="229"/>
      <c r="I101" s="239"/>
      <c r="J101" s="239"/>
      <c r="K101" s="239"/>
      <c r="L101" s="239"/>
      <c r="M101" s="239"/>
      <c r="N101" s="239"/>
      <c r="O101" s="239"/>
      <c r="P101" s="229"/>
      <c r="Q101" s="229"/>
      <c r="R101" s="229"/>
      <c r="S101" s="229"/>
      <c r="T101" s="229"/>
      <c r="U101" s="229"/>
      <c r="V101" s="229"/>
      <c r="W101" s="229"/>
      <c r="X101" s="229"/>
      <c r="Y101" s="229"/>
      <c r="Z101" s="229"/>
      <c r="AA101" s="229"/>
      <c r="AB101" s="229"/>
      <c r="AC101" s="229"/>
      <c r="AD101" s="229"/>
      <c r="AE101" s="229"/>
      <c r="AF101" s="229"/>
      <c r="AG101" s="229"/>
      <c r="AH101" s="229"/>
      <c r="AI101" s="229"/>
      <c r="AJ101" s="229"/>
      <c r="AK101" s="229"/>
      <c r="AL101" s="229"/>
      <c r="AM101" s="229"/>
      <c r="AN101" s="229"/>
      <c r="AO101" s="229"/>
      <c r="AP101" s="229"/>
      <c r="AQ101" s="229"/>
      <c r="AR101" s="229"/>
      <c r="AS101" s="229"/>
      <c r="AT101" s="229"/>
      <c r="AU101" s="229"/>
    </row>
    <row r="102" spans="1:47">
      <c r="A102" s="240">
        <v>24</v>
      </c>
      <c r="B102" s="229"/>
      <c r="C102" s="234" t="s">
        <v>1784</v>
      </c>
      <c r="D102" s="229"/>
      <c r="E102" s="1506"/>
      <c r="F102" s="229"/>
      <c r="G102" s="1506"/>
      <c r="H102" s="229"/>
      <c r="I102" s="1506"/>
      <c r="J102" s="238"/>
      <c r="K102" s="1506"/>
      <c r="L102" s="238"/>
      <c r="M102" s="1506"/>
      <c r="N102" s="238"/>
      <c r="O102" s="1506"/>
      <c r="P102" s="229"/>
      <c r="Q102" s="229"/>
      <c r="R102" s="229"/>
      <c r="S102" s="229"/>
      <c r="T102" s="229"/>
      <c r="U102" s="229"/>
      <c r="V102" s="229"/>
      <c r="W102" s="229"/>
      <c r="X102" s="229"/>
      <c r="Y102" s="229"/>
      <c r="Z102" s="229"/>
      <c r="AA102" s="229"/>
      <c r="AB102" s="229"/>
      <c r="AC102" s="229"/>
      <c r="AD102" s="229"/>
      <c r="AE102" s="229"/>
      <c r="AF102" s="229"/>
      <c r="AG102" s="229"/>
      <c r="AH102" s="229"/>
      <c r="AI102" s="229"/>
      <c r="AJ102" s="229"/>
      <c r="AK102" s="229"/>
      <c r="AL102" s="229"/>
      <c r="AM102" s="229"/>
      <c r="AN102" s="229"/>
      <c r="AO102" s="229"/>
      <c r="AP102" s="229"/>
      <c r="AQ102" s="229"/>
      <c r="AR102" s="229"/>
      <c r="AS102" s="229"/>
      <c r="AT102" s="229"/>
      <c r="AU102" s="229"/>
    </row>
    <row r="103" spans="1:47">
      <c r="A103" s="240">
        <v>25</v>
      </c>
      <c r="B103" s="229"/>
      <c r="C103" s="229"/>
      <c r="D103" s="229"/>
      <c r="E103" s="239"/>
      <c r="F103" s="229"/>
      <c r="G103" s="239"/>
      <c r="H103" s="229"/>
      <c r="I103" s="239"/>
      <c r="J103" s="239"/>
      <c r="K103" s="239"/>
      <c r="L103" s="239"/>
      <c r="M103" s="239"/>
      <c r="N103" s="239"/>
      <c r="O103" s="239"/>
      <c r="P103" s="229"/>
      <c r="Q103" s="229"/>
      <c r="R103" s="229"/>
      <c r="S103" s="229"/>
      <c r="T103" s="229"/>
      <c r="U103" s="229"/>
      <c r="V103" s="229"/>
      <c r="W103" s="229"/>
      <c r="X103" s="229"/>
      <c r="Y103" s="229"/>
      <c r="Z103" s="229"/>
      <c r="AA103" s="229"/>
      <c r="AB103" s="229"/>
      <c r="AC103" s="229"/>
      <c r="AD103" s="229"/>
      <c r="AE103" s="229"/>
      <c r="AF103" s="229"/>
      <c r="AG103" s="229"/>
      <c r="AH103" s="229"/>
      <c r="AI103" s="229"/>
      <c r="AJ103" s="229"/>
      <c r="AK103" s="229"/>
      <c r="AL103" s="229"/>
      <c r="AM103" s="229"/>
      <c r="AN103" s="229"/>
      <c r="AO103" s="229"/>
      <c r="AP103" s="229"/>
      <c r="AQ103" s="229"/>
      <c r="AR103" s="229"/>
      <c r="AS103" s="229"/>
      <c r="AT103" s="229"/>
      <c r="AU103" s="229"/>
    </row>
    <row r="104" spans="1:47">
      <c r="A104" s="240">
        <v>26</v>
      </c>
      <c r="B104" s="229"/>
      <c r="C104" s="234" t="s">
        <v>1758</v>
      </c>
      <c r="D104" s="229"/>
      <c r="E104" s="229"/>
      <c r="F104" s="229"/>
      <c r="G104" s="229"/>
      <c r="H104" s="229"/>
      <c r="I104" s="229"/>
      <c r="J104" s="229"/>
      <c r="K104" s="229"/>
      <c r="L104" s="229"/>
      <c r="M104" s="229"/>
      <c r="N104" s="229"/>
      <c r="O104" s="229"/>
      <c r="P104" s="229"/>
      <c r="Q104" s="229"/>
      <c r="R104" s="229"/>
      <c r="S104" s="229"/>
      <c r="T104" s="229"/>
      <c r="U104" s="229"/>
      <c r="V104" s="229"/>
      <c r="W104" s="229"/>
      <c r="X104" s="229"/>
      <c r="Y104" s="229"/>
      <c r="Z104" s="229"/>
      <c r="AA104" s="229"/>
      <c r="AB104" s="229"/>
      <c r="AC104" s="229"/>
      <c r="AD104" s="229"/>
      <c r="AE104" s="229"/>
      <c r="AF104" s="229"/>
      <c r="AG104" s="229"/>
      <c r="AH104" s="229"/>
      <c r="AI104" s="229"/>
      <c r="AJ104" s="229"/>
      <c r="AK104" s="229"/>
      <c r="AL104" s="229"/>
      <c r="AM104" s="229"/>
      <c r="AN104" s="229"/>
      <c r="AO104" s="229"/>
      <c r="AP104" s="229"/>
      <c r="AQ104" s="229"/>
      <c r="AR104" s="229"/>
      <c r="AS104" s="229"/>
      <c r="AT104" s="229"/>
      <c r="AU104" s="229"/>
    </row>
    <row r="105" spans="1:47">
      <c r="A105" s="240">
        <v>27</v>
      </c>
      <c r="B105" s="229"/>
      <c r="C105" s="234" t="s">
        <v>1432</v>
      </c>
      <c r="D105" s="229"/>
      <c r="E105" s="238"/>
      <c r="F105" s="229"/>
      <c r="G105" s="238"/>
      <c r="H105" s="229"/>
      <c r="I105" s="238"/>
      <c r="J105" s="238"/>
      <c r="K105" s="238"/>
      <c r="L105" s="238"/>
      <c r="M105" s="238"/>
      <c r="N105" s="238"/>
      <c r="O105" s="238"/>
      <c r="P105" s="229"/>
      <c r="Q105" s="229"/>
      <c r="R105" s="229"/>
      <c r="S105" s="229"/>
      <c r="T105" s="229"/>
      <c r="U105" s="229"/>
      <c r="V105" s="229"/>
      <c r="W105" s="229"/>
      <c r="X105" s="229"/>
      <c r="Y105" s="229"/>
      <c r="Z105" s="229"/>
      <c r="AA105" s="229"/>
      <c r="AB105" s="229"/>
      <c r="AC105" s="229"/>
      <c r="AD105" s="229"/>
      <c r="AE105" s="229"/>
      <c r="AF105" s="229"/>
      <c r="AG105" s="229"/>
      <c r="AH105" s="229"/>
      <c r="AI105" s="229"/>
      <c r="AJ105" s="229"/>
      <c r="AK105" s="229"/>
      <c r="AL105" s="229"/>
      <c r="AM105" s="229"/>
      <c r="AN105" s="229"/>
      <c r="AO105" s="229"/>
      <c r="AP105" s="229"/>
      <c r="AQ105" s="229"/>
      <c r="AR105" s="229"/>
      <c r="AS105" s="229"/>
      <c r="AT105" s="229"/>
      <c r="AU105" s="229"/>
    </row>
    <row r="106" spans="1:47">
      <c r="A106" s="240">
        <v>28</v>
      </c>
      <c r="B106" s="229"/>
      <c r="C106" s="234" t="s">
        <v>1434</v>
      </c>
      <c r="D106" s="229"/>
      <c r="E106" s="238"/>
      <c r="F106" s="229"/>
      <c r="G106" s="238"/>
      <c r="H106" s="229"/>
      <c r="I106" s="238"/>
      <c r="J106" s="238"/>
      <c r="K106" s="238"/>
      <c r="L106" s="238"/>
      <c r="M106" s="238"/>
      <c r="N106" s="238"/>
      <c r="O106" s="238"/>
      <c r="P106" s="229"/>
      <c r="Q106" s="229"/>
      <c r="R106" s="229"/>
      <c r="S106" s="229"/>
      <c r="T106" s="229"/>
      <c r="U106" s="229"/>
      <c r="V106" s="229"/>
      <c r="W106" s="229"/>
      <c r="X106" s="229"/>
      <c r="Y106" s="229"/>
      <c r="Z106" s="229"/>
      <c r="AA106" s="229"/>
      <c r="AB106" s="229"/>
      <c r="AC106" s="229"/>
      <c r="AD106" s="229"/>
      <c r="AE106" s="229"/>
      <c r="AF106" s="229"/>
      <c r="AG106" s="229"/>
      <c r="AH106" s="229"/>
      <c r="AI106" s="229"/>
      <c r="AJ106" s="229"/>
      <c r="AK106" s="229"/>
      <c r="AL106" s="229"/>
      <c r="AM106" s="229"/>
      <c r="AN106" s="229"/>
      <c r="AO106" s="229"/>
      <c r="AP106" s="229"/>
      <c r="AQ106" s="229"/>
      <c r="AR106" s="229"/>
      <c r="AS106" s="229"/>
      <c r="AT106" s="229"/>
      <c r="AU106" s="229"/>
    </row>
    <row r="107" spans="1:47">
      <c r="A107" s="240">
        <v>29</v>
      </c>
      <c r="B107" s="229"/>
      <c r="C107" s="234" t="s">
        <v>1761</v>
      </c>
      <c r="D107" s="229"/>
      <c r="E107" s="2140">
        <f>SUM(E105:E106)</f>
        <v>0</v>
      </c>
      <c r="F107" s="229"/>
      <c r="G107" s="2140">
        <f>SUM(G105:G106)</f>
        <v>0</v>
      </c>
      <c r="H107" s="229"/>
      <c r="I107" s="2140">
        <f>SUM(I105:I106)</f>
        <v>0</v>
      </c>
      <c r="J107" s="238"/>
      <c r="K107" s="2140">
        <f>SUM(K105:K106)</f>
        <v>0</v>
      </c>
      <c r="L107" s="238"/>
      <c r="M107" s="2140">
        <f>SUM(M105:M106)</f>
        <v>0</v>
      </c>
      <c r="N107" s="238"/>
      <c r="O107" s="2140">
        <f>SUM(O105:O106)</f>
        <v>0</v>
      </c>
      <c r="P107" s="229"/>
      <c r="Q107" s="229"/>
      <c r="R107" s="229"/>
      <c r="S107" s="229"/>
      <c r="T107" s="229"/>
      <c r="U107" s="238"/>
      <c r="V107" s="238"/>
      <c r="W107" s="229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229"/>
      <c r="AH107" s="229"/>
      <c r="AI107" s="229"/>
      <c r="AJ107" s="229"/>
      <c r="AK107" s="229"/>
      <c r="AL107" s="229"/>
      <c r="AM107" s="229"/>
      <c r="AN107" s="229"/>
      <c r="AO107" s="229"/>
      <c r="AP107" s="229"/>
      <c r="AQ107" s="229"/>
      <c r="AR107" s="229"/>
      <c r="AS107" s="229"/>
      <c r="AT107" s="229"/>
      <c r="AU107" s="229"/>
    </row>
    <row r="108" spans="1:47">
      <c r="A108" s="240">
        <v>30</v>
      </c>
      <c r="B108" s="229"/>
      <c r="C108" s="234"/>
      <c r="D108" s="229"/>
      <c r="E108" s="238"/>
      <c r="F108" s="229"/>
      <c r="G108" s="238"/>
      <c r="H108" s="229"/>
      <c r="I108" s="238"/>
      <c r="J108" s="238"/>
      <c r="K108" s="238"/>
      <c r="L108" s="238"/>
      <c r="M108" s="238"/>
      <c r="N108" s="238"/>
      <c r="O108" s="238"/>
      <c r="P108" s="229"/>
      <c r="Q108" s="229"/>
      <c r="R108" s="229"/>
      <c r="S108" s="229"/>
      <c r="T108" s="229"/>
      <c r="U108" s="229"/>
      <c r="V108" s="229"/>
      <c r="W108" s="229"/>
      <c r="X108" s="229"/>
      <c r="Y108" s="229"/>
      <c r="Z108" s="229"/>
      <c r="AA108" s="229"/>
      <c r="AB108" s="229"/>
      <c r="AC108" s="229"/>
      <c r="AD108" s="229"/>
      <c r="AE108" s="229"/>
      <c r="AF108" s="229"/>
      <c r="AG108" s="229"/>
      <c r="AH108" s="229"/>
      <c r="AI108" s="229"/>
      <c r="AJ108" s="229"/>
      <c r="AK108" s="229"/>
      <c r="AL108" s="229"/>
      <c r="AM108" s="229"/>
      <c r="AN108" s="229"/>
      <c r="AO108" s="229"/>
      <c r="AP108" s="229"/>
      <c r="AQ108" s="229"/>
      <c r="AR108" s="229"/>
      <c r="AS108" s="229"/>
      <c r="AT108" s="229"/>
      <c r="AU108" s="229"/>
    </row>
    <row r="109" spans="1:47">
      <c r="A109" s="240">
        <v>31</v>
      </c>
      <c r="B109" s="229"/>
      <c r="C109" s="234" t="s">
        <v>1762</v>
      </c>
      <c r="D109" s="229"/>
      <c r="E109" s="229"/>
      <c r="F109" s="229"/>
      <c r="G109" s="229"/>
      <c r="H109" s="229"/>
      <c r="I109" s="229"/>
      <c r="J109" s="229"/>
      <c r="K109" s="229"/>
      <c r="L109" s="229"/>
      <c r="M109" s="229"/>
      <c r="N109" s="229"/>
      <c r="O109" s="229"/>
      <c r="P109" s="229"/>
      <c r="Q109" s="229"/>
      <c r="R109" s="229"/>
      <c r="S109" s="229"/>
      <c r="T109" s="229"/>
      <c r="U109" s="229"/>
      <c r="V109" s="229"/>
      <c r="W109" s="229"/>
      <c r="X109" s="229"/>
      <c r="Y109" s="229"/>
      <c r="Z109" s="229"/>
      <c r="AA109" s="229"/>
      <c r="AB109" s="229"/>
      <c r="AC109" s="229"/>
      <c r="AD109" s="229"/>
      <c r="AE109" s="229"/>
      <c r="AF109" s="229"/>
      <c r="AG109" s="229"/>
      <c r="AH109" s="229"/>
      <c r="AI109" s="229"/>
      <c r="AJ109" s="229"/>
      <c r="AK109" s="229"/>
      <c r="AL109" s="229"/>
      <c r="AM109" s="229"/>
      <c r="AN109" s="229"/>
      <c r="AO109" s="229"/>
      <c r="AP109" s="229"/>
      <c r="AQ109" s="229"/>
      <c r="AR109" s="229"/>
      <c r="AS109" s="229"/>
      <c r="AT109" s="229"/>
      <c r="AU109" s="229"/>
    </row>
    <row r="110" spans="1:47">
      <c r="A110" s="240">
        <v>32</v>
      </c>
      <c r="B110" s="229"/>
      <c r="C110" s="234" t="s">
        <v>1654</v>
      </c>
      <c r="D110" s="229"/>
      <c r="E110" s="238">
        <f>ROUND((E83-E100-E102-E107)*SIT*APPORT,0)</f>
        <v>-33287</v>
      </c>
      <c r="F110" s="229"/>
      <c r="G110" s="238">
        <f>ROUND((G83-G100-G102-G107)*SIT*APPORT,0)</f>
        <v>-100202</v>
      </c>
      <c r="H110" s="229"/>
      <c r="I110" s="238">
        <f>ROUND((I83-I100-I102-I107)*SIT*APPORT,0)</f>
        <v>-3308</v>
      </c>
      <c r="J110" s="238"/>
      <c r="K110" s="238">
        <f>ROUND((K83-K100-K102-K107)*SIT*APPORT,0)</f>
        <v>-16831</v>
      </c>
      <c r="L110" s="238"/>
      <c r="M110" s="238">
        <f>ROUND((M83-M100-M102-M107)*SIT*APPORT,0)</f>
        <v>-5166</v>
      </c>
      <c r="N110" s="238"/>
      <c r="O110" s="238">
        <f>ROUND((O83-O100-O102-O107)*SIT*APPORT,0)</f>
        <v>-148875</v>
      </c>
      <c r="P110" s="229"/>
      <c r="Q110" s="229"/>
      <c r="R110" s="229"/>
      <c r="S110" s="229"/>
      <c r="T110" s="229"/>
      <c r="U110" s="229"/>
      <c r="V110" s="229"/>
      <c r="W110" s="238"/>
      <c r="X110" s="229"/>
      <c r="Y110" s="229"/>
      <c r="Z110" s="229"/>
      <c r="AA110" s="229"/>
      <c r="AB110" s="229"/>
      <c r="AC110" s="229"/>
      <c r="AD110" s="229"/>
      <c r="AE110" s="229"/>
      <c r="AF110" s="229"/>
      <c r="AG110" s="229"/>
      <c r="AH110" s="229"/>
      <c r="AI110" s="229"/>
      <c r="AJ110" s="229"/>
      <c r="AK110" s="229"/>
      <c r="AL110" s="229"/>
      <c r="AM110" s="229"/>
      <c r="AN110" s="229"/>
      <c r="AO110" s="229"/>
      <c r="AP110" s="229"/>
      <c r="AQ110" s="229"/>
      <c r="AR110" s="229"/>
      <c r="AS110" s="229"/>
      <c r="AT110" s="229"/>
      <c r="AU110" s="229"/>
    </row>
    <row r="111" spans="1:47">
      <c r="A111" s="240">
        <v>33</v>
      </c>
      <c r="B111" s="229"/>
      <c r="C111" s="234" t="s">
        <v>1763</v>
      </c>
      <c r="D111" s="229"/>
      <c r="E111" s="243"/>
      <c r="F111" s="229"/>
      <c r="G111" s="243"/>
      <c r="H111" s="229"/>
      <c r="I111" s="243"/>
      <c r="J111" s="238"/>
      <c r="K111" s="238"/>
      <c r="L111" s="238"/>
      <c r="M111" s="238"/>
      <c r="N111" s="238"/>
      <c r="O111" s="238"/>
      <c r="P111" s="229"/>
      <c r="Q111" s="229"/>
      <c r="R111" s="229"/>
      <c r="S111" s="229"/>
      <c r="T111" s="229"/>
      <c r="U111" s="229"/>
      <c r="V111" s="229"/>
      <c r="W111" s="229"/>
      <c r="X111" s="229"/>
      <c r="Y111" s="229"/>
      <c r="Z111" s="229"/>
      <c r="AA111" s="229"/>
      <c r="AB111" s="229"/>
      <c r="AC111" s="229"/>
      <c r="AD111" s="229"/>
      <c r="AE111" s="229"/>
      <c r="AF111" s="229"/>
      <c r="AG111" s="229"/>
      <c r="AH111" s="229"/>
      <c r="AI111" s="229"/>
      <c r="AJ111" s="229"/>
      <c r="AK111" s="229"/>
      <c r="AL111" s="229"/>
      <c r="AM111" s="229"/>
      <c r="AN111" s="229"/>
      <c r="AO111" s="229"/>
      <c r="AP111" s="229"/>
      <c r="AQ111" s="229"/>
      <c r="AR111" s="229"/>
      <c r="AS111" s="229"/>
      <c r="AT111" s="229"/>
      <c r="AU111" s="229"/>
    </row>
    <row r="112" spans="1:47">
      <c r="A112" s="240">
        <v>34</v>
      </c>
      <c r="B112" s="229"/>
      <c r="C112" s="234" t="s">
        <v>1764</v>
      </c>
      <c r="D112" s="229"/>
      <c r="E112" s="2140">
        <f>SUM(E110:E111)</f>
        <v>-33287</v>
      </c>
      <c r="F112" s="229"/>
      <c r="G112" s="2140">
        <f>SUM(G110:G111)</f>
        <v>-100202</v>
      </c>
      <c r="H112" s="229"/>
      <c r="I112" s="2140">
        <f>SUM(I110:I111)</f>
        <v>-3308</v>
      </c>
      <c r="J112" s="238"/>
      <c r="K112" s="2140">
        <f>SUM(K110:K111)</f>
        <v>-16831</v>
      </c>
      <c r="L112" s="238"/>
      <c r="M112" s="2140">
        <f>SUM(M110:M111)</f>
        <v>-5166</v>
      </c>
      <c r="N112" s="238"/>
      <c r="O112" s="2140">
        <f>SUM(O110:O111)</f>
        <v>-148875</v>
      </c>
      <c r="P112" s="229"/>
      <c r="Q112" s="229"/>
      <c r="R112" s="229"/>
      <c r="S112" s="229"/>
      <c r="T112" s="229"/>
      <c r="U112" s="229"/>
      <c r="V112" s="229"/>
      <c r="W112" s="229"/>
      <c r="X112" s="229"/>
      <c r="Y112" s="229"/>
      <c r="Z112" s="229"/>
      <c r="AA112" s="229"/>
      <c r="AB112" s="229"/>
      <c r="AC112" s="229"/>
      <c r="AD112" s="229"/>
      <c r="AE112" s="229"/>
      <c r="AF112" s="229"/>
      <c r="AG112" s="229"/>
      <c r="AH112" s="229"/>
      <c r="AI112" s="229"/>
      <c r="AJ112" s="229"/>
      <c r="AK112" s="229"/>
      <c r="AL112" s="229"/>
      <c r="AM112" s="229"/>
      <c r="AN112" s="229"/>
      <c r="AO112" s="229"/>
      <c r="AP112" s="229"/>
      <c r="AQ112" s="229"/>
      <c r="AR112" s="229"/>
      <c r="AS112" s="229"/>
      <c r="AT112" s="229"/>
      <c r="AU112" s="229"/>
    </row>
    <row r="113" spans="1:47">
      <c r="A113" s="240">
        <v>35</v>
      </c>
      <c r="B113" s="229"/>
      <c r="C113" s="229"/>
      <c r="D113" s="229"/>
      <c r="E113" s="239"/>
      <c r="F113" s="229"/>
      <c r="G113" s="239"/>
      <c r="H113" s="229"/>
      <c r="I113" s="239"/>
      <c r="J113" s="239"/>
      <c r="K113" s="239"/>
      <c r="L113" s="239"/>
      <c r="M113" s="239"/>
      <c r="N113" s="239"/>
      <c r="O113" s="239"/>
      <c r="P113" s="229"/>
      <c r="Q113" s="229"/>
      <c r="R113" s="229"/>
      <c r="S113" s="229"/>
      <c r="T113" s="229"/>
      <c r="U113" s="229"/>
      <c r="V113" s="229"/>
      <c r="W113" s="229"/>
      <c r="X113" s="229"/>
      <c r="Y113" s="229"/>
      <c r="Z113" s="229"/>
      <c r="AA113" s="229"/>
      <c r="AB113" s="229"/>
      <c r="AC113" s="229"/>
      <c r="AD113" s="229"/>
      <c r="AE113" s="229"/>
      <c r="AF113" s="229"/>
      <c r="AG113" s="229"/>
      <c r="AH113" s="229"/>
      <c r="AI113" s="229"/>
      <c r="AJ113" s="229"/>
      <c r="AK113" s="229"/>
      <c r="AL113" s="229"/>
      <c r="AM113" s="229"/>
      <c r="AN113" s="229"/>
      <c r="AO113" s="229"/>
      <c r="AP113" s="229"/>
      <c r="AQ113" s="229"/>
      <c r="AR113" s="229"/>
      <c r="AS113" s="229"/>
      <c r="AT113" s="229"/>
      <c r="AU113" s="229"/>
    </row>
    <row r="114" spans="1:47">
      <c r="A114" s="240">
        <v>36</v>
      </c>
      <c r="B114" s="229"/>
      <c r="C114" s="234" t="s">
        <v>1765</v>
      </c>
      <c r="D114" s="229"/>
      <c r="E114" s="229"/>
      <c r="F114" s="229"/>
      <c r="G114" s="229"/>
      <c r="H114" s="229"/>
      <c r="I114" s="229"/>
      <c r="J114" s="229"/>
      <c r="K114" s="229"/>
      <c r="L114" s="229"/>
      <c r="M114" s="229"/>
      <c r="N114" s="229"/>
      <c r="O114" s="229"/>
      <c r="P114" s="229"/>
      <c r="Q114" s="229"/>
      <c r="R114" s="229"/>
      <c r="S114" s="229"/>
      <c r="T114" s="229"/>
      <c r="U114" s="229"/>
      <c r="V114" s="229"/>
      <c r="W114" s="229"/>
      <c r="X114" s="229"/>
      <c r="Y114" s="229"/>
      <c r="Z114" s="229"/>
      <c r="AA114" s="229"/>
      <c r="AB114" s="229"/>
      <c r="AC114" s="229"/>
      <c r="AD114" s="229"/>
      <c r="AE114" s="229"/>
      <c r="AF114" s="229"/>
      <c r="AG114" s="229"/>
      <c r="AH114" s="229"/>
      <c r="AI114" s="229"/>
      <c r="AJ114" s="229"/>
      <c r="AK114" s="229"/>
      <c r="AL114" s="229"/>
      <c r="AM114" s="229"/>
      <c r="AN114" s="229"/>
      <c r="AO114" s="229"/>
      <c r="AP114" s="229"/>
      <c r="AQ114" s="229"/>
      <c r="AR114" s="229"/>
      <c r="AS114" s="229"/>
      <c r="AT114" s="229"/>
      <c r="AU114" s="229"/>
    </row>
    <row r="115" spans="1:47">
      <c r="A115" s="240">
        <v>37</v>
      </c>
      <c r="B115" s="229"/>
      <c r="C115" s="234" t="s">
        <v>1654</v>
      </c>
      <c r="D115" s="229"/>
      <c r="E115" s="238">
        <f>ROUND((E83-E100-E102-E107-E110)*FIT,0)</f>
        <v>-133703</v>
      </c>
      <c r="F115" s="229"/>
      <c r="G115" s="238">
        <f>ROUND((G83-G100-G102-G107-G110)*FIT,0)</f>
        <v>-402474</v>
      </c>
      <c r="H115" s="229"/>
      <c r="I115" s="238">
        <f>ROUND((I83-I100-I102-I107-I110)*FIT,0)</f>
        <v>-13285</v>
      </c>
      <c r="J115" s="238"/>
      <c r="K115" s="238">
        <f>ROUND((K83-K100-K102-K107-K110)*FIT,0)</f>
        <v>-67604</v>
      </c>
      <c r="L115" s="238"/>
      <c r="M115" s="238">
        <f>ROUND((M83-M100-M102-M107-M110)*FIT,0)</f>
        <v>-20752</v>
      </c>
      <c r="N115" s="238"/>
      <c r="O115" s="238">
        <f>ROUND((O83-O100-O102-O107-O110)*FIT,0)</f>
        <v>-597976</v>
      </c>
      <c r="P115" s="229"/>
      <c r="Q115" s="229"/>
      <c r="R115" s="229"/>
      <c r="S115" s="229"/>
      <c r="T115" s="229"/>
      <c r="U115" s="229"/>
      <c r="V115" s="229"/>
      <c r="W115" s="229"/>
      <c r="X115" s="238"/>
      <c r="Y115" s="229"/>
      <c r="Z115" s="229"/>
      <c r="AA115" s="229"/>
      <c r="AB115" s="229"/>
      <c r="AC115" s="229"/>
      <c r="AD115" s="229"/>
      <c r="AE115" s="229"/>
      <c r="AF115" s="229"/>
      <c r="AG115" s="229"/>
      <c r="AH115" s="229"/>
      <c r="AI115" s="229"/>
      <c r="AJ115" s="229"/>
      <c r="AK115" s="229"/>
      <c r="AL115" s="229"/>
      <c r="AM115" s="229"/>
      <c r="AN115" s="229"/>
      <c r="AO115" s="229"/>
      <c r="AP115" s="229"/>
      <c r="AQ115" s="229"/>
      <c r="AR115" s="229"/>
      <c r="AS115" s="229"/>
      <c r="AT115" s="229"/>
      <c r="AU115" s="229"/>
    </row>
    <row r="116" spans="1:47">
      <c r="A116" s="240">
        <v>38</v>
      </c>
      <c r="B116" s="229"/>
      <c r="C116" s="234" t="s">
        <v>1763</v>
      </c>
      <c r="D116" s="229"/>
      <c r="E116" s="243"/>
      <c r="F116" s="229"/>
      <c r="G116" s="243"/>
      <c r="H116" s="229"/>
      <c r="I116" s="243"/>
      <c r="J116" s="238"/>
      <c r="K116" s="238"/>
      <c r="L116" s="238"/>
      <c r="M116" s="238"/>
      <c r="N116" s="238"/>
      <c r="O116" s="238"/>
      <c r="P116" s="229"/>
      <c r="Q116" s="229"/>
      <c r="R116" s="229"/>
      <c r="S116" s="229"/>
      <c r="T116" s="229"/>
      <c r="U116" s="229"/>
      <c r="V116" s="229"/>
      <c r="W116" s="229"/>
      <c r="X116" s="229"/>
      <c r="Y116" s="229"/>
      <c r="Z116" s="229"/>
      <c r="AA116" s="229"/>
      <c r="AB116" s="229"/>
      <c r="AC116" s="229"/>
      <c r="AD116" s="229"/>
      <c r="AE116" s="229"/>
      <c r="AF116" s="229"/>
      <c r="AG116" s="229"/>
      <c r="AH116" s="229"/>
      <c r="AI116" s="229"/>
      <c r="AJ116" s="229"/>
      <c r="AK116" s="229"/>
      <c r="AL116" s="229"/>
      <c r="AM116" s="229"/>
      <c r="AN116" s="229"/>
      <c r="AO116" s="229"/>
      <c r="AP116" s="229"/>
      <c r="AQ116" s="229"/>
      <c r="AR116" s="229"/>
      <c r="AS116" s="229"/>
      <c r="AT116" s="229"/>
      <c r="AU116" s="229"/>
    </row>
    <row r="117" spans="1:47">
      <c r="A117" s="240">
        <v>39</v>
      </c>
      <c r="B117" s="229"/>
      <c r="C117" s="234" t="s">
        <v>1441</v>
      </c>
      <c r="D117" s="229"/>
      <c r="E117" s="243"/>
      <c r="F117" s="229"/>
      <c r="G117" s="243"/>
      <c r="H117" s="229"/>
      <c r="I117" s="238"/>
      <c r="J117" s="238"/>
      <c r="K117" s="238"/>
      <c r="L117" s="238"/>
      <c r="M117" s="238"/>
      <c r="N117" s="238"/>
      <c r="O117" s="238"/>
      <c r="P117" s="229"/>
      <c r="Q117" s="229"/>
      <c r="R117" s="229"/>
      <c r="S117" s="229"/>
      <c r="T117" s="229"/>
      <c r="U117" s="229"/>
      <c r="V117" s="229"/>
      <c r="W117" s="229"/>
      <c r="X117" s="229"/>
      <c r="Y117" s="229"/>
      <c r="Z117" s="229"/>
      <c r="AA117" s="229"/>
      <c r="AB117" s="229"/>
      <c r="AC117" s="229"/>
      <c r="AD117" s="229"/>
      <c r="AE117" s="229"/>
      <c r="AF117" s="229"/>
      <c r="AG117" s="229"/>
      <c r="AH117" s="229"/>
      <c r="AI117" s="229"/>
      <c r="AJ117" s="229"/>
      <c r="AK117" s="229"/>
      <c r="AL117" s="229"/>
      <c r="AM117" s="229"/>
      <c r="AN117" s="229"/>
      <c r="AO117" s="229"/>
      <c r="AP117" s="229"/>
      <c r="AQ117" s="229"/>
      <c r="AR117" s="229"/>
      <c r="AS117" s="229"/>
      <c r="AT117" s="229"/>
      <c r="AU117" s="229"/>
    </row>
    <row r="118" spans="1:47">
      <c r="A118" s="240">
        <v>40</v>
      </c>
      <c r="B118" s="229"/>
      <c r="C118" s="234" t="s">
        <v>1766</v>
      </c>
      <c r="D118" s="229"/>
      <c r="E118" s="2140">
        <f>SUM(E115:E117)</f>
        <v>-133703</v>
      </c>
      <c r="F118" s="229"/>
      <c r="G118" s="2140">
        <f>SUM(G115:G117)</f>
        <v>-402474</v>
      </c>
      <c r="H118" s="229"/>
      <c r="I118" s="2140">
        <f>SUM(I115:I117)</f>
        <v>-13285</v>
      </c>
      <c r="J118" s="238"/>
      <c r="K118" s="2140">
        <f>SUM(K115:K117)</f>
        <v>-67604</v>
      </c>
      <c r="L118" s="238"/>
      <c r="M118" s="2140">
        <f>SUM(M115:M117)</f>
        <v>-20752</v>
      </c>
      <c r="N118" s="238"/>
      <c r="O118" s="2140">
        <f>SUM(O115:O117)</f>
        <v>-597976</v>
      </c>
      <c r="P118" s="229"/>
      <c r="Q118" s="229"/>
      <c r="R118" s="229"/>
      <c r="S118" s="229"/>
      <c r="T118" s="229"/>
      <c r="U118" s="229"/>
      <c r="V118" s="229"/>
      <c r="W118" s="229"/>
      <c r="X118" s="229"/>
      <c r="Y118" s="229"/>
      <c r="Z118" s="229"/>
      <c r="AA118" s="229"/>
      <c r="AB118" s="229"/>
      <c r="AC118" s="229"/>
      <c r="AD118" s="229"/>
      <c r="AE118" s="229"/>
      <c r="AF118" s="229"/>
      <c r="AG118" s="229"/>
      <c r="AH118" s="229"/>
      <c r="AI118" s="229"/>
      <c r="AJ118" s="229"/>
      <c r="AK118" s="229"/>
      <c r="AL118" s="229"/>
      <c r="AM118" s="229"/>
      <c r="AN118" s="229"/>
      <c r="AO118" s="229"/>
      <c r="AP118" s="229"/>
      <c r="AQ118" s="229"/>
      <c r="AR118" s="229"/>
      <c r="AS118" s="229"/>
      <c r="AT118" s="229"/>
      <c r="AU118" s="229"/>
    </row>
    <row r="119" spans="1:47">
      <c r="A119" s="240">
        <v>41</v>
      </c>
      <c r="B119" s="229"/>
      <c r="C119" s="229"/>
      <c r="D119" s="229"/>
      <c r="E119" s="239"/>
      <c r="F119" s="229"/>
      <c r="G119" s="239"/>
      <c r="H119" s="229"/>
      <c r="I119" s="239"/>
      <c r="J119" s="239"/>
      <c r="K119" s="239"/>
      <c r="L119" s="239"/>
      <c r="M119" s="239"/>
      <c r="N119" s="239"/>
      <c r="O119" s="239"/>
      <c r="P119" s="229"/>
      <c r="Q119" s="229"/>
      <c r="R119" s="229"/>
      <c r="S119" s="229"/>
      <c r="T119" s="229"/>
      <c r="U119" s="229"/>
      <c r="V119" s="229"/>
      <c r="W119" s="229"/>
      <c r="X119" s="229"/>
      <c r="Y119" s="229"/>
      <c r="Z119" s="229"/>
      <c r="AA119" s="229"/>
      <c r="AB119" s="229"/>
      <c r="AC119" s="229"/>
      <c r="AD119" s="229"/>
      <c r="AE119" s="229"/>
      <c r="AF119" s="229"/>
      <c r="AG119" s="229"/>
      <c r="AH119" s="229"/>
      <c r="AI119" s="229"/>
      <c r="AJ119" s="229"/>
      <c r="AK119" s="229"/>
      <c r="AL119" s="229"/>
      <c r="AM119" s="229"/>
      <c r="AN119" s="229"/>
      <c r="AO119" s="229"/>
      <c r="AP119" s="229"/>
      <c r="AQ119" s="229"/>
      <c r="AR119" s="229"/>
      <c r="AS119" s="229"/>
      <c r="AT119" s="229"/>
      <c r="AU119" s="229"/>
    </row>
    <row r="120" spans="1:47">
      <c r="A120" s="240">
        <v>42</v>
      </c>
      <c r="B120" s="229"/>
      <c r="C120" s="234" t="s">
        <v>1767</v>
      </c>
      <c r="D120" s="229"/>
      <c r="E120" s="1506">
        <f>E100+E102+E107+E112+E118</f>
        <v>502977</v>
      </c>
      <c r="F120" s="229"/>
      <c r="G120" s="1506">
        <f>G100+G102+G107+G112+G118</f>
        <v>1514069</v>
      </c>
      <c r="H120" s="229"/>
      <c r="I120" s="1506">
        <f>I100+I102+I107+I112+I118</f>
        <v>49977</v>
      </c>
      <c r="J120" s="238"/>
      <c r="K120" s="1506">
        <f>K100+K102+K107+K112+K118</f>
        <v>254318</v>
      </c>
      <c r="L120" s="238"/>
      <c r="M120" s="1506">
        <f>M100+M102+M107+M112+M118</f>
        <v>78065</v>
      </c>
      <c r="N120" s="238"/>
      <c r="O120" s="1506">
        <f>O100+O102+O107+O112+O118</f>
        <v>2249529</v>
      </c>
      <c r="P120" s="229"/>
      <c r="Q120" s="229"/>
      <c r="R120" s="229"/>
      <c r="S120" s="229"/>
      <c r="T120" s="229"/>
      <c r="U120" s="229"/>
      <c r="V120" s="229"/>
      <c r="W120" s="229"/>
      <c r="X120" s="229"/>
      <c r="Y120" s="229"/>
      <c r="Z120" s="229"/>
      <c r="AA120" s="229"/>
      <c r="AB120" s="229"/>
      <c r="AC120" s="229"/>
      <c r="AD120" s="229"/>
      <c r="AE120" s="229"/>
      <c r="AF120" s="229"/>
      <c r="AG120" s="229"/>
      <c r="AH120" s="229"/>
      <c r="AI120" s="229"/>
      <c r="AJ120" s="229"/>
      <c r="AK120" s="229"/>
      <c r="AL120" s="229"/>
      <c r="AM120" s="229"/>
      <c r="AN120" s="229"/>
      <c r="AO120" s="229"/>
      <c r="AP120" s="229"/>
      <c r="AQ120" s="229"/>
      <c r="AR120" s="229"/>
      <c r="AS120" s="229"/>
      <c r="AT120" s="229"/>
      <c r="AU120" s="229"/>
    </row>
    <row r="121" spans="1:47">
      <c r="A121" s="240">
        <v>43</v>
      </c>
      <c r="B121" s="229"/>
      <c r="C121" s="229"/>
      <c r="D121" s="229"/>
      <c r="E121" s="239"/>
      <c r="F121" s="229"/>
      <c r="G121" s="239"/>
      <c r="H121" s="229"/>
      <c r="I121" s="239"/>
      <c r="J121" s="239"/>
      <c r="K121" s="239"/>
      <c r="L121" s="239"/>
      <c r="M121" s="239"/>
      <c r="N121" s="239"/>
      <c r="O121" s="23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  <c r="Z121" s="229"/>
      <c r="AA121" s="229"/>
      <c r="AB121" s="229"/>
      <c r="AC121" s="229"/>
      <c r="AD121" s="229"/>
      <c r="AE121" s="229"/>
      <c r="AF121" s="229"/>
      <c r="AG121" s="229"/>
      <c r="AH121" s="229"/>
      <c r="AI121" s="229"/>
      <c r="AJ121" s="229"/>
      <c r="AK121" s="229"/>
      <c r="AL121" s="229"/>
      <c r="AM121" s="229"/>
      <c r="AN121" s="229"/>
      <c r="AO121" s="229"/>
      <c r="AP121" s="229"/>
      <c r="AQ121" s="229"/>
      <c r="AR121" s="229"/>
      <c r="AS121" s="229"/>
      <c r="AT121" s="229"/>
      <c r="AU121" s="229"/>
    </row>
    <row r="122" spans="1:47" ht="13.8" thickBot="1">
      <c r="A122" s="240">
        <v>44</v>
      </c>
      <c r="B122" s="229"/>
      <c r="C122" s="234" t="s">
        <v>1443</v>
      </c>
      <c r="D122" s="229"/>
      <c r="E122" s="1953">
        <f>E83-E120</f>
        <v>-502977</v>
      </c>
      <c r="F122" s="229"/>
      <c r="G122" s="1953">
        <f>G83-G120</f>
        <v>-1514069</v>
      </c>
      <c r="H122" s="229"/>
      <c r="I122" s="1953">
        <f>I83-I120</f>
        <v>-49977</v>
      </c>
      <c r="J122" s="238"/>
      <c r="K122" s="1953">
        <f>K83-K120</f>
        <v>-254318</v>
      </c>
      <c r="L122" s="238"/>
      <c r="M122" s="1953">
        <f>M83-M120</f>
        <v>-78065</v>
      </c>
      <c r="N122" s="238"/>
      <c r="O122" s="1953">
        <f>O83-O120</f>
        <v>-2249529</v>
      </c>
      <c r="P122" s="229"/>
      <c r="Q122" s="229"/>
      <c r="R122" s="229"/>
      <c r="S122" s="229"/>
      <c r="T122" s="229"/>
      <c r="U122" s="229"/>
      <c r="V122" s="229"/>
      <c r="W122" s="229"/>
      <c r="X122" s="229"/>
      <c r="Y122" s="229"/>
      <c r="Z122" s="229"/>
      <c r="AA122" s="229"/>
      <c r="AB122" s="229"/>
      <c r="AC122" s="229"/>
      <c r="AD122" s="229"/>
      <c r="AE122" s="229"/>
      <c r="AF122" s="229"/>
      <c r="AG122" s="229"/>
      <c r="AH122" s="229"/>
      <c r="AI122" s="229"/>
      <c r="AJ122" s="229"/>
      <c r="AK122" s="229"/>
      <c r="AL122" s="229"/>
      <c r="AM122" s="229"/>
      <c r="AN122" s="229"/>
      <c r="AO122" s="229"/>
      <c r="AP122" s="229"/>
      <c r="AQ122" s="229"/>
      <c r="AR122" s="229"/>
      <c r="AS122" s="229"/>
      <c r="AT122" s="229"/>
      <c r="AU122" s="229"/>
    </row>
    <row r="123" spans="1:47" ht="13.8" thickTop="1">
      <c r="A123" s="229"/>
      <c r="B123" s="229"/>
      <c r="C123" s="229"/>
      <c r="D123" s="238"/>
      <c r="E123" s="241">
        <f>IF(ISERR(ROUND((E112+E118)/(E122+E112+E118),4)=TRUE)," ",ROUND((E112+E118)/(E122+E112+E118),4))</f>
        <v>0.24929999999999999</v>
      </c>
      <c r="F123" s="229"/>
      <c r="G123" s="241">
        <f>IF(ISERR(ROUND((G112+G118)/(G122+G112+G118),4)=TRUE)," ",ROUND((G112+G118)/(G122+G112+G118),4))</f>
        <v>0.24929999999999999</v>
      </c>
      <c r="H123" s="241"/>
      <c r="I123" s="241">
        <f>IF(ISERR(ROUND((I112+I118)/(I122+I112+I118),4)=TRUE)," ",ROUND((I112+I118)/(I122+I112+I118),4))</f>
        <v>0.24929999999999999</v>
      </c>
      <c r="J123" s="241"/>
      <c r="K123" s="241">
        <f>IF(ISERR(ROUND((K112+K118)/(K122+K112+K118),4)=TRUE)," ",ROUND((K112+K118)/(K122+K112+K118),4))</f>
        <v>0.24929999999999999</v>
      </c>
      <c r="L123" s="241"/>
      <c r="M123" s="241">
        <f>IF(ISERR(ROUND((M112+M118)/(M122+M112+M118),4)=TRUE)," ",ROUND((M112+M118)/(M122+M112+M118),4))</f>
        <v>0.24929999999999999</v>
      </c>
      <c r="N123" s="241"/>
      <c r="O123" s="241">
        <f>IF(ISERR(ROUND((O112+O118)/(O122+O112+O118),4)=TRUE)," ",ROUND((O112+O118)/(O122+O112+O118),4))</f>
        <v>0.24929999999999999</v>
      </c>
      <c r="P123" s="229"/>
      <c r="Q123" s="229"/>
      <c r="R123" s="229"/>
      <c r="S123" s="229"/>
      <c r="T123" s="229"/>
      <c r="U123" s="229"/>
      <c r="V123" s="229"/>
      <c r="W123" s="229"/>
      <c r="X123" s="229"/>
      <c r="Y123" s="229"/>
      <c r="Z123" s="229"/>
      <c r="AA123" s="229"/>
      <c r="AB123" s="229"/>
      <c r="AC123" s="229"/>
      <c r="AD123" s="229"/>
      <c r="AE123" s="229"/>
      <c r="AF123" s="229"/>
      <c r="AG123" s="229"/>
      <c r="AH123" s="229"/>
      <c r="AI123" s="229"/>
      <c r="AJ123" s="229"/>
      <c r="AK123" s="229"/>
      <c r="AL123" s="229"/>
      <c r="AM123" s="229"/>
      <c r="AN123" s="229"/>
      <c r="AO123" s="229"/>
      <c r="AP123" s="229"/>
      <c r="AQ123" s="229"/>
      <c r="AR123" s="229"/>
      <c r="AS123" s="229"/>
      <c r="AT123" s="229"/>
      <c r="AU123" s="229"/>
    </row>
    <row r="124" spans="1:47">
      <c r="A124" s="234"/>
      <c r="B124" s="229"/>
      <c r="C124" s="229"/>
      <c r="D124" s="229"/>
      <c r="E124" s="229"/>
      <c r="F124" s="229"/>
      <c r="G124" s="229"/>
      <c r="H124" s="229"/>
      <c r="I124" s="229"/>
      <c r="J124" s="229"/>
      <c r="K124" s="229"/>
      <c r="L124" s="229"/>
      <c r="M124" s="229"/>
      <c r="N124" s="229"/>
      <c r="O124" s="229"/>
      <c r="P124" s="229"/>
      <c r="Q124" s="229"/>
      <c r="R124" s="229"/>
      <c r="S124" s="229"/>
      <c r="T124" s="229"/>
      <c r="U124" s="229"/>
      <c r="V124" s="229"/>
      <c r="W124" s="229"/>
      <c r="X124" s="229"/>
      <c r="Y124" s="229"/>
      <c r="Z124" s="229"/>
      <c r="AA124" s="229"/>
      <c r="AB124" s="229"/>
      <c r="AC124" s="229"/>
      <c r="AD124" s="229"/>
      <c r="AE124" s="229"/>
      <c r="AF124" s="229"/>
      <c r="AG124" s="229"/>
      <c r="AH124" s="229"/>
      <c r="AI124" s="229"/>
      <c r="AJ124" s="229"/>
      <c r="AK124" s="229"/>
      <c r="AL124" s="229"/>
      <c r="AM124" s="229"/>
      <c r="AN124" s="229"/>
      <c r="AO124" s="229"/>
      <c r="AP124" s="229"/>
      <c r="AQ124" s="229"/>
      <c r="AR124" s="229"/>
      <c r="AS124" s="229"/>
      <c r="AT124" s="229"/>
      <c r="AU124" s="229"/>
    </row>
    <row r="125" spans="1:47">
      <c r="A125" s="228" t="str">
        <f>COMPANY</f>
        <v>DUKE ENERGY KENTUCKY, INC.</v>
      </c>
      <c r="B125" s="228"/>
      <c r="C125" s="228"/>
      <c r="D125" s="228"/>
      <c r="E125" s="228"/>
      <c r="F125" s="228"/>
      <c r="G125" s="228"/>
      <c r="H125" s="228"/>
      <c r="I125" s="228"/>
      <c r="J125" s="228"/>
      <c r="K125" s="228"/>
      <c r="L125" s="228"/>
      <c r="M125" s="228"/>
      <c r="N125" s="228"/>
      <c r="O125" s="228"/>
      <c r="P125" s="229"/>
      <c r="Q125" s="229"/>
      <c r="R125" s="229"/>
      <c r="S125" s="229"/>
      <c r="T125" s="229"/>
      <c r="U125" s="229"/>
      <c r="V125" s="229"/>
      <c r="W125" s="229"/>
      <c r="X125" s="229"/>
      <c r="Y125" s="229"/>
      <c r="Z125" s="229"/>
      <c r="AA125" s="229"/>
      <c r="AB125" s="229"/>
      <c r="AC125" s="229"/>
      <c r="AD125" s="229"/>
      <c r="AE125" s="229"/>
      <c r="AF125" s="229"/>
      <c r="AG125" s="229"/>
      <c r="AH125" s="229"/>
      <c r="AI125" s="229"/>
      <c r="AJ125" s="229"/>
      <c r="AK125" s="229"/>
      <c r="AL125" s="229"/>
      <c r="AM125" s="229"/>
      <c r="AN125" s="229"/>
      <c r="AO125" s="229"/>
      <c r="AP125" s="229"/>
      <c r="AQ125" s="229"/>
      <c r="AR125" s="229"/>
      <c r="AS125" s="229"/>
      <c r="AT125" s="229"/>
      <c r="AU125" s="229"/>
    </row>
    <row r="126" spans="1:47">
      <c r="A126" s="228" t="str">
        <f>CASE</f>
        <v>CASE NO. 2024-00354</v>
      </c>
      <c r="B126" s="228"/>
      <c r="C126" s="228"/>
      <c r="D126" s="228"/>
      <c r="E126" s="230"/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9"/>
      <c r="Q126" s="229"/>
      <c r="R126" s="229"/>
      <c r="S126" s="229"/>
      <c r="T126" s="229"/>
      <c r="U126" s="229"/>
      <c r="V126" s="229"/>
      <c r="W126" s="229"/>
      <c r="X126" s="229"/>
      <c r="Y126" s="229"/>
      <c r="Z126" s="229"/>
      <c r="AA126" s="229"/>
      <c r="AB126" s="229"/>
      <c r="AC126" s="229"/>
      <c r="AD126" s="229"/>
      <c r="AE126" s="229"/>
      <c r="AF126" s="229"/>
      <c r="AG126" s="229"/>
      <c r="AH126" s="229"/>
      <c r="AI126" s="229"/>
      <c r="AJ126" s="229"/>
      <c r="AK126" s="229"/>
      <c r="AL126" s="229"/>
      <c r="AM126" s="229"/>
      <c r="AN126" s="229"/>
      <c r="AO126" s="229"/>
      <c r="AP126" s="229"/>
      <c r="AQ126" s="229"/>
      <c r="AR126" s="229"/>
      <c r="AS126" s="229"/>
      <c r="AT126" s="229"/>
      <c r="AU126" s="229"/>
    </row>
    <row r="127" spans="1:47">
      <c r="A127" s="231" t="str">
        <f>$AG$500</f>
        <v>SUMMARY OF UTILITY JURISDICTIONAL ADJUSTMENTS TO</v>
      </c>
      <c r="B127" s="228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9"/>
      <c r="Q127" s="229"/>
      <c r="R127" s="229"/>
      <c r="S127" s="229"/>
      <c r="T127" s="229"/>
      <c r="U127" s="229"/>
      <c r="V127" s="229"/>
      <c r="W127" s="229"/>
      <c r="X127" s="229"/>
      <c r="Y127" s="229"/>
      <c r="Z127" s="229"/>
      <c r="AA127" s="229"/>
      <c r="AB127" s="229"/>
      <c r="AC127" s="229"/>
      <c r="AD127" s="229"/>
      <c r="AE127" s="229"/>
      <c r="AF127" s="229"/>
      <c r="AG127" s="229"/>
      <c r="AH127" s="229"/>
      <c r="AI127" s="229"/>
      <c r="AJ127" s="229"/>
      <c r="AK127" s="229"/>
      <c r="AL127" s="229"/>
      <c r="AM127" s="229"/>
      <c r="AN127" s="229"/>
      <c r="AO127" s="229"/>
      <c r="AP127" s="229"/>
      <c r="AQ127" s="229"/>
      <c r="AR127" s="229"/>
      <c r="AS127" s="229"/>
      <c r="AT127" s="229"/>
      <c r="AU127" s="229"/>
    </row>
    <row r="128" spans="1:47">
      <c r="A128" s="231" t="str">
        <f>$AG$501</f>
        <v>OPERATING INCOME BY MAJOR ACCOUNTS</v>
      </c>
      <c r="B128" s="228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9"/>
      <c r="Q128" s="229"/>
      <c r="R128" s="229"/>
      <c r="S128" s="229"/>
      <c r="T128" s="229"/>
      <c r="U128" s="229"/>
      <c r="V128" s="229"/>
      <c r="W128" s="229"/>
      <c r="X128" s="229"/>
      <c r="Y128" s="229"/>
      <c r="Z128" s="229"/>
      <c r="AA128" s="229"/>
      <c r="AB128" s="229"/>
      <c r="AC128" s="229"/>
      <c r="AD128" s="229"/>
      <c r="AE128" s="229"/>
      <c r="AF128" s="229"/>
      <c r="AG128" s="229"/>
      <c r="AH128" s="229"/>
      <c r="AI128" s="229"/>
      <c r="AJ128" s="229"/>
      <c r="AK128" s="229"/>
      <c r="AL128" s="229"/>
      <c r="AM128" s="229"/>
      <c r="AN128" s="229"/>
      <c r="AO128" s="229"/>
      <c r="AP128" s="229"/>
      <c r="AQ128" s="229"/>
      <c r="AR128" s="229"/>
      <c r="AS128" s="229"/>
      <c r="AT128" s="229"/>
      <c r="AU128" s="229"/>
    </row>
    <row r="129" spans="1:47">
      <c r="A129" s="232" t="str">
        <f>A5</f>
        <v>ADJUSTMENTS TO THE BASE PERIOD</v>
      </c>
      <c r="B129" s="228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229"/>
      <c r="AU129" s="229"/>
    </row>
    <row r="130" spans="1:47">
      <c r="A130" s="228" t="str">
        <f>A6</f>
        <v>FOR THE TWELVE MONTHS ENDED FEBRUARY 28, 2025</v>
      </c>
      <c r="B130" s="228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  <c r="AO130" s="229"/>
      <c r="AP130" s="229"/>
      <c r="AQ130" s="229"/>
      <c r="AR130" s="229"/>
      <c r="AS130" s="229"/>
      <c r="AT130" s="229"/>
      <c r="AU130" s="229"/>
    </row>
    <row r="131" spans="1:47">
      <c r="A131" s="229"/>
      <c r="B131" s="229"/>
      <c r="C131" s="229"/>
      <c r="D131" s="229"/>
      <c r="E131" s="229"/>
      <c r="F131" s="229"/>
      <c r="G131" s="229"/>
      <c r="H131" s="229"/>
      <c r="I131" s="229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229"/>
      <c r="AU131" s="229"/>
    </row>
    <row r="132" spans="1:47">
      <c r="A132" s="229" t="str">
        <f>Data</f>
        <v>DATA: "X" BASE PERIOD   FORECASTED PERIOD</v>
      </c>
      <c r="B132" s="229"/>
      <c r="C132" s="229"/>
      <c r="D132" s="229"/>
      <c r="E132" s="229"/>
      <c r="F132" s="229"/>
      <c r="G132" s="229"/>
      <c r="H132" s="229"/>
      <c r="I132" s="229"/>
      <c r="J132" s="229"/>
      <c r="K132" s="229"/>
      <c r="L132" s="229"/>
      <c r="M132" s="233" t="s">
        <v>1725</v>
      </c>
      <c r="N132" s="234"/>
      <c r="O132" s="234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  <c r="AH132" s="229"/>
      <c r="AI132" s="229"/>
      <c r="AJ132" s="229"/>
      <c r="AK132" s="229"/>
      <c r="AL132" s="229"/>
      <c r="AM132" s="229"/>
      <c r="AN132" s="229"/>
      <c r="AO132" s="229"/>
      <c r="AP132" s="229"/>
      <c r="AQ132" s="229"/>
      <c r="AR132" s="229"/>
      <c r="AS132" s="229"/>
      <c r="AT132" s="229"/>
      <c r="AU132" s="229"/>
    </row>
    <row r="133" spans="1:47">
      <c r="A133" s="229" t="str">
        <f>Type</f>
        <v xml:space="preserve">TYPE OF FILING:  "X" ORIGINAL   UPDATED    REVISED  </v>
      </c>
      <c r="B133" s="229"/>
      <c r="C133" s="229"/>
      <c r="D133" s="229"/>
      <c r="E133" s="229"/>
      <c r="F133" s="229"/>
      <c r="G133" s="229"/>
      <c r="H133" s="229"/>
      <c r="I133" s="229"/>
      <c r="J133" s="229"/>
      <c r="K133" s="229"/>
      <c r="L133" s="229"/>
      <c r="M133" s="234" t="s">
        <v>1785</v>
      </c>
      <c r="N133" s="234"/>
      <c r="O133" s="234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  <c r="AH133" s="229"/>
      <c r="AI133" s="229"/>
      <c r="AJ133" s="229"/>
      <c r="AK133" s="229"/>
      <c r="AL133" s="229"/>
      <c r="AM133" s="229"/>
      <c r="AN133" s="229"/>
      <c r="AO133" s="229"/>
      <c r="AP133" s="229"/>
      <c r="AQ133" s="229"/>
      <c r="AR133" s="229"/>
      <c r="AS133" s="229"/>
      <c r="AT133" s="229"/>
      <c r="AU133" s="229"/>
    </row>
    <row r="134" spans="1:47">
      <c r="A134" s="234" t="s">
        <v>467</v>
      </c>
      <c r="B134" s="229"/>
      <c r="C134" s="229"/>
      <c r="D134" s="229"/>
      <c r="E134" s="229"/>
      <c r="F134" s="229"/>
      <c r="G134" s="229"/>
      <c r="H134" s="229"/>
      <c r="I134" s="229"/>
      <c r="J134" s="229"/>
      <c r="K134" s="229"/>
      <c r="L134" s="229"/>
      <c r="M134" s="233" t="s">
        <v>1727</v>
      </c>
      <c r="N134" s="234"/>
      <c r="O134" s="234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29"/>
      <c r="AL134" s="229"/>
      <c r="AM134" s="229"/>
      <c r="AN134" s="229"/>
      <c r="AO134" s="229"/>
      <c r="AP134" s="229"/>
      <c r="AQ134" s="229"/>
      <c r="AR134" s="229"/>
      <c r="AS134" s="229"/>
      <c r="AT134" s="229"/>
      <c r="AU134" s="229"/>
    </row>
    <row r="135" spans="1:47">
      <c r="A135" s="229"/>
      <c r="B135" s="229"/>
      <c r="C135" s="229"/>
      <c r="D135" s="229"/>
      <c r="E135" s="229"/>
      <c r="F135" s="229"/>
      <c r="G135" s="229"/>
      <c r="H135" s="229"/>
      <c r="I135" s="229"/>
      <c r="J135" s="229"/>
      <c r="K135" s="229"/>
      <c r="L135" s="229"/>
      <c r="M135" s="234" t="str">
        <f>"          "&amp;_WIT1</f>
        <v xml:space="preserve">          L. D. STEINKUHL</v>
      </c>
      <c r="N135" s="234"/>
      <c r="O135" s="234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  <c r="AH135" s="229"/>
      <c r="AI135" s="229"/>
      <c r="AJ135" s="229"/>
      <c r="AK135" s="229"/>
      <c r="AL135" s="229"/>
      <c r="AM135" s="229"/>
      <c r="AN135" s="229"/>
      <c r="AO135" s="229"/>
      <c r="AP135" s="229"/>
      <c r="AQ135" s="229"/>
      <c r="AR135" s="229"/>
      <c r="AS135" s="229"/>
      <c r="AT135" s="229"/>
      <c r="AU135" s="229"/>
    </row>
    <row r="136" spans="1:47">
      <c r="A136" s="1502"/>
      <c r="B136" s="1502"/>
      <c r="C136" s="1502"/>
      <c r="D136" s="1502"/>
      <c r="E136" s="1503"/>
      <c r="F136" s="229"/>
      <c r="G136" s="1503"/>
      <c r="H136" s="1502"/>
      <c r="I136" s="1502"/>
      <c r="J136" s="1502"/>
      <c r="K136" s="1503"/>
      <c r="L136" s="1502"/>
      <c r="M136" s="1503"/>
      <c r="N136" s="1504"/>
      <c r="O136" s="1502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  <c r="AH136" s="229"/>
      <c r="AI136" s="229"/>
      <c r="AJ136" s="229"/>
      <c r="AK136" s="229"/>
      <c r="AL136" s="229"/>
      <c r="AM136" s="229"/>
      <c r="AN136" s="229"/>
      <c r="AO136" s="229"/>
      <c r="AP136" s="229"/>
      <c r="AQ136" s="229"/>
      <c r="AR136" s="229"/>
      <c r="AS136" s="229"/>
      <c r="AT136" s="229"/>
      <c r="AU136" s="229"/>
    </row>
    <row r="137" spans="1:47">
      <c r="A137" s="229"/>
      <c r="B137" s="229"/>
      <c r="C137" s="229"/>
      <c r="D137" s="229"/>
      <c r="E137" s="240" t="s">
        <v>1728</v>
      </c>
      <c r="F137" s="2142"/>
      <c r="G137" s="240" t="s">
        <v>1728</v>
      </c>
      <c r="H137" s="229"/>
      <c r="I137" s="240" t="s">
        <v>1728</v>
      </c>
      <c r="J137" s="240"/>
      <c r="K137" s="240" t="s">
        <v>1728</v>
      </c>
      <c r="L137" s="240"/>
      <c r="M137" s="2143"/>
      <c r="N137" s="2143"/>
      <c r="O137" s="2143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  <c r="AO137" s="229"/>
      <c r="AP137" s="229"/>
      <c r="AQ137" s="229"/>
      <c r="AR137" s="229"/>
      <c r="AS137" s="229"/>
      <c r="AT137" s="229"/>
      <c r="AU137" s="229"/>
    </row>
    <row r="138" spans="1:47">
      <c r="A138" s="240" t="s">
        <v>471</v>
      </c>
      <c r="B138" s="229"/>
      <c r="C138" s="229"/>
      <c r="D138" s="229"/>
      <c r="E138" s="240" t="s">
        <v>1786</v>
      </c>
      <c r="F138" s="229"/>
      <c r="G138" s="240" t="s">
        <v>1787</v>
      </c>
      <c r="H138" s="229"/>
      <c r="I138" s="240" t="s">
        <v>413</v>
      </c>
      <c r="J138" s="240"/>
      <c r="K138" s="240" t="s">
        <v>1788</v>
      </c>
      <c r="L138" s="240"/>
      <c r="M138" s="240"/>
      <c r="N138" s="240"/>
      <c r="O138" s="240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</row>
    <row r="139" spans="1:47">
      <c r="A139" s="1503" t="s">
        <v>533</v>
      </c>
      <c r="B139" s="1504"/>
      <c r="C139" s="1503" t="s">
        <v>1733</v>
      </c>
      <c r="D139" s="1504"/>
      <c r="E139" s="1503" t="s">
        <v>1736</v>
      </c>
      <c r="F139" s="229"/>
      <c r="G139" s="1503" t="s">
        <v>1736</v>
      </c>
      <c r="H139" s="229"/>
      <c r="I139" s="1503" t="s">
        <v>1789</v>
      </c>
      <c r="J139" s="1503"/>
      <c r="K139" s="1503" t="s">
        <v>1790</v>
      </c>
      <c r="L139" s="240"/>
      <c r="M139" s="240"/>
      <c r="N139" s="240"/>
      <c r="O139" s="240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</row>
    <row r="140" spans="1:47">
      <c r="A140" s="1504"/>
      <c r="B140" s="1504"/>
      <c r="C140" s="1505" t="s">
        <v>1737</v>
      </c>
      <c r="D140" s="1504"/>
      <c r="E140" s="1503" t="s">
        <v>1430</v>
      </c>
      <c r="F140" s="2139"/>
      <c r="G140" s="1503" t="s">
        <v>1431</v>
      </c>
      <c r="H140" s="1503"/>
      <c r="I140" s="1503" t="s">
        <v>1433</v>
      </c>
      <c r="J140" s="1503"/>
      <c r="K140" s="1503" t="s">
        <v>1791</v>
      </c>
      <c r="L140" s="240"/>
      <c r="M140" s="240"/>
      <c r="N140" s="240"/>
      <c r="O140" s="240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</row>
    <row r="141" spans="1:47">
      <c r="A141" s="240">
        <v>1</v>
      </c>
      <c r="B141" s="242" t="s">
        <v>451</v>
      </c>
      <c r="C141" s="229"/>
      <c r="D141" s="229"/>
      <c r="E141" s="229"/>
      <c r="F141" s="229"/>
      <c r="G141" s="229"/>
      <c r="H141" s="229"/>
      <c r="I141" s="229"/>
      <c r="J141" s="229"/>
      <c r="K141" s="229"/>
      <c r="L141" s="229"/>
      <c r="M141" s="229"/>
      <c r="N141" s="229"/>
      <c r="O141" s="229"/>
      <c r="P141" s="229"/>
      <c r="Q141" s="229"/>
      <c r="R141" s="229"/>
      <c r="S141" s="229"/>
      <c r="T141" s="229"/>
      <c r="U141" s="229"/>
      <c r="V141" s="229"/>
      <c r="W141" s="229"/>
      <c r="X141" s="229"/>
      <c r="Y141" s="229"/>
      <c r="Z141" s="229"/>
      <c r="AA141" s="229"/>
      <c r="AB141" s="229"/>
      <c r="AC141" s="229"/>
      <c r="AD141" s="229"/>
      <c r="AE141" s="229"/>
      <c r="AF141" s="229"/>
      <c r="AG141" s="229"/>
      <c r="AH141" s="229"/>
      <c r="AI141" s="229"/>
      <c r="AJ141" s="229"/>
      <c r="AK141" s="229"/>
      <c r="AL141" s="229"/>
      <c r="AM141" s="229"/>
      <c r="AN141" s="229"/>
      <c r="AO141" s="229"/>
      <c r="AP141" s="229"/>
      <c r="AQ141" s="229"/>
      <c r="AR141" s="229"/>
      <c r="AS141" s="229"/>
      <c r="AT141" s="229"/>
      <c r="AU141" s="229"/>
    </row>
    <row r="142" spans="1:47">
      <c r="A142" s="240">
        <v>2</v>
      </c>
      <c r="B142" s="229"/>
      <c r="C142" s="234" t="s">
        <v>1740</v>
      </c>
      <c r="D142" s="229"/>
      <c r="E142" s="238"/>
      <c r="F142" s="229"/>
      <c r="G142" s="238"/>
      <c r="H142" s="229"/>
      <c r="I142" s="238"/>
      <c r="J142" s="238"/>
      <c r="K142" s="238"/>
      <c r="L142" s="238"/>
      <c r="M142" s="238"/>
      <c r="N142" s="238"/>
      <c r="O142" s="238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  <c r="AA142" s="229"/>
      <c r="AB142" s="229"/>
      <c r="AC142" s="229"/>
      <c r="AD142" s="229"/>
      <c r="AE142" s="229"/>
      <c r="AF142" s="229"/>
      <c r="AG142" s="229"/>
      <c r="AH142" s="229"/>
      <c r="AI142" s="229"/>
      <c r="AJ142" s="229"/>
      <c r="AK142" s="229"/>
      <c r="AL142" s="229"/>
      <c r="AM142" s="229"/>
      <c r="AN142" s="229"/>
      <c r="AO142" s="229"/>
      <c r="AP142" s="229"/>
      <c r="AQ142" s="229"/>
      <c r="AR142" s="229"/>
      <c r="AS142" s="229"/>
      <c r="AT142" s="229"/>
      <c r="AU142" s="229"/>
    </row>
    <row r="143" spans="1:47">
      <c r="A143" s="240">
        <v>3</v>
      </c>
      <c r="B143" s="229"/>
      <c r="C143" s="234" t="s">
        <v>1741</v>
      </c>
      <c r="D143" s="229"/>
      <c r="E143" s="238"/>
      <c r="F143" s="229"/>
      <c r="G143" s="238"/>
      <c r="H143" s="229"/>
      <c r="I143" s="238"/>
      <c r="J143" s="238"/>
      <c r="K143" s="238"/>
      <c r="L143" s="238"/>
      <c r="M143" s="238"/>
      <c r="N143" s="238"/>
      <c r="O143" s="238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  <c r="Z143" s="229"/>
      <c r="AA143" s="229"/>
      <c r="AB143" s="229"/>
      <c r="AC143" s="229"/>
      <c r="AD143" s="229"/>
      <c r="AE143" s="229"/>
      <c r="AF143" s="229"/>
      <c r="AG143" s="229"/>
      <c r="AH143" s="229"/>
      <c r="AI143" s="229"/>
      <c r="AJ143" s="229"/>
      <c r="AK143" s="229"/>
      <c r="AL143" s="229"/>
      <c r="AM143" s="229"/>
      <c r="AN143" s="229"/>
      <c r="AO143" s="229"/>
      <c r="AP143" s="229"/>
      <c r="AQ143" s="229"/>
      <c r="AR143" s="229"/>
      <c r="AS143" s="229"/>
      <c r="AT143" s="229"/>
      <c r="AU143" s="229"/>
    </row>
    <row r="144" spans="1:47">
      <c r="A144" s="240">
        <v>4</v>
      </c>
      <c r="B144" s="229"/>
      <c r="C144" s="234" t="s">
        <v>1742</v>
      </c>
      <c r="D144" s="229"/>
      <c r="E144" s="238"/>
      <c r="F144" s="229"/>
      <c r="G144" s="238"/>
      <c r="H144" s="229"/>
      <c r="I144" s="238"/>
      <c r="J144" s="238"/>
      <c r="K144" s="238"/>
      <c r="L144" s="238"/>
      <c r="M144" s="238"/>
      <c r="N144" s="238"/>
      <c r="O144" s="238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  <c r="AA144" s="229"/>
      <c r="AB144" s="229"/>
      <c r="AC144" s="229"/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29"/>
      <c r="AN144" s="229"/>
      <c r="AO144" s="229"/>
      <c r="AP144" s="229"/>
      <c r="AQ144" s="229"/>
      <c r="AR144" s="229"/>
      <c r="AS144" s="229"/>
      <c r="AT144" s="229"/>
      <c r="AU144" s="229"/>
    </row>
    <row r="145" spans="1:47">
      <c r="A145" s="240">
        <v>5</v>
      </c>
      <c r="B145" s="229"/>
      <c r="C145" s="234" t="s">
        <v>1743</v>
      </c>
      <c r="D145" s="229"/>
      <c r="E145" s="2140">
        <f>SUM(E142:E144)</f>
        <v>0</v>
      </c>
      <c r="F145" s="229"/>
      <c r="G145" s="2140">
        <f>SUM(G142:G144)</f>
        <v>0</v>
      </c>
      <c r="H145" s="229"/>
      <c r="I145" s="2140">
        <f>SUM(I142:I144)</f>
        <v>0</v>
      </c>
      <c r="J145" s="238"/>
      <c r="K145" s="2140">
        <f>SUM(K142:K144)</f>
        <v>0</v>
      </c>
      <c r="L145" s="238"/>
      <c r="M145" s="238"/>
      <c r="N145" s="238"/>
      <c r="O145" s="238"/>
      <c r="P145" s="229"/>
      <c r="Q145" s="229"/>
      <c r="R145" s="229"/>
      <c r="S145" s="229"/>
      <c r="T145" s="229"/>
      <c r="U145" s="229"/>
      <c r="V145" s="229"/>
      <c r="W145" s="229"/>
      <c r="X145" s="229"/>
      <c r="Y145" s="229"/>
      <c r="Z145" s="229"/>
      <c r="AA145" s="229"/>
      <c r="AB145" s="229"/>
      <c r="AC145" s="229"/>
      <c r="AD145" s="229"/>
      <c r="AE145" s="229"/>
      <c r="AF145" s="229"/>
      <c r="AG145" s="229"/>
      <c r="AH145" s="229"/>
      <c r="AI145" s="229"/>
      <c r="AJ145" s="229"/>
      <c r="AK145" s="229"/>
      <c r="AL145" s="229"/>
      <c r="AM145" s="229"/>
      <c r="AN145" s="229"/>
      <c r="AO145" s="229"/>
      <c r="AP145" s="229"/>
      <c r="AQ145" s="229"/>
      <c r="AR145" s="229"/>
      <c r="AS145" s="229"/>
      <c r="AT145" s="229"/>
      <c r="AU145" s="229"/>
    </row>
    <row r="146" spans="1:47">
      <c r="A146" s="240">
        <v>6</v>
      </c>
      <c r="B146" s="229"/>
      <c r="C146" s="229"/>
      <c r="D146" s="229"/>
      <c r="E146" s="239"/>
      <c r="F146" s="229"/>
      <c r="G146" s="239"/>
      <c r="H146" s="229"/>
      <c r="I146" s="239"/>
      <c r="J146" s="239"/>
      <c r="K146" s="239"/>
      <c r="L146" s="239"/>
      <c r="M146" s="239"/>
      <c r="N146" s="239"/>
      <c r="O146" s="239"/>
      <c r="P146" s="229"/>
      <c r="Q146" s="229"/>
      <c r="R146" s="229"/>
      <c r="S146" s="229"/>
      <c r="T146" s="229"/>
      <c r="U146" s="229"/>
      <c r="V146" s="229"/>
      <c r="W146" s="229"/>
      <c r="X146" s="229"/>
      <c r="Y146" s="229"/>
      <c r="Z146" s="229"/>
      <c r="AA146" s="229"/>
      <c r="AB146" s="229"/>
      <c r="AC146" s="229"/>
      <c r="AD146" s="229"/>
      <c r="AE146" s="229"/>
      <c r="AF146" s="229"/>
      <c r="AG146" s="229"/>
      <c r="AH146" s="229"/>
      <c r="AI146" s="229"/>
      <c r="AJ146" s="229"/>
      <c r="AK146" s="229"/>
      <c r="AL146" s="229"/>
      <c r="AM146" s="229"/>
      <c r="AN146" s="229"/>
      <c r="AO146" s="229"/>
      <c r="AP146" s="229"/>
      <c r="AQ146" s="229"/>
      <c r="AR146" s="229"/>
      <c r="AS146" s="229"/>
      <c r="AT146" s="229"/>
      <c r="AU146" s="229"/>
    </row>
    <row r="147" spans="1:47">
      <c r="A147" s="240">
        <v>7</v>
      </c>
      <c r="B147" s="242" t="s">
        <v>404</v>
      </c>
      <c r="C147" s="229"/>
      <c r="D147" s="229"/>
      <c r="E147" s="1752" t="str">
        <f>IF(SUM(E148:E149,E166,E171,E176)=0,"","DATA ENTERED IN WRONG LINE")</f>
        <v/>
      </c>
      <c r="F147" s="1752"/>
      <c r="G147" s="1752" t="str">
        <f>IF(SUM(G148:G149,G166,G171,G176)=0,"","DATA ENTERED IN WRONG LINE")</f>
        <v/>
      </c>
      <c r="H147" s="1752"/>
      <c r="I147" s="1752" t="str">
        <f>IF(SUM(I148:I149,I166,I171,I176)=0,"","DATA ENTERED IN WRONG LINE")</f>
        <v/>
      </c>
      <c r="J147" s="1752"/>
      <c r="K147" s="1752" t="str">
        <f>IF(SUM(K148:K149,K166,K171,K176)=0,"","DATA ENTERED IN WRONG LINE")</f>
        <v/>
      </c>
      <c r="L147" s="1752"/>
      <c r="M147" s="229"/>
      <c r="N147" s="229"/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  <c r="Y147" s="229"/>
      <c r="Z147" s="229"/>
      <c r="AA147" s="229"/>
      <c r="AB147" s="229"/>
      <c r="AC147" s="229"/>
      <c r="AD147" s="229"/>
      <c r="AE147" s="229"/>
      <c r="AF147" s="229"/>
      <c r="AG147" s="229"/>
      <c r="AH147" s="229"/>
      <c r="AI147" s="229"/>
      <c r="AJ147" s="229"/>
      <c r="AK147" s="229"/>
      <c r="AL147" s="229"/>
      <c r="AM147" s="229"/>
      <c r="AN147" s="229"/>
      <c r="AO147" s="229"/>
      <c r="AP147" s="229"/>
      <c r="AQ147" s="229"/>
      <c r="AR147" s="229"/>
      <c r="AS147" s="229"/>
      <c r="AT147" s="229"/>
      <c r="AU147" s="229"/>
    </row>
    <row r="148" spans="1:47">
      <c r="A148" s="240">
        <v>8</v>
      </c>
      <c r="B148" s="229"/>
      <c r="C148" s="234" t="s">
        <v>1744</v>
      </c>
      <c r="D148" s="229"/>
      <c r="E148" s="229"/>
      <c r="F148" s="229"/>
      <c r="G148" s="238"/>
      <c r="H148" s="229"/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  <c r="AA148" s="229"/>
      <c r="AB148" s="229"/>
      <c r="AC148" s="229"/>
      <c r="AD148" s="229"/>
      <c r="AE148" s="229"/>
      <c r="AF148" s="229"/>
      <c r="AG148" s="229"/>
      <c r="AH148" s="229"/>
      <c r="AI148" s="229"/>
      <c r="AJ148" s="229"/>
      <c r="AK148" s="229"/>
      <c r="AL148" s="229"/>
      <c r="AM148" s="229"/>
      <c r="AN148" s="229"/>
      <c r="AO148" s="229"/>
      <c r="AP148" s="229"/>
      <c r="AQ148" s="229"/>
      <c r="AR148" s="229"/>
      <c r="AS148" s="229"/>
      <c r="AT148" s="229"/>
      <c r="AU148" s="229"/>
    </row>
    <row r="149" spans="1:47">
      <c r="A149" s="240">
        <v>9</v>
      </c>
      <c r="B149" s="229"/>
      <c r="C149" s="234" t="s">
        <v>1745</v>
      </c>
      <c r="D149" s="229"/>
      <c r="E149" s="229"/>
      <c r="F149" s="229"/>
      <c r="G149" s="238"/>
      <c r="H149" s="229"/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  <c r="AA149" s="229"/>
      <c r="AB149" s="229"/>
      <c r="AC149" s="229"/>
      <c r="AD149" s="229"/>
      <c r="AE149" s="229"/>
      <c r="AF149" s="229"/>
      <c r="AG149" s="229"/>
      <c r="AH149" s="229"/>
      <c r="AI149" s="229"/>
      <c r="AJ149" s="229"/>
      <c r="AK149" s="229"/>
      <c r="AL149" s="229"/>
      <c r="AM149" s="229"/>
      <c r="AN149" s="229"/>
      <c r="AO149" s="229"/>
      <c r="AP149" s="229"/>
      <c r="AQ149" s="229"/>
      <c r="AR149" s="229"/>
      <c r="AS149" s="229"/>
      <c r="AT149" s="229"/>
      <c r="AU149" s="229"/>
    </row>
    <row r="150" spans="1:47">
      <c r="A150" s="240">
        <v>10</v>
      </c>
      <c r="B150" s="229"/>
      <c r="C150" s="181" t="s">
        <v>454</v>
      </c>
      <c r="D150" s="229"/>
      <c r="E150" s="238"/>
      <c r="F150" s="229"/>
      <c r="G150" s="238"/>
      <c r="H150" s="229"/>
      <c r="I150" s="238"/>
      <c r="J150" s="238"/>
      <c r="K150" s="238"/>
      <c r="L150" s="238"/>
      <c r="M150" s="238"/>
      <c r="N150" s="238"/>
      <c r="O150" s="238"/>
      <c r="P150" s="229"/>
      <c r="Q150" s="229"/>
      <c r="R150" s="229"/>
      <c r="S150" s="229"/>
      <c r="T150" s="229"/>
      <c r="U150" s="229"/>
      <c r="V150" s="229"/>
      <c r="W150" s="229"/>
      <c r="X150" s="229"/>
      <c r="Y150" s="229"/>
      <c r="Z150" s="229"/>
      <c r="AA150" s="229"/>
      <c r="AB150" s="229"/>
      <c r="AC150" s="229"/>
      <c r="AD150" s="229"/>
      <c r="AE150" s="229"/>
      <c r="AF150" s="229"/>
      <c r="AG150" s="229"/>
      <c r="AH150" s="229"/>
      <c r="AI150" s="229"/>
      <c r="AJ150" s="229"/>
      <c r="AK150" s="229"/>
      <c r="AL150" s="229"/>
      <c r="AM150" s="229"/>
      <c r="AN150" s="229"/>
      <c r="AO150" s="229"/>
      <c r="AP150" s="229"/>
      <c r="AQ150" s="229"/>
      <c r="AR150" s="229"/>
      <c r="AS150" s="229"/>
      <c r="AT150" s="229"/>
      <c r="AU150" s="229"/>
    </row>
    <row r="151" spans="1:47">
      <c r="A151" s="240">
        <v>11</v>
      </c>
      <c r="B151" s="229"/>
      <c r="C151" s="234" t="s">
        <v>1746</v>
      </c>
      <c r="D151" s="229"/>
      <c r="E151" s="238"/>
      <c r="F151" s="229"/>
      <c r="G151" s="238"/>
      <c r="H151" s="229"/>
      <c r="I151" s="238"/>
      <c r="J151" s="238"/>
      <c r="K151" s="238"/>
      <c r="L151" s="238"/>
      <c r="M151" s="238"/>
      <c r="N151" s="238"/>
      <c r="O151" s="238"/>
      <c r="P151" s="229"/>
      <c r="Q151" s="229"/>
      <c r="R151" s="229"/>
      <c r="S151" s="229"/>
      <c r="T151" s="229"/>
      <c r="U151" s="229"/>
      <c r="V151" s="229"/>
      <c r="W151" s="229"/>
      <c r="X151" s="229"/>
      <c r="Y151" s="229"/>
      <c r="Z151" s="229"/>
      <c r="AA151" s="229"/>
      <c r="AB151" s="229"/>
      <c r="AC151" s="229"/>
      <c r="AD151" s="229"/>
      <c r="AE151" s="229"/>
      <c r="AF151" s="229"/>
      <c r="AG151" s="229"/>
      <c r="AH151" s="229"/>
      <c r="AI151" s="229"/>
      <c r="AJ151" s="229"/>
      <c r="AK151" s="229"/>
      <c r="AL151" s="229"/>
      <c r="AM151" s="229"/>
      <c r="AN151" s="229"/>
      <c r="AO151" s="229"/>
      <c r="AP151" s="229"/>
      <c r="AQ151" s="229"/>
      <c r="AR151" s="229"/>
      <c r="AS151" s="229"/>
      <c r="AT151" s="229"/>
      <c r="AU151" s="229"/>
    </row>
    <row r="152" spans="1:47">
      <c r="A152" s="240">
        <v>12</v>
      </c>
      <c r="B152" s="229"/>
      <c r="C152" s="234" t="s">
        <v>1747</v>
      </c>
      <c r="D152" s="229"/>
      <c r="E152" s="2141">
        <f>SUM(E149:E151)</f>
        <v>0</v>
      </c>
      <c r="F152" s="229"/>
      <c r="G152" s="2141">
        <f>SUM(G149:G151)</f>
        <v>0</v>
      </c>
      <c r="H152" s="229"/>
      <c r="I152" s="2141">
        <f>SUM(I149:I151)</f>
        <v>0</v>
      </c>
      <c r="J152" s="238"/>
      <c r="K152" s="2141">
        <f>SUM(K149:K151)</f>
        <v>0</v>
      </c>
      <c r="L152" s="238"/>
      <c r="M152" s="238"/>
      <c r="N152" s="238"/>
      <c r="O152" s="238"/>
      <c r="P152" s="229"/>
      <c r="Q152" s="229"/>
      <c r="R152" s="229"/>
      <c r="S152" s="229"/>
      <c r="T152" s="229"/>
      <c r="U152" s="229"/>
      <c r="V152" s="229"/>
      <c r="W152" s="229"/>
      <c r="X152" s="229"/>
      <c r="Y152" s="229"/>
      <c r="Z152" s="229"/>
      <c r="AA152" s="229"/>
      <c r="AB152" s="229"/>
      <c r="AC152" s="229"/>
      <c r="AD152" s="229"/>
      <c r="AE152" s="229"/>
      <c r="AF152" s="229"/>
      <c r="AG152" s="229"/>
      <c r="AH152" s="229"/>
      <c r="AI152" s="229"/>
      <c r="AJ152" s="229"/>
      <c r="AK152" s="229"/>
      <c r="AL152" s="229"/>
      <c r="AM152" s="229"/>
      <c r="AN152" s="229"/>
      <c r="AO152" s="229"/>
      <c r="AP152" s="229"/>
      <c r="AQ152" s="229"/>
      <c r="AR152" s="229"/>
      <c r="AS152" s="229"/>
      <c r="AT152" s="229"/>
      <c r="AU152" s="229"/>
    </row>
    <row r="153" spans="1:47">
      <c r="A153" s="240">
        <v>13</v>
      </c>
      <c r="B153" s="229"/>
      <c r="C153" s="229"/>
      <c r="D153" s="229"/>
      <c r="E153" s="239"/>
      <c r="F153" s="229"/>
      <c r="G153" s="239"/>
      <c r="H153" s="229"/>
      <c r="I153" s="239"/>
      <c r="J153" s="239"/>
      <c r="K153" s="239"/>
      <c r="L153" s="239"/>
      <c r="M153" s="239"/>
      <c r="N153" s="239"/>
      <c r="O153" s="239"/>
      <c r="P153" s="229"/>
      <c r="Q153" s="229"/>
      <c r="R153" s="229"/>
      <c r="S153" s="229"/>
      <c r="T153" s="229"/>
      <c r="U153" s="229"/>
      <c r="V153" s="229"/>
      <c r="W153" s="229"/>
      <c r="X153" s="229"/>
      <c r="Y153" s="229"/>
      <c r="Z153" s="229"/>
      <c r="AA153" s="229"/>
      <c r="AB153" s="229"/>
      <c r="AC153" s="229"/>
      <c r="AD153" s="229"/>
      <c r="AE153" s="229"/>
      <c r="AF153" s="229"/>
      <c r="AG153" s="229"/>
      <c r="AH153" s="229"/>
      <c r="AI153" s="229"/>
      <c r="AJ153" s="229"/>
      <c r="AK153" s="229"/>
      <c r="AL153" s="229"/>
      <c r="AM153" s="229"/>
      <c r="AN153" s="229"/>
      <c r="AO153" s="229"/>
      <c r="AP153" s="229"/>
      <c r="AQ153" s="229"/>
      <c r="AR153" s="229"/>
      <c r="AS153" s="229"/>
      <c r="AT153" s="229"/>
      <c r="AU153" s="229"/>
    </row>
    <row r="154" spans="1:47">
      <c r="A154" s="240">
        <v>14</v>
      </c>
      <c r="B154" s="229"/>
      <c r="C154" s="234" t="s">
        <v>1776</v>
      </c>
      <c r="D154" s="229"/>
      <c r="E154" s="239"/>
      <c r="F154" s="229"/>
      <c r="G154" s="239"/>
      <c r="H154" s="229"/>
      <c r="I154" s="239"/>
      <c r="J154" s="239"/>
      <c r="K154" s="239"/>
      <c r="L154" s="239"/>
      <c r="M154" s="239"/>
      <c r="N154" s="239"/>
      <c r="O154" s="239"/>
      <c r="P154" s="229"/>
      <c r="Q154" s="229"/>
      <c r="R154" s="229"/>
      <c r="S154" s="229"/>
      <c r="T154" s="229"/>
      <c r="U154" s="229"/>
      <c r="V154" s="229"/>
      <c r="W154" s="229"/>
      <c r="X154" s="229"/>
      <c r="Y154" s="229"/>
      <c r="Z154" s="229"/>
      <c r="AA154" s="229"/>
      <c r="AB154" s="229"/>
      <c r="AC154" s="229"/>
      <c r="AD154" s="229"/>
      <c r="AE154" s="229"/>
      <c r="AF154" s="229"/>
      <c r="AG154" s="229"/>
      <c r="AH154" s="229"/>
      <c r="AI154" s="229"/>
      <c r="AJ154" s="229"/>
      <c r="AK154" s="229"/>
      <c r="AL154" s="229"/>
      <c r="AM154" s="229"/>
      <c r="AN154" s="229"/>
      <c r="AO154" s="229"/>
      <c r="AP154" s="229"/>
      <c r="AQ154" s="229"/>
      <c r="AR154" s="229"/>
      <c r="AS154" s="229"/>
      <c r="AT154" s="229"/>
      <c r="AU154" s="229"/>
    </row>
    <row r="155" spans="1:47">
      <c r="A155" s="240">
        <v>15</v>
      </c>
      <c r="B155" s="229"/>
      <c r="C155" s="234" t="s">
        <v>1777</v>
      </c>
      <c r="D155" s="229"/>
      <c r="E155" s="239"/>
      <c r="F155" s="229"/>
      <c r="G155" s="239"/>
      <c r="H155" s="229"/>
      <c r="I155" s="239"/>
      <c r="J155" s="239"/>
      <c r="K155" s="239"/>
      <c r="L155" s="239"/>
      <c r="M155" s="239"/>
      <c r="N155" s="239"/>
      <c r="O155" s="239"/>
      <c r="P155" s="229"/>
      <c r="Q155" s="229"/>
      <c r="R155" s="229"/>
      <c r="S155" s="229"/>
      <c r="T155" s="229"/>
      <c r="U155" s="229"/>
      <c r="V155" s="229"/>
      <c r="W155" s="229"/>
      <c r="X155" s="229"/>
      <c r="Y155" s="229"/>
      <c r="Z155" s="229"/>
      <c r="AA155" s="229"/>
      <c r="AB155" s="229"/>
      <c r="AC155" s="229"/>
      <c r="AD155" s="229"/>
      <c r="AE155" s="229"/>
      <c r="AF155" s="229"/>
      <c r="AG155" s="229"/>
      <c r="AH155" s="229"/>
      <c r="AI155" s="229"/>
      <c r="AJ155" s="229"/>
      <c r="AK155" s="229"/>
      <c r="AL155" s="229"/>
      <c r="AM155" s="229"/>
      <c r="AN155" s="229"/>
      <c r="AO155" s="229"/>
      <c r="AP155" s="229"/>
      <c r="AQ155" s="229"/>
      <c r="AR155" s="229"/>
      <c r="AS155" s="229"/>
      <c r="AT155" s="229"/>
      <c r="AU155" s="229"/>
    </row>
    <row r="156" spans="1:47">
      <c r="A156" s="240">
        <v>16</v>
      </c>
      <c r="B156" s="229"/>
      <c r="C156" s="234" t="s">
        <v>1778</v>
      </c>
      <c r="D156" s="229"/>
      <c r="E156" s="238"/>
      <c r="F156" s="229"/>
      <c r="G156" s="238"/>
      <c r="H156" s="229"/>
      <c r="I156" s="238"/>
      <c r="J156" s="238"/>
      <c r="K156" s="238"/>
      <c r="L156" s="238"/>
      <c r="M156" s="238"/>
      <c r="N156" s="238"/>
      <c r="O156" s="238"/>
      <c r="P156" s="229"/>
      <c r="Q156" s="229"/>
      <c r="R156" s="229"/>
      <c r="S156" s="229"/>
      <c r="T156" s="229"/>
      <c r="U156" s="229"/>
      <c r="V156" s="229"/>
      <c r="W156" s="229"/>
      <c r="X156" s="229"/>
      <c r="Y156" s="229"/>
      <c r="Z156" s="229"/>
      <c r="AA156" s="229"/>
      <c r="AB156" s="229"/>
      <c r="AC156" s="229"/>
      <c r="AD156" s="229"/>
      <c r="AE156" s="229"/>
      <c r="AF156" s="229"/>
      <c r="AG156" s="229"/>
      <c r="AH156" s="229"/>
      <c r="AI156" s="229"/>
      <c r="AJ156" s="229"/>
      <c r="AK156" s="229"/>
      <c r="AL156" s="229"/>
      <c r="AM156" s="229"/>
      <c r="AN156" s="229"/>
      <c r="AO156" s="229"/>
      <c r="AP156" s="229"/>
      <c r="AQ156" s="229"/>
      <c r="AR156" s="229"/>
      <c r="AS156" s="229"/>
      <c r="AT156" s="229"/>
      <c r="AU156" s="229"/>
    </row>
    <row r="157" spans="1:47">
      <c r="A157" s="240">
        <v>17</v>
      </c>
      <c r="B157" s="229"/>
      <c r="C157" s="234" t="s">
        <v>1779</v>
      </c>
      <c r="D157" s="229"/>
      <c r="E157" s="238"/>
      <c r="F157" s="229"/>
      <c r="G157" s="238"/>
      <c r="H157" s="229"/>
      <c r="I157" s="238"/>
      <c r="J157" s="238"/>
      <c r="K157" s="238"/>
      <c r="L157" s="238"/>
      <c r="M157" s="238"/>
      <c r="N157" s="238"/>
      <c r="O157" s="238"/>
      <c r="P157" s="229"/>
      <c r="Q157" s="229"/>
      <c r="R157" s="229"/>
      <c r="S157" s="229"/>
      <c r="T157" s="229"/>
      <c r="U157" s="229"/>
      <c r="V157" s="229"/>
      <c r="W157" s="229"/>
      <c r="X157" s="229"/>
      <c r="Y157" s="229"/>
      <c r="Z157" s="229"/>
      <c r="AA157" s="229"/>
      <c r="AB157" s="229"/>
      <c r="AC157" s="229"/>
      <c r="AD157" s="229"/>
      <c r="AE157" s="229"/>
      <c r="AF157" s="229"/>
      <c r="AG157" s="229"/>
      <c r="AH157" s="229"/>
      <c r="AI157" s="229"/>
      <c r="AJ157" s="229"/>
      <c r="AK157" s="229"/>
      <c r="AL157" s="229"/>
      <c r="AM157" s="229"/>
      <c r="AN157" s="229"/>
      <c r="AO157" s="229"/>
      <c r="AP157" s="229"/>
      <c r="AQ157" s="229"/>
      <c r="AR157" s="229"/>
      <c r="AS157" s="229"/>
      <c r="AT157" s="229"/>
      <c r="AU157" s="229"/>
    </row>
    <row r="158" spans="1:47">
      <c r="A158" s="240">
        <v>18</v>
      </c>
      <c r="B158" s="229"/>
      <c r="C158" s="234" t="s">
        <v>1780</v>
      </c>
      <c r="D158" s="229"/>
      <c r="E158" s="238"/>
      <c r="F158" s="229"/>
      <c r="G158" s="238"/>
      <c r="H158" s="229"/>
      <c r="I158" s="238"/>
      <c r="J158" s="238"/>
      <c r="K158" s="238"/>
      <c r="L158" s="238"/>
      <c r="M158" s="238"/>
      <c r="N158" s="238"/>
      <c r="O158" s="238"/>
      <c r="P158" s="229"/>
      <c r="Q158" s="229"/>
      <c r="R158" s="229"/>
      <c r="S158" s="229"/>
      <c r="T158" s="229"/>
      <c r="U158" s="229"/>
      <c r="V158" s="229"/>
      <c r="W158" s="229"/>
      <c r="X158" s="229"/>
      <c r="Y158" s="229"/>
      <c r="Z158" s="229"/>
      <c r="AA158" s="229"/>
      <c r="AB158" s="229"/>
      <c r="AC158" s="229"/>
      <c r="AD158" s="229"/>
      <c r="AE158" s="229"/>
      <c r="AF158" s="229"/>
      <c r="AG158" s="229"/>
      <c r="AH158" s="229"/>
      <c r="AI158" s="229"/>
      <c r="AJ158" s="229"/>
      <c r="AK158" s="229"/>
      <c r="AL158" s="229"/>
      <c r="AM158" s="229"/>
      <c r="AN158" s="229"/>
      <c r="AO158" s="229"/>
      <c r="AP158" s="229"/>
      <c r="AQ158" s="229"/>
      <c r="AR158" s="229"/>
      <c r="AS158" s="229"/>
      <c r="AT158" s="229"/>
      <c r="AU158" s="229"/>
    </row>
    <row r="159" spans="1:47">
      <c r="A159" s="240">
        <v>19</v>
      </c>
      <c r="B159" s="229"/>
      <c r="C159" s="234" t="s">
        <v>1781</v>
      </c>
      <c r="D159" s="229"/>
      <c r="E159" s="238"/>
      <c r="F159" s="229"/>
      <c r="G159" s="238"/>
      <c r="H159" s="229"/>
      <c r="I159" s="238"/>
      <c r="J159" s="238"/>
      <c r="K159" s="238"/>
      <c r="L159" s="238"/>
      <c r="M159" s="238"/>
      <c r="N159" s="238"/>
      <c r="O159" s="238"/>
      <c r="P159" s="229"/>
      <c r="Q159" s="229"/>
      <c r="R159" s="229"/>
      <c r="S159" s="229"/>
      <c r="T159" s="229"/>
      <c r="U159" s="229"/>
      <c r="V159" s="229"/>
      <c r="W159" s="229"/>
      <c r="X159" s="229"/>
      <c r="Y159" s="229"/>
      <c r="Z159" s="229"/>
      <c r="AA159" s="229"/>
      <c r="AB159" s="229"/>
      <c r="AC159" s="229"/>
      <c r="AD159" s="229"/>
      <c r="AE159" s="229"/>
      <c r="AF159" s="229"/>
      <c r="AG159" s="229"/>
      <c r="AH159" s="229"/>
      <c r="AI159" s="229"/>
      <c r="AJ159" s="229"/>
      <c r="AK159" s="229"/>
      <c r="AL159" s="229"/>
      <c r="AM159" s="229"/>
      <c r="AN159" s="229"/>
      <c r="AO159" s="229"/>
      <c r="AP159" s="229"/>
      <c r="AQ159" s="229"/>
      <c r="AR159" s="229"/>
      <c r="AS159" s="229"/>
      <c r="AT159" s="229"/>
      <c r="AU159" s="229"/>
    </row>
    <row r="160" spans="1:47">
      <c r="A160" s="240">
        <v>20</v>
      </c>
      <c r="B160" s="229"/>
      <c r="C160" s="234" t="s">
        <v>1782</v>
      </c>
      <c r="D160" s="229"/>
      <c r="E160" s="238"/>
      <c r="F160" s="229"/>
      <c r="G160" s="238"/>
      <c r="H160" s="229"/>
      <c r="I160" s="238"/>
      <c r="J160" s="238"/>
      <c r="K160" s="238"/>
      <c r="L160" s="238"/>
      <c r="M160" s="238"/>
      <c r="N160" s="238"/>
      <c r="O160" s="238"/>
      <c r="P160" s="229"/>
      <c r="Q160" s="229"/>
      <c r="R160" s="229"/>
      <c r="S160" s="229"/>
      <c r="T160" s="229"/>
      <c r="U160" s="229"/>
      <c r="V160" s="229"/>
      <c r="W160" s="229"/>
      <c r="X160" s="229"/>
      <c r="Y160" s="229"/>
      <c r="Z160" s="229"/>
      <c r="AA160" s="229"/>
      <c r="AB160" s="229"/>
      <c r="AC160" s="229"/>
      <c r="AD160" s="229"/>
      <c r="AE160" s="229"/>
      <c r="AF160" s="229"/>
      <c r="AG160" s="229"/>
      <c r="AH160" s="229"/>
      <c r="AI160" s="229"/>
      <c r="AJ160" s="229"/>
      <c r="AK160" s="229"/>
      <c r="AL160" s="229"/>
      <c r="AM160" s="229"/>
      <c r="AN160" s="229"/>
      <c r="AO160" s="229"/>
      <c r="AP160" s="229"/>
      <c r="AQ160" s="229"/>
      <c r="AR160" s="229"/>
      <c r="AS160" s="229"/>
      <c r="AT160" s="229"/>
      <c r="AU160" s="229"/>
    </row>
    <row r="161" spans="1:47">
      <c r="A161" s="240">
        <v>21</v>
      </c>
      <c r="B161" s="229"/>
      <c r="C161" s="234" t="s">
        <v>1783</v>
      </c>
      <c r="D161" s="229"/>
      <c r="E161" s="1506">
        <f>SCH_C2!F36</f>
        <v>-3748440</v>
      </c>
      <c r="F161" s="229"/>
      <c r="G161" s="238"/>
      <c r="H161" s="229"/>
      <c r="I161" s="238"/>
      <c r="J161" s="238"/>
      <c r="K161" s="238"/>
      <c r="L161" s="238"/>
      <c r="M161" s="238"/>
      <c r="N161" s="238"/>
      <c r="O161" s="238"/>
      <c r="P161" s="229"/>
      <c r="Q161" s="229"/>
      <c r="R161" s="229"/>
      <c r="S161" s="229"/>
      <c r="T161" s="229"/>
      <c r="U161" s="229"/>
      <c r="V161" s="229"/>
      <c r="W161" s="229"/>
      <c r="X161" s="229"/>
      <c r="Y161" s="229"/>
      <c r="Z161" s="229"/>
      <c r="AA161" s="229"/>
      <c r="AB161" s="229"/>
      <c r="AC161" s="229"/>
      <c r="AD161" s="229"/>
      <c r="AE161" s="229"/>
      <c r="AF161" s="229"/>
      <c r="AG161" s="229"/>
      <c r="AH161" s="229"/>
      <c r="AI161" s="229"/>
      <c r="AJ161" s="229"/>
      <c r="AK161" s="229"/>
      <c r="AL161" s="229"/>
      <c r="AM161" s="229"/>
      <c r="AN161" s="229"/>
      <c r="AO161" s="229"/>
      <c r="AP161" s="229"/>
      <c r="AQ161" s="229"/>
      <c r="AR161" s="229"/>
      <c r="AS161" s="229"/>
      <c r="AT161" s="229"/>
      <c r="AU161" s="229"/>
    </row>
    <row r="162" spans="1:47">
      <c r="A162" s="240">
        <v>22</v>
      </c>
      <c r="B162" s="229"/>
      <c r="C162" s="234" t="s">
        <v>1756</v>
      </c>
      <c r="D162" s="229"/>
      <c r="E162" s="2140">
        <f>E152+SUM(E154:E161)</f>
        <v>-3748440</v>
      </c>
      <c r="F162" s="229"/>
      <c r="G162" s="2140">
        <f>G152+SUM(G154:G161)</f>
        <v>0</v>
      </c>
      <c r="H162" s="229"/>
      <c r="I162" s="2140">
        <f>I152+SUM(I154:I161)</f>
        <v>0</v>
      </c>
      <c r="J162" s="238"/>
      <c r="K162" s="2140">
        <f>K152+SUM(K154:K161)</f>
        <v>0</v>
      </c>
      <c r="L162" s="238"/>
      <c r="M162" s="238"/>
      <c r="N162" s="238"/>
      <c r="O162" s="238"/>
      <c r="P162" s="229"/>
      <c r="Q162" s="229"/>
      <c r="R162" s="229"/>
      <c r="S162" s="229"/>
      <c r="T162" s="229"/>
      <c r="U162" s="229"/>
      <c r="V162" s="229"/>
      <c r="W162" s="229"/>
      <c r="X162" s="229"/>
      <c r="Y162" s="229"/>
      <c r="Z162" s="229"/>
      <c r="AA162" s="229"/>
      <c r="AB162" s="229"/>
      <c r="AC162" s="229"/>
      <c r="AD162" s="229"/>
      <c r="AE162" s="229"/>
      <c r="AF162" s="229"/>
      <c r="AG162" s="229"/>
      <c r="AH162" s="229"/>
      <c r="AI162" s="229"/>
      <c r="AJ162" s="229"/>
      <c r="AK162" s="229"/>
      <c r="AL162" s="229"/>
      <c r="AM162" s="229"/>
      <c r="AN162" s="229"/>
      <c r="AO162" s="229"/>
      <c r="AP162" s="229"/>
      <c r="AQ162" s="229"/>
      <c r="AR162" s="229"/>
      <c r="AS162" s="229"/>
      <c r="AT162" s="229"/>
      <c r="AU162" s="229"/>
    </row>
    <row r="163" spans="1:47">
      <c r="A163" s="240">
        <v>23</v>
      </c>
      <c r="B163" s="229"/>
      <c r="C163" s="229"/>
      <c r="D163" s="229"/>
      <c r="E163" s="239"/>
      <c r="F163" s="229"/>
      <c r="G163" s="239"/>
      <c r="H163" s="229"/>
      <c r="I163" s="239"/>
      <c r="J163" s="239"/>
      <c r="K163" s="239"/>
      <c r="L163" s="239"/>
      <c r="M163" s="239"/>
      <c r="N163" s="239"/>
      <c r="O163" s="239"/>
      <c r="P163" s="229"/>
      <c r="Q163" s="229"/>
      <c r="R163" s="229"/>
      <c r="S163" s="229"/>
      <c r="T163" s="229"/>
      <c r="U163" s="229"/>
      <c r="V163" s="229"/>
      <c r="W163" s="229"/>
      <c r="X163" s="229"/>
      <c r="Y163" s="229"/>
      <c r="Z163" s="229"/>
      <c r="AA163" s="229"/>
      <c r="AB163" s="229"/>
      <c r="AC163" s="229"/>
      <c r="AD163" s="229"/>
      <c r="AE163" s="229"/>
      <c r="AF163" s="229"/>
      <c r="AG163" s="229"/>
      <c r="AH163" s="229"/>
      <c r="AI163" s="229"/>
      <c r="AJ163" s="229"/>
      <c r="AK163" s="229"/>
      <c r="AL163" s="229"/>
      <c r="AM163" s="229"/>
      <c r="AN163" s="229"/>
      <c r="AO163" s="229"/>
      <c r="AP163" s="229"/>
      <c r="AQ163" s="229"/>
      <c r="AR163" s="229"/>
      <c r="AS163" s="229"/>
      <c r="AT163" s="229"/>
      <c r="AU163" s="229"/>
    </row>
    <row r="164" spans="1:47">
      <c r="A164" s="240">
        <v>24</v>
      </c>
      <c r="B164" s="229"/>
      <c r="C164" s="234" t="s">
        <v>1784</v>
      </c>
      <c r="D164" s="229"/>
      <c r="E164" s="1506"/>
      <c r="F164" s="229"/>
      <c r="G164" s="1506">
        <f>SCH_C2!F39</f>
        <v>4396406</v>
      </c>
      <c r="H164" s="229"/>
      <c r="I164" s="1506">
        <v>0</v>
      </c>
      <c r="J164" s="238"/>
      <c r="K164" s="1506">
        <v>0</v>
      </c>
      <c r="L164" s="238"/>
      <c r="M164" s="238"/>
      <c r="N164" s="238"/>
      <c r="O164" s="238"/>
      <c r="P164" s="229"/>
      <c r="Q164" s="229"/>
      <c r="R164" s="229"/>
      <c r="S164" s="229"/>
      <c r="T164" s="229"/>
      <c r="U164" s="229"/>
      <c r="V164" s="229"/>
      <c r="W164" s="229"/>
      <c r="X164" s="229"/>
      <c r="Y164" s="229"/>
      <c r="Z164" s="229"/>
      <c r="AA164" s="229"/>
      <c r="AB164" s="229"/>
      <c r="AC164" s="229"/>
      <c r="AD164" s="229"/>
      <c r="AE164" s="229"/>
      <c r="AF164" s="229"/>
      <c r="AG164" s="229"/>
      <c r="AH164" s="229"/>
      <c r="AI164" s="229"/>
      <c r="AJ164" s="229"/>
      <c r="AK164" s="229"/>
      <c r="AL164" s="229"/>
      <c r="AM164" s="229"/>
      <c r="AN164" s="229"/>
      <c r="AO164" s="229"/>
      <c r="AP164" s="229"/>
      <c r="AQ164" s="229"/>
      <c r="AR164" s="229"/>
      <c r="AS164" s="229"/>
      <c r="AT164" s="229"/>
      <c r="AU164" s="229"/>
    </row>
    <row r="165" spans="1:47">
      <c r="A165" s="240">
        <v>25</v>
      </c>
      <c r="B165" s="229"/>
      <c r="C165" s="229"/>
      <c r="D165" s="229"/>
      <c r="E165" s="239"/>
      <c r="F165" s="229"/>
      <c r="G165" s="239"/>
      <c r="H165" s="229"/>
      <c r="I165" s="239"/>
      <c r="J165" s="239"/>
      <c r="K165" s="239"/>
      <c r="L165" s="239"/>
      <c r="M165" s="239"/>
      <c r="N165" s="239"/>
      <c r="O165" s="239"/>
      <c r="P165" s="229"/>
      <c r="Q165" s="229"/>
      <c r="R165" s="229"/>
      <c r="S165" s="229"/>
      <c r="T165" s="229"/>
      <c r="U165" s="229"/>
      <c r="V165" s="229"/>
      <c r="W165" s="229"/>
      <c r="X165" s="229"/>
      <c r="Y165" s="229"/>
      <c r="Z165" s="229"/>
      <c r="AA165" s="229"/>
      <c r="AB165" s="229"/>
      <c r="AC165" s="229"/>
      <c r="AD165" s="229"/>
      <c r="AE165" s="229"/>
      <c r="AF165" s="229"/>
      <c r="AG165" s="229"/>
      <c r="AH165" s="229"/>
      <c r="AI165" s="229"/>
      <c r="AJ165" s="229"/>
      <c r="AK165" s="229"/>
      <c r="AL165" s="229"/>
      <c r="AM165" s="229"/>
      <c r="AN165" s="229"/>
      <c r="AO165" s="229"/>
      <c r="AP165" s="229"/>
      <c r="AQ165" s="229"/>
      <c r="AR165" s="229"/>
      <c r="AS165" s="229"/>
      <c r="AT165" s="229"/>
      <c r="AU165" s="229"/>
    </row>
    <row r="166" spans="1:47">
      <c r="A166" s="240">
        <v>26</v>
      </c>
      <c r="B166" s="229"/>
      <c r="C166" s="234" t="s">
        <v>1758</v>
      </c>
      <c r="D166" s="229"/>
      <c r="E166" s="229"/>
      <c r="F166" s="229"/>
      <c r="G166" s="238"/>
      <c r="H166" s="229"/>
      <c r="I166" s="229"/>
      <c r="J166" s="229"/>
      <c r="K166" s="229"/>
      <c r="L166" s="229"/>
      <c r="M166" s="229"/>
      <c r="N166" s="229"/>
      <c r="O166" s="229"/>
      <c r="P166" s="229"/>
      <c r="Q166" s="229"/>
      <c r="R166" s="229"/>
      <c r="S166" s="229"/>
      <c r="T166" s="229"/>
      <c r="U166" s="229"/>
      <c r="V166" s="229"/>
      <c r="W166" s="229"/>
      <c r="X166" s="229"/>
      <c r="Y166" s="229"/>
      <c r="Z166" s="229"/>
      <c r="AA166" s="229"/>
      <c r="AB166" s="229"/>
      <c r="AC166" s="229"/>
      <c r="AD166" s="229"/>
      <c r="AE166" s="229"/>
      <c r="AF166" s="229"/>
      <c r="AG166" s="229"/>
      <c r="AH166" s="229"/>
      <c r="AI166" s="229"/>
      <c r="AJ166" s="229"/>
      <c r="AK166" s="229"/>
      <c r="AL166" s="229"/>
      <c r="AM166" s="229"/>
      <c r="AN166" s="229"/>
      <c r="AO166" s="229"/>
      <c r="AP166" s="229"/>
      <c r="AQ166" s="229"/>
      <c r="AR166" s="229"/>
      <c r="AS166" s="229"/>
      <c r="AT166" s="229"/>
      <c r="AU166" s="229"/>
    </row>
    <row r="167" spans="1:47">
      <c r="A167" s="240">
        <v>27</v>
      </c>
      <c r="B167" s="229"/>
      <c r="C167" s="234" t="s">
        <v>1432</v>
      </c>
      <c r="D167" s="229"/>
      <c r="E167" s="238"/>
      <c r="F167" s="229"/>
      <c r="G167" s="238"/>
      <c r="H167" s="229"/>
      <c r="I167" s="238">
        <f>SCH_C2!F42</f>
        <v>2342</v>
      </c>
      <c r="J167" s="238"/>
      <c r="K167" s="238"/>
      <c r="L167" s="238"/>
      <c r="M167" s="238"/>
      <c r="N167" s="238"/>
      <c r="O167" s="238"/>
      <c r="P167" s="229"/>
      <c r="Q167" s="229"/>
      <c r="R167" s="229"/>
      <c r="S167" s="229"/>
      <c r="T167" s="229"/>
      <c r="U167" s="229"/>
      <c r="V167" s="229"/>
      <c r="W167" s="229"/>
      <c r="X167" s="229"/>
      <c r="Y167" s="229"/>
      <c r="Z167" s="229"/>
      <c r="AA167" s="229"/>
      <c r="AB167" s="229"/>
      <c r="AC167" s="229"/>
      <c r="AD167" s="229"/>
      <c r="AE167" s="229"/>
      <c r="AF167" s="229"/>
      <c r="AG167" s="229"/>
      <c r="AH167" s="229"/>
      <c r="AI167" s="229"/>
      <c r="AJ167" s="229"/>
      <c r="AK167" s="229"/>
      <c r="AL167" s="229"/>
      <c r="AM167" s="229"/>
      <c r="AN167" s="229"/>
      <c r="AO167" s="229"/>
      <c r="AP167" s="229"/>
      <c r="AQ167" s="229"/>
      <c r="AR167" s="229"/>
      <c r="AS167" s="229"/>
      <c r="AT167" s="229"/>
      <c r="AU167" s="229"/>
    </row>
    <row r="168" spans="1:47">
      <c r="A168" s="240">
        <v>28</v>
      </c>
      <c r="B168" s="229"/>
      <c r="C168" s="234" t="s">
        <v>1434</v>
      </c>
      <c r="D168" s="229"/>
      <c r="E168" s="238"/>
      <c r="F168" s="229"/>
      <c r="G168" s="238"/>
      <c r="H168" s="229"/>
      <c r="I168" s="238">
        <f>SCH_C2!F43</f>
        <v>2239283</v>
      </c>
      <c r="J168" s="238"/>
      <c r="K168" s="238"/>
      <c r="L168" s="238"/>
      <c r="M168" s="238"/>
      <c r="N168" s="238"/>
      <c r="O168" s="238"/>
      <c r="P168" s="229"/>
      <c r="Q168" s="229"/>
      <c r="R168" s="229"/>
      <c r="S168" s="229"/>
      <c r="T168" s="229"/>
      <c r="U168" s="229"/>
      <c r="V168" s="229"/>
      <c r="W168" s="229"/>
      <c r="X168" s="229"/>
      <c r="Y168" s="229"/>
      <c r="Z168" s="229"/>
      <c r="AA168" s="229"/>
      <c r="AB168" s="229"/>
      <c r="AC168" s="229"/>
      <c r="AD168" s="229"/>
      <c r="AE168" s="229"/>
      <c r="AF168" s="229"/>
      <c r="AG168" s="229"/>
      <c r="AH168" s="229"/>
      <c r="AI168" s="229"/>
      <c r="AJ168" s="229"/>
      <c r="AK168" s="229"/>
      <c r="AL168" s="229"/>
      <c r="AM168" s="229"/>
      <c r="AN168" s="229"/>
      <c r="AO168" s="229"/>
      <c r="AP168" s="229"/>
      <c r="AQ168" s="229"/>
      <c r="AR168" s="229"/>
      <c r="AS168" s="229"/>
      <c r="AT168" s="229"/>
      <c r="AU168" s="229"/>
    </row>
    <row r="169" spans="1:47">
      <c r="A169" s="240">
        <v>29</v>
      </c>
      <c r="B169" s="229"/>
      <c r="C169" s="234" t="s">
        <v>1761</v>
      </c>
      <c r="D169" s="229"/>
      <c r="E169" s="2140">
        <f>SUM(E167:E168)</f>
        <v>0</v>
      </c>
      <c r="F169" s="229"/>
      <c r="G169" s="2140">
        <f>SUM(G167:G168)</f>
        <v>0</v>
      </c>
      <c r="H169" s="229"/>
      <c r="I169" s="2140">
        <f>SUM(I167:I168)</f>
        <v>2241625</v>
      </c>
      <c r="J169" s="238"/>
      <c r="K169" s="2140">
        <f>SUM(K167:K168)</f>
        <v>0</v>
      </c>
      <c r="L169" s="238"/>
      <c r="M169" s="238"/>
      <c r="N169" s="238"/>
      <c r="O169" s="238"/>
      <c r="P169" s="229"/>
      <c r="Q169" s="229"/>
      <c r="R169" s="229"/>
      <c r="S169" s="229"/>
      <c r="T169" s="229"/>
      <c r="U169" s="238"/>
      <c r="V169" s="238"/>
      <c r="W169" s="229"/>
      <c r="X169" s="229"/>
      <c r="Y169" s="229"/>
      <c r="Z169" s="229"/>
      <c r="AA169" s="229"/>
      <c r="AB169" s="229"/>
      <c r="AC169" s="229"/>
      <c r="AD169" s="229"/>
      <c r="AE169" s="229"/>
      <c r="AF169" s="229"/>
      <c r="AG169" s="229"/>
      <c r="AH169" s="229"/>
      <c r="AI169" s="229"/>
      <c r="AJ169" s="229"/>
      <c r="AK169" s="229"/>
      <c r="AL169" s="229"/>
      <c r="AM169" s="229"/>
      <c r="AN169" s="229"/>
      <c r="AO169" s="229"/>
      <c r="AP169" s="229"/>
      <c r="AQ169" s="229"/>
      <c r="AR169" s="229"/>
      <c r="AS169" s="229"/>
      <c r="AT169" s="229"/>
      <c r="AU169" s="229"/>
    </row>
    <row r="170" spans="1:47">
      <c r="A170" s="240">
        <v>30</v>
      </c>
      <c r="B170" s="229"/>
      <c r="C170" s="234"/>
      <c r="D170" s="229"/>
      <c r="E170" s="238"/>
      <c r="F170" s="229"/>
      <c r="G170" s="238"/>
      <c r="H170" s="229"/>
      <c r="I170" s="238"/>
      <c r="J170" s="238"/>
      <c r="K170" s="238"/>
      <c r="L170" s="238"/>
      <c r="M170" s="238"/>
      <c r="N170" s="238"/>
      <c r="O170" s="238"/>
      <c r="P170" s="229"/>
      <c r="Q170" s="229"/>
      <c r="R170" s="229"/>
      <c r="S170" s="229"/>
      <c r="T170" s="229"/>
      <c r="U170" s="229"/>
      <c r="V170" s="229"/>
      <c r="W170" s="229"/>
      <c r="X170" s="229"/>
      <c r="Y170" s="229"/>
      <c r="Z170" s="229"/>
      <c r="AA170" s="229"/>
      <c r="AB170" s="229"/>
      <c r="AC170" s="229"/>
      <c r="AD170" s="229"/>
      <c r="AE170" s="229"/>
      <c r="AF170" s="229"/>
      <c r="AG170" s="229"/>
      <c r="AH170" s="229"/>
      <c r="AI170" s="229"/>
      <c r="AJ170" s="229"/>
      <c r="AK170" s="229"/>
      <c r="AL170" s="229"/>
      <c r="AM170" s="229"/>
      <c r="AN170" s="229"/>
      <c r="AO170" s="229"/>
      <c r="AP170" s="229"/>
      <c r="AQ170" s="229"/>
      <c r="AR170" s="229"/>
      <c r="AS170" s="229"/>
      <c r="AT170" s="229"/>
      <c r="AU170" s="229"/>
    </row>
    <row r="171" spans="1:47">
      <c r="A171" s="240">
        <v>31</v>
      </c>
      <c r="B171" s="229"/>
      <c r="C171" s="234" t="s">
        <v>1762</v>
      </c>
      <c r="D171" s="229"/>
      <c r="E171" s="229"/>
      <c r="F171" s="229"/>
      <c r="G171" s="229"/>
      <c r="H171" s="229"/>
      <c r="I171" s="229"/>
      <c r="J171" s="229"/>
      <c r="K171" s="229"/>
      <c r="L171" s="229"/>
      <c r="M171" s="229"/>
      <c r="N171" s="229"/>
      <c r="O171" s="229"/>
      <c r="P171" s="229"/>
      <c r="Q171" s="229"/>
      <c r="R171" s="229"/>
      <c r="S171" s="229"/>
      <c r="T171" s="229"/>
      <c r="U171" s="229"/>
      <c r="V171" s="229"/>
      <c r="W171" s="229"/>
      <c r="X171" s="229"/>
      <c r="Y171" s="229"/>
      <c r="Z171" s="229"/>
      <c r="AA171" s="229"/>
      <c r="AB171" s="229"/>
      <c r="AC171" s="229"/>
      <c r="AD171" s="229"/>
      <c r="AE171" s="229"/>
      <c r="AF171" s="229"/>
      <c r="AG171" s="229"/>
      <c r="AH171" s="229"/>
      <c r="AI171" s="229"/>
      <c r="AJ171" s="229"/>
      <c r="AK171" s="229"/>
      <c r="AL171" s="229"/>
      <c r="AM171" s="229"/>
      <c r="AN171" s="229"/>
      <c r="AO171" s="229"/>
      <c r="AP171" s="229"/>
      <c r="AQ171" s="229"/>
      <c r="AR171" s="229"/>
      <c r="AS171" s="229"/>
      <c r="AT171" s="229"/>
      <c r="AU171" s="229"/>
    </row>
    <row r="172" spans="1:47">
      <c r="A172" s="240">
        <v>32</v>
      </c>
      <c r="B172" s="229"/>
      <c r="C172" s="234" t="s">
        <v>1654</v>
      </c>
      <c r="D172" s="229"/>
      <c r="E172" s="238">
        <f>ROUND((E145-E162-E164-E169)*SIT*APPORT,0)</f>
        <v>186241</v>
      </c>
      <c r="F172" s="229"/>
      <c r="G172" s="238">
        <f>ROUND((G145-G162-G164-G169)*SIT*APPORT,0)</f>
        <v>-218435</v>
      </c>
      <c r="H172" s="229"/>
      <c r="I172" s="238">
        <f>ROUND((I145-I162-I164-I169)*SIT*APPORT,0)</f>
        <v>-111375</v>
      </c>
      <c r="J172" s="238"/>
      <c r="K172" s="238">
        <f ca="1">SCH_D2.15!I22</f>
        <v>-718320</v>
      </c>
      <c r="L172" s="238"/>
      <c r="M172" s="238"/>
      <c r="N172" s="238"/>
      <c r="O172" s="238"/>
      <c r="P172" s="229"/>
      <c r="Q172" s="229"/>
      <c r="R172" s="229"/>
      <c r="S172" s="229"/>
      <c r="T172" s="229"/>
      <c r="U172" s="229"/>
      <c r="V172" s="229"/>
      <c r="W172" s="238"/>
      <c r="X172" s="229"/>
      <c r="Y172" s="229"/>
      <c r="Z172" s="229"/>
      <c r="AA172" s="229"/>
      <c r="AB172" s="229"/>
      <c r="AC172" s="229"/>
      <c r="AD172" s="229"/>
      <c r="AE172" s="229"/>
      <c r="AF172" s="229"/>
      <c r="AG172" s="229"/>
      <c r="AH172" s="229"/>
      <c r="AI172" s="229"/>
      <c r="AJ172" s="229"/>
      <c r="AK172" s="229"/>
      <c r="AL172" s="229"/>
      <c r="AM172" s="229"/>
      <c r="AN172" s="229"/>
      <c r="AO172" s="229"/>
      <c r="AP172" s="229"/>
      <c r="AQ172" s="229"/>
      <c r="AR172" s="229"/>
      <c r="AS172" s="229"/>
      <c r="AT172" s="229"/>
      <c r="AU172" s="229"/>
    </row>
    <row r="173" spans="1:47">
      <c r="A173" s="240">
        <v>33</v>
      </c>
      <c r="B173" s="229"/>
      <c r="C173" s="234" t="s">
        <v>1763</v>
      </c>
      <c r="D173" s="229"/>
      <c r="E173" s="238"/>
      <c r="F173" s="229"/>
      <c r="G173" s="238"/>
      <c r="H173" s="229"/>
      <c r="I173" s="238"/>
      <c r="J173" s="238"/>
      <c r="K173" s="238">
        <f>SCH_D2.15!I23</f>
        <v>149202</v>
      </c>
      <c r="L173" s="238"/>
      <c r="M173" s="238"/>
      <c r="N173" s="238"/>
      <c r="O173" s="238"/>
      <c r="P173" s="229"/>
      <c r="Q173" s="229"/>
      <c r="R173" s="229"/>
      <c r="S173" s="229"/>
      <c r="T173" s="229"/>
      <c r="U173" s="229"/>
      <c r="V173" s="229"/>
      <c r="W173" s="229"/>
      <c r="X173" s="229"/>
      <c r="Y173" s="229"/>
      <c r="Z173" s="229"/>
      <c r="AA173" s="229"/>
      <c r="AB173" s="229"/>
      <c r="AC173" s="229"/>
      <c r="AD173" s="229"/>
      <c r="AE173" s="229"/>
      <c r="AF173" s="229"/>
      <c r="AG173" s="229"/>
      <c r="AH173" s="229"/>
      <c r="AI173" s="229"/>
      <c r="AJ173" s="229"/>
      <c r="AK173" s="229"/>
      <c r="AL173" s="229"/>
      <c r="AM173" s="229"/>
      <c r="AN173" s="229"/>
      <c r="AO173" s="229"/>
      <c r="AP173" s="229"/>
      <c r="AQ173" s="229"/>
      <c r="AR173" s="229"/>
      <c r="AS173" s="229"/>
      <c r="AT173" s="229"/>
      <c r="AU173" s="229"/>
    </row>
    <row r="174" spans="1:47">
      <c r="A174" s="240">
        <v>34</v>
      </c>
      <c r="B174" s="229"/>
      <c r="C174" s="234" t="s">
        <v>1764</v>
      </c>
      <c r="D174" s="229"/>
      <c r="E174" s="2140">
        <f>SUM(E172:E173)</f>
        <v>186241</v>
      </c>
      <c r="F174" s="229"/>
      <c r="G174" s="2140">
        <f>SUM(G172:G173)</f>
        <v>-218435</v>
      </c>
      <c r="H174" s="229"/>
      <c r="I174" s="2140">
        <f>SUM(I172:I173)</f>
        <v>-111375</v>
      </c>
      <c r="J174" s="238"/>
      <c r="K174" s="2140">
        <f ca="1">SUM(K172:K173)</f>
        <v>-569118</v>
      </c>
      <c r="L174" s="238"/>
      <c r="M174" s="238"/>
      <c r="N174" s="238"/>
      <c r="O174" s="238"/>
      <c r="P174" s="229"/>
      <c r="Q174" s="229"/>
      <c r="R174" s="229"/>
      <c r="S174" s="229"/>
      <c r="T174" s="229"/>
      <c r="U174" s="229"/>
      <c r="V174" s="229"/>
      <c r="W174" s="229"/>
      <c r="X174" s="229"/>
      <c r="Y174" s="229"/>
      <c r="Z174" s="229"/>
      <c r="AA174" s="229"/>
      <c r="AB174" s="229"/>
      <c r="AC174" s="229"/>
      <c r="AD174" s="229"/>
      <c r="AE174" s="229"/>
      <c r="AF174" s="229"/>
      <c r="AG174" s="229"/>
      <c r="AH174" s="229"/>
      <c r="AI174" s="229"/>
      <c r="AJ174" s="229"/>
      <c r="AK174" s="229"/>
      <c r="AL174" s="229"/>
      <c r="AM174" s="229"/>
      <c r="AN174" s="229"/>
      <c r="AO174" s="229"/>
      <c r="AP174" s="229"/>
      <c r="AQ174" s="229"/>
      <c r="AR174" s="229"/>
      <c r="AS174" s="229"/>
      <c r="AT174" s="229"/>
      <c r="AU174" s="229"/>
    </row>
    <row r="175" spans="1:47">
      <c r="A175" s="240">
        <v>35</v>
      </c>
      <c r="B175" s="229"/>
      <c r="C175" s="229"/>
      <c r="D175" s="229"/>
      <c r="E175" s="239"/>
      <c r="F175" s="229"/>
      <c r="G175" s="239"/>
      <c r="H175" s="229"/>
      <c r="I175" s="239"/>
      <c r="J175" s="239"/>
      <c r="K175" s="239"/>
      <c r="L175" s="239"/>
      <c r="M175" s="239"/>
      <c r="N175" s="239"/>
      <c r="O175" s="239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  <c r="AA175" s="229"/>
      <c r="AB175" s="229"/>
      <c r="AC175" s="229"/>
      <c r="AD175" s="229"/>
      <c r="AE175" s="229"/>
      <c r="AF175" s="229"/>
      <c r="AG175" s="229"/>
      <c r="AH175" s="229"/>
      <c r="AI175" s="229"/>
      <c r="AJ175" s="229"/>
      <c r="AK175" s="229"/>
      <c r="AL175" s="229"/>
      <c r="AM175" s="229"/>
      <c r="AN175" s="229"/>
      <c r="AO175" s="229"/>
      <c r="AP175" s="229"/>
      <c r="AQ175" s="229"/>
      <c r="AR175" s="229"/>
      <c r="AS175" s="229"/>
      <c r="AT175" s="229"/>
      <c r="AU175" s="229"/>
    </row>
    <row r="176" spans="1:47">
      <c r="A176" s="240">
        <v>36</v>
      </c>
      <c r="B176" s="229"/>
      <c r="C176" s="234" t="s">
        <v>1765</v>
      </c>
      <c r="D176" s="229"/>
      <c r="E176" s="229"/>
      <c r="F176" s="229"/>
      <c r="G176" s="229"/>
      <c r="H176" s="229"/>
      <c r="I176" s="229"/>
      <c r="J176" s="229"/>
      <c r="K176" s="229"/>
      <c r="L176" s="229"/>
      <c r="M176" s="229"/>
      <c r="N176" s="229"/>
      <c r="O176" s="229"/>
      <c r="P176" s="229"/>
      <c r="Q176" s="229"/>
      <c r="R176" s="229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29"/>
      <c r="AE176" s="229"/>
      <c r="AF176" s="229"/>
      <c r="AG176" s="229"/>
      <c r="AH176" s="229"/>
      <c r="AI176" s="229"/>
      <c r="AJ176" s="229"/>
      <c r="AK176" s="229"/>
      <c r="AL176" s="229"/>
      <c r="AM176" s="229"/>
      <c r="AN176" s="229"/>
      <c r="AO176" s="229"/>
      <c r="AP176" s="229"/>
      <c r="AQ176" s="229"/>
      <c r="AR176" s="229"/>
      <c r="AS176" s="229"/>
      <c r="AT176" s="229"/>
      <c r="AU176" s="229"/>
    </row>
    <row r="177" spans="1:47">
      <c r="A177" s="240">
        <v>37</v>
      </c>
      <c r="B177" s="229"/>
      <c r="C177" s="234" t="s">
        <v>1654</v>
      </c>
      <c r="D177" s="229"/>
      <c r="E177" s="238">
        <f>ROUND((E145-E162-E164-E169-E172)*FIT,0)</f>
        <v>748062</v>
      </c>
      <c r="F177" s="229"/>
      <c r="G177" s="238">
        <f>ROUND((G145-G162-G164-G169-G172)*FIT,0)</f>
        <v>-877374</v>
      </c>
      <c r="H177" s="229"/>
      <c r="I177" s="238">
        <f>ROUND((I145-I162-I164-I169-I172)*FIT,0)</f>
        <v>-447353</v>
      </c>
      <c r="J177" s="238"/>
      <c r="K177" s="238">
        <f ca="1">SCH_D2.15!I26</f>
        <v>-9058377</v>
      </c>
      <c r="L177" s="238"/>
      <c r="M177" s="238"/>
      <c r="N177" s="238"/>
      <c r="O177" s="238"/>
      <c r="P177" s="229"/>
      <c r="Q177" s="229"/>
      <c r="R177" s="229"/>
      <c r="S177" s="229"/>
      <c r="T177" s="229"/>
      <c r="U177" s="229"/>
      <c r="V177" s="229"/>
      <c r="W177" s="229"/>
      <c r="X177" s="238"/>
      <c r="Y177" s="229"/>
      <c r="Z177" s="229"/>
      <c r="AA177" s="229"/>
      <c r="AB177" s="229"/>
      <c r="AC177" s="229"/>
      <c r="AD177" s="229"/>
      <c r="AE177" s="229"/>
      <c r="AF177" s="229"/>
      <c r="AG177" s="229"/>
      <c r="AH177" s="229"/>
      <c r="AI177" s="229"/>
      <c r="AJ177" s="229"/>
      <c r="AK177" s="229"/>
      <c r="AL177" s="229"/>
      <c r="AM177" s="229"/>
      <c r="AN177" s="229"/>
      <c r="AO177" s="229"/>
      <c r="AP177" s="229"/>
      <c r="AQ177" s="229"/>
      <c r="AR177" s="229"/>
      <c r="AS177" s="229"/>
      <c r="AT177" s="229"/>
      <c r="AU177" s="229"/>
    </row>
    <row r="178" spans="1:47">
      <c r="A178" s="240">
        <v>38</v>
      </c>
      <c r="B178" s="229"/>
      <c r="C178" s="234" t="s">
        <v>1763</v>
      </c>
      <c r="D178" s="229"/>
      <c r="E178" s="238"/>
      <c r="F178" s="229"/>
      <c r="G178" s="238"/>
      <c r="H178" s="229"/>
      <c r="I178" s="238"/>
      <c r="J178" s="238"/>
      <c r="K178" s="238">
        <f>SCH_D2.15!I27</f>
        <v>9421339</v>
      </c>
      <c r="L178" s="238"/>
      <c r="M178" s="238"/>
      <c r="N178" s="238"/>
      <c r="O178" s="238"/>
      <c r="P178" s="229"/>
      <c r="Q178" s="229"/>
      <c r="R178" s="229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29"/>
      <c r="AE178" s="229"/>
      <c r="AF178" s="229"/>
      <c r="AG178" s="229"/>
      <c r="AH178" s="229"/>
      <c r="AI178" s="229"/>
      <c r="AJ178" s="229"/>
      <c r="AK178" s="229"/>
      <c r="AL178" s="229"/>
      <c r="AM178" s="229"/>
      <c r="AN178" s="229"/>
      <c r="AO178" s="229"/>
      <c r="AP178" s="229"/>
      <c r="AQ178" s="229"/>
      <c r="AR178" s="229"/>
      <c r="AS178" s="229"/>
      <c r="AT178" s="229"/>
      <c r="AU178" s="229"/>
    </row>
    <row r="179" spans="1:47">
      <c r="A179" s="240">
        <v>39</v>
      </c>
      <c r="B179" s="229"/>
      <c r="C179" s="234" t="s">
        <v>1441</v>
      </c>
      <c r="D179" s="229"/>
      <c r="E179" s="238"/>
      <c r="F179" s="229"/>
      <c r="G179" s="238"/>
      <c r="H179" s="229"/>
      <c r="I179" s="238"/>
      <c r="J179" s="238"/>
      <c r="K179" s="238">
        <f>SCH_D2.15!I28</f>
        <v>0</v>
      </c>
      <c r="L179" s="238"/>
      <c r="M179" s="238"/>
      <c r="N179" s="238"/>
      <c r="O179" s="238"/>
      <c r="P179" s="229"/>
      <c r="Q179" s="229"/>
      <c r="R179" s="229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29"/>
      <c r="AE179" s="229"/>
      <c r="AF179" s="229"/>
      <c r="AG179" s="229"/>
      <c r="AH179" s="229"/>
      <c r="AI179" s="229"/>
      <c r="AJ179" s="229"/>
      <c r="AK179" s="229"/>
      <c r="AL179" s="229"/>
      <c r="AM179" s="229"/>
      <c r="AN179" s="229"/>
      <c r="AO179" s="229"/>
      <c r="AP179" s="229"/>
      <c r="AQ179" s="229"/>
      <c r="AR179" s="229"/>
      <c r="AS179" s="229"/>
      <c r="AT179" s="229"/>
      <c r="AU179" s="229"/>
    </row>
    <row r="180" spans="1:47">
      <c r="A180" s="240">
        <v>40</v>
      </c>
      <c r="B180" s="229"/>
      <c r="C180" s="234" t="s">
        <v>1766</v>
      </c>
      <c r="D180" s="229"/>
      <c r="E180" s="2140">
        <f>SUM(E177:E179)</f>
        <v>748062</v>
      </c>
      <c r="F180" s="229"/>
      <c r="G180" s="2140">
        <f>SUM(G177:G179)</f>
        <v>-877374</v>
      </c>
      <c r="H180" s="229"/>
      <c r="I180" s="2140">
        <f>SUM(I177:I179)</f>
        <v>-447353</v>
      </c>
      <c r="J180" s="238"/>
      <c r="K180" s="2140">
        <f ca="1">SUM(K177:K179)</f>
        <v>362962</v>
      </c>
      <c r="L180" s="238"/>
      <c r="M180" s="238"/>
      <c r="N180" s="238"/>
      <c r="O180" s="238"/>
      <c r="P180" s="238"/>
      <c r="Q180" s="229"/>
      <c r="R180" s="229"/>
      <c r="S180" s="229"/>
      <c r="T180" s="229"/>
      <c r="U180" s="229"/>
      <c r="V180" s="229"/>
      <c r="W180" s="229"/>
      <c r="X180" s="229"/>
      <c r="Y180" s="229"/>
      <c r="Z180" s="229"/>
      <c r="AA180" s="229"/>
      <c r="AB180" s="229"/>
      <c r="AC180" s="229"/>
      <c r="AD180" s="229"/>
      <c r="AE180" s="229"/>
      <c r="AF180" s="229"/>
      <c r="AG180" s="229"/>
      <c r="AH180" s="229"/>
      <c r="AI180" s="229"/>
      <c r="AJ180" s="229"/>
      <c r="AK180" s="229"/>
      <c r="AL180" s="229"/>
      <c r="AM180" s="229"/>
      <c r="AN180" s="229"/>
      <c r="AO180" s="229"/>
      <c r="AP180" s="229"/>
      <c r="AQ180" s="229"/>
      <c r="AR180" s="229"/>
      <c r="AS180" s="229"/>
      <c r="AT180" s="229"/>
      <c r="AU180" s="229"/>
    </row>
    <row r="181" spans="1:47">
      <c r="A181" s="240">
        <v>41</v>
      </c>
      <c r="B181" s="229"/>
      <c r="C181" s="229"/>
      <c r="D181" s="229"/>
      <c r="E181" s="239"/>
      <c r="F181" s="229"/>
      <c r="G181" s="239"/>
      <c r="H181" s="229"/>
      <c r="I181" s="239"/>
      <c r="J181" s="239"/>
      <c r="K181" s="239"/>
      <c r="L181" s="239"/>
      <c r="M181" s="239"/>
      <c r="N181" s="239"/>
      <c r="O181" s="239"/>
      <c r="P181" s="238"/>
      <c r="Q181" s="229"/>
      <c r="R181" s="229"/>
      <c r="S181" s="229"/>
      <c r="T181" s="229"/>
      <c r="U181" s="229"/>
      <c r="V181" s="229"/>
      <c r="W181" s="229"/>
      <c r="X181" s="229"/>
      <c r="Y181" s="229"/>
      <c r="Z181" s="229"/>
      <c r="AA181" s="229"/>
      <c r="AB181" s="229"/>
      <c r="AC181" s="229"/>
      <c r="AD181" s="229"/>
      <c r="AE181" s="229"/>
      <c r="AF181" s="229"/>
      <c r="AG181" s="229"/>
      <c r="AH181" s="229"/>
      <c r="AI181" s="229"/>
      <c r="AJ181" s="229"/>
      <c r="AK181" s="229"/>
      <c r="AL181" s="229"/>
      <c r="AM181" s="229"/>
      <c r="AN181" s="229"/>
      <c r="AO181" s="229"/>
      <c r="AP181" s="229"/>
      <c r="AQ181" s="229"/>
      <c r="AR181" s="229"/>
      <c r="AS181" s="229"/>
      <c r="AT181" s="229"/>
      <c r="AU181" s="229"/>
    </row>
    <row r="182" spans="1:47">
      <c r="A182" s="240">
        <v>42</v>
      </c>
      <c r="B182" s="229"/>
      <c r="C182" s="234" t="s">
        <v>1767</v>
      </c>
      <c r="D182" s="229"/>
      <c r="E182" s="1506">
        <f>E162+E164+E169+E174+E180</f>
        <v>-2814137</v>
      </c>
      <c r="F182" s="229"/>
      <c r="G182" s="1506">
        <f>G162+G164+G169+G174+G180</f>
        <v>3300597</v>
      </c>
      <c r="H182" s="229"/>
      <c r="I182" s="1506">
        <f>I162+I164+I169+I174+I180</f>
        <v>1682897</v>
      </c>
      <c r="J182" s="238"/>
      <c r="K182" s="1506">
        <f ca="1">K162+K164+K169+K174+K180</f>
        <v>-206156</v>
      </c>
      <c r="L182" s="238"/>
      <c r="M182" s="238"/>
      <c r="N182" s="238"/>
      <c r="O182" s="238"/>
      <c r="P182" s="229"/>
      <c r="Q182" s="229"/>
      <c r="R182" s="229"/>
      <c r="S182" s="229"/>
      <c r="T182" s="229"/>
      <c r="U182" s="229"/>
      <c r="V182" s="229"/>
      <c r="W182" s="229"/>
      <c r="X182" s="229"/>
      <c r="Y182" s="229"/>
      <c r="Z182" s="229"/>
      <c r="AA182" s="229"/>
      <c r="AB182" s="229"/>
      <c r="AC182" s="229"/>
      <c r="AD182" s="229"/>
      <c r="AE182" s="229"/>
      <c r="AF182" s="229"/>
      <c r="AG182" s="229"/>
      <c r="AH182" s="229"/>
      <c r="AI182" s="229"/>
      <c r="AJ182" s="229"/>
      <c r="AK182" s="229"/>
      <c r="AL182" s="229"/>
      <c r="AM182" s="229"/>
      <c r="AN182" s="229"/>
      <c r="AO182" s="229"/>
      <c r="AP182" s="229"/>
      <c r="AQ182" s="229"/>
      <c r="AR182" s="229"/>
      <c r="AS182" s="229"/>
      <c r="AT182" s="229"/>
      <c r="AU182" s="229"/>
    </row>
    <row r="183" spans="1:47">
      <c r="A183" s="240">
        <v>43</v>
      </c>
      <c r="B183" s="229"/>
      <c r="C183" s="229"/>
      <c r="D183" s="229"/>
      <c r="E183" s="239"/>
      <c r="F183" s="229"/>
      <c r="G183" s="239"/>
      <c r="H183" s="229"/>
      <c r="I183" s="239"/>
      <c r="J183" s="239"/>
      <c r="K183" s="239"/>
      <c r="L183" s="239"/>
      <c r="M183" s="239"/>
      <c r="N183" s="239"/>
      <c r="O183" s="239"/>
      <c r="P183" s="229"/>
      <c r="Q183" s="229"/>
      <c r="R183" s="229"/>
      <c r="S183" s="229"/>
      <c r="T183" s="229"/>
      <c r="U183" s="229"/>
      <c r="V183" s="229"/>
      <c r="W183" s="229"/>
      <c r="X183" s="229"/>
      <c r="Y183" s="229"/>
      <c r="Z183" s="229"/>
      <c r="AA183" s="229"/>
      <c r="AB183" s="229"/>
      <c r="AC183" s="229"/>
      <c r="AD183" s="229"/>
      <c r="AE183" s="229"/>
      <c r="AF183" s="229"/>
      <c r="AG183" s="229"/>
      <c r="AH183" s="229"/>
      <c r="AI183" s="229"/>
      <c r="AJ183" s="229"/>
      <c r="AK183" s="229"/>
      <c r="AL183" s="229"/>
      <c r="AM183" s="229"/>
      <c r="AN183" s="229"/>
      <c r="AO183" s="229"/>
      <c r="AP183" s="229"/>
      <c r="AQ183" s="229"/>
      <c r="AR183" s="229"/>
      <c r="AS183" s="229"/>
      <c r="AT183" s="229"/>
      <c r="AU183" s="229"/>
    </row>
    <row r="184" spans="1:47" ht="13.8" thickBot="1">
      <c r="A184" s="240">
        <v>44</v>
      </c>
      <c r="B184" s="229"/>
      <c r="C184" s="234" t="s">
        <v>1443</v>
      </c>
      <c r="D184" s="229"/>
      <c r="E184" s="1953">
        <f>E145-E182</f>
        <v>2814137</v>
      </c>
      <c r="F184" s="229"/>
      <c r="G184" s="1953">
        <f>G145-G182</f>
        <v>-3300597</v>
      </c>
      <c r="H184" s="229"/>
      <c r="I184" s="1953">
        <f>I145-I182</f>
        <v>-1682897</v>
      </c>
      <c r="J184" s="238"/>
      <c r="K184" s="1953">
        <f ca="1">K145-K182</f>
        <v>206156</v>
      </c>
      <c r="L184" s="238"/>
      <c r="M184" s="238"/>
      <c r="N184" s="238"/>
      <c r="O184" s="238"/>
      <c r="P184" s="229"/>
      <c r="Q184" s="229"/>
      <c r="R184" s="229"/>
      <c r="S184" s="229"/>
      <c r="T184" s="229"/>
      <c r="U184" s="229"/>
      <c r="V184" s="229"/>
      <c r="W184" s="229"/>
      <c r="X184" s="229"/>
      <c r="Y184" s="229"/>
      <c r="Z184" s="229"/>
      <c r="AA184" s="229"/>
      <c r="AB184" s="229"/>
      <c r="AC184" s="229"/>
      <c r="AD184" s="229"/>
      <c r="AE184" s="229"/>
      <c r="AF184" s="229"/>
      <c r="AG184" s="229"/>
      <c r="AH184" s="229"/>
      <c r="AI184" s="229"/>
      <c r="AJ184" s="229"/>
      <c r="AK184" s="229"/>
      <c r="AL184" s="229"/>
      <c r="AM184" s="229"/>
      <c r="AN184" s="229"/>
      <c r="AO184" s="229"/>
      <c r="AP184" s="229"/>
      <c r="AQ184" s="229"/>
      <c r="AR184" s="229"/>
      <c r="AS184" s="229"/>
      <c r="AT184" s="229"/>
      <c r="AU184" s="229"/>
    </row>
    <row r="185" spans="1:47" ht="13.8" thickTop="1">
      <c r="A185" s="229"/>
      <c r="B185" s="229"/>
      <c r="C185" s="229"/>
      <c r="D185" s="238"/>
      <c r="E185" s="241">
        <f>IF(ISERR(ROUND((E174+E180)/(E184+E174+E180),4)=TRUE)," ",ROUND((E174+E180)/(E184+E174+E180),4))</f>
        <v>0.24929999999999999</v>
      </c>
      <c r="F185" s="229"/>
      <c r="G185" s="241">
        <f>IF(ISERR(ROUND((G174+G180)/(G184+G174+G180),4)=TRUE)," ",ROUND((G174+G180)/(G184+G174+G180),4))</f>
        <v>0.24929999999999999</v>
      </c>
      <c r="H185" s="241"/>
      <c r="I185" s="241">
        <f>IF(ISERR(ROUND((I174+I180)/(I184+I174+I180),4)=TRUE)," ",ROUND((I174+I180)/(I184+I174+I180),4))</f>
        <v>0.24929999999999999</v>
      </c>
      <c r="J185" s="241"/>
      <c r="K185" s="241" t="str">
        <f ca="1">IF(ISERR(ROUND((K174+K180)/(K184+K174+K180),4)=TRUE)," ",ROUND((K174+K180)/(K184+K174+K180),4))</f>
        <v xml:space="preserve"> </v>
      </c>
      <c r="L185" s="241"/>
      <c r="M185" s="241" t="str">
        <f>IF(ISERR(ROUND((M174+M180)/(M184+M174+M180),4)=TRUE)," ",ROUND((M174+M180)/(M184+M174+M180),4))</f>
        <v xml:space="preserve"> </v>
      </c>
      <c r="N185" s="241"/>
      <c r="O185" s="241" t="str">
        <f>IF(ISERR(ROUND((O174+O180)/(O184+O174+O180),4)=TRUE)," ",ROUND((O174+O180)/(O184+O174+O180),4))</f>
        <v xml:space="preserve"> </v>
      </c>
      <c r="P185" s="229"/>
      <c r="Q185" s="229"/>
      <c r="R185" s="229"/>
      <c r="S185" s="1752"/>
      <c r="T185" s="229"/>
      <c r="U185" s="229"/>
      <c r="V185" s="229"/>
      <c r="W185" s="229"/>
      <c r="X185" s="229"/>
      <c r="Y185" s="229"/>
      <c r="Z185" s="229"/>
      <c r="AA185" s="229"/>
      <c r="AB185" s="229"/>
      <c r="AC185" s="229"/>
      <c r="AD185" s="229"/>
      <c r="AE185" s="229"/>
      <c r="AF185" s="229"/>
      <c r="AG185" s="229"/>
      <c r="AH185" s="229"/>
      <c r="AI185" s="229"/>
      <c r="AJ185" s="229"/>
      <c r="AK185" s="229"/>
      <c r="AL185" s="229"/>
      <c r="AM185" s="229"/>
      <c r="AN185" s="229"/>
      <c r="AO185" s="229"/>
      <c r="AP185" s="229"/>
      <c r="AQ185" s="229"/>
      <c r="AR185" s="229"/>
      <c r="AS185" s="229"/>
      <c r="AT185" s="229"/>
      <c r="AU185" s="229"/>
    </row>
    <row r="186" spans="1:47">
      <c r="A186" s="234"/>
      <c r="B186" s="229"/>
      <c r="C186" s="229"/>
      <c r="D186" s="229"/>
      <c r="E186" s="229"/>
      <c r="F186" s="229"/>
      <c r="G186" s="229"/>
      <c r="H186" s="229"/>
      <c r="I186" s="229"/>
      <c r="J186" s="229"/>
      <c r="K186" s="229"/>
      <c r="L186" s="229"/>
      <c r="M186" s="229"/>
      <c r="N186" s="229"/>
      <c r="O186" s="239"/>
      <c r="P186" s="229"/>
      <c r="Q186" s="229"/>
      <c r="R186" s="229"/>
      <c r="S186" s="1752"/>
      <c r="T186" s="229"/>
      <c r="U186" s="229"/>
      <c r="V186" s="229"/>
      <c r="W186" s="229"/>
      <c r="X186" s="229"/>
      <c r="Y186" s="229"/>
      <c r="Z186" s="229"/>
      <c r="AA186" s="229"/>
      <c r="AB186" s="229"/>
      <c r="AC186" s="229"/>
      <c r="AD186" s="229"/>
      <c r="AE186" s="229"/>
      <c r="AF186" s="229"/>
      <c r="AG186" s="229"/>
      <c r="AH186" s="229"/>
      <c r="AI186" s="229"/>
      <c r="AJ186" s="229"/>
      <c r="AK186" s="229"/>
      <c r="AL186" s="229"/>
      <c r="AM186" s="229"/>
      <c r="AN186" s="229"/>
      <c r="AO186" s="229"/>
      <c r="AP186" s="229"/>
      <c r="AQ186" s="229"/>
      <c r="AR186" s="229"/>
      <c r="AS186" s="229"/>
      <c r="AT186" s="229"/>
      <c r="AU186" s="229"/>
    </row>
    <row r="187" spans="1:47">
      <c r="A187" s="229"/>
      <c r="B187" s="229"/>
      <c r="C187" s="229"/>
      <c r="D187" s="229"/>
      <c r="E187" s="229"/>
      <c r="F187" s="229"/>
      <c r="G187" s="229"/>
      <c r="H187" s="229"/>
      <c r="I187" s="229"/>
      <c r="J187" s="229"/>
      <c r="K187" s="229"/>
      <c r="L187" s="229"/>
      <c r="M187" s="229"/>
      <c r="N187" s="229"/>
      <c r="O187" s="229"/>
      <c r="P187" s="229"/>
      <c r="Q187" s="228" t="str">
        <f>COMPANY</f>
        <v>DUKE ENERGY KENTUCKY, INC.</v>
      </c>
      <c r="R187" s="228"/>
      <c r="S187" s="228"/>
      <c r="T187" s="228"/>
      <c r="U187" s="228"/>
      <c r="V187" s="228"/>
      <c r="W187" s="228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229"/>
      <c r="AH187" s="229"/>
      <c r="AI187" s="229"/>
      <c r="AJ187" s="229"/>
      <c r="AK187" s="229"/>
      <c r="AL187" s="229"/>
      <c r="AM187" s="229"/>
      <c r="AN187" s="229"/>
      <c r="AO187" s="229"/>
      <c r="AP187" s="229"/>
      <c r="AQ187" s="229"/>
      <c r="AR187" s="229"/>
      <c r="AS187" s="229"/>
      <c r="AT187" s="229"/>
      <c r="AU187" s="229"/>
    </row>
    <row r="188" spans="1:47">
      <c r="A188" s="229"/>
      <c r="B188" s="229"/>
      <c r="C188" s="229"/>
      <c r="D188" s="229"/>
      <c r="E188" s="229"/>
      <c r="F188" s="229"/>
      <c r="G188" s="229"/>
      <c r="H188" s="229"/>
      <c r="I188" s="229"/>
      <c r="J188" s="229"/>
      <c r="K188" s="229"/>
      <c r="L188" s="229"/>
      <c r="M188" s="229"/>
      <c r="N188" s="229"/>
      <c r="O188" s="229"/>
      <c r="P188" s="229"/>
      <c r="Q188" s="228" t="str">
        <f>CASE</f>
        <v>CASE NO. 2024-00354</v>
      </c>
      <c r="R188" s="228"/>
      <c r="S188" s="228"/>
      <c r="T188" s="228"/>
      <c r="U188" s="230"/>
      <c r="V188" s="230"/>
      <c r="W188" s="228"/>
      <c r="X188" s="228"/>
      <c r="Y188" s="228"/>
      <c r="Z188" s="228"/>
      <c r="AA188" s="228"/>
      <c r="AB188" s="228"/>
      <c r="AC188" s="228"/>
      <c r="AD188" s="228"/>
      <c r="AE188" s="228"/>
      <c r="AF188" s="229"/>
      <c r="AG188" s="229"/>
      <c r="AH188" s="229"/>
      <c r="AI188" s="229"/>
      <c r="AJ188" s="229"/>
      <c r="AK188" s="229"/>
      <c r="AL188" s="229"/>
      <c r="AM188" s="229"/>
      <c r="AN188" s="229"/>
      <c r="AO188" s="229"/>
      <c r="AP188" s="229"/>
      <c r="AQ188" s="229"/>
      <c r="AR188" s="229"/>
      <c r="AS188" s="229"/>
      <c r="AT188" s="229"/>
      <c r="AU188" s="229"/>
    </row>
    <row r="189" spans="1:47">
      <c r="A189" s="229"/>
      <c r="B189" s="229"/>
      <c r="C189" s="229"/>
      <c r="D189" s="229"/>
      <c r="E189" s="229"/>
      <c r="F189" s="229"/>
      <c r="G189" s="229"/>
      <c r="H189" s="229"/>
      <c r="I189" s="229"/>
      <c r="J189" s="229"/>
      <c r="K189" s="229"/>
      <c r="L189" s="229"/>
      <c r="M189" s="229"/>
      <c r="N189" s="229"/>
      <c r="O189" s="229"/>
      <c r="P189" s="229"/>
      <c r="Q189" s="231" t="str">
        <f>$AG$500</f>
        <v>SUMMARY OF UTILITY JURISDICTIONAL ADJUSTMENTS TO</v>
      </c>
      <c r="R189" s="228"/>
      <c r="S189" s="228"/>
      <c r="T189" s="228"/>
      <c r="U189" s="228"/>
      <c r="V189" s="228"/>
      <c r="W189" s="228"/>
      <c r="X189" s="228"/>
      <c r="Y189" s="228"/>
      <c r="Z189" s="228"/>
      <c r="AA189" s="228"/>
      <c r="AB189" s="228"/>
      <c r="AC189" s="228"/>
      <c r="AD189" s="228"/>
      <c r="AE189" s="228"/>
      <c r="AF189" s="229"/>
      <c r="AG189" s="229"/>
      <c r="AH189" s="229"/>
      <c r="AI189" s="229"/>
      <c r="AJ189" s="229"/>
      <c r="AK189" s="229"/>
      <c r="AL189" s="229"/>
      <c r="AM189" s="229"/>
      <c r="AN189" s="229"/>
      <c r="AO189" s="229"/>
      <c r="AP189" s="229"/>
      <c r="AQ189" s="229"/>
      <c r="AR189" s="229"/>
      <c r="AS189" s="229"/>
      <c r="AT189" s="229"/>
      <c r="AU189" s="229"/>
    </row>
    <row r="190" spans="1:47">
      <c r="A190" s="229"/>
      <c r="B190" s="229"/>
      <c r="C190" s="229"/>
      <c r="D190" s="229"/>
      <c r="E190" s="229"/>
      <c r="F190" s="229"/>
      <c r="G190" s="229"/>
      <c r="H190" s="229"/>
      <c r="I190" s="229"/>
      <c r="J190" s="229"/>
      <c r="K190" s="229"/>
      <c r="L190" s="229"/>
      <c r="M190" s="229"/>
      <c r="N190" s="229"/>
      <c r="O190" s="229"/>
      <c r="P190" s="229"/>
      <c r="Q190" s="231" t="str">
        <f>$AG$501</f>
        <v>OPERATING INCOME BY MAJOR ACCOUNTS</v>
      </c>
      <c r="R190" s="228"/>
      <c r="S190" s="228"/>
      <c r="T190" s="228"/>
      <c r="U190" s="228"/>
      <c r="V190" s="228"/>
      <c r="W190" s="228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229"/>
      <c r="AH190" s="229"/>
      <c r="AI190" s="229"/>
      <c r="AJ190" s="229"/>
      <c r="AK190" s="229"/>
      <c r="AL190" s="229"/>
      <c r="AM190" s="229"/>
      <c r="AN190" s="229"/>
      <c r="AO190" s="229"/>
      <c r="AP190" s="229"/>
      <c r="AQ190" s="229"/>
      <c r="AR190" s="229"/>
      <c r="AS190" s="229"/>
      <c r="AT190" s="229"/>
      <c r="AU190" s="229"/>
    </row>
    <row r="191" spans="1:47">
      <c r="A191" s="229"/>
      <c r="B191" s="229"/>
      <c r="C191" s="229"/>
      <c r="D191" s="229"/>
      <c r="E191" s="229"/>
      <c r="F191" s="229"/>
      <c r="G191" s="229"/>
      <c r="H191" s="229"/>
      <c r="I191" s="229"/>
      <c r="J191" s="229"/>
      <c r="K191" s="229"/>
      <c r="L191" s="229"/>
      <c r="M191" s="229"/>
      <c r="N191" s="229"/>
      <c r="O191" s="229"/>
      <c r="P191" s="229"/>
      <c r="Q191" s="232" t="s">
        <v>1792</v>
      </c>
      <c r="R191" s="228"/>
      <c r="S191" s="228"/>
      <c r="T191" s="228"/>
      <c r="U191" s="228"/>
      <c r="V191" s="228"/>
      <c r="W191" s="228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229"/>
      <c r="AH191" s="229"/>
      <c r="AI191" s="229"/>
      <c r="AJ191" s="229"/>
      <c r="AK191" s="229"/>
      <c r="AL191" s="229"/>
      <c r="AM191" s="229"/>
      <c r="AN191" s="229"/>
      <c r="AO191" s="229"/>
      <c r="AP191" s="229"/>
      <c r="AQ191" s="229"/>
      <c r="AR191" s="229"/>
      <c r="AS191" s="229"/>
      <c r="AT191" s="229"/>
      <c r="AU191" s="229"/>
    </row>
    <row r="192" spans="1:47">
      <c r="A192" s="229"/>
      <c r="B192" s="229"/>
      <c r="C192" s="229"/>
      <c r="D192" s="229"/>
      <c r="E192" s="229"/>
      <c r="F192" s="229"/>
      <c r="G192" s="229"/>
      <c r="H192" s="229"/>
      <c r="I192" s="229"/>
      <c r="J192" s="229"/>
      <c r="K192" s="229"/>
      <c r="L192" s="229"/>
      <c r="M192" s="229"/>
      <c r="N192" s="229"/>
      <c r="O192" s="229"/>
      <c r="P192" s="229"/>
      <c r="Q192" s="228" t="str">
        <f>PeriodF</f>
        <v>FOR THE TWELVE MONTHS ENDED JUNE 30, 2026</v>
      </c>
      <c r="R192" s="228"/>
      <c r="S192" s="228"/>
      <c r="T192" s="228"/>
      <c r="U192" s="228"/>
      <c r="V192" s="228"/>
      <c r="W192" s="228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229"/>
      <c r="AH192" s="229"/>
      <c r="AI192" s="229"/>
      <c r="AJ192" s="229"/>
      <c r="AK192" s="229"/>
      <c r="AL192" s="229"/>
      <c r="AM192" s="229"/>
      <c r="AN192" s="229"/>
      <c r="AO192" s="229"/>
      <c r="AP192" s="229"/>
      <c r="AQ192" s="229"/>
      <c r="AR192" s="229"/>
      <c r="AS192" s="229"/>
      <c r="AT192" s="229"/>
      <c r="AU192" s="229"/>
    </row>
    <row r="193" spans="1:47">
      <c r="A193" s="229"/>
      <c r="B193" s="229"/>
      <c r="C193" s="229"/>
      <c r="D193" s="229"/>
      <c r="E193" s="229"/>
      <c r="F193" s="229"/>
      <c r="G193" s="229"/>
      <c r="H193" s="229"/>
      <c r="I193" s="229"/>
      <c r="J193" s="229"/>
      <c r="K193" s="229"/>
      <c r="L193" s="229"/>
      <c r="M193" s="229"/>
      <c r="N193" s="229"/>
      <c r="O193" s="229"/>
      <c r="P193" s="229"/>
      <c r="Q193" s="229"/>
      <c r="R193" s="229"/>
      <c r="S193" s="229"/>
      <c r="T193" s="229"/>
      <c r="U193" s="229"/>
      <c r="V193" s="229"/>
      <c r="W193" s="229"/>
      <c r="X193" s="229"/>
      <c r="Y193" s="229"/>
      <c r="Z193" s="229"/>
      <c r="AA193" s="229"/>
      <c r="AB193" s="229"/>
      <c r="AC193" s="229"/>
      <c r="AD193" s="229"/>
      <c r="AE193" s="229"/>
      <c r="AF193" s="229"/>
      <c r="AG193" s="229"/>
      <c r="AH193" s="229"/>
      <c r="AI193" s="229"/>
      <c r="AJ193" s="229"/>
      <c r="AK193" s="229"/>
      <c r="AL193" s="229"/>
      <c r="AM193" s="229"/>
      <c r="AN193" s="229"/>
      <c r="AO193" s="229"/>
      <c r="AP193" s="229"/>
      <c r="AQ193" s="229"/>
      <c r="AR193" s="229"/>
      <c r="AS193" s="229"/>
      <c r="AT193" s="229"/>
      <c r="AU193" s="229"/>
    </row>
    <row r="194" spans="1:47">
      <c r="A194" s="229"/>
      <c r="B194" s="229"/>
      <c r="C194" s="229"/>
      <c r="D194" s="229"/>
      <c r="E194" s="229"/>
      <c r="F194" s="229"/>
      <c r="G194" s="229"/>
      <c r="H194" s="229"/>
      <c r="I194" s="229"/>
      <c r="J194" s="229"/>
      <c r="K194" s="229"/>
      <c r="L194" s="229"/>
      <c r="M194" s="229"/>
      <c r="N194" s="229"/>
      <c r="O194" s="229"/>
      <c r="P194" s="229"/>
      <c r="Q194" s="229" t="str">
        <f>DataF</f>
        <v>DATA:  BASE PERIOD  "X" FORECASTED PERIOD</v>
      </c>
      <c r="R194" s="229"/>
      <c r="S194" s="229"/>
      <c r="T194" s="229"/>
      <c r="U194" s="229"/>
      <c r="V194" s="229"/>
      <c r="W194" s="229"/>
      <c r="X194" s="229"/>
      <c r="Y194" s="229"/>
      <c r="Z194" s="229"/>
      <c r="AA194" s="229"/>
      <c r="AB194" s="229"/>
      <c r="AC194" s="233" t="s">
        <v>1725</v>
      </c>
      <c r="AD194" s="234"/>
      <c r="AE194" s="229"/>
      <c r="AF194" s="229"/>
      <c r="AG194" s="229"/>
      <c r="AH194" s="229"/>
      <c r="AI194" s="229"/>
      <c r="AJ194" s="229"/>
      <c r="AK194" s="229"/>
      <c r="AL194" s="229"/>
      <c r="AM194" s="229"/>
      <c r="AN194" s="229"/>
      <c r="AO194" s="229"/>
      <c r="AP194" s="229"/>
      <c r="AQ194" s="229"/>
      <c r="AR194" s="229"/>
      <c r="AS194" s="229"/>
      <c r="AT194" s="229"/>
      <c r="AU194" s="229"/>
    </row>
    <row r="195" spans="1:47">
      <c r="A195" s="229"/>
      <c r="B195" s="229"/>
      <c r="C195" s="229"/>
      <c r="D195" s="229"/>
      <c r="E195" s="229"/>
      <c r="F195" s="229"/>
      <c r="G195" s="229"/>
      <c r="H195" s="229"/>
      <c r="I195" s="229"/>
      <c r="J195" s="229"/>
      <c r="K195" s="229"/>
      <c r="L195" s="229"/>
      <c r="M195" s="229"/>
      <c r="N195" s="229"/>
      <c r="O195" s="229"/>
      <c r="P195" s="229"/>
      <c r="Q195" s="229" t="str">
        <f>Type</f>
        <v xml:space="preserve">TYPE OF FILING:  "X" ORIGINAL   UPDATED    REVISED  </v>
      </c>
      <c r="R195" s="229"/>
      <c r="S195" s="229"/>
      <c r="T195" s="229"/>
      <c r="U195" s="229"/>
      <c r="V195" s="229"/>
      <c r="W195" s="229"/>
      <c r="X195" s="229"/>
      <c r="Y195" s="229"/>
      <c r="Z195" s="229"/>
      <c r="AA195" s="229"/>
      <c r="AB195" s="229"/>
      <c r="AC195" s="234" t="s">
        <v>1793</v>
      </c>
      <c r="AD195" s="234"/>
      <c r="AE195" s="229"/>
      <c r="AF195" s="229"/>
      <c r="AG195" s="229"/>
      <c r="AH195" s="229"/>
      <c r="AI195" s="229"/>
      <c r="AJ195" s="229"/>
      <c r="AK195" s="229"/>
      <c r="AL195" s="229"/>
      <c r="AM195" s="229"/>
      <c r="AN195" s="229"/>
      <c r="AO195" s="229"/>
      <c r="AP195" s="229"/>
      <c r="AQ195" s="229"/>
      <c r="AR195" s="229"/>
      <c r="AS195" s="229"/>
      <c r="AT195" s="229"/>
      <c r="AU195" s="229"/>
    </row>
    <row r="196" spans="1:47">
      <c r="A196" s="229"/>
      <c r="B196" s="229"/>
      <c r="C196" s="229"/>
      <c r="D196" s="229"/>
      <c r="E196" s="229"/>
      <c r="F196" s="229"/>
      <c r="G196" s="229"/>
      <c r="H196" s="229"/>
      <c r="I196" s="229"/>
      <c r="J196" s="229"/>
      <c r="K196" s="229"/>
      <c r="L196" s="229"/>
      <c r="M196" s="229"/>
      <c r="N196" s="229"/>
      <c r="O196" s="229"/>
      <c r="P196" s="229"/>
      <c r="Q196" s="234" t="s">
        <v>467</v>
      </c>
      <c r="R196" s="229"/>
      <c r="S196" s="229"/>
      <c r="T196" s="229"/>
      <c r="U196" s="229"/>
      <c r="V196" s="229"/>
      <c r="W196" s="229"/>
      <c r="X196" s="229"/>
      <c r="Y196" s="229"/>
      <c r="Z196" s="229"/>
      <c r="AA196" s="229"/>
      <c r="AB196" s="229"/>
      <c r="AC196" s="233" t="s">
        <v>1727</v>
      </c>
      <c r="AD196" s="234"/>
      <c r="AE196" s="229"/>
      <c r="AF196" s="229"/>
      <c r="AG196" s="229"/>
      <c r="AH196" s="229"/>
      <c r="AI196" s="229"/>
      <c r="AJ196" s="229"/>
      <c r="AK196" s="229"/>
      <c r="AL196" s="229"/>
      <c r="AM196" s="229"/>
      <c r="AN196" s="229"/>
      <c r="AO196" s="229"/>
      <c r="AP196" s="229"/>
      <c r="AQ196" s="229"/>
      <c r="AR196" s="229"/>
      <c r="AS196" s="229"/>
      <c r="AT196" s="229"/>
      <c r="AU196" s="229"/>
    </row>
    <row r="197" spans="1:47">
      <c r="A197" s="229"/>
      <c r="B197" s="229"/>
      <c r="C197" s="229"/>
      <c r="D197" s="229"/>
      <c r="E197" s="229"/>
      <c r="F197" s="229"/>
      <c r="G197" s="229"/>
      <c r="H197" s="229"/>
      <c r="I197" s="229"/>
      <c r="J197" s="229"/>
      <c r="K197" s="229"/>
      <c r="L197" s="229"/>
      <c r="M197" s="229"/>
      <c r="N197" s="229"/>
      <c r="O197" s="229"/>
      <c r="P197" s="229"/>
      <c r="Q197" s="229"/>
      <c r="R197" s="229"/>
      <c r="S197" s="229"/>
      <c r="T197" s="229"/>
      <c r="U197" s="229"/>
      <c r="V197" s="229"/>
      <c r="W197" s="756"/>
      <c r="X197" s="229"/>
      <c r="Y197" s="229"/>
      <c r="Z197" s="229"/>
      <c r="AA197" s="229"/>
      <c r="AB197" s="229"/>
      <c r="AC197" s="234" t="str">
        <f>"          "&amp;_WIT1</f>
        <v xml:space="preserve">          L. D. STEINKUHL</v>
      </c>
      <c r="AD197" s="234"/>
      <c r="AE197" s="229"/>
      <c r="AF197" s="229"/>
      <c r="AG197" s="229"/>
      <c r="AH197" s="229"/>
      <c r="AI197" s="229"/>
      <c r="AJ197" s="229"/>
      <c r="AK197" s="229"/>
      <c r="AL197" s="229"/>
      <c r="AM197" s="229"/>
      <c r="AN197" s="229"/>
      <c r="AO197" s="229"/>
      <c r="AP197" s="229"/>
      <c r="AQ197" s="229"/>
      <c r="AR197" s="229"/>
      <c r="AS197" s="229"/>
      <c r="AT197" s="229"/>
      <c r="AU197" s="229"/>
    </row>
    <row r="198" spans="1:47">
      <c r="A198" s="229"/>
      <c r="B198" s="229"/>
      <c r="C198" s="229"/>
      <c r="D198" s="229"/>
      <c r="E198" s="229"/>
      <c r="F198" s="229"/>
      <c r="G198" s="229"/>
      <c r="H198" s="229"/>
      <c r="I198" s="229"/>
      <c r="J198" s="229"/>
      <c r="K198" s="229"/>
      <c r="L198" s="229"/>
      <c r="M198" s="229"/>
      <c r="N198" s="229"/>
      <c r="O198" s="229"/>
      <c r="P198" s="229"/>
      <c r="Q198" s="1502"/>
      <c r="R198" s="1502"/>
      <c r="S198" s="1502"/>
      <c r="T198" s="1502"/>
      <c r="U198" s="1502"/>
      <c r="V198" s="1502"/>
      <c r="W198" s="1507"/>
      <c r="X198" s="229"/>
      <c r="Y198" s="1502"/>
      <c r="Z198" s="1502"/>
      <c r="AA198" s="1502"/>
      <c r="AB198" s="1502"/>
      <c r="AC198" s="1502"/>
      <c r="AD198" s="1502"/>
      <c r="AE198" s="1502"/>
      <c r="AF198" s="229"/>
      <c r="AG198" s="229"/>
      <c r="AH198" s="229"/>
      <c r="AI198" s="229"/>
      <c r="AJ198" s="229"/>
      <c r="AK198" s="229"/>
      <c r="AL198" s="229"/>
      <c r="AM198" s="229"/>
      <c r="AN198" s="229"/>
      <c r="AO198" s="229"/>
      <c r="AP198" s="229"/>
      <c r="AQ198" s="229"/>
      <c r="AR198" s="229"/>
      <c r="AS198" s="229"/>
      <c r="AT198" s="229"/>
      <c r="AU198" s="229"/>
    </row>
    <row r="199" spans="1:47">
      <c r="A199" s="229"/>
      <c r="B199" s="229"/>
      <c r="C199" s="229"/>
      <c r="D199" s="229"/>
      <c r="E199" s="229"/>
      <c r="F199" s="229"/>
      <c r="G199" s="229"/>
      <c r="H199" s="229"/>
      <c r="I199" s="229"/>
      <c r="J199" s="229"/>
      <c r="K199" s="229"/>
      <c r="L199" s="229"/>
      <c r="M199" s="229"/>
      <c r="N199" s="229"/>
      <c r="O199" s="229"/>
      <c r="P199" s="229"/>
      <c r="Q199" s="229"/>
      <c r="R199" s="229"/>
      <c r="S199" s="229"/>
      <c r="T199" s="229"/>
      <c r="U199" s="240" t="s">
        <v>972</v>
      </c>
      <c r="V199" s="229"/>
      <c r="W199" s="240" t="s">
        <v>1728</v>
      </c>
      <c r="X199" s="2143"/>
      <c r="Y199" s="240" t="s">
        <v>1794</v>
      </c>
      <c r="Z199" s="229"/>
      <c r="AA199" s="240"/>
      <c r="AB199" s="240"/>
      <c r="AC199" s="2143"/>
      <c r="AD199" s="2143"/>
      <c r="AE199" s="240" t="s">
        <v>1795</v>
      </c>
      <c r="AF199" s="229"/>
      <c r="AG199" s="229"/>
      <c r="AH199" s="229"/>
      <c r="AI199" s="229"/>
      <c r="AJ199" s="229"/>
      <c r="AK199" s="229"/>
      <c r="AL199" s="229"/>
      <c r="AM199" s="229"/>
      <c r="AN199" s="229"/>
      <c r="AO199" s="229"/>
      <c r="AP199" s="229"/>
      <c r="AQ199" s="229"/>
      <c r="AR199" s="229"/>
      <c r="AS199" s="229"/>
      <c r="AT199" s="229"/>
      <c r="AU199" s="229"/>
    </row>
    <row r="200" spans="1:47">
      <c r="A200" s="229"/>
      <c r="B200" s="229"/>
      <c r="C200" s="229"/>
      <c r="D200" s="229"/>
      <c r="E200" s="229"/>
      <c r="F200" s="229"/>
      <c r="G200" s="229"/>
      <c r="H200" s="229"/>
      <c r="I200" s="229"/>
      <c r="J200" s="229"/>
      <c r="K200" s="229"/>
      <c r="L200" s="229"/>
      <c r="M200" s="229"/>
      <c r="N200" s="229"/>
      <c r="O200" s="229"/>
      <c r="P200" s="229"/>
      <c r="Q200" s="240" t="s">
        <v>471</v>
      </c>
      <c r="R200" s="229"/>
      <c r="S200" s="229"/>
      <c r="T200" s="229"/>
      <c r="U200" s="240" t="s">
        <v>1404</v>
      </c>
      <c r="V200" s="229"/>
      <c r="W200" s="240" t="s">
        <v>474</v>
      </c>
      <c r="X200" s="240"/>
      <c r="Y200" s="240" t="s">
        <v>1796</v>
      </c>
      <c r="Z200" s="240"/>
      <c r="AA200" s="240" t="s">
        <v>1797</v>
      </c>
      <c r="AB200" s="240"/>
      <c r="AC200" s="240" t="s">
        <v>1798</v>
      </c>
      <c r="AD200" s="229"/>
      <c r="AE200" s="240" t="s">
        <v>1799</v>
      </c>
      <c r="AF200" s="229"/>
      <c r="AG200" s="229"/>
      <c r="AH200" s="229"/>
      <c r="AI200" s="229"/>
      <c r="AJ200" s="229"/>
      <c r="AK200" s="229"/>
      <c r="AL200" s="229"/>
      <c r="AM200" s="229"/>
      <c r="AN200" s="229"/>
      <c r="AO200" s="229"/>
      <c r="AP200" s="229"/>
      <c r="AQ200" s="229"/>
      <c r="AR200" s="229"/>
      <c r="AS200" s="229"/>
      <c r="AT200" s="229"/>
      <c r="AU200" s="229"/>
    </row>
    <row r="201" spans="1:47">
      <c r="A201" s="229"/>
      <c r="B201" s="229"/>
      <c r="C201" s="229"/>
      <c r="D201" s="229"/>
      <c r="E201" s="229"/>
      <c r="F201" s="229"/>
      <c r="G201" s="229"/>
      <c r="H201" s="229"/>
      <c r="I201" s="229"/>
      <c r="J201" s="229"/>
      <c r="K201" s="229"/>
      <c r="L201" s="229"/>
      <c r="M201" s="229"/>
      <c r="N201" s="229"/>
      <c r="O201" s="229"/>
      <c r="P201" s="229"/>
      <c r="Q201" s="1503" t="s">
        <v>533</v>
      </c>
      <c r="R201" s="1504"/>
      <c r="S201" s="1503" t="s">
        <v>1733</v>
      </c>
      <c r="T201" s="1504"/>
      <c r="U201" s="1503" t="s">
        <v>1800</v>
      </c>
      <c r="V201" s="229"/>
      <c r="W201" s="1503" t="s">
        <v>1517</v>
      </c>
      <c r="X201" s="1503"/>
      <c r="Y201" s="1503" t="s">
        <v>1736</v>
      </c>
      <c r="Z201" s="1503"/>
      <c r="AA201" s="1503" t="s">
        <v>1801</v>
      </c>
      <c r="AB201" s="1503"/>
      <c r="AC201" s="1503" t="s">
        <v>1736</v>
      </c>
      <c r="AD201" s="229"/>
      <c r="AE201" s="1503" t="s">
        <v>1802</v>
      </c>
      <c r="AF201" s="229"/>
      <c r="AG201" s="229"/>
      <c r="AH201" s="229"/>
      <c r="AI201" s="229"/>
      <c r="AJ201" s="229"/>
      <c r="AK201" s="229"/>
      <c r="AL201" s="229"/>
      <c r="AM201" s="229"/>
      <c r="AN201" s="229"/>
      <c r="AO201" s="229"/>
      <c r="AP201" s="229"/>
      <c r="AQ201" s="229"/>
      <c r="AR201" s="229"/>
      <c r="AS201" s="229"/>
      <c r="AT201" s="229"/>
      <c r="AU201" s="229"/>
    </row>
    <row r="202" spans="1:47">
      <c r="A202" s="229"/>
      <c r="B202" s="229"/>
      <c r="C202" s="229"/>
      <c r="D202" s="229"/>
      <c r="E202" s="229"/>
      <c r="F202" s="229"/>
      <c r="G202" s="229"/>
      <c r="H202" s="229"/>
      <c r="I202" s="229"/>
      <c r="J202" s="229"/>
      <c r="K202" s="229"/>
      <c r="L202" s="229"/>
      <c r="M202" s="229"/>
      <c r="N202" s="229"/>
      <c r="O202" s="229"/>
      <c r="P202" s="229"/>
      <c r="Q202" s="1504"/>
      <c r="R202" s="1504"/>
      <c r="S202" s="1505" t="s">
        <v>1737</v>
      </c>
      <c r="T202" s="1504"/>
      <c r="U202" s="1503" t="s">
        <v>1803</v>
      </c>
      <c r="V202" s="2139"/>
      <c r="W202" s="1503" t="s">
        <v>1691</v>
      </c>
      <c r="X202" s="1503"/>
      <c r="Y202" s="1503" t="s">
        <v>1693</v>
      </c>
      <c r="Z202" s="1503"/>
      <c r="AA202" s="1503" t="s">
        <v>1695</v>
      </c>
      <c r="AB202" s="1503"/>
      <c r="AC202" s="1503" t="s">
        <v>1697</v>
      </c>
      <c r="AD202" s="2139"/>
      <c r="AE202" s="1503" t="s">
        <v>1699</v>
      </c>
      <c r="AF202" s="229"/>
      <c r="AG202" s="229"/>
      <c r="AH202" s="229"/>
      <c r="AI202" s="229"/>
      <c r="AJ202" s="229"/>
      <c r="AK202" s="229"/>
      <c r="AL202" s="229"/>
      <c r="AM202" s="229"/>
      <c r="AN202" s="229"/>
      <c r="AO202" s="229"/>
      <c r="AP202" s="229"/>
      <c r="AQ202" s="229"/>
      <c r="AR202" s="229"/>
      <c r="AS202" s="229"/>
      <c r="AT202" s="229"/>
      <c r="AU202" s="229"/>
    </row>
    <row r="203" spans="1:47">
      <c r="A203" s="229"/>
      <c r="B203" s="229"/>
      <c r="C203" s="229"/>
      <c r="D203" s="229"/>
      <c r="E203" s="229"/>
      <c r="F203" s="229"/>
      <c r="G203" s="229"/>
      <c r="H203" s="229"/>
      <c r="I203" s="229"/>
      <c r="J203" s="229"/>
      <c r="K203" s="229"/>
      <c r="L203" s="229"/>
      <c r="M203" s="229"/>
      <c r="N203" s="229"/>
      <c r="O203" s="229"/>
      <c r="P203" s="229"/>
      <c r="Q203" s="240">
        <v>1</v>
      </c>
      <c r="R203" s="237" t="s">
        <v>451</v>
      </c>
      <c r="S203" s="229"/>
      <c r="T203" s="229"/>
      <c r="U203" s="229"/>
      <c r="V203" s="229"/>
      <c r="W203" s="240"/>
      <c r="X203" s="229"/>
      <c r="Y203" s="240"/>
      <c r="Z203" s="229"/>
      <c r="AA203" s="240"/>
      <c r="AB203" s="229"/>
      <c r="AC203" s="240"/>
      <c r="AD203" s="229"/>
      <c r="AE203" s="240"/>
      <c r="AF203" s="229"/>
      <c r="AG203" s="229"/>
      <c r="AH203" s="229"/>
      <c r="AI203" s="229"/>
      <c r="AJ203" s="229"/>
      <c r="AK203" s="229"/>
      <c r="AL203" s="229"/>
      <c r="AM203" s="229"/>
      <c r="AN203" s="229"/>
      <c r="AO203" s="229"/>
      <c r="AP203" s="229"/>
      <c r="AQ203" s="229"/>
      <c r="AR203" s="229"/>
      <c r="AS203" s="229"/>
      <c r="AT203" s="229"/>
      <c r="AU203" s="229"/>
    </row>
    <row r="204" spans="1:47">
      <c r="A204" s="229"/>
      <c r="B204" s="229"/>
      <c r="C204" s="229"/>
      <c r="D204" s="229"/>
      <c r="E204" s="229"/>
      <c r="F204" s="229"/>
      <c r="G204" s="229"/>
      <c r="H204" s="229"/>
      <c r="I204" s="229"/>
      <c r="J204" s="229"/>
      <c r="K204" s="229"/>
      <c r="L204" s="229"/>
      <c r="M204" s="229"/>
      <c r="N204" s="229"/>
      <c r="O204" s="229"/>
      <c r="P204" s="229"/>
      <c r="Q204" s="240">
        <v>2</v>
      </c>
      <c r="R204" s="229"/>
      <c r="S204" s="234" t="s">
        <v>1740</v>
      </c>
      <c r="T204" s="229"/>
      <c r="U204" s="238">
        <f>SUM(W204:AE204)+SUM(U266:AE266)+SUM(V328:AE328)+SUM(U390:AE390)+SUM(U452:AE452)</f>
        <v>5311469</v>
      </c>
      <c r="V204" s="229"/>
      <c r="W204" s="238">
        <f>SCH_D2.16!G19</f>
        <v>1714280</v>
      </c>
      <c r="X204" s="238"/>
      <c r="Y204" s="238"/>
      <c r="Z204" s="238"/>
      <c r="AA204" s="238">
        <f>SCH_D2.18!H25</f>
        <v>-1999924</v>
      </c>
      <c r="AB204" s="238"/>
      <c r="AC204" s="238"/>
      <c r="AD204" s="229"/>
      <c r="AE204" s="238">
        <f>SCH_D2.20!H23</f>
        <v>13894708</v>
      </c>
      <c r="AF204" s="229"/>
      <c r="AG204" s="229"/>
      <c r="AH204" s="229"/>
      <c r="AI204" s="229"/>
      <c r="AJ204" s="229"/>
      <c r="AK204" s="229"/>
      <c r="AL204" s="229"/>
      <c r="AM204" s="229"/>
      <c r="AN204" s="229"/>
      <c r="AO204" s="229"/>
      <c r="AP204" s="229"/>
      <c r="AQ204" s="229"/>
      <c r="AR204" s="229"/>
      <c r="AS204" s="229"/>
      <c r="AT204" s="229"/>
      <c r="AU204" s="229"/>
    </row>
    <row r="205" spans="1:47">
      <c r="A205" s="229"/>
      <c r="B205" s="229"/>
      <c r="C205" s="229"/>
      <c r="D205" s="229"/>
      <c r="E205" s="229"/>
      <c r="F205" s="229"/>
      <c r="G205" s="229"/>
      <c r="H205" s="229"/>
      <c r="I205" s="229"/>
      <c r="J205" s="229"/>
      <c r="K205" s="229"/>
      <c r="L205" s="229"/>
      <c r="M205" s="229"/>
      <c r="N205" s="229"/>
      <c r="O205" s="229"/>
      <c r="P205" s="229"/>
      <c r="Q205" s="240">
        <v>3</v>
      </c>
      <c r="R205" s="229"/>
      <c r="S205" s="234" t="s">
        <v>1741</v>
      </c>
      <c r="T205" s="229"/>
      <c r="U205" s="238">
        <f>SUM(W205:AE205)+SUM(U267:AE267)+SUM(V329:AE329)+SUM(U391:AE391)+SUM(U453:AE453)</f>
        <v>0</v>
      </c>
      <c r="V205" s="229"/>
      <c r="W205" s="238">
        <f>SCH_D2.16!G20</f>
        <v>0</v>
      </c>
      <c r="X205" s="238"/>
      <c r="Y205" s="238"/>
      <c r="Z205" s="238"/>
      <c r="AA205" s="238"/>
      <c r="AB205" s="238"/>
      <c r="AC205" s="238"/>
      <c r="AD205" s="229"/>
      <c r="AE205" s="238"/>
      <c r="AF205" s="229"/>
      <c r="AG205" s="229"/>
      <c r="AH205" s="229"/>
      <c r="AI205" s="229"/>
      <c r="AJ205" s="229"/>
      <c r="AK205" s="229"/>
      <c r="AL205" s="229"/>
      <c r="AM205" s="229"/>
      <c r="AN205" s="229"/>
      <c r="AO205" s="229"/>
      <c r="AP205" s="229"/>
      <c r="AQ205" s="229"/>
      <c r="AR205" s="229"/>
      <c r="AS205" s="229"/>
      <c r="AT205" s="229"/>
      <c r="AU205" s="229"/>
    </row>
    <row r="206" spans="1:47">
      <c r="A206" s="229"/>
      <c r="B206" s="229"/>
      <c r="C206" s="229"/>
      <c r="D206" s="229"/>
      <c r="E206" s="229"/>
      <c r="F206" s="229"/>
      <c r="G206" s="229"/>
      <c r="H206" s="229"/>
      <c r="I206" s="229"/>
      <c r="J206" s="229"/>
      <c r="K206" s="229"/>
      <c r="L206" s="229"/>
      <c r="M206" s="229"/>
      <c r="N206" s="229"/>
      <c r="O206" s="229"/>
      <c r="P206" s="229"/>
      <c r="Q206" s="240">
        <v>4</v>
      </c>
      <c r="R206" s="229"/>
      <c r="S206" s="234" t="s">
        <v>1742</v>
      </c>
      <c r="T206" s="229"/>
      <c r="U206" s="238">
        <f>SUM(W206:AE206)+SUM(U268:AE268)+SUM(V330:AE330)+SUM(U392:AE392)+SUM(U454:AE454)</f>
        <v>-33441809</v>
      </c>
      <c r="V206" s="229"/>
      <c r="W206" s="238">
        <f>SCH_D2.16!G21</f>
        <v>0</v>
      </c>
      <c r="X206" s="238"/>
      <c r="Y206" s="238"/>
      <c r="Z206" s="238"/>
      <c r="AA206" s="238"/>
      <c r="AB206" s="238"/>
      <c r="AC206" s="238"/>
      <c r="AD206" s="229"/>
      <c r="AE206" s="238">
        <f>SCH_D2.20!H24-SCH_D1!AE204</f>
        <v>-33441809</v>
      </c>
      <c r="AF206" s="229"/>
      <c r="AG206" s="229"/>
      <c r="AH206" s="229"/>
      <c r="AI206" s="229"/>
      <c r="AJ206" s="229"/>
      <c r="AK206" s="229"/>
      <c r="AL206" s="229"/>
      <c r="AM206" s="229"/>
      <c r="AN206" s="229"/>
      <c r="AO206" s="229"/>
      <c r="AP206" s="229"/>
      <c r="AQ206" s="229"/>
      <c r="AR206" s="229"/>
      <c r="AS206" s="229"/>
      <c r="AT206" s="229"/>
      <c r="AU206" s="229"/>
    </row>
    <row r="207" spans="1:47">
      <c r="A207" s="229"/>
      <c r="B207" s="229"/>
      <c r="C207" s="229"/>
      <c r="D207" s="229"/>
      <c r="E207" s="229"/>
      <c r="F207" s="229"/>
      <c r="G207" s="229"/>
      <c r="H207" s="229"/>
      <c r="I207" s="229"/>
      <c r="J207" s="229"/>
      <c r="K207" s="229"/>
      <c r="L207" s="229"/>
      <c r="M207" s="229"/>
      <c r="N207" s="229"/>
      <c r="O207" s="229"/>
      <c r="P207" s="229"/>
      <c r="Q207" s="240">
        <v>5</v>
      </c>
      <c r="R207" s="229"/>
      <c r="S207" s="234" t="s">
        <v>1743</v>
      </c>
      <c r="T207" s="229"/>
      <c r="U207" s="2140">
        <f>SUM(U204:U206)</f>
        <v>-28130340</v>
      </c>
      <c r="V207" s="229"/>
      <c r="W207" s="2140">
        <f>SUM(W204:W206)</f>
        <v>1714280</v>
      </c>
      <c r="X207" s="238"/>
      <c r="Y207" s="2140">
        <f>SUM(Y204:Y206)</f>
        <v>0</v>
      </c>
      <c r="Z207" s="238"/>
      <c r="AA207" s="2140">
        <f>SUM(AA204:AA206)</f>
        <v>-1999924</v>
      </c>
      <c r="AB207" s="238"/>
      <c r="AC207" s="2140">
        <f>SUM(AC204:AC206)</f>
        <v>0</v>
      </c>
      <c r="AD207" s="229"/>
      <c r="AE207" s="2140">
        <f>SUM(AE204:AE206)</f>
        <v>-19547101</v>
      </c>
      <c r="AF207" s="229"/>
      <c r="AG207" s="229"/>
      <c r="AH207" s="229"/>
      <c r="AI207" s="229"/>
      <c r="AJ207" s="229"/>
      <c r="AK207" s="229"/>
      <c r="AL207" s="229"/>
      <c r="AM207" s="229"/>
      <c r="AN207" s="229"/>
      <c r="AO207" s="229"/>
      <c r="AP207" s="229"/>
      <c r="AQ207" s="229"/>
      <c r="AR207" s="229"/>
      <c r="AS207" s="229"/>
      <c r="AT207" s="229"/>
      <c r="AU207" s="229"/>
    </row>
    <row r="208" spans="1:47">
      <c r="A208" s="229"/>
      <c r="B208" s="229"/>
      <c r="C208" s="229"/>
      <c r="D208" s="229"/>
      <c r="E208" s="229"/>
      <c r="F208" s="229"/>
      <c r="G208" s="229"/>
      <c r="H208" s="229"/>
      <c r="I208" s="229"/>
      <c r="J208" s="229"/>
      <c r="K208" s="229"/>
      <c r="L208" s="229"/>
      <c r="M208" s="229"/>
      <c r="N208" s="229"/>
      <c r="O208" s="229"/>
      <c r="P208" s="229"/>
      <c r="Q208" s="240">
        <v>6</v>
      </c>
      <c r="R208" s="229"/>
      <c r="S208" s="229"/>
      <c r="T208" s="229"/>
      <c r="U208" s="239"/>
      <c r="V208" s="229"/>
      <c r="W208" s="239"/>
      <c r="X208" s="239"/>
      <c r="Y208" s="239"/>
      <c r="Z208" s="239"/>
      <c r="AA208" s="239"/>
      <c r="AB208" s="239"/>
      <c r="AC208" s="239"/>
      <c r="AD208" s="229"/>
      <c r="AE208" s="239"/>
      <c r="AF208" s="229"/>
      <c r="AG208" s="229"/>
      <c r="AH208" s="229"/>
      <c r="AI208" s="229"/>
      <c r="AJ208" s="229"/>
      <c r="AK208" s="229"/>
      <c r="AL208" s="229"/>
      <c r="AM208" s="229"/>
      <c r="AN208" s="229"/>
      <c r="AO208" s="229"/>
      <c r="AP208" s="229"/>
      <c r="AQ208" s="229"/>
      <c r="AR208" s="229"/>
      <c r="AS208" s="229"/>
      <c r="AT208" s="229"/>
      <c r="AU208" s="229"/>
    </row>
    <row r="209" spans="1:47">
      <c r="A209" s="229"/>
      <c r="B209" s="229"/>
      <c r="C209" s="229"/>
      <c r="D209" s="229"/>
      <c r="E209" s="229"/>
      <c r="F209" s="229"/>
      <c r="G209" s="229"/>
      <c r="H209" s="229"/>
      <c r="I209" s="229"/>
      <c r="J209" s="229"/>
      <c r="K209" s="229"/>
      <c r="L209" s="229"/>
      <c r="M209" s="229"/>
      <c r="N209" s="229"/>
      <c r="O209" s="229"/>
      <c r="P209" s="229"/>
      <c r="Q209" s="240">
        <v>7</v>
      </c>
      <c r="R209" s="237" t="s">
        <v>404</v>
      </c>
      <c r="S209" s="229"/>
      <c r="T209" s="229"/>
      <c r="U209" s="1752" t="str">
        <f>IF(SUM(U210:U211,U228,U233,U238)=0,"","DATA ENTERED IN WRONG LINE")</f>
        <v/>
      </c>
      <c r="V209" s="1752"/>
      <c r="W209" s="1752" t="str">
        <f>IF(SUM(W210:W211,W228,W233,W238)=0,"","DATA ENTERED IN WRONG LINE")</f>
        <v/>
      </c>
      <c r="X209" s="1752"/>
      <c r="Y209" s="1752" t="str">
        <f>IF(SUM(Y210:Y211,Y228,Y233,Y238)=0,"","DATA ENTERED IN WRONG LINE")</f>
        <v/>
      </c>
      <c r="Z209" s="1752"/>
      <c r="AA209" s="1752" t="str">
        <f>IF(SUM(AA210:AA211,AA228,AA233,AA238)=0,"","DATA ENTERED IN WRONG LINE")</f>
        <v/>
      </c>
      <c r="AB209" s="1752"/>
      <c r="AC209" s="1752" t="str">
        <f>IF(SUM(AC210:AC211,AC228,AC233,AC238)=0,"","DATA ENTERED IN WRONG LINE")</f>
        <v/>
      </c>
      <c r="AD209" s="1752"/>
      <c r="AE209" s="1752" t="str">
        <f>IF(SUM(AE210:AE211,AE228,AE233,AE238)=0,"","DATA ENTERED IN WRONG LINE")</f>
        <v/>
      </c>
      <c r="AF209" s="229"/>
      <c r="AG209" s="229"/>
      <c r="AH209" s="229"/>
      <c r="AI209" s="238"/>
      <c r="AJ209" s="229"/>
      <c r="AK209" s="229"/>
      <c r="AL209" s="229"/>
      <c r="AM209" s="229"/>
      <c r="AN209" s="229"/>
      <c r="AO209" s="229"/>
      <c r="AP209" s="229"/>
      <c r="AQ209" s="229"/>
      <c r="AR209" s="229"/>
      <c r="AS209" s="229"/>
      <c r="AT209" s="229"/>
      <c r="AU209" s="229"/>
    </row>
    <row r="210" spans="1:47">
      <c r="A210" s="229"/>
      <c r="B210" s="229"/>
      <c r="C210" s="229"/>
      <c r="D210" s="229"/>
      <c r="E210" s="229"/>
      <c r="F210" s="229"/>
      <c r="G210" s="229"/>
      <c r="H210" s="229"/>
      <c r="I210" s="229"/>
      <c r="J210" s="229"/>
      <c r="K210" s="229"/>
      <c r="L210" s="229"/>
      <c r="M210" s="229"/>
      <c r="N210" s="229"/>
      <c r="O210" s="229"/>
      <c r="P210" s="229"/>
      <c r="Q210" s="240">
        <v>8</v>
      </c>
      <c r="R210" s="229"/>
      <c r="S210" s="234" t="s">
        <v>1744</v>
      </c>
      <c r="T210" s="229"/>
      <c r="U210" s="229"/>
      <c r="V210" s="229"/>
      <c r="W210" s="229"/>
      <c r="X210" s="229"/>
      <c r="Y210" s="229"/>
      <c r="Z210" s="229"/>
      <c r="AA210" s="229"/>
      <c r="AB210" s="229"/>
      <c r="AC210" s="229"/>
      <c r="AD210" s="229"/>
      <c r="AE210" s="229"/>
      <c r="AF210" s="229"/>
      <c r="AG210" s="229"/>
      <c r="AH210" s="229"/>
      <c r="AI210" s="229"/>
      <c r="AJ210" s="229"/>
      <c r="AK210" s="229"/>
      <c r="AL210" s="229"/>
      <c r="AM210" s="229"/>
      <c r="AN210" s="229"/>
      <c r="AO210" s="229"/>
      <c r="AP210" s="229"/>
      <c r="AQ210" s="229"/>
      <c r="AR210" s="229"/>
      <c r="AS210" s="229"/>
      <c r="AT210" s="229"/>
      <c r="AU210" s="229"/>
    </row>
    <row r="211" spans="1:47">
      <c r="A211" s="229"/>
      <c r="B211" s="229"/>
      <c r="C211" s="229"/>
      <c r="D211" s="229"/>
      <c r="E211" s="229"/>
      <c r="F211" s="229"/>
      <c r="G211" s="229"/>
      <c r="H211" s="229"/>
      <c r="I211" s="229"/>
      <c r="J211" s="229"/>
      <c r="K211" s="229"/>
      <c r="L211" s="229"/>
      <c r="M211" s="229"/>
      <c r="N211" s="229"/>
      <c r="O211" s="229"/>
      <c r="P211" s="229"/>
      <c r="Q211" s="240">
        <v>9</v>
      </c>
      <c r="R211" s="229"/>
      <c r="S211" s="234" t="s">
        <v>1745</v>
      </c>
      <c r="T211" s="229"/>
      <c r="U211" s="229"/>
      <c r="V211" s="229"/>
      <c r="W211" s="229"/>
      <c r="X211" s="229"/>
      <c r="Y211" s="229"/>
      <c r="Z211" s="229"/>
      <c r="AA211" s="229"/>
      <c r="AB211" s="229"/>
      <c r="AC211" s="229"/>
      <c r="AD211" s="229"/>
      <c r="AE211" s="229"/>
      <c r="AF211" s="229"/>
      <c r="AG211" s="229"/>
      <c r="AH211" s="229"/>
      <c r="AI211" s="229"/>
      <c r="AJ211" s="229"/>
      <c r="AK211" s="229"/>
      <c r="AL211" s="229"/>
      <c r="AM211" s="229"/>
      <c r="AN211" s="229"/>
      <c r="AO211" s="229"/>
      <c r="AP211" s="229"/>
      <c r="AQ211" s="229"/>
      <c r="AR211" s="229"/>
      <c r="AS211" s="229"/>
      <c r="AT211" s="229"/>
      <c r="AU211" s="229"/>
    </row>
    <row r="212" spans="1:47">
      <c r="A212" s="229"/>
      <c r="B212" s="229"/>
      <c r="C212" s="229"/>
      <c r="D212" s="229"/>
      <c r="E212" s="229"/>
      <c r="F212" s="229"/>
      <c r="G212" s="229"/>
      <c r="H212" s="229"/>
      <c r="I212" s="229"/>
      <c r="J212" s="229"/>
      <c r="K212" s="229"/>
      <c r="L212" s="229"/>
      <c r="M212" s="229"/>
      <c r="N212" s="229"/>
      <c r="O212" s="229"/>
      <c r="P212" s="229"/>
      <c r="Q212" s="240">
        <v>10</v>
      </c>
      <c r="R212" s="229"/>
      <c r="S212" s="181" t="s">
        <v>454</v>
      </c>
      <c r="T212" s="229"/>
      <c r="U212" s="238">
        <f>SUM(W212:AE212)+SUM(U274:AE274)+SUM(V336:AE336)+SUM(U398:AE398)+SUM(U460:AE460)</f>
        <v>-13959152</v>
      </c>
      <c r="V212" s="229"/>
      <c r="W212" s="238">
        <f>SCH_D2.16!G33</f>
        <v>2161285</v>
      </c>
      <c r="X212" s="238"/>
      <c r="Y212" s="238"/>
      <c r="Z212" s="238"/>
      <c r="AA212" s="238"/>
      <c r="AB212" s="238"/>
      <c r="AC212" s="238"/>
      <c r="AD212" s="229"/>
      <c r="AE212" s="238">
        <f>SCH_D2.20!H35</f>
        <v>-16120437</v>
      </c>
      <c r="AF212" s="229"/>
      <c r="AG212" s="229"/>
      <c r="AH212" s="229"/>
      <c r="AI212" s="229"/>
      <c r="AJ212" s="229"/>
      <c r="AK212" s="229"/>
      <c r="AL212" s="229"/>
      <c r="AM212" s="229"/>
      <c r="AN212" s="229"/>
      <c r="AO212" s="229"/>
      <c r="AP212" s="229"/>
      <c r="AQ212" s="229"/>
      <c r="AR212" s="229"/>
      <c r="AS212" s="229"/>
      <c r="AT212" s="229"/>
      <c r="AU212" s="229"/>
    </row>
    <row r="213" spans="1:47">
      <c r="A213" s="229"/>
      <c r="B213" s="229"/>
      <c r="C213" s="229"/>
      <c r="D213" s="229"/>
      <c r="E213" s="229"/>
      <c r="F213" s="229"/>
      <c r="G213" s="229"/>
      <c r="H213" s="229"/>
      <c r="I213" s="229"/>
      <c r="J213" s="229"/>
      <c r="K213" s="229"/>
      <c r="L213" s="229"/>
      <c r="M213" s="229"/>
      <c r="N213" s="229"/>
      <c r="O213" s="229"/>
      <c r="P213" s="229"/>
      <c r="Q213" s="240">
        <v>11</v>
      </c>
      <c r="R213" s="229"/>
      <c r="S213" s="234" t="s">
        <v>1746</v>
      </c>
      <c r="T213" s="229"/>
      <c r="U213" s="238">
        <f ca="1">SUM(W213:AE213)+SUM(U275:AE275)+SUM(V337:AE337)+SUM(U399:AE399)+SUM(U461:AE461)</f>
        <v>-12497746</v>
      </c>
      <c r="V213" s="229"/>
      <c r="W213" s="238"/>
      <c r="X213" s="238"/>
      <c r="Y213" s="238"/>
      <c r="Z213" s="238"/>
      <c r="AA213" s="238">
        <f>SCH_D2.18!H28+SCH_D2.18!H29</f>
        <v>-1800036</v>
      </c>
      <c r="AB213" s="238"/>
      <c r="AC213" s="238"/>
      <c r="AD213" s="229"/>
      <c r="AE213" s="238"/>
      <c r="AF213" s="229"/>
      <c r="AG213" s="229"/>
      <c r="AH213" s="229"/>
      <c r="AI213" s="229"/>
      <c r="AJ213" s="229"/>
      <c r="AK213" s="229"/>
      <c r="AL213" s="229"/>
      <c r="AM213" s="229"/>
      <c r="AN213" s="229"/>
      <c r="AO213" s="229"/>
      <c r="AP213" s="229"/>
      <c r="AQ213" s="229"/>
      <c r="AR213" s="229"/>
      <c r="AS213" s="229"/>
      <c r="AT213" s="229"/>
      <c r="AU213" s="229"/>
    </row>
    <row r="214" spans="1:47">
      <c r="A214" s="229"/>
      <c r="B214" s="229"/>
      <c r="C214" s="229"/>
      <c r="D214" s="229"/>
      <c r="E214" s="229"/>
      <c r="F214" s="229"/>
      <c r="G214" s="229"/>
      <c r="H214" s="229"/>
      <c r="I214" s="229"/>
      <c r="J214" s="229"/>
      <c r="K214" s="229"/>
      <c r="L214" s="229"/>
      <c r="M214" s="229"/>
      <c r="N214" s="229"/>
      <c r="O214" s="229"/>
      <c r="P214" s="229"/>
      <c r="Q214" s="240">
        <v>12</v>
      </c>
      <c r="R214" s="229"/>
      <c r="S214" s="234" t="s">
        <v>1747</v>
      </c>
      <c r="T214" s="229"/>
      <c r="U214" s="2141">
        <f ca="1">SUM(U211:U213)</f>
        <v>-26456898</v>
      </c>
      <c r="V214" s="229"/>
      <c r="W214" s="2141">
        <f>SUM(W211:W213)</f>
        <v>2161285</v>
      </c>
      <c r="X214" s="238"/>
      <c r="Y214" s="2141">
        <f>SUM(Y211:Y213)</f>
        <v>0</v>
      </c>
      <c r="Z214" s="238"/>
      <c r="AA214" s="2141">
        <f>SUM(AA211:AA213)</f>
        <v>-1800036</v>
      </c>
      <c r="AB214" s="238"/>
      <c r="AC214" s="2141">
        <f>SUM(AC211:AC213)</f>
        <v>0</v>
      </c>
      <c r="AD214" s="229"/>
      <c r="AE214" s="2141">
        <f>SUM(AE211:AE213)</f>
        <v>-16120437</v>
      </c>
      <c r="AF214" s="229"/>
      <c r="AG214" s="229"/>
      <c r="AH214" s="229"/>
      <c r="AI214" s="229"/>
      <c r="AJ214" s="229"/>
      <c r="AK214" s="229"/>
      <c r="AL214" s="229"/>
      <c r="AM214" s="229"/>
      <c r="AN214" s="229"/>
      <c r="AO214" s="229"/>
      <c r="AP214" s="229"/>
      <c r="AQ214" s="229"/>
      <c r="AR214" s="229"/>
      <c r="AS214" s="229"/>
      <c r="AT214" s="229"/>
      <c r="AU214" s="229"/>
    </row>
    <row r="215" spans="1:47">
      <c r="A215" s="229"/>
      <c r="B215" s="229"/>
      <c r="C215" s="229"/>
      <c r="D215" s="229"/>
      <c r="E215" s="229"/>
      <c r="F215" s="229"/>
      <c r="G215" s="229"/>
      <c r="H215" s="229"/>
      <c r="I215" s="229"/>
      <c r="J215" s="229"/>
      <c r="K215" s="229"/>
      <c r="L215" s="229"/>
      <c r="M215" s="229"/>
      <c r="N215" s="229"/>
      <c r="O215" s="229"/>
      <c r="P215" s="229"/>
      <c r="Q215" s="240">
        <v>13</v>
      </c>
      <c r="R215" s="229"/>
      <c r="S215" s="234"/>
      <c r="T215" s="229"/>
      <c r="U215" s="239"/>
      <c r="V215" s="229"/>
      <c r="W215" s="239"/>
      <c r="X215" s="239"/>
      <c r="Y215" s="239"/>
      <c r="Z215" s="239"/>
      <c r="AA215" s="239"/>
      <c r="AB215" s="238"/>
      <c r="AC215" s="239"/>
      <c r="AD215" s="229"/>
      <c r="AE215" s="239"/>
      <c r="AF215" s="229"/>
      <c r="AG215" s="229"/>
      <c r="AH215" s="229"/>
      <c r="AI215" s="229"/>
      <c r="AJ215" s="229"/>
      <c r="AK215" s="229"/>
      <c r="AL215" s="229"/>
      <c r="AM215" s="229"/>
      <c r="AN215" s="229"/>
      <c r="AO215" s="229"/>
      <c r="AP215" s="229"/>
      <c r="AQ215" s="229"/>
      <c r="AR215" s="229"/>
      <c r="AS215" s="229"/>
      <c r="AT215" s="229"/>
      <c r="AU215" s="229"/>
    </row>
    <row r="216" spans="1:47">
      <c r="A216" s="229"/>
      <c r="B216" s="229"/>
      <c r="C216" s="229"/>
      <c r="D216" s="229"/>
      <c r="E216" s="229"/>
      <c r="F216" s="229"/>
      <c r="G216" s="229"/>
      <c r="H216" s="229"/>
      <c r="I216" s="229"/>
      <c r="J216" s="229"/>
      <c r="K216" s="229"/>
      <c r="L216" s="229"/>
      <c r="M216" s="229"/>
      <c r="N216" s="229"/>
      <c r="O216" s="229"/>
      <c r="P216" s="229"/>
      <c r="Q216" s="240">
        <v>14</v>
      </c>
      <c r="R216" s="229"/>
      <c r="S216" s="234" t="s">
        <v>1748</v>
      </c>
      <c r="T216" s="229"/>
      <c r="U216" s="239">
        <f t="shared" ref="U216:U222" si="1">SUM(W216:AE216)+SUM(U278:AE278)+SUM(V340:AE340)+SUM(U402:AE402)+SUM(U464:AE464)</f>
        <v>-1200000</v>
      </c>
      <c r="V216" s="229"/>
      <c r="W216" s="661"/>
      <c r="X216" s="239"/>
      <c r="Y216" s="239"/>
      <c r="Z216" s="239"/>
      <c r="AA216" s="239"/>
      <c r="AB216" s="239"/>
      <c r="AC216" s="239"/>
      <c r="AD216" s="229"/>
      <c r="AE216" s="239">
        <f>SCH_D2.20!H38</f>
        <v>-1200000</v>
      </c>
      <c r="AF216" s="229"/>
      <c r="AG216" s="229"/>
      <c r="AH216" s="229"/>
      <c r="AI216" s="229"/>
      <c r="AJ216" s="229"/>
      <c r="AK216" s="229"/>
      <c r="AL216" s="229"/>
      <c r="AM216" s="229"/>
      <c r="AN216" s="229"/>
      <c r="AO216" s="229"/>
      <c r="AP216" s="229"/>
      <c r="AQ216" s="229"/>
      <c r="AR216" s="229"/>
      <c r="AS216" s="229"/>
      <c r="AT216" s="229"/>
      <c r="AU216" s="229"/>
    </row>
    <row r="217" spans="1:47">
      <c r="A217" s="229"/>
      <c r="B217" s="229"/>
      <c r="C217" s="229"/>
      <c r="D217" s="229"/>
      <c r="E217" s="229"/>
      <c r="F217" s="229"/>
      <c r="G217" s="229"/>
      <c r="H217" s="229"/>
      <c r="I217" s="229"/>
      <c r="J217" s="229"/>
      <c r="K217" s="229"/>
      <c r="L217" s="229"/>
      <c r="M217" s="229"/>
      <c r="N217" s="229"/>
      <c r="O217" s="229"/>
      <c r="P217" s="229"/>
      <c r="Q217" s="240">
        <v>15</v>
      </c>
      <c r="R217" s="229"/>
      <c r="S217" s="234" t="s">
        <v>1749</v>
      </c>
      <c r="T217" s="229"/>
      <c r="U217" s="239">
        <f t="shared" si="1"/>
        <v>0</v>
      </c>
      <c r="V217" s="229"/>
      <c r="W217" s="239"/>
      <c r="X217" s="239"/>
      <c r="Y217" s="239"/>
      <c r="Z217" s="239"/>
      <c r="AA217" s="239"/>
      <c r="AB217" s="239"/>
      <c r="AC217" s="239"/>
      <c r="AD217" s="229"/>
      <c r="AE217" s="239"/>
      <c r="AF217" s="229"/>
      <c r="AG217" s="229"/>
      <c r="AH217" s="229"/>
      <c r="AI217" s="229"/>
      <c r="AJ217" s="229"/>
      <c r="AK217" s="229"/>
      <c r="AL217" s="229"/>
      <c r="AM217" s="229"/>
      <c r="AN217" s="229"/>
      <c r="AO217" s="229"/>
      <c r="AP217" s="229"/>
      <c r="AQ217" s="229"/>
      <c r="AR217" s="229"/>
      <c r="AS217" s="229"/>
      <c r="AT217" s="229"/>
      <c r="AU217" s="229"/>
    </row>
    <row r="218" spans="1:47">
      <c r="A218" s="229"/>
      <c r="B218" s="229"/>
      <c r="C218" s="229"/>
      <c r="D218" s="229"/>
      <c r="E218" s="229"/>
      <c r="F218" s="229"/>
      <c r="G218" s="229"/>
      <c r="H218" s="229"/>
      <c r="I218" s="229"/>
      <c r="J218" s="229"/>
      <c r="K218" s="229"/>
      <c r="L218" s="229"/>
      <c r="M218" s="229"/>
      <c r="N218" s="229"/>
      <c r="O218" s="229"/>
      <c r="P218" s="229"/>
      <c r="Q218" s="240">
        <v>16</v>
      </c>
      <c r="R218" s="229"/>
      <c r="S218" s="234" t="s">
        <v>1750</v>
      </c>
      <c r="T218" s="229"/>
      <c r="U218" s="238">
        <f t="shared" si="1"/>
        <v>0</v>
      </c>
      <c r="V218" s="229"/>
      <c r="W218" s="238"/>
      <c r="X218" s="238"/>
      <c r="Y218" s="238"/>
      <c r="Z218" s="238"/>
      <c r="AA218" s="661"/>
      <c r="AB218" s="238"/>
      <c r="AC218" s="238"/>
      <c r="AD218" s="229"/>
      <c r="AE218" s="238"/>
      <c r="AF218" s="229"/>
      <c r="AG218" s="229"/>
      <c r="AH218" s="229"/>
      <c r="AI218" s="229"/>
      <c r="AJ218" s="229"/>
      <c r="AK218" s="229"/>
      <c r="AL218" s="229"/>
      <c r="AM218" s="229"/>
      <c r="AN218" s="229"/>
      <c r="AO218" s="229"/>
      <c r="AP218" s="229"/>
      <c r="AQ218" s="229"/>
      <c r="AR218" s="229"/>
      <c r="AS218" s="229"/>
      <c r="AT218" s="229"/>
      <c r="AU218" s="229"/>
    </row>
    <row r="219" spans="1:47">
      <c r="A219" s="229"/>
      <c r="B219" s="229"/>
      <c r="C219" s="229"/>
      <c r="D219" s="229"/>
      <c r="E219" s="229"/>
      <c r="F219" s="229"/>
      <c r="G219" s="229"/>
      <c r="H219" s="229"/>
      <c r="I219" s="229"/>
      <c r="J219" s="229"/>
      <c r="K219" s="229"/>
      <c r="L219" s="229"/>
      <c r="M219" s="229"/>
      <c r="N219" s="229"/>
      <c r="O219" s="229"/>
      <c r="P219" s="229"/>
      <c r="Q219" s="240">
        <v>17</v>
      </c>
      <c r="R219" s="229"/>
      <c r="S219" s="234" t="s">
        <v>1751</v>
      </c>
      <c r="T219" s="229"/>
      <c r="U219" s="238">
        <f ca="1">SUM(W219:AE219)+SUM(U281:AE281)+SUM(V343:AE343)+SUM(U405:AE405)+SUM(U467:AE467)</f>
        <v>2104799</v>
      </c>
      <c r="V219" s="229"/>
      <c r="W219" s="238"/>
      <c r="X219" s="238"/>
      <c r="Y219" s="238"/>
      <c r="Z219" s="238"/>
      <c r="AA219" s="238"/>
      <c r="AB219" s="238"/>
      <c r="AC219" s="238"/>
      <c r="AD219" s="229"/>
      <c r="AE219" s="238"/>
      <c r="AF219" s="229"/>
      <c r="AG219" s="229"/>
      <c r="AH219" s="229"/>
      <c r="AI219" s="229"/>
      <c r="AJ219" s="229"/>
      <c r="AK219" s="229"/>
      <c r="AL219" s="229"/>
      <c r="AM219" s="229"/>
      <c r="AN219" s="229"/>
      <c r="AO219" s="229"/>
      <c r="AP219" s="229"/>
      <c r="AQ219" s="229"/>
      <c r="AR219" s="229"/>
      <c r="AS219" s="229"/>
      <c r="AT219" s="229"/>
      <c r="AU219" s="229"/>
    </row>
    <row r="220" spans="1:47">
      <c r="A220" s="229"/>
      <c r="B220" s="229"/>
      <c r="C220" s="229"/>
      <c r="D220" s="229"/>
      <c r="E220" s="229"/>
      <c r="F220" s="229"/>
      <c r="G220" s="229"/>
      <c r="H220" s="229"/>
      <c r="I220" s="229"/>
      <c r="J220" s="229"/>
      <c r="K220" s="229"/>
      <c r="L220" s="229"/>
      <c r="M220" s="229"/>
      <c r="N220" s="229"/>
      <c r="O220" s="229"/>
      <c r="P220" s="229"/>
      <c r="Q220" s="240">
        <v>18</v>
      </c>
      <c r="R220" s="229"/>
      <c r="S220" s="234" t="s">
        <v>1752</v>
      </c>
      <c r="T220" s="229"/>
      <c r="U220" s="238">
        <f t="shared" ca="1" si="1"/>
        <v>0</v>
      </c>
      <c r="V220" s="229"/>
      <c r="W220" s="238"/>
      <c r="X220" s="238"/>
      <c r="Y220" s="238"/>
      <c r="Z220" s="238"/>
      <c r="AA220" s="238"/>
      <c r="AB220" s="238"/>
      <c r="AC220" s="238"/>
      <c r="AD220" s="229"/>
      <c r="AE220" s="238"/>
      <c r="AF220" s="229"/>
      <c r="AG220" s="229"/>
      <c r="AH220" s="229"/>
      <c r="AI220" s="229"/>
      <c r="AJ220" s="229"/>
      <c r="AK220" s="229"/>
      <c r="AL220" s="229"/>
      <c r="AM220" s="229"/>
      <c r="AN220" s="229"/>
      <c r="AO220" s="229"/>
      <c r="AP220" s="229"/>
      <c r="AQ220" s="229"/>
      <c r="AR220" s="229"/>
      <c r="AS220" s="229"/>
      <c r="AT220" s="229"/>
      <c r="AU220" s="229"/>
    </row>
    <row r="221" spans="1:47">
      <c r="A221" s="229"/>
      <c r="B221" s="229"/>
      <c r="C221" s="229"/>
      <c r="D221" s="229"/>
      <c r="E221" s="229"/>
      <c r="F221" s="229"/>
      <c r="G221" s="229"/>
      <c r="H221" s="229"/>
      <c r="I221" s="229"/>
      <c r="J221" s="229"/>
      <c r="K221" s="229"/>
      <c r="L221" s="229"/>
      <c r="M221" s="229"/>
      <c r="N221" s="229"/>
      <c r="O221" s="229"/>
      <c r="P221" s="229"/>
      <c r="Q221" s="240">
        <v>19</v>
      </c>
      <c r="R221" s="229"/>
      <c r="S221" s="234" t="s">
        <v>1753</v>
      </c>
      <c r="T221" s="229"/>
      <c r="U221" s="238">
        <f t="shared" ca="1" si="1"/>
        <v>-48911</v>
      </c>
      <c r="V221" s="229"/>
      <c r="W221" s="238"/>
      <c r="X221" s="238"/>
      <c r="Y221" s="238"/>
      <c r="Z221" s="238"/>
      <c r="AA221" s="238"/>
      <c r="AB221" s="238"/>
      <c r="AC221" s="238"/>
      <c r="AD221" s="229"/>
      <c r="AE221" s="238"/>
      <c r="AF221" s="229"/>
      <c r="AG221" s="229"/>
      <c r="AH221" s="229"/>
      <c r="AI221" s="229"/>
      <c r="AJ221" s="229"/>
      <c r="AK221" s="229"/>
      <c r="AL221" s="229"/>
      <c r="AM221" s="229"/>
      <c r="AN221" s="229"/>
      <c r="AO221" s="229"/>
      <c r="AP221" s="229"/>
      <c r="AQ221" s="229"/>
      <c r="AR221" s="229"/>
      <c r="AS221" s="229"/>
      <c r="AT221" s="229"/>
      <c r="AU221" s="229"/>
    </row>
    <row r="222" spans="1:47">
      <c r="A222" s="229"/>
      <c r="B222" s="229"/>
      <c r="C222" s="229"/>
      <c r="D222" s="229"/>
      <c r="E222" s="229"/>
      <c r="F222" s="229"/>
      <c r="G222" s="229"/>
      <c r="H222" s="229"/>
      <c r="I222" s="229"/>
      <c r="J222" s="229"/>
      <c r="K222" s="229"/>
      <c r="L222" s="229"/>
      <c r="M222" s="229"/>
      <c r="N222" s="229"/>
      <c r="O222" s="229"/>
      <c r="P222" s="229"/>
      <c r="Q222" s="240">
        <v>20</v>
      </c>
      <c r="R222" s="229"/>
      <c r="S222" s="234" t="s">
        <v>1754</v>
      </c>
      <c r="T222" s="229"/>
      <c r="U222" s="238">
        <f t="shared" ca="1" si="1"/>
        <v>-4026116</v>
      </c>
      <c r="V222" s="229"/>
      <c r="W222" s="238"/>
      <c r="X222" s="238"/>
      <c r="Y222" s="229"/>
      <c r="Z222" s="238"/>
      <c r="AA222" s="238"/>
      <c r="AB222" s="238"/>
      <c r="AC222" s="238"/>
      <c r="AD222" s="229"/>
      <c r="AE222" s="238"/>
      <c r="AF222" s="229"/>
      <c r="AG222" s="229"/>
      <c r="AH222" s="229"/>
      <c r="AI222" s="229"/>
      <c r="AJ222" s="229"/>
      <c r="AK222" s="229"/>
      <c r="AL222" s="229"/>
      <c r="AM222" s="229"/>
      <c r="AN222" s="229"/>
      <c r="AO222" s="229"/>
      <c r="AP222" s="229"/>
      <c r="AQ222" s="229"/>
      <c r="AR222" s="229"/>
      <c r="AS222" s="229"/>
      <c r="AT222" s="229"/>
      <c r="AU222" s="229"/>
    </row>
    <row r="223" spans="1:47">
      <c r="A223" s="229"/>
      <c r="B223" s="229"/>
      <c r="C223" s="229"/>
      <c r="D223" s="229"/>
      <c r="E223" s="229"/>
      <c r="F223" s="229"/>
      <c r="G223" s="229"/>
      <c r="H223" s="229"/>
      <c r="I223" s="229"/>
      <c r="J223" s="229"/>
      <c r="K223" s="229"/>
      <c r="L223" s="229"/>
      <c r="M223" s="229"/>
      <c r="N223" s="229"/>
      <c r="O223" s="229"/>
      <c r="P223" s="229"/>
      <c r="Q223" s="240">
        <v>21</v>
      </c>
      <c r="R223" s="229"/>
      <c r="S223" s="234" t="s">
        <v>1755</v>
      </c>
      <c r="T223" s="229"/>
      <c r="U223" s="238">
        <f>SUM(W223:AE223)+SUM(U285:AE285)+SUM(U347:AE347)+SUM(U409:AE409)+SUM(U471:AE471)</f>
        <v>-473706</v>
      </c>
      <c r="V223" s="229"/>
      <c r="W223" s="238"/>
      <c r="X223" s="238"/>
      <c r="Y223" s="238">
        <f>SCH_D2.17!J26</f>
        <v>176067</v>
      </c>
      <c r="Z223" s="238"/>
      <c r="AA223" s="238">
        <f>SCH_D2.18!H30</f>
        <v>-1931374</v>
      </c>
      <c r="AB223" s="238"/>
      <c r="AC223" s="238"/>
      <c r="AD223" s="229"/>
      <c r="AE223" s="238"/>
      <c r="AF223" s="229"/>
      <c r="AG223" s="229"/>
      <c r="AH223" s="229"/>
      <c r="AI223" s="229"/>
      <c r="AJ223" s="229"/>
      <c r="AK223" s="229"/>
      <c r="AL223" s="229"/>
      <c r="AM223" s="229"/>
      <c r="AN223" s="229"/>
      <c r="AO223" s="229"/>
      <c r="AP223" s="229"/>
      <c r="AQ223" s="229"/>
      <c r="AR223" s="229"/>
      <c r="AS223" s="229"/>
      <c r="AT223" s="229"/>
      <c r="AU223" s="229"/>
    </row>
    <row r="224" spans="1:47">
      <c r="A224" s="229"/>
      <c r="B224" s="229"/>
      <c r="C224" s="229"/>
      <c r="D224" s="229"/>
      <c r="E224" s="229"/>
      <c r="F224" s="229"/>
      <c r="G224" s="229"/>
      <c r="H224" s="229"/>
      <c r="I224" s="229"/>
      <c r="J224" s="229"/>
      <c r="K224" s="229"/>
      <c r="L224" s="229"/>
      <c r="M224" s="229"/>
      <c r="N224" s="229"/>
      <c r="O224" s="229"/>
      <c r="P224" s="229"/>
      <c r="Q224" s="240">
        <v>22</v>
      </c>
      <c r="R224" s="229"/>
      <c r="S224" s="234" t="s">
        <v>1756</v>
      </c>
      <c r="T224" s="229"/>
      <c r="U224" s="2140">
        <f ca="1">U214+SUM(U216:U223)</f>
        <v>-30100832</v>
      </c>
      <c r="V224" s="229"/>
      <c r="W224" s="2140">
        <f>W214+SUM(W216:W223)</f>
        <v>2161285</v>
      </c>
      <c r="X224" s="238"/>
      <c r="Y224" s="2140">
        <f>Y214+SUM(Y216:Y223)</f>
        <v>176067</v>
      </c>
      <c r="Z224" s="238"/>
      <c r="AA224" s="2140">
        <f>AA214+SUM(AA216:AA223)</f>
        <v>-3731410</v>
      </c>
      <c r="AB224" s="238"/>
      <c r="AC224" s="2140">
        <f>AC214+SUM(AC216:AC223)</f>
        <v>0</v>
      </c>
      <c r="AD224" s="229"/>
      <c r="AE224" s="2140">
        <f>AE214+SUM(AE216:AE223)</f>
        <v>-17320437</v>
      </c>
      <c r="AF224" s="229"/>
      <c r="AG224" s="229"/>
      <c r="AH224" s="229"/>
      <c r="AI224" s="229"/>
      <c r="AJ224" s="229"/>
      <c r="AK224" s="229"/>
      <c r="AL224" s="229"/>
      <c r="AM224" s="229"/>
      <c r="AN224" s="229"/>
      <c r="AO224" s="229"/>
      <c r="AP224" s="229"/>
      <c r="AQ224" s="229"/>
      <c r="AR224" s="229"/>
      <c r="AS224" s="229"/>
      <c r="AT224" s="229"/>
      <c r="AU224" s="229"/>
    </row>
    <row r="225" spans="1:47">
      <c r="A225" s="229"/>
      <c r="B225" s="229"/>
      <c r="C225" s="229"/>
      <c r="D225" s="229"/>
      <c r="E225" s="229"/>
      <c r="F225" s="229"/>
      <c r="G225" s="229"/>
      <c r="H225" s="229"/>
      <c r="I225" s="229"/>
      <c r="J225" s="229"/>
      <c r="K225" s="229"/>
      <c r="L225" s="229"/>
      <c r="M225" s="229"/>
      <c r="N225" s="229"/>
      <c r="O225" s="229"/>
      <c r="P225" s="229"/>
      <c r="Q225" s="240">
        <v>23</v>
      </c>
      <c r="R225" s="229"/>
      <c r="S225" s="229"/>
      <c r="T225" s="229"/>
      <c r="U225" s="239"/>
      <c r="V225" s="229"/>
      <c r="W225" s="239"/>
      <c r="X225" s="239"/>
      <c r="Y225" s="239"/>
      <c r="Z225" s="239"/>
      <c r="AA225" s="239"/>
      <c r="AB225" s="239"/>
      <c r="AC225" s="239"/>
      <c r="AD225" s="229"/>
      <c r="AE225" s="239"/>
      <c r="AF225" s="229"/>
      <c r="AG225" s="229"/>
      <c r="AH225" s="229"/>
      <c r="AI225" s="229"/>
      <c r="AJ225" s="229"/>
      <c r="AK225" s="229"/>
      <c r="AL225" s="229"/>
      <c r="AM225" s="229"/>
      <c r="AN225" s="229"/>
      <c r="AO225" s="229"/>
      <c r="AP225" s="229"/>
      <c r="AQ225" s="229"/>
      <c r="AR225" s="229"/>
      <c r="AS225" s="229"/>
      <c r="AT225" s="229"/>
      <c r="AU225" s="229"/>
    </row>
    <row r="226" spans="1:47">
      <c r="A226" s="229"/>
      <c r="B226" s="229"/>
      <c r="C226" s="229"/>
      <c r="D226" s="229"/>
      <c r="E226" s="229"/>
      <c r="F226" s="229"/>
      <c r="G226" s="229"/>
      <c r="H226" s="229"/>
      <c r="I226" s="229"/>
      <c r="J226" s="229"/>
      <c r="K226" s="229"/>
      <c r="L226" s="229"/>
      <c r="M226" s="229"/>
      <c r="N226" s="229"/>
      <c r="O226" s="229"/>
      <c r="P226" s="229"/>
      <c r="Q226" s="240">
        <v>24</v>
      </c>
      <c r="R226" s="229"/>
      <c r="S226" s="234" t="s">
        <v>1757</v>
      </c>
      <c r="T226" s="229"/>
      <c r="U226" s="1506">
        <f>SUM(W226:AE226)+SUM(U288:AE288)+SUM(V350:AE350)+SUM(U412:AE412)+SUM(U474:AE474)</f>
        <v>14462486</v>
      </c>
      <c r="V226" s="229"/>
      <c r="W226" s="1506">
        <v>0</v>
      </c>
      <c r="X226" s="238"/>
      <c r="Y226" s="1506">
        <v>0</v>
      </c>
      <c r="Z226" s="238"/>
      <c r="AA226" s="1506">
        <f>SCH_D2.18!H41</f>
        <v>1665492</v>
      </c>
      <c r="AB226" s="238"/>
      <c r="AC226" s="1506">
        <v>0</v>
      </c>
      <c r="AD226" s="229"/>
      <c r="AE226" s="1506">
        <v>0</v>
      </c>
      <c r="AF226" s="229"/>
      <c r="AG226" s="229"/>
      <c r="AH226" s="229"/>
      <c r="AI226" s="229"/>
      <c r="AJ226" s="229"/>
      <c r="AK226" s="229"/>
      <c r="AL226" s="229"/>
      <c r="AM226" s="229"/>
      <c r="AN226" s="229"/>
      <c r="AO226" s="229"/>
      <c r="AP226" s="229"/>
      <c r="AQ226" s="229"/>
      <c r="AR226" s="229"/>
      <c r="AS226" s="229"/>
      <c r="AT226" s="229"/>
      <c r="AU226" s="229"/>
    </row>
    <row r="227" spans="1:47">
      <c r="A227" s="229"/>
      <c r="B227" s="229"/>
      <c r="C227" s="229"/>
      <c r="D227" s="229"/>
      <c r="E227" s="229"/>
      <c r="F227" s="229"/>
      <c r="G227" s="229"/>
      <c r="H227" s="229"/>
      <c r="I227" s="229"/>
      <c r="J227" s="229"/>
      <c r="K227" s="229"/>
      <c r="L227" s="229"/>
      <c r="M227" s="229"/>
      <c r="N227" s="229"/>
      <c r="O227" s="229"/>
      <c r="P227" s="229"/>
      <c r="Q227" s="240">
        <v>25</v>
      </c>
      <c r="R227" s="229"/>
      <c r="S227" s="229"/>
      <c r="T227" s="229"/>
      <c r="U227" s="239"/>
      <c r="V227" s="229"/>
      <c r="W227" s="239"/>
      <c r="X227" s="239"/>
      <c r="Y227" s="239"/>
      <c r="Z227" s="239"/>
      <c r="AA227" s="239"/>
      <c r="AB227" s="239"/>
      <c r="AC227" s="239"/>
      <c r="AD227" s="229"/>
      <c r="AE227" s="239"/>
      <c r="AF227" s="229"/>
      <c r="AG227" s="229"/>
      <c r="AH227" s="229"/>
      <c r="AI227" s="229"/>
      <c r="AJ227" s="229"/>
      <c r="AK227" s="229"/>
      <c r="AL227" s="229"/>
      <c r="AM227" s="229"/>
      <c r="AN227" s="229"/>
      <c r="AO227" s="229"/>
      <c r="AP227" s="229"/>
      <c r="AQ227" s="229"/>
      <c r="AR227" s="229"/>
      <c r="AS227" s="229"/>
      <c r="AT227" s="229"/>
      <c r="AU227" s="229"/>
    </row>
    <row r="228" spans="1:47">
      <c r="A228" s="229"/>
      <c r="B228" s="229"/>
      <c r="C228" s="229"/>
      <c r="D228" s="229"/>
      <c r="E228" s="229"/>
      <c r="F228" s="229"/>
      <c r="G228" s="229"/>
      <c r="H228" s="229"/>
      <c r="I228" s="229"/>
      <c r="J228" s="229"/>
      <c r="K228" s="229"/>
      <c r="L228" s="229"/>
      <c r="M228" s="229"/>
      <c r="N228" s="229"/>
      <c r="O228" s="229"/>
      <c r="P228" s="229"/>
      <c r="Q228" s="240">
        <v>26</v>
      </c>
      <c r="R228" s="229"/>
      <c r="S228" s="234" t="s">
        <v>1758</v>
      </c>
      <c r="T228" s="229"/>
      <c r="U228" s="229"/>
      <c r="V228" s="229"/>
      <c r="W228" s="229"/>
      <c r="X228" s="229"/>
      <c r="Y228" s="229"/>
      <c r="Z228" s="229"/>
      <c r="AA228" s="229"/>
      <c r="AB228" s="229"/>
      <c r="AC228" s="229"/>
      <c r="AD228" s="229"/>
      <c r="AE228" s="229"/>
      <c r="AF228" s="229"/>
      <c r="AG228" s="229"/>
      <c r="AH228" s="229"/>
      <c r="AI228" s="229"/>
      <c r="AJ228" s="229"/>
      <c r="AK228" s="229"/>
      <c r="AL228" s="229"/>
      <c r="AM228" s="229"/>
      <c r="AN228" s="229"/>
      <c r="AO228" s="229"/>
      <c r="AP228" s="229"/>
      <c r="AQ228" s="229"/>
      <c r="AR228" s="229"/>
      <c r="AS228" s="229"/>
      <c r="AT228" s="229"/>
      <c r="AU228" s="229"/>
    </row>
    <row r="229" spans="1:47">
      <c r="A229" s="229"/>
      <c r="B229" s="229"/>
      <c r="C229" s="229"/>
      <c r="D229" s="229"/>
      <c r="E229" s="229"/>
      <c r="F229" s="229"/>
      <c r="G229" s="229"/>
      <c r="H229" s="229"/>
      <c r="I229" s="229"/>
      <c r="J229" s="229"/>
      <c r="K229" s="229"/>
      <c r="L229" s="229"/>
      <c r="M229" s="229"/>
      <c r="N229" s="229"/>
      <c r="O229" s="229"/>
      <c r="P229" s="229"/>
      <c r="Q229" s="240">
        <v>27</v>
      </c>
      <c r="R229" s="229"/>
      <c r="S229" s="234" t="s">
        <v>1759</v>
      </c>
      <c r="T229" s="229"/>
      <c r="U229" s="238">
        <f>SUM(W229:AE229)+SUM(U291:AE291)+SUM(V353:AE353)+SUM(U415:AE415)+SUM(U477:AE477)</f>
        <v>-100722</v>
      </c>
      <c r="V229" s="229"/>
      <c r="W229" s="238"/>
      <c r="X229" s="238"/>
      <c r="Y229" s="238"/>
      <c r="Z229" s="238"/>
      <c r="AA229" s="238"/>
      <c r="AB229" s="238"/>
      <c r="AC229" s="238"/>
      <c r="AD229" s="229"/>
      <c r="AE229" s="238"/>
      <c r="AF229" s="229"/>
      <c r="AG229" s="229"/>
      <c r="AH229" s="229"/>
      <c r="AI229" s="229"/>
      <c r="AJ229" s="229"/>
      <c r="AK229" s="229"/>
      <c r="AL229" s="229"/>
      <c r="AM229" s="229"/>
      <c r="AN229" s="229"/>
      <c r="AO229" s="229"/>
      <c r="AP229" s="229"/>
      <c r="AQ229" s="229"/>
      <c r="AR229" s="229"/>
      <c r="AS229" s="229"/>
      <c r="AT229" s="229"/>
      <c r="AU229" s="229"/>
    </row>
    <row r="230" spans="1:47">
      <c r="A230" s="229"/>
      <c r="B230" s="229"/>
      <c r="C230" s="229"/>
      <c r="D230" s="229"/>
      <c r="E230" s="229"/>
      <c r="F230" s="229"/>
      <c r="G230" s="229"/>
      <c r="H230" s="229"/>
      <c r="I230" s="229"/>
      <c r="J230" s="229"/>
      <c r="K230" s="229"/>
      <c r="L230" s="229"/>
      <c r="M230" s="229"/>
      <c r="N230" s="229"/>
      <c r="O230" s="229"/>
      <c r="P230" s="229"/>
      <c r="Q230" s="240">
        <v>28</v>
      </c>
      <c r="R230" s="229"/>
      <c r="S230" s="234" t="s">
        <v>1760</v>
      </c>
      <c r="T230" s="229"/>
      <c r="U230" s="238">
        <f ca="1">SUM(W230:AE230)+SUM(U292:AE292)+SUM(V354:AE354)+SUM(U416:AE416)+SUM(U478:AE478)</f>
        <v>89002</v>
      </c>
      <c r="V230" s="229"/>
      <c r="W230" s="238"/>
      <c r="X230" s="238"/>
      <c r="Y230" s="238"/>
      <c r="Z230" s="238"/>
      <c r="AA230" s="238">
        <f>SCH_D2.18!H47</f>
        <v>163314</v>
      </c>
      <c r="AB230" s="238"/>
      <c r="AC230" s="238"/>
      <c r="AD230" s="229"/>
      <c r="AE230" s="238"/>
      <c r="AF230" s="229"/>
      <c r="AG230" s="229"/>
      <c r="AH230" s="229"/>
      <c r="AI230" s="229"/>
      <c r="AJ230" s="229"/>
      <c r="AK230" s="229"/>
      <c r="AL230" s="229"/>
      <c r="AM230" s="229"/>
      <c r="AN230" s="229"/>
      <c r="AO230" s="229"/>
      <c r="AP230" s="229"/>
      <c r="AQ230" s="229"/>
      <c r="AR230" s="229"/>
      <c r="AS230" s="229"/>
      <c r="AT230" s="229"/>
      <c r="AU230" s="229"/>
    </row>
    <row r="231" spans="1:47">
      <c r="A231" s="229"/>
      <c r="B231" s="229"/>
      <c r="C231" s="229"/>
      <c r="D231" s="229"/>
      <c r="E231" s="229"/>
      <c r="F231" s="229"/>
      <c r="G231" s="229"/>
      <c r="H231" s="229"/>
      <c r="I231" s="229"/>
      <c r="J231" s="229"/>
      <c r="K231" s="229"/>
      <c r="L231" s="229"/>
      <c r="M231" s="229"/>
      <c r="N231" s="229"/>
      <c r="O231" s="238"/>
      <c r="P231" s="229"/>
      <c r="Q231" s="240">
        <v>29</v>
      </c>
      <c r="R231" s="229"/>
      <c r="S231" s="234" t="s">
        <v>1761</v>
      </c>
      <c r="T231" s="229"/>
      <c r="U231" s="2140">
        <f ca="1">SUM(U229:U230)</f>
        <v>-11720</v>
      </c>
      <c r="V231" s="229"/>
      <c r="W231" s="2140">
        <f>SUM(W229:W230)</f>
        <v>0</v>
      </c>
      <c r="X231" s="238"/>
      <c r="Y231" s="2140">
        <f>SUM(Y229:Y230)</f>
        <v>0</v>
      </c>
      <c r="Z231" s="238"/>
      <c r="AA231" s="2140">
        <f>SUM(AA229:AA230)</f>
        <v>163314</v>
      </c>
      <c r="AB231" s="238"/>
      <c r="AC231" s="2140">
        <f>SUM(AC229:AC230)</f>
        <v>0</v>
      </c>
      <c r="AD231" s="229"/>
      <c r="AE231" s="2140">
        <f>SUM(AE229:AE230)</f>
        <v>0</v>
      </c>
      <c r="AF231" s="229"/>
      <c r="AG231" s="229"/>
      <c r="AH231" s="229"/>
      <c r="AI231" s="229"/>
      <c r="AJ231" s="229"/>
      <c r="AK231" s="229"/>
      <c r="AL231" s="229"/>
      <c r="AM231" s="229"/>
      <c r="AN231" s="229"/>
      <c r="AO231" s="229"/>
      <c r="AP231" s="229"/>
      <c r="AQ231" s="229"/>
      <c r="AR231" s="229"/>
      <c r="AS231" s="229"/>
      <c r="AT231" s="229"/>
      <c r="AU231" s="229"/>
    </row>
    <row r="232" spans="1:47">
      <c r="A232" s="229"/>
      <c r="B232" s="229"/>
      <c r="C232" s="229"/>
      <c r="D232" s="229"/>
      <c r="E232" s="229"/>
      <c r="F232" s="229"/>
      <c r="G232" s="229"/>
      <c r="H232" s="229"/>
      <c r="I232" s="229"/>
      <c r="J232" s="229"/>
      <c r="K232" s="229"/>
      <c r="L232" s="229"/>
      <c r="M232" s="229"/>
      <c r="N232" s="229"/>
      <c r="O232" s="238"/>
      <c r="P232" s="229"/>
      <c r="Q232" s="240">
        <v>30</v>
      </c>
      <c r="R232" s="229"/>
      <c r="S232" s="234"/>
      <c r="T232" s="229"/>
      <c r="U232" s="238"/>
      <c r="V232" s="229"/>
      <c r="W232" s="238"/>
      <c r="X232" s="238"/>
      <c r="Y232" s="238"/>
      <c r="Z232" s="238"/>
      <c r="AA232" s="238"/>
      <c r="AB232" s="238"/>
      <c r="AC232" s="238"/>
      <c r="AD232" s="229"/>
      <c r="AE232" s="239"/>
      <c r="AF232" s="229"/>
      <c r="AG232" s="229"/>
      <c r="AH232" s="229"/>
      <c r="AI232" s="229"/>
      <c r="AJ232" s="229"/>
      <c r="AK232" s="229"/>
      <c r="AL232" s="229"/>
      <c r="AM232" s="229"/>
      <c r="AN232" s="229"/>
      <c r="AO232" s="229"/>
      <c r="AP232" s="229"/>
      <c r="AQ232" s="229"/>
      <c r="AR232" s="229"/>
      <c r="AS232" s="229"/>
      <c r="AT232" s="229"/>
      <c r="AU232" s="229"/>
    </row>
    <row r="233" spans="1:47">
      <c r="A233" s="229"/>
      <c r="B233" s="229"/>
      <c r="C233" s="229"/>
      <c r="D233" s="229"/>
      <c r="E233" s="229"/>
      <c r="F233" s="229"/>
      <c r="G233" s="229"/>
      <c r="H233" s="229"/>
      <c r="I233" s="229"/>
      <c r="J233" s="229"/>
      <c r="K233" s="229"/>
      <c r="L233" s="229"/>
      <c r="M233" s="229"/>
      <c r="N233" s="229"/>
      <c r="O233" s="238"/>
      <c r="P233" s="229"/>
      <c r="Q233" s="240">
        <v>31</v>
      </c>
      <c r="R233" s="229"/>
      <c r="S233" s="234" t="s">
        <v>1762</v>
      </c>
      <c r="T233" s="229"/>
      <c r="U233" s="229"/>
      <c r="V233" s="229"/>
      <c r="W233" s="229"/>
      <c r="X233" s="229"/>
      <c r="Y233" s="229"/>
      <c r="Z233" s="229"/>
      <c r="AA233" s="229"/>
      <c r="AB233" s="229"/>
      <c r="AC233" s="229"/>
      <c r="AD233" s="229"/>
      <c r="AE233" s="229"/>
      <c r="AF233" s="229"/>
      <c r="AG233" s="229"/>
      <c r="AH233" s="229"/>
      <c r="AI233" s="229"/>
      <c r="AJ233" s="229"/>
      <c r="AK233" s="229"/>
      <c r="AL233" s="229"/>
      <c r="AM233" s="229"/>
      <c r="AN233" s="229"/>
      <c r="AO233" s="229"/>
      <c r="AP233" s="229"/>
      <c r="AQ233" s="229"/>
      <c r="AR233" s="229"/>
      <c r="AS233" s="229"/>
      <c r="AT233" s="229"/>
      <c r="AU233" s="229"/>
    </row>
    <row r="234" spans="1:47">
      <c r="A234" s="229"/>
      <c r="B234" s="229"/>
      <c r="C234" s="229"/>
      <c r="D234" s="229"/>
      <c r="E234" s="229"/>
      <c r="F234" s="229"/>
      <c r="G234" s="229"/>
      <c r="H234" s="229"/>
      <c r="I234" s="229"/>
      <c r="J234" s="229"/>
      <c r="K234" s="229"/>
      <c r="L234" s="229"/>
      <c r="M234" s="229"/>
      <c r="N234" s="229"/>
      <c r="O234" s="238"/>
      <c r="P234" s="229"/>
      <c r="Q234" s="240">
        <v>32</v>
      </c>
      <c r="R234" s="229"/>
      <c r="S234" s="234" t="s">
        <v>1654</v>
      </c>
      <c r="T234" s="229"/>
      <c r="U234" s="238">
        <f ca="1">SUM(W234:AE234)+SUM(U296:AE296)+SUM(U358:AE358)+SUM(U420:AE420)+SUM(U482:AE482)</f>
        <v>477485</v>
      </c>
      <c r="V234" s="229"/>
      <c r="W234" s="238">
        <f>ROUND((W207-W224-W226-W231)*SIT*APPORT,0)</f>
        <v>-22209</v>
      </c>
      <c r="X234" s="238"/>
      <c r="Y234" s="238">
        <f>ROUND((Y207-Y224-Y226-Y231)*SIT*APPORT,0)</f>
        <v>-8748</v>
      </c>
      <c r="Z234" s="238"/>
      <c r="AA234" s="238">
        <f>ROUND((AA207-AA224-AA226-AA231)*SIT*APPORT,0)</f>
        <v>-4835</v>
      </c>
      <c r="AB234" s="238"/>
      <c r="AC234" s="238">
        <f>SCH_D2.19!R61</f>
        <v>461747</v>
      </c>
      <c r="AD234" s="229"/>
      <c r="AE234" s="238">
        <f>ROUND((AE207-AE224-AE226-AE231)*SIT*APPORT,0)</f>
        <v>-110632</v>
      </c>
      <c r="AF234" s="229"/>
      <c r="AG234" s="229"/>
      <c r="AH234" s="229"/>
      <c r="AI234" s="229"/>
      <c r="AJ234" s="229"/>
      <c r="AK234" s="229"/>
      <c r="AL234" s="229"/>
      <c r="AM234" s="229"/>
      <c r="AN234" s="229"/>
      <c r="AO234" s="229"/>
      <c r="AP234" s="229"/>
      <c r="AQ234" s="229"/>
      <c r="AR234" s="229"/>
      <c r="AS234" s="229"/>
      <c r="AT234" s="229"/>
      <c r="AU234" s="229"/>
    </row>
    <row r="235" spans="1:47">
      <c r="A235" s="229"/>
      <c r="B235" s="229"/>
      <c r="C235" s="229"/>
      <c r="D235" s="229"/>
      <c r="E235" s="229"/>
      <c r="F235" s="229"/>
      <c r="G235" s="229"/>
      <c r="H235" s="229"/>
      <c r="I235" s="229"/>
      <c r="J235" s="229"/>
      <c r="K235" s="229"/>
      <c r="L235" s="229"/>
      <c r="M235" s="229"/>
      <c r="N235" s="229"/>
      <c r="O235" s="238"/>
      <c r="P235" s="229"/>
      <c r="Q235" s="240">
        <v>33</v>
      </c>
      <c r="R235" s="229"/>
      <c r="S235" s="234" t="s">
        <v>1763</v>
      </c>
      <c r="T235" s="229"/>
      <c r="U235" s="238">
        <f>SUM(W235:AE235)+SUM(U297:AE297)+SUM(U359:AE359)+SUM(U421:AE421)+SUM(U483:AE483)</f>
        <v>-635819</v>
      </c>
      <c r="V235" s="229"/>
      <c r="W235" s="238"/>
      <c r="X235" s="238"/>
      <c r="Y235" s="238"/>
      <c r="Z235" s="238"/>
      <c r="AA235" s="238"/>
      <c r="AB235" s="238"/>
      <c r="AC235" s="238"/>
      <c r="AD235" s="229"/>
      <c r="AE235" s="238"/>
      <c r="AF235" s="229"/>
      <c r="AG235" s="229"/>
      <c r="AH235" s="229"/>
      <c r="AI235" s="229"/>
      <c r="AJ235" s="229"/>
      <c r="AK235" s="229"/>
      <c r="AL235" s="229"/>
      <c r="AM235" s="229"/>
      <c r="AN235" s="229"/>
      <c r="AO235" s="229"/>
      <c r="AP235" s="229"/>
      <c r="AQ235" s="229"/>
      <c r="AR235" s="229"/>
      <c r="AS235" s="229"/>
      <c r="AT235" s="229"/>
      <c r="AU235" s="229"/>
    </row>
    <row r="236" spans="1:47">
      <c r="A236" s="229"/>
      <c r="B236" s="229"/>
      <c r="C236" s="229"/>
      <c r="D236" s="229"/>
      <c r="E236" s="229"/>
      <c r="F236" s="229"/>
      <c r="G236" s="229"/>
      <c r="H236" s="229"/>
      <c r="I236" s="229"/>
      <c r="J236" s="229"/>
      <c r="K236" s="229"/>
      <c r="L236" s="229"/>
      <c r="M236" s="229"/>
      <c r="N236" s="229"/>
      <c r="O236" s="229"/>
      <c r="P236" s="229"/>
      <c r="Q236" s="240">
        <v>34</v>
      </c>
      <c r="R236" s="229"/>
      <c r="S236" s="234" t="s">
        <v>1764</v>
      </c>
      <c r="T236" s="229"/>
      <c r="U236" s="2140">
        <f ca="1">SUM(U234:U235)</f>
        <v>-158334</v>
      </c>
      <c r="V236" s="229"/>
      <c r="W236" s="2140">
        <f>SUM(W234:W235)</f>
        <v>-22209</v>
      </c>
      <c r="X236" s="238"/>
      <c r="Y236" s="2140">
        <f>SUM(Y234:Y235)</f>
        <v>-8748</v>
      </c>
      <c r="Z236" s="238"/>
      <c r="AA236" s="2140">
        <f>SUM(AA234:AA235)</f>
        <v>-4835</v>
      </c>
      <c r="AB236" s="238"/>
      <c r="AC236" s="2140">
        <f>SUM(AC234:AC235)</f>
        <v>461747</v>
      </c>
      <c r="AD236" s="229"/>
      <c r="AE236" s="2140">
        <f>SUM(AE234:AE235)</f>
        <v>-110632</v>
      </c>
      <c r="AF236" s="229"/>
      <c r="AG236" s="229"/>
      <c r="AH236" s="229"/>
      <c r="AI236" s="229"/>
      <c r="AJ236" s="229"/>
      <c r="AK236" s="229"/>
      <c r="AL236" s="229"/>
      <c r="AM236" s="229"/>
      <c r="AN236" s="229"/>
      <c r="AO236" s="229"/>
      <c r="AP236" s="229"/>
      <c r="AQ236" s="229"/>
      <c r="AR236" s="229"/>
      <c r="AS236" s="229"/>
      <c r="AT236" s="229"/>
      <c r="AU236" s="229"/>
    </row>
    <row r="237" spans="1:47">
      <c r="A237" s="229"/>
      <c r="B237" s="229"/>
      <c r="C237" s="229"/>
      <c r="D237" s="229"/>
      <c r="E237" s="229"/>
      <c r="F237" s="229"/>
      <c r="G237" s="229"/>
      <c r="H237" s="229"/>
      <c r="I237" s="229"/>
      <c r="J237" s="229"/>
      <c r="K237" s="229"/>
      <c r="L237" s="229"/>
      <c r="M237" s="229"/>
      <c r="N237" s="229"/>
      <c r="O237" s="28"/>
      <c r="P237" s="229"/>
      <c r="Q237" s="240">
        <v>35</v>
      </c>
      <c r="R237" s="229"/>
      <c r="S237" s="229"/>
      <c r="T237" s="229"/>
      <c r="U237" s="239"/>
      <c r="V237" s="229"/>
      <c r="W237" s="239"/>
      <c r="X237" s="239"/>
      <c r="Y237" s="239"/>
      <c r="Z237" s="239"/>
      <c r="AA237" s="239"/>
      <c r="AB237" s="239"/>
      <c r="AC237" s="239"/>
      <c r="AD237" s="229"/>
      <c r="AE237" s="239"/>
      <c r="AF237" s="229"/>
      <c r="AG237" s="229"/>
      <c r="AH237" s="229"/>
      <c r="AI237" s="229"/>
      <c r="AJ237" s="229"/>
      <c r="AK237" s="229"/>
      <c r="AL237" s="229"/>
      <c r="AM237" s="229"/>
      <c r="AN237" s="229"/>
      <c r="AO237" s="229"/>
      <c r="AP237" s="229"/>
      <c r="AQ237" s="229"/>
      <c r="AR237" s="229"/>
      <c r="AS237" s="229"/>
      <c r="AT237" s="229"/>
      <c r="AU237" s="229"/>
    </row>
    <row r="238" spans="1:47">
      <c r="A238" s="229"/>
      <c r="B238" s="229"/>
      <c r="C238" s="229"/>
      <c r="D238" s="229"/>
      <c r="E238" s="229"/>
      <c r="F238" s="229"/>
      <c r="G238" s="229"/>
      <c r="H238" s="229"/>
      <c r="I238" s="229"/>
      <c r="J238" s="229"/>
      <c r="K238" s="229"/>
      <c r="L238" s="229"/>
      <c r="M238" s="229"/>
      <c r="N238" s="229"/>
      <c r="O238" s="28"/>
      <c r="P238" s="229"/>
      <c r="Q238" s="240">
        <v>36</v>
      </c>
      <c r="R238" s="229"/>
      <c r="S238" s="234" t="s">
        <v>1765</v>
      </c>
      <c r="T238" s="229"/>
      <c r="U238" s="229"/>
      <c r="V238" s="229"/>
      <c r="W238" s="229"/>
      <c r="X238" s="229"/>
      <c r="Y238" s="229"/>
      <c r="Z238" s="229"/>
      <c r="AA238" s="229"/>
      <c r="AB238" s="229"/>
      <c r="AC238" s="229"/>
      <c r="AD238" s="229"/>
      <c r="AE238" s="229"/>
      <c r="AF238" s="229"/>
      <c r="AG238" s="229"/>
      <c r="AH238" s="229"/>
      <c r="AI238" s="229"/>
      <c r="AJ238" s="229"/>
      <c r="AK238" s="229"/>
      <c r="AL238" s="229"/>
      <c r="AM238" s="229"/>
      <c r="AN238" s="229"/>
      <c r="AO238" s="229"/>
      <c r="AP238" s="229"/>
      <c r="AQ238" s="229"/>
      <c r="AR238" s="229"/>
      <c r="AS238" s="229"/>
      <c r="AT238" s="229"/>
      <c r="AU238" s="229"/>
    </row>
    <row r="239" spans="1:47">
      <c r="A239" s="229"/>
      <c r="B239" s="229"/>
      <c r="C239" s="229"/>
      <c r="D239" s="229"/>
      <c r="E239" s="229"/>
      <c r="F239" s="229"/>
      <c r="G239" s="229"/>
      <c r="H239" s="229"/>
      <c r="I239" s="229"/>
      <c r="J239" s="229"/>
      <c r="K239" s="229"/>
      <c r="L239" s="229"/>
      <c r="M239" s="229"/>
      <c r="N239" s="229"/>
      <c r="P239" s="229"/>
      <c r="Q239" s="240">
        <v>37</v>
      </c>
      <c r="R239" s="229"/>
      <c r="S239" s="234" t="s">
        <v>1654</v>
      </c>
      <c r="T239" s="229"/>
      <c r="U239" s="238">
        <f ca="1">SUM(W239:AE239)+SUM(U301:AE301)+SUM(U363:AE363)+SUM(U425:AE425)+SUM(U487:AE487)</f>
        <v>1917871</v>
      </c>
      <c r="V239" s="229"/>
      <c r="W239" s="238">
        <f>ROUND((W207-W224-W226-W231-W234)*FIT,0)</f>
        <v>-89207</v>
      </c>
      <c r="X239" s="238"/>
      <c r="Y239" s="238">
        <f>ROUND((Y207-Y224-Y226-Y231-Y234)*FIT,0)</f>
        <v>-35137</v>
      </c>
      <c r="Z239" s="238"/>
      <c r="AA239" s="238">
        <f>ROUND((AA207-AA224-AA226-AA231-AA234)*FIT,0)</f>
        <v>-19422</v>
      </c>
      <c r="AB239" s="238"/>
      <c r="AC239" s="238">
        <f>SCH_D2.19!H28</f>
        <v>1854665</v>
      </c>
      <c r="AD239" s="229"/>
      <c r="AE239" s="238">
        <f>ROUND((AE207-AE224-AE226-AE231-AE234)*FIT,0)</f>
        <v>-444367</v>
      </c>
      <c r="AF239" s="229"/>
      <c r="AG239" s="229"/>
      <c r="AH239" s="229"/>
      <c r="AI239" s="229"/>
      <c r="AJ239" s="229"/>
      <c r="AK239" s="229"/>
      <c r="AL239" s="229"/>
      <c r="AM239" s="229"/>
      <c r="AN239" s="229"/>
      <c r="AO239" s="229"/>
      <c r="AP239" s="229"/>
      <c r="AQ239" s="229"/>
      <c r="AR239" s="229"/>
      <c r="AS239" s="229"/>
      <c r="AT239" s="229"/>
      <c r="AU239" s="229"/>
    </row>
    <row r="240" spans="1:47">
      <c r="A240" s="229"/>
      <c r="B240" s="229"/>
      <c r="C240" s="229"/>
      <c r="D240" s="229"/>
      <c r="E240" s="229"/>
      <c r="F240" s="229"/>
      <c r="G240" s="229"/>
      <c r="H240" s="229"/>
      <c r="I240" s="229"/>
      <c r="J240" s="229"/>
      <c r="K240" s="229"/>
      <c r="L240" s="229"/>
      <c r="M240" s="229"/>
      <c r="N240" s="229"/>
      <c r="P240" s="229"/>
      <c r="Q240" s="240">
        <v>38</v>
      </c>
      <c r="R240" s="229"/>
      <c r="S240" s="234" t="s">
        <v>1763</v>
      </c>
      <c r="T240" s="229"/>
      <c r="U240" s="238">
        <f>SUM(W240:AE240)+SUM(U302:AE302)+SUM(U364:AE364)+SUM(U426:AE426)+SUM(U488:AE488)</f>
        <v>-2553847</v>
      </c>
      <c r="V240" s="229"/>
      <c r="W240" s="238"/>
      <c r="X240" s="238"/>
      <c r="Y240" s="238"/>
      <c r="Z240" s="238"/>
      <c r="AA240" s="238"/>
      <c r="AB240" s="238"/>
      <c r="AC240" s="238"/>
      <c r="AD240" s="229"/>
      <c r="AE240" s="238"/>
      <c r="AF240" s="229"/>
      <c r="AG240" s="229"/>
      <c r="AH240" s="229"/>
      <c r="AI240" s="229"/>
      <c r="AJ240" s="229"/>
      <c r="AK240" s="229"/>
      <c r="AL240" s="229"/>
      <c r="AM240" s="229"/>
      <c r="AN240" s="229"/>
      <c r="AO240" s="229"/>
      <c r="AP240" s="229"/>
      <c r="AQ240" s="229"/>
      <c r="AR240" s="229"/>
      <c r="AS240" s="229"/>
      <c r="AT240" s="229"/>
      <c r="AU240" s="229"/>
    </row>
    <row r="241" spans="1:47">
      <c r="A241" s="229"/>
      <c r="B241" s="229"/>
      <c r="C241" s="229"/>
      <c r="D241" s="229"/>
      <c r="E241" s="229"/>
      <c r="F241" s="229"/>
      <c r="G241" s="229"/>
      <c r="H241" s="229"/>
      <c r="I241" s="229"/>
      <c r="J241" s="229"/>
      <c r="K241" s="229"/>
      <c r="L241" s="229"/>
      <c r="M241" s="229"/>
      <c r="N241" s="229"/>
      <c r="O241" s="238"/>
      <c r="P241" s="229"/>
      <c r="Q241" s="240">
        <v>39</v>
      </c>
      <c r="R241" s="229"/>
      <c r="S241" s="234" t="s">
        <v>1441</v>
      </c>
      <c r="T241" s="229"/>
      <c r="U241" s="238">
        <f>SUM(W241:AE241)+SUM(U303:AE303)+SUM(U365:AE365)+SUM(U427:AE427)+SUM(U489:AE489)</f>
        <v>0</v>
      </c>
      <c r="V241" s="229"/>
      <c r="W241" s="238"/>
      <c r="X241" s="238"/>
      <c r="Y241" s="238"/>
      <c r="Z241" s="238"/>
      <c r="AA241" s="238"/>
      <c r="AB241" s="238"/>
      <c r="AC241" s="238"/>
      <c r="AD241" s="229"/>
      <c r="AE241" s="238"/>
      <c r="AF241" s="229"/>
      <c r="AG241" s="229"/>
      <c r="AH241" s="229"/>
      <c r="AI241" s="229"/>
      <c r="AJ241" s="229"/>
      <c r="AK241" s="229"/>
      <c r="AL241" s="229"/>
      <c r="AM241" s="229"/>
      <c r="AN241" s="229"/>
      <c r="AO241" s="229"/>
      <c r="AP241" s="229"/>
      <c r="AQ241" s="229"/>
      <c r="AR241" s="229"/>
      <c r="AS241" s="229"/>
      <c r="AT241" s="229"/>
      <c r="AU241" s="229"/>
    </row>
    <row r="242" spans="1:47">
      <c r="A242" s="229"/>
      <c r="B242" s="229"/>
      <c r="C242" s="229"/>
      <c r="D242" s="229"/>
      <c r="E242" s="229"/>
      <c r="F242" s="229"/>
      <c r="G242" s="229"/>
      <c r="H242" s="229"/>
      <c r="I242" s="229"/>
      <c r="J242" s="229"/>
      <c r="K242" s="229"/>
      <c r="L242" s="229"/>
      <c r="M242" s="229"/>
      <c r="N242" s="229"/>
      <c r="O242" s="229"/>
      <c r="P242" s="229"/>
      <c r="Q242" s="240">
        <v>40</v>
      </c>
      <c r="R242" s="229"/>
      <c r="S242" s="234" t="s">
        <v>1766</v>
      </c>
      <c r="T242" s="229"/>
      <c r="U242" s="2140">
        <f ca="1">SUM(U239:U241)</f>
        <v>-635976</v>
      </c>
      <c r="V242" s="229"/>
      <c r="W242" s="2140">
        <f>SUM(W239:W241)</f>
        <v>-89207</v>
      </c>
      <c r="X242" s="238"/>
      <c r="Y242" s="2140">
        <f>SUM(Y239:Y241)</f>
        <v>-35137</v>
      </c>
      <c r="Z242" s="238"/>
      <c r="AA242" s="2140">
        <f>SUM(AA239:AA241)</f>
        <v>-19422</v>
      </c>
      <c r="AB242" s="238"/>
      <c r="AC242" s="2140">
        <f>SUM(AC239:AC241)</f>
        <v>1854665</v>
      </c>
      <c r="AD242" s="229"/>
      <c r="AE242" s="2140">
        <f>SUM(AE239:AE241)</f>
        <v>-444367</v>
      </c>
      <c r="AF242" s="229"/>
      <c r="AG242" s="229"/>
      <c r="AH242" s="229"/>
      <c r="AI242" s="229"/>
      <c r="AJ242" s="229"/>
      <c r="AK242" s="229"/>
      <c r="AL242" s="229"/>
      <c r="AM242" s="229"/>
      <c r="AN242" s="229"/>
      <c r="AO242" s="229"/>
      <c r="AP242" s="229"/>
      <c r="AQ242" s="229"/>
      <c r="AR242" s="229"/>
      <c r="AS242" s="229"/>
      <c r="AT242" s="229"/>
      <c r="AU242" s="229"/>
    </row>
    <row r="243" spans="1:47">
      <c r="A243" s="229"/>
      <c r="B243" s="229"/>
      <c r="C243" s="229"/>
      <c r="D243" s="229"/>
      <c r="E243" s="229"/>
      <c r="F243" s="229"/>
      <c r="G243" s="229"/>
      <c r="H243" s="229"/>
      <c r="I243" s="229"/>
      <c r="J243" s="229"/>
      <c r="K243" s="229"/>
      <c r="L243" s="229"/>
      <c r="M243" s="229"/>
      <c r="N243" s="229"/>
      <c r="O243" s="238"/>
      <c r="P243" s="229"/>
      <c r="Q243" s="240">
        <v>41</v>
      </c>
      <c r="R243" s="229"/>
      <c r="S243" s="229"/>
      <c r="T243" s="229"/>
      <c r="U243" s="239"/>
      <c r="V243" s="229"/>
      <c r="W243" s="239"/>
      <c r="X243" s="239"/>
      <c r="Y243" s="239"/>
      <c r="Z243" s="239"/>
      <c r="AA243" s="239"/>
      <c r="AB243" s="239"/>
      <c r="AC243" s="239"/>
      <c r="AD243" s="229"/>
      <c r="AE243" s="239"/>
      <c r="AF243" s="229"/>
      <c r="AG243" s="229"/>
      <c r="AH243" s="229"/>
      <c r="AI243" s="229"/>
      <c r="AJ243" s="229"/>
      <c r="AK243" s="229"/>
      <c r="AL243" s="229"/>
      <c r="AM243" s="229"/>
      <c r="AN243" s="229"/>
      <c r="AO243" s="229"/>
      <c r="AP243" s="229"/>
      <c r="AQ243" s="229"/>
      <c r="AR243" s="229"/>
      <c r="AS243" s="229"/>
      <c r="AT243" s="229"/>
      <c r="AU243" s="229"/>
    </row>
    <row r="244" spans="1:47">
      <c r="A244" s="229"/>
      <c r="B244" s="229"/>
      <c r="C244" s="229"/>
      <c r="D244" s="229"/>
      <c r="E244" s="229"/>
      <c r="F244" s="229"/>
      <c r="G244" s="229"/>
      <c r="H244" s="229"/>
      <c r="I244" s="229"/>
      <c r="J244" s="229"/>
      <c r="K244" s="229"/>
      <c r="L244" s="229"/>
      <c r="M244" s="229"/>
      <c r="N244" s="229"/>
      <c r="O244" s="238"/>
      <c r="P244" s="229"/>
      <c r="Q244" s="240">
        <v>42</v>
      </c>
      <c r="R244" s="229"/>
      <c r="S244" s="234" t="s">
        <v>1767</v>
      </c>
      <c r="T244" s="229"/>
      <c r="U244" s="1506">
        <f ca="1">U224+U226+U231+U236+U242</f>
        <v>-16444376</v>
      </c>
      <c r="V244" s="229"/>
      <c r="W244" s="1506">
        <f>W224+W226+W231+W236+W242</f>
        <v>2049869</v>
      </c>
      <c r="X244" s="238"/>
      <c r="Y244" s="1506">
        <f>Y224+Y226+Y231+Y236+Y242</f>
        <v>132182</v>
      </c>
      <c r="Z244" s="238"/>
      <c r="AA244" s="1506">
        <f>AA224+AA226+AA231+AA236+AA242</f>
        <v>-1926861</v>
      </c>
      <c r="AB244" s="238"/>
      <c r="AC244" s="1506">
        <f>AC224+AC226+AC231+AC236+AC242</f>
        <v>2316412</v>
      </c>
      <c r="AD244" s="229"/>
      <c r="AE244" s="1506">
        <f>AE224+AE226+AE231+AE236+AE242</f>
        <v>-17875436</v>
      </c>
      <c r="AF244" s="229"/>
      <c r="AG244" s="229"/>
      <c r="AH244" s="229"/>
      <c r="AI244" s="229"/>
      <c r="AJ244" s="229"/>
      <c r="AK244" s="229"/>
      <c r="AL244" s="229"/>
      <c r="AM244" s="229"/>
      <c r="AN244" s="229"/>
      <c r="AO244" s="229"/>
      <c r="AP244" s="229"/>
      <c r="AQ244" s="229"/>
      <c r="AR244" s="229"/>
      <c r="AS244" s="229"/>
      <c r="AT244" s="229"/>
      <c r="AU244" s="229"/>
    </row>
    <row r="245" spans="1:47">
      <c r="A245" s="229"/>
      <c r="B245" s="229"/>
      <c r="C245" s="229"/>
      <c r="D245" s="229"/>
      <c r="E245" s="229"/>
      <c r="F245" s="229"/>
      <c r="G245" s="229"/>
      <c r="H245" s="229"/>
      <c r="I245" s="229"/>
      <c r="J245" s="229"/>
      <c r="K245" s="229"/>
      <c r="L245" s="229"/>
      <c r="M245" s="229"/>
      <c r="N245" s="229"/>
      <c r="O245" s="229"/>
      <c r="P245" s="229"/>
      <c r="Q245" s="240">
        <v>43</v>
      </c>
      <c r="R245" s="229"/>
      <c r="S245" s="229"/>
      <c r="T245" s="229"/>
      <c r="U245" s="239"/>
      <c r="V245" s="229"/>
      <c r="W245" s="239"/>
      <c r="X245" s="239"/>
      <c r="Y245" s="239"/>
      <c r="Z245" s="239"/>
      <c r="AA245" s="239"/>
      <c r="AB245" s="239"/>
      <c r="AC245" s="239"/>
      <c r="AD245" s="229"/>
      <c r="AE245" s="239"/>
      <c r="AF245" s="229"/>
      <c r="AG245" s="229"/>
      <c r="AH245" s="229"/>
      <c r="AI245" s="229"/>
      <c r="AJ245" s="229"/>
      <c r="AK245" s="229"/>
      <c r="AL245" s="229"/>
      <c r="AM245" s="229"/>
      <c r="AN245" s="229"/>
      <c r="AO245" s="229"/>
      <c r="AP245" s="229"/>
      <c r="AQ245" s="229"/>
      <c r="AR245" s="229"/>
      <c r="AS245" s="229"/>
      <c r="AT245" s="229"/>
      <c r="AU245" s="229"/>
    </row>
    <row r="246" spans="1:47" ht="13.8" thickBot="1">
      <c r="A246" s="229"/>
      <c r="B246" s="229"/>
      <c r="C246" s="229"/>
      <c r="D246" s="229"/>
      <c r="E246" s="229"/>
      <c r="F246" s="229"/>
      <c r="G246" s="229"/>
      <c r="H246" s="229"/>
      <c r="I246" s="229"/>
      <c r="J246" s="229"/>
      <c r="K246" s="229"/>
      <c r="L246" s="229"/>
      <c r="M246" s="229"/>
      <c r="N246" s="229"/>
      <c r="O246" s="229"/>
      <c r="P246" s="229"/>
      <c r="Q246" s="240">
        <v>44</v>
      </c>
      <c r="R246" s="229"/>
      <c r="S246" s="234" t="s">
        <v>1443</v>
      </c>
      <c r="T246" s="229"/>
      <c r="U246" s="1953">
        <f ca="1">U207-U244</f>
        <v>-11685964</v>
      </c>
      <c r="V246" s="229"/>
      <c r="W246" s="1953">
        <f>W207-W244</f>
        <v>-335589</v>
      </c>
      <c r="X246" s="238"/>
      <c r="Y246" s="1953">
        <f>Y207-Y244</f>
        <v>-132182</v>
      </c>
      <c r="Z246" s="238"/>
      <c r="AA246" s="1953">
        <f>AA207-AA244</f>
        <v>-73063</v>
      </c>
      <c r="AB246" s="238"/>
      <c r="AC246" s="1953">
        <f>AC207-AC244</f>
        <v>-2316412</v>
      </c>
      <c r="AD246" s="229"/>
      <c r="AE246" s="1953">
        <f>AE207-AE244</f>
        <v>-1671665</v>
      </c>
      <c r="AF246" s="229"/>
      <c r="AG246" s="229"/>
      <c r="AH246" s="229"/>
      <c r="AI246" s="229"/>
      <c r="AJ246" s="229"/>
      <c r="AK246" s="229"/>
      <c r="AL246" s="229"/>
      <c r="AM246" s="229"/>
      <c r="AN246" s="229"/>
      <c r="AO246" s="229"/>
      <c r="AP246" s="229"/>
      <c r="AQ246" s="229"/>
      <c r="AR246" s="229"/>
      <c r="AS246" s="229"/>
      <c r="AT246" s="229"/>
      <c r="AU246" s="229"/>
    </row>
    <row r="247" spans="1:47" ht="13.8" thickTop="1">
      <c r="A247" s="229"/>
      <c r="B247" s="229"/>
      <c r="C247" s="229"/>
      <c r="D247" s="229"/>
      <c r="E247" s="229"/>
      <c r="F247" s="229"/>
      <c r="G247" s="229"/>
      <c r="H247" s="229"/>
      <c r="I247" s="229"/>
      <c r="J247" s="229"/>
      <c r="K247" s="229"/>
      <c r="L247" s="229"/>
      <c r="M247" s="229"/>
      <c r="N247" s="229"/>
      <c r="O247" s="229"/>
      <c r="P247" s="229"/>
      <c r="Q247" s="229"/>
      <c r="R247" s="229"/>
      <c r="S247" s="229"/>
      <c r="T247" s="229"/>
      <c r="U247" s="241">
        <f ca="1">IF(ISERR(ROUND((U236+U242)/(U246+U236+U242),4)=TRUE)," ",ROUND((U236+U242)/(U246+U236+U242),4))</f>
        <v>6.3600000000000004E-2</v>
      </c>
      <c r="V247" s="229"/>
      <c r="W247" s="241">
        <f>IF(ISERR(ROUND((W236+W242)/(W246+W236+W242),4)=TRUE)," ",ROUND((W236+W242)/(W246+W236+W242),4))</f>
        <v>0.24929999999999999</v>
      </c>
      <c r="X247" s="241"/>
      <c r="Y247" s="241">
        <f>IF(ISERR(ROUND((Y236+Y242)/(Y246+Y236+Y242),4)=TRUE)," ",ROUND((Y236+Y242)/(Y246+Y236+Y242),4))</f>
        <v>0.24929999999999999</v>
      </c>
      <c r="Z247" s="241"/>
      <c r="AA247" s="241">
        <f>IF(ISERR(ROUND((AA236+AA242)/(AA246+AA236+AA242),4)=TRUE)," ",ROUND((AA236+AA242)/(AA246+AA236+AA242),4))</f>
        <v>0.2492</v>
      </c>
      <c r="AB247" s="241"/>
      <c r="AC247" s="241" t="str">
        <f>IF(ISERR(ROUND((AC236+AC242)/(AC246+AC236+AC242),4)=TRUE)," ",ROUND((AC236+AC242)/(AC246+AC236+AC242),4))</f>
        <v xml:space="preserve"> </v>
      </c>
      <c r="AD247" s="241"/>
      <c r="AE247" s="241">
        <f>IF(ISERR(ROUND((AE236+AE242)/(AE246+AE236+AE242),4)=TRUE)," ",ROUND((AE236+AE242)/(AE246+AE236+AE242),4))</f>
        <v>0.24929999999999999</v>
      </c>
      <c r="AF247" s="229"/>
      <c r="AG247" s="229"/>
      <c r="AH247" s="229"/>
      <c r="AI247" s="229"/>
      <c r="AJ247" s="229"/>
      <c r="AK247" s="229"/>
      <c r="AL247" s="229"/>
      <c r="AM247" s="229"/>
      <c r="AN247" s="229"/>
      <c r="AO247" s="229"/>
      <c r="AP247" s="229"/>
      <c r="AQ247" s="229"/>
      <c r="AR247" s="229"/>
      <c r="AS247" s="229"/>
      <c r="AT247" s="229"/>
      <c r="AU247" s="229"/>
    </row>
    <row r="248" spans="1:47">
      <c r="A248" s="229"/>
      <c r="B248" s="229"/>
      <c r="C248" s="229"/>
      <c r="D248" s="229"/>
      <c r="E248" s="229"/>
      <c r="F248" s="229"/>
      <c r="G248" s="229"/>
      <c r="H248" s="229"/>
      <c r="I248" s="229"/>
      <c r="J248" s="229"/>
      <c r="K248" s="229"/>
      <c r="L248" s="229"/>
      <c r="M248" s="229"/>
      <c r="N248" s="229"/>
      <c r="O248" s="229"/>
      <c r="P248" s="229"/>
      <c r="Q248" s="234"/>
      <c r="R248" s="229"/>
      <c r="S248" s="229"/>
      <c r="T248" s="229"/>
      <c r="U248" s="238"/>
      <c r="V248" s="229"/>
      <c r="W248" s="238"/>
      <c r="X248" s="229"/>
      <c r="Y248" s="238"/>
      <c r="Z248" s="229"/>
      <c r="AA248" s="238"/>
      <c r="AB248" s="229"/>
      <c r="AC248" s="238"/>
      <c r="AD248" s="229"/>
      <c r="AE248" s="238"/>
      <c r="AF248" s="229"/>
      <c r="AG248" s="229"/>
      <c r="AH248" s="229"/>
      <c r="AI248" s="229"/>
      <c r="AJ248" s="229"/>
      <c r="AK248" s="229"/>
      <c r="AL248" s="229"/>
      <c r="AM248" s="229"/>
      <c r="AN248" s="229"/>
      <c r="AO248" s="229"/>
      <c r="AP248" s="229"/>
      <c r="AQ248" s="229"/>
      <c r="AR248" s="229"/>
      <c r="AS248" s="229"/>
      <c r="AT248" s="229"/>
      <c r="AU248" s="229"/>
    </row>
    <row r="249" spans="1:47">
      <c r="A249" s="229"/>
      <c r="B249" s="229"/>
      <c r="C249" s="229"/>
      <c r="D249" s="229"/>
      <c r="E249" s="229"/>
      <c r="F249" s="229"/>
      <c r="G249" s="229"/>
      <c r="H249" s="229"/>
      <c r="I249" s="229"/>
      <c r="J249" s="229"/>
      <c r="K249" s="229"/>
      <c r="L249" s="229"/>
      <c r="M249" s="229"/>
      <c r="N249" s="229"/>
      <c r="O249" s="229"/>
      <c r="P249" s="229"/>
      <c r="Q249" s="228" t="str">
        <f>COMPANY</f>
        <v>DUKE ENERGY KENTUCKY, INC.</v>
      </c>
      <c r="R249" s="228"/>
      <c r="S249" s="228"/>
      <c r="T249" s="228"/>
      <c r="U249" s="228"/>
      <c r="V249" s="228"/>
      <c r="W249" s="228"/>
      <c r="X249" s="228"/>
      <c r="Y249" s="228"/>
      <c r="Z249" s="228"/>
      <c r="AA249" s="228"/>
      <c r="AB249" s="228"/>
      <c r="AC249" s="228"/>
      <c r="AD249" s="228"/>
      <c r="AE249" s="228"/>
      <c r="AF249" s="229"/>
      <c r="AG249" s="229"/>
      <c r="AH249" s="229"/>
      <c r="AI249" s="229"/>
      <c r="AJ249" s="229"/>
      <c r="AK249" s="229"/>
      <c r="AL249" s="229"/>
      <c r="AM249" s="229"/>
      <c r="AN249" s="229"/>
      <c r="AO249" s="229"/>
      <c r="AP249" s="229"/>
      <c r="AQ249" s="229"/>
      <c r="AR249" s="229"/>
      <c r="AS249" s="229"/>
      <c r="AT249" s="229"/>
      <c r="AU249" s="229"/>
    </row>
    <row r="250" spans="1:47">
      <c r="A250" s="229"/>
      <c r="B250" s="229"/>
      <c r="C250" s="229"/>
      <c r="D250" s="229"/>
      <c r="E250" s="229"/>
      <c r="F250" s="229"/>
      <c r="G250" s="229"/>
      <c r="H250" s="229"/>
      <c r="I250" s="229"/>
      <c r="J250" s="229"/>
      <c r="K250" s="229"/>
      <c r="L250" s="229"/>
      <c r="M250" s="229"/>
      <c r="N250" s="229"/>
      <c r="O250" s="229"/>
      <c r="P250" s="229"/>
      <c r="Q250" s="228" t="str">
        <f>CASE</f>
        <v>CASE NO. 2024-00354</v>
      </c>
      <c r="R250" s="228"/>
      <c r="S250" s="228"/>
      <c r="T250" s="228"/>
      <c r="U250" s="230"/>
      <c r="V250" s="230"/>
      <c r="W250" s="228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229"/>
      <c r="AH250" s="229"/>
      <c r="AI250" s="229"/>
      <c r="AJ250" s="229"/>
      <c r="AK250" s="229"/>
      <c r="AL250" s="229"/>
      <c r="AM250" s="229"/>
      <c r="AN250" s="229"/>
      <c r="AO250" s="229"/>
      <c r="AP250" s="229"/>
      <c r="AQ250" s="229"/>
      <c r="AR250" s="229"/>
      <c r="AS250" s="229"/>
      <c r="AT250" s="229"/>
      <c r="AU250" s="229"/>
    </row>
    <row r="251" spans="1:47">
      <c r="A251" s="229"/>
      <c r="B251" s="229"/>
      <c r="C251" s="229"/>
      <c r="D251" s="229"/>
      <c r="E251" s="229"/>
      <c r="F251" s="229"/>
      <c r="G251" s="229"/>
      <c r="H251" s="229"/>
      <c r="I251" s="229"/>
      <c r="J251" s="229"/>
      <c r="K251" s="229"/>
      <c r="L251" s="229"/>
      <c r="M251" s="229"/>
      <c r="N251" s="229"/>
      <c r="O251" s="229"/>
      <c r="P251" s="229"/>
      <c r="Q251" s="231" t="str">
        <f>$AG$500</f>
        <v>SUMMARY OF UTILITY JURISDICTIONAL ADJUSTMENTS TO</v>
      </c>
      <c r="R251" s="228"/>
      <c r="S251" s="228"/>
      <c r="T251" s="228"/>
      <c r="U251" s="228"/>
      <c r="V251" s="228"/>
      <c r="W251" s="228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229"/>
      <c r="AH251" s="229"/>
      <c r="AI251" s="229"/>
      <c r="AJ251" s="229"/>
      <c r="AK251" s="229"/>
      <c r="AL251" s="229"/>
      <c r="AM251" s="229"/>
      <c r="AN251" s="229"/>
      <c r="AO251" s="229"/>
      <c r="AP251" s="229"/>
      <c r="AQ251" s="229"/>
      <c r="AR251" s="229"/>
      <c r="AS251" s="229"/>
      <c r="AT251" s="229"/>
      <c r="AU251" s="229"/>
    </row>
    <row r="252" spans="1:47">
      <c r="A252" s="229"/>
      <c r="B252" s="229"/>
      <c r="C252" s="229"/>
      <c r="D252" s="229"/>
      <c r="E252" s="229"/>
      <c r="F252" s="229"/>
      <c r="G252" s="229"/>
      <c r="H252" s="229"/>
      <c r="I252" s="229"/>
      <c r="J252" s="229"/>
      <c r="K252" s="229"/>
      <c r="L252" s="229"/>
      <c r="M252" s="229"/>
      <c r="N252" s="229"/>
      <c r="O252" s="229"/>
      <c r="P252" s="229"/>
      <c r="Q252" s="231" t="str">
        <f>$AG$501</f>
        <v>OPERATING INCOME BY MAJOR ACCOUNTS</v>
      </c>
      <c r="R252" s="228"/>
      <c r="S252" s="228"/>
      <c r="T252" s="228"/>
      <c r="U252" s="228"/>
      <c r="V252" s="228"/>
      <c r="W252" s="228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229"/>
      <c r="AH252" s="229"/>
      <c r="AI252" s="229"/>
      <c r="AJ252" s="229"/>
      <c r="AK252" s="229"/>
      <c r="AL252" s="229"/>
      <c r="AM252" s="229"/>
      <c r="AN252" s="229"/>
      <c r="AO252" s="229"/>
      <c r="AP252" s="229"/>
      <c r="AQ252" s="229"/>
      <c r="AR252" s="229"/>
      <c r="AS252" s="229"/>
      <c r="AT252" s="229"/>
      <c r="AU252" s="229"/>
    </row>
    <row r="253" spans="1:47">
      <c r="A253" s="229"/>
      <c r="B253" s="229"/>
      <c r="C253" s="229"/>
      <c r="D253" s="229"/>
      <c r="E253" s="229"/>
      <c r="F253" s="229"/>
      <c r="G253" s="229"/>
      <c r="H253" s="229"/>
      <c r="I253" s="229"/>
      <c r="J253" s="229"/>
      <c r="K253" s="229"/>
      <c r="L253" s="229"/>
      <c r="M253" s="229"/>
      <c r="N253" s="229"/>
      <c r="O253" s="229"/>
      <c r="P253" s="229"/>
      <c r="Q253" s="232" t="str">
        <f>Q191</f>
        <v>PRO FORMA ADJUSTMENTS TO THE FORECASTED PERIOD</v>
      </c>
      <c r="R253" s="228"/>
      <c r="S253" s="228"/>
      <c r="T253" s="228"/>
      <c r="U253" s="228"/>
      <c r="V253" s="228"/>
      <c r="W253" s="228"/>
      <c r="X253" s="228"/>
      <c r="Y253" s="228"/>
      <c r="Z253" s="228"/>
      <c r="AA253" s="228"/>
      <c r="AB253" s="228"/>
      <c r="AC253" s="228"/>
      <c r="AD253" s="228"/>
      <c r="AE253" s="228"/>
      <c r="AF253" s="229"/>
      <c r="AG253" s="229"/>
      <c r="AH253" s="229"/>
      <c r="AI253" s="229"/>
      <c r="AJ253" s="229"/>
      <c r="AK253" s="229"/>
      <c r="AL253" s="229"/>
      <c r="AM253" s="229"/>
      <c r="AN253" s="229"/>
      <c r="AO253" s="229"/>
      <c r="AP253" s="229"/>
      <c r="AQ253" s="229"/>
      <c r="AR253" s="229"/>
      <c r="AS253" s="229"/>
      <c r="AT253" s="229"/>
      <c r="AU253" s="229"/>
    </row>
    <row r="254" spans="1:47">
      <c r="A254" s="229"/>
      <c r="B254" s="229"/>
      <c r="C254" s="229"/>
      <c r="D254" s="229"/>
      <c r="E254" s="229"/>
      <c r="F254" s="229"/>
      <c r="G254" s="229"/>
      <c r="H254" s="229"/>
      <c r="I254" s="229"/>
      <c r="J254" s="229"/>
      <c r="K254" s="229"/>
      <c r="L254" s="229"/>
      <c r="M254" s="229"/>
      <c r="N254" s="229"/>
      <c r="O254" s="229"/>
      <c r="P254" s="229"/>
      <c r="Q254" s="228" t="str">
        <f>PeriodF</f>
        <v>FOR THE TWELVE MONTHS ENDED JUNE 30, 2026</v>
      </c>
      <c r="R254" s="228"/>
      <c r="S254" s="228"/>
      <c r="T254" s="228"/>
      <c r="U254" s="228"/>
      <c r="V254" s="228"/>
      <c r="W254" s="228"/>
      <c r="X254" s="228"/>
      <c r="Y254" s="228"/>
      <c r="Z254" s="228"/>
      <c r="AA254" s="228"/>
      <c r="AB254" s="228"/>
      <c r="AC254" s="228"/>
      <c r="AD254" s="228"/>
      <c r="AE254" s="228"/>
      <c r="AF254" s="229"/>
      <c r="AG254" s="229"/>
      <c r="AH254" s="229"/>
      <c r="AI254" s="229"/>
      <c r="AJ254" s="229"/>
      <c r="AK254" s="229"/>
      <c r="AL254" s="229"/>
      <c r="AM254" s="229"/>
      <c r="AN254" s="229"/>
      <c r="AO254" s="229"/>
      <c r="AP254" s="229"/>
      <c r="AQ254" s="229"/>
      <c r="AR254" s="229"/>
      <c r="AS254" s="229"/>
      <c r="AT254" s="229"/>
      <c r="AU254" s="229"/>
    </row>
    <row r="255" spans="1:47">
      <c r="A255" s="229"/>
      <c r="B255" s="229"/>
      <c r="C255" s="229"/>
      <c r="D255" s="229"/>
      <c r="E255" s="229"/>
      <c r="F255" s="229"/>
      <c r="G255" s="229"/>
      <c r="H255" s="229"/>
      <c r="I255" s="229"/>
      <c r="J255" s="229"/>
      <c r="K255" s="229"/>
      <c r="L255" s="229"/>
      <c r="M255" s="229"/>
      <c r="N255" s="229"/>
      <c r="O255" s="229"/>
      <c r="P255" s="229"/>
      <c r="Q255" s="229"/>
      <c r="R255" s="229"/>
      <c r="S255" s="229"/>
      <c r="T255" s="229"/>
      <c r="U255" s="229"/>
      <c r="V255" s="229"/>
      <c r="W255" s="229"/>
      <c r="X255" s="229"/>
      <c r="Y255" s="229"/>
      <c r="Z255" s="229"/>
      <c r="AA255" s="229"/>
      <c r="AB255" s="229"/>
      <c r="AC255" s="229"/>
      <c r="AD255" s="229"/>
      <c r="AE255" s="229"/>
      <c r="AF255" s="229"/>
      <c r="AG255" s="229"/>
      <c r="AH255" s="229"/>
      <c r="AI255" s="229"/>
      <c r="AJ255" s="229"/>
      <c r="AK255" s="229"/>
      <c r="AL255" s="229"/>
      <c r="AM255" s="229"/>
      <c r="AN255" s="229"/>
      <c r="AO255" s="229"/>
      <c r="AP255" s="229"/>
      <c r="AQ255" s="229"/>
      <c r="AR255" s="229"/>
      <c r="AS255" s="229"/>
      <c r="AT255" s="229"/>
      <c r="AU255" s="229"/>
    </row>
    <row r="256" spans="1:47">
      <c r="A256" s="229"/>
      <c r="B256" s="229"/>
      <c r="C256" s="229"/>
      <c r="D256" s="229"/>
      <c r="E256" s="229"/>
      <c r="F256" s="229"/>
      <c r="G256" s="229"/>
      <c r="H256" s="229"/>
      <c r="I256" s="229"/>
      <c r="J256" s="229"/>
      <c r="K256" s="229"/>
      <c r="L256" s="229"/>
      <c r="M256" s="229"/>
      <c r="N256" s="229"/>
      <c r="O256" s="229"/>
      <c r="P256" s="229"/>
      <c r="Q256" s="229" t="str">
        <f>DataF</f>
        <v>DATA:  BASE PERIOD  "X" FORECASTED PERIOD</v>
      </c>
      <c r="R256" s="229"/>
      <c r="S256" s="229"/>
      <c r="T256" s="229"/>
      <c r="U256" s="229"/>
      <c r="V256" s="229"/>
      <c r="W256" s="229"/>
      <c r="X256" s="229"/>
      <c r="Y256" s="229"/>
      <c r="Z256" s="229"/>
      <c r="AA256" s="229"/>
      <c r="AB256" s="229"/>
      <c r="AC256" s="233" t="s">
        <v>1725</v>
      </c>
      <c r="AD256" s="234"/>
      <c r="AE256" s="234"/>
      <c r="AF256" s="229"/>
      <c r="AG256" s="229"/>
      <c r="AH256" s="229"/>
      <c r="AI256" s="229"/>
      <c r="AJ256" s="229"/>
      <c r="AK256" s="229"/>
      <c r="AL256" s="229"/>
      <c r="AM256" s="229"/>
      <c r="AN256" s="229"/>
      <c r="AO256" s="229"/>
      <c r="AP256" s="229"/>
      <c r="AQ256" s="229"/>
      <c r="AR256" s="229"/>
      <c r="AS256" s="229"/>
      <c r="AT256" s="229"/>
      <c r="AU256" s="229"/>
    </row>
    <row r="257" spans="1:47">
      <c r="A257" s="229"/>
      <c r="B257" s="229"/>
      <c r="C257" s="229"/>
      <c r="D257" s="229"/>
      <c r="E257" s="229"/>
      <c r="F257" s="229"/>
      <c r="G257" s="229"/>
      <c r="H257" s="229"/>
      <c r="I257" s="229"/>
      <c r="J257" s="229"/>
      <c r="K257" s="229"/>
      <c r="L257" s="229"/>
      <c r="M257" s="229"/>
      <c r="N257" s="229"/>
      <c r="O257" s="229"/>
      <c r="P257" s="229"/>
      <c r="Q257" s="229" t="str">
        <f>Type</f>
        <v xml:space="preserve">TYPE OF FILING:  "X" ORIGINAL   UPDATED    REVISED  </v>
      </c>
      <c r="R257" s="229"/>
      <c r="S257" s="229"/>
      <c r="T257" s="229"/>
      <c r="U257" s="229"/>
      <c r="V257" s="229"/>
      <c r="W257" s="229"/>
      <c r="X257" s="229"/>
      <c r="Y257" s="229"/>
      <c r="Z257" s="229"/>
      <c r="AA257" s="229"/>
      <c r="AB257" s="229"/>
      <c r="AC257" s="234" t="s">
        <v>1804</v>
      </c>
      <c r="AD257" s="234"/>
      <c r="AE257" s="234"/>
      <c r="AF257" s="229"/>
      <c r="AG257" s="229"/>
      <c r="AH257" s="229"/>
      <c r="AI257" s="229"/>
      <c r="AJ257" s="229"/>
      <c r="AK257" s="229"/>
      <c r="AL257" s="229"/>
      <c r="AM257" s="229"/>
      <c r="AN257" s="229"/>
      <c r="AO257" s="229"/>
      <c r="AP257" s="229"/>
      <c r="AQ257" s="229"/>
      <c r="AR257" s="229"/>
      <c r="AS257" s="229"/>
      <c r="AT257" s="229"/>
      <c r="AU257" s="229"/>
    </row>
    <row r="258" spans="1:47">
      <c r="A258" s="229"/>
      <c r="B258" s="229"/>
      <c r="C258" s="229"/>
      <c r="D258" s="229"/>
      <c r="E258" s="229"/>
      <c r="F258" s="229"/>
      <c r="G258" s="229"/>
      <c r="H258" s="229"/>
      <c r="I258" s="229"/>
      <c r="J258" s="229"/>
      <c r="K258" s="229"/>
      <c r="L258" s="229"/>
      <c r="M258" s="229"/>
      <c r="N258" s="229"/>
      <c r="O258" s="229"/>
      <c r="P258" s="229"/>
      <c r="Q258" s="234" t="s">
        <v>467</v>
      </c>
      <c r="R258" s="229"/>
      <c r="S258" s="229"/>
      <c r="T258" s="229"/>
      <c r="U258" s="229"/>
      <c r="V258" s="229"/>
      <c r="W258" s="229"/>
      <c r="X258" s="229"/>
      <c r="Y258" s="229"/>
      <c r="Z258" s="229"/>
      <c r="AA258" s="229"/>
      <c r="AB258" s="229"/>
      <c r="AC258" s="233" t="s">
        <v>1727</v>
      </c>
      <c r="AD258" s="234"/>
      <c r="AE258" s="234"/>
      <c r="AF258" s="229"/>
      <c r="AG258" s="229"/>
      <c r="AH258" s="229"/>
      <c r="AI258" s="229"/>
      <c r="AJ258" s="229"/>
      <c r="AK258" s="229"/>
      <c r="AL258" s="229"/>
      <c r="AM258" s="229"/>
      <c r="AN258" s="229"/>
      <c r="AO258" s="229"/>
      <c r="AP258" s="229"/>
      <c r="AQ258" s="229"/>
      <c r="AR258" s="229"/>
      <c r="AS258" s="229"/>
      <c r="AT258" s="229"/>
      <c r="AU258" s="229"/>
    </row>
    <row r="259" spans="1:47">
      <c r="A259" s="229"/>
      <c r="B259" s="229"/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29"/>
      <c r="N259" s="229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  <c r="Z259" s="229"/>
      <c r="AA259" s="229"/>
      <c r="AB259" s="229"/>
      <c r="AC259" s="234" t="str">
        <f>"          "&amp;_WIT1</f>
        <v xml:space="preserve">          L. D. STEINKUHL</v>
      </c>
      <c r="AD259" s="234"/>
      <c r="AE259" s="756"/>
      <c r="AF259" s="229"/>
      <c r="AG259" s="229"/>
      <c r="AH259" s="229"/>
      <c r="AI259" s="229"/>
      <c r="AJ259" s="229"/>
      <c r="AK259" s="229"/>
      <c r="AL259" s="229"/>
      <c r="AM259" s="229"/>
      <c r="AN259" s="229"/>
      <c r="AO259" s="229"/>
      <c r="AP259" s="229"/>
      <c r="AQ259" s="229"/>
      <c r="AR259" s="229"/>
      <c r="AS259" s="229"/>
      <c r="AT259" s="229"/>
      <c r="AU259" s="229"/>
    </row>
    <row r="260" spans="1:47">
      <c r="A260" s="229"/>
      <c r="B260" s="229"/>
      <c r="C260" s="229"/>
      <c r="D260" s="229"/>
      <c r="E260" s="229"/>
      <c r="F260" s="229"/>
      <c r="G260" s="229"/>
      <c r="H260" s="229"/>
      <c r="I260" s="229"/>
      <c r="J260" s="229"/>
      <c r="K260" s="229"/>
      <c r="L260" s="229"/>
      <c r="M260" s="229"/>
      <c r="N260" s="229"/>
      <c r="O260" s="229"/>
      <c r="P260" s="229"/>
      <c r="Q260" s="1502"/>
      <c r="R260" s="1502"/>
      <c r="S260" s="1502"/>
      <c r="T260" s="1502"/>
      <c r="U260" s="1502"/>
      <c r="V260" s="1502"/>
      <c r="W260" s="1502"/>
      <c r="X260" s="1502"/>
      <c r="Y260" s="1504"/>
      <c r="Z260" s="1504"/>
      <c r="AA260" s="1504"/>
      <c r="AB260" s="1502"/>
      <c r="AC260" s="1502"/>
      <c r="AD260" s="1502"/>
      <c r="AE260" s="1507"/>
      <c r="AF260" s="229"/>
      <c r="AG260" s="229"/>
      <c r="AH260" s="229"/>
      <c r="AI260" s="229"/>
      <c r="AJ260" s="229"/>
      <c r="AK260" s="229"/>
      <c r="AL260" s="229"/>
      <c r="AM260" s="229"/>
      <c r="AN260" s="229"/>
      <c r="AO260" s="229"/>
      <c r="AP260" s="229"/>
      <c r="AQ260" s="229"/>
      <c r="AR260" s="229"/>
      <c r="AS260" s="229"/>
      <c r="AT260" s="229"/>
      <c r="AU260" s="229"/>
    </row>
    <row r="261" spans="1:47">
      <c r="A261" s="229"/>
      <c r="B261" s="229"/>
      <c r="C261" s="229"/>
      <c r="D261" s="229"/>
      <c r="E261" s="229"/>
      <c r="F261" s="229"/>
      <c r="G261" s="229"/>
      <c r="H261" s="229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40" t="s">
        <v>1728</v>
      </c>
      <c r="V261" s="2143"/>
      <c r="W261" s="2143"/>
      <c r="X261" s="235"/>
      <c r="Y261" s="2143" t="s">
        <v>1795</v>
      </c>
      <c r="Z261" s="229"/>
      <c r="AA261" s="240"/>
      <c r="AB261" s="240"/>
      <c r="AC261" s="240" t="s">
        <v>1795</v>
      </c>
      <c r="AD261" s="240"/>
      <c r="AE261" s="240" t="s">
        <v>1805</v>
      </c>
      <c r="AF261" s="756"/>
      <c r="AG261" s="229"/>
      <c r="AH261" s="229"/>
      <c r="AI261" s="229"/>
      <c r="AJ261" s="229"/>
      <c r="AK261" s="229"/>
      <c r="AL261" s="229"/>
      <c r="AM261" s="229"/>
      <c r="AN261" s="229"/>
      <c r="AO261" s="229"/>
      <c r="AP261" s="229"/>
      <c r="AQ261" s="229"/>
      <c r="AR261" s="229"/>
      <c r="AS261" s="229"/>
      <c r="AT261" s="229"/>
      <c r="AU261" s="229"/>
    </row>
    <row r="262" spans="1:47">
      <c r="A262" s="229"/>
      <c r="B262" s="229"/>
      <c r="C262" s="229"/>
      <c r="D262" s="229"/>
      <c r="E262" s="229"/>
      <c r="F262" s="229"/>
      <c r="G262" s="229"/>
      <c r="H262" s="229"/>
      <c r="I262" s="229"/>
      <c r="J262" s="229"/>
      <c r="K262" s="229"/>
      <c r="L262" s="229"/>
      <c r="M262" s="229"/>
      <c r="N262" s="229"/>
      <c r="O262" s="229"/>
      <c r="P262" s="229"/>
      <c r="Q262" s="234" t="s">
        <v>471</v>
      </c>
      <c r="R262" s="229"/>
      <c r="S262" s="229"/>
      <c r="T262" s="229"/>
      <c r="U262" s="240" t="s">
        <v>1806</v>
      </c>
      <c r="V262" s="240"/>
      <c r="W262" s="240" t="s">
        <v>1497</v>
      </c>
      <c r="X262" s="235"/>
      <c r="Y262" s="240" t="s">
        <v>1807</v>
      </c>
      <c r="Z262" s="240"/>
      <c r="AA262" s="240" t="s">
        <v>1808</v>
      </c>
      <c r="AB262" s="240"/>
      <c r="AC262" s="240" t="s">
        <v>1809</v>
      </c>
      <c r="AD262" s="240"/>
      <c r="AE262" s="240" t="s">
        <v>1810</v>
      </c>
      <c r="AF262" s="229"/>
      <c r="AG262" s="229"/>
      <c r="AH262" s="229"/>
      <c r="AI262" s="229"/>
      <c r="AJ262" s="229"/>
      <c r="AK262" s="229"/>
      <c r="AL262" s="229"/>
      <c r="AM262" s="229"/>
      <c r="AN262" s="229"/>
      <c r="AO262" s="229"/>
      <c r="AP262" s="229"/>
      <c r="AQ262" s="229"/>
      <c r="AR262" s="229"/>
      <c r="AS262" s="229"/>
      <c r="AT262" s="229"/>
      <c r="AU262" s="229"/>
    </row>
    <row r="263" spans="1:47">
      <c r="A263" s="229"/>
      <c r="B263" s="229"/>
      <c r="C263" s="229"/>
      <c r="D263" s="229"/>
      <c r="E263" s="229"/>
      <c r="F263" s="229"/>
      <c r="G263" s="229"/>
      <c r="H263" s="229"/>
      <c r="I263" s="229"/>
      <c r="J263" s="229"/>
      <c r="K263" s="229"/>
      <c r="L263" s="229"/>
      <c r="M263" s="229"/>
      <c r="N263" s="229"/>
      <c r="O263" s="229"/>
      <c r="P263" s="229"/>
      <c r="Q263" s="1503" t="s">
        <v>533</v>
      </c>
      <c r="R263" s="1504"/>
      <c r="S263" s="1503" t="s">
        <v>1733</v>
      </c>
      <c r="T263" s="1502"/>
      <c r="U263" s="1503" t="s">
        <v>1736</v>
      </c>
      <c r="V263" s="1503"/>
      <c r="W263" s="1503" t="s">
        <v>1801</v>
      </c>
      <c r="X263" s="1502"/>
      <c r="Y263" s="1503" t="s">
        <v>1811</v>
      </c>
      <c r="Z263" s="1503"/>
      <c r="AA263" s="1503" t="s">
        <v>1787</v>
      </c>
      <c r="AB263" s="1503"/>
      <c r="AC263" s="1503" t="s">
        <v>1517</v>
      </c>
      <c r="AD263" s="244"/>
      <c r="AE263" s="1503" t="s">
        <v>1812</v>
      </c>
      <c r="AF263" s="229"/>
      <c r="AG263" s="229"/>
      <c r="AH263" s="229"/>
      <c r="AI263" s="229"/>
      <c r="AJ263" s="229"/>
      <c r="AK263" s="229"/>
      <c r="AL263" s="229"/>
      <c r="AM263" s="229"/>
      <c r="AN263" s="229"/>
      <c r="AO263" s="229"/>
      <c r="AP263" s="229"/>
      <c r="AQ263" s="229"/>
      <c r="AR263" s="229"/>
      <c r="AS263" s="229"/>
      <c r="AT263" s="229"/>
      <c r="AU263" s="229"/>
    </row>
    <row r="264" spans="1:47">
      <c r="A264" s="229"/>
      <c r="B264" s="229"/>
      <c r="C264" s="229"/>
      <c r="D264" s="229"/>
      <c r="E264" s="229"/>
      <c r="F264" s="229"/>
      <c r="G264" s="229"/>
      <c r="H264" s="229"/>
      <c r="I264" s="229"/>
      <c r="J264" s="229"/>
      <c r="K264" s="229"/>
      <c r="L264" s="229"/>
      <c r="M264" s="229"/>
      <c r="N264" s="229"/>
      <c r="O264" s="229"/>
      <c r="P264" s="229"/>
      <c r="Q264" s="1504"/>
      <c r="R264" s="1504"/>
      <c r="S264" s="1505" t="s">
        <v>1737</v>
      </c>
      <c r="T264" s="1504"/>
      <c r="U264" s="1503" t="s">
        <v>1701</v>
      </c>
      <c r="V264" s="1503"/>
      <c r="W264" s="1503" t="s">
        <v>1703</v>
      </c>
      <c r="X264" s="1503"/>
      <c r="Y264" s="1503" t="s">
        <v>1705</v>
      </c>
      <c r="Z264" s="1503"/>
      <c r="AA264" s="1503" t="s">
        <v>1707</v>
      </c>
      <c r="AB264" s="2144"/>
      <c r="AC264" s="1503" t="s">
        <v>1709</v>
      </c>
      <c r="AD264" s="2144"/>
      <c r="AE264" s="1503" t="s">
        <v>1711</v>
      </c>
      <c r="AF264" s="229"/>
      <c r="AG264" s="229"/>
      <c r="AH264" s="229"/>
      <c r="AI264" s="229"/>
      <c r="AJ264" s="229"/>
      <c r="AK264" s="229"/>
      <c r="AL264" s="229"/>
      <c r="AM264" s="229"/>
      <c r="AN264" s="229"/>
      <c r="AO264" s="229"/>
      <c r="AP264" s="229"/>
      <c r="AQ264" s="229"/>
      <c r="AR264" s="229"/>
      <c r="AS264" s="229"/>
      <c r="AT264" s="229"/>
      <c r="AU264" s="229"/>
    </row>
    <row r="265" spans="1:47">
      <c r="A265" s="229"/>
      <c r="B265" s="229"/>
      <c r="C265" s="229"/>
      <c r="D265" s="229"/>
      <c r="E265" s="229"/>
      <c r="F265" s="229"/>
      <c r="G265" s="229"/>
      <c r="H265" s="229"/>
      <c r="I265" s="229"/>
      <c r="J265" s="229"/>
      <c r="K265" s="229"/>
      <c r="L265" s="229"/>
      <c r="M265" s="229"/>
      <c r="N265" s="229"/>
      <c r="O265" s="229"/>
      <c r="P265" s="229"/>
      <c r="Q265" s="240">
        <v>1</v>
      </c>
      <c r="R265" s="242" t="s">
        <v>451</v>
      </c>
      <c r="S265" s="229"/>
      <c r="T265" s="229"/>
      <c r="U265" s="240"/>
      <c r="V265" s="229"/>
      <c r="W265" s="240"/>
      <c r="X265" s="229"/>
      <c r="Y265" s="240"/>
      <c r="Z265" s="229"/>
      <c r="AA265" s="229"/>
      <c r="AB265" s="229"/>
      <c r="AC265" s="240"/>
      <c r="AD265" s="229"/>
      <c r="AE265" s="229"/>
      <c r="AF265" s="229"/>
      <c r="AG265" s="229"/>
      <c r="AH265" s="229"/>
      <c r="AI265" s="229"/>
      <c r="AJ265" s="229"/>
      <c r="AK265" s="229"/>
      <c r="AL265" s="229"/>
      <c r="AM265" s="229"/>
      <c r="AN265" s="229"/>
      <c r="AO265" s="229"/>
      <c r="AP265" s="229"/>
      <c r="AQ265" s="229"/>
      <c r="AR265" s="229"/>
      <c r="AS265" s="229"/>
      <c r="AT265" s="229"/>
      <c r="AU265" s="229"/>
    </row>
    <row r="266" spans="1:47">
      <c r="A266" s="229"/>
      <c r="B266" s="229"/>
      <c r="C266" s="229"/>
      <c r="D266" s="229"/>
      <c r="E266" s="229"/>
      <c r="F266" s="229"/>
      <c r="G266" s="229"/>
      <c r="H266" s="229"/>
      <c r="I266" s="229"/>
      <c r="J266" s="229"/>
      <c r="K266" s="229"/>
      <c r="L266" s="229"/>
      <c r="M266" s="229"/>
      <c r="N266" s="229"/>
      <c r="O266" s="229"/>
      <c r="P266" s="229"/>
      <c r="Q266" s="240">
        <v>2</v>
      </c>
      <c r="R266" s="229"/>
      <c r="S266" s="234" t="s">
        <v>1740</v>
      </c>
      <c r="T266" s="229"/>
      <c r="U266" s="238"/>
      <c r="V266" s="238"/>
      <c r="W266" s="238">
        <f>SCH_D2.22!G26</f>
        <v>-7966807</v>
      </c>
      <c r="X266" s="238"/>
      <c r="Y266" s="238"/>
      <c r="Z266" s="238"/>
      <c r="AA266" s="238"/>
      <c r="AB266" s="238"/>
      <c r="AC266" s="238">
        <f>SCH_D2.25!J25</f>
        <v>-330788</v>
      </c>
      <c r="AD266" s="238"/>
      <c r="AE266" s="238"/>
      <c r="AF266" s="229"/>
      <c r="AG266" s="229"/>
      <c r="AH266" s="229"/>
      <c r="AI266" s="229"/>
      <c r="AJ266" s="229"/>
      <c r="AK266" s="229"/>
      <c r="AL266" s="229"/>
      <c r="AM266" s="229"/>
      <c r="AN266" s="229"/>
      <c r="AO266" s="229"/>
      <c r="AP266" s="229"/>
      <c r="AQ266" s="229"/>
      <c r="AR266" s="229"/>
      <c r="AS266" s="229"/>
      <c r="AT266" s="229"/>
      <c r="AU266" s="229"/>
    </row>
    <row r="267" spans="1:47">
      <c r="A267" s="229"/>
      <c r="B267" s="229"/>
      <c r="C267" s="229"/>
      <c r="D267" s="229"/>
      <c r="E267" s="229"/>
      <c r="F267" s="229"/>
      <c r="G267" s="229"/>
      <c r="H267" s="229"/>
      <c r="I267" s="229"/>
      <c r="J267" s="229"/>
      <c r="K267" s="229"/>
      <c r="L267" s="229"/>
      <c r="M267" s="229"/>
      <c r="N267" s="229"/>
      <c r="O267" s="229"/>
      <c r="P267" s="229"/>
      <c r="Q267" s="240">
        <v>3</v>
      </c>
      <c r="R267" s="229"/>
      <c r="S267" s="234" t="s">
        <v>1741</v>
      </c>
      <c r="T267" s="229"/>
      <c r="U267" s="238"/>
      <c r="V267" s="238"/>
      <c r="W267" s="238"/>
      <c r="X267" s="238"/>
      <c r="Y267" s="238"/>
      <c r="Z267" s="238"/>
      <c r="AA267" s="238"/>
      <c r="AB267" s="238"/>
      <c r="AC267" s="238"/>
      <c r="AD267" s="238"/>
      <c r="AE267" s="238"/>
      <c r="AF267" s="229"/>
      <c r="AG267" s="229"/>
      <c r="AH267" s="229"/>
      <c r="AI267" s="229"/>
      <c r="AJ267" s="229"/>
      <c r="AK267" s="229"/>
      <c r="AL267" s="229"/>
      <c r="AM267" s="229"/>
      <c r="AN267" s="229"/>
      <c r="AO267" s="229"/>
      <c r="AP267" s="229"/>
      <c r="AQ267" s="229"/>
      <c r="AR267" s="229"/>
      <c r="AS267" s="229"/>
      <c r="AT267" s="229"/>
      <c r="AU267" s="229"/>
    </row>
    <row r="268" spans="1:47">
      <c r="A268" s="229"/>
      <c r="B268" s="229"/>
      <c r="C268" s="229"/>
      <c r="D268" s="229"/>
      <c r="E268" s="229"/>
      <c r="F268" s="229"/>
      <c r="G268" s="229"/>
      <c r="H268" s="229"/>
      <c r="I268" s="229"/>
      <c r="J268" s="229"/>
      <c r="K268" s="229"/>
      <c r="L268" s="229"/>
      <c r="M268" s="229"/>
      <c r="N268" s="229"/>
      <c r="O268" s="229"/>
      <c r="P268" s="229"/>
      <c r="Q268" s="240">
        <v>4</v>
      </c>
      <c r="R268" s="229"/>
      <c r="S268" s="234" t="s">
        <v>1742</v>
      </c>
      <c r="T268" s="229"/>
      <c r="U268" s="238"/>
      <c r="V268" s="238"/>
      <c r="W268" s="229"/>
      <c r="X268" s="238"/>
      <c r="Y268" s="238"/>
      <c r="Z268" s="238"/>
      <c r="AA268" s="238"/>
      <c r="AB268" s="238"/>
      <c r="AC268" s="229"/>
      <c r="AD268" s="238"/>
      <c r="AE268" s="238"/>
      <c r="AF268" s="229"/>
      <c r="AG268" s="229"/>
      <c r="AH268" s="229"/>
      <c r="AI268" s="229"/>
      <c r="AJ268" s="229"/>
      <c r="AK268" s="229"/>
      <c r="AL268" s="229"/>
      <c r="AM268" s="229"/>
      <c r="AN268" s="229"/>
      <c r="AO268" s="229"/>
      <c r="AP268" s="229"/>
      <c r="AQ268" s="229"/>
      <c r="AR268" s="229"/>
      <c r="AS268" s="229"/>
      <c r="AT268" s="229"/>
      <c r="AU268" s="229"/>
    </row>
    <row r="269" spans="1:47">
      <c r="A269" s="229"/>
      <c r="B269" s="229"/>
      <c r="C269" s="229"/>
      <c r="D269" s="229"/>
      <c r="E269" s="229"/>
      <c r="F269" s="229"/>
      <c r="G269" s="229"/>
      <c r="H269" s="229"/>
      <c r="I269" s="229"/>
      <c r="J269" s="229"/>
      <c r="K269" s="229"/>
      <c r="L269" s="229"/>
      <c r="M269" s="229"/>
      <c r="N269" s="229"/>
      <c r="O269" s="229"/>
      <c r="P269" s="229"/>
      <c r="Q269" s="240">
        <v>5</v>
      </c>
      <c r="R269" s="229"/>
      <c r="S269" s="234" t="s">
        <v>1743</v>
      </c>
      <c r="T269" s="229"/>
      <c r="U269" s="2140"/>
      <c r="V269" s="238"/>
      <c r="W269" s="2140">
        <f>SUM(W266:W267)</f>
        <v>-7966807</v>
      </c>
      <c r="X269" s="238"/>
      <c r="Y269" s="2140">
        <f>SUM(Y266:Y268)</f>
        <v>0</v>
      </c>
      <c r="Z269" s="238"/>
      <c r="AA269" s="2140">
        <f>SUM(AA266:AA268)</f>
        <v>0</v>
      </c>
      <c r="AB269" s="238"/>
      <c r="AC269" s="2140">
        <f>SUM(AC266:AC268)</f>
        <v>-330788</v>
      </c>
      <c r="AD269" s="238"/>
      <c r="AE269" s="2140">
        <f>SUM(AE266:AE268)</f>
        <v>0</v>
      </c>
      <c r="AF269" s="229"/>
      <c r="AG269" s="229"/>
      <c r="AH269" s="229"/>
      <c r="AI269" s="229"/>
      <c r="AJ269" s="229"/>
      <c r="AK269" s="229"/>
      <c r="AL269" s="229"/>
      <c r="AM269" s="229"/>
      <c r="AN269" s="229"/>
      <c r="AO269" s="229"/>
      <c r="AP269" s="229"/>
      <c r="AQ269" s="229"/>
      <c r="AR269" s="229"/>
      <c r="AS269" s="229"/>
      <c r="AT269" s="229"/>
      <c r="AU269" s="229"/>
    </row>
    <row r="270" spans="1:47">
      <c r="A270" s="229"/>
      <c r="B270" s="229"/>
      <c r="C270" s="229"/>
      <c r="D270" s="229"/>
      <c r="E270" s="229"/>
      <c r="F270" s="229"/>
      <c r="G270" s="229"/>
      <c r="H270" s="229"/>
      <c r="I270" s="229"/>
      <c r="J270" s="229"/>
      <c r="K270" s="229"/>
      <c r="L270" s="229"/>
      <c r="M270" s="229"/>
      <c r="N270" s="229"/>
      <c r="O270" s="229"/>
      <c r="P270" s="229"/>
      <c r="Q270" s="240">
        <v>6</v>
      </c>
      <c r="R270" s="229"/>
      <c r="S270" s="229"/>
      <c r="T270" s="229"/>
      <c r="U270" s="239"/>
      <c r="V270" s="239"/>
      <c r="W270" s="239"/>
      <c r="X270" s="239"/>
      <c r="Y270" s="239"/>
      <c r="Z270" s="239"/>
      <c r="AA270" s="239"/>
      <c r="AB270" s="239"/>
      <c r="AC270" s="239"/>
      <c r="AD270" s="239"/>
      <c r="AE270" s="239"/>
      <c r="AF270" s="229"/>
      <c r="AG270" s="229"/>
      <c r="AH270" s="229"/>
      <c r="AI270" s="229"/>
      <c r="AJ270" s="229"/>
      <c r="AK270" s="229"/>
      <c r="AL270" s="229"/>
      <c r="AM270" s="229"/>
      <c r="AN270" s="229"/>
      <c r="AO270" s="229"/>
      <c r="AP270" s="229"/>
      <c r="AQ270" s="229"/>
      <c r="AR270" s="229"/>
      <c r="AS270" s="229"/>
      <c r="AT270" s="229"/>
      <c r="AU270" s="229"/>
    </row>
    <row r="271" spans="1:47">
      <c r="A271" s="229"/>
      <c r="B271" s="229"/>
      <c r="C271" s="229"/>
      <c r="D271" s="229"/>
      <c r="E271" s="229"/>
      <c r="F271" s="229"/>
      <c r="G271" s="229"/>
      <c r="H271" s="229"/>
      <c r="I271" s="229"/>
      <c r="J271" s="229"/>
      <c r="K271" s="229"/>
      <c r="L271" s="229"/>
      <c r="M271" s="229"/>
      <c r="N271" s="229"/>
      <c r="O271" s="229"/>
      <c r="P271" s="229"/>
      <c r="Q271" s="240">
        <v>7</v>
      </c>
      <c r="R271" s="242" t="s">
        <v>404</v>
      </c>
      <c r="S271" s="229"/>
      <c r="T271" s="229"/>
      <c r="U271" s="1752" t="str">
        <f>IF(SUM(U272:U273,U290,U295,U300)=0,"","DATA ENTERED IN WRONG LINE")</f>
        <v/>
      </c>
      <c r="V271" s="1752"/>
      <c r="W271" s="1752" t="str">
        <f>IF(SUM(W272:W273,W290,W295,W300)=0,"","DATA ENTERED IN WRONG LINE")</f>
        <v/>
      </c>
      <c r="X271" s="1752"/>
      <c r="Y271" s="1752" t="str">
        <f>IF(SUM(Y272:Y273,Y290,Y295,Y300)=0,"","DATA ENTERED IN WRONG LINE")</f>
        <v/>
      </c>
      <c r="Z271" s="1752"/>
      <c r="AA271" s="1752" t="str">
        <f>IF(SUM(AA272:AA273,AA290,AA295,AA300)=0,"","DATA ENTERED IN WRONG LINE")</f>
        <v/>
      </c>
      <c r="AB271" s="1752"/>
      <c r="AC271" s="1752" t="str">
        <f>IF(SUM(AC272:AC273,AC290,AC295,AC300)=0,"","DATA ENTERED IN WRONG LINE")</f>
        <v/>
      </c>
      <c r="AD271" s="1752"/>
      <c r="AE271" s="1752" t="str">
        <f>IF(SUM(AE272:AE273,AE290,AE295,AE300)=0,"","DATA ENTERED IN WRONG LINE")</f>
        <v/>
      </c>
      <c r="AF271" s="229"/>
      <c r="AG271" s="229"/>
      <c r="AH271" s="229"/>
      <c r="AI271" s="229"/>
      <c r="AJ271" s="229"/>
      <c r="AK271" s="229"/>
      <c r="AL271" s="229"/>
      <c r="AM271" s="229"/>
      <c r="AN271" s="229"/>
      <c r="AO271" s="229"/>
      <c r="AP271" s="229"/>
      <c r="AQ271" s="229"/>
      <c r="AR271" s="229"/>
      <c r="AS271" s="229"/>
      <c r="AT271" s="229"/>
      <c r="AU271" s="229"/>
    </row>
    <row r="272" spans="1:47">
      <c r="A272" s="229"/>
      <c r="B272" s="229"/>
      <c r="C272" s="229"/>
      <c r="D272" s="229"/>
      <c r="E272" s="229"/>
      <c r="F272" s="229"/>
      <c r="G272" s="229"/>
      <c r="H272" s="229"/>
      <c r="I272" s="229"/>
      <c r="J272" s="229"/>
      <c r="K272" s="229"/>
      <c r="L272" s="229"/>
      <c r="M272" s="229"/>
      <c r="N272" s="229"/>
      <c r="O272" s="229"/>
      <c r="P272" s="229"/>
      <c r="Q272" s="240">
        <v>8</v>
      </c>
      <c r="R272" s="229"/>
      <c r="S272" s="234" t="s">
        <v>1744</v>
      </c>
      <c r="T272" s="229"/>
      <c r="U272" s="229"/>
      <c r="V272" s="229"/>
      <c r="W272" s="229"/>
      <c r="X272" s="229"/>
      <c r="Y272" s="229"/>
      <c r="Z272" s="229"/>
      <c r="AA272" s="229"/>
      <c r="AB272" s="229"/>
      <c r="AC272" s="229"/>
      <c r="AD272" s="229"/>
      <c r="AE272" s="229"/>
      <c r="AF272" s="229"/>
      <c r="AG272" s="229"/>
      <c r="AH272" s="229"/>
      <c r="AI272" s="229"/>
      <c r="AJ272" s="229"/>
      <c r="AK272" s="229"/>
      <c r="AL272" s="229"/>
      <c r="AM272" s="229"/>
      <c r="AN272" s="229"/>
      <c r="AO272" s="229"/>
      <c r="AP272" s="229"/>
      <c r="AQ272" s="229"/>
      <c r="AR272" s="229"/>
      <c r="AS272" s="229"/>
      <c r="AT272" s="229"/>
      <c r="AU272" s="229"/>
    </row>
    <row r="273" spans="1:47">
      <c r="A273" s="229"/>
      <c r="B273" s="229"/>
      <c r="C273" s="229"/>
      <c r="D273" s="229"/>
      <c r="E273" s="229"/>
      <c r="F273" s="229"/>
      <c r="G273" s="229"/>
      <c r="H273" s="229"/>
      <c r="I273" s="229"/>
      <c r="J273" s="229"/>
      <c r="K273" s="229"/>
      <c r="L273" s="229"/>
      <c r="M273" s="229"/>
      <c r="N273" s="229"/>
      <c r="O273" s="229"/>
      <c r="P273" s="229"/>
      <c r="Q273" s="240">
        <v>9</v>
      </c>
      <c r="R273" s="229"/>
      <c r="S273" s="234" t="s">
        <v>1745</v>
      </c>
      <c r="T273" s="229"/>
      <c r="U273" s="229"/>
      <c r="V273" s="229"/>
      <c r="W273" s="229"/>
      <c r="X273" s="229"/>
      <c r="Y273" s="229"/>
      <c r="Z273" s="229"/>
      <c r="AA273" s="229"/>
      <c r="AB273" s="229"/>
      <c r="AC273" s="229"/>
      <c r="AD273" s="229"/>
      <c r="AE273" s="229"/>
      <c r="AF273" s="229"/>
      <c r="AG273" s="229"/>
      <c r="AH273" s="229"/>
      <c r="AI273" s="229"/>
      <c r="AJ273" s="229"/>
      <c r="AK273" s="229"/>
      <c r="AL273" s="229"/>
      <c r="AM273" s="229"/>
      <c r="AN273" s="229"/>
      <c r="AO273" s="229"/>
      <c r="AP273" s="229"/>
      <c r="AQ273" s="229"/>
      <c r="AR273" s="229"/>
      <c r="AS273" s="229"/>
      <c r="AT273" s="229"/>
      <c r="AU273" s="229"/>
    </row>
    <row r="274" spans="1:47">
      <c r="A274" s="229"/>
      <c r="B274" s="229"/>
      <c r="C274" s="229"/>
      <c r="D274" s="229"/>
      <c r="E274" s="229"/>
      <c r="F274" s="229"/>
      <c r="G274" s="229"/>
      <c r="H274" s="229"/>
      <c r="I274" s="229"/>
      <c r="J274" s="229"/>
      <c r="K274" s="229"/>
      <c r="L274" s="229"/>
      <c r="M274" s="229"/>
      <c r="N274" s="229"/>
      <c r="O274" s="229"/>
      <c r="P274" s="229"/>
      <c r="Q274" s="240">
        <v>10</v>
      </c>
      <c r="R274" s="229"/>
      <c r="S274" s="181" t="s">
        <v>454</v>
      </c>
      <c r="T274" s="229"/>
      <c r="U274" s="238"/>
      <c r="V274" s="238"/>
      <c r="W274" s="238"/>
      <c r="X274" s="238"/>
      <c r="Y274" s="238"/>
      <c r="Z274" s="238"/>
      <c r="AA274" s="238"/>
      <c r="AB274" s="238"/>
      <c r="AC274" s="238"/>
      <c r="AD274" s="238"/>
      <c r="AE274" s="238"/>
      <c r="AF274" s="229"/>
      <c r="AG274" s="229"/>
      <c r="AH274" s="229"/>
      <c r="AI274" s="229"/>
      <c r="AJ274" s="229"/>
      <c r="AK274" s="229"/>
      <c r="AL274" s="229"/>
      <c r="AM274" s="229"/>
      <c r="AN274" s="229"/>
      <c r="AO274" s="229"/>
      <c r="AP274" s="229"/>
      <c r="AQ274" s="229"/>
      <c r="AR274" s="229"/>
      <c r="AS274" s="229"/>
      <c r="AT274" s="229"/>
      <c r="AU274" s="229"/>
    </row>
    <row r="275" spans="1:47">
      <c r="A275" s="229"/>
      <c r="B275" s="229"/>
      <c r="C275" s="229"/>
      <c r="D275" s="229"/>
      <c r="E275" s="229"/>
      <c r="F275" s="229"/>
      <c r="G275" s="229"/>
      <c r="H275" s="229"/>
      <c r="I275" s="229"/>
      <c r="J275" s="229"/>
      <c r="K275" s="229"/>
      <c r="L275" s="229"/>
      <c r="M275" s="229"/>
      <c r="N275" s="229"/>
      <c r="O275" s="229"/>
      <c r="P275" s="229"/>
      <c r="Q275" s="240">
        <v>11</v>
      </c>
      <c r="R275" s="229"/>
      <c r="S275" s="234" t="s">
        <v>1746</v>
      </c>
      <c r="T275" s="229"/>
      <c r="U275" s="238"/>
      <c r="V275" s="238"/>
      <c r="W275" s="238">
        <f>SCH_D2.22!G29</f>
        <v>-8283237</v>
      </c>
      <c r="X275" s="238"/>
      <c r="Y275" s="238">
        <f ca="1">SCH_D2.23!H20</f>
        <v>0</v>
      </c>
      <c r="Z275" s="238"/>
      <c r="AA275" s="238"/>
      <c r="AB275" s="238"/>
      <c r="AC275" s="238"/>
      <c r="AD275" s="238"/>
      <c r="AF275" s="229"/>
      <c r="AG275" s="229"/>
      <c r="AH275" s="229"/>
      <c r="AI275" s="229"/>
      <c r="AJ275" s="229"/>
      <c r="AK275" s="229"/>
      <c r="AL275" s="229"/>
      <c r="AM275" s="229"/>
      <c r="AN275" s="229"/>
      <c r="AO275" s="229"/>
      <c r="AP275" s="229"/>
      <c r="AQ275" s="229"/>
      <c r="AR275" s="229"/>
      <c r="AS275" s="229"/>
      <c r="AT275" s="229"/>
      <c r="AU275" s="229"/>
    </row>
    <row r="276" spans="1:47">
      <c r="A276" s="229"/>
      <c r="B276" s="229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29"/>
      <c r="N276" s="229"/>
      <c r="O276" s="229"/>
      <c r="P276" s="229"/>
      <c r="Q276" s="240">
        <v>12</v>
      </c>
      <c r="R276" s="229"/>
      <c r="S276" s="234" t="s">
        <v>1747</v>
      </c>
      <c r="T276" s="229"/>
      <c r="U276" s="2141">
        <f>SUM(U273:U275)</f>
        <v>0</v>
      </c>
      <c r="V276" s="238"/>
      <c r="W276" s="2141">
        <f>SUM(W273:W275)</f>
        <v>-8283237</v>
      </c>
      <c r="X276" s="238"/>
      <c r="Y276" s="2141">
        <f ca="1">SUM(Y273:Y275)</f>
        <v>0</v>
      </c>
      <c r="Z276" s="238"/>
      <c r="AA276" s="2141">
        <f>SUM(AA273:AA275)</f>
        <v>0</v>
      </c>
      <c r="AB276" s="238"/>
      <c r="AC276" s="2141">
        <f>SUM(AC273:AC275)</f>
        <v>0</v>
      </c>
      <c r="AD276" s="238"/>
      <c r="AE276" s="2141">
        <f>SUM(AE273:AE274)</f>
        <v>0</v>
      </c>
      <c r="AF276" s="229"/>
      <c r="AG276" s="229"/>
      <c r="AH276" s="229"/>
      <c r="AI276" s="229"/>
      <c r="AJ276" s="229"/>
      <c r="AK276" s="229"/>
      <c r="AL276" s="229"/>
      <c r="AM276" s="229"/>
      <c r="AN276" s="229"/>
      <c r="AO276" s="229"/>
      <c r="AP276" s="229"/>
      <c r="AQ276" s="229"/>
      <c r="AR276" s="229"/>
      <c r="AS276" s="229"/>
      <c r="AT276" s="229"/>
      <c r="AU276" s="229"/>
    </row>
    <row r="277" spans="1:47">
      <c r="A277" s="229"/>
      <c r="B277" s="229"/>
      <c r="C277" s="229"/>
      <c r="D277" s="229"/>
      <c r="E277" s="229"/>
      <c r="F277" s="229"/>
      <c r="G277" s="229"/>
      <c r="H277" s="229"/>
      <c r="I277" s="229"/>
      <c r="J277" s="229"/>
      <c r="K277" s="229"/>
      <c r="L277" s="229"/>
      <c r="M277" s="229"/>
      <c r="N277" s="229"/>
      <c r="O277" s="229"/>
      <c r="P277" s="229"/>
      <c r="Q277" s="240">
        <v>13</v>
      </c>
      <c r="R277" s="229"/>
      <c r="S277" s="229"/>
      <c r="T277" s="229"/>
      <c r="U277" s="239"/>
      <c r="V277" s="239"/>
      <c r="W277" s="239"/>
      <c r="X277" s="239"/>
      <c r="Y277" s="239"/>
      <c r="Z277" s="239"/>
      <c r="AA277" s="239"/>
      <c r="AB277" s="239"/>
      <c r="AC277" s="239"/>
      <c r="AD277" s="239"/>
      <c r="AE277" s="239"/>
      <c r="AF277" s="229"/>
      <c r="AG277" s="229"/>
      <c r="AH277" s="229"/>
      <c r="AI277" s="229"/>
      <c r="AJ277" s="229"/>
      <c r="AK277" s="229"/>
      <c r="AL277" s="229"/>
      <c r="AM277" s="229"/>
      <c r="AN277" s="229"/>
      <c r="AO277" s="229"/>
      <c r="AP277" s="229"/>
      <c r="AQ277" s="229"/>
      <c r="AR277" s="229"/>
      <c r="AS277" s="229"/>
      <c r="AT277" s="229"/>
      <c r="AU277" s="229"/>
    </row>
    <row r="278" spans="1:47">
      <c r="A278" s="229"/>
      <c r="B278" s="229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29"/>
      <c r="N278" s="229"/>
      <c r="O278" s="229"/>
      <c r="P278" s="229"/>
      <c r="Q278" s="240">
        <v>14</v>
      </c>
      <c r="R278" s="229"/>
      <c r="S278" s="234" t="s">
        <v>1776</v>
      </c>
      <c r="T278" s="229"/>
      <c r="U278" s="239"/>
      <c r="V278" s="239"/>
      <c r="W278" s="239"/>
      <c r="X278" s="239"/>
      <c r="Y278" s="238"/>
      <c r="Z278" s="239"/>
      <c r="AA278" s="239"/>
      <c r="AB278" s="239"/>
      <c r="AC278" s="239"/>
      <c r="AD278" s="239"/>
      <c r="AE278" s="239"/>
      <c r="AF278" s="229"/>
      <c r="AG278" s="229"/>
      <c r="AH278" s="229"/>
      <c r="AI278" s="229"/>
      <c r="AJ278" s="229"/>
      <c r="AK278" s="229"/>
      <c r="AL278" s="229"/>
      <c r="AM278" s="229"/>
      <c r="AN278" s="229"/>
      <c r="AO278" s="229"/>
      <c r="AP278" s="229"/>
      <c r="AQ278" s="229"/>
      <c r="AR278" s="229"/>
      <c r="AS278" s="229"/>
      <c r="AT278" s="229"/>
      <c r="AU278" s="229"/>
    </row>
    <row r="279" spans="1:47">
      <c r="A279" s="229"/>
      <c r="B279" s="229"/>
      <c r="C279" s="229"/>
      <c r="D279" s="229"/>
      <c r="E279" s="229"/>
      <c r="F279" s="229"/>
      <c r="G279" s="229"/>
      <c r="H279" s="229"/>
      <c r="I279" s="229"/>
      <c r="J279" s="229"/>
      <c r="K279" s="229"/>
      <c r="L279" s="229"/>
      <c r="M279" s="229"/>
      <c r="N279" s="229"/>
      <c r="O279" s="229"/>
      <c r="P279" s="229"/>
      <c r="Q279" s="240">
        <v>15</v>
      </c>
      <c r="R279" s="229"/>
      <c r="S279" s="234" t="s">
        <v>1777</v>
      </c>
      <c r="T279" s="229"/>
      <c r="U279" s="239"/>
      <c r="V279" s="239"/>
      <c r="W279" s="239"/>
      <c r="X279" s="239"/>
      <c r="Y279" s="238"/>
      <c r="Z279" s="239"/>
      <c r="AA279" s="239"/>
      <c r="AB279" s="239"/>
      <c r="AC279" s="239"/>
      <c r="AD279" s="239"/>
      <c r="AE279" s="239"/>
      <c r="AF279" s="229"/>
      <c r="AG279" s="229"/>
      <c r="AH279" s="229"/>
      <c r="AI279" s="229"/>
      <c r="AJ279" s="229"/>
      <c r="AK279" s="229"/>
      <c r="AL279" s="229"/>
      <c r="AM279" s="229"/>
      <c r="AN279" s="229"/>
      <c r="AO279" s="229"/>
      <c r="AP279" s="229"/>
      <c r="AQ279" s="229"/>
      <c r="AR279" s="229"/>
      <c r="AS279" s="229"/>
      <c r="AT279" s="229"/>
      <c r="AU279" s="229"/>
    </row>
    <row r="280" spans="1:47">
      <c r="A280" s="229"/>
      <c r="B280" s="229"/>
      <c r="C280" s="229"/>
      <c r="D280" s="229"/>
      <c r="E280" s="229"/>
      <c r="F280" s="229"/>
      <c r="G280" s="229"/>
      <c r="H280" s="229"/>
      <c r="I280" s="229"/>
      <c r="J280" s="229"/>
      <c r="K280" s="229"/>
      <c r="L280" s="229"/>
      <c r="M280" s="229"/>
      <c r="N280" s="229"/>
      <c r="O280" s="229"/>
      <c r="P280" s="229"/>
      <c r="Q280" s="240">
        <v>16</v>
      </c>
      <c r="R280" s="229"/>
      <c r="S280" s="234" t="s">
        <v>1778</v>
      </c>
      <c r="T280" s="229"/>
      <c r="U280" s="238"/>
      <c r="V280" s="238"/>
      <c r="W280" s="238"/>
      <c r="X280" s="238"/>
      <c r="Y280" s="238"/>
      <c r="Z280" s="238"/>
      <c r="AA280" s="238"/>
      <c r="AB280" s="238"/>
      <c r="AC280" s="238"/>
      <c r="AD280" s="238"/>
      <c r="AE280" s="238"/>
      <c r="AF280" s="229"/>
      <c r="AG280" s="229"/>
      <c r="AH280" s="229"/>
      <c r="AI280" s="229"/>
      <c r="AJ280" s="229"/>
      <c r="AK280" s="229"/>
      <c r="AL280" s="229"/>
      <c r="AM280" s="229"/>
      <c r="AN280" s="229"/>
      <c r="AO280" s="229"/>
      <c r="AP280" s="229"/>
      <c r="AQ280" s="229"/>
      <c r="AR280" s="229"/>
      <c r="AS280" s="229"/>
      <c r="AT280" s="229"/>
      <c r="AU280" s="229"/>
    </row>
    <row r="281" spans="1:47">
      <c r="A281" s="229"/>
      <c r="B281" s="229"/>
      <c r="C281" s="229"/>
      <c r="D281" s="229"/>
      <c r="E281" s="229"/>
      <c r="F281" s="229"/>
      <c r="G281" s="229"/>
      <c r="H281" s="229"/>
      <c r="I281" s="229"/>
      <c r="J281" s="229"/>
      <c r="K281" s="229"/>
      <c r="L281" s="229"/>
      <c r="M281" s="229"/>
      <c r="N281" s="229"/>
      <c r="O281" s="229"/>
      <c r="P281" s="229"/>
      <c r="Q281" s="240">
        <v>17</v>
      </c>
      <c r="R281" s="229"/>
      <c r="S281" s="234" t="s">
        <v>1779</v>
      </c>
      <c r="T281" s="229"/>
      <c r="U281" s="238">
        <f>SCH_D2.21!P59</f>
        <v>1785485</v>
      </c>
      <c r="V281" s="238"/>
      <c r="W281" s="238"/>
      <c r="X281" s="238"/>
      <c r="Y281" s="238">
        <f ca="1">SCH_D2.23!H23</f>
        <v>0</v>
      </c>
      <c r="Z281" s="238"/>
      <c r="AA281" s="238"/>
      <c r="AB281" s="238"/>
      <c r="AC281" s="238"/>
      <c r="AD281" s="238"/>
      <c r="AE281" s="238">
        <f>SCH_D2.26!H20</f>
        <v>319314</v>
      </c>
      <c r="AF281" s="229"/>
      <c r="AG281" s="229"/>
      <c r="AH281" s="229"/>
      <c r="AI281" s="229"/>
      <c r="AJ281" s="229"/>
      <c r="AK281" s="229"/>
      <c r="AL281" s="229"/>
      <c r="AM281" s="229"/>
      <c r="AN281" s="229"/>
      <c r="AO281" s="229"/>
      <c r="AP281" s="229"/>
      <c r="AQ281" s="229"/>
      <c r="AR281" s="229"/>
      <c r="AS281" s="229"/>
      <c r="AT281" s="229"/>
      <c r="AU281" s="229"/>
    </row>
    <row r="282" spans="1:47">
      <c r="A282" s="229"/>
      <c r="B282" s="229"/>
      <c r="C282" s="229"/>
      <c r="D282" s="229"/>
      <c r="E282" s="229"/>
      <c r="F282" s="229"/>
      <c r="G282" s="229"/>
      <c r="H282" s="229"/>
      <c r="I282" s="229"/>
      <c r="J282" s="229"/>
      <c r="K282" s="229"/>
      <c r="L282" s="229"/>
      <c r="M282" s="229"/>
      <c r="N282" s="229"/>
      <c r="O282" s="229"/>
      <c r="P282" s="229"/>
      <c r="Q282" s="240">
        <v>18</v>
      </c>
      <c r="R282" s="229"/>
      <c r="S282" s="234" t="s">
        <v>1780</v>
      </c>
      <c r="T282" s="229"/>
      <c r="U282" s="238"/>
      <c r="V282" s="238"/>
      <c r="W282" s="238"/>
      <c r="X282" s="238"/>
      <c r="Y282" s="238">
        <f ca="1">SCH_D2.23!H24</f>
        <v>0</v>
      </c>
      <c r="Z282" s="238"/>
      <c r="AA282" s="238"/>
      <c r="AB282" s="238"/>
      <c r="AC282" s="238"/>
      <c r="AD282" s="238"/>
      <c r="AE282" s="238"/>
      <c r="AF282" s="229"/>
      <c r="AG282" s="229"/>
      <c r="AH282" s="229"/>
      <c r="AI282" s="229"/>
      <c r="AJ282" s="229"/>
      <c r="AK282" s="229"/>
      <c r="AL282" s="229"/>
      <c r="AM282" s="229"/>
      <c r="AN282" s="229"/>
      <c r="AO282" s="229"/>
      <c r="AP282" s="229"/>
      <c r="AQ282" s="229"/>
      <c r="AR282" s="229"/>
      <c r="AS282" s="229"/>
      <c r="AT282" s="229"/>
      <c r="AU282" s="229"/>
    </row>
    <row r="283" spans="1:47">
      <c r="A283" s="229"/>
      <c r="B283" s="229"/>
      <c r="C283" s="229"/>
      <c r="D283" s="229"/>
      <c r="E283" s="229"/>
      <c r="F283" s="229"/>
      <c r="G283" s="229"/>
      <c r="H283" s="229"/>
      <c r="I283" s="229"/>
      <c r="J283" s="229"/>
      <c r="K283" s="229"/>
      <c r="L283" s="229"/>
      <c r="M283" s="229"/>
      <c r="N283" s="229"/>
      <c r="O283" s="229"/>
      <c r="P283" s="229"/>
      <c r="Q283" s="240">
        <v>19</v>
      </c>
      <c r="R283" s="229"/>
      <c r="S283" s="234" t="s">
        <v>1781</v>
      </c>
      <c r="T283" s="229"/>
      <c r="U283" s="238"/>
      <c r="V283" s="238"/>
      <c r="W283" s="238"/>
      <c r="X283" s="238"/>
      <c r="Y283" s="238">
        <f ca="1">SCH_D2.23!H25</f>
        <v>-48911</v>
      </c>
      <c r="Z283" s="238"/>
      <c r="AA283" s="238"/>
      <c r="AB283" s="238"/>
      <c r="AC283" s="238"/>
      <c r="AD283" s="238"/>
      <c r="AE283" s="238"/>
      <c r="AF283" s="229"/>
      <c r="AG283" s="229"/>
      <c r="AH283" s="229"/>
      <c r="AI283" s="229"/>
      <c r="AJ283" s="229"/>
      <c r="AK283" s="229"/>
      <c r="AL283" s="229"/>
      <c r="AM283" s="229"/>
      <c r="AN283" s="229"/>
      <c r="AO283" s="229"/>
      <c r="AP283" s="229"/>
      <c r="AQ283" s="229"/>
      <c r="AR283" s="229"/>
      <c r="AS283" s="229"/>
      <c r="AT283" s="229"/>
      <c r="AU283" s="229"/>
    </row>
    <row r="284" spans="1:47">
      <c r="A284" s="229"/>
      <c r="B284" s="229"/>
      <c r="C284" s="229"/>
      <c r="D284" s="229"/>
      <c r="E284" s="229"/>
      <c r="F284" s="229"/>
      <c r="G284" s="229"/>
      <c r="H284" s="229"/>
      <c r="I284" s="229"/>
      <c r="J284" s="229"/>
      <c r="K284" s="229"/>
      <c r="L284" s="229"/>
      <c r="M284" s="229"/>
      <c r="N284" s="229"/>
      <c r="O284" s="229"/>
      <c r="P284" s="229"/>
      <c r="Q284" s="240">
        <v>20</v>
      </c>
      <c r="R284" s="229"/>
      <c r="S284" s="234" t="s">
        <v>1782</v>
      </c>
      <c r="T284" s="229"/>
      <c r="U284" s="238"/>
      <c r="V284" s="238"/>
      <c r="W284" s="238">
        <f>SCH_D2.22!G30</f>
        <v>-304011</v>
      </c>
      <c r="X284" s="238"/>
      <c r="Y284" s="238">
        <f ca="1">SCH_D2.23!H27</f>
        <v>-863674</v>
      </c>
      <c r="Z284" s="238"/>
      <c r="AA284" s="238"/>
      <c r="AB284" s="238"/>
      <c r="AC284" s="238"/>
      <c r="AD284" s="238"/>
      <c r="AE284" s="238"/>
      <c r="AF284" s="229"/>
      <c r="AG284" s="229"/>
      <c r="AH284" s="229"/>
      <c r="AI284" s="229"/>
      <c r="AJ284" s="229"/>
      <c r="AK284" s="229"/>
      <c r="AL284" s="229"/>
      <c r="AM284" s="229"/>
      <c r="AN284" s="229"/>
      <c r="AO284" s="229"/>
      <c r="AP284" s="229"/>
      <c r="AQ284" s="229"/>
      <c r="AR284" s="229"/>
      <c r="AS284" s="229"/>
      <c r="AT284" s="229"/>
      <c r="AU284" s="229"/>
    </row>
    <row r="285" spans="1:47">
      <c r="A285" s="229"/>
      <c r="B285" s="229"/>
      <c r="C285" s="229"/>
      <c r="D285" s="229"/>
      <c r="E285" s="229"/>
      <c r="F285" s="229"/>
      <c r="G285" s="229"/>
      <c r="H285" s="229"/>
      <c r="I285" s="229"/>
      <c r="J285" s="229"/>
      <c r="K285" s="229"/>
      <c r="L285" s="229"/>
      <c r="M285" s="229"/>
      <c r="N285" s="229"/>
      <c r="O285" s="229"/>
      <c r="P285" s="229"/>
      <c r="Q285" s="240">
        <v>21</v>
      </c>
      <c r="R285" s="229"/>
      <c r="S285" s="234" t="s">
        <v>1783</v>
      </c>
      <c r="T285" s="229"/>
      <c r="U285" s="238"/>
      <c r="V285" s="238"/>
      <c r="W285" s="238"/>
      <c r="X285" s="238"/>
      <c r="Y285" s="238"/>
      <c r="Z285" s="238"/>
      <c r="AA285" s="238"/>
      <c r="AB285" s="238"/>
      <c r="AC285" s="238"/>
      <c r="AD285" s="238"/>
      <c r="AE285" s="238"/>
      <c r="AF285" s="229"/>
      <c r="AG285" s="229"/>
      <c r="AH285" s="229"/>
      <c r="AI285" s="229"/>
      <c r="AJ285" s="229"/>
      <c r="AK285" s="229"/>
      <c r="AL285" s="229"/>
      <c r="AM285" s="229"/>
      <c r="AN285" s="229"/>
      <c r="AO285" s="229"/>
      <c r="AP285" s="229"/>
      <c r="AQ285" s="229"/>
      <c r="AR285" s="229"/>
      <c r="AS285" s="229"/>
      <c r="AT285" s="229"/>
      <c r="AU285" s="229"/>
    </row>
    <row r="286" spans="1:47">
      <c r="A286" s="229"/>
      <c r="B286" s="229"/>
      <c r="C286" s="229"/>
      <c r="D286" s="229"/>
      <c r="E286" s="229"/>
      <c r="F286" s="229"/>
      <c r="G286" s="229"/>
      <c r="H286" s="229"/>
      <c r="I286" s="229"/>
      <c r="J286" s="229"/>
      <c r="K286" s="229"/>
      <c r="L286" s="229"/>
      <c r="M286" s="229"/>
      <c r="N286" s="229"/>
      <c r="O286" s="229"/>
      <c r="P286" s="229"/>
      <c r="Q286" s="240">
        <v>22</v>
      </c>
      <c r="R286" s="229"/>
      <c r="S286" s="234" t="s">
        <v>1756</v>
      </c>
      <c r="T286" s="229"/>
      <c r="U286" s="2140">
        <f>U276+SUM(U278:U285)</f>
        <v>1785485</v>
      </c>
      <c r="V286" s="238"/>
      <c r="W286" s="2140">
        <f>W276+SUM(W278:W285)</f>
        <v>-8587248</v>
      </c>
      <c r="X286" s="238"/>
      <c r="Y286" s="2140">
        <f ca="1">Y276+SUM(Y278:Y285)</f>
        <v>-912585</v>
      </c>
      <c r="Z286" s="238"/>
      <c r="AA286" s="2140">
        <f>AA276+SUM(AA278:AA285)</f>
        <v>0</v>
      </c>
      <c r="AB286" s="238"/>
      <c r="AC286" s="2140">
        <f>AC276+SUM(AC278:AC285)</f>
        <v>0</v>
      </c>
      <c r="AD286" s="238"/>
      <c r="AE286" s="2140">
        <f>AE276+SUM(AE278:AE285)</f>
        <v>319314</v>
      </c>
      <c r="AF286" s="229"/>
      <c r="AG286" s="229"/>
      <c r="AH286" s="229"/>
      <c r="AI286" s="229"/>
      <c r="AJ286" s="229"/>
      <c r="AK286" s="229"/>
      <c r="AL286" s="229"/>
      <c r="AM286" s="229"/>
      <c r="AN286" s="229"/>
      <c r="AO286" s="229"/>
      <c r="AP286" s="229"/>
      <c r="AQ286" s="229"/>
      <c r="AR286" s="229"/>
      <c r="AS286" s="229"/>
      <c r="AT286" s="229"/>
      <c r="AU286" s="229"/>
    </row>
    <row r="287" spans="1:47">
      <c r="A287" s="229"/>
      <c r="B287" s="229"/>
      <c r="C287" s="229"/>
      <c r="D287" s="229"/>
      <c r="E287" s="229"/>
      <c r="F287" s="229"/>
      <c r="G287" s="229"/>
      <c r="H287" s="229"/>
      <c r="I287" s="229"/>
      <c r="J287" s="229"/>
      <c r="K287" s="229"/>
      <c r="L287" s="229"/>
      <c r="M287" s="229"/>
      <c r="N287" s="229"/>
      <c r="O287" s="229"/>
      <c r="P287" s="229"/>
      <c r="Q287" s="240">
        <v>23</v>
      </c>
      <c r="R287" s="229"/>
      <c r="S287" s="229"/>
      <c r="T287" s="229"/>
      <c r="U287" s="239"/>
      <c r="V287" s="239"/>
      <c r="W287" s="239"/>
      <c r="X287" s="239"/>
      <c r="Y287" s="239"/>
      <c r="Z287" s="239"/>
      <c r="AA287" s="239"/>
      <c r="AB287" s="239"/>
      <c r="AC287" s="239"/>
      <c r="AD287" s="239"/>
      <c r="AE287" s="239"/>
      <c r="AF287" s="229"/>
      <c r="AG287" s="229"/>
      <c r="AH287" s="229"/>
      <c r="AI287" s="229"/>
      <c r="AJ287" s="229"/>
      <c r="AK287" s="229"/>
      <c r="AL287" s="229"/>
      <c r="AM287" s="229"/>
      <c r="AN287" s="229"/>
      <c r="AO287" s="229"/>
      <c r="AP287" s="229"/>
      <c r="AQ287" s="229"/>
      <c r="AR287" s="229"/>
      <c r="AS287" s="229"/>
      <c r="AT287" s="229"/>
      <c r="AU287" s="229"/>
    </row>
    <row r="288" spans="1:47">
      <c r="A288" s="229"/>
      <c r="B288" s="229"/>
      <c r="C288" s="229"/>
      <c r="D288" s="229"/>
      <c r="E288" s="229"/>
      <c r="F288" s="229"/>
      <c r="G288" s="229"/>
      <c r="H288" s="229"/>
      <c r="I288" s="229"/>
      <c r="J288" s="229"/>
      <c r="K288" s="229"/>
      <c r="L288" s="229"/>
      <c r="M288" s="229"/>
      <c r="N288" s="229"/>
      <c r="O288" s="229"/>
      <c r="P288" s="229"/>
      <c r="Q288" s="240">
        <v>24</v>
      </c>
      <c r="R288" s="229"/>
      <c r="S288" s="234" t="s">
        <v>1784</v>
      </c>
      <c r="T288" s="229"/>
      <c r="U288" s="1506">
        <v>0</v>
      </c>
      <c r="V288" s="238"/>
      <c r="W288" s="1506"/>
      <c r="X288" s="238"/>
      <c r="Y288" s="1506"/>
      <c r="Z288" s="238"/>
      <c r="AA288" s="1506">
        <f>SCH_D2.24!J27</f>
        <v>12796994</v>
      </c>
      <c r="AB288" s="238"/>
      <c r="AC288" s="1506"/>
      <c r="AD288" s="238"/>
      <c r="AE288" s="1506"/>
      <c r="AF288" s="229"/>
      <c r="AG288" s="229"/>
      <c r="AH288" s="229"/>
      <c r="AI288" s="229"/>
      <c r="AJ288" s="229"/>
      <c r="AK288" s="229"/>
      <c r="AL288" s="229"/>
      <c r="AM288" s="229"/>
      <c r="AN288" s="229"/>
      <c r="AO288" s="229"/>
      <c r="AP288" s="229"/>
      <c r="AQ288" s="229"/>
      <c r="AR288" s="229"/>
      <c r="AS288" s="229"/>
      <c r="AT288" s="229"/>
      <c r="AU288" s="229"/>
    </row>
    <row r="289" spans="1:47">
      <c r="A289" s="229"/>
      <c r="B289" s="229"/>
      <c r="C289" s="229"/>
      <c r="D289" s="229"/>
      <c r="E289" s="229"/>
      <c r="F289" s="229"/>
      <c r="G289" s="229"/>
      <c r="H289" s="229"/>
      <c r="I289" s="229"/>
      <c r="J289" s="229"/>
      <c r="K289" s="229"/>
      <c r="L289" s="229"/>
      <c r="M289" s="229"/>
      <c r="N289" s="229"/>
      <c r="O289" s="229"/>
      <c r="P289" s="229"/>
      <c r="Q289" s="240">
        <v>25</v>
      </c>
      <c r="R289" s="229"/>
      <c r="S289" s="229"/>
      <c r="T289" s="229"/>
      <c r="U289" s="239"/>
      <c r="V289" s="239"/>
      <c r="W289" s="239"/>
      <c r="X289" s="239"/>
      <c r="Y289" s="239"/>
      <c r="Z289" s="239"/>
      <c r="AA289" s="239"/>
      <c r="AB289" s="239"/>
      <c r="AC289" s="239"/>
      <c r="AD289" s="239"/>
      <c r="AE289" s="239"/>
      <c r="AF289" s="229"/>
      <c r="AG289" s="229"/>
      <c r="AH289" s="229"/>
      <c r="AI289" s="229"/>
      <c r="AJ289" s="229"/>
      <c r="AK289" s="229"/>
      <c r="AL289" s="229"/>
      <c r="AM289" s="229"/>
      <c r="AN289" s="229"/>
      <c r="AO289" s="229"/>
      <c r="AP289" s="229"/>
      <c r="AQ289" s="229"/>
      <c r="AR289" s="229"/>
      <c r="AS289" s="229"/>
      <c r="AT289" s="229"/>
      <c r="AU289" s="229"/>
    </row>
    <row r="290" spans="1:47">
      <c r="A290" s="229"/>
      <c r="B290" s="229"/>
      <c r="C290" s="229"/>
      <c r="D290" s="229"/>
      <c r="E290" s="229"/>
      <c r="F290" s="229"/>
      <c r="G290" s="229"/>
      <c r="H290" s="229"/>
      <c r="I290" s="229"/>
      <c r="J290" s="229"/>
      <c r="K290" s="229"/>
      <c r="L290" s="229"/>
      <c r="M290" s="229"/>
      <c r="N290" s="229"/>
      <c r="O290" s="229"/>
      <c r="P290" s="229"/>
      <c r="Q290" s="240">
        <v>26</v>
      </c>
      <c r="R290" s="229"/>
      <c r="S290" s="234" t="s">
        <v>1758</v>
      </c>
      <c r="T290" s="229"/>
      <c r="U290" s="229"/>
      <c r="V290" s="229"/>
      <c r="W290" s="229"/>
      <c r="X290" s="229"/>
      <c r="Y290" s="229"/>
      <c r="Z290" s="229"/>
      <c r="AA290" s="229"/>
      <c r="AB290" s="229"/>
      <c r="AC290" s="229"/>
      <c r="AD290" s="229"/>
      <c r="AE290" s="229"/>
      <c r="AF290" s="229"/>
      <c r="AG290" s="229"/>
      <c r="AH290" s="229"/>
      <c r="AI290" s="229"/>
      <c r="AJ290" s="229"/>
      <c r="AK290" s="229"/>
      <c r="AL290" s="229"/>
      <c r="AM290" s="229"/>
      <c r="AN290" s="229"/>
      <c r="AO290" s="229"/>
      <c r="AP290" s="229"/>
      <c r="AQ290" s="229"/>
      <c r="AR290" s="229"/>
      <c r="AS290" s="229"/>
      <c r="AT290" s="229"/>
      <c r="AU290" s="229"/>
    </row>
    <row r="291" spans="1:47">
      <c r="A291" s="229"/>
      <c r="B291" s="229"/>
      <c r="C291" s="229"/>
      <c r="D291" s="229"/>
      <c r="E291" s="229"/>
      <c r="F291" s="229"/>
      <c r="G291" s="229"/>
      <c r="H291" s="229"/>
      <c r="I291" s="229"/>
      <c r="J291" s="229"/>
      <c r="K291" s="229"/>
      <c r="L291" s="229"/>
      <c r="M291" s="229"/>
      <c r="N291" s="229"/>
      <c r="O291" s="229"/>
      <c r="P291" s="229"/>
      <c r="Q291" s="240">
        <v>27</v>
      </c>
      <c r="R291" s="229"/>
      <c r="S291" s="234" t="s">
        <v>1432</v>
      </c>
      <c r="T291" s="229"/>
      <c r="U291" s="238"/>
      <c r="V291" s="238"/>
      <c r="W291" s="238"/>
      <c r="X291" s="238"/>
      <c r="Y291" s="238"/>
      <c r="Z291" s="238"/>
      <c r="AA291" s="238"/>
      <c r="AB291" s="238"/>
      <c r="AC291" s="238"/>
      <c r="AD291" s="238"/>
      <c r="AE291" s="238"/>
      <c r="AF291" s="229"/>
      <c r="AG291" s="229"/>
      <c r="AH291" s="229"/>
      <c r="AI291" s="229"/>
      <c r="AJ291" s="229"/>
      <c r="AK291" s="229"/>
      <c r="AL291" s="229"/>
      <c r="AM291" s="229"/>
      <c r="AN291" s="229"/>
      <c r="AO291" s="229"/>
      <c r="AP291" s="229"/>
      <c r="AQ291" s="229"/>
      <c r="AR291" s="229"/>
      <c r="AS291" s="229"/>
      <c r="AT291" s="229"/>
      <c r="AU291" s="229"/>
    </row>
    <row r="292" spans="1:47">
      <c r="A292" s="229"/>
      <c r="B292" s="229"/>
      <c r="C292" s="229"/>
      <c r="D292" s="229"/>
      <c r="E292" s="229"/>
      <c r="F292" s="229"/>
      <c r="G292" s="229"/>
      <c r="H292" s="229"/>
      <c r="I292" s="229"/>
      <c r="J292" s="229"/>
      <c r="K292" s="229"/>
      <c r="L292" s="229"/>
      <c r="M292" s="229"/>
      <c r="N292" s="229"/>
      <c r="O292" s="229"/>
      <c r="P292" s="229"/>
      <c r="Q292" s="240">
        <v>28</v>
      </c>
      <c r="R292" s="229"/>
      <c r="S292" s="234" t="s">
        <v>1434</v>
      </c>
      <c r="T292" s="229"/>
      <c r="U292" s="238"/>
      <c r="V292" s="238"/>
      <c r="W292" s="238">
        <f>SCH_D2.22!G31</f>
        <v>-74312</v>
      </c>
      <c r="X292" s="238"/>
      <c r="Y292" s="238">
        <f ca="1">SCH_D2.23!H26</f>
        <v>0</v>
      </c>
      <c r="Z292" s="238"/>
      <c r="AA292" s="238"/>
      <c r="AB292" s="238"/>
      <c r="AC292" s="238"/>
      <c r="AD292" s="238"/>
      <c r="AE292" s="238"/>
      <c r="AF292" s="229"/>
      <c r="AG292" s="229"/>
      <c r="AH292" s="229"/>
      <c r="AI292" s="229"/>
      <c r="AJ292" s="229"/>
      <c r="AK292" s="229"/>
      <c r="AL292" s="229"/>
      <c r="AM292" s="229"/>
      <c r="AN292" s="229"/>
      <c r="AO292" s="229"/>
      <c r="AP292" s="229"/>
      <c r="AQ292" s="229"/>
      <c r="AR292" s="229"/>
      <c r="AS292" s="229"/>
      <c r="AT292" s="229"/>
      <c r="AU292" s="229"/>
    </row>
    <row r="293" spans="1:47">
      <c r="A293" s="229"/>
      <c r="B293" s="229"/>
      <c r="C293" s="229"/>
      <c r="D293" s="229"/>
      <c r="E293" s="229"/>
      <c r="F293" s="229"/>
      <c r="G293" s="229"/>
      <c r="H293" s="229"/>
      <c r="I293" s="229"/>
      <c r="J293" s="229"/>
      <c r="K293" s="229"/>
      <c r="L293" s="229"/>
      <c r="M293" s="229"/>
      <c r="N293" s="229"/>
      <c r="O293" s="229"/>
      <c r="P293" s="229"/>
      <c r="Q293" s="240">
        <v>29</v>
      </c>
      <c r="R293" s="229"/>
      <c r="S293" s="234" t="s">
        <v>1761</v>
      </c>
      <c r="T293" s="229"/>
      <c r="U293" s="2140">
        <f>SUM(U290:U292)</f>
        <v>0</v>
      </c>
      <c r="V293" s="238"/>
      <c r="W293" s="2140">
        <f>SUM(W291:W292)</f>
        <v>-74312</v>
      </c>
      <c r="X293" s="238"/>
      <c r="Y293" s="2140">
        <f ca="1">SUM(Y291:Y292)</f>
        <v>0</v>
      </c>
      <c r="Z293" s="238"/>
      <c r="AA293" s="2140">
        <f>SUM(AA291:AA292)</f>
        <v>0</v>
      </c>
      <c r="AB293" s="238"/>
      <c r="AC293" s="2140">
        <f>SUM(AC291:AC292)</f>
        <v>0</v>
      </c>
      <c r="AD293" s="238"/>
      <c r="AE293" s="2140">
        <f>SUM(AE291:AE292)</f>
        <v>0</v>
      </c>
      <c r="AF293" s="229"/>
      <c r="AG293" s="229"/>
      <c r="AH293" s="229"/>
      <c r="AI293" s="229"/>
      <c r="AJ293" s="229"/>
      <c r="AK293" s="229"/>
      <c r="AL293" s="229"/>
      <c r="AM293" s="229"/>
      <c r="AN293" s="229"/>
      <c r="AO293" s="229"/>
      <c r="AP293" s="229"/>
      <c r="AQ293" s="229"/>
      <c r="AR293" s="229"/>
      <c r="AS293" s="229"/>
      <c r="AT293" s="229"/>
      <c r="AU293" s="229"/>
    </row>
    <row r="294" spans="1:47">
      <c r="A294" s="229"/>
      <c r="B294" s="229"/>
      <c r="C294" s="229"/>
      <c r="D294" s="229"/>
      <c r="E294" s="229"/>
      <c r="F294" s="229"/>
      <c r="G294" s="229"/>
      <c r="H294" s="229"/>
      <c r="I294" s="229"/>
      <c r="J294" s="229"/>
      <c r="K294" s="229"/>
      <c r="L294" s="229"/>
      <c r="M294" s="229"/>
      <c r="N294" s="229"/>
      <c r="O294" s="229"/>
      <c r="P294" s="229"/>
      <c r="Q294" s="240">
        <v>30</v>
      </c>
      <c r="R294" s="229"/>
      <c r="S294" s="234"/>
      <c r="T294" s="229"/>
      <c r="U294" s="238"/>
      <c r="V294" s="239"/>
      <c r="W294" s="239"/>
      <c r="X294" s="238"/>
      <c r="Y294" s="238"/>
      <c r="Z294" s="238"/>
      <c r="AA294" s="238"/>
      <c r="AB294" s="238"/>
      <c r="AC294" s="238"/>
      <c r="AD294" s="238"/>
      <c r="AE294" s="238"/>
      <c r="AF294" s="229"/>
      <c r="AG294" s="229"/>
      <c r="AH294" s="229"/>
      <c r="AI294" s="229"/>
      <c r="AJ294" s="229"/>
      <c r="AK294" s="229"/>
      <c r="AL294" s="229"/>
      <c r="AM294" s="229"/>
      <c r="AN294" s="229"/>
      <c r="AO294" s="229"/>
      <c r="AP294" s="229"/>
      <c r="AQ294" s="229"/>
      <c r="AR294" s="229"/>
      <c r="AS294" s="229"/>
      <c r="AT294" s="229"/>
      <c r="AU294" s="229"/>
    </row>
    <row r="295" spans="1:47">
      <c r="A295" s="229"/>
      <c r="B295" s="229"/>
      <c r="C295" s="229"/>
      <c r="D295" s="229"/>
      <c r="E295" s="229"/>
      <c r="F295" s="229"/>
      <c r="G295" s="229"/>
      <c r="H295" s="229"/>
      <c r="I295" s="229"/>
      <c r="J295" s="229"/>
      <c r="K295" s="229"/>
      <c r="L295" s="229"/>
      <c r="M295" s="229"/>
      <c r="N295" s="229"/>
      <c r="O295" s="229"/>
      <c r="P295" s="229"/>
      <c r="Q295" s="240">
        <v>31</v>
      </c>
      <c r="R295" s="229"/>
      <c r="S295" s="234" t="s">
        <v>1762</v>
      </c>
      <c r="T295" s="229"/>
      <c r="U295" s="229"/>
      <c r="V295" s="229"/>
      <c r="W295" s="229"/>
      <c r="X295" s="229"/>
      <c r="Y295" s="229"/>
      <c r="Z295" s="229"/>
      <c r="AA295" s="229"/>
      <c r="AB295" s="229"/>
      <c r="AC295" s="229"/>
      <c r="AD295" s="229"/>
      <c r="AE295" s="229"/>
      <c r="AF295" s="229"/>
      <c r="AG295" s="229"/>
      <c r="AH295" s="229"/>
      <c r="AI295" s="229"/>
      <c r="AJ295" s="229"/>
      <c r="AK295" s="229"/>
      <c r="AL295" s="229"/>
      <c r="AM295" s="229"/>
      <c r="AN295" s="229"/>
      <c r="AO295" s="229"/>
      <c r="AP295" s="229"/>
      <c r="AQ295" s="229"/>
      <c r="AR295" s="229"/>
      <c r="AS295" s="229"/>
      <c r="AT295" s="229"/>
      <c r="AU295" s="229"/>
    </row>
    <row r="296" spans="1:47">
      <c r="A296" s="229"/>
      <c r="B296" s="229"/>
      <c r="C296" s="229"/>
      <c r="D296" s="229"/>
      <c r="E296" s="229"/>
      <c r="F296" s="229"/>
      <c r="G296" s="229"/>
      <c r="H296" s="229"/>
      <c r="I296" s="229"/>
      <c r="J296" s="229"/>
      <c r="K296" s="229"/>
      <c r="L296" s="229"/>
      <c r="M296" s="229"/>
      <c r="N296" s="229"/>
      <c r="O296" s="229"/>
      <c r="P296" s="229"/>
      <c r="Q296" s="240">
        <v>32</v>
      </c>
      <c r="R296" s="229"/>
      <c r="S296" s="234" t="s">
        <v>1654</v>
      </c>
      <c r="T296" s="229"/>
      <c r="U296" s="238">
        <f>ROUND((U269-U286-U288-U293)*SIT*APPORT,0)</f>
        <v>-88712</v>
      </c>
      <c r="V296" s="238"/>
      <c r="W296" s="238">
        <f>ROUND((W269-W286-W288-W293)*SIT*APPORT,0)</f>
        <v>34519</v>
      </c>
      <c r="X296" s="238"/>
      <c r="Y296" s="238">
        <f ca="1">ROUND((Y269-Y286-Y288-Y293)*SIT*APPORT,0)</f>
        <v>45342</v>
      </c>
      <c r="Z296" s="238"/>
      <c r="AA296" s="245">
        <v>0</v>
      </c>
      <c r="AB296" s="238"/>
      <c r="AC296" s="238">
        <f>ROUND((AC269-AC286-AC288-AC293)*SIT*APPORT,0)</f>
        <v>-16435</v>
      </c>
      <c r="AD296" s="238"/>
      <c r="AE296" s="238">
        <f>ROUND((AE269-AE286-AE288-AE293)*SIT*APPORT,0)</f>
        <v>-15865</v>
      </c>
      <c r="AF296" s="229"/>
      <c r="AG296" s="229"/>
      <c r="AH296" s="229"/>
      <c r="AI296" s="229"/>
      <c r="AJ296" s="229"/>
      <c r="AK296" s="229"/>
      <c r="AL296" s="229"/>
      <c r="AM296" s="229"/>
      <c r="AN296" s="229"/>
      <c r="AO296" s="229"/>
      <c r="AP296" s="229"/>
      <c r="AQ296" s="229"/>
      <c r="AR296" s="229"/>
      <c r="AS296" s="229"/>
      <c r="AT296" s="229"/>
      <c r="AU296" s="229"/>
    </row>
    <row r="297" spans="1:47">
      <c r="A297" s="229"/>
      <c r="B297" s="229"/>
      <c r="C297" s="229"/>
      <c r="D297" s="229"/>
      <c r="E297" s="229"/>
      <c r="F297" s="229"/>
      <c r="G297" s="229"/>
      <c r="H297" s="229"/>
      <c r="I297" s="229"/>
      <c r="J297" s="229"/>
      <c r="K297" s="229"/>
      <c r="L297" s="229"/>
      <c r="M297" s="229"/>
      <c r="N297" s="229"/>
      <c r="O297" s="229"/>
      <c r="P297" s="229"/>
      <c r="Q297" s="240">
        <v>33</v>
      </c>
      <c r="R297" s="229"/>
      <c r="S297" s="234" t="s">
        <v>1763</v>
      </c>
      <c r="T297" s="229"/>
      <c r="U297" s="238"/>
      <c r="V297" s="238"/>
      <c r="W297" s="238"/>
      <c r="X297" s="238"/>
      <c r="Y297" s="238"/>
      <c r="Z297" s="238"/>
      <c r="AA297" s="238">
        <f>ROUND((AA269-AA286-AA288-AA293)*SIT*APPORT,0)</f>
        <v>-635819</v>
      </c>
      <c r="AB297" s="238"/>
      <c r="AC297" s="238"/>
      <c r="AD297" s="238"/>
      <c r="AE297" s="238"/>
      <c r="AF297" s="229"/>
      <c r="AG297" s="229"/>
      <c r="AH297" s="229"/>
      <c r="AI297" s="229"/>
      <c r="AJ297" s="229"/>
      <c r="AK297" s="229"/>
      <c r="AL297" s="229"/>
      <c r="AM297" s="229"/>
      <c r="AN297" s="229"/>
      <c r="AO297" s="229"/>
      <c r="AP297" s="229"/>
      <c r="AQ297" s="229"/>
      <c r="AR297" s="229"/>
      <c r="AS297" s="229"/>
      <c r="AT297" s="229"/>
      <c r="AU297" s="229"/>
    </row>
    <row r="298" spans="1:47">
      <c r="A298" s="229"/>
      <c r="B298" s="229"/>
      <c r="C298" s="229"/>
      <c r="D298" s="229"/>
      <c r="E298" s="229"/>
      <c r="F298" s="229"/>
      <c r="G298" s="229"/>
      <c r="H298" s="229"/>
      <c r="I298" s="229"/>
      <c r="J298" s="229"/>
      <c r="K298" s="229"/>
      <c r="L298" s="229"/>
      <c r="M298" s="229"/>
      <c r="N298" s="229"/>
      <c r="O298" s="229"/>
      <c r="P298" s="229"/>
      <c r="Q298" s="240">
        <v>34</v>
      </c>
      <c r="R298" s="229"/>
      <c r="S298" s="234" t="s">
        <v>1764</v>
      </c>
      <c r="T298" s="229"/>
      <c r="U298" s="2140">
        <f>SUM(U296:U297)</f>
        <v>-88712</v>
      </c>
      <c r="V298" s="238"/>
      <c r="W298" s="2140">
        <f>SUM(W296:W297)</f>
        <v>34519</v>
      </c>
      <c r="X298" s="238"/>
      <c r="Y298" s="2140">
        <f ca="1">SUM(Y296:Y297)</f>
        <v>45342</v>
      </c>
      <c r="Z298" s="238"/>
      <c r="AA298" s="2140">
        <f>SUM(AA296:AA297)</f>
        <v>-635819</v>
      </c>
      <c r="AB298" s="238"/>
      <c r="AC298" s="2140">
        <f>SUM(AC296:AC297)</f>
        <v>-16435</v>
      </c>
      <c r="AD298" s="238"/>
      <c r="AE298" s="2140">
        <f>SUM(AE296:AE297)</f>
        <v>-15865</v>
      </c>
      <c r="AF298" s="229"/>
      <c r="AG298" s="229"/>
      <c r="AH298" s="229"/>
      <c r="AI298" s="229"/>
      <c r="AJ298" s="229"/>
      <c r="AK298" s="229"/>
      <c r="AL298" s="229"/>
      <c r="AM298" s="229"/>
      <c r="AN298" s="229"/>
      <c r="AO298" s="229"/>
      <c r="AP298" s="229"/>
      <c r="AQ298" s="229"/>
      <c r="AR298" s="229"/>
      <c r="AS298" s="229"/>
      <c r="AT298" s="229"/>
      <c r="AU298" s="229"/>
    </row>
    <row r="299" spans="1:47">
      <c r="A299" s="229"/>
      <c r="B299" s="229"/>
      <c r="C299" s="229"/>
      <c r="D299" s="229"/>
      <c r="E299" s="229"/>
      <c r="F299" s="229"/>
      <c r="G299" s="229"/>
      <c r="H299" s="229"/>
      <c r="I299" s="229"/>
      <c r="J299" s="229"/>
      <c r="K299" s="229"/>
      <c r="L299" s="229"/>
      <c r="M299" s="229"/>
      <c r="N299" s="229"/>
      <c r="O299" s="229"/>
      <c r="P299" s="229"/>
      <c r="Q299" s="240">
        <v>35</v>
      </c>
      <c r="R299" s="229"/>
      <c r="S299" s="229"/>
      <c r="T299" s="229"/>
      <c r="U299" s="239"/>
      <c r="V299" s="239"/>
      <c r="W299" s="239"/>
      <c r="X299" s="239"/>
      <c r="Y299" s="239"/>
      <c r="Z299" s="239"/>
      <c r="AA299" s="239"/>
      <c r="AB299" s="239"/>
      <c r="AC299" s="239"/>
      <c r="AD299" s="239"/>
      <c r="AE299" s="239"/>
      <c r="AF299" s="229"/>
      <c r="AG299" s="229"/>
      <c r="AH299" s="229"/>
      <c r="AI299" s="229"/>
      <c r="AJ299" s="229"/>
      <c r="AK299" s="229"/>
      <c r="AL299" s="229"/>
      <c r="AM299" s="229"/>
      <c r="AN299" s="229"/>
      <c r="AO299" s="229"/>
      <c r="AP299" s="229"/>
      <c r="AQ299" s="229"/>
      <c r="AR299" s="229"/>
      <c r="AS299" s="229"/>
      <c r="AT299" s="229"/>
      <c r="AU299" s="229"/>
    </row>
    <row r="300" spans="1:47">
      <c r="A300" s="229"/>
      <c r="B300" s="229"/>
      <c r="C300" s="229"/>
      <c r="D300" s="229"/>
      <c r="E300" s="229"/>
      <c r="F300" s="229"/>
      <c r="G300" s="229"/>
      <c r="H300" s="229"/>
      <c r="I300" s="229"/>
      <c r="J300" s="229"/>
      <c r="K300" s="229"/>
      <c r="L300" s="229"/>
      <c r="M300" s="229"/>
      <c r="N300" s="229"/>
      <c r="O300" s="229"/>
      <c r="P300" s="229"/>
      <c r="Q300" s="240">
        <v>36</v>
      </c>
      <c r="R300" s="229"/>
      <c r="S300" s="234" t="s">
        <v>1765</v>
      </c>
      <c r="T300" s="229"/>
      <c r="U300" s="229"/>
      <c r="V300" s="229"/>
      <c r="W300" s="229"/>
      <c r="X300" s="229"/>
      <c r="Y300" s="229"/>
      <c r="Z300" s="229"/>
      <c r="AA300" s="229"/>
      <c r="AB300" s="229"/>
      <c r="AC300" s="229"/>
      <c r="AD300" s="229"/>
      <c r="AE300" s="229"/>
      <c r="AF300" s="229"/>
      <c r="AG300" s="229"/>
      <c r="AH300" s="229"/>
      <c r="AI300" s="229"/>
      <c r="AJ300" s="229"/>
      <c r="AK300" s="229"/>
      <c r="AL300" s="229"/>
      <c r="AM300" s="229"/>
      <c r="AN300" s="229"/>
      <c r="AO300" s="229"/>
      <c r="AP300" s="229"/>
      <c r="AQ300" s="229"/>
      <c r="AR300" s="229"/>
      <c r="AS300" s="229"/>
      <c r="AT300" s="229"/>
      <c r="AU300" s="229"/>
    </row>
    <row r="301" spans="1:47">
      <c r="A301" s="229"/>
      <c r="B301" s="229"/>
      <c r="C301" s="229"/>
      <c r="D301" s="229"/>
      <c r="E301" s="229"/>
      <c r="F301" s="229"/>
      <c r="G301" s="229"/>
      <c r="H301" s="229"/>
      <c r="I301" s="229"/>
      <c r="J301" s="229"/>
      <c r="K301" s="229"/>
      <c r="L301" s="229"/>
      <c r="M301" s="229"/>
      <c r="N301" s="229"/>
      <c r="O301" s="229"/>
      <c r="P301" s="229"/>
      <c r="Q301" s="240">
        <v>37</v>
      </c>
      <c r="R301" s="229"/>
      <c r="S301" s="234" t="s">
        <v>1654</v>
      </c>
      <c r="T301" s="229"/>
      <c r="U301" s="238">
        <f>ROUND((U269-U286-U288-U293-U296)*FIT,0)</f>
        <v>-356322</v>
      </c>
      <c r="V301" s="238"/>
      <c r="W301" s="238">
        <f>ROUND((W269-W286-W288-W293-W296)*FIT,0)</f>
        <v>138649</v>
      </c>
      <c r="X301" s="238"/>
      <c r="Y301" s="238">
        <f ca="1">ROUND((Y269-Y286-Y288-Y293-Y296)*FIT,0)</f>
        <v>182121</v>
      </c>
      <c r="Z301" s="238"/>
      <c r="AA301" s="245">
        <v>0</v>
      </c>
      <c r="AB301" s="238"/>
      <c r="AC301" s="238">
        <f>ROUND((AC269-AC286-AC288-AC293-AC296)*FIT,0)</f>
        <v>-66014</v>
      </c>
      <c r="AD301" s="238"/>
      <c r="AE301" s="238">
        <f>ROUND((AE269-AE286-AE288-AE293-AE296)*FIT,0)</f>
        <v>-63724</v>
      </c>
      <c r="AF301" s="229"/>
      <c r="AG301" s="229"/>
      <c r="AH301" s="229"/>
      <c r="AI301" s="229"/>
      <c r="AJ301" s="229"/>
      <c r="AK301" s="229"/>
      <c r="AL301" s="229"/>
      <c r="AM301" s="229"/>
      <c r="AN301" s="229"/>
      <c r="AO301" s="229"/>
      <c r="AP301" s="229"/>
      <c r="AQ301" s="229"/>
      <c r="AR301" s="229"/>
      <c r="AS301" s="229"/>
      <c r="AT301" s="229"/>
      <c r="AU301" s="229"/>
    </row>
    <row r="302" spans="1:47">
      <c r="A302" s="229"/>
      <c r="B302" s="229"/>
      <c r="C302" s="229"/>
      <c r="D302" s="229"/>
      <c r="E302" s="229"/>
      <c r="F302" s="229"/>
      <c r="G302" s="229"/>
      <c r="H302" s="229"/>
      <c r="I302" s="229"/>
      <c r="J302" s="229"/>
      <c r="K302" s="229"/>
      <c r="L302" s="229"/>
      <c r="M302" s="229"/>
      <c r="N302" s="229"/>
      <c r="O302" s="229"/>
      <c r="P302" s="229"/>
      <c r="Q302" s="240">
        <v>38</v>
      </c>
      <c r="R302" s="229"/>
      <c r="S302" s="234" t="s">
        <v>1763</v>
      </c>
      <c r="T302" s="229"/>
      <c r="U302" s="238"/>
      <c r="V302" s="238"/>
      <c r="W302" s="238"/>
      <c r="X302" s="238"/>
      <c r="Y302" s="238"/>
      <c r="Z302" s="238"/>
      <c r="AA302" s="238">
        <f>ROUND((AA269-AA286-AA288-AA293-AA297)*FIT,0)</f>
        <v>-2553847</v>
      </c>
      <c r="AB302" s="238"/>
      <c r="AC302" s="238"/>
      <c r="AD302" s="238"/>
      <c r="AE302" s="238"/>
      <c r="AF302" s="229"/>
      <c r="AG302" s="229"/>
      <c r="AH302" s="229"/>
      <c r="AI302" s="229"/>
      <c r="AJ302" s="229"/>
      <c r="AK302" s="229"/>
      <c r="AL302" s="229"/>
      <c r="AM302" s="229"/>
      <c r="AN302" s="229"/>
      <c r="AO302" s="229"/>
      <c r="AP302" s="229"/>
      <c r="AQ302" s="229"/>
      <c r="AR302" s="229"/>
      <c r="AS302" s="229"/>
      <c r="AT302" s="229"/>
      <c r="AU302" s="229"/>
    </row>
    <row r="303" spans="1:47">
      <c r="A303" s="229"/>
      <c r="B303" s="229"/>
      <c r="C303" s="229"/>
      <c r="D303" s="229"/>
      <c r="E303" s="229"/>
      <c r="F303" s="229"/>
      <c r="G303" s="229"/>
      <c r="H303" s="229"/>
      <c r="I303" s="229"/>
      <c r="J303" s="229"/>
      <c r="K303" s="229"/>
      <c r="L303" s="229"/>
      <c r="M303" s="229"/>
      <c r="N303" s="229"/>
      <c r="O303" s="229"/>
      <c r="P303" s="229"/>
      <c r="Q303" s="240">
        <v>39</v>
      </c>
      <c r="R303" s="229"/>
      <c r="S303" s="234" t="s">
        <v>1441</v>
      </c>
      <c r="T303" s="229"/>
      <c r="U303" s="238"/>
      <c r="V303" s="238"/>
      <c r="W303" s="238"/>
      <c r="X303" s="238"/>
      <c r="Y303" s="238"/>
      <c r="Z303" s="238"/>
      <c r="AA303" s="238"/>
      <c r="AB303" s="238"/>
      <c r="AC303" s="238"/>
      <c r="AD303" s="238"/>
      <c r="AE303" s="238"/>
      <c r="AF303" s="229"/>
      <c r="AG303" s="229"/>
      <c r="AH303" s="229"/>
      <c r="AI303" s="229"/>
      <c r="AJ303" s="229"/>
      <c r="AK303" s="229"/>
      <c r="AL303" s="229"/>
      <c r="AM303" s="229"/>
      <c r="AN303" s="229"/>
      <c r="AO303" s="229"/>
      <c r="AP303" s="229"/>
      <c r="AQ303" s="229"/>
      <c r="AR303" s="229"/>
      <c r="AS303" s="229"/>
      <c r="AT303" s="229"/>
      <c r="AU303" s="229"/>
    </row>
    <row r="304" spans="1:47">
      <c r="A304" s="229"/>
      <c r="B304" s="229"/>
      <c r="C304" s="229"/>
      <c r="D304" s="229"/>
      <c r="E304" s="229"/>
      <c r="F304" s="229"/>
      <c r="G304" s="229"/>
      <c r="H304" s="229"/>
      <c r="I304" s="229"/>
      <c r="J304" s="229"/>
      <c r="K304" s="229"/>
      <c r="L304" s="229"/>
      <c r="M304" s="229"/>
      <c r="N304" s="229"/>
      <c r="O304" s="229"/>
      <c r="P304" s="229"/>
      <c r="Q304" s="240">
        <v>40</v>
      </c>
      <c r="R304" s="229"/>
      <c r="S304" s="234" t="s">
        <v>1766</v>
      </c>
      <c r="T304" s="229"/>
      <c r="U304" s="2140">
        <f>SUM(U301:U303)</f>
        <v>-356322</v>
      </c>
      <c r="V304" s="238"/>
      <c r="W304" s="2140">
        <f>SUM(W301:W303)</f>
        <v>138649</v>
      </c>
      <c r="X304" s="238"/>
      <c r="Y304" s="2140">
        <f ca="1">SUM(Y301:Y303)</f>
        <v>182121</v>
      </c>
      <c r="Z304" s="238"/>
      <c r="AA304" s="2140">
        <f>SUM(AA301:AA303)</f>
        <v>-2553847</v>
      </c>
      <c r="AB304" s="238"/>
      <c r="AC304" s="2140">
        <f>SUM(AC301:AC303)</f>
        <v>-66014</v>
      </c>
      <c r="AD304" s="238"/>
      <c r="AE304" s="2140">
        <f>SUM(AE301:AE303)</f>
        <v>-63724</v>
      </c>
      <c r="AF304" s="229"/>
      <c r="AG304" s="229"/>
      <c r="AH304" s="229"/>
      <c r="AI304" s="229"/>
      <c r="AJ304" s="229"/>
      <c r="AK304" s="229"/>
      <c r="AL304" s="229"/>
      <c r="AM304" s="229"/>
      <c r="AN304" s="229"/>
      <c r="AO304" s="229"/>
      <c r="AP304" s="229"/>
      <c r="AQ304" s="229"/>
      <c r="AR304" s="229"/>
      <c r="AS304" s="229"/>
      <c r="AT304" s="229"/>
      <c r="AU304" s="229"/>
    </row>
    <row r="305" spans="1:47">
      <c r="A305" s="229"/>
      <c r="B305" s="229"/>
      <c r="C305" s="229"/>
      <c r="D305" s="229"/>
      <c r="E305" s="229"/>
      <c r="F305" s="229"/>
      <c r="G305" s="229"/>
      <c r="H305" s="229"/>
      <c r="I305" s="229"/>
      <c r="J305" s="229"/>
      <c r="K305" s="229"/>
      <c r="L305" s="229"/>
      <c r="M305" s="229"/>
      <c r="N305" s="229"/>
      <c r="O305" s="229"/>
      <c r="P305" s="229"/>
      <c r="Q305" s="240">
        <v>41</v>
      </c>
      <c r="R305" s="229"/>
      <c r="S305" s="229"/>
      <c r="T305" s="229"/>
      <c r="U305" s="239"/>
      <c r="V305" s="239"/>
      <c r="W305" s="239"/>
      <c r="X305" s="239"/>
      <c r="Y305" s="239"/>
      <c r="Z305" s="239"/>
      <c r="AA305" s="239"/>
      <c r="AB305" s="239"/>
      <c r="AC305" s="239"/>
      <c r="AD305" s="239"/>
      <c r="AE305" s="239"/>
      <c r="AF305" s="229"/>
      <c r="AG305" s="229"/>
      <c r="AH305" s="229"/>
      <c r="AI305" s="229"/>
      <c r="AJ305" s="229"/>
      <c r="AK305" s="229"/>
      <c r="AL305" s="229"/>
      <c r="AM305" s="229"/>
      <c r="AN305" s="229"/>
      <c r="AO305" s="229"/>
      <c r="AP305" s="229"/>
      <c r="AQ305" s="229"/>
      <c r="AR305" s="229"/>
      <c r="AS305" s="229"/>
      <c r="AT305" s="229"/>
      <c r="AU305" s="229"/>
    </row>
    <row r="306" spans="1:47">
      <c r="A306" s="229"/>
      <c r="B306" s="229"/>
      <c r="C306" s="229"/>
      <c r="D306" s="229"/>
      <c r="E306" s="229"/>
      <c r="F306" s="229"/>
      <c r="G306" s="229"/>
      <c r="H306" s="229"/>
      <c r="I306" s="229"/>
      <c r="J306" s="229"/>
      <c r="K306" s="229"/>
      <c r="L306" s="229"/>
      <c r="M306" s="229"/>
      <c r="N306" s="229"/>
      <c r="O306" s="229"/>
      <c r="P306" s="229"/>
      <c r="Q306" s="240">
        <v>42</v>
      </c>
      <c r="R306" s="229"/>
      <c r="S306" s="234" t="s">
        <v>1767</v>
      </c>
      <c r="T306" s="229"/>
      <c r="U306" s="1506">
        <f>U286+U288+U293+U298+U304</f>
        <v>1340451</v>
      </c>
      <c r="V306" s="238"/>
      <c r="W306" s="1506">
        <f>W286+W288+W293+W298+W304</f>
        <v>-8488392</v>
      </c>
      <c r="X306" s="238"/>
      <c r="Y306" s="1506">
        <f ca="1">Y286+Y288+Y293+Y298+Y304</f>
        <v>-685122</v>
      </c>
      <c r="Z306" s="238"/>
      <c r="AA306" s="1506">
        <f>AA286+AA288+AA293+AA298+AA304</f>
        <v>9607328</v>
      </c>
      <c r="AB306" s="238"/>
      <c r="AC306" s="1506">
        <f>AC286+AC288+AC293+AC298+AC304</f>
        <v>-82449</v>
      </c>
      <c r="AD306" s="238"/>
      <c r="AE306" s="1506">
        <f>AE286+AE288+AE293+AE298+AE304</f>
        <v>239725</v>
      </c>
      <c r="AF306" s="229"/>
      <c r="AG306" s="229"/>
      <c r="AH306" s="229"/>
      <c r="AI306" s="229"/>
      <c r="AJ306" s="229"/>
      <c r="AK306" s="229"/>
      <c r="AL306" s="229"/>
      <c r="AM306" s="229"/>
      <c r="AN306" s="229"/>
      <c r="AO306" s="229"/>
      <c r="AP306" s="229"/>
      <c r="AQ306" s="229"/>
      <c r="AR306" s="229"/>
      <c r="AS306" s="229"/>
      <c r="AT306" s="229"/>
      <c r="AU306" s="229"/>
    </row>
    <row r="307" spans="1:47">
      <c r="A307" s="229"/>
      <c r="B307" s="229"/>
      <c r="C307" s="229"/>
      <c r="D307" s="229"/>
      <c r="E307" s="229"/>
      <c r="F307" s="229"/>
      <c r="G307" s="229"/>
      <c r="H307" s="229"/>
      <c r="I307" s="229"/>
      <c r="J307" s="229"/>
      <c r="K307" s="229"/>
      <c r="L307" s="229"/>
      <c r="M307" s="229"/>
      <c r="N307" s="229"/>
      <c r="O307" s="229"/>
      <c r="P307" s="229"/>
      <c r="Q307" s="240">
        <v>43</v>
      </c>
      <c r="R307" s="229"/>
      <c r="S307" s="229"/>
      <c r="T307" s="229"/>
      <c r="U307" s="239"/>
      <c r="V307" s="239"/>
      <c r="W307" s="239"/>
      <c r="X307" s="239"/>
      <c r="Y307" s="239"/>
      <c r="Z307" s="239"/>
      <c r="AA307" s="239"/>
      <c r="AB307" s="239"/>
      <c r="AC307" s="239"/>
      <c r="AD307" s="239"/>
      <c r="AE307" s="239"/>
      <c r="AF307" s="229"/>
      <c r="AG307" s="229"/>
      <c r="AH307" s="229"/>
      <c r="AI307" s="229"/>
      <c r="AJ307" s="229"/>
      <c r="AK307" s="229"/>
      <c r="AL307" s="229"/>
      <c r="AM307" s="229"/>
      <c r="AN307" s="229"/>
      <c r="AO307" s="229"/>
      <c r="AP307" s="229"/>
      <c r="AQ307" s="229"/>
      <c r="AR307" s="229"/>
      <c r="AS307" s="229"/>
      <c r="AT307" s="229"/>
      <c r="AU307" s="229"/>
    </row>
    <row r="308" spans="1:47" ht="13.8" thickBot="1">
      <c r="A308" s="229"/>
      <c r="B308" s="229"/>
      <c r="C308" s="229"/>
      <c r="D308" s="229"/>
      <c r="E308" s="229"/>
      <c r="F308" s="229"/>
      <c r="G308" s="229"/>
      <c r="H308" s="229"/>
      <c r="I308" s="229"/>
      <c r="J308" s="229"/>
      <c r="K308" s="229"/>
      <c r="L308" s="229"/>
      <c r="M308" s="229"/>
      <c r="N308" s="229"/>
      <c r="O308" s="229"/>
      <c r="P308" s="229"/>
      <c r="Q308" s="240">
        <v>44</v>
      </c>
      <c r="R308" s="229"/>
      <c r="S308" s="234" t="s">
        <v>1443</v>
      </c>
      <c r="T308" s="229"/>
      <c r="U308" s="1953">
        <f>U269-U306</f>
        <v>-1340451</v>
      </c>
      <c r="V308" s="238"/>
      <c r="W308" s="1953">
        <f>W269-W306</f>
        <v>521585</v>
      </c>
      <c r="X308" s="238"/>
      <c r="Y308" s="1953">
        <f ca="1">Y269-Y306</f>
        <v>685122</v>
      </c>
      <c r="Z308" s="238"/>
      <c r="AA308" s="1953">
        <f>AA269-AA306</f>
        <v>-9607328</v>
      </c>
      <c r="AB308" s="238"/>
      <c r="AC308" s="1953">
        <f>AC269-AC306</f>
        <v>-248339</v>
      </c>
      <c r="AD308" s="238"/>
      <c r="AE308" s="1953">
        <f>AE269-AE306</f>
        <v>-239725</v>
      </c>
      <c r="AF308" s="229"/>
      <c r="AG308" s="229"/>
      <c r="AH308" s="229"/>
      <c r="AI308" s="229"/>
      <c r="AJ308" s="229"/>
      <c r="AK308" s="229"/>
      <c r="AL308" s="229"/>
      <c r="AM308" s="229"/>
      <c r="AN308" s="229"/>
      <c r="AO308" s="229"/>
      <c r="AP308" s="229"/>
      <c r="AQ308" s="229"/>
      <c r="AR308" s="229"/>
      <c r="AS308" s="229"/>
      <c r="AT308" s="229"/>
      <c r="AU308" s="229"/>
    </row>
    <row r="309" spans="1:47" ht="13.8" thickTop="1">
      <c r="A309" s="229"/>
      <c r="B309" s="229"/>
      <c r="C309" s="229"/>
      <c r="D309" s="229"/>
      <c r="E309" s="229"/>
      <c r="F309" s="229"/>
      <c r="G309" s="229"/>
      <c r="H309" s="229"/>
      <c r="I309" s="229"/>
      <c r="J309" s="229"/>
      <c r="K309" s="229"/>
      <c r="L309" s="229"/>
      <c r="M309" s="229"/>
      <c r="N309" s="229"/>
      <c r="O309" s="229"/>
      <c r="P309" s="229"/>
      <c r="Q309" s="229"/>
      <c r="R309" s="229"/>
      <c r="S309" s="229"/>
      <c r="T309" s="238"/>
      <c r="U309" s="241">
        <f>IF(ISERR(ROUND((U298+U304)/(U308+U298+U304),4)=TRUE)," ",ROUND((U298+U304)/(U308+U298+U304),4))</f>
        <v>0.24929999999999999</v>
      </c>
      <c r="V309" s="229"/>
      <c r="W309" s="241">
        <f>IF(ISERR(ROUND((W298+W304)/(W308+W298+W304),4)=TRUE)," ",ROUND((W298+W304)/(W308+W298+W304),4))</f>
        <v>0.24929999999999999</v>
      </c>
      <c r="X309" s="241"/>
      <c r="Y309" s="241">
        <f ca="1">IF(ISERR(ROUND((Y298+Y304)/(Y308+Y298+Y304),4)=TRUE)," ",ROUND((Y298+Y304)/(Y308+Y298+Y304),4))</f>
        <v>0.24929999999999999</v>
      </c>
      <c r="Z309" s="241"/>
      <c r="AA309" s="241">
        <f>IF(ISERR(ROUND((AA298+AA304)/(AA308+AA298+AA304),4)=TRUE)," ",ROUND((AA298+AA304)/(AA308+AA298+AA304),4))</f>
        <v>0.24929999999999999</v>
      </c>
      <c r="AB309" s="241"/>
      <c r="AC309" s="241">
        <f>IF(ISERR(ROUND((AC298+AC304)/(AC308+AC298+AC304),4)=TRUE)," ",ROUND((AC298+AC304)/(AC308+AC298+AC304),4))</f>
        <v>0.24929999999999999</v>
      </c>
      <c r="AD309" s="241"/>
      <c r="AE309" s="241">
        <f>IF(ISERR(ROUND((AE298+AE304)/(AE308+AE298+AE304),4)=TRUE)," ",ROUND((AE298+AE304)/(AE308+AE298+AE304),4))</f>
        <v>0.2492</v>
      </c>
      <c r="AF309" s="229"/>
      <c r="AG309" s="229"/>
      <c r="AH309" s="229"/>
      <c r="AI309" s="229"/>
      <c r="AJ309" s="229"/>
      <c r="AK309" s="229"/>
      <c r="AL309" s="229"/>
      <c r="AM309" s="229"/>
      <c r="AN309" s="229"/>
      <c r="AO309" s="229"/>
      <c r="AP309" s="229"/>
      <c r="AQ309" s="229"/>
      <c r="AR309" s="229"/>
      <c r="AS309" s="229"/>
      <c r="AT309" s="229"/>
      <c r="AU309" s="229"/>
    </row>
    <row r="310" spans="1:47">
      <c r="A310" s="229"/>
      <c r="B310" s="229"/>
      <c r="C310" s="229"/>
      <c r="D310" s="229"/>
      <c r="E310" s="229"/>
      <c r="F310" s="229"/>
      <c r="G310" s="229"/>
      <c r="H310" s="229"/>
      <c r="I310" s="229"/>
      <c r="J310" s="229"/>
      <c r="K310" s="229"/>
      <c r="L310" s="229"/>
      <c r="M310" s="229"/>
      <c r="N310" s="229"/>
      <c r="O310" s="229"/>
      <c r="P310" s="229"/>
      <c r="Q310" s="234"/>
      <c r="R310" s="229"/>
      <c r="S310" s="229"/>
      <c r="T310" s="229"/>
      <c r="U310" s="238"/>
      <c r="V310" s="229"/>
      <c r="W310" s="238"/>
      <c r="X310" s="229"/>
      <c r="Y310" s="238"/>
      <c r="Z310" s="229"/>
      <c r="AA310" s="238"/>
      <c r="AB310" s="229"/>
      <c r="AC310" s="238"/>
      <c r="AD310" s="229"/>
      <c r="AE310" s="238"/>
      <c r="AF310" s="229"/>
      <c r="AG310" s="229"/>
      <c r="AH310" s="229"/>
      <c r="AI310" s="229"/>
      <c r="AJ310" s="229"/>
      <c r="AK310" s="229"/>
      <c r="AL310" s="229"/>
      <c r="AM310" s="229"/>
      <c r="AN310" s="229"/>
      <c r="AO310" s="229"/>
      <c r="AP310" s="229"/>
      <c r="AQ310" s="229"/>
      <c r="AR310" s="229"/>
      <c r="AS310" s="229"/>
      <c r="AT310" s="229"/>
      <c r="AU310" s="229"/>
    </row>
    <row r="311" spans="1:47">
      <c r="A311" s="229"/>
      <c r="B311" s="229"/>
      <c r="C311" s="229"/>
      <c r="D311" s="229"/>
      <c r="E311" s="229"/>
      <c r="F311" s="229"/>
      <c r="G311" s="229"/>
      <c r="H311" s="229"/>
      <c r="I311" s="229"/>
      <c r="J311" s="229"/>
      <c r="K311" s="229"/>
      <c r="L311" s="229"/>
      <c r="M311" s="229"/>
      <c r="N311" s="229"/>
      <c r="O311" s="229"/>
      <c r="P311" s="229"/>
      <c r="Q311" s="228" t="str">
        <f>COMPANY</f>
        <v>DUKE ENERGY KENTUCKY, INC.</v>
      </c>
      <c r="R311" s="228"/>
      <c r="S311" s="228"/>
      <c r="T311" s="228"/>
      <c r="U311" s="228"/>
      <c r="V311" s="228"/>
      <c r="W311" s="228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229"/>
      <c r="AH311" s="229"/>
      <c r="AI311" s="229"/>
      <c r="AJ311" s="229"/>
      <c r="AK311" s="229"/>
      <c r="AL311" s="229"/>
      <c r="AM311" s="229"/>
      <c r="AN311" s="229"/>
      <c r="AO311" s="229"/>
      <c r="AP311" s="229"/>
      <c r="AQ311" s="229"/>
      <c r="AR311" s="229"/>
      <c r="AS311" s="229"/>
      <c r="AT311" s="229"/>
      <c r="AU311" s="229"/>
    </row>
    <row r="312" spans="1:47">
      <c r="A312" s="229"/>
      <c r="B312" s="229"/>
      <c r="C312" s="229"/>
      <c r="D312" s="229"/>
      <c r="E312" s="229"/>
      <c r="F312" s="229"/>
      <c r="G312" s="229"/>
      <c r="H312" s="229"/>
      <c r="I312" s="229"/>
      <c r="J312" s="229"/>
      <c r="K312" s="229"/>
      <c r="L312" s="229"/>
      <c r="M312" s="229"/>
      <c r="N312" s="229"/>
      <c r="O312" s="229"/>
      <c r="P312" s="229"/>
      <c r="Q312" s="228" t="str">
        <f>CASE</f>
        <v>CASE NO. 2024-00354</v>
      </c>
      <c r="R312" s="228"/>
      <c r="S312" s="228"/>
      <c r="T312" s="228"/>
      <c r="U312" s="230"/>
      <c r="V312" s="230"/>
      <c r="W312" s="228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229"/>
      <c r="AH312" s="229"/>
      <c r="AI312" s="229"/>
      <c r="AJ312" s="229"/>
      <c r="AK312" s="229"/>
      <c r="AL312" s="229"/>
      <c r="AM312" s="229"/>
      <c r="AN312" s="229"/>
      <c r="AO312" s="229"/>
      <c r="AP312" s="229"/>
      <c r="AQ312" s="229"/>
      <c r="AR312" s="229"/>
      <c r="AS312" s="229"/>
      <c r="AT312" s="229"/>
      <c r="AU312" s="229"/>
    </row>
    <row r="313" spans="1:47">
      <c r="A313" s="229"/>
      <c r="B313" s="229"/>
      <c r="C313" s="229"/>
      <c r="D313" s="229"/>
      <c r="E313" s="229"/>
      <c r="F313" s="229"/>
      <c r="G313" s="229"/>
      <c r="H313" s="229"/>
      <c r="I313" s="229"/>
      <c r="J313" s="229"/>
      <c r="K313" s="229"/>
      <c r="L313" s="229"/>
      <c r="M313" s="229"/>
      <c r="N313" s="229"/>
      <c r="O313" s="229"/>
      <c r="P313" s="229"/>
      <c r="Q313" s="231" t="str">
        <f>$AG$500</f>
        <v>SUMMARY OF UTILITY JURISDICTIONAL ADJUSTMENTS TO</v>
      </c>
      <c r="R313" s="228"/>
      <c r="S313" s="228"/>
      <c r="T313" s="228"/>
      <c r="U313" s="228"/>
      <c r="V313" s="228"/>
      <c r="W313" s="228"/>
      <c r="X313" s="228"/>
      <c r="Y313" s="228"/>
      <c r="Z313" s="228"/>
      <c r="AA313" s="228"/>
      <c r="AB313" s="228"/>
      <c r="AC313" s="228"/>
      <c r="AD313" s="228"/>
      <c r="AE313" s="228"/>
      <c r="AF313" s="229"/>
      <c r="AG313" s="229"/>
      <c r="AH313" s="229"/>
      <c r="AI313" s="229"/>
      <c r="AJ313" s="229"/>
      <c r="AK313" s="229"/>
      <c r="AL313" s="229"/>
      <c r="AM313" s="229"/>
      <c r="AN313" s="229"/>
      <c r="AO313" s="229"/>
      <c r="AP313" s="229"/>
      <c r="AQ313" s="229"/>
      <c r="AR313" s="229"/>
      <c r="AS313" s="229"/>
      <c r="AT313" s="229"/>
      <c r="AU313" s="229"/>
    </row>
    <row r="314" spans="1:47">
      <c r="A314" s="229"/>
      <c r="B314" s="229"/>
      <c r="C314" s="229"/>
      <c r="D314" s="229"/>
      <c r="E314" s="229"/>
      <c r="F314" s="229"/>
      <c r="G314" s="229"/>
      <c r="H314" s="229"/>
      <c r="I314" s="229"/>
      <c r="J314" s="229"/>
      <c r="K314" s="229"/>
      <c r="L314" s="229"/>
      <c r="M314" s="229"/>
      <c r="N314" s="229"/>
      <c r="O314" s="229"/>
      <c r="P314" s="229"/>
      <c r="Q314" s="231" t="str">
        <f>$AG$501</f>
        <v>OPERATING INCOME BY MAJOR ACCOUNTS</v>
      </c>
      <c r="R314" s="228"/>
      <c r="S314" s="228"/>
      <c r="T314" s="228"/>
      <c r="U314" s="228"/>
      <c r="V314" s="228"/>
      <c r="W314" s="228"/>
      <c r="X314" s="228"/>
      <c r="Y314" s="228"/>
      <c r="Z314" s="228"/>
      <c r="AA314" s="228"/>
      <c r="AB314" s="228"/>
      <c r="AC314" s="228"/>
      <c r="AD314" s="228"/>
      <c r="AE314" s="228"/>
      <c r="AF314" s="229"/>
      <c r="AG314" s="229"/>
      <c r="AH314" s="229"/>
      <c r="AI314" s="229"/>
      <c r="AJ314" s="229"/>
      <c r="AK314" s="229"/>
      <c r="AL314" s="229"/>
      <c r="AM314" s="229"/>
      <c r="AN314" s="229"/>
      <c r="AO314" s="229"/>
      <c r="AP314" s="229"/>
      <c r="AQ314" s="229"/>
      <c r="AR314" s="229"/>
      <c r="AS314" s="229"/>
      <c r="AT314" s="229"/>
      <c r="AU314" s="229"/>
    </row>
    <row r="315" spans="1:47">
      <c r="A315" s="229"/>
      <c r="B315" s="229"/>
      <c r="C315" s="229"/>
      <c r="D315" s="229"/>
      <c r="E315" s="229"/>
      <c r="F315" s="229"/>
      <c r="G315" s="229"/>
      <c r="H315" s="229"/>
      <c r="I315" s="229"/>
      <c r="J315" s="229"/>
      <c r="K315" s="229"/>
      <c r="L315" s="229"/>
      <c r="M315" s="229"/>
      <c r="N315" s="229"/>
      <c r="O315" s="229"/>
      <c r="P315" s="229"/>
      <c r="Q315" s="232" t="str">
        <f>Q191</f>
        <v>PRO FORMA ADJUSTMENTS TO THE FORECASTED PERIOD</v>
      </c>
      <c r="R315" s="228"/>
      <c r="S315" s="228"/>
      <c r="T315" s="228"/>
      <c r="U315" s="228"/>
      <c r="V315" s="228"/>
      <c r="W315" s="228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229"/>
      <c r="AH315" s="229"/>
      <c r="AI315" s="229"/>
      <c r="AJ315" s="229"/>
      <c r="AK315" s="229"/>
      <c r="AL315" s="229"/>
      <c r="AM315" s="229"/>
      <c r="AN315" s="229"/>
      <c r="AO315" s="229"/>
      <c r="AP315" s="229"/>
      <c r="AQ315" s="229"/>
      <c r="AR315" s="229"/>
      <c r="AS315" s="229"/>
      <c r="AT315" s="229"/>
      <c r="AU315" s="229"/>
    </row>
    <row r="316" spans="1:47">
      <c r="A316" s="229"/>
      <c r="B316" s="229"/>
      <c r="C316" s="229"/>
      <c r="D316" s="229"/>
      <c r="E316" s="229"/>
      <c r="F316" s="229"/>
      <c r="G316" s="229"/>
      <c r="H316" s="229"/>
      <c r="I316" s="229"/>
      <c r="J316" s="229"/>
      <c r="K316" s="229"/>
      <c r="L316" s="229"/>
      <c r="M316" s="229"/>
      <c r="N316" s="229"/>
      <c r="O316" s="229"/>
      <c r="P316" s="229"/>
      <c r="Q316" s="228" t="str">
        <f>PeriodF</f>
        <v>FOR THE TWELVE MONTHS ENDED JUNE 30, 2026</v>
      </c>
      <c r="R316" s="228"/>
      <c r="S316" s="228"/>
      <c r="T316" s="228"/>
      <c r="U316" s="228"/>
      <c r="V316" s="228"/>
      <c r="W316" s="228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229"/>
      <c r="AH316" s="229"/>
      <c r="AI316" s="229"/>
      <c r="AJ316" s="229"/>
      <c r="AK316" s="229"/>
      <c r="AL316" s="229"/>
      <c r="AM316" s="229"/>
      <c r="AN316" s="229"/>
      <c r="AO316" s="229"/>
      <c r="AP316" s="229"/>
      <c r="AQ316" s="229"/>
      <c r="AR316" s="229"/>
      <c r="AS316" s="229"/>
      <c r="AT316" s="229"/>
      <c r="AU316" s="229"/>
    </row>
    <row r="317" spans="1:47">
      <c r="A317" s="229"/>
      <c r="B317" s="229"/>
      <c r="C317" s="229"/>
      <c r="D317" s="229"/>
      <c r="E317" s="229"/>
      <c r="F317" s="229"/>
      <c r="G317" s="229"/>
      <c r="H317" s="229"/>
      <c r="I317" s="229"/>
      <c r="J317" s="229"/>
      <c r="K317" s="229"/>
      <c r="L317" s="229"/>
      <c r="M317" s="229"/>
      <c r="N317" s="229"/>
      <c r="O317" s="229"/>
      <c r="P317" s="229"/>
      <c r="Q317" s="229"/>
      <c r="R317" s="229"/>
      <c r="S317" s="229"/>
      <c r="T317" s="229"/>
      <c r="U317" s="229"/>
      <c r="V317" s="229"/>
      <c r="W317" s="229"/>
      <c r="X317" s="229"/>
      <c r="Y317" s="229"/>
      <c r="Z317" s="229"/>
      <c r="AA317" s="229"/>
      <c r="AB317" s="229"/>
      <c r="AC317" s="229"/>
      <c r="AD317" s="229"/>
      <c r="AE317" s="229"/>
      <c r="AF317" s="229"/>
      <c r="AG317" s="229"/>
      <c r="AH317" s="229"/>
      <c r="AI317" s="229"/>
      <c r="AJ317" s="229"/>
      <c r="AK317" s="229"/>
      <c r="AL317" s="229"/>
      <c r="AM317" s="229"/>
      <c r="AN317" s="229"/>
      <c r="AO317" s="229"/>
      <c r="AP317" s="229"/>
      <c r="AQ317" s="229"/>
      <c r="AR317" s="229"/>
      <c r="AS317" s="229"/>
      <c r="AT317" s="229"/>
      <c r="AU317" s="229"/>
    </row>
    <row r="318" spans="1:47">
      <c r="A318" s="229"/>
      <c r="B318" s="229"/>
      <c r="C318" s="229"/>
      <c r="D318" s="229"/>
      <c r="E318" s="229"/>
      <c r="F318" s="229"/>
      <c r="G318" s="229"/>
      <c r="H318" s="229"/>
      <c r="I318" s="229"/>
      <c r="J318" s="229"/>
      <c r="K318" s="229"/>
      <c r="L318" s="229"/>
      <c r="M318" s="229"/>
      <c r="N318" s="229"/>
      <c r="O318" s="229"/>
      <c r="P318" s="229"/>
      <c r="Q318" s="229" t="str">
        <f>DataF</f>
        <v>DATA:  BASE PERIOD  "X" FORECASTED PERIOD</v>
      </c>
      <c r="R318" s="229"/>
      <c r="S318" s="229"/>
      <c r="T318" s="229"/>
      <c r="U318" s="229"/>
      <c r="V318" s="229"/>
      <c r="W318" s="229"/>
      <c r="X318" s="229"/>
      <c r="Y318" s="229"/>
      <c r="Z318" s="229"/>
      <c r="AA318" s="229"/>
      <c r="AB318" s="229"/>
      <c r="AC318" s="233" t="s">
        <v>1725</v>
      </c>
      <c r="AD318" s="234"/>
      <c r="AE318" s="234"/>
      <c r="AF318" s="229"/>
      <c r="AG318" s="229"/>
      <c r="AH318" s="229"/>
      <c r="AI318" s="229"/>
      <c r="AJ318" s="229"/>
      <c r="AK318" s="229"/>
      <c r="AL318" s="229"/>
      <c r="AM318" s="229"/>
      <c r="AN318" s="229"/>
      <c r="AO318" s="229"/>
      <c r="AP318" s="229"/>
      <c r="AQ318" s="229"/>
      <c r="AR318" s="229"/>
      <c r="AS318" s="229"/>
      <c r="AT318" s="229"/>
      <c r="AU318" s="229"/>
    </row>
    <row r="319" spans="1:47">
      <c r="A319" s="229"/>
      <c r="B319" s="229"/>
      <c r="C319" s="229"/>
      <c r="D319" s="229"/>
      <c r="E319" s="229"/>
      <c r="F319" s="229"/>
      <c r="G319" s="229"/>
      <c r="H319" s="229"/>
      <c r="I319" s="229"/>
      <c r="J319" s="229"/>
      <c r="K319" s="229"/>
      <c r="L319" s="229"/>
      <c r="M319" s="229"/>
      <c r="N319" s="229"/>
      <c r="O319" s="229"/>
      <c r="P319" s="229"/>
      <c r="Q319" s="229" t="str">
        <f>Type</f>
        <v xml:space="preserve">TYPE OF FILING:  "X" ORIGINAL   UPDATED    REVISED  </v>
      </c>
      <c r="R319" s="229"/>
      <c r="S319" s="229"/>
      <c r="T319" s="229"/>
      <c r="U319" s="229"/>
      <c r="V319" s="229"/>
      <c r="W319" s="229"/>
      <c r="X319" s="229"/>
      <c r="Y319" s="229"/>
      <c r="Z319" s="229"/>
      <c r="AA319" s="229"/>
      <c r="AB319" s="229"/>
      <c r="AC319" s="234" t="s">
        <v>1813</v>
      </c>
      <c r="AD319" s="234"/>
      <c r="AE319" s="234"/>
      <c r="AF319" s="229"/>
      <c r="AG319" s="229"/>
      <c r="AH319" s="229"/>
      <c r="AI319" s="229"/>
      <c r="AJ319" s="229"/>
      <c r="AK319" s="229"/>
      <c r="AL319" s="229"/>
      <c r="AM319" s="229"/>
      <c r="AN319" s="229"/>
      <c r="AO319" s="229"/>
      <c r="AP319" s="229"/>
      <c r="AQ319" s="229"/>
      <c r="AR319" s="229"/>
      <c r="AS319" s="229"/>
      <c r="AT319" s="229"/>
      <c r="AU319" s="229"/>
    </row>
    <row r="320" spans="1:47">
      <c r="A320" s="229"/>
      <c r="B320" s="229"/>
      <c r="C320" s="229"/>
      <c r="D320" s="229"/>
      <c r="E320" s="229"/>
      <c r="F320" s="229"/>
      <c r="G320" s="229"/>
      <c r="H320" s="229"/>
      <c r="I320" s="229"/>
      <c r="J320" s="229"/>
      <c r="K320" s="229"/>
      <c r="L320" s="229"/>
      <c r="M320" s="229"/>
      <c r="N320" s="229"/>
      <c r="O320" s="229"/>
      <c r="P320" s="229"/>
      <c r="Q320" s="234" t="s">
        <v>467</v>
      </c>
      <c r="R320" s="229"/>
      <c r="S320" s="229"/>
      <c r="T320" s="229"/>
      <c r="U320" s="229"/>
      <c r="V320" s="229"/>
      <c r="W320" s="240"/>
      <c r="X320" s="229"/>
      <c r="Y320" s="229"/>
      <c r="Z320" s="229"/>
      <c r="AA320" s="229"/>
      <c r="AB320" s="229"/>
      <c r="AC320" s="233" t="s">
        <v>1727</v>
      </c>
      <c r="AD320" s="234"/>
      <c r="AE320" s="234"/>
      <c r="AF320" s="229"/>
      <c r="AG320" s="229"/>
      <c r="AH320" s="229"/>
      <c r="AI320" s="229"/>
      <c r="AJ320" s="229"/>
      <c r="AK320" s="229"/>
      <c r="AL320" s="229"/>
      <c r="AM320" s="229"/>
      <c r="AN320" s="229"/>
      <c r="AO320" s="229"/>
      <c r="AP320" s="229"/>
      <c r="AQ320" s="229"/>
      <c r="AR320" s="229"/>
      <c r="AS320" s="229"/>
      <c r="AT320" s="229"/>
      <c r="AU320" s="229"/>
    </row>
    <row r="321" spans="1:47">
      <c r="A321" s="229"/>
      <c r="B321" s="229"/>
      <c r="C321" s="229"/>
      <c r="D321" s="229"/>
      <c r="E321" s="229"/>
      <c r="F321" s="229"/>
      <c r="G321" s="229"/>
      <c r="H321" s="229"/>
      <c r="I321" s="229"/>
      <c r="J321" s="229"/>
      <c r="K321" s="229"/>
      <c r="L321" s="229"/>
      <c r="M321" s="229"/>
      <c r="N321" s="229"/>
      <c r="O321" s="229"/>
      <c r="P321" s="229"/>
      <c r="Q321" s="229"/>
      <c r="R321" s="229"/>
      <c r="S321" s="229"/>
      <c r="T321" s="229"/>
      <c r="U321" s="229"/>
      <c r="V321" s="229"/>
      <c r="W321" s="240"/>
      <c r="X321" s="229"/>
      <c r="Y321" s="229"/>
      <c r="Z321" s="229"/>
      <c r="AA321" s="229"/>
      <c r="AB321" s="229"/>
      <c r="AC321" s="234" t="str">
        <f>"          "&amp;_WIT1</f>
        <v xml:space="preserve">          L. D. STEINKUHL</v>
      </c>
      <c r="AD321" s="234"/>
      <c r="AE321" s="234"/>
      <c r="AF321" s="229"/>
      <c r="AG321" s="229"/>
      <c r="AH321" s="229"/>
      <c r="AI321" s="229"/>
      <c r="AJ321" s="229"/>
      <c r="AK321" s="229"/>
      <c r="AL321" s="229"/>
      <c r="AM321" s="229"/>
      <c r="AN321" s="229"/>
      <c r="AO321" s="229"/>
      <c r="AP321" s="229"/>
      <c r="AQ321" s="229"/>
      <c r="AR321" s="229"/>
      <c r="AS321" s="229"/>
      <c r="AT321" s="229"/>
      <c r="AU321" s="229"/>
    </row>
    <row r="322" spans="1:47">
      <c r="A322" s="229"/>
      <c r="B322" s="229"/>
      <c r="C322" s="229"/>
      <c r="D322" s="229"/>
      <c r="E322" s="229"/>
      <c r="F322" s="229"/>
      <c r="G322" s="229"/>
      <c r="H322" s="229"/>
      <c r="I322" s="229"/>
      <c r="J322" s="229"/>
      <c r="K322" s="229"/>
      <c r="L322" s="229"/>
      <c r="M322" s="229"/>
      <c r="N322" s="229"/>
      <c r="O322" s="229"/>
      <c r="P322" s="229"/>
      <c r="Q322" s="1502"/>
      <c r="R322" s="1502"/>
      <c r="S322" s="1502"/>
      <c r="T322" s="1502"/>
      <c r="U322" s="1508"/>
      <c r="V322" s="1508"/>
      <c r="W322" s="1503"/>
      <c r="X322" s="1508"/>
      <c r="Y322" s="1508"/>
      <c r="Z322" s="1508"/>
      <c r="AA322" s="1508"/>
      <c r="AB322" s="1502"/>
      <c r="AC322" s="1503"/>
      <c r="AD322" s="1504"/>
      <c r="AE322" s="1502"/>
      <c r="AF322" s="229"/>
      <c r="AG322" s="229"/>
      <c r="AH322" s="229"/>
      <c r="AI322" s="229"/>
      <c r="AJ322" s="229"/>
      <c r="AK322" s="229"/>
      <c r="AL322" s="229"/>
      <c r="AM322" s="229"/>
      <c r="AN322" s="229"/>
      <c r="AO322" s="229"/>
      <c r="AP322" s="229"/>
      <c r="AQ322" s="229"/>
      <c r="AR322" s="229"/>
      <c r="AS322" s="229"/>
      <c r="AT322" s="229"/>
      <c r="AU322" s="229"/>
    </row>
    <row r="323" spans="1:47">
      <c r="A323" s="229"/>
      <c r="B323" s="229"/>
      <c r="C323" s="229"/>
      <c r="D323" s="229"/>
      <c r="E323" s="229"/>
      <c r="F323" s="229"/>
      <c r="G323" s="229"/>
      <c r="H323" s="229"/>
      <c r="I323" s="229"/>
      <c r="J323" s="229"/>
      <c r="K323" s="229"/>
      <c r="L323" s="229"/>
      <c r="M323" s="229"/>
      <c r="N323" s="229"/>
      <c r="O323" s="229"/>
      <c r="P323" s="229"/>
      <c r="Q323" s="229"/>
      <c r="R323" s="229"/>
      <c r="S323" s="229"/>
      <c r="T323" s="229"/>
      <c r="U323" s="240" t="s">
        <v>1814</v>
      </c>
      <c r="V323" s="240"/>
      <c r="W323" s="240"/>
      <c r="X323" s="240"/>
      <c r="Y323" s="240"/>
      <c r="Z323" s="229"/>
      <c r="AA323" s="240" t="s">
        <v>1815</v>
      </c>
      <c r="AB323" s="240"/>
      <c r="AC323" s="240"/>
      <c r="AD323" s="240"/>
      <c r="AE323" s="240"/>
      <c r="AF323" s="229"/>
      <c r="AG323" s="229"/>
      <c r="AH323" s="229"/>
      <c r="AI323" s="229"/>
      <c r="AJ323" s="229"/>
      <c r="AK323" s="229"/>
      <c r="AL323" s="229"/>
      <c r="AM323" s="229"/>
      <c r="AN323" s="229"/>
      <c r="AO323" s="229"/>
      <c r="AP323" s="229"/>
      <c r="AQ323" s="229"/>
      <c r="AR323" s="229"/>
      <c r="AS323" s="229"/>
      <c r="AT323" s="229"/>
      <c r="AU323" s="229"/>
    </row>
    <row r="324" spans="1:47">
      <c r="A324" s="229"/>
      <c r="B324" s="229"/>
      <c r="C324" s="229"/>
      <c r="D324" s="229"/>
      <c r="E324" s="229"/>
      <c r="F324" s="229"/>
      <c r="G324" s="229"/>
      <c r="H324" s="229"/>
      <c r="I324" s="229"/>
      <c r="J324" s="229"/>
      <c r="K324" s="229"/>
      <c r="L324" s="229"/>
      <c r="M324" s="229"/>
      <c r="N324" s="229"/>
      <c r="O324" s="229"/>
      <c r="P324" s="229"/>
      <c r="Q324" s="240" t="s">
        <v>471</v>
      </c>
      <c r="R324" s="229"/>
      <c r="S324" s="229"/>
      <c r="T324" s="229"/>
      <c r="U324" s="240" t="s">
        <v>1816</v>
      </c>
      <c r="V324" s="240"/>
      <c r="W324" s="240" t="s">
        <v>1817</v>
      </c>
      <c r="X324" s="240"/>
      <c r="Y324" s="240" t="s">
        <v>1818</v>
      </c>
      <c r="Z324" s="240"/>
      <c r="AA324" s="240" t="s">
        <v>1819</v>
      </c>
      <c r="AB324" s="240"/>
      <c r="AC324" s="240" t="s">
        <v>1731</v>
      </c>
      <c r="AD324" s="240"/>
      <c r="AE324" s="240" t="s">
        <v>1731</v>
      </c>
      <c r="AF324" s="229"/>
      <c r="AG324" s="229"/>
      <c r="AH324" s="229"/>
      <c r="AI324" s="229"/>
      <c r="AJ324" s="229"/>
      <c r="AK324" s="229"/>
      <c r="AL324" s="229"/>
      <c r="AM324" s="229"/>
      <c r="AN324" s="229"/>
      <c r="AO324" s="229"/>
      <c r="AP324" s="229"/>
      <c r="AQ324" s="229"/>
      <c r="AR324" s="229"/>
      <c r="AS324" s="229"/>
      <c r="AT324" s="229"/>
      <c r="AU324" s="229"/>
    </row>
    <row r="325" spans="1:47">
      <c r="A325" s="229"/>
      <c r="B325" s="229"/>
      <c r="C325" s="229"/>
      <c r="D325" s="229"/>
      <c r="E325" s="229"/>
      <c r="F325" s="229"/>
      <c r="G325" s="229"/>
      <c r="H325" s="229"/>
      <c r="I325" s="229"/>
      <c r="J325" s="229"/>
      <c r="K325" s="229"/>
      <c r="L325" s="229"/>
      <c r="M325" s="229"/>
      <c r="N325" s="229"/>
      <c r="O325" s="229"/>
      <c r="P325" s="229"/>
      <c r="Q325" s="1503" t="s">
        <v>533</v>
      </c>
      <c r="R325" s="1504"/>
      <c r="S325" s="1503" t="s">
        <v>1733</v>
      </c>
      <c r="T325" s="1504"/>
      <c r="U325" s="1503" t="s">
        <v>1820</v>
      </c>
      <c r="V325" s="1503"/>
      <c r="W325" s="1503" t="s">
        <v>1821</v>
      </c>
      <c r="X325" s="1503"/>
      <c r="Y325" s="1503" t="s">
        <v>1097</v>
      </c>
      <c r="Z325" s="1503"/>
      <c r="AA325" s="1503" t="s">
        <v>1822</v>
      </c>
      <c r="AB325" s="1503"/>
      <c r="AC325" s="1503"/>
      <c r="AD325" s="1502"/>
      <c r="AE325" s="1503"/>
      <c r="AF325" s="229"/>
      <c r="AG325" s="229"/>
      <c r="AH325" s="229"/>
      <c r="AI325" s="229"/>
      <c r="AJ325" s="229"/>
      <c r="AK325" s="229"/>
      <c r="AL325" s="229"/>
      <c r="AM325" s="229"/>
      <c r="AN325" s="229"/>
      <c r="AO325" s="229"/>
      <c r="AP325" s="229"/>
      <c r="AQ325" s="229"/>
      <c r="AR325" s="229"/>
      <c r="AS325" s="229"/>
      <c r="AT325" s="229"/>
      <c r="AU325" s="229"/>
    </row>
    <row r="326" spans="1:47">
      <c r="A326" s="229"/>
      <c r="B326" s="229"/>
      <c r="C326" s="229"/>
      <c r="D326" s="229"/>
      <c r="E326" s="229"/>
      <c r="F326" s="229"/>
      <c r="G326" s="229"/>
      <c r="H326" s="229"/>
      <c r="I326" s="229"/>
      <c r="J326" s="229"/>
      <c r="K326" s="229"/>
      <c r="L326" s="229"/>
      <c r="M326" s="229"/>
      <c r="N326" s="229"/>
      <c r="O326" s="229"/>
      <c r="P326" s="229"/>
      <c r="Q326" s="1504"/>
      <c r="R326" s="1504"/>
      <c r="S326" s="1505" t="s">
        <v>1737</v>
      </c>
      <c r="T326" s="1504"/>
      <c r="U326" s="1503" t="s">
        <v>1713</v>
      </c>
      <c r="V326" s="1503"/>
      <c r="W326" s="1503" t="s">
        <v>1715</v>
      </c>
      <c r="X326" s="1503"/>
      <c r="Y326" s="1503" t="s">
        <v>1717</v>
      </c>
      <c r="Z326" s="1503"/>
      <c r="AA326" s="1503" t="s">
        <v>1719</v>
      </c>
      <c r="AB326" s="1503"/>
      <c r="AC326" s="1503" t="s">
        <v>1721</v>
      </c>
      <c r="AD326" s="1503"/>
      <c r="AE326" s="1503" t="s">
        <v>1823</v>
      </c>
      <c r="AF326" s="229"/>
      <c r="AG326" s="229"/>
      <c r="AH326" s="229"/>
      <c r="AI326" s="229"/>
      <c r="AJ326" s="229"/>
      <c r="AK326" s="229"/>
      <c r="AL326" s="229"/>
      <c r="AM326" s="229"/>
      <c r="AN326" s="229"/>
      <c r="AO326" s="229"/>
      <c r="AP326" s="229"/>
      <c r="AQ326" s="229"/>
      <c r="AR326" s="229"/>
      <c r="AS326" s="229"/>
      <c r="AT326" s="229"/>
      <c r="AU326" s="229"/>
    </row>
    <row r="327" spans="1:47">
      <c r="A327" s="229"/>
      <c r="B327" s="229"/>
      <c r="C327" s="229"/>
      <c r="D327" s="229"/>
      <c r="E327" s="229"/>
      <c r="F327" s="229"/>
      <c r="G327" s="229"/>
      <c r="H327" s="229"/>
      <c r="I327" s="229"/>
      <c r="J327" s="229"/>
      <c r="K327" s="229"/>
      <c r="L327" s="229"/>
      <c r="M327" s="229"/>
      <c r="N327" s="229"/>
      <c r="O327" s="229"/>
      <c r="P327" s="229"/>
      <c r="Q327" s="240">
        <v>1</v>
      </c>
      <c r="R327" s="242" t="s">
        <v>451</v>
      </c>
      <c r="S327" s="229"/>
      <c r="T327" s="229"/>
      <c r="U327" s="240"/>
      <c r="V327" s="229"/>
      <c r="W327" s="240"/>
      <c r="X327" s="229"/>
      <c r="Y327" s="229"/>
      <c r="Z327" s="229"/>
      <c r="AA327" s="240"/>
      <c r="AB327" s="229"/>
      <c r="AC327" s="240"/>
      <c r="AD327" s="229"/>
      <c r="AE327" s="240"/>
      <c r="AF327" s="229"/>
      <c r="AG327" s="229"/>
      <c r="AH327" s="229"/>
      <c r="AI327" s="229"/>
      <c r="AJ327" s="229"/>
      <c r="AK327" s="229"/>
      <c r="AL327" s="229"/>
      <c r="AM327" s="229"/>
      <c r="AN327" s="229"/>
      <c r="AO327" s="229"/>
      <c r="AP327" s="229"/>
      <c r="AQ327" s="229"/>
      <c r="AR327" s="229"/>
      <c r="AS327" s="229"/>
      <c r="AT327" s="229"/>
      <c r="AU327" s="229"/>
    </row>
    <row r="328" spans="1:47">
      <c r="A328" s="229"/>
      <c r="B328" s="229"/>
      <c r="C328" s="229"/>
      <c r="D328" s="229"/>
      <c r="E328" s="229"/>
      <c r="F328" s="229"/>
      <c r="G328" s="229"/>
      <c r="H328" s="229"/>
      <c r="I328" s="229"/>
      <c r="J328" s="229"/>
      <c r="K328" s="229"/>
      <c r="L328" s="229"/>
      <c r="M328" s="229"/>
      <c r="N328" s="229"/>
      <c r="O328" s="229"/>
      <c r="P328" s="229"/>
      <c r="Q328" s="240">
        <v>2</v>
      </c>
      <c r="R328" s="229"/>
      <c r="S328" s="234" t="s">
        <v>1740</v>
      </c>
      <c r="T328" s="229"/>
      <c r="U328" s="238"/>
      <c r="V328" s="229"/>
      <c r="W328" s="238"/>
      <c r="X328" s="238"/>
      <c r="Y328" s="238"/>
      <c r="Z328" s="238"/>
      <c r="AA328" s="238"/>
      <c r="AB328" s="238"/>
      <c r="AC328" s="238"/>
      <c r="AD328" s="238"/>
      <c r="AE328" s="238"/>
      <c r="AF328" s="229"/>
      <c r="AG328" s="229"/>
      <c r="AH328" s="229"/>
      <c r="AI328" s="229"/>
      <c r="AJ328" s="229"/>
      <c r="AK328" s="229"/>
      <c r="AL328" s="229"/>
      <c r="AM328" s="229"/>
      <c r="AN328" s="229"/>
      <c r="AO328" s="229"/>
      <c r="AP328" s="229"/>
      <c r="AQ328" s="229"/>
      <c r="AR328" s="229"/>
      <c r="AS328" s="229"/>
      <c r="AT328" s="229"/>
      <c r="AU328" s="229"/>
    </row>
    <row r="329" spans="1:47">
      <c r="A329" s="229"/>
      <c r="B329" s="229"/>
      <c r="C329" s="229"/>
      <c r="D329" s="229"/>
      <c r="E329" s="229"/>
      <c r="F329" s="229"/>
      <c r="G329" s="229"/>
      <c r="H329" s="229"/>
      <c r="I329" s="229"/>
      <c r="J329" s="229"/>
      <c r="K329" s="229"/>
      <c r="L329" s="229"/>
      <c r="M329" s="229"/>
      <c r="N329" s="229"/>
      <c r="O329" s="229"/>
      <c r="P329" s="229"/>
      <c r="Q329" s="240">
        <v>3</v>
      </c>
      <c r="R329" s="229"/>
      <c r="S329" s="234" t="s">
        <v>1741</v>
      </c>
      <c r="T329" s="229"/>
      <c r="U329" s="238"/>
      <c r="V329" s="229"/>
      <c r="W329" s="238"/>
      <c r="X329" s="238"/>
      <c r="Y329" s="238"/>
      <c r="Z329" s="238"/>
      <c r="AA329" s="238"/>
      <c r="AB329" s="238"/>
      <c r="AC329" s="238"/>
      <c r="AD329" s="238"/>
      <c r="AE329" s="238"/>
      <c r="AF329" s="229"/>
      <c r="AG329" s="229"/>
      <c r="AH329" s="229"/>
      <c r="AI329" s="229"/>
      <c r="AJ329" s="229"/>
      <c r="AK329" s="229"/>
      <c r="AL329" s="229"/>
      <c r="AM329" s="229"/>
      <c r="AN329" s="229"/>
      <c r="AO329" s="229"/>
      <c r="AP329" s="229"/>
      <c r="AQ329" s="229"/>
      <c r="AR329" s="229"/>
      <c r="AS329" s="229"/>
      <c r="AT329" s="229"/>
      <c r="AU329" s="229"/>
    </row>
    <row r="330" spans="1:47">
      <c r="A330" s="229"/>
      <c r="B330" s="229"/>
      <c r="C330" s="229"/>
      <c r="D330" s="229"/>
      <c r="E330" s="229"/>
      <c r="F330" s="229"/>
      <c r="G330" s="229"/>
      <c r="H330" s="229"/>
      <c r="I330" s="229"/>
      <c r="J330" s="229"/>
      <c r="K330" s="229"/>
      <c r="L330" s="229"/>
      <c r="M330" s="229"/>
      <c r="N330" s="229"/>
      <c r="O330" s="229"/>
      <c r="P330" s="229"/>
      <c r="Q330" s="240">
        <v>4</v>
      </c>
      <c r="R330" s="229"/>
      <c r="S330" s="234" t="s">
        <v>1742</v>
      </c>
      <c r="T330" s="229"/>
      <c r="U330" s="238"/>
      <c r="V330" s="229"/>
      <c r="W330" s="238"/>
      <c r="X330" s="238"/>
      <c r="Y330" s="238"/>
      <c r="Z330" s="238"/>
      <c r="AA330" s="238"/>
      <c r="AB330" s="238"/>
      <c r="AC330" s="238"/>
      <c r="AD330" s="238"/>
      <c r="AE330" s="238"/>
      <c r="AF330" s="229"/>
      <c r="AG330" s="229"/>
      <c r="AH330" s="229"/>
      <c r="AI330" s="229"/>
      <c r="AJ330" s="229"/>
      <c r="AK330" s="229"/>
      <c r="AL330" s="229"/>
      <c r="AM330" s="229"/>
      <c r="AN330" s="229"/>
      <c r="AO330" s="229"/>
      <c r="AP330" s="229"/>
      <c r="AQ330" s="229"/>
      <c r="AR330" s="229"/>
      <c r="AS330" s="229"/>
      <c r="AT330" s="229"/>
      <c r="AU330" s="229"/>
    </row>
    <row r="331" spans="1:47">
      <c r="A331" s="229"/>
      <c r="B331" s="229"/>
      <c r="C331" s="229"/>
      <c r="D331" s="229"/>
      <c r="E331" s="229"/>
      <c r="F331" s="229"/>
      <c r="G331" s="229"/>
      <c r="H331" s="229"/>
      <c r="I331" s="229"/>
      <c r="J331" s="229"/>
      <c r="K331" s="229"/>
      <c r="L331" s="229"/>
      <c r="M331" s="229"/>
      <c r="N331" s="229"/>
      <c r="O331" s="229"/>
      <c r="P331" s="229"/>
      <c r="Q331" s="240">
        <v>5</v>
      </c>
      <c r="R331" s="229"/>
      <c r="S331" s="234" t="s">
        <v>1743</v>
      </c>
      <c r="T331" s="229"/>
      <c r="U331" s="2140">
        <f>SUM(U328:U330)</f>
        <v>0</v>
      </c>
      <c r="V331" s="229"/>
      <c r="W331" s="2140">
        <f>SUM(W328:W330)</f>
        <v>0</v>
      </c>
      <c r="X331" s="238"/>
      <c r="Y331" s="2140">
        <f>SUM(Y328:Y330)</f>
        <v>0</v>
      </c>
      <c r="Z331" s="238"/>
      <c r="AA331" s="2140">
        <f>SUM(AA328:AA330)</f>
        <v>0</v>
      </c>
      <c r="AB331" s="238"/>
      <c r="AC331" s="2140">
        <f>SUM(AC328:AC330)</f>
        <v>0</v>
      </c>
      <c r="AD331" s="238"/>
      <c r="AE331" s="2140">
        <f>SUM(AE328:AE330)</f>
        <v>0</v>
      </c>
      <c r="AF331" s="229"/>
      <c r="AG331" s="229"/>
      <c r="AH331" s="229"/>
      <c r="AI331" s="229"/>
      <c r="AJ331" s="229"/>
      <c r="AK331" s="229"/>
      <c r="AL331" s="229"/>
      <c r="AM331" s="229"/>
      <c r="AN331" s="229"/>
      <c r="AO331" s="229"/>
      <c r="AP331" s="229"/>
      <c r="AQ331" s="229"/>
      <c r="AR331" s="229"/>
      <c r="AS331" s="229"/>
      <c r="AT331" s="229"/>
      <c r="AU331" s="229"/>
    </row>
    <row r="332" spans="1:47">
      <c r="A332" s="229"/>
      <c r="B332" s="229"/>
      <c r="C332" s="229"/>
      <c r="D332" s="229"/>
      <c r="E332" s="229"/>
      <c r="F332" s="229"/>
      <c r="G332" s="229"/>
      <c r="H332" s="229"/>
      <c r="I332" s="229"/>
      <c r="J332" s="229"/>
      <c r="K332" s="229"/>
      <c r="L332" s="229"/>
      <c r="M332" s="229"/>
      <c r="N332" s="229"/>
      <c r="O332" s="229"/>
      <c r="P332" s="229"/>
      <c r="Q332" s="240">
        <v>6</v>
      </c>
      <c r="R332" s="229"/>
      <c r="S332" s="229"/>
      <c r="T332" s="229"/>
      <c r="U332" s="239"/>
      <c r="V332" s="229"/>
      <c r="W332" s="239"/>
      <c r="X332" s="239"/>
      <c r="Y332" s="239"/>
      <c r="Z332" s="239"/>
      <c r="AA332" s="239"/>
      <c r="AB332" s="239"/>
      <c r="AC332" s="239"/>
      <c r="AD332" s="239"/>
      <c r="AE332" s="239"/>
      <c r="AF332" s="229"/>
      <c r="AG332" s="229"/>
      <c r="AH332" s="229"/>
      <c r="AI332" s="229"/>
      <c r="AJ332" s="229"/>
      <c r="AK332" s="229"/>
      <c r="AL332" s="229"/>
      <c r="AM332" s="229"/>
      <c r="AN332" s="229"/>
      <c r="AO332" s="229"/>
      <c r="AP332" s="229"/>
      <c r="AQ332" s="229"/>
      <c r="AR332" s="229"/>
      <c r="AS332" s="229"/>
      <c r="AT332" s="229"/>
      <c r="AU332" s="229"/>
    </row>
    <row r="333" spans="1:47">
      <c r="A333" s="229"/>
      <c r="B333" s="229"/>
      <c r="C333" s="229"/>
      <c r="D333" s="229"/>
      <c r="E333" s="229"/>
      <c r="F333" s="229"/>
      <c r="G333" s="229"/>
      <c r="H333" s="229"/>
      <c r="I333" s="229"/>
      <c r="J333" s="229"/>
      <c r="K333" s="229"/>
      <c r="L333" s="229"/>
      <c r="M333" s="229"/>
      <c r="N333" s="229"/>
      <c r="O333" s="229"/>
      <c r="P333" s="229"/>
      <c r="Q333" s="240">
        <v>7</v>
      </c>
      <c r="R333" s="242" t="s">
        <v>404</v>
      </c>
      <c r="S333" s="229"/>
      <c r="T333" s="229"/>
      <c r="U333" s="1752" t="str">
        <f>IF(SUM(U334:U335,U352,U357,U362)=0,"","DATA ENTERED IN WRONG LINE")</f>
        <v/>
      </c>
      <c r="V333" s="1752"/>
      <c r="W333" s="1752" t="str">
        <f>IF(SUM(W334:W335,W352,W357,W362)=0,"","DATA ENTERED IN WRONG LINE")</f>
        <v/>
      </c>
      <c r="X333" s="1752"/>
      <c r="Y333" s="1752" t="str">
        <f>IF(SUM(Y334:Y335,Y352,Y357,Y362)=0,"","DATA ENTERED IN WRONG LINE")</f>
        <v/>
      </c>
      <c r="Z333" s="1752"/>
      <c r="AA333" s="1752" t="str">
        <f>IF(SUM(AA334:AA335,AA352,AA357,AA362)=0,"","DATA ENTERED IN WRONG LINE")</f>
        <v/>
      </c>
      <c r="AB333" s="1752"/>
      <c r="AC333" s="1752" t="str">
        <f>IF(SUM(AC334:AC335,AC352,AC357,AC362)=0,"","DATA ENTERED IN WRONG LINE")</f>
        <v/>
      </c>
      <c r="AD333" s="1752"/>
      <c r="AE333" s="1752" t="str">
        <f>IF(SUM(AE334:AE335,AE352,AE357,AE362)=0,"","DATA ENTERED IN WRONG LINE")</f>
        <v/>
      </c>
      <c r="AF333" s="229"/>
      <c r="AG333" s="229"/>
      <c r="AH333" s="229"/>
      <c r="AI333" s="229"/>
      <c r="AJ333" s="229"/>
      <c r="AK333" s="229"/>
      <c r="AL333" s="229"/>
      <c r="AM333" s="229"/>
      <c r="AN333" s="229"/>
      <c r="AO333" s="229"/>
      <c r="AP333" s="229"/>
      <c r="AQ333" s="229"/>
      <c r="AR333" s="229"/>
      <c r="AS333" s="229"/>
      <c r="AT333" s="229"/>
      <c r="AU333" s="229"/>
    </row>
    <row r="334" spans="1:47">
      <c r="A334" s="229"/>
      <c r="B334" s="229"/>
      <c r="C334" s="229"/>
      <c r="D334" s="229"/>
      <c r="E334" s="229"/>
      <c r="F334" s="229"/>
      <c r="G334" s="229"/>
      <c r="H334" s="229"/>
      <c r="I334" s="229"/>
      <c r="J334" s="229"/>
      <c r="K334" s="229"/>
      <c r="L334" s="229"/>
      <c r="M334" s="229"/>
      <c r="N334" s="229"/>
      <c r="O334" s="229"/>
      <c r="P334" s="229"/>
      <c r="Q334" s="240">
        <v>8</v>
      </c>
      <c r="R334" s="229"/>
      <c r="S334" s="234" t="s">
        <v>1744</v>
      </c>
      <c r="T334" s="229"/>
      <c r="U334" s="229"/>
      <c r="V334" s="229"/>
      <c r="W334" s="238"/>
      <c r="X334" s="229"/>
      <c r="Y334" s="229"/>
      <c r="Z334" s="229"/>
      <c r="AA334" s="229"/>
      <c r="AB334" s="229"/>
      <c r="AC334" s="229"/>
      <c r="AD334" s="229"/>
      <c r="AE334" s="229"/>
      <c r="AF334" s="229"/>
      <c r="AG334" s="229"/>
      <c r="AH334" s="229"/>
      <c r="AI334" s="229"/>
      <c r="AJ334" s="229"/>
      <c r="AK334" s="229"/>
      <c r="AL334" s="229"/>
      <c r="AM334" s="229"/>
      <c r="AN334" s="229"/>
      <c r="AO334" s="229"/>
      <c r="AP334" s="229"/>
      <c r="AQ334" s="229"/>
      <c r="AR334" s="229"/>
      <c r="AS334" s="229"/>
      <c r="AT334" s="229"/>
      <c r="AU334" s="229"/>
    </row>
    <row r="335" spans="1:47">
      <c r="A335" s="229"/>
      <c r="B335" s="229"/>
      <c r="C335" s="229"/>
      <c r="D335" s="229"/>
      <c r="E335" s="229"/>
      <c r="F335" s="229"/>
      <c r="G335" s="229"/>
      <c r="H335" s="229"/>
      <c r="I335" s="229"/>
      <c r="J335" s="229"/>
      <c r="K335" s="229"/>
      <c r="L335" s="229"/>
      <c r="M335" s="229"/>
      <c r="N335" s="229"/>
      <c r="O335" s="229"/>
      <c r="P335" s="229"/>
      <c r="Q335" s="240">
        <v>9</v>
      </c>
      <c r="R335" s="229"/>
      <c r="S335" s="234" t="s">
        <v>1745</v>
      </c>
      <c r="T335" s="229"/>
      <c r="U335" s="229"/>
      <c r="V335" s="229"/>
      <c r="W335" s="238"/>
      <c r="X335" s="229"/>
      <c r="Y335" s="229"/>
      <c r="Z335" s="229"/>
      <c r="AA335" s="229"/>
      <c r="AB335" s="229"/>
      <c r="AC335" s="229"/>
      <c r="AD335" s="229"/>
      <c r="AE335" s="229"/>
      <c r="AF335" s="229"/>
      <c r="AG335" s="229"/>
      <c r="AH335" s="229"/>
      <c r="AI335" s="229"/>
      <c r="AJ335" s="229"/>
      <c r="AK335" s="229"/>
      <c r="AL335" s="229"/>
      <c r="AM335" s="229"/>
      <c r="AN335" s="229"/>
      <c r="AO335" s="229"/>
      <c r="AP335" s="229"/>
      <c r="AQ335" s="229"/>
      <c r="AR335" s="229"/>
      <c r="AS335" s="229"/>
      <c r="AT335" s="229"/>
      <c r="AU335" s="229"/>
    </row>
    <row r="336" spans="1:47">
      <c r="A336" s="229"/>
      <c r="B336" s="229"/>
      <c r="C336" s="229"/>
      <c r="D336" s="229"/>
      <c r="E336" s="229"/>
      <c r="F336" s="229"/>
      <c r="G336" s="229"/>
      <c r="H336" s="229"/>
      <c r="I336" s="229"/>
      <c r="J336" s="229"/>
      <c r="K336" s="229"/>
      <c r="L336" s="229"/>
      <c r="M336" s="229"/>
      <c r="N336" s="229"/>
      <c r="O336" s="229"/>
      <c r="P336" s="229"/>
      <c r="Q336" s="240">
        <v>10</v>
      </c>
      <c r="R336" s="229"/>
      <c r="S336" s="181" t="s">
        <v>454</v>
      </c>
      <c r="T336" s="229"/>
      <c r="U336" s="238"/>
      <c r="V336" s="229"/>
      <c r="W336" s="238"/>
      <c r="X336" s="238"/>
      <c r="Y336" s="229"/>
      <c r="Z336" s="238"/>
      <c r="AA336" s="238"/>
      <c r="AB336" s="238"/>
      <c r="AC336" s="238"/>
      <c r="AD336" s="238"/>
      <c r="AE336" s="238"/>
      <c r="AF336" s="229"/>
      <c r="AG336" s="229"/>
      <c r="AH336" s="229"/>
      <c r="AI336" s="229"/>
      <c r="AJ336" s="229"/>
      <c r="AK336" s="229"/>
      <c r="AL336" s="229"/>
      <c r="AM336" s="229"/>
      <c r="AN336" s="229"/>
      <c r="AO336" s="229"/>
      <c r="AP336" s="229"/>
      <c r="AQ336" s="229"/>
      <c r="AR336" s="229"/>
      <c r="AS336" s="229"/>
      <c r="AT336" s="229"/>
      <c r="AU336" s="229"/>
    </row>
    <row r="337" spans="1:47">
      <c r="A337" s="229"/>
      <c r="B337" s="229"/>
      <c r="C337" s="229"/>
      <c r="D337" s="229"/>
      <c r="E337" s="229"/>
      <c r="F337" s="229"/>
      <c r="G337" s="229"/>
      <c r="H337" s="229"/>
      <c r="I337" s="229"/>
      <c r="J337" s="229"/>
      <c r="K337" s="229"/>
      <c r="L337" s="229"/>
      <c r="M337" s="229"/>
      <c r="N337" s="229"/>
      <c r="O337" s="229"/>
      <c r="P337" s="229"/>
      <c r="Q337" s="240">
        <v>11</v>
      </c>
      <c r="R337" s="229"/>
      <c r="S337" s="234" t="s">
        <v>1746</v>
      </c>
      <c r="T337" s="229"/>
      <c r="U337" s="238"/>
      <c r="V337" s="229"/>
      <c r="W337" s="238"/>
      <c r="X337" s="238"/>
      <c r="Y337" s="238"/>
      <c r="Z337" s="238"/>
      <c r="AA337" s="238">
        <f>SCH_D2.30!H20</f>
        <v>-2414473</v>
      </c>
      <c r="AB337" s="238"/>
      <c r="AC337" s="238"/>
      <c r="AD337" s="238"/>
      <c r="AE337" s="238"/>
      <c r="AF337" s="229"/>
      <c r="AG337" s="229"/>
      <c r="AH337" s="229"/>
      <c r="AI337" s="229"/>
      <c r="AJ337" s="229"/>
      <c r="AK337" s="229"/>
      <c r="AL337" s="229"/>
      <c r="AM337" s="229"/>
      <c r="AN337" s="229"/>
      <c r="AO337" s="229"/>
      <c r="AP337" s="229"/>
      <c r="AQ337" s="229"/>
      <c r="AR337" s="229"/>
      <c r="AS337" s="229"/>
      <c r="AT337" s="229"/>
      <c r="AU337" s="229"/>
    </row>
    <row r="338" spans="1:47">
      <c r="A338" s="229"/>
      <c r="B338" s="229"/>
      <c r="C338" s="229"/>
      <c r="D338" s="229"/>
      <c r="E338" s="229"/>
      <c r="F338" s="229"/>
      <c r="G338" s="229"/>
      <c r="H338" s="229"/>
      <c r="I338" s="229"/>
      <c r="J338" s="229"/>
      <c r="K338" s="229"/>
      <c r="L338" s="229"/>
      <c r="M338" s="229"/>
      <c r="N338" s="229"/>
      <c r="O338" s="229"/>
      <c r="P338" s="229"/>
      <c r="Q338" s="240">
        <v>12</v>
      </c>
      <c r="R338" s="229"/>
      <c r="S338" s="234" t="s">
        <v>1747</v>
      </c>
      <c r="T338" s="229"/>
      <c r="U338" s="2141">
        <f>SUM(U335:U337)</f>
        <v>0</v>
      </c>
      <c r="V338" s="229"/>
      <c r="W338" s="2141">
        <f>SUM(W335:W337)</f>
        <v>0</v>
      </c>
      <c r="X338" s="238"/>
      <c r="Y338" s="2141">
        <f>SUM(Y335:Y337)</f>
        <v>0</v>
      </c>
      <c r="Z338" s="238"/>
      <c r="AA338" s="2141">
        <f>SUM(AA335:AA337)</f>
        <v>-2414473</v>
      </c>
      <c r="AB338" s="238"/>
      <c r="AC338" s="2141">
        <f>SUM(AC335:AC337)</f>
        <v>0</v>
      </c>
      <c r="AD338" s="238"/>
      <c r="AE338" s="2141">
        <f>SUM(AE335:AE337)</f>
        <v>0</v>
      </c>
      <c r="AF338" s="229"/>
      <c r="AG338" s="229"/>
      <c r="AH338" s="229"/>
      <c r="AI338" s="229"/>
      <c r="AJ338" s="229"/>
      <c r="AK338" s="229"/>
      <c r="AL338" s="229"/>
      <c r="AM338" s="229"/>
      <c r="AN338" s="229"/>
      <c r="AO338" s="229"/>
      <c r="AP338" s="229"/>
      <c r="AQ338" s="229"/>
      <c r="AR338" s="229"/>
      <c r="AS338" s="229"/>
      <c r="AT338" s="229"/>
      <c r="AU338" s="229"/>
    </row>
    <row r="339" spans="1:47">
      <c r="A339" s="229"/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40">
        <v>13</v>
      </c>
      <c r="R339" s="229"/>
      <c r="S339" s="229"/>
      <c r="T339" s="229"/>
      <c r="U339" s="239"/>
      <c r="V339" s="229"/>
      <c r="W339" s="239"/>
      <c r="X339" s="239"/>
      <c r="Y339" s="239"/>
      <c r="Z339" s="239"/>
      <c r="AA339" s="239"/>
      <c r="AB339" s="239"/>
      <c r="AC339" s="239"/>
      <c r="AD339" s="239"/>
      <c r="AE339" s="239"/>
      <c r="AF339" s="229"/>
      <c r="AG339" s="229"/>
      <c r="AH339" s="229"/>
      <c r="AI339" s="229"/>
      <c r="AJ339" s="229"/>
      <c r="AK339" s="229"/>
      <c r="AL339" s="229"/>
      <c r="AM339" s="229"/>
      <c r="AN339" s="229"/>
      <c r="AO339" s="229"/>
      <c r="AP339" s="229"/>
      <c r="AQ339" s="229"/>
      <c r="AR339" s="229"/>
      <c r="AS339" s="229"/>
      <c r="AT339" s="229"/>
      <c r="AU339" s="229"/>
    </row>
    <row r="340" spans="1:47">
      <c r="A340" s="229"/>
      <c r="B340" s="229"/>
      <c r="C340" s="229"/>
      <c r="D340" s="229"/>
      <c r="E340" s="229"/>
      <c r="F340" s="229"/>
      <c r="G340" s="229"/>
      <c r="H340" s="229"/>
      <c r="I340" s="229"/>
      <c r="J340" s="229"/>
      <c r="K340" s="229"/>
      <c r="L340" s="229"/>
      <c r="M340" s="229"/>
      <c r="N340" s="229"/>
      <c r="O340" s="229"/>
      <c r="P340" s="229"/>
      <c r="Q340" s="240">
        <v>14</v>
      </c>
      <c r="R340" s="229"/>
      <c r="S340" s="234" t="s">
        <v>1776</v>
      </c>
      <c r="T340" s="229"/>
      <c r="U340" s="239"/>
      <c r="V340" s="229"/>
      <c r="W340" s="239"/>
      <c r="X340" s="239"/>
      <c r="Y340" s="239"/>
      <c r="Z340" s="239"/>
      <c r="AA340" s="239"/>
      <c r="AB340" s="239"/>
      <c r="AC340" s="239"/>
      <c r="AD340" s="239"/>
      <c r="AE340" s="239"/>
      <c r="AF340" s="229"/>
      <c r="AG340" s="229"/>
      <c r="AH340" s="229"/>
      <c r="AI340" s="229"/>
      <c r="AJ340" s="229"/>
      <c r="AK340" s="229"/>
      <c r="AL340" s="229"/>
      <c r="AM340" s="229"/>
      <c r="AN340" s="229"/>
      <c r="AO340" s="229"/>
      <c r="AP340" s="229"/>
      <c r="AQ340" s="229"/>
      <c r="AR340" s="229"/>
      <c r="AS340" s="229"/>
      <c r="AT340" s="229"/>
      <c r="AU340" s="229"/>
    </row>
    <row r="341" spans="1:47">
      <c r="A341" s="229"/>
      <c r="B341" s="229"/>
      <c r="C341" s="229"/>
      <c r="D341" s="229"/>
      <c r="E341" s="229"/>
      <c r="F341" s="229"/>
      <c r="G341" s="229"/>
      <c r="H341" s="229"/>
      <c r="I341" s="229"/>
      <c r="J341" s="229"/>
      <c r="K341" s="229"/>
      <c r="L341" s="229"/>
      <c r="M341" s="229"/>
      <c r="N341" s="229"/>
      <c r="O341" s="229"/>
      <c r="P341" s="229"/>
      <c r="Q341" s="240">
        <v>15</v>
      </c>
      <c r="R341" s="229"/>
      <c r="S341" s="234" t="s">
        <v>1777</v>
      </c>
      <c r="T341" s="229"/>
      <c r="U341" s="239"/>
      <c r="V341" s="229"/>
      <c r="W341" s="239"/>
      <c r="X341" s="239"/>
      <c r="Y341" s="239"/>
      <c r="Z341" s="239"/>
      <c r="AA341" s="239"/>
      <c r="AB341" s="239"/>
      <c r="AC341" s="239"/>
      <c r="AD341" s="239"/>
      <c r="AE341" s="239"/>
      <c r="AF341" s="229"/>
      <c r="AG341" s="229"/>
      <c r="AH341" s="229"/>
      <c r="AI341" s="229"/>
      <c r="AJ341" s="229"/>
      <c r="AK341" s="229"/>
      <c r="AL341" s="229"/>
      <c r="AM341" s="229"/>
      <c r="AN341" s="229"/>
      <c r="AO341" s="229"/>
      <c r="AP341" s="229"/>
      <c r="AQ341" s="229"/>
      <c r="AR341" s="229"/>
      <c r="AS341" s="229"/>
      <c r="AT341" s="229"/>
      <c r="AU341" s="229"/>
    </row>
    <row r="342" spans="1:47">
      <c r="A342" s="229"/>
      <c r="B342" s="229"/>
      <c r="C342" s="229"/>
      <c r="D342" s="229"/>
      <c r="E342" s="229"/>
      <c r="F342" s="229"/>
      <c r="G342" s="229"/>
      <c r="H342" s="229"/>
      <c r="I342" s="229"/>
      <c r="J342" s="229"/>
      <c r="K342" s="229"/>
      <c r="L342" s="229"/>
      <c r="M342" s="229"/>
      <c r="N342" s="229"/>
      <c r="O342" s="229"/>
      <c r="P342" s="229"/>
      <c r="Q342" s="240">
        <v>16</v>
      </c>
      <c r="R342" s="229"/>
      <c r="S342" s="234" t="s">
        <v>1778</v>
      </c>
      <c r="T342" s="229"/>
      <c r="U342" s="238"/>
      <c r="V342" s="229"/>
      <c r="W342" s="238"/>
      <c r="X342" s="238"/>
      <c r="Y342" s="238"/>
      <c r="Z342" s="238"/>
      <c r="AA342" s="238"/>
      <c r="AB342" s="238"/>
      <c r="AC342" s="238"/>
      <c r="AD342" s="238"/>
      <c r="AE342" s="238"/>
      <c r="AF342" s="229"/>
      <c r="AG342" s="229"/>
      <c r="AH342" s="229"/>
      <c r="AI342" s="229"/>
      <c r="AJ342" s="229"/>
      <c r="AK342" s="229"/>
      <c r="AL342" s="229"/>
      <c r="AM342" s="229"/>
      <c r="AN342" s="229"/>
      <c r="AO342" s="229"/>
      <c r="AP342" s="229"/>
      <c r="AQ342" s="229"/>
      <c r="AR342" s="229"/>
      <c r="AS342" s="229"/>
      <c r="AT342" s="229"/>
      <c r="AU342" s="229"/>
    </row>
    <row r="343" spans="1:47">
      <c r="A343" s="229"/>
      <c r="B343" s="229"/>
      <c r="C343" s="229"/>
      <c r="D343" s="229"/>
      <c r="E343" s="229"/>
      <c r="F343" s="229"/>
      <c r="G343" s="229"/>
      <c r="H343" s="229"/>
      <c r="I343" s="229"/>
      <c r="J343" s="229"/>
      <c r="K343" s="229"/>
      <c r="L343" s="229"/>
      <c r="M343" s="229"/>
      <c r="N343" s="229"/>
      <c r="O343" s="229"/>
      <c r="P343" s="229"/>
      <c r="Q343" s="240">
        <v>17</v>
      </c>
      <c r="R343" s="229"/>
      <c r="S343" s="234" t="s">
        <v>1779</v>
      </c>
      <c r="T343" s="229"/>
      <c r="U343" s="238"/>
      <c r="V343" s="229"/>
      <c r="W343" s="238"/>
      <c r="X343" s="238"/>
      <c r="Y343" s="238"/>
      <c r="Z343" s="238"/>
      <c r="AA343" s="238"/>
      <c r="AB343" s="238"/>
      <c r="AC343" s="238">
        <f>SCH_D2.30!J20</f>
        <v>0</v>
      </c>
      <c r="AD343" s="238"/>
      <c r="AE343" s="238"/>
      <c r="AF343" s="229"/>
      <c r="AG343" s="229"/>
      <c r="AH343" s="229"/>
      <c r="AI343" s="229"/>
      <c r="AJ343" s="229"/>
      <c r="AK343" s="229"/>
      <c r="AL343" s="229"/>
      <c r="AM343" s="229"/>
      <c r="AN343" s="229"/>
      <c r="AO343" s="229"/>
      <c r="AP343" s="229"/>
      <c r="AQ343" s="229"/>
      <c r="AR343" s="229"/>
      <c r="AS343" s="229"/>
      <c r="AT343" s="229"/>
      <c r="AU343" s="229"/>
    </row>
    <row r="344" spans="1:47">
      <c r="A344" s="229"/>
      <c r="B344" s="229"/>
      <c r="C344" s="229"/>
      <c r="D344" s="229"/>
      <c r="E344" s="229"/>
      <c r="F344" s="229"/>
      <c r="G344" s="229"/>
      <c r="H344" s="229"/>
      <c r="I344" s="229"/>
      <c r="J344" s="229"/>
      <c r="K344" s="229"/>
      <c r="L344" s="229"/>
      <c r="M344" s="229"/>
      <c r="N344" s="229"/>
      <c r="O344" s="229"/>
      <c r="P344" s="229"/>
      <c r="Q344" s="240">
        <v>18</v>
      </c>
      <c r="R344" s="229"/>
      <c r="S344" s="234" t="s">
        <v>1780</v>
      </c>
      <c r="T344" s="229"/>
      <c r="U344" s="238"/>
      <c r="V344" s="229"/>
      <c r="W344" s="238"/>
      <c r="X344" s="238"/>
      <c r="Y344" s="238"/>
      <c r="Z344" s="238"/>
      <c r="AA344" s="238"/>
      <c r="AB344" s="238"/>
      <c r="AC344" s="238"/>
      <c r="AD344" s="238"/>
      <c r="AE344" s="238"/>
      <c r="AF344" s="229"/>
      <c r="AG344" s="229"/>
      <c r="AH344" s="229"/>
      <c r="AI344" s="229"/>
      <c r="AJ344" s="229"/>
      <c r="AK344" s="229"/>
      <c r="AL344" s="229"/>
      <c r="AM344" s="229"/>
      <c r="AN344" s="229"/>
      <c r="AO344" s="229"/>
      <c r="AP344" s="229"/>
      <c r="AQ344" s="229"/>
      <c r="AR344" s="229"/>
      <c r="AS344" s="229"/>
      <c r="AT344" s="229"/>
      <c r="AU344" s="229"/>
    </row>
    <row r="345" spans="1:47">
      <c r="A345" s="229"/>
      <c r="B345" s="229"/>
      <c r="C345" s="229"/>
      <c r="D345" s="229"/>
      <c r="E345" s="229"/>
      <c r="F345" s="229"/>
      <c r="G345" s="229"/>
      <c r="H345" s="229"/>
      <c r="I345" s="229"/>
      <c r="J345" s="229"/>
      <c r="K345" s="229"/>
      <c r="L345" s="229"/>
      <c r="M345" s="229"/>
      <c r="N345" s="229"/>
      <c r="O345" s="229"/>
      <c r="P345" s="229"/>
      <c r="Q345" s="240">
        <v>19</v>
      </c>
      <c r="R345" s="229"/>
      <c r="S345" s="234" t="s">
        <v>1781</v>
      </c>
      <c r="T345" s="229"/>
      <c r="U345" s="238"/>
      <c r="V345" s="229"/>
      <c r="W345" s="238"/>
      <c r="X345" s="238"/>
      <c r="Y345" s="238"/>
      <c r="Z345" s="238"/>
      <c r="AA345" s="238"/>
      <c r="AB345" s="238"/>
      <c r="AC345" s="238"/>
      <c r="AD345" s="238"/>
      <c r="AE345" s="238"/>
      <c r="AF345" s="229"/>
      <c r="AG345" s="229"/>
      <c r="AH345" s="229"/>
      <c r="AI345" s="229"/>
      <c r="AJ345" s="229"/>
      <c r="AK345" s="229"/>
      <c r="AL345" s="229"/>
      <c r="AM345" s="229"/>
      <c r="AN345" s="229"/>
      <c r="AO345" s="229"/>
      <c r="AP345" s="229"/>
      <c r="AQ345" s="229"/>
      <c r="AR345" s="229"/>
      <c r="AS345" s="229"/>
      <c r="AT345" s="229"/>
      <c r="AU345" s="229"/>
    </row>
    <row r="346" spans="1:47">
      <c r="A346" s="229"/>
      <c r="B346" s="229"/>
      <c r="C346" s="229"/>
      <c r="D346" s="229"/>
      <c r="E346" s="229"/>
      <c r="F346" s="229"/>
      <c r="G346" s="229"/>
      <c r="H346" s="229"/>
      <c r="I346" s="229"/>
      <c r="J346" s="229"/>
      <c r="K346" s="229"/>
      <c r="L346" s="229"/>
      <c r="M346" s="229"/>
      <c r="N346" s="229"/>
      <c r="O346" s="229"/>
      <c r="P346" s="229"/>
      <c r="Q346" s="240">
        <v>20</v>
      </c>
      <c r="R346" s="229"/>
      <c r="S346" s="234" t="s">
        <v>1782</v>
      </c>
      <c r="T346" s="229"/>
      <c r="V346" s="229"/>
      <c r="W346" s="238">
        <f>SCH_D2.28!H30</f>
        <v>-2324831</v>
      </c>
      <c r="X346" s="238"/>
      <c r="Y346" s="767">
        <f>SCH_D2.29!H29</f>
        <v>-533600</v>
      </c>
      <c r="Z346" s="238"/>
      <c r="AA346" s="238"/>
      <c r="AB346" s="238"/>
      <c r="AC346" s="238"/>
      <c r="AD346" s="238"/>
      <c r="AE346" s="238"/>
      <c r="AF346" s="229"/>
      <c r="AG346" s="229"/>
      <c r="AH346" s="229"/>
      <c r="AI346" s="229"/>
      <c r="AJ346" s="229"/>
      <c r="AK346" s="229"/>
      <c r="AL346" s="229"/>
      <c r="AM346" s="229"/>
      <c r="AN346" s="229"/>
      <c r="AO346" s="229"/>
      <c r="AP346" s="229"/>
      <c r="AQ346" s="229"/>
      <c r="AR346" s="229"/>
      <c r="AS346" s="229"/>
      <c r="AT346" s="229"/>
      <c r="AU346" s="229"/>
    </row>
    <row r="347" spans="1:47">
      <c r="A347" s="229"/>
      <c r="B347" s="229"/>
      <c r="C347" s="229"/>
      <c r="D347" s="229"/>
      <c r="E347" s="229"/>
      <c r="F347" s="229"/>
      <c r="G347" s="229"/>
      <c r="H347" s="229"/>
      <c r="I347" s="229"/>
      <c r="J347" s="229"/>
      <c r="K347" s="229"/>
      <c r="L347" s="229"/>
      <c r="M347" s="229"/>
      <c r="N347" s="229"/>
      <c r="O347" s="229"/>
      <c r="P347" s="229"/>
      <c r="Q347" s="240">
        <v>21</v>
      </c>
      <c r="R347" s="229"/>
      <c r="S347" s="234" t="s">
        <v>1783</v>
      </c>
      <c r="T347" s="229"/>
      <c r="U347" s="238">
        <f>SCH_D2.27!G24</f>
        <v>1281601</v>
      </c>
      <c r="V347" s="229"/>
      <c r="X347" s="238"/>
      <c r="Y347" s="238"/>
      <c r="Z347" s="238"/>
      <c r="AA347" s="238"/>
      <c r="AB347" s="238"/>
      <c r="AC347" s="238"/>
      <c r="AD347" s="238"/>
      <c r="AE347" s="238"/>
      <c r="AF347" s="229"/>
      <c r="AG347" s="229"/>
      <c r="AH347" s="229"/>
      <c r="AI347" s="229"/>
      <c r="AJ347" s="229"/>
      <c r="AK347" s="229"/>
      <c r="AL347" s="229"/>
      <c r="AM347" s="229"/>
      <c r="AN347" s="229"/>
      <c r="AO347" s="229"/>
      <c r="AP347" s="229"/>
      <c r="AQ347" s="229"/>
      <c r="AR347" s="229"/>
      <c r="AS347" s="229"/>
      <c r="AT347" s="229"/>
      <c r="AU347" s="229"/>
    </row>
    <row r="348" spans="1:47">
      <c r="A348" s="229"/>
      <c r="B348" s="229"/>
      <c r="C348" s="229"/>
      <c r="D348" s="229"/>
      <c r="E348" s="229"/>
      <c r="F348" s="229"/>
      <c r="G348" s="229"/>
      <c r="H348" s="229"/>
      <c r="I348" s="229"/>
      <c r="J348" s="229"/>
      <c r="K348" s="229"/>
      <c r="L348" s="229"/>
      <c r="M348" s="229"/>
      <c r="N348" s="229"/>
      <c r="O348" s="229"/>
      <c r="P348" s="229"/>
      <c r="Q348" s="240">
        <v>22</v>
      </c>
      <c r="R348" s="229"/>
      <c r="S348" s="234" t="s">
        <v>1756</v>
      </c>
      <c r="T348" s="229"/>
      <c r="U348" s="2140">
        <f>U338+SUM(U340:U347)</f>
        <v>1281601</v>
      </c>
      <c r="V348" s="229"/>
      <c r="W348" s="2140">
        <f>W338+SUM(W340:W347)</f>
        <v>-2324831</v>
      </c>
      <c r="X348" s="238"/>
      <c r="Y348" s="2140">
        <f>Y338+SUM(Y340:Y347)</f>
        <v>-533600</v>
      </c>
      <c r="Z348" s="238"/>
      <c r="AA348" s="2140">
        <f>AA338+SUM(AA340:AA347)</f>
        <v>-2414473</v>
      </c>
      <c r="AB348" s="238"/>
      <c r="AC348" s="2140">
        <f>AC338+SUM(AC340:AC347)</f>
        <v>0</v>
      </c>
      <c r="AD348" s="238"/>
      <c r="AE348" s="2140">
        <f>AE338+SUM(AE340:AE347)</f>
        <v>0</v>
      </c>
      <c r="AF348" s="229"/>
      <c r="AG348" s="229"/>
      <c r="AH348" s="229"/>
      <c r="AI348" s="229"/>
      <c r="AJ348" s="229"/>
      <c r="AK348" s="229"/>
      <c r="AL348" s="229"/>
      <c r="AM348" s="229"/>
      <c r="AN348" s="229"/>
      <c r="AO348" s="229"/>
      <c r="AP348" s="229"/>
      <c r="AQ348" s="229"/>
      <c r="AR348" s="229"/>
      <c r="AS348" s="229"/>
      <c r="AT348" s="229"/>
      <c r="AU348" s="229"/>
    </row>
    <row r="349" spans="1:47">
      <c r="A349" s="229"/>
      <c r="B349" s="229"/>
      <c r="C349" s="229"/>
      <c r="D349" s="229"/>
      <c r="E349" s="229"/>
      <c r="F349" s="229"/>
      <c r="G349" s="229"/>
      <c r="H349" s="229"/>
      <c r="I349" s="229"/>
      <c r="J349" s="229"/>
      <c r="K349" s="229"/>
      <c r="L349" s="229"/>
      <c r="M349" s="229"/>
      <c r="N349" s="229"/>
      <c r="O349" s="229"/>
      <c r="P349" s="229"/>
      <c r="Q349" s="240">
        <v>23</v>
      </c>
      <c r="R349" s="229"/>
      <c r="S349" s="229"/>
      <c r="T349" s="229"/>
      <c r="U349" s="239"/>
      <c r="V349" s="229"/>
      <c r="W349" s="239"/>
      <c r="X349" s="239"/>
      <c r="Y349" s="239"/>
      <c r="Z349" s="239"/>
      <c r="AA349" s="239"/>
      <c r="AB349" s="239"/>
      <c r="AC349" s="239"/>
      <c r="AD349" s="239"/>
      <c r="AE349" s="239"/>
      <c r="AF349" s="229"/>
      <c r="AG349" s="229"/>
      <c r="AH349" s="229"/>
      <c r="AI349" s="229"/>
      <c r="AJ349" s="229"/>
      <c r="AK349" s="229"/>
      <c r="AL349" s="229"/>
      <c r="AM349" s="229"/>
      <c r="AN349" s="229"/>
      <c r="AO349" s="229"/>
      <c r="AP349" s="229"/>
      <c r="AQ349" s="229"/>
      <c r="AR349" s="229"/>
      <c r="AS349" s="229"/>
      <c r="AT349" s="229"/>
      <c r="AU349" s="229"/>
    </row>
    <row r="350" spans="1:47">
      <c r="A350" s="229"/>
      <c r="B350" s="229"/>
      <c r="C350" s="229"/>
      <c r="D350" s="229"/>
      <c r="E350" s="229"/>
      <c r="F350" s="229"/>
      <c r="G350" s="229"/>
      <c r="H350" s="229"/>
      <c r="I350" s="229"/>
      <c r="J350" s="229"/>
      <c r="K350" s="229"/>
      <c r="L350" s="229"/>
      <c r="M350" s="229"/>
      <c r="N350" s="229"/>
      <c r="O350" s="229"/>
      <c r="P350" s="229"/>
      <c r="Q350" s="240">
        <v>24</v>
      </c>
      <c r="R350" s="229"/>
      <c r="S350" s="234" t="s">
        <v>1784</v>
      </c>
      <c r="T350" s="229"/>
      <c r="U350" s="1506">
        <v>0</v>
      </c>
      <c r="V350" s="229"/>
      <c r="W350" s="1506">
        <f>SCH_C2!U374</f>
        <v>0</v>
      </c>
      <c r="X350" s="238"/>
      <c r="Y350" s="1506">
        <v>0</v>
      </c>
      <c r="Z350" s="238"/>
      <c r="AA350" s="1506">
        <v>0</v>
      </c>
      <c r="AB350" s="238"/>
      <c r="AC350" s="1506">
        <v>0</v>
      </c>
      <c r="AD350" s="238"/>
      <c r="AE350" s="1506">
        <v>0</v>
      </c>
      <c r="AF350" s="229"/>
      <c r="AG350" s="229"/>
      <c r="AH350" s="229"/>
      <c r="AI350" s="229"/>
      <c r="AJ350" s="229"/>
      <c r="AK350" s="229"/>
      <c r="AL350" s="229"/>
      <c r="AM350" s="229"/>
      <c r="AN350" s="229"/>
      <c r="AO350" s="229"/>
      <c r="AP350" s="229"/>
      <c r="AQ350" s="229"/>
      <c r="AR350" s="229"/>
      <c r="AS350" s="229"/>
      <c r="AT350" s="229"/>
      <c r="AU350" s="229"/>
    </row>
    <row r="351" spans="1:47">
      <c r="A351" s="229"/>
      <c r="B351" s="229"/>
      <c r="C351" s="229"/>
      <c r="D351" s="229"/>
      <c r="E351" s="229"/>
      <c r="F351" s="229"/>
      <c r="G351" s="229"/>
      <c r="H351" s="229"/>
      <c r="I351" s="229"/>
      <c r="J351" s="229"/>
      <c r="K351" s="229"/>
      <c r="L351" s="229"/>
      <c r="M351" s="229"/>
      <c r="N351" s="229"/>
      <c r="O351" s="229"/>
      <c r="P351" s="229"/>
      <c r="Q351" s="240">
        <v>25</v>
      </c>
      <c r="R351" s="229"/>
      <c r="S351" s="229"/>
      <c r="T351" s="229"/>
      <c r="U351" s="239"/>
      <c r="V351" s="229"/>
      <c r="W351" s="239"/>
      <c r="X351" s="239"/>
      <c r="Y351" s="239"/>
      <c r="Z351" s="239"/>
      <c r="AA351" s="239"/>
      <c r="AB351" s="239"/>
      <c r="AC351" s="239"/>
      <c r="AD351" s="239"/>
      <c r="AE351" s="239"/>
      <c r="AF351" s="229"/>
      <c r="AG351" s="229"/>
      <c r="AH351" s="229"/>
      <c r="AI351" s="229"/>
      <c r="AJ351" s="229"/>
      <c r="AK351" s="229"/>
      <c r="AL351" s="229"/>
      <c r="AM351" s="229"/>
      <c r="AN351" s="229"/>
      <c r="AO351" s="229"/>
      <c r="AP351" s="229"/>
      <c r="AQ351" s="229"/>
      <c r="AR351" s="229"/>
      <c r="AS351" s="229"/>
      <c r="AT351" s="229"/>
      <c r="AU351" s="229"/>
    </row>
    <row r="352" spans="1:47">
      <c r="A352" s="229"/>
      <c r="B352" s="229"/>
      <c r="C352" s="229"/>
      <c r="D352" s="229"/>
      <c r="E352" s="229"/>
      <c r="F352" s="229"/>
      <c r="G352" s="229"/>
      <c r="H352" s="229"/>
      <c r="I352" s="229"/>
      <c r="J352" s="229"/>
      <c r="K352" s="229"/>
      <c r="L352" s="229"/>
      <c r="M352" s="229"/>
      <c r="N352" s="229"/>
      <c r="O352" s="229"/>
      <c r="P352" s="229"/>
      <c r="Q352" s="240">
        <v>26</v>
      </c>
      <c r="R352" s="229"/>
      <c r="S352" s="234" t="s">
        <v>1758</v>
      </c>
      <c r="T352" s="229"/>
      <c r="V352" s="229"/>
      <c r="W352" s="238"/>
      <c r="X352" s="229"/>
      <c r="Y352" s="229"/>
      <c r="Z352" s="229"/>
      <c r="AA352" s="229"/>
      <c r="AB352" s="229"/>
      <c r="AC352" s="229"/>
      <c r="AD352" s="229"/>
      <c r="AE352" s="229"/>
      <c r="AF352" s="229"/>
      <c r="AG352" s="229"/>
      <c r="AH352" s="229"/>
      <c r="AI352" s="229"/>
      <c r="AJ352" s="229"/>
      <c r="AK352" s="229"/>
      <c r="AL352" s="229"/>
      <c r="AM352" s="229"/>
      <c r="AN352" s="229"/>
      <c r="AO352" s="229"/>
      <c r="AP352" s="229"/>
      <c r="AQ352" s="229"/>
      <c r="AR352" s="229"/>
      <c r="AS352" s="229"/>
      <c r="AT352" s="229"/>
      <c r="AU352" s="229"/>
    </row>
    <row r="353" spans="1:47">
      <c r="A353" s="229"/>
      <c r="B353" s="229"/>
      <c r="C353" s="229"/>
      <c r="D353" s="229"/>
      <c r="E353" s="229"/>
      <c r="F353" s="229"/>
      <c r="G353" s="229"/>
      <c r="H353" s="229"/>
      <c r="I353" s="229"/>
      <c r="J353" s="229"/>
      <c r="K353" s="229"/>
      <c r="L353" s="229"/>
      <c r="M353" s="229"/>
      <c r="N353" s="229"/>
      <c r="O353" s="229"/>
      <c r="P353" s="229"/>
      <c r="Q353" s="240">
        <v>27</v>
      </c>
      <c r="R353" s="229"/>
      <c r="S353" s="234" t="s">
        <v>1432</v>
      </c>
      <c r="T353" s="229"/>
      <c r="V353" s="229"/>
      <c r="W353" s="238">
        <f>SCH_D2.28!H36</f>
        <v>-100722</v>
      </c>
      <c r="X353" s="238"/>
      <c r="Y353" s="238"/>
      <c r="Z353" s="238"/>
      <c r="AA353" s="238"/>
      <c r="AB353" s="238"/>
      <c r="AC353" s="238"/>
      <c r="AD353" s="238"/>
      <c r="AE353" s="238"/>
      <c r="AF353" s="229"/>
      <c r="AG353" s="229"/>
      <c r="AH353" s="229"/>
      <c r="AI353" s="229"/>
      <c r="AJ353" s="229"/>
      <c r="AK353" s="229"/>
      <c r="AL353" s="229"/>
      <c r="AM353" s="229"/>
      <c r="AN353" s="229"/>
      <c r="AO353" s="229"/>
      <c r="AP353" s="229"/>
      <c r="AQ353" s="229"/>
      <c r="AR353" s="229"/>
      <c r="AS353" s="229"/>
      <c r="AT353" s="229"/>
      <c r="AU353" s="229"/>
    </row>
    <row r="354" spans="1:47">
      <c r="A354" s="229"/>
      <c r="B354" s="229"/>
      <c r="C354" s="229"/>
      <c r="D354" s="229"/>
      <c r="E354" s="229"/>
      <c r="F354" s="229"/>
      <c r="G354" s="229"/>
      <c r="H354" s="229"/>
      <c r="I354" s="229"/>
      <c r="J354" s="229"/>
      <c r="K354" s="229"/>
      <c r="L354" s="229"/>
      <c r="M354" s="229"/>
      <c r="N354" s="229"/>
      <c r="O354" s="229"/>
      <c r="P354" s="229"/>
      <c r="Q354" s="240">
        <v>28</v>
      </c>
      <c r="R354" s="229"/>
      <c r="S354" s="234" t="s">
        <v>1434</v>
      </c>
      <c r="T354" s="229"/>
      <c r="U354" s="238"/>
      <c r="V354" s="229"/>
      <c r="W354" s="238"/>
      <c r="X354" s="238"/>
      <c r="Y354" s="238"/>
      <c r="Z354" s="238"/>
      <c r="AA354" s="238"/>
      <c r="AB354" s="238"/>
      <c r="AC354" s="238"/>
      <c r="AD354" s="238"/>
      <c r="AE354" s="238"/>
      <c r="AF354" s="229"/>
      <c r="AG354" s="229"/>
      <c r="AH354" s="229"/>
      <c r="AI354" s="229"/>
      <c r="AJ354" s="229"/>
      <c r="AK354" s="229"/>
      <c r="AL354" s="229"/>
      <c r="AM354" s="229"/>
      <c r="AN354" s="229"/>
      <c r="AO354" s="229"/>
      <c r="AP354" s="229"/>
      <c r="AQ354" s="229"/>
      <c r="AR354" s="229"/>
      <c r="AS354" s="229"/>
      <c r="AT354" s="229"/>
      <c r="AU354" s="229"/>
    </row>
    <row r="355" spans="1:47">
      <c r="A355" s="229"/>
      <c r="B355" s="229"/>
      <c r="C355" s="229"/>
      <c r="D355" s="229"/>
      <c r="E355" s="229"/>
      <c r="F355" s="229"/>
      <c r="G355" s="229"/>
      <c r="H355" s="229"/>
      <c r="I355" s="229"/>
      <c r="J355" s="229"/>
      <c r="K355" s="229"/>
      <c r="L355" s="229"/>
      <c r="M355" s="229"/>
      <c r="N355" s="229"/>
      <c r="O355" s="229"/>
      <c r="P355" s="229"/>
      <c r="Q355" s="240">
        <v>29</v>
      </c>
      <c r="R355" s="229"/>
      <c r="S355" s="234" t="s">
        <v>1761</v>
      </c>
      <c r="T355" s="229"/>
      <c r="U355" s="2140">
        <f>SUM(U353:U354)</f>
        <v>0</v>
      </c>
      <c r="V355" s="229"/>
      <c r="W355" s="2140">
        <f>SUM(W352:W354)</f>
        <v>-100722</v>
      </c>
      <c r="X355" s="238"/>
      <c r="Y355" s="2140">
        <f>SUM(Y352:Y354)</f>
        <v>0</v>
      </c>
      <c r="Z355" s="238"/>
      <c r="AA355" s="2140">
        <f>SUM(AA352:AA354)</f>
        <v>0</v>
      </c>
      <c r="AB355" s="238"/>
      <c r="AC355" s="2140">
        <f>SUM(AC352:AC354)</f>
        <v>0</v>
      </c>
      <c r="AD355" s="238"/>
      <c r="AE355" s="2140">
        <f>SUM(AE352:AE354)</f>
        <v>0</v>
      </c>
      <c r="AF355" s="229"/>
      <c r="AG355" s="229"/>
      <c r="AH355" s="229"/>
      <c r="AI355" s="229"/>
      <c r="AJ355" s="229"/>
      <c r="AK355" s="229"/>
      <c r="AL355" s="229"/>
      <c r="AM355" s="229"/>
      <c r="AN355" s="229"/>
      <c r="AO355" s="229"/>
      <c r="AP355" s="229"/>
      <c r="AQ355" s="229"/>
      <c r="AR355" s="229"/>
      <c r="AS355" s="229"/>
      <c r="AT355" s="229"/>
      <c r="AU355" s="229"/>
    </row>
    <row r="356" spans="1:47">
      <c r="A356" s="229"/>
      <c r="B356" s="229"/>
      <c r="C356" s="229"/>
      <c r="D356" s="229"/>
      <c r="E356" s="229"/>
      <c r="F356" s="229"/>
      <c r="G356" s="229"/>
      <c r="H356" s="229"/>
      <c r="I356" s="229"/>
      <c r="J356" s="229"/>
      <c r="K356" s="229"/>
      <c r="L356" s="229"/>
      <c r="M356" s="229"/>
      <c r="N356" s="229"/>
      <c r="O356" s="229"/>
      <c r="P356" s="229"/>
      <c r="Q356" s="240">
        <v>30</v>
      </c>
      <c r="R356" s="229"/>
      <c r="S356" s="234"/>
      <c r="T356" s="229"/>
      <c r="U356" s="238"/>
      <c r="V356" s="229"/>
      <c r="W356" s="238"/>
      <c r="X356" s="238"/>
      <c r="Y356" s="238"/>
      <c r="Z356" s="238"/>
      <c r="AA356" s="238"/>
      <c r="AB356" s="238"/>
      <c r="AC356" s="238"/>
      <c r="AD356" s="238"/>
      <c r="AE356" s="238"/>
      <c r="AF356" s="229"/>
      <c r="AG356" s="229"/>
      <c r="AH356" s="229"/>
      <c r="AI356" s="229"/>
      <c r="AJ356" s="229"/>
      <c r="AK356" s="229"/>
      <c r="AL356" s="229"/>
      <c r="AM356" s="229"/>
      <c r="AN356" s="229"/>
      <c r="AO356" s="229"/>
      <c r="AP356" s="229"/>
      <c r="AQ356" s="229"/>
      <c r="AR356" s="229"/>
      <c r="AS356" s="229"/>
      <c r="AT356" s="229"/>
      <c r="AU356" s="229"/>
    </row>
    <row r="357" spans="1:47">
      <c r="A357" s="229"/>
      <c r="B357" s="229"/>
      <c r="C357" s="229"/>
      <c r="D357" s="229"/>
      <c r="E357" s="229"/>
      <c r="F357" s="229"/>
      <c r="G357" s="229"/>
      <c r="H357" s="229"/>
      <c r="I357" s="229"/>
      <c r="J357" s="229"/>
      <c r="K357" s="229"/>
      <c r="L357" s="229"/>
      <c r="M357" s="229"/>
      <c r="N357" s="229"/>
      <c r="O357" s="229"/>
      <c r="P357" s="229"/>
      <c r="Q357" s="240">
        <v>31</v>
      </c>
      <c r="R357" s="229"/>
      <c r="S357" s="234" t="s">
        <v>1762</v>
      </c>
      <c r="T357" s="229"/>
      <c r="U357" s="229"/>
      <c r="V357" s="229"/>
      <c r="W357" s="229"/>
      <c r="X357" s="229"/>
      <c r="Y357" s="229"/>
      <c r="Z357" s="229"/>
      <c r="AA357" s="229"/>
      <c r="AB357" s="229"/>
      <c r="AC357" s="229"/>
      <c r="AD357" s="229"/>
      <c r="AE357" s="229"/>
      <c r="AF357" s="229"/>
      <c r="AG357" s="229"/>
      <c r="AH357" s="229"/>
      <c r="AI357" s="229"/>
      <c r="AJ357" s="229"/>
      <c r="AK357" s="229"/>
      <c r="AL357" s="229"/>
      <c r="AM357" s="229"/>
      <c r="AN357" s="229"/>
      <c r="AO357" s="229"/>
      <c r="AP357" s="229"/>
      <c r="AQ357" s="229"/>
      <c r="AR357" s="229"/>
      <c r="AS357" s="229"/>
      <c r="AT357" s="229"/>
      <c r="AU357" s="229"/>
    </row>
    <row r="358" spans="1:47">
      <c r="A358" s="229"/>
      <c r="B358" s="229"/>
      <c r="C358" s="229"/>
      <c r="D358" s="229"/>
      <c r="E358" s="229"/>
      <c r="F358" s="229"/>
      <c r="G358" s="229"/>
      <c r="H358" s="229"/>
      <c r="I358" s="229"/>
      <c r="J358" s="229"/>
      <c r="K358" s="229"/>
      <c r="L358" s="229"/>
      <c r="M358" s="229"/>
      <c r="N358" s="229"/>
      <c r="O358" s="229"/>
      <c r="P358" s="229"/>
      <c r="Q358" s="240">
        <v>32</v>
      </c>
      <c r="R358" s="229"/>
      <c r="S358" s="234" t="s">
        <v>1654</v>
      </c>
      <c r="T358" s="229"/>
      <c r="U358" s="238">
        <f>ROUND((U331-U348-U350-U355)*SIT*APPORT,0)</f>
        <v>-63676</v>
      </c>
      <c r="V358" s="229"/>
      <c r="W358" s="238">
        <f>ROUND((W331-W348-W350-W355)*SIT*APPORT,0)</f>
        <v>120514</v>
      </c>
      <c r="X358" s="238"/>
      <c r="Y358" s="238">
        <f>ROUND((Y331-Y348-Y350-Y355)*SIT*APPORT,0)</f>
        <v>26512</v>
      </c>
      <c r="Z358" s="238"/>
      <c r="AA358" s="238">
        <f>ROUND((AA331-AA348-AA350-AA355)*SIT*APPORT,0)</f>
        <v>119963</v>
      </c>
      <c r="AB358" s="238"/>
      <c r="AC358" s="238">
        <f>ROUND((AC331-AC348-AC350-AC355)*SIT*APPORT,0)</f>
        <v>0</v>
      </c>
      <c r="AD358" s="238"/>
      <c r="AE358" s="238">
        <f>ROUND((AE331-AE348-AE350-AE355)*SIT*APPORT,0)</f>
        <v>0</v>
      </c>
      <c r="AF358" s="229"/>
      <c r="AG358" s="229"/>
      <c r="AH358" s="229"/>
      <c r="AI358" s="229"/>
      <c r="AJ358" s="229"/>
      <c r="AK358" s="229"/>
      <c r="AL358" s="229"/>
      <c r="AM358" s="229"/>
      <c r="AN358" s="229"/>
      <c r="AO358" s="229"/>
      <c r="AP358" s="229"/>
      <c r="AQ358" s="229"/>
      <c r="AR358" s="229"/>
      <c r="AS358" s="229"/>
      <c r="AT358" s="229"/>
      <c r="AU358" s="229"/>
    </row>
    <row r="359" spans="1:47">
      <c r="A359" s="229"/>
      <c r="B359" s="229"/>
      <c r="C359" s="229"/>
      <c r="D359" s="229"/>
      <c r="E359" s="229"/>
      <c r="F359" s="229"/>
      <c r="G359" s="229"/>
      <c r="H359" s="229"/>
      <c r="I359" s="229"/>
      <c r="J359" s="229"/>
      <c r="K359" s="229"/>
      <c r="L359" s="229"/>
      <c r="M359" s="229"/>
      <c r="N359" s="229"/>
      <c r="O359" s="229"/>
      <c r="P359" s="229"/>
      <c r="Q359" s="240">
        <v>33</v>
      </c>
      <c r="R359" s="229"/>
      <c r="S359" s="234" t="s">
        <v>1763</v>
      </c>
      <c r="T359" s="229"/>
      <c r="U359" s="238"/>
      <c r="V359" s="229"/>
      <c r="W359" s="238"/>
      <c r="X359" s="238"/>
      <c r="Y359" s="238"/>
      <c r="Z359" s="238"/>
      <c r="AA359" s="238"/>
      <c r="AB359" s="238"/>
      <c r="AC359" s="238"/>
      <c r="AD359" s="238"/>
      <c r="AE359" s="238"/>
      <c r="AF359" s="229"/>
      <c r="AG359" s="229"/>
      <c r="AH359" s="229"/>
      <c r="AI359" s="229"/>
      <c r="AJ359" s="229"/>
      <c r="AK359" s="229"/>
      <c r="AL359" s="229"/>
      <c r="AM359" s="229"/>
      <c r="AN359" s="229"/>
      <c r="AO359" s="229"/>
      <c r="AP359" s="229"/>
      <c r="AQ359" s="229"/>
      <c r="AR359" s="229"/>
      <c r="AS359" s="229"/>
      <c r="AT359" s="229"/>
      <c r="AU359" s="229"/>
    </row>
    <row r="360" spans="1:47">
      <c r="A360" s="229"/>
      <c r="B360" s="229"/>
      <c r="C360" s="229"/>
      <c r="D360" s="229"/>
      <c r="E360" s="229"/>
      <c r="F360" s="229"/>
      <c r="G360" s="229"/>
      <c r="H360" s="229"/>
      <c r="I360" s="229"/>
      <c r="J360" s="229"/>
      <c r="K360" s="229"/>
      <c r="L360" s="229"/>
      <c r="M360" s="229"/>
      <c r="N360" s="229"/>
      <c r="O360" s="229"/>
      <c r="P360" s="229"/>
      <c r="Q360" s="240">
        <v>34</v>
      </c>
      <c r="R360" s="229"/>
      <c r="S360" s="234" t="s">
        <v>1764</v>
      </c>
      <c r="T360" s="229"/>
      <c r="U360" s="2140">
        <f>SUM(U358:U359)</f>
        <v>-63676</v>
      </c>
      <c r="V360" s="229"/>
      <c r="W360" s="2140">
        <f>SUM(W358:W359)</f>
        <v>120514</v>
      </c>
      <c r="X360" s="238"/>
      <c r="Y360" s="2140">
        <f>SUM(Y358:Y359)</f>
        <v>26512</v>
      </c>
      <c r="Z360" s="238"/>
      <c r="AA360" s="2140">
        <f>SUM(AA358:AA359)</f>
        <v>119963</v>
      </c>
      <c r="AB360" s="238"/>
      <c r="AC360" s="2140">
        <f>SUM(AC358:AC359)</f>
        <v>0</v>
      </c>
      <c r="AD360" s="238"/>
      <c r="AE360" s="2140">
        <f>SUM(AE358:AE359)</f>
        <v>0</v>
      </c>
      <c r="AF360" s="229"/>
      <c r="AG360" s="229"/>
      <c r="AH360" s="229"/>
      <c r="AI360" s="229"/>
      <c r="AJ360" s="229"/>
      <c r="AK360" s="229"/>
      <c r="AL360" s="229"/>
      <c r="AM360" s="229"/>
      <c r="AN360" s="229"/>
      <c r="AO360" s="229"/>
      <c r="AP360" s="229"/>
      <c r="AQ360" s="229"/>
      <c r="AR360" s="229"/>
      <c r="AS360" s="229"/>
      <c r="AT360" s="229"/>
      <c r="AU360" s="229"/>
    </row>
    <row r="361" spans="1:47">
      <c r="A361" s="229"/>
      <c r="B361" s="229"/>
      <c r="C361" s="229"/>
      <c r="D361" s="229"/>
      <c r="E361" s="229"/>
      <c r="F361" s="229"/>
      <c r="G361" s="229"/>
      <c r="H361" s="229"/>
      <c r="I361" s="229"/>
      <c r="J361" s="229"/>
      <c r="K361" s="229"/>
      <c r="L361" s="229"/>
      <c r="M361" s="229"/>
      <c r="N361" s="229"/>
      <c r="O361" s="229"/>
      <c r="P361" s="229"/>
      <c r="Q361" s="240">
        <v>35</v>
      </c>
      <c r="R361" s="229"/>
      <c r="S361" s="229"/>
      <c r="T361" s="229"/>
      <c r="U361" s="239"/>
      <c r="V361" s="229"/>
      <c r="W361" s="239"/>
      <c r="X361" s="239"/>
      <c r="Y361" s="239"/>
      <c r="Z361" s="239"/>
      <c r="AA361" s="239"/>
      <c r="AB361" s="239"/>
      <c r="AC361" s="239"/>
      <c r="AD361" s="239"/>
      <c r="AE361" s="239"/>
      <c r="AF361" s="229"/>
      <c r="AG361" s="229"/>
      <c r="AH361" s="229"/>
      <c r="AI361" s="229"/>
      <c r="AJ361" s="229"/>
      <c r="AK361" s="229"/>
      <c r="AL361" s="229"/>
      <c r="AM361" s="229"/>
      <c r="AN361" s="229"/>
      <c r="AO361" s="229"/>
      <c r="AP361" s="229"/>
      <c r="AQ361" s="229"/>
      <c r="AR361" s="229"/>
      <c r="AS361" s="229"/>
      <c r="AT361" s="229"/>
      <c r="AU361" s="229"/>
    </row>
    <row r="362" spans="1:47">
      <c r="A362" s="229"/>
      <c r="B362" s="229"/>
      <c r="C362" s="229"/>
      <c r="D362" s="229"/>
      <c r="E362" s="229"/>
      <c r="F362" s="229"/>
      <c r="G362" s="229"/>
      <c r="H362" s="229"/>
      <c r="I362" s="229"/>
      <c r="J362" s="229"/>
      <c r="K362" s="229"/>
      <c r="L362" s="229"/>
      <c r="M362" s="229"/>
      <c r="N362" s="229"/>
      <c r="O362" s="229"/>
      <c r="P362" s="229"/>
      <c r="Q362" s="240">
        <v>36</v>
      </c>
      <c r="R362" s="229"/>
      <c r="S362" s="234" t="s">
        <v>1765</v>
      </c>
      <c r="T362" s="229"/>
      <c r="U362" s="229"/>
      <c r="V362" s="229"/>
      <c r="W362" s="229"/>
      <c r="X362" s="229"/>
      <c r="Y362" s="229"/>
      <c r="Z362" s="229"/>
      <c r="AA362" s="229"/>
      <c r="AB362" s="229"/>
      <c r="AC362" s="229"/>
      <c r="AD362" s="229"/>
      <c r="AE362" s="229"/>
      <c r="AF362" s="229"/>
      <c r="AG362" s="229"/>
      <c r="AH362" s="229"/>
      <c r="AI362" s="229"/>
      <c r="AJ362" s="229"/>
      <c r="AK362" s="229"/>
      <c r="AL362" s="229"/>
      <c r="AM362" s="229"/>
      <c r="AN362" s="229"/>
      <c r="AO362" s="229"/>
      <c r="AP362" s="229"/>
      <c r="AQ362" s="229"/>
      <c r="AR362" s="229"/>
      <c r="AS362" s="229"/>
      <c r="AT362" s="229"/>
      <c r="AU362" s="229"/>
    </row>
    <row r="363" spans="1:47">
      <c r="A363" s="229"/>
      <c r="B363" s="229"/>
      <c r="C363" s="229"/>
      <c r="D363" s="229"/>
      <c r="E363" s="229"/>
      <c r="F363" s="229"/>
      <c r="G363" s="229"/>
      <c r="H363" s="229"/>
      <c r="I363" s="229"/>
      <c r="J363" s="229"/>
      <c r="K363" s="229"/>
      <c r="L363" s="229"/>
      <c r="M363" s="229"/>
      <c r="N363" s="229"/>
      <c r="O363" s="229"/>
      <c r="P363" s="229"/>
      <c r="Q363" s="240">
        <v>37</v>
      </c>
      <c r="R363" s="229"/>
      <c r="S363" s="234" t="s">
        <v>1654</v>
      </c>
      <c r="T363" s="229"/>
      <c r="U363" s="238">
        <f>ROUND((U331-U348-U350-U355-U358)*FIT,0)</f>
        <v>-255764</v>
      </c>
      <c r="V363" s="229"/>
      <c r="W363" s="238">
        <f>ROUND((W331-W348-W350-W355-W358)*FIT,0)</f>
        <v>484058</v>
      </c>
      <c r="X363" s="238"/>
      <c r="Y363" s="238">
        <f>ROUND((Y331-Y348-Y350-Y355-Y358)*FIT,0)</f>
        <v>106488</v>
      </c>
      <c r="Z363" s="238"/>
      <c r="AA363" s="238">
        <f>ROUND((AA331-AA348-AA350-AA355-AA358)*FIT,0)</f>
        <v>481847</v>
      </c>
      <c r="AB363" s="238"/>
      <c r="AC363" s="238">
        <f>ROUND((AC331-AC348-AC350-AC355-AC358)*FIT,0)</f>
        <v>0</v>
      </c>
      <c r="AD363" s="238"/>
      <c r="AE363" s="238">
        <f>ROUND((AE331-AE348-AE350-AE355-AE358)*FIT,0)</f>
        <v>0</v>
      </c>
      <c r="AF363" s="229"/>
      <c r="AG363" s="229"/>
      <c r="AH363" s="229"/>
      <c r="AI363" s="229"/>
      <c r="AJ363" s="229"/>
      <c r="AK363" s="229"/>
      <c r="AL363" s="229"/>
      <c r="AM363" s="229"/>
      <c r="AN363" s="229"/>
      <c r="AO363" s="229"/>
      <c r="AP363" s="229"/>
      <c r="AQ363" s="229"/>
      <c r="AR363" s="229"/>
      <c r="AS363" s="229"/>
      <c r="AT363" s="229"/>
      <c r="AU363" s="229"/>
    </row>
    <row r="364" spans="1:47">
      <c r="A364" s="229"/>
      <c r="B364" s="229"/>
      <c r="C364" s="229"/>
      <c r="D364" s="229"/>
      <c r="E364" s="229"/>
      <c r="F364" s="229"/>
      <c r="G364" s="229"/>
      <c r="H364" s="229"/>
      <c r="I364" s="229"/>
      <c r="J364" s="229"/>
      <c r="K364" s="229"/>
      <c r="L364" s="229"/>
      <c r="M364" s="229"/>
      <c r="N364" s="229"/>
      <c r="O364" s="229"/>
      <c r="P364" s="229"/>
      <c r="Q364" s="240">
        <v>38</v>
      </c>
      <c r="R364" s="229"/>
      <c r="S364" s="234" t="s">
        <v>1763</v>
      </c>
      <c r="T364" s="229"/>
      <c r="U364" s="238"/>
      <c r="V364" s="229"/>
      <c r="W364" s="238"/>
      <c r="X364" s="238"/>
      <c r="Y364" s="238"/>
      <c r="Z364" s="238"/>
      <c r="AA364" s="238"/>
      <c r="AB364" s="238"/>
      <c r="AC364" s="238"/>
      <c r="AD364" s="238"/>
      <c r="AE364" s="238"/>
      <c r="AF364" s="229"/>
      <c r="AG364" s="229"/>
      <c r="AH364" s="229"/>
      <c r="AI364" s="229"/>
      <c r="AJ364" s="229"/>
      <c r="AK364" s="229"/>
      <c r="AL364" s="229"/>
      <c r="AM364" s="229"/>
      <c r="AN364" s="229"/>
      <c r="AO364" s="229"/>
      <c r="AP364" s="229"/>
      <c r="AQ364" s="229"/>
      <c r="AR364" s="229"/>
      <c r="AS364" s="229"/>
      <c r="AT364" s="229"/>
      <c r="AU364" s="229"/>
    </row>
    <row r="365" spans="1:47">
      <c r="A365" s="229"/>
      <c r="B365" s="229"/>
      <c r="C365" s="229"/>
      <c r="D365" s="229"/>
      <c r="E365" s="229"/>
      <c r="F365" s="229"/>
      <c r="G365" s="229"/>
      <c r="H365" s="229"/>
      <c r="I365" s="229"/>
      <c r="J365" s="229"/>
      <c r="K365" s="229"/>
      <c r="L365" s="229"/>
      <c r="M365" s="229"/>
      <c r="N365" s="229"/>
      <c r="O365" s="229"/>
      <c r="P365" s="229"/>
      <c r="Q365" s="240">
        <v>39</v>
      </c>
      <c r="R365" s="229"/>
      <c r="S365" s="234" t="s">
        <v>1441</v>
      </c>
      <c r="T365" s="229"/>
      <c r="U365" s="238"/>
      <c r="V365" s="229"/>
      <c r="W365" s="238"/>
      <c r="X365" s="238"/>
      <c r="Y365" s="238"/>
      <c r="Z365" s="238"/>
      <c r="AA365" s="238"/>
      <c r="AB365" s="238"/>
      <c r="AC365" s="238"/>
      <c r="AD365" s="238"/>
      <c r="AE365" s="238"/>
      <c r="AF365" s="229"/>
      <c r="AG365" s="229"/>
      <c r="AH365" s="229"/>
      <c r="AI365" s="229"/>
      <c r="AJ365" s="229"/>
      <c r="AK365" s="229"/>
      <c r="AL365" s="229"/>
      <c r="AM365" s="229"/>
      <c r="AN365" s="229"/>
      <c r="AO365" s="229"/>
      <c r="AP365" s="229"/>
      <c r="AQ365" s="229"/>
      <c r="AR365" s="229"/>
      <c r="AS365" s="229"/>
      <c r="AT365" s="229"/>
      <c r="AU365" s="229"/>
    </row>
    <row r="366" spans="1:47">
      <c r="A366" s="229"/>
      <c r="B366" s="229"/>
      <c r="C366" s="229"/>
      <c r="D366" s="229"/>
      <c r="E366" s="229"/>
      <c r="F366" s="229"/>
      <c r="G366" s="229"/>
      <c r="H366" s="229"/>
      <c r="I366" s="229"/>
      <c r="J366" s="229"/>
      <c r="K366" s="229"/>
      <c r="L366" s="229"/>
      <c r="M366" s="229"/>
      <c r="N366" s="229"/>
      <c r="O366" s="229"/>
      <c r="P366" s="229"/>
      <c r="Q366" s="240">
        <v>40</v>
      </c>
      <c r="R366" s="229"/>
      <c r="S366" s="234" t="s">
        <v>1766</v>
      </c>
      <c r="T366" s="229"/>
      <c r="U366" s="2140">
        <f>SUM(U363:U365)</f>
        <v>-255764</v>
      </c>
      <c r="V366" s="229"/>
      <c r="W366" s="2140">
        <f>SUM(W363:W365)</f>
        <v>484058</v>
      </c>
      <c r="X366" s="238"/>
      <c r="Y366" s="2140">
        <f>SUM(Y363:Y365)</f>
        <v>106488</v>
      </c>
      <c r="Z366" s="238"/>
      <c r="AA366" s="2140">
        <f>SUM(AA363:AA365)</f>
        <v>481847</v>
      </c>
      <c r="AB366" s="238"/>
      <c r="AC366" s="2140">
        <f>SUM(AC363:AC365)</f>
        <v>0</v>
      </c>
      <c r="AD366" s="238"/>
      <c r="AE366" s="2140">
        <f>SUM(AE363:AE365)</f>
        <v>0</v>
      </c>
      <c r="AF366" s="229"/>
      <c r="AG366" s="229"/>
      <c r="AH366" s="229"/>
      <c r="AI366" s="229"/>
      <c r="AJ366" s="229"/>
      <c r="AK366" s="229"/>
      <c r="AL366" s="229"/>
      <c r="AM366" s="229"/>
      <c r="AN366" s="229"/>
      <c r="AO366" s="229"/>
      <c r="AP366" s="229"/>
      <c r="AQ366" s="229"/>
      <c r="AR366" s="229"/>
      <c r="AS366" s="229"/>
      <c r="AT366" s="229"/>
      <c r="AU366" s="229"/>
    </row>
    <row r="367" spans="1:47">
      <c r="A367" s="229"/>
      <c r="B367" s="229"/>
      <c r="C367" s="229"/>
      <c r="D367" s="229"/>
      <c r="E367" s="229"/>
      <c r="F367" s="229"/>
      <c r="G367" s="229"/>
      <c r="H367" s="229"/>
      <c r="I367" s="229"/>
      <c r="J367" s="229"/>
      <c r="K367" s="229"/>
      <c r="L367" s="229"/>
      <c r="M367" s="229"/>
      <c r="N367" s="229"/>
      <c r="O367" s="229"/>
      <c r="P367" s="229"/>
      <c r="Q367" s="240">
        <v>41</v>
      </c>
      <c r="R367" s="229"/>
      <c r="S367" s="229"/>
      <c r="T367" s="229"/>
      <c r="U367" s="239"/>
      <c r="V367" s="229"/>
      <c r="W367" s="239"/>
      <c r="X367" s="239"/>
      <c r="Y367" s="239"/>
      <c r="Z367" s="239"/>
      <c r="AA367" s="239"/>
      <c r="AB367" s="239"/>
      <c r="AC367" s="239"/>
      <c r="AD367" s="239"/>
      <c r="AE367" s="239"/>
      <c r="AF367" s="229"/>
      <c r="AG367" s="229"/>
      <c r="AH367" s="229"/>
      <c r="AI367" s="229"/>
      <c r="AJ367" s="229"/>
      <c r="AK367" s="229"/>
      <c r="AL367" s="229"/>
      <c r="AM367" s="229"/>
      <c r="AN367" s="229"/>
      <c r="AO367" s="229"/>
      <c r="AP367" s="229"/>
      <c r="AQ367" s="229"/>
      <c r="AR367" s="229"/>
      <c r="AS367" s="229"/>
      <c r="AT367" s="229"/>
      <c r="AU367" s="229"/>
    </row>
    <row r="368" spans="1:47">
      <c r="A368" s="229"/>
      <c r="B368" s="229"/>
      <c r="C368" s="229"/>
      <c r="D368" s="229"/>
      <c r="E368" s="229"/>
      <c r="F368" s="229"/>
      <c r="G368" s="229"/>
      <c r="H368" s="229"/>
      <c r="I368" s="229"/>
      <c r="J368" s="229"/>
      <c r="K368" s="229"/>
      <c r="L368" s="229"/>
      <c r="M368" s="229"/>
      <c r="N368" s="229"/>
      <c r="O368" s="229"/>
      <c r="P368" s="229"/>
      <c r="Q368" s="240">
        <v>42</v>
      </c>
      <c r="R368" s="229"/>
      <c r="S368" s="234" t="s">
        <v>1767</v>
      </c>
      <c r="T368" s="229"/>
      <c r="U368" s="1506">
        <f>U348+U350+U355+U360+U366</f>
        <v>962161</v>
      </c>
      <c r="V368" s="229"/>
      <c r="W368" s="1506">
        <f>W348+W350+W355+W360+W366</f>
        <v>-1820981</v>
      </c>
      <c r="X368" s="238"/>
      <c r="Y368" s="1506">
        <f>Y348+Y350+Y355+Y360+Y366</f>
        <v>-400600</v>
      </c>
      <c r="Z368" s="238"/>
      <c r="AA368" s="1506">
        <f>AA348+AA350+AA355+AA360+AA366</f>
        <v>-1812663</v>
      </c>
      <c r="AB368" s="238"/>
      <c r="AC368" s="1506">
        <f>AC348+AC350+AC355+AC360+AC366</f>
        <v>0</v>
      </c>
      <c r="AD368" s="238"/>
      <c r="AE368" s="1506">
        <f>AE348+AE350+AE355+AE360+AE366</f>
        <v>0</v>
      </c>
      <c r="AF368" s="229"/>
      <c r="AG368" s="229"/>
      <c r="AH368" s="229"/>
      <c r="AI368" s="229"/>
      <c r="AJ368" s="229"/>
      <c r="AK368" s="229"/>
      <c r="AL368" s="229"/>
      <c r="AM368" s="229"/>
      <c r="AN368" s="229"/>
      <c r="AO368" s="229"/>
      <c r="AP368" s="229"/>
      <c r="AQ368" s="229"/>
      <c r="AR368" s="229"/>
      <c r="AS368" s="229"/>
      <c r="AT368" s="229"/>
      <c r="AU368" s="229"/>
    </row>
    <row r="369" spans="1:47">
      <c r="A369" s="229"/>
      <c r="B369" s="229"/>
      <c r="C369" s="229"/>
      <c r="D369" s="229"/>
      <c r="E369" s="229"/>
      <c r="F369" s="229"/>
      <c r="G369" s="229"/>
      <c r="H369" s="229"/>
      <c r="I369" s="229"/>
      <c r="J369" s="229"/>
      <c r="K369" s="229"/>
      <c r="L369" s="229"/>
      <c r="M369" s="229"/>
      <c r="N369" s="229"/>
      <c r="O369" s="229"/>
      <c r="P369" s="229"/>
      <c r="Q369" s="240">
        <v>43</v>
      </c>
      <c r="R369" s="229"/>
      <c r="S369" s="229"/>
      <c r="T369" s="229"/>
      <c r="U369" s="239"/>
      <c r="V369" s="229"/>
      <c r="W369" s="239"/>
      <c r="X369" s="239"/>
      <c r="Y369" s="239"/>
      <c r="Z369" s="239"/>
      <c r="AA369" s="239"/>
      <c r="AB369" s="239"/>
      <c r="AC369" s="239"/>
      <c r="AD369" s="239"/>
      <c r="AE369" s="239"/>
      <c r="AF369" s="229"/>
      <c r="AG369" s="229"/>
      <c r="AH369" s="229"/>
      <c r="AI369" s="229"/>
      <c r="AJ369" s="229"/>
      <c r="AK369" s="229"/>
      <c r="AL369" s="229"/>
      <c r="AM369" s="229"/>
      <c r="AN369" s="229"/>
      <c r="AO369" s="229"/>
      <c r="AP369" s="229"/>
      <c r="AQ369" s="229"/>
      <c r="AR369" s="229"/>
      <c r="AS369" s="229"/>
      <c r="AT369" s="229"/>
      <c r="AU369" s="229"/>
    </row>
    <row r="370" spans="1:47" ht="13.8" thickBot="1">
      <c r="A370" s="229"/>
      <c r="B370" s="229"/>
      <c r="C370" s="229"/>
      <c r="D370" s="229"/>
      <c r="E370" s="229"/>
      <c r="F370" s="229"/>
      <c r="G370" s="229"/>
      <c r="H370" s="229"/>
      <c r="I370" s="229"/>
      <c r="J370" s="229"/>
      <c r="K370" s="229"/>
      <c r="L370" s="229"/>
      <c r="M370" s="229"/>
      <c r="N370" s="229"/>
      <c r="O370" s="229"/>
      <c r="P370" s="229"/>
      <c r="Q370" s="240">
        <v>44</v>
      </c>
      <c r="R370" s="229"/>
      <c r="S370" s="234" t="s">
        <v>1443</v>
      </c>
      <c r="T370" s="229"/>
      <c r="U370" s="1953">
        <f>U331-U368</f>
        <v>-962161</v>
      </c>
      <c r="V370" s="229"/>
      <c r="W370" s="1953">
        <f>W331-W368</f>
        <v>1820981</v>
      </c>
      <c r="X370" s="238"/>
      <c r="Y370" s="1953">
        <f>Y331-Y368</f>
        <v>400600</v>
      </c>
      <c r="Z370" s="238"/>
      <c r="AA370" s="1953">
        <f>AA331-AA368</f>
        <v>1812663</v>
      </c>
      <c r="AB370" s="238"/>
      <c r="AC370" s="1953">
        <f>AC331-AC368</f>
        <v>0</v>
      </c>
      <c r="AD370" s="238"/>
      <c r="AE370" s="1953">
        <f>AE331-AE368</f>
        <v>0</v>
      </c>
      <c r="AF370" s="229"/>
      <c r="AG370" s="229"/>
      <c r="AH370" s="229"/>
      <c r="AI370" s="229"/>
      <c r="AJ370" s="229"/>
      <c r="AK370" s="229"/>
      <c r="AL370" s="229"/>
      <c r="AM370" s="229"/>
      <c r="AN370" s="229"/>
      <c r="AO370" s="229"/>
      <c r="AP370" s="229"/>
      <c r="AQ370" s="229"/>
      <c r="AR370" s="229"/>
      <c r="AS370" s="229"/>
      <c r="AT370" s="229"/>
      <c r="AU370" s="229"/>
    </row>
    <row r="371" spans="1:47" ht="13.8" thickTop="1">
      <c r="A371" s="229"/>
      <c r="B371" s="229"/>
      <c r="C371" s="229"/>
      <c r="D371" s="229"/>
      <c r="E371" s="229"/>
      <c r="F371" s="229"/>
      <c r="G371" s="229"/>
      <c r="H371" s="229"/>
      <c r="I371" s="229"/>
      <c r="J371" s="229"/>
      <c r="K371" s="229"/>
      <c r="L371" s="229"/>
      <c r="M371" s="229"/>
      <c r="N371" s="229"/>
      <c r="O371" s="229"/>
      <c r="P371" s="229"/>
      <c r="Q371" s="229"/>
      <c r="R371" s="229"/>
      <c r="S371" s="229"/>
      <c r="T371" s="238"/>
      <c r="U371" s="241">
        <f>IF(ISERR(ROUND((U360+U366)/(U370+U360+U366),4)=TRUE)," ",ROUND((U360+U366)/(U370+U360+U366),4))</f>
        <v>0.24929999999999999</v>
      </c>
      <c r="V371" s="229"/>
      <c r="W371" s="241">
        <f>IF(ISERR(ROUND((W360+W366)/(W370+W360+W366),4)=TRUE)," ",ROUND((W360+W366)/(W370+W360+W366),4))</f>
        <v>0.24929999999999999</v>
      </c>
      <c r="X371" s="241"/>
      <c r="Y371" s="241">
        <f>IF(ISERR(ROUND((Y360+Y366)/(Y370+Y360+Y366),4)=TRUE)," ",ROUND((Y360+Y366)/(Y370+Y360+Y366),4))</f>
        <v>0.24929999999999999</v>
      </c>
      <c r="Z371" s="241"/>
      <c r="AA371" s="241">
        <f>IF(ISERR(ROUND((AA360+AA366)/(AA370+AA360+AA366),4)=TRUE)," ",ROUND((AA360+AA366)/(AA370+AA360+AA366),4))</f>
        <v>0.24929999999999999</v>
      </c>
      <c r="AB371" s="241"/>
      <c r="AD371" s="241"/>
      <c r="AE371" s="241" t="str">
        <f>IF(ISERR(ROUND((AE360+AE366)/(AE370+AE360+AE366),4)=TRUE)," ",ROUND((AE360+AE366)/(AE370+AE360+AE366),4))</f>
        <v xml:space="preserve"> </v>
      </c>
      <c r="AF371" s="229"/>
      <c r="AG371" s="229"/>
      <c r="AH371" s="229"/>
      <c r="AI371" s="229"/>
      <c r="AJ371" s="229"/>
      <c r="AK371" s="229"/>
      <c r="AL371" s="229"/>
      <c r="AM371" s="229"/>
      <c r="AN371" s="229"/>
      <c r="AO371" s="229"/>
      <c r="AP371" s="229"/>
      <c r="AQ371" s="229"/>
      <c r="AR371" s="229"/>
      <c r="AS371" s="229"/>
      <c r="AT371" s="229"/>
      <c r="AU371" s="229"/>
    </row>
    <row r="372" spans="1:47">
      <c r="A372" s="229"/>
      <c r="B372" s="229"/>
      <c r="C372" s="229"/>
      <c r="D372" s="229"/>
      <c r="E372" s="229"/>
      <c r="F372" s="229"/>
      <c r="G372" s="229"/>
      <c r="H372" s="229"/>
      <c r="I372" s="229"/>
      <c r="J372" s="229"/>
      <c r="K372" s="229"/>
      <c r="L372" s="229"/>
      <c r="M372" s="229"/>
      <c r="N372" s="229"/>
      <c r="O372" s="229"/>
      <c r="P372" s="229"/>
      <c r="Q372" s="234"/>
      <c r="R372" s="229"/>
      <c r="S372" s="229"/>
      <c r="T372" s="229"/>
      <c r="U372" s="238"/>
      <c r="V372" s="229"/>
      <c r="W372" s="238"/>
      <c r="X372" s="229"/>
      <c r="Y372" s="238"/>
      <c r="Z372" s="229"/>
      <c r="AA372" s="238"/>
      <c r="AB372" s="229"/>
      <c r="AC372" s="238"/>
      <c r="AD372" s="229"/>
      <c r="AE372" s="238"/>
      <c r="AF372" s="229"/>
      <c r="AG372" s="229"/>
      <c r="AH372" s="229"/>
      <c r="AI372" s="229"/>
      <c r="AJ372" s="229"/>
      <c r="AK372" s="229"/>
      <c r="AL372" s="229"/>
      <c r="AM372" s="229"/>
      <c r="AN372" s="229"/>
      <c r="AO372" s="229"/>
      <c r="AP372" s="229"/>
      <c r="AQ372" s="229"/>
      <c r="AR372" s="229"/>
      <c r="AS372" s="229"/>
      <c r="AT372" s="229"/>
      <c r="AU372" s="229"/>
    </row>
    <row r="373" spans="1:47">
      <c r="A373" s="229"/>
      <c r="B373" s="229"/>
      <c r="C373" s="229"/>
      <c r="D373" s="229"/>
      <c r="E373" s="229"/>
      <c r="F373" s="229"/>
      <c r="G373" s="229"/>
      <c r="H373" s="229"/>
      <c r="I373" s="229"/>
      <c r="J373" s="229"/>
      <c r="K373" s="229"/>
      <c r="L373" s="229"/>
      <c r="M373" s="229"/>
      <c r="N373" s="229"/>
      <c r="O373" s="229"/>
      <c r="P373" s="229"/>
      <c r="Q373" s="228" t="str">
        <f>COMPANY</f>
        <v>DUKE ENERGY KENTUCKY, INC.</v>
      </c>
      <c r="R373" s="228"/>
      <c r="S373" s="228"/>
      <c r="T373" s="228"/>
      <c r="U373" s="228"/>
      <c r="V373" s="228"/>
      <c r="W373" s="228"/>
      <c r="X373" s="228"/>
      <c r="Y373" s="228"/>
      <c r="Z373" s="228"/>
      <c r="AA373" s="228"/>
      <c r="AB373" s="228"/>
      <c r="AC373" s="228"/>
      <c r="AD373" s="228"/>
      <c r="AE373" s="228"/>
      <c r="AF373" s="229"/>
      <c r="AG373" s="229"/>
      <c r="AH373" s="229"/>
      <c r="AI373" s="229"/>
      <c r="AJ373" s="229"/>
      <c r="AK373" s="229"/>
      <c r="AL373" s="229"/>
      <c r="AM373" s="229"/>
      <c r="AN373" s="229"/>
      <c r="AO373" s="229"/>
      <c r="AP373" s="229"/>
      <c r="AQ373" s="229"/>
      <c r="AR373" s="229"/>
      <c r="AS373" s="229"/>
      <c r="AT373" s="229"/>
      <c r="AU373" s="229"/>
    </row>
    <row r="374" spans="1:47">
      <c r="A374" s="229"/>
      <c r="B374" s="229"/>
      <c r="C374" s="229"/>
      <c r="D374" s="229"/>
      <c r="E374" s="229"/>
      <c r="F374" s="229"/>
      <c r="G374" s="229"/>
      <c r="H374" s="229"/>
      <c r="I374" s="229"/>
      <c r="J374" s="229"/>
      <c r="K374" s="229"/>
      <c r="L374" s="229"/>
      <c r="M374" s="229"/>
      <c r="N374" s="229"/>
      <c r="O374" s="229"/>
      <c r="P374" s="229"/>
      <c r="Q374" s="228" t="str">
        <f>CASE</f>
        <v>CASE NO. 2024-00354</v>
      </c>
      <c r="R374" s="228"/>
      <c r="S374" s="228"/>
      <c r="T374" s="228"/>
      <c r="U374" s="230"/>
      <c r="V374" s="230"/>
      <c r="W374" s="228"/>
      <c r="X374" s="228"/>
      <c r="Y374" s="228"/>
      <c r="Z374" s="228"/>
      <c r="AA374" s="228"/>
      <c r="AB374" s="228"/>
      <c r="AC374" s="228"/>
      <c r="AD374" s="228"/>
      <c r="AE374" s="228"/>
      <c r="AF374" s="229"/>
      <c r="AG374" s="229"/>
      <c r="AH374" s="229"/>
      <c r="AI374" s="229"/>
      <c r="AJ374" s="229"/>
      <c r="AK374" s="229"/>
      <c r="AL374" s="229"/>
      <c r="AM374" s="229"/>
      <c r="AN374" s="229"/>
      <c r="AO374" s="229"/>
      <c r="AP374" s="229"/>
      <c r="AQ374" s="229"/>
      <c r="AR374" s="229"/>
      <c r="AS374" s="229"/>
      <c r="AT374" s="229"/>
      <c r="AU374" s="229"/>
    </row>
    <row r="375" spans="1:47">
      <c r="A375" s="229"/>
      <c r="B375" s="229"/>
      <c r="C375" s="229"/>
      <c r="D375" s="229"/>
      <c r="E375" s="229"/>
      <c r="F375" s="229"/>
      <c r="G375" s="229"/>
      <c r="H375" s="229"/>
      <c r="I375" s="229"/>
      <c r="J375" s="229"/>
      <c r="K375" s="229"/>
      <c r="L375" s="229"/>
      <c r="M375" s="229"/>
      <c r="N375" s="229"/>
      <c r="O375" s="229"/>
      <c r="P375" s="229"/>
      <c r="Q375" s="231" t="str">
        <f>$AG$500</f>
        <v>SUMMARY OF UTILITY JURISDICTIONAL ADJUSTMENTS TO</v>
      </c>
      <c r="R375" s="228"/>
      <c r="S375" s="228"/>
      <c r="T375" s="228"/>
      <c r="U375" s="228"/>
      <c r="V375" s="228"/>
      <c r="W375" s="228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229"/>
      <c r="AH375" s="229"/>
      <c r="AI375" s="229"/>
      <c r="AJ375" s="229"/>
      <c r="AK375" s="229"/>
      <c r="AL375" s="229"/>
      <c r="AM375" s="229"/>
      <c r="AN375" s="229"/>
      <c r="AO375" s="229"/>
      <c r="AP375" s="229"/>
      <c r="AQ375" s="229"/>
      <c r="AR375" s="229"/>
      <c r="AS375" s="229"/>
      <c r="AT375" s="229"/>
      <c r="AU375" s="229"/>
    </row>
    <row r="376" spans="1:47">
      <c r="A376" s="229"/>
      <c r="B376" s="229"/>
      <c r="C376" s="229"/>
      <c r="D376" s="229"/>
      <c r="E376" s="229"/>
      <c r="F376" s="229"/>
      <c r="G376" s="229"/>
      <c r="H376" s="229"/>
      <c r="I376" s="229"/>
      <c r="J376" s="229"/>
      <c r="K376" s="229"/>
      <c r="L376" s="229"/>
      <c r="M376" s="229"/>
      <c r="N376" s="229"/>
      <c r="O376" s="229"/>
      <c r="P376" s="229"/>
      <c r="Q376" s="231" t="str">
        <f>$AG$501</f>
        <v>OPERATING INCOME BY MAJOR ACCOUNTS</v>
      </c>
      <c r="R376" s="228"/>
      <c r="S376" s="228"/>
      <c r="T376" s="228"/>
      <c r="U376" s="228"/>
      <c r="V376" s="228"/>
      <c r="W376" s="228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229"/>
      <c r="AH376" s="229"/>
      <c r="AI376" s="229"/>
      <c r="AJ376" s="229"/>
      <c r="AK376" s="229"/>
      <c r="AL376" s="229"/>
      <c r="AM376" s="229"/>
      <c r="AN376" s="229"/>
      <c r="AO376" s="229"/>
      <c r="AP376" s="229"/>
      <c r="AQ376" s="229"/>
      <c r="AR376" s="229"/>
      <c r="AS376" s="229"/>
      <c r="AT376" s="229"/>
      <c r="AU376" s="229"/>
    </row>
    <row r="377" spans="1:47">
      <c r="A377" s="229"/>
      <c r="B377" s="229"/>
      <c r="C377" s="229"/>
      <c r="D377" s="229"/>
      <c r="E377" s="229"/>
      <c r="F377" s="229"/>
      <c r="G377" s="229"/>
      <c r="H377" s="229"/>
      <c r="I377" s="229"/>
      <c r="J377" s="229"/>
      <c r="K377" s="229"/>
      <c r="L377" s="229"/>
      <c r="M377" s="229"/>
      <c r="N377" s="229"/>
      <c r="O377" s="229"/>
      <c r="P377" s="229"/>
      <c r="Q377" s="232" t="str">
        <f>Q253</f>
        <v>PRO FORMA ADJUSTMENTS TO THE FORECASTED PERIOD</v>
      </c>
      <c r="R377" s="228"/>
      <c r="S377" s="228"/>
      <c r="T377" s="228"/>
      <c r="U377" s="228"/>
      <c r="V377" s="228"/>
      <c r="W377" s="228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229"/>
      <c r="AH377" s="229"/>
      <c r="AI377" s="229"/>
      <c r="AJ377" s="229"/>
      <c r="AK377" s="229"/>
      <c r="AL377" s="229"/>
      <c r="AM377" s="229"/>
      <c r="AN377" s="229"/>
      <c r="AO377" s="229"/>
      <c r="AP377" s="229"/>
      <c r="AQ377" s="229"/>
      <c r="AR377" s="229"/>
      <c r="AS377" s="229"/>
      <c r="AT377" s="229"/>
      <c r="AU377" s="229"/>
    </row>
    <row r="378" spans="1:47">
      <c r="A378" s="229"/>
      <c r="B378" s="229"/>
      <c r="C378" s="229"/>
      <c r="D378" s="229"/>
      <c r="E378" s="229"/>
      <c r="F378" s="229"/>
      <c r="G378" s="229"/>
      <c r="H378" s="229"/>
      <c r="I378" s="229"/>
      <c r="J378" s="229"/>
      <c r="K378" s="229"/>
      <c r="L378" s="229"/>
      <c r="M378" s="229"/>
      <c r="N378" s="229"/>
      <c r="O378" s="229"/>
      <c r="P378" s="229"/>
      <c r="Q378" s="228" t="str">
        <f>PeriodF</f>
        <v>FOR THE TWELVE MONTHS ENDED JUNE 30, 2026</v>
      </c>
      <c r="R378" s="228"/>
      <c r="S378" s="228"/>
      <c r="T378" s="228"/>
      <c r="U378" s="228"/>
      <c r="V378" s="228"/>
      <c r="W378" s="228"/>
      <c r="X378" s="228"/>
      <c r="Y378" s="228"/>
      <c r="Z378" s="228"/>
      <c r="AA378" s="228"/>
      <c r="AB378" s="228"/>
      <c r="AC378" s="228"/>
      <c r="AD378" s="228"/>
      <c r="AE378" s="228"/>
      <c r="AF378" s="229"/>
      <c r="AG378" s="229"/>
      <c r="AH378" s="229"/>
      <c r="AI378" s="229"/>
      <c r="AJ378" s="229"/>
      <c r="AK378" s="229"/>
      <c r="AL378" s="229"/>
      <c r="AM378" s="229"/>
      <c r="AN378" s="229"/>
      <c r="AO378" s="229"/>
      <c r="AP378" s="229"/>
      <c r="AQ378" s="229"/>
      <c r="AR378" s="229"/>
      <c r="AS378" s="229"/>
      <c r="AT378" s="229"/>
      <c r="AU378" s="229"/>
    </row>
    <row r="379" spans="1:47">
      <c r="A379" s="229"/>
      <c r="B379" s="229"/>
      <c r="C379" s="229"/>
      <c r="D379" s="229"/>
      <c r="E379" s="229"/>
      <c r="F379" s="229"/>
      <c r="G379" s="229"/>
      <c r="H379" s="229"/>
      <c r="I379" s="229"/>
      <c r="J379" s="229"/>
      <c r="K379" s="229"/>
      <c r="L379" s="229"/>
      <c r="M379" s="229"/>
      <c r="N379" s="229"/>
      <c r="O379" s="229"/>
      <c r="P379" s="229"/>
      <c r="Q379" s="229"/>
      <c r="R379" s="229"/>
      <c r="S379" s="229"/>
      <c r="T379" s="229"/>
      <c r="U379" s="229"/>
      <c r="V379" s="229"/>
      <c r="W379" s="229"/>
      <c r="X379" s="229"/>
      <c r="Y379" s="229"/>
      <c r="Z379" s="229"/>
      <c r="AA379" s="229"/>
      <c r="AB379" s="229"/>
      <c r="AC379" s="229"/>
      <c r="AD379" s="229"/>
      <c r="AE379" s="229"/>
      <c r="AF379" s="229"/>
      <c r="AG379" s="229"/>
      <c r="AH379" s="229"/>
      <c r="AI379" s="229"/>
      <c r="AJ379" s="229"/>
      <c r="AK379" s="229"/>
      <c r="AL379" s="229"/>
      <c r="AM379" s="229"/>
      <c r="AN379" s="229"/>
      <c r="AO379" s="229"/>
      <c r="AP379" s="229"/>
      <c r="AQ379" s="229"/>
      <c r="AR379" s="229"/>
      <c r="AS379" s="229"/>
      <c r="AT379" s="229"/>
      <c r="AU379" s="229"/>
    </row>
    <row r="380" spans="1:47">
      <c r="A380" s="229"/>
      <c r="B380" s="229"/>
      <c r="C380" s="229"/>
      <c r="D380" s="229"/>
      <c r="E380" s="229"/>
      <c r="F380" s="229"/>
      <c r="G380" s="229"/>
      <c r="H380" s="229"/>
      <c r="I380" s="229"/>
      <c r="J380" s="229"/>
      <c r="K380" s="229"/>
      <c r="L380" s="229"/>
      <c r="M380" s="229"/>
      <c r="N380" s="229"/>
      <c r="O380" s="229"/>
      <c r="P380" s="229"/>
      <c r="Q380" s="229" t="str">
        <f>DataF</f>
        <v>DATA:  BASE PERIOD  "X" FORECASTED PERIOD</v>
      </c>
      <c r="R380" s="229"/>
      <c r="S380" s="229"/>
      <c r="T380" s="229"/>
      <c r="U380" s="229"/>
      <c r="V380" s="229"/>
      <c r="W380" s="229"/>
      <c r="X380" s="229"/>
      <c r="Y380" s="229"/>
      <c r="Z380" s="229"/>
      <c r="AA380" s="229"/>
      <c r="AB380" s="229"/>
      <c r="AC380" s="233" t="s">
        <v>1725</v>
      </c>
      <c r="AD380" s="234"/>
      <c r="AE380" s="234"/>
      <c r="AF380" s="229"/>
      <c r="AG380" s="229"/>
      <c r="AH380" s="229"/>
      <c r="AI380" s="229"/>
      <c r="AJ380" s="229"/>
      <c r="AK380" s="229"/>
      <c r="AL380" s="229"/>
      <c r="AM380" s="229"/>
      <c r="AN380" s="229"/>
      <c r="AO380" s="229"/>
      <c r="AP380" s="229"/>
      <c r="AQ380" s="229"/>
      <c r="AR380" s="229"/>
      <c r="AS380" s="229"/>
      <c r="AT380" s="229"/>
      <c r="AU380" s="229"/>
    </row>
    <row r="381" spans="1:47">
      <c r="A381" s="229"/>
      <c r="B381" s="229"/>
      <c r="C381" s="229"/>
      <c r="D381" s="229"/>
      <c r="E381" s="229"/>
      <c r="F381" s="229"/>
      <c r="G381" s="229"/>
      <c r="H381" s="229"/>
      <c r="I381" s="229"/>
      <c r="J381" s="229"/>
      <c r="K381" s="229"/>
      <c r="L381" s="229"/>
      <c r="M381" s="229"/>
      <c r="N381" s="229"/>
      <c r="O381" s="229"/>
      <c r="P381" s="229"/>
      <c r="Q381" s="229" t="str">
        <f>Type</f>
        <v xml:space="preserve">TYPE OF FILING:  "X" ORIGINAL   UPDATED    REVISED  </v>
      </c>
      <c r="R381" s="229"/>
      <c r="S381" s="229"/>
      <c r="T381" s="229"/>
      <c r="U381" s="229"/>
      <c r="V381" s="229"/>
      <c r="W381" s="229"/>
      <c r="X381" s="229"/>
      <c r="Y381" s="229"/>
      <c r="Z381" s="229"/>
      <c r="AA381" s="229"/>
      <c r="AB381" s="229"/>
      <c r="AC381" s="234" t="s">
        <v>1824</v>
      </c>
      <c r="AD381" s="234"/>
      <c r="AE381" s="234"/>
      <c r="AF381" s="229"/>
      <c r="AG381" s="229"/>
      <c r="AH381" s="229"/>
      <c r="AI381" s="229"/>
      <c r="AJ381" s="229"/>
      <c r="AK381" s="229"/>
      <c r="AL381" s="229"/>
      <c r="AM381" s="229"/>
      <c r="AN381" s="229"/>
      <c r="AO381" s="229"/>
      <c r="AP381" s="229"/>
      <c r="AQ381" s="229"/>
      <c r="AR381" s="229"/>
      <c r="AS381" s="229"/>
      <c r="AT381" s="229"/>
      <c r="AU381" s="229"/>
    </row>
    <row r="382" spans="1:47">
      <c r="A382" s="229"/>
      <c r="B382" s="229"/>
      <c r="C382" s="229"/>
      <c r="D382" s="229"/>
      <c r="E382" s="229"/>
      <c r="F382" s="229"/>
      <c r="G382" s="229"/>
      <c r="H382" s="229"/>
      <c r="I382" s="229"/>
      <c r="J382" s="229"/>
      <c r="K382" s="229"/>
      <c r="L382" s="229"/>
      <c r="M382" s="229"/>
      <c r="N382" s="229"/>
      <c r="O382" s="229"/>
      <c r="P382" s="229"/>
      <c r="Q382" s="234" t="s">
        <v>467</v>
      </c>
      <c r="R382" s="229"/>
      <c r="S382" s="229"/>
      <c r="T382" s="229"/>
      <c r="U382" s="229"/>
      <c r="V382" s="229"/>
      <c r="W382" s="229"/>
      <c r="X382" s="229"/>
      <c r="Y382" s="229"/>
      <c r="Z382" s="229"/>
      <c r="AA382" s="229"/>
      <c r="AB382" s="229"/>
      <c r="AC382" s="233" t="s">
        <v>1727</v>
      </c>
      <c r="AD382" s="234"/>
      <c r="AE382" s="234"/>
      <c r="AF382" s="229"/>
      <c r="AG382" s="229"/>
      <c r="AH382" s="229"/>
      <c r="AI382" s="229"/>
      <c r="AJ382" s="229"/>
      <c r="AK382" s="229"/>
      <c r="AL382" s="229"/>
      <c r="AM382" s="229"/>
      <c r="AN382" s="229"/>
      <c r="AO382" s="229"/>
      <c r="AP382" s="229"/>
      <c r="AQ382" s="229"/>
      <c r="AR382" s="229"/>
      <c r="AS382" s="229"/>
      <c r="AT382" s="229"/>
      <c r="AU382" s="229"/>
    </row>
    <row r="383" spans="1:47">
      <c r="A383" s="229"/>
      <c r="B383" s="229"/>
      <c r="C383" s="229"/>
      <c r="D383" s="229"/>
      <c r="E383" s="229"/>
      <c r="F383" s="229"/>
      <c r="G383" s="229"/>
      <c r="H383" s="229"/>
      <c r="I383" s="229"/>
      <c r="J383" s="229"/>
      <c r="K383" s="229"/>
      <c r="L383" s="229"/>
      <c r="M383" s="229"/>
      <c r="N383" s="229"/>
      <c r="O383" s="229"/>
      <c r="P383" s="229"/>
      <c r="Q383" s="229"/>
      <c r="R383" s="229"/>
      <c r="S383" s="229"/>
      <c r="T383" s="229"/>
      <c r="U383" s="229"/>
      <c r="V383" s="229"/>
      <c r="W383" s="229"/>
      <c r="X383" s="229"/>
      <c r="Y383" s="229"/>
      <c r="Z383" s="229"/>
      <c r="AA383" s="229"/>
      <c r="AB383" s="229"/>
      <c r="AC383" s="234" t="str">
        <f>"          "&amp;_WIT1</f>
        <v xml:space="preserve">          L. D. STEINKUHL</v>
      </c>
      <c r="AD383" s="234"/>
      <c r="AE383" s="234"/>
      <c r="AF383" s="229"/>
      <c r="AG383" s="229"/>
      <c r="AH383" s="229"/>
      <c r="AI383" s="229"/>
      <c r="AJ383" s="229"/>
      <c r="AK383" s="229"/>
      <c r="AL383" s="229"/>
      <c r="AM383" s="229"/>
      <c r="AN383" s="229"/>
      <c r="AO383" s="229"/>
      <c r="AP383" s="229"/>
      <c r="AQ383" s="229"/>
      <c r="AR383" s="229"/>
      <c r="AS383" s="229"/>
      <c r="AT383" s="229"/>
      <c r="AU383" s="229"/>
    </row>
    <row r="384" spans="1:47">
      <c r="A384" s="229"/>
      <c r="B384" s="229"/>
      <c r="C384" s="229"/>
      <c r="D384" s="229"/>
      <c r="E384" s="229"/>
      <c r="F384" s="229"/>
      <c r="G384" s="229"/>
      <c r="H384" s="229"/>
      <c r="I384" s="229"/>
      <c r="J384" s="229"/>
      <c r="K384" s="229"/>
      <c r="L384" s="229"/>
      <c r="M384" s="229"/>
      <c r="N384" s="229"/>
      <c r="O384" s="229"/>
      <c r="P384" s="229"/>
      <c r="Q384" s="1502"/>
      <c r="R384" s="1502"/>
      <c r="S384" s="1502"/>
      <c r="T384" s="1502"/>
      <c r="U384" s="1508"/>
      <c r="V384" s="1508"/>
      <c r="W384" s="1508"/>
      <c r="X384" s="1508"/>
      <c r="Y384" s="1508"/>
      <c r="Z384" s="1508"/>
      <c r="AA384" s="1508"/>
      <c r="AB384" s="1502"/>
      <c r="AC384" s="1503"/>
      <c r="AD384" s="1504"/>
      <c r="AE384" s="1502"/>
      <c r="AF384" s="229"/>
      <c r="AG384" s="229"/>
      <c r="AH384" s="229"/>
      <c r="AI384" s="229"/>
      <c r="AJ384" s="229"/>
      <c r="AK384" s="229"/>
      <c r="AL384" s="229"/>
      <c r="AM384" s="229"/>
      <c r="AN384" s="229"/>
      <c r="AO384" s="229"/>
      <c r="AP384" s="229"/>
      <c r="AQ384" s="229"/>
      <c r="AR384" s="229"/>
      <c r="AS384" s="229"/>
      <c r="AT384" s="229"/>
      <c r="AU384" s="229"/>
    </row>
    <row r="385" spans="1:47">
      <c r="A385" s="229"/>
      <c r="B385" s="229"/>
      <c r="C385" s="229"/>
      <c r="D385" s="229"/>
      <c r="E385" s="229"/>
      <c r="F385" s="229"/>
      <c r="G385" s="229"/>
      <c r="H385" s="229"/>
      <c r="I385" s="229"/>
      <c r="J385" s="229"/>
      <c r="K385" s="229"/>
      <c r="L385" s="229"/>
      <c r="M385" s="229"/>
      <c r="N385" s="229"/>
      <c r="O385" s="229"/>
      <c r="P385" s="229"/>
      <c r="Q385" s="229"/>
      <c r="R385" s="229"/>
      <c r="S385" s="229"/>
      <c r="T385" s="229"/>
      <c r="U385" s="240"/>
      <c r="V385" s="240"/>
      <c r="W385" s="240"/>
      <c r="X385" s="240"/>
      <c r="Y385" s="240"/>
      <c r="Z385" s="229"/>
      <c r="AA385" s="240"/>
      <c r="AB385" s="240"/>
      <c r="AC385" s="240"/>
      <c r="AD385" s="240"/>
      <c r="AE385" s="240"/>
      <c r="AF385" s="229"/>
      <c r="AG385" s="229"/>
      <c r="AH385" s="229"/>
      <c r="AI385" s="229"/>
      <c r="AJ385" s="229"/>
      <c r="AK385" s="229"/>
      <c r="AL385" s="229"/>
      <c r="AM385" s="229"/>
      <c r="AN385" s="229"/>
      <c r="AO385" s="229"/>
      <c r="AP385" s="229"/>
      <c r="AQ385" s="229"/>
      <c r="AR385" s="229"/>
      <c r="AS385" s="229"/>
      <c r="AT385" s="229"/>
      <c r="AU385" s="229"/>
    </row>
    <row r="386" spans="1:47">
      <c r="A386" s="229"/>
      <c r="B386" s="229"/>
      <c r="C386" s="229"/>
      <c r="D386" s="229"/>
      <c r="E386" s="229"/>
      <c r="F386" s="229"/>
      <c r="G386" s="229"/>
      <c r="H386" s="229"/>
      <c r="I386" s="229"/>
      <c r="J386" s="229"/>
      <c r="K386" s="229"/>
      <c r="L386" s="229"/>
      <c r="M386" s="229"/>
      <c r="N386" s="229"/>
      <c r="O386" s="229"/>
      <c r="P386" s="229"/>
      <c r="Q386" s="240" t="s">
        <v>471</v>
      </c>
      <c r="R386" s="229"/>
      <c r="S386" s="229"/>
      <c r="T386" s="229"/>
      <c r="U386" s="240" t="s">
        <v>1731</v>
      </c>
      <c r="V386" s="240"/>
      <c r="W386" s="240" t="s">
        <v>1731</v>
      </c>
      <c r="X386" s="240"/>
      <c r="Y386" s="240" t="s">
        <v>1731</v>
      </c>
      <c r="Z386" s="240"/>
      <c r="AA386" s="240" t="s">
        <v>1731</v>
      </c>
      <c r="AB386" s="240"/>
      <c r="AC386" s="240" t="s">
        <v>1731</v>
      </c>
      <c r="AD386" s="240"/>
      <c r="AE386" s="240" t="s">
        <v>1731</v>
      </c>
      <c r="AF386" s="229"/>
      <c r="AG386" s="229"/>
      <c r="AH386" s="229"/>
      <c r="AI386" s="229"/>
      <c r="AJ386" s="229"/>
      <c r="AK386" s="229"/>
      <c r="AL386" s="229"/>
      <c r="AM386" s="229"/>
      <c r="AN386" s="229"/>
      <c r="AO386" s="229"/>
      <c r="AP386" s="229"/>
      <c r="AQ386" s="229"/>
      <c r="AR386" s="229"/>
      <c r="AS386" s="229"/>
      <c r="AT386" s="229"/>
      <c r="AU386" s="229"/>
    </row>
    <row r="387" spans="1:47">
      <c r="A387" s="229"/>
      <c r="B387" s="229"/>
      <c r="C387" s="229"/>
      <c r="D387" s="229"/>
      <c r="E387" s="229"/>
      <c r="F387" s="229"/>
      <c r="G387" s="229"/>
      <c r="H387" s="229"/>
      <c r="I387" s="229"/>
      <c r="J387" s="229"/>
      <c r="K387" s="229"/>
      <c r="L387" s="229"/>
      <c r="M387" s="229"/>
      <c r="N387" s="229"/>
      <c r="O387" s="229"/>
      <c r="P387" s="229"/>
      <c r="Q387" s="1503" t="s">
        <v>533</v>
      </c>
      <c r="R387" s="1504"/>
      <c r="S387" s="1503" t="s">
        <v>1733</v>
      </c>
      <c r="T387" s="1504"/>
      <c r="U387" s="1503"/>
      <c r="V387" s="1503"/>
      <c r="W387" s="1503"/>
      <c r="X387" s="1503"/>
      <c r="Y387" s="1503"/>
      <c r="Z387" s="1503"/>
      <c r="AA387" s="1503"/>
      <c r="AB387" s="1503"/>
      <c r="AC387" s="1509"/>
      <c r="AD387" s="1502"/>
      <c r="AE387" s="1503"/>
      <c r="AF387" s="229"/>
      <c r="AG387" s="229"/>
      <c r="AH387" s="229"/>
      <c r="AI387" s="229"/>
      <c r="AJ387" s="229"/>
      <c r="AK387" s="229"/>
      <c r="AL387" s="229"/>
      <c r="AM387" s="229"/>
      <c r="AN387" s="229"/>
      <c r="AO387" s="229"/>
      <c r="AP387" s="229"/>
      <c r="AQ387" s="229"/>
      <c r="AR387" s="229"/>
      <c r="AS387" s="229"/>
      <c r="AT387" s="229"/>
      <c r="AU387" s="229"/>
    </row>
    <row r="388" spans="1:47">
      <c r="A388" s="229"/>
      <c r="B388" s="229"/>
      <c r="C388" s="229"/>
      <c r="D388" s="229"/>
      <c r="E388" s="229"/>
      <c r="F388" s="229"/>
      <c r="G388" s="229"/>
      <c r="H388" s="229"/>
      <c r="I388" s="229"/>
      <c r="J388" s="229"/>
      <c r="K388" s="229"/>
      <c r="L388" s="229"/>
      <c r="M388" s="229"/>
      <c r="N388" s="229"/>
      <c r="O388" s="229"/>
      <c r="P388" s="229"/>
      <c r="Q388" s="1504"/>
      <c r="R388" s="1504"/>
      <c r="S388" s="1505" t="s">
        <v>1737</v>
      </c>
      <c r="T388" s="1504"/>
      <c r="U388" s="1503" t="s">
        <v>1825</v>
      </c>
      <c r="V388" s="1503"/>
      <c r="W388" s="1503" t="s">
        <v>1826</v>
      </c>
      <c r="X388" s="1503"/>
      <c r="Y388" s="1503" t="s">
        <v>1827</v>
      </c>
      <c r="Z388" s="1503"/>
      <c r="AA388" s="1503" t="s">
        <v>1828</v>
      </c>
      <c r="AB388" s="1503"/>
      <c r="AC388" s="1503" t="s">
        <v>1829</v>
      </c>
      <c r="AD388" s="1503"/>
      <c r="AE388" s="1503" t="s">
        <v>1830</v>
      </c>
      <c r="AF388" s="229"/>
      <c r="AG388" s="229"/>
      <c r="AH388" s="229"/>
      <c r="AI388" s="229"/>
      <c r="AJ388" s="229"/>
      <c r="AK388" s="229"/>
      <c r="AL388" s="229"/>
      <c r="AM388" s="229"/>
      <c r="AN388" s="229"/>
      <c r="AO388" s="229"/>
      <c r="AP388" s="229"/>
      <c r="AQ388" s="229"/>
      <c r="AR388" s="229"/>
      <c r="AS388" s="229"/>
      <c r="AT388" s="229"/>
      <c r="AU388" s="229"/>
    </row>
    <row r="389" spans="1:47">
      <c r="A389" s="229"/>
      <c r="B389" s="229"/>
      <c r="C389" s="229"/>
      <c r="D389" s="229"/>
      <c r="E389" s="229"/>
      <c r="F389" s="229"/>
      <c r="G389" s="229"/>
      <c r="H389" s="229"/>
      <c r="I389" s="229"/>
      <c r="J389" s="229"/>
      <c r="K389" s="229"/>
      <c r="L389" s="229"/>
      <c r="M389" s="229"/>
      <c r="N389" s="229"/>
      <c r="O389" s="229"/>
      <c r="P389" s="229"/>
      <c r="Q389" s="240">
        <v>1</v>
      </c>
      <c r="R389" s="242" t="s">
        <v>451</v>
      </c>
      <c r="S389" s="229"/>
      <c r="T389" s="229"/>
      <c r="U389" s="229"/>
      <c r="V389" s="229"/>
      <c r="W389" s="240"/>
      <c r="X389" s="229"/>
      <c r="Y389" s="240"/>
      <c r="Z389" s="229"/>
      <c r="AA389" s="229"/>
      <c r="AB389" s="229"/>
      <c r="AC389" s="229"/>
      <c r="AD389" s="229"/>
      <c r="AE389" s="229"/>
      <c r="AF389" s="229"/>
      <c r="AG389" s="229"/>
      <c r="AH389" s="229"/>
      <c r="AI389" s="229"/>
      <c r="AJ389" s="229"/>
      <c r="AK389" s="229"/>
      <c r="AL389" s="229"/>
      <c r="AM389" s="229"/>
      <c r="AN389" s="229"/>
      <c r="AO389" s="229"/>
      <c r="AP389" s="229"/>
      <c r="AQ389" s="229"/>
      <c r="AR389" s="229"/>
      <c r="AS389" s="229"/>
      <c r="AT389" s="229"/>
      <c r="AU389" s="229"/>
    </row>
    <row r="390" spans="1:47">
      <c r="A390" s="229"/>
      <c r="B390" s="229"/>
      <c r="C390" s="229"/>
      <c r="D390" s="229"/>
      <c r="E390" s="229"/>
      <c r="F390" s="229"/>
      <c r="G390" s="229"/>
      <c r="H390" s="229"/>
      <c r="I390" s="229"/>
      <c r="J390" s="229"/>
      <c r="K390" s="229"/>
      <c r="L390" s="229"/>
      <c r="M390" s="229"/>
      <c r="N390" s="229"/>
      <c r="O390" s="229"/>
      <c r="P390" s="229"/>
      <c r="Q390" s="240">
        <v>2</v>
      </c>
      <c r="R390" s="229"/>
      <c r="S390" s="234" t="s">
        <v>1740</v>
      </c>
      <c r="T390" s="229"/>
      <c r="U390" s="238"/>
      <c r="V390" s="229"/>
      <c r="W390" s="238"/>
      <c r="X390" s="238"/>
      <c r="Y390" s="238"/>
      <c r="Z390" s="238"/>
      <c r="AA390" s="238"/>
      <c r="AB390" s="238"/>
      <c r="AC390" s="238"/>
      <c r="AD390" s="238"/>
      <c r="AE390" s="238"/>
      <c r="AF390" s="229"/>
      <c r="AG390" s="229"/>
      <c r="AH390" s="229"/>
      <c r="AI390" s="229"/>
      <c r="AJ390" s="229"/>
      <c r="AK390" s="229"/>
      <c r="AL390" s="229"/>
      <c r="AM390" s="229"/>
      <c r="AN390" s="229"/>
      <c r="AO390" s="229"/>
      <c r="AP390" s="229"/>
      <c r="AQ390" s="229"/>
      <c r="AR390" s="229"/>
      <c r="AS390" s="229"/>
      <c r="AT390" s="229"/>
      <c r="AU390" s="229"/>
    </row>
    <row r="391" spans="1:47">
      <c r="A391" s="229"/>
      <c r="B391" s="229"/>
      <c r="C391" s="229"/>
      <c r="D391" s="229"/>
      <c r="E391" s="229"/>
      <c r="F391" s="229"/>
      <c r="G391" s="229"/>
      <c r="H391" s="229"/>
      <c r="I391" s="229"/>
      <c r="J391" s="229"/>
      <c r="K391" s="229"/>
      <c r="L391" s="229"/>
      <c r="M391" s="229"/>
      <c r="N391" s="229"/>
      <c r="O391" s="229"/>
      <c r="P391" s="229"/>
      <c r="Q391" s="240">
        <v>3</v>
      </c>
      <c r="R391" s="229"/>
      <c r="S391" s="234" t="s">
        <v>1741</v>
      </c>
      <c r="T391" s="229"/>
      <c r="U391" s="238"/>
      <c r="V391" s="229"/>
      <c r="W391" s="238"/>
      <c r="X391" s="238"/>
      <c r="Y391" s="238"/>
      <c r="Z391" s="238"/>
      <c r="AA391" s="238"/>
      <c r="AB391" s="238"/>
      <c r="AC391" s="238"/>
      <c r="AD391" s="238"/>
      <c r="AE391" s="238"/>
      <c r="AF391" s="229"/>
      <c r="AG391" s="229"/>
      <c r="AH391" s="229"/>
      <c r="AI391" s="229"/>
      <c r="AJ391" s="229"/>
      <c r="AK391" s="229"/>
      <c r="AL391" s="229"/>
      <c r="AM391" s="229"/>
      <c r="AN391" s="229"/>
      <c r="AO391" s="229"/>
      <c r="AP391" s="229"/>
      <c r="AQ391" s="229"/>
      <c r="AR391" s="229"/>
      <c r="AS391" s="229"/>
      <c r="AT391" s="229"/>
      <c r="AU391" s="229"/>
    </row>
    <row r="392" spans="1:47">
      <c r="A392" s="229"/>
      <c r="B392" s="229"/>
      <c r="C392" s="229"/>
      <c r="D392" s="229"/>
      <c r="E392" s="229"/>
      <c r="F392" s="229"/>
      <c r="G392" s="229"/>
      <c r="H392" s="229"/>
      <c r="I392" s="229"/>
      <c r="J392" s="229"/>
      <c r="K392" s="229"/>
      <c r="L392" s="229"/>
      <c r="M392" s="229"/>
      <c r="N392" s="229"/>
      <c r="O392" s="229"/>
      <c r="P392" s="229"/>
      <c r="Q392" s="240">
        <v>4</v>
      </c>
      <c r="R392" s="229"/>
      <c r="S392" s="234" t="s">
        <v>1742</v>
      </c>
      <c r="T392" s="229"/>
      <c r="U392" s="229"/>
      <c r="V392" s="229"/>
      <c r="W392" s="238"/>
      <c r="X392" s="238"/>
      <c r="Y392" s="238"/>
      <c r="Z392" s="238"/>
      <c r="AA392" s="238"/>
      <c r="AB392" s="238"/>
      <c r="AC392" s="238"/>
      <c r="AD392" s="238"/>
      <c r="AE392" s="238"/>
      <c r="AF392" s="229"/>
      <c r="AG392" s="229"/>
      <c r="AH392" s="229"/>
      <c r="AI392" s="229"/>
      <c r="AJ392" s="229"/>
      <c r="AK392" s="229"/>
      <c r="AL392" s="229"/>
      <c r="AM392" s="229"/>
      <c r="AN392" s="229"/>
      <c r="AO392" s="229"/>
      <c r="AP392" s="229"/>
      <c r="AQ392" s="229"/>
      <c r="AR392" s="229"/>
      <c r="AS392" s="229"/>
      <c r="AT392" s="229"/>
      <c r="AU392" s="229"/>
    </row>
    <row r="393" spans="1:47">
      <c r="A393" s="229"/>
      <c r="B393" s="229"/>
      <c r="C393" s="229"/>
      <c r="D393" s="229"/>
      <c r="E393" s="229"/>
      <c r="F393" s="229"/>
      <c r="G393" s="229"/>
      <c r="H393" s="229"/>
      <c r="I393" s="229"/>
      <c r="J393" s="229"/>
      <c r="K393" s="229"/>
      <c r="L393" s="229"/>
      <c r="M393" s="229"/>
      <c r="N393" s="229"/>
      <c r="O393" s="229"/>
      <c r="P393" s="229"/>
      <c r="Q393" s="240">
        <v>5</v>
      </c>
      <c r="R393" s="229"/>
      <c r="S393" s="234" t="s">
        <v>1743</v>
      </c>
      <c r="T393" s="229"/>
      <c r="U393" s="2140">
        <f>SUM(U390:U392)</f>
        <v>0</v>
      </c>
      <c r="V393" s="229"/>
      <c r="W393" s="2140">
        <f>SUM(W390:W392)</f>
        <v>0</v>
      </c>
      <c r="X393" s="238"/>
      <c r="Y393" s="2140">
        <f>SUM(Y390:Y392)</f>
        <v>0</v>
      </c>
      <c r="Z393" s="238"/>
      <c r="AA393" s="2140">
        <f>SUM(AA390:AA392)</f>
        <v>0</v>
      </c>
      <c r="AB393" s="238"/>
      <c r="AC393" s="2140"/>
      <c r="AD393" s="238"/>
      <c r="AE393" s="2140">
        <f>SUM(AE390:AE392)</f>
        <v>0</v>
      </c>
      <c r="AF393" s="229"/>
      <c r="AG393" s="229"/>
      <c r="AH393" s="229"/>
      <c r="AI393" s="229"/>
      <c r="AJ393" s="229"/>
      <c r="AK393" s="229"/>
      <c r="AL393" s="229"/>
      <c r="AM393" s="229"/>
      <c r="AN393" s="229"/>
      <c r="AO393" s="229"/>
      <c r="AP393" s="229"/>
      <c r="AQ393" s="229"/>
      <c r="AR393" s="229"/>
      <c r="AS393" s="229"/>
      <c r="AT393" s="229"/>
      <c r="AU393" s="229"/>
    </row>
    <row r="394" spans="1:47">
      <c r="A394" s="229"/>
      <c r="B394" s="229"/>
      <c r="C394" s="229"/>
      <c r="D394" s="229"/>
      <c r="E394" s="229"/>
      <c r="F394" s="229"/>
      <c r="G394" s="229"/>
      <c r="H394" s="229"/>
      <c r="I394" s="229"/>
      <c r="J394" s="229"/>
      <c r="K394" s="229"/>
      <c r="L394" s="229"/>
      <c r="M394" s="229"/>
      <c r="N394" s="229"/>
      <c r="O394" s="229"/>
      <c r="P394" s="229"/>
      <c r="Q394" s="240">
        <v>6</v>
      </c>
      <c r="R394" s="229"/>
      <c r="S394" s="229"/>
      <c r="T394" s="229"/>
      <c r="U394" s="239"/>
      <c r="V394" s="229"/>
      <c r="W394" s="239"/>
      <c r="X394" s="239"/>
      <c r="Y394" s="239"/>
      <c r="Z394" s="239"/>
      <c r="AA394" s="239"/>
      <c r="AB394" s="239"/>
      <c r="AC394" s="239"/>
      <c r="AD394" s="239"/>
      <c r="AE394" s="239"/>
      <c r="AF394" s="229"/>
      <c r="AG394" s="229"/>
      <c r="AH394" s="229"/>
      <c r="AI394" s="229"/>
      <c r="AJ394" s="229"/>
      <c r="AK394" s="229"/>
      <c r="AL394" s="229"/>
      <c r="AM394" s="229"/>
      <c r="AN394" s="229"/>
      <c r="AO394" s="229"/>
      <c r="AP394" s="229"/>
      <c r="AQ394" s="229"/>
      <c r="AR394" s="229"/>
      <c r="AS394" s="229"/>
      <c r="AT394" s="229"/>
      <c r="AU394" s="229"/>
    </row>
    <row r="395" spans="1:47">
      <c r="A395" s="229"/>
      <c r="B395" s="229"/>
      <c r="C395" s="229"/>
      <c r="D395" s="229"/>
      <c r="E395" s="229"/>
      <c r="F395" s="229"/>
      <c r="G395" s="229"/>
      <c r="H395" s="229"/>
      <c r="I395" s="229"/>
      <c r="J395" s="229"/>
      <c r="K395" s="229"/>
      <c r="L395" s="229"/>
      <c r="M395" s="229"/>
      <c r="N395" s="229"/>
      <c r="O395" s="229"/>
      <c r="P395" s="229"/>
      <c r="Q395" s="240">
        <v>7</v>
      </c>
      <c r="R395" s="242" t="s">
        <v>404</v>
      </c>
      <c r="S395" s="229"/>
      <c r="T395" s="229"/>
      <c r="U395" s="1752" t="str">
        <f>IF(SUM(U396:U397,U414,U419,U424)=0,"","DATA ENTERED IN WRONG LINE")</f>
        <v/>
      </c>
      <c r="V395" s="1752"/>
      <c r="W395" s="1752" t="str">
        <f>IF(SUM(W396:W397,W414,W419,W424)=0,"","DATA ENTERED IN WRONG LINE")</f>
        <v/>
      </c>
      <c r="X395" s="1752"/>
      <c r="Y395" s="1752" t="str">
        <f>IF(SUM(Y396:Y397,Y414,Y419,Y424)=0,"","DATA ENTERED IN WRONG LINE")</f>
        <v/>
      </c>
      <c r="Z395" s="1752"/>
      <c r="AA395" s="1752" t="str">
        <f>IF(SUM(AA396:AA397,AA414,AA419,AA424)=0,"","DATA ENTERED IN WRONG LINE")</f>
        <v/>
      </c>
      <c r="AB395" s="1752"/>
      <c r="AC395" s="1752" t="str">
        <f>IF(SUM(AC396:AC397,AC414,AC419,AC424)=0,"","DATA ENTERED IN WRONG LINE")</f>
        <v/>
      </c>
      <c r="AD395" s="1752"/>
      <c r="AE395" s="1752" t="str">
        <f>IF(SUM(AE396:AE397,AE414,AE419,AE424)=0,"","DATA ENTERED IN WRONG LINE")</f>
        <v/>
      </c>
      <c r="AF395" s="229"/>
      <c r="AG395" s="229"/>
      <c r="AH395" s="229"/>
      <c r="AI395" s="229"/>
      <c r="AJ395" s="229"/>
      <c r="AK395" s="229"/>
      <c r="AL395" s="229"/>
      <c r="AM395" s="229"/>
      <c r="AN395" s="229"/>
      <c r="AO395" s="229"/>
      <c r="AP395" s="229"/>
      <c r="AQ395" s="229"/>
      <c r="AR395" s="229"/>
      <c r="AS395" s="229"/>
      <c r="AT395" s="229"/>
      <c r="AU395" s="229"/>
    </row>
    <row r="396" spans="1:47">
      <c r="A396" s="229"/>
      <c r="B396" s="229"/>
      <c r="C396" s="229"/>
      <c r="D396" s="229"/>
      <c r="E396" s="229"/>
      <c r="F396" s="229"/>
      <c r="G396" s="229"/>
      <c r="H396" s="229"/>
      <c r="I396" s="229"/>
      <c r="J396" s="229"/>
      <c r="K396" s="229"/>
      <c r="L396" s="229"/>
      <c r="M396" s="229"/>
      <c r="N396" s="229"/>
      <c r="O396" s="229"/>
      <c r="P396" s="229"/>
      <c r="Q396" s="240">
        <v>8</v>
      </c>
      <c r="R396" s="229"/>
      <c r="S396" s="234" t="s">
        <v>1744</v>
      </c>
      <c r="T396" s="229"/>
      <c r="U396" s="238"/>
      <c r="V396" s="229"/>
      <c r="W396" s="229"/>
      <c r="X396" s="229"/>
      <c r="Y396" s="229"/>
      <c r="Z396" s="229"/>
      <c r="AA396" s="229"/>
      <c r="AB396" s="229"/>
      <c r="AC396" s="229"/>
      <c r="AD396" s="229"/>
      <c r="AE396" s="229"/>
      <c r="AF396" s="229"/>
      <c r="AG396" s="229"/>
      <c r="AH396" s="229"/>
      <c r="AI396" s="229"/>
      <c r="AJ396" s="229"/>
      <c r="AK396" s="229"/>
      <c r="AL396" s="229"/>
      <c r="AM396" s="229"/>
      <c r="AN396" s="229"/>
      <c r="AO396" s="229"/>
      <c r="AP396" s="229"/>
      <c r="AQ396" s="229"/>
      <c r="AR396" s="229"/>
      <c r="AS396" s="229"/>
      <c r="AT396" s="229"/>
      <c r="AU396" s="229"/>
    </row>
    <row r="397" spans="1:47">
      <c r="A397" s="229"/>
      <c r="B397" s="229"/>
      <c r="C397" s="229"/>
      <c r="D397" s="229"/>
      <c r="E397" s="229"/>
      <c r="F397" s="229"/>
      <c r="G397" s="229"/>
      <c r="H397" s="229"/>
      <c r="I397" s="229"/>
      <c r="J397" s="229"/>
      <c r="K397" s="229"/>
      <c r="L397" s="229"/>
      <c r="M397" s="229"/>
      <c r="N397" s="229"/>
      <c r="O397" s="229"/>
      <c r="P397" s="229"/>
      <c r="Q397" s="240">
        <v>9</v>
      </c>
      <c r="R397" s="229"/>
      <c r="S397" s="234" t="s">
        <v>1745</v>
      </c>
      <c r="T397" s="229"/>
      <c r="U397" s="238"/>
      <c r="V397" s="229"/>
      <c r="W397" s="229"/>
      <c r="X397" s="229"/>
      <c r="Y397" s="229"/>
      <c r="Z397" s="229"/>
      <c r="AA397" s="229"/>
      <c r="AB397" s="229"/>
      <c r="AC397" s="229"/>
      <c r="AD397" s="229"/>
      <c r="AE397" s="229"/>
      <c r="AF397" s="229"/>
      <c r="AG397" s="229"/>
      <c r="AH397" s="229"/>
      <c r="AI397" s="229"/>
      <c r="AJ397" s="229"/>
      <c r="AK397" s="229"/>
      <c r="AL397" s="229"/>
      <c r="AM397" s="229"/>
      <c r="AN397" s="229"/>
      <c r="AO397" s="229"/>
      <c r="AP397" s="229"/>
      <c r="AQ397" s="229"/>
      <c r="AR397" s="229"/>
      <c r="AS397" s="229"/>
      <c r="AT397" s="229"/>
      <c r="AU397" s="229"/>
    </row>
    <row r="398" spans="1:47">
      <c r="A398" s="229"/>
      <c r="B398" s="229"/>
      <c r="C398" s="229"/>
      <c r="D398" s="229"/>
      <c r="E398" s="229"/>
      <c r="F398" s="229"/>
      <c r="G398" s="229"/>
      <c r="H398" s="229"/>
      <c r="I398" s="229"/>
      <c r="J398" s="229"/>
      <c r="K398" s="229"/>
      <c r="L398" s="229"/>
      <c r="M398" s="229"/>
      <c r="N398" s="229"/>
      <c r="O398" s="229"/>
      <c r="P398" s="229"/>
      <c r="Q398" s="240">
        <v>10</v>
      </c>
      <c r="R398" s="229"/>
      <c r="S398" s="181" t="s">
        <v>454</v>
      </c>
      <c r="T398" s="229"/>
      <c r="U398" s="238"/>
      <c r="V398" s="229"/>
      <c r="W398" s="238"/>
      <c r="X398" s="238"/>
      <c r="Y398" s="238"/>
      <c r="Z398" s="238"/>
      <c r="AA398" s="238"/>
      <c r="AB398" s="238"/>
      <c r="AC398" s="238"/>
      <c r="AD398" s="238"/>
      <c r="AE398" s="238"/>
      <c r="AF398" s="229"/>
      <c r="AG398" s="229"/>
      <c r="AH398" s="229"/>
      <c r="AI398" s="229"/>
      <c r="AJ398" s="229"/>
      <c r="AK398" s="229"/>
      <c r="AL398" s="229"/>
      <c r="AM398" s="229"/>
      <c r="AN398" s="229"/>
      <c r="AO398" s="229"/>
      <c r="AP398" s="229"/>
      <c r="AQ398" s="229"/>
      <c r="AR398" s="229"/>
      <c r="AS398" s="229"/>
      <c r="AT398" s="229"/>
      <c r="AU398" s="229"/>
    </row>
    <row r="399" spans="1:47">
      <c r="A399" s="229"/>
      <c r="B399" s="229"/>
      <c r="C399" s="229"/>
      <c r="D399" s="229"/>
      <c r="E399" s="229"/>
      <c r="F399" s="229"/>
      <c r="G399" s="229"/>
      <c r="H399" s="229"/>
      <c r="I399" s="229"/>
      <c r="J399" s="229"/>
      <c r="K399" s="229"/>
      <c r="L399" s="229"/>
      <c r="M399" s="229"/>
      <c r="N399" s="229"/>
      <c r="O399" s="229"/>
      <c r="P399" s="229"/>
      <c r="Q399" s="240">
        <v>11</v>
      </c>
      <c r="R399" s="229"/>
      <c r="S399" s="234" t="s">
        <v>1746</v>
      </c>
      <c r="T399" s="229"/>
      <c r="U399" s="238"/>
      <c r="V399" s="229"/>
      <c r="W399" s="238"/>
      <c r="X399" s="238"/>
      <c r="Y399" s="238"/>
      <c r="Z399" s="238"/>
      <c r="AA399" s="238"/>
      <c r="AB399" s="238"/>
      <c r="AC399" s="238"/>
      <c r="AD399" s="238"/>
      <c r="AE399" s="238"/>
      <c r="AF399" s="229"/>
      <c r="AG399" s="229"/>
      <c r="AH399" s="229"/>
      <c r="AI399" s="229"/>
      <c r="AJ399" s="229"/>
      <c r="AK399" s="229"/>
      <c r="AL399" s="229"/>
      <c r="AM399" s="229"/>
      <c r="AN399" s="229"/>
      <c r="AO399" s="229"/>
      <c r="AP399" s="229"/>
      <c r="AQ399" s="229"/>
      <c r="AR399" s="229"/>
      <c r="AS399" s="229"/>
      <c r="AT399" s="229"/>
      <c r="AU399" s="229"/>
    </row>
    <row r="400" spans="1:47">
      <c r="A400" s="229"/>
      <c r="B400" s="229"/>
      <c r="C400" s="229"/>
      <c r="D400" s="229"/>
      <c r="E400" s="229"/>
      <c r="F400" s="229"/>
      <c r="G400" s="229"/>
      <c r="H400" s="229"/>
      <c r="I400" s="229"/>
      <c r="J400" s="229"/>
      <c r="K400" s="229"/>
      <c r="L400" s="229"/>
      <c r="M400" s="229"/>
      <c r="N400" s="229"/>
      <c r="O400" s="229"/>
      <c r="P400" s="229"/>
      <c r="Q400" s="240">
        <v>12</v>
      </c>
      <c r="R400" s="229"/>
      <c r="S400" s="234" t="s">
        <v>1747</v>
      </c>
      <c r="T400" s="229"/>
      <c r="U400" s="2141">
        <f>SUM(U397:U399)</f>
        <v>0</v>
      </c>
      <c r="V400" s="229"/>
      <c r="W400" s="2141">
        <f>SUM(W397:W399)</f>
        <v>0</v>
      </c>
      <c r="X400" s="238"/>
      <c r="Y400" s="2141">
        <f>SUM(Y397:Y399)</f>
        <v>0</v>
      </c>
      <c r="Z400" s="238"/>
      <c r="AA400" s="2141">
        <f>SUM(AA397:AA399)</f>
        <v>0</v>
      </c>
      <c r="AB400" s="238"/>
      <c r="AC400" s="2141">
        <f>SUM(AC397:AC399)</f>
        <v>0</v>
      </c>
      <c r="AD400" s="238"/>
      <c r="AE400" s="2141">
        <f>SUM(AE397:AE399)</f>
        <v>0</v>
      </c>
      <c r="AF400" s="229"/>
      <c r="AG400" s="229"/>
      <c r="AH400" s="229"/>
      <c r="AI400" s="229"/>
      <c r="AJ400" s="229"/>
      <c r="AK400" s="229"/>
      <c r="AL400" s="229"/>
      <c r="AM400" s="229"/>
      <c r="AN400" s="229"/>
      <c r="AO400" s="229"/>
      <c r="AP400" s="229"/>
      <c r="AQ400" s="229"/>
      <c r="AR400" s="229"/>
      <c r="AS400" s="229"/>
      <c r="AT400" s="229"/>
      <c r="AU400" s="229"/>
    </row>
    <row r="401" spans="1:47">
      <c r="A401" s="229"/>
      <c r="B401" s="229"/>
      <c r="C401" s="229"/>
      <c r="D401" s="229"/>
      <c r="E401" s="229"/>
      <c r="F401" s="229"/>
      <c r="G401" s="229"/>
      <c r="H401" s="229"/>
      <c r="I401" s="229"/>
      <c r="J401" s="229"/>
      <c r="K401" s="229"/>
      <c r="L401" s="229"/>
      <c r="M401" s="229"/>
      <c r="N401" s="229"/>
      <c r="O401" s="229"/>
      <c r="P401" s="229"/>
      <c r="Q401" s="240">
        <v>13</v>
      </c>
      <c r="R401" s="229"/>
      <c r="S401" s="229"/>
      <c r="T401" s="229"/>
      <c r="U401" s="648"/>
      <c r="V401" s="229"/>
      <c r="W401" s="239"/>
      <c r="X401" s="239"/>
      <c r="Y401" s="239"/>
      <c r="Z401" s="239"/>
      <c r="AA401" s="239"/>
      <c r="AB401" s="239"/>
      <c r="AC401" s="239"/>
      <c r="AD401" s="239"/>
      <c r="AE401" s="239"/>
      <c r="AF401" s="229"/>
      <c r="AG401" s="229"/>
      <c r="AH401" s="229"/>
      <c r="AI401" s="229"/>
      <c r="AJ401" s="229"/>
      <c r="AK401" s="229"/>
      <c r="AL401" s="229"/>
      <c r="AM401" s="229"/>
      <c r="AN401" s="229"/>
      <c r="AO401" s="229"/>
      <c r="AP401" s="229"/>
      <c r="AQ401" s="229"/>
      <c r="AR401" s="229"/>
      <c r="AS401" s="229"/>
      <c r="AT401" s="229"/>
      <c r="AU401" s="229"/>
    </row>
    <row r="402" spans="1:47">
      <c r="A402" s="229"/>
      <c r="B402" s="229"/>
      <c r="C402" s="229"/>
      <c r="D402" s="229"/>
      <c r="E402" s="229"/>
      <c r="F402" s="229"/>
      <c r="G402" s="229"/>
      <c r="H402" s="229"/>
      <c r="I402" s="229"/>
      <c r="J402" s="229"/>
      <c r="K402" s="229"/>
      <c r="L402" s="229"/>
      <c r="M402" s="229"/>
      <c r="N402" s="229"/>
      <c r="O402" s="229"/>
      <c r="P402" s="229"/>
      <c r="Q402" s="240">
        <v>14</v>
      </c>
      <c r="R402" s="229"/>
      <c r="S402" s="234" t="s">
        <v>1776</v>
      </c>
      <c r="T402" s="229"/>
      <c r="U402" s="239"/>
      <c r="V402" s="229"/>
      <c r="W402" s="239"/>
      <c r="X402" s="239"/>
      <c r="Y402" s="239"/>
      <c r="Z402" s="239"/>
      <c r="AA402" s="239"/>
      <c r="AB402" s="239"/>
      <c r="AC402" s="239"/>
      <c r="AD402" s="239"/>
      <c r="AE402" s="239"/>
      <c r="AF402" s="229"/>
      <c r="AG402" s="229"/>
      <c r="AH402" s="229"/>
      <c r="AI402" s="229"/>
      <c r="AJ402" s="229"/>
      <c r="AK402" s="229"/>
      <c r="AL402" s="229"/>
      <c r="AM402" s="229"/>
      <c r="AN402" s="229"/>
      <c r="AO402" s="229"/>
      <c r="AP402" s="229"/>
      <c r="AQ402" s="229"/>
      <c r="AR402" s="229"/>
      <c r="AS402" s="229"/>
      <c r="AT402" s="229"/>
      <c r="AU402" s="229"/>
    </row>
    <row r="403" spans="1:47">
      <c r="A403" s="229"/>
      <c r="B403" s="229"/>
      <c r="C403" s="229"/>
      <c r="D403" s="229"/>
      <c r="E403" s="229"/>
      <c r="F403" s="229"/>
      <c r="G403" s="229"/>
      <c r="H403" s="229"/>
      <c r="I403" s="229"/>
      <c r="J403" s="229"/>
      <c r="K403" s="229"/>
      <c r="L403" s="229"/>
      <c r="M403" s="229"/>
      <c r="N403" s="229"/>
      <c r="O403" s="229"/>
      <c r="P403" s="229"/>
      <c r="Q403" s="240">
        <v>15</v>
      </c>
      <c r="R403" s="229"/>
      <c r="S403" s="234" t="s">
        <v>1777</v>
      </c>
      <c r="T403" s="229"/>
      <c r="U403" s="239"/>
      <c r="V403" s="229"/>
      <c r="W403" s="239"/>
      <c r="X403" s="239"/>
      <c r="Y403" s="239"/>
      <c r="Z403" s="239"/>
      <c r="AA403" s="239"/>
      <c r="AB403" s="239"/>
      <c r="AC403" s="239"/>
      <c r="AD403" s="239"/>
      <c r="AE403" s="239"/>
      <c r="AF403" s="229"/>
      <c r="AG403" s="229"/>
      <c r="AH403" s="229"/>
      <c r="AI403" s="229"/>
      <c r="AJ403" s="229"/>
      <c r="AK403" s="229"/>
      <c r="AL403" s="229"/>
      <c r="AM403" s="229"/>
      <c r="AN403" s="229"/>
      <c r="AO403" s="229"/>
      <c r="AP403" s="229"/>
      <c r="AQ403" s="229"/>
      <c r="AR403" s="229"/>
      <c r="AS403" s="229"/>
      <c r="AT403" s="229"/>
      <c r="AU403" s="229"/>
    </row>
    <row r="404" spans="1:47">
      <c r="A404" s="229"/>
      <c r="B404" s="229"/>
      <c r="C404" s="229"/>
      <c r="D404" s="229"/>
      <c r="E404" s="229"/>
      <c r="F404" s="229"/>
      <c r="G404" s="229"/>
      <c r="H404" s="229"/>
      <c r="I404" s="229"/>
      <c r="J404" s="229"/>
      <c r="K404" s="229"/>
      <c r="L404" s="229"/>
      <c r="M404" s="229"/>
      <c r="N404" s="229"/>
      <c r="O404" s="229"/>
      <c r="P404" s="229"/>
      <c r="Q404" s="240">
        <v>16</v>
      </c>
      <c r="R404" s="229"/>
      <c r="S404" s="234" t="s">
        <v>1778</v>
      </c>
      <c r="T404" s="229"/>
      <c r="U404" s="238"/>
      <c r="V404" s="229"/>
      <c r="W404" s="238"/>
      <c r="X404" s="238"/>
      <c r="Y404" s="238"/>
      <c r="Z404" s="238"/>
      <c r="AA404" s="238"/>
      <c r="AB404" s="238"/>
      <c r="AC404" s="238"/>
      <c r="AD404" s="238"/>
      <c r="AE404" s="238"/>
      <c r="AF404" s="229"/>
      <c r="AG404" s="229"/>
      <c r="AH404" s="229"/>
      <c r="AI404" s="229"/>
      <c r="AJ404" s="229"/>
      <c r="AK404" s="229"/>
      <c r="AL404" s="229"/>
      <c r="AM404" s="229"/>
      <c r="AN404" s="229"/>
      <c r="AO404" s="229"/>
      <c r="AP404" s="229"/>
      <c r="AQ404" s="229"/>
      <c r="AR404" s="229"/>
      <c r="AS404" s="229"/>
      <c r="AT404" s="229"/>
      <c r="AU404" s="229"/>
    </row>
    <row r="405" spans="1:47">
      <c r="A405" s="229"/>
      <c r="B405" s="229"/>
      <c r="C405" s="229"/>
      <c r="D405" s="229"/>
      <c r="E405" s="229"/>
      <c r="F405" s="229"/>
      <c r="G405" s="229"/>
      <c r="H405" s="229"/>
      <c r="I405" s="229"/>
      <c r="J405" s="229"/>
      <c r="K405" s="229"/>
      <c r="L405" s="229"/>
      <c r="M405" s="229"/>
      <c r="N405" s="229"/>
      <c r="O405" s="229"/>
      <c r="P405" s="229"/>
      <c r="Q405" s="240">
        <v>17</v>
      </c>
      <c r="R405" s="229"/>
      <c r="S405" s="234" t="s">
        <v>1779</v>
      </c>
      <c r="T405" s="229"/>
      <c r="U405" s="238"/>
      <c r="V405" s="229"/>
      <c r="W405" s="238"/>
      <c r="X405" s="238"/>
      <c r="Y405" s="238"/>
      <c r="Z405" s="238"/>
      <c r="AA405" s="238"/>
      <c r="AB405" s="238"/>
      <c r="AC405" s="238"/>
      <c r="AD405" s="238"/>
      <c r="AE405" s="238"/>
      <c r="AF405" s="229"/>
      <c r="AG405" s="229"/>
      <c r="AH405" s="229"/>
      <c r="AI405" s="229"/>
      <c r="AJ405" s="229"/>
      <c r="AK405" s="229"/>
      <c r="AL405" s="229"/>
      <c r="AM405" s="229"/>
      <c r="AN405" s="229"/>
      <c r="AO405" s="229"/>
      <c r="AP405" s="229"/>
      <c r="AQ405" s="229"/>
      <c r="AR405" s="229"/>
      <c r="AS405" s="229"/>
      <c r="AT405" s="229"/>
      <c r="AU405" s="229"/>
    </row>
    <row r="406" spans="1:47">
      <c r="A406" s="229"/>
      <c r="B406" s="229"/>
      <c r="C406" s="229"/>
      <c r="D406" s="229"/>
      <c r="E406" s="229"/>
      <c r="F406" s="229"/>
      <c r="G406" s="229"/>
      <c r="H406" s="229"/>
      <c r="I406" s="229"/>
      <c r="J406" s="229"/>
      <c r="K406" s="229"/>
      <c r="L406" s="229"/>
      <c r="M406" s="229"/>
      <c r="N406" s="229"/>
      <c r="O406" s="229"/>
      <c r="P406" s="229"/>
      <c r="Q406" s="240">
        <v>18</v>
      </c>
      <c r="R406" s="229"/>
      <c r="S406" s="234" t="s">
        <v>1780</v>
      </c>
      <c r="T406" s="229"/>
      <c r="U406" s="238"/>
      <c r="V406" s="229"/>
      <c r="W406" s="238"/>
      <c r="X406" s="238"/>
      <c r="Y406" s="238"/>
      <c r="Z406" s="238"/>
      <c r="AA406" s="238"/>
      <c r="AB406" s="238"/>
      <c r="AC406" s="238"/>
      <c r="AD406" s="238"/>
      <c r="AE406" s="238"/>
      <c r="AF406" s="229"/>
      <c r="AG406" s="229"/>
      <c r="AH406" s="229"/>
      <c r="AI406" s="229"/>
      <c r="AJ406" s="229"/>
      <c r="AK406" s="229"/>
      <c r="AL406" s="229"/>
      <c r="AM406" s="229"/>
      <c r="AN406" s="229"/>
      <c r="AO406" s="229"/>
      <c r="AP406" s="229"/>
      <c r="AQ406" s="229"/>
      <c r="AR406" s="229"/>
      <c r="AS406" s="229"/>
      <c r="AT406" s="229"/>
      <c r="AU406" s="229"/>
    </row>
    <row r="407" spans="1:47">
      <c r="A407" s="229"/>
      <c r="B407" s="229"/>
      <c r="C407" s="229"/>
      <c r="D407" s="229"/>
      <c r="E407" s="229"/>
      <c r="F407" s="229"/>
      <c r="G407" s="229"/>
      <c r="H407" s="229"/>
      <c r="I407" s="229"/>
      <c r="J407" s="229"/>
      <c r="K407" s="229"/>
      <c r="L407" s="229"/>
      <c r="M407" s="229"/>
      <c r="N407" s="229"/>
      <c r="O407" s="229"/>
      <c r="P407" s="229"/>
      <c r="Q407" s="240">
        <v>19</v>
      </c>
      <c r="R407" s="229"/>
      <c r="S407" s="234" t="s">
        <v>1781</v>
      </c>
      <c r="T407" s="229"/>
      <c r="U407" s="238"/>
      <c r="V407" s="229"/>
      <c r="W407" s="238"/>
      <c r="X407" s="238"/>
      <c r="Y407" s="238"/>
      <c r="Z407" s="238"/>
      <c r="AA407" s="238"/>
      <c r="AB407" s="238"/>
      <c r="AC407" s="238"/>
      <c r="AD407" s="238"/>
      <c r="AE407" s="238"/>
      <c r="AF407" s="229"/>
      <c r="AG407" s="229"/>
      <c r="AH407" s="229"/>
      <c r="AI407" s="229"/>
      <c r="AJ407" s="229"/>
      <c r="AK407" s="229"/>
      <c r="AL407" s="229"/>
      <c r="AM407" s="229"/>
      <c r="AN407" s="229"/>
      <c r="AO407" s="229"/>
      <c r="AP407" s="229"/>
      <c r="AQ407" s="229"/>
      <c r="AR407" s="229"/>
      <c r="AS407" s="229"/>
      <c r="AT407" s="229"/>
      <c r="AU407" s="229"/>
    </row>
    <row r="408" spans="1:47">
      <c r="A408" s="229"/>
      <c r="B408" s="229"/>
      <c r="C408" s="229"/>
      <c r="D408" s="229"/>
      <c r="E408" s="229"/>
      <c r="F408" s="229"/>
      <c r="G408" s="229"/>
      <c r="H408" s="229"/>
      <c r="I408" s="229"/>
      <c r="J408" s="229"/>
      <c r="K408" s="229"/>
      <c r="L408" s="229"/>
      <c r="M408" s="229"/>
      <c r="N408" s="229"/>
      <c r="O408" s="229"/>
      <c r="P408" s="229"/>
      <c r="Q408" s="240">
        <v>20</v>
      </c>
      <c r="R408" s="229"/>
      <c r="S408" s="234" t="s">
        <v>1782</v>
      </c>
      <c r="T408" s="229"/>
      <c r="U408" s="238"/>
      <c r="V408" s="229"/>
      <c r="W408" s="238"/>
      <c r="X408" s="238"/>
      <c r="Y408" s="229"/>
      <c r="Z408" s="238"/>
      <c r="AA408" s="238"/>
      <c r="AB408" s="238"/>
      <c r="AC408" s="238"/>
      <c r="AD408" s="238"/>
      <c r="AE408" s="238"/>
      <c r="AF408" s="229"/>
      <c r="AG408" s="229"/>
      <c r="AH408" s="229"/>
      <c r="AI408" s="229"/>
      <c r="AJ408" s="229"/>
      <c r="AK408" s="229"/>
      <c r="AL408" s="229"/>
      <c r="AM408" s="229"/>
      <c r="AN408" s="229"/>
      <c r="AO408" s="229"/>
      <c r="AP408" s="229"/>
      <c r="AQ408" s="229"/>
      <c r="AR408" s="229"/>
      <c r="AS408" s="229"/>
      <c r="AT408" s="229"/>
      <c r="AU408" s="229"/>
    </row>
    <row r="409" spans="1:47">
      <c r="A409" s="229"/>
      <c r="B409" s="229"/>
      <c r="C409" s="229"/>
      <c r="D409" s="229"/>
      <c r="E409" s="229"/>
      <c r="F409" s="229"/>
      <c r="G409" s="229"/>
      <c r="H409" s="229"/>
      <c r="I409" s="229"/>
      <c r="J409" s="229"/>
      <c r="K409" s="229"/>
      <c r="L409" s="229"/>
      <c r="M409" s="229"/>
      <c r="N409" s="229"/>
      <c r="O409" s="229"/>
      <c r="P409" s="229"/>
      <c r="Q409" s="240">
        <v>21</v>
      </c>
      <c r="R409" s="229"/>
      <c r="S409" s="234" t="s">
        <v>1783</v>
      </c>
      <c r="T409" s="229"/>
      <c r="U409" s="238"/>
      <c r="V409" s="229"/>
      <c r="W409" s="238"/>
      <c r="X409" s="238"/>
      <c r="Y409" s="238"/>
      <c r="Z409" s="238"/>
      <c r="AA409" s="238"/>
      <c r="AB409" s="238"/>
      <c r="AC409" s="238"/>
      <c r="AD409" s="238"/>
      <c r="AE409" s="238"/>
      <c r="AF409" s="229"/>
      <c r="AG409" s="229"/>
      <c r="AH409" s="229"/>
      <c r="AI409" s="229"/>
      <c r="AJ409" s="229"/>
      <c r="AK409" s="229"/>
      <c r="AL409" s="229"/>
      <c r="AM409" s="229"/>
      <c r="AN409" s="229"/>
      <c r="AO409" s="229"/>
      <c r="AP409" s="229"/>
      <c r="AQ409" s="229"/>
      <c r="AR409" s="229"/>
      <c r="AS409" s="229"/>
      <c r="AT409" s="229"/>
      <c r="AU409" s="229"/>
    </row>
    <row r="410" spans="1:47">
      <c r="A410" s="229"/>
      <c r="B410" s="229"/>
      <c r="C410" s="229"/>
      <c r="D410" s="229"/>
      <c r="E410" s="229"/>
      <c r="F410" s="229"/>
      <c r="G410" s="229"/>
      <c r="H410" s="229"/>
      <c r="I410" s="229"/>
      <c r="J410" s="229"/>
      <c r="K410" s="229"/>
      <c r="L410" s="229"/>
      <c r="M410" s="229"/>
      <c r="N410" s="229"/>
      <c r="O410" s="229"/>
      <c r="P410" s="229"/>
      <c r="Q410" s="240">
        <v>22</v>
      </c>
      <c r="R410" s="229"/>
      <c r="S410" s="234" t="s">
        <v>1756</v>
      </c>
      <c r="T410" s="229"/>
      <c r="U410" s="2140">
        <f>U400+SUM(U402:U409)</f>
        <v>0</v>
      </c>
      <c r="V410" s="229"/>
      <c r="W410" s="2140">
        <f>W400+SUM(W402:W409)</f>
        <v>0</v>
      </c>
      <c r="X410" s="238"/>
      <c r="Y410" s="2140">
        <f>Y400+SUM(Y402:Y409)</f>
        <v>0</v>
      </c>
      <c r="Z410" s="238"/>
      <c r="AA410" s="2140">
        <f>AA400+SUM(AA402:AA409)</f>
        <v>0</v>
      </c>
      <c r="AB410" s="238"/>
      <c r="AC410" s="2140">
        <f>AC400+SUM(AC402:AC409)</f>
        <v>0</v>
      </c>
      <c r="AD410" s="238"/>
      <c r="AE410" s="2140">
        <f>AE400+SUM(AE402:AE409)</f>
        <v>0</v>
      </c>
      <c r="AF410" s="229"/>
      <c r="AG410" s="229"/>
      <c r="AH410" s="229"/>
      <c r="AI410" s="229"/>
      <c r="AJ410" s="229"/>
      <c r="AK410" s="229"/>
      <c r="AL410" s="229"/>
      <c r="AM410" s="229"/>
      <c r="AN410" s="229"/>
      <c r="AO410" s="229"/>
      <c r="AP410" s="229"/>
      <c r="AQ410" s="229"/>
      <c r="AR410" s="229"/>
      <c r="AS410" s="229"/>
      <c r="AT410" s="229"/>
      <c r="AU410" s="229"/>
    </row>
    <row r="411" spans="1:47">
      <c r="A411" s="229"/>
      <c r="B411" s="229"/>
      <c r="C411" s="229"/>
      <c r="D411" s="229"/>
      <c r="E411" s="229"/>
      <c r="F411" s="229"/>
      <c r="G411" s="229"/>
      <c r="H411" s="229"/>
      <c r="I411" s="229"/>
      <c r="J411" s="229"/>
      <c r="K411" s="229"/>
      <c r="L411" s="229"/>
      <c r="M411" s="229"/>
      <c r="N411" s="229"/>
      <c r="O411" s="229"/>
      <c r="P411" s="229"/>
      <c r="Q411" s="240">
        <v>23</v>
      </c>
      <c r="R411" s="229"/>
      <c r="S411" s="229"/>
      <c r="T411" s="229"/>
      <c r="U411" s="239"/>
      <c r="V411" s="229"/>
      <c r="W411" s="239"/>
      <c r="X411" s="239"/>
      <c r="Y411" s="239"/>
      <c r="Z411" s="239"/>
      <c r="AA411" s="239"/>
      <c r="AB411" s="239"/>
      <c r="AC411" s="239"/>
      <c r="AD411" s="239"/>
      <c r="AE411" s="239"/>
      <c r="AF411" s="229"/>
      <c r="AG411" s="229"/>
      <c r="AH411" s="229"/>
      <c r="AI411" s="229"/>
      <c r="AJ411" s="229"/>
      <c r="AK411" s="229"/>
      <c r="AL411" s="229"/>
      <c r="AM411" s="229"/>
      <c r="AN411" s="229"/>
      <c r="AO411" s="229"/>
      <c r="AP411" s="229"/>
      <c r="AQ411" s="229"/>
      <c r="AR411" s="229"/>
      <c r="AS411" s="229"/>
      <c r="AT411" s="229"/>
      <c r="AU411" s="229"/>
    </row>
    <row r="412" spans="1:47">
      <c r="A412" s="229"/>
      <c r="B412" s="229"/>
      <c r="C412" s="229"/>
      <c r="D412" s="229"/>
      <c r="E412" s="229"/>
      <c r="F412" s="229"/>
      <c r="G412" s="229"/>
      <c r="H412" s="229"/>
      <c r="I412" s="229"/>
      <c r="J412" s="229"/>
      <c r="K412" s="229"/>
      <c r="L412" s="229"/>
      <c r="M412" s="229"/>
      <c r="N412" s="229"/>
      <c r="O412" s="229"/>
      <c r="P412" s="229"/>
      <c r="Q412" s="240">
        <v>24</v>
      </c>
      <c r="R412" s="229"/>
      <c r="S412" s="234" t="s">
        <v>1784</v>
      </c>
      <c r="T412" s="229"/>
      <c r="U412" s="1506">
        <f>SCH_C2!U437</f>
        <v>0</v>
      </c>
      <c r="V412" s="229"/>
      <c r="W412" s="1506">
        <v>0</v>
      </c>
      <c r="X412" s="238"/>
      <c r="Y412" s="1506">
        <v>0</v>
      </c>
      <c r="Z412" s="238"/>
      <c r="AA412" s="1506"/>
      <c r="AB412" s="238"/>
      <c r="AC412" s="1506">
        <v>0</v>
      </c>
      <c r="AD412" s="238"/>
      <c r="AE412" s="1506">
        <v>0</v>
      </c>
      <c r="AF412" s="229"/>
      <c r="AG412" s="229"/>
      <c r="AH412" s="229"/>
      <c r="AI412" s="229"/>
      <c r="AJ412" s="229"/>
      <c r="AK412" s="229"/>
      <c r="AL412" s="229"/>
      <c r="AM412" s="229"/>
      <c r="AN412" s="229"/>
      <c r="AO412" s="229"/>
      <c r="AP412" s="229"/>
      <c r="AQ412" s="229"/>
      <c r="AR412" s="229"/>
      <c r="AS412" s="229"/>
      <c r="AT412" s="229"/>
      <c r="AU412" s="229"/>
    </row>
    <row r="413" spans="1:47">
      <c r="A413" s="229"/>
      <c r="B413" s="229"/>
      <c r="C413" s="229"/>
      <c r="D413" s="229"/>
      <c r="E413" s="229"/>
      <c r="F413" s="229"/>
      <c r="G413" s="229"/>
      <c r="H413" s="229"/>
      <c r="I413" s="229"/>
      <c r="J413" s="229"/>
      <c r="K413" s="229"/>
      <c r="L413" s="229"/>
      <c r="M413" s="229"/>
      <c r="N413" s="229"/>
      <c r="O413" s="229"/>
      <c r="P413" s="229"/>
      <c r="Q413" s="240">
        <v>25</v>
      </c>
      <c r="R413" s="229"/>
      <c r="S413" s="229"/>
      <c r="T413" s="229"/>
      <c r="U413" s="239"/>
      <c r="V413" s="229"/>
      <c r="W413" s="239"/>
      <c r="X413" s="239"/>
      <c r="Y413" s="239"/>
      <c r="Z413" s="239"/>
      <c r="AA413" s="239"/>
      <c r="AB413" s="239"/>
      <c r="AC413" s="239"/>
      <c r="AD413" s="239"/>
      <c r="AE413" s="239"/>
      <c r="AF413" s="229"/>
      <c r="AG413" s="229"/>
      <c r="AH413" s="229"/>
      <c r="AI413" s="229"/>
      <c r="AJ413" s="229"/>
      <c r="AK413" s="229"/>
      <c r="AL413" s="229"/>
      <c r="AM413" s="229"/>
      <c r="AN413" s="229"/>
      <c r="AO413" s="229"/>
      <c r="AP413" s="229"/>
      <c r="AQ413" s="229"/>
      <c r="AR413" s="229"/>
      <c r="AS413" s="229"/>
      <c r="AT413" s="229"/>
      <c r="AU413" s="229"/>
    </row>
    <row r="414" spans="1:47">
      <c r="A414" s="229"/>
      <c r="B414" s="229"/>
      <c r="C414" s="229"/>
      <c r="D414" s="229"/>
      <c r="E414" s="229"/>
      <c r="F414" s="229"/>
      <c r="G414" s="229"/>
      <c r="H414" s="229"/>
      <c r="I414" s="229"/>
      <c r="J414" s="229"/>
      <c r="K414" s="229"/>
      <c r="L414" s="229"/>
      <c r="M414" s="229"/>
      <c r="N414" s="229"/>
      <c r="O414" s="229"/>
      <c r="P414" s="229"/>
      <c r="Q414" s="240">
        <v>26</v>
      </c>
      <c r="R414" s="229"/>
      <c r="S414" s="234" t="s">
        <v>1758</v>
      </c>
      <c r="T414" s="229"/>
      <c r="U414" s="238"/>
      <c r="V414" s="229"/>
      <c r="W414" s="229"/>
      <c r="X414" s="229"/>
      <c r="Y414" s="229"/>
      <c r="Z414" s="229"/>
      <c r="AA414" s="229"/>
      <c r="AB414" s="229"/>
      <c r="AC414" s="229"/>
      <c r="AD414" s="229"/>
      <c r="AE414" s="229"/>
      <c r="AF414" s="229"/>
      <c r="AG414" s="229"/>
      <c r="AH414" s="229"/>
      <c r="AI414" s="229"/>
      <c r="AJ414" s="229"/>
      <c r="AK414" s="229"/>
      <c r="AL414" s="229"/>
      <c r="AM414" s="229"/>
      <c r="AN414" s="229"/>
      <c r="AO414" s="229"/>
      <c r="AP414" s="229"/>
      <c r="AQ414" s="229"/>
      <c r="AR414" s="229"/>
      <c r="AS414" s="229"/>
      <c r="AT414" s="229"/>
      <c r="AU414" s="229"/>
    </row>
    <row r="415" spans="1:47">
      <c r="A415" s="229"/>
      <c r="B415" s="229"/>
      <c r="C415" s="229"/>
      <c r="D415" s="229"/>
      <c r="E415" s="229"/>
      <c r="F415" s="229"/>
      <c r="G415" s="229"/>
      <c r="H415" s="229"/>
      <c r="I415" s="229"/>
      <c r="J415" s="229"/>
      <c r="K415" s="229"/>
      <c r="L415" s="229"/>
      <c r="M415" s="229"/>
      <c r="N415" s="229"/>
      <c r="O415" s="229"/>
      <c r="P415" s="229"/>
      <c r="Q415" s="240">
        <v>27</v>
      </c>
      <c r="R415" s="229"/>
      <c r="S415" s="234" t="s">
        <v>1432</v>
      </c>
      <c r="T415" s="229"/>
      <c r="U415" s="238"/>
      <c r="V415" s="229"/>
      <c r="W415" s="238"/>
      <c r="X415" s="238"/>
      <c r="Y415" s="238"/>
      <c r="Z415" s="238"/>
      <c r="AA415" s="238"/>
      <c r="AB415" s="238"/>
      <c r="AC415" s="238"/>
      <c r="AD415" s="238"/>
      <c r="AE415" s="238"/>
      <c r="AF415" s="229"/>
      <c r="AG415" s="229"/>
      <c r="AH415" s="229"/>
      <c r="AI415" s="229"/>
      <c r="AJ415" s="229"/>
      <c r="AK415" s="229"/>
      <c r="AL415" s="229"/>
      <c r="AM415" s="229"/>
      <c r="AN415" s="229"/>
      <c r="AO415" s="229"/>
      <c r="AP415" s="229"/>
      <c r="AQ415" s="229"/>
      <c r="AR415" s="229"/>
      <c r="AS415" s="229"/>
      <c r="AT415" s="229"/>
      <c r="AU415" s="229"/>
    </row>
    <row r="416" spans="1:47">
      <c r="A416" s="229"/>
      <c r="B416" s="229"/>
      <c r="C416" s="229"/>
      <c r="D416" s="229"/>
      <c r="E416" s="229"/>
      <c r="F416" s="229"/>
      <c r="G416" s="229"/>
      <c r="H416" s="229"/>
      <c r="I416" s="229"/>
      <c r="J416" s="229"/>
      <c r="K416" s="229"/>
      <c r="L416" s="229"/>
      <c r="M416" s="229"/>
      <c r="N416" s="229"/>
      <c r="O416" s="229"/>
      <c r="P416" s="229"/>
      <c r="Q416" s="240">
        <v>28</v>
      </c>
      <c r="R416" s="229"/>
      <c r="S416" s="234" t="s">
        <v>1434</v>
      </c>
      <c r="T416" s="229"/>
      <c r="U416" s="238"/>
      <c r="V416" s="229"/>
      <c r="W416" s="238"/>
      <c r="X416" s="238"/>
      <c r="Y416" s="238"/>
      <c r="Z416" s="238"/>
      <c r="AA416" s="238"/>
      <c r="AB416" s="238"/>
      <c r="AC416" s="238"/>
      <c r="AD416" s="238"/>
      <c r="AE416" s="238"/>
      <c r="AF416" s="229"/>
      <c r="AG416" s="229"/>
      <c r="AH416" s="229"/>
      <c r="AI416" s="229"/>
      <c r="AJ416" s="229"/>
      <c r="AK416" s="229"/>
      <c r="AL416" s="229"/>
      <c r="AM416" s="229"/>
      <c r="AN416" s="229"/>
      <c r="AO416" s="229"/>
      <c r="AP416" s="229"/>
      <c r="AQ416" s="229"/>
      <c r="AR416" s="229"/>
      <c r="AS416" s="229"/>
      <c r="AT416" s="229"/>
      <c r="AU416" s="229"/>
    </row>
    <row r="417" spans="1:47">
      <c r="A417" s="229"/>
      <c r="B417" s="229"/>
      <c r="C417" s="229"/>
      <c r="D417" s="229"/>
      <c r="E417" s="229"/>
      <c r="F417" s="229"/>
      <c r="G417" s="229"/>
      <c r="H417" s="229"/>
      <c r="I417" s="229"/>
      <c r="J417" s="229"/>
      <c r="K417" s="229"/>
      <c r="L417" s="229"/>
      <c r="M417" s="229"/>
      <c r="N417" s="229"/>
      <c r="O417" s="229"/>
      <c r="P417" s="229"/>
      <c r="Q417" s="240">
        <v>29</v>
      </c>
      <c r="R417" s="229"/>
      <c r="S417" s="234" t="s">
        <v>1761</v>
      </c>
      <c r="T417" s="229"/>
      <c r="U417" s="2140">
        <f>SUM(U415:U416)</f>
        <v>0</v>
      </c>
      <c r="V417" s="229"/>
      <c r="W417" s="2140">
        <f>SUM(W415:W416)</f>
        <v>0</v>
      </c>
      <c r="X417" s="238"/>
      <c r="Y417" s="2140">
        <f>SUM(Y415:Y416)</f>
        <v>0</v>
      </c>
      <c r="Z417" s="238"/>
      <c r="AA417" s="2140">
        <f>SUM(AA415:AA416)</f>
        <v>0</v>
      </c>
      <c r="AB417" s="238"/>
      <c r="AC417" s="2140">
        <f>SUM(AC415:AC416)</f>
        <v>0</v>
      </c>
      <c r="AD417" s="238"/>
      <c r="AE417" s="2140">
        <f>SUM(AE415:AE416)</f>
        <v>0</v>
      </c>
      <c r="AF417" s="229"/>
      <c r="AG417" s="229"/>
      <c r="AH417" s="229"/>
      <c r="AI417" s="229"/>
      <c r="AJ417" s="229"/>
      <c r="AK417" s="229"/>
      <c r="AL417" s="229"/>
      <c r="AM417" s="229"/>
      <c r="AN417" s="229"/>
      <c r="AO417" s="229"/>
      <c r="AP417" s="229"/>
      <c r="AQ417" s="229"/>
      <c r="AR417" s="229"/>
      <c r="AS417" s="229"/>
      <c r="AT417" s="229"/>
      <c r="AU417" s="229"/>
    </row>
    <row r="418" spans="1:47">
      <c r="A418" s="229"/>
      <c r="B418" s="229"/>
      <c r="C418" s="229"/>
      <c r="D418" s="229"/>
      <c r="E418" s="229"/>
      <c r="F418" s="229"/>
      <c r="G418" s="229"/>
      <c r="H418" s="229"/>
      <c r="I418" s="229"/>
      <c r="J418" s="229"/>
      <c r="K418" s="229"/>
      <c r="L418" s="229"/>
      <c r="M418" s="229"/>
      <c r="N418" s="229"/>
      <c r="O418" s="229"/>
      <c r="P418" s="229"/>
      <c r="Q418" s="240">
        <v>30</v>
      </c>
      <c r="R418" s="229"/>
      <c r="S418" s="234"/>
      <c r="T418" s="229"/>
      <c r="U418" s="238"/>
      <c r="V418" s="229"/>
      <c r="W418" s="238"/>
      <c r="X418" s="238"/>
      <c r="Y418" s="238"/>
      <c r="Z418" s="238"/>
      <c r="AA418" s="238"/>
      <c r="AB418" s="238"/>
      <c r="AC418" s="238"/>
      <c r="AD418" s="238"/>
      <c r="AE418" s="238"/>
      <c r="AF418" s="229"/>
      <c r="AG418" s="229"/>
      <c r="AH418" s="229"/>
      <c r="AI418" s="229"/>
      <c r="AJ418" s="229"/>
      <c r="AK418" s="229"/>
      <c r="AL418" s="229"/>
      <c r="AM418" s="229"/>
      <c r="AN418" s="229"/>
      <c r="AO418" s="229"/>
      <c r="AP418" s="229"/>
      <c r="AQ418" s="229"/>
      <c r="AR418" s="229"/>
      <c r="AS418" s="229"/>
      <c r="AT418" s="229"/>
      <c r="AU418" s="229"/>
    </row>
    <row r="419" spans="1:47">
      <c r="A419" s="229"/>
      <c r="B419" s="229"/>
      <c r="C419" s="229"/>
      <c r="D419" s="229"/>
      <c r="E419" s="229"/>
      <c r="F419" s="229"/>
      <c r="G419" s="229"/>
      <c r="H419" s="229"/>
      <c r="I419" s="229"/>
      <c r="J419" s="229"/>
      <c r="K419" s="229"/>
      <c r="L419" s="229"/>
      <c r="M419" s="229"/>
      <c r="N419" s="229"/>
      <c r="O419" s="229"/>
      <c r="P419" s="229"/>
      <c r="Q419" s="240">
        <v>31</v>
      </c>
      <c r="R419" s="229"/>
      <c r="S419" s="234" t="s">
        <v>1762</v>
      </c>
      <c r="T419" s="229"/>
      <c r="U419" s="229"/>
      <c r="V419" s="229"/>
      <c r="W419" s="229"/>
      <c r="X419" s="229"/>
      <c r="Y419" s="229"/>
      <c r="Z419" s="229"/>
      <c r="AA419" s="229"/>
      <c r="AB419" s="229"/>
      <c r="AC419" s="229"/>
      <c r="AD419" s="229"/>
      <c r="AE419" s="229"/>
      <c r="AF419" s="229"/>
      <c r="AG419" s="229"/>
      <c r="AH419" s="229"/>
      <c r="AI419" s="229"/>
      <c r="AJ419" s="229"/>
      <c r="AK419" s="229"/>
      <c r="AL419" s="229"/>
      <c r="AM419" s="229"/>
      <c r="AN419" s="229"/>
      <c r="AO419" s="229"/>
      <c r="AP419" s="229"/>
      <c r="AQ419" s="229"/>
      <c r="AR419" s="229"/>
      <c r="AS419" s="229"/>
      <c r="AT419" s="229"/>
      <c r="AU419" s="229"/>
    </row>
    <row r="420" spans="1:47">
      <c r="A420" s="229"/>
      <c r="B420" s="229"/>
      <c r="C420" s="229"/>
      <c r="D420" s="229"/>
      <c r="E420" s="229"/>
      <c r="F420" s="229"/>
      <c r="G420" s="229"/>
      <c r="H420" s="229"/>
      <c r="I420" s="229"/>
      <c r="J420" s="229"/>
      <c r="K420" s="229"/>
      <c r="L420" s="229"/>
      <c r="M420" s="229"/>
      <c r="N420" s="229"/>
      <c r="O420" s="229"/>
      <c r="P420" s="229"/>
      <c r="Q420" s="240">
        <v>32</v>
      </c>
      <c r="R420" s="229"/>
      <c r="S420" s="234" t="s">
        <v>1654</v>
      </c>
      <c r="T420" s="229"/>
      <c r="U420" s="238">
        <f>ROUND((U393-U410-U412-U417)*SIT*APPORT,0)</f>
        <v>0</v>
      </c>
      <c r="V420" s="229"/>
      <c r="W420" s="238">
        <f>ROUND((W393-W410-W412-W417)*SIT*APPORT,0)</f>
        <v>0</v>
      </c>
      <c r="X420" s="238"/>
      <c r="Y420" s="238">
        <f>ROUND((Y393-Y410-Y412-Y417)*SIT*APPORT,0)</f>
        <v>0</v>
      </c>
      <c r="Z420" s="238"/>
      <c r="AA420" s="238">
        <f>ROUND((AA393-AA410-AA412-AA417)*SIT*APPORT,0)</f>
        <v>0</v>
      </c>
      <c r="AB420" s="238"/>
      <c r="AC420" s="238">
        <f>ROUND((AC393-AC410-AC412-AC417)*SIT*APPORT,0)</f>
        <v>0</v>
      </c>
      <c r="AD420" s="238"/>
      <c r="AE420" s="238">
        <f>ROUND((AE393-AE410-AE412-AE417)*SIT*APPORT,0)</f>
        <v>0</v>
      </c>
      <c r="AF420" s="229"/>
      <c r="AG420" s="229"/>
      <c r="AH420" s="229"/>
      <c r="AI420" s="229"/>
      <c r="AJ420" s="229"/>
      <c r="AK420" s="229"/>
      <c r="AL420" s="229"/>
      <c r="AM420" s="229"/>
      <c r="AN420" s="229"/>
      <c r="AO420" s="229"/>
      <c r="AP420" s="229"/>
      <c r="AQ420" s="229"/>
      <c r="AR420" s="229"/>
      <c r="AS420" s="229"/>
      <c r="AT420" s="229"/>
      <c r="AU420" s="229"/>
    </row>
    <row r="421" spans="1:47">
      <c r="A421" s="229"/>
      <c r="B421" s="229"/>
      <c r="C421" s="229"/>
      <c r="D421" s="229"/>
      <c r="E421" s="229"/>
      <c r="F421" s="229"/>
      <c r="G421" s="229"/>
      <c r="H421" s="229"/>
      <c r="I421" s="229"/>
      <c r="J421" s="229"/>
      <c r="K421" s="229"/>
      <c r="L421" s="229"/>
      <c r="M421" s="229"/>
      <c r="N421" s="229"/>
      <c r="O421" s="229"/>
      <c r="P421" s="229"/>
      <c r="Q421" s="240">
        <v>33</v>
      </c>
      <c r="R421" s="229"/>
      <c r="S421" s="234" t="s">
        <v>1763</v>
      </c>
      <c r="T421" s="229"/>
      <c r="U421" s="238"/>
      <c r="V421" s="229"/>
      <c r="W421" s="238"/>
      <c r="X421" s="238"/>
      <c r="Y421" s="238"/>
      <c r="Z421" s="238"/>
      <c r="AA421" s="238"/>
      <c r="AB421" s="238"/>
      <c r="AC421" s="238"/>
      <c r="AD421" s="238"/>
      <c r="AE421" s="238"/>
      <c r="AF421" s="229"/>
      <c r="AG421" s="229"/>
      <c r="AH421" s="229"/>
      <c r="AI421" s="229"/>
      <c r="AJ421" s="229"/>
      <c r="AK421" s="229"/>
      <c r="AL421" s="229"/>
      <c r="AM421" s="229"/>
      <c r="AN421" s="229"/>
      <c r="AO421" s="229"/>
      <c r="AP421" s="229"/>
      <c r="AQ421" s="229"/>
      <c r="AR421" s="229"/>
      <c r="AS421" s="229"/>
      <c r="AT421" s="229"/>
      <c r="AU421" s="229"/>
    </row>
    <row r="422" spans="1:47">
      <c r="A422" s="229"/>
      <c r="B422" s="229"/>
      <c r="C422" s="229"/>
      <c r="D422" s="229"/>
      <c r="E422" s="229"/>
      <c r="F422" s="229"/>
      <c r="G422" s="229"/>
      <c r="H422" s="229"/>
      <c r="I422" s="229"/>
      <c r="J422" s="229"/>
      <c r="K422" s="229"/>
      <c r="L422" s="229"/>
      <c r="M422" s="229"/>
      <c r="N422" s="229"/>
      <c r="O422" s="229"/>
      <c r="P422" s="229"/>
      <c r="Q422" s="240">
        <v>34</v>
      </c>
      <c r="R422" s="229"/>
      <c r="S422" s="234" t="s">
        <v>1764</v>
      </c>
      <c r="T422" s="229"/>
      <c r="U422" s="2140">
        <f>SUM(U420:U421)</f>
        <v>0</v>
      </c>
      <c r="V422" s="229"/>
      <c r="W422" s="2140">
        <f>SUM(W420:W421)</f>
        <v>0</v>
      </c>
      <c r="X422" s="238"/>
      <c r="Y422" s="2140">
        <f>SUM(Y420:Y421)</f>
        <v>0</v>
      </c>
      <c r="Z422" s="238"/>
      <c r="AA422" s="2140">
        <f>SUM(AA420:AA421)</f>
        <v>0</v>
      </c>
      <c r="AB422" s="238"/>
      <c r="AC422" s="2140">
        <f>SUM(AC420:AC421)</f>
        <v>0</v>
      </c>
      <c r="AD422" s="238"/>
      <c r="AE422" s="2140">
        <f>SUM(AE420:AE421)</f>
        <v>0</v>
      </c>
      <c r="AF422" s="229"/>
      <c r="AG422" s="229"/>
      <c r="AH422" s="229"/>
      <c r="AI422" s="229"/>
      <c r="AJ422" s="229"/>
      <c r="AK422" s="229"/>
      <c r="AL422" s="229"/>
      <c r="AM422" s="229"/>
      <c r="AN422" s="229"/>
      <c r="AO422" s="229"/>
      <c r="AP422" s="229"/>
      <c r="AQ422" s="229"/>
      <c r="AR422" s="229"/>
      <c r="AS422" s="229"/>
      <c r="AT422" s="229"/>
      <c r="AU422" s="229"/>
    </row>
    <row r="423" spans="1:47">
      <c r="A423" s="229"/>
      <c r="B423" s="229"/>
      <c r="C423" s="229"/>
      <c r="D423" s="229"/>
      <c r="E423" s="229"/>
      <c r="F423" s="229"/>
      <c r="G423" s="229"/>
      <c r="H423" s="229"/>
      <c r="I423" s="229"/>
      <c r="J423" s="229"/>
      <c r="K423" s="229"/>
      <c r="L423" s="229"/>
      <c r="M423" s="229"/>
      <c r="N423" s="229"/>
      <c r="O423" s="229"/>
      <c r="P423" s="229"/>
      <c r="Q423" s="240">
        <v>35</v>
      </c>
      <c r="R423" s="229"/>
      <c r="S423" s="229"/>
      <c r="T423" s="229"/>
      <c r="U423" s="239"/>
      <c r="V423" s="229"/>
      <c r="W423" s="239"/>
      <c r="X423" s="239"/>
      <c r="Y423" s="239"/>
      <c r="Z423" s="239"/>
      <c r="AA423" s="239"/>
      <c r="AB423" s="239"/>
      <c r="AC423" s="239"/>
      <c r="AD423" s="239"/>
      <c r="AE423" s="239"/>
      <c r="AF423" s="229"/>
      <c r="AG423" s="229"/>
      <c r="AH423" s="229"/>
      <c r="AI423" s="229"/>
      <c r="AJ423" s="229"/>
      <c r="AK423" s="229"/>
      <c r="AL423" s="229"/>
      <c r="AM423" s="229"/>
      <c r="AN423" s="229"/>
      <c r="AO423" s="229"/>
      <c r="AP423" s="229"/>
      <c r="AQ423" s="229"/>
      <c r="AR423" s="229"/>
      <c r="AS423" s="229"/>
      <c r="AT423" s="229"/>
      <c r="AU423" s="229"/>
    </row>
    <row r="424" spans="1:47">
      <c r="A424" s="229"/>
      <c r="B424" s="229"/>
      <c r="C424" s="229"/>
      <c r="D424" s="229"/>
      <c r="E424" s="229"/>
      <c r="F424" s="229"/>
      <c r="G424" s="229"/>
      <c r="H424" s="229"/>
      <c r="I424" s="229"/>
      <c r="J424" s="229"/>
      <c r="K424" s="229"/>
      <c r="L424" s="229"/>
      <c r="M424" s="229"/>
      <c r="N424" s="229"/>
      <c r="O424" s="229"/>
      <c r="P424" s="229"/>
      <c r="Q424" s="240">
        <v>36</v>
      </c>
      <c r="R424" s="229"/>
      <c r="S424" s="234" t="s">
        <v>1765</v>
      </c>
      <c r="T424" s="229"/>
      <c r="U424" s="229"/>
      <c r="V424" s="229"/>
      <c r="W424" s="229"/>
      <c r="X424" s="229"/>
      <c r="Y424" s="229"/>
      <c r="Z424" s="229"/>
      <c r="AA424" s="229"/>
      <c r="AB424" s="229"/>
      <c r="AC424" s="229"/>
      <c r="AD424" s="229"/>
      <c r="AE424" s="229"/>
      <c r="AF424" s="229"/>
      <c r="AG424" s="229"/>
      <c r="AH424" s="229"/>
      <c r="AI424" s="229"/>
      <c r="AJ424" s="229"/>
      <c r="AK424" s="229"/>
      <c r="AL424" s="229"/>
      <c r="AM424" s="229"/>
      <c r="AN424" s="229"/>
      <c r="AO424" s="229"/>
      <c r="AP424" s="229"/>
      <c r="AQ424" s="229"/>
      <c r="AR424" s="229"/>
      <c r="AS424" s="229"/>
      <c r="AT424" s="229"/>
      <c r="AU424" s="229"/>
    </row>
    <row r="425" spans="1:47">
      <c r="A425" s="229"/>
      <c r="B425" s="229"/>
      <c r="C425" s="229"/>
      <c r="D425" s="229"/>
      <c r="E425" s="229"/>
      <c r="F425" s="229"/>
      <c r="G425" s="229"/>
      <c r="H425" s="229"/>
      <c r="I425" s="229"/>
      <c r="J425" s="229"/>
      <c r="K425" s="229"/>
      <c r="L425" s="229"/>
      <c r="M425" s="229"/>
      <c r="N425" s="229"/>
      <c r="O425" s="229"/>
      <c r="P425" s="229"/>
      <c r="Q425" s="240">
        <v>37</v>
      </c>
      <c r="R425" s="229"/>
      <c r="S425" s="234" t="s">
        <v>1654</v>
      </c>
      <c r="T425" s="229"/>
      <c r="U425" s="238">
        <f>ROUND((U393-U410-U412-U417-U420)*FIT,0)</f>
        <v>0</v>
      </c>
      <c r="V425" s="229"/>
      <c r="W425" s="238">
        <f>ROUND((W393-W410-W412-W417-W420)*FIT,0)</f>
        <v>0</v>
      </c>
      <c r="X425" s="238"/>
      <c r="Y425" s="238">
        <f>ROUND((Y393-Y410-Y412-Y417-Y420)*FIT,0)</f>
        <v>0</v>
      </c>
      <c r="Z425" s="238"/>
      <c r="AA425" s="238">
        <f>ROUND((AA393-AA410-AA412-AA417-AA420)*FIT,0)</f>
        <v>0</v>
      </c>
      <c r="AB425" s="238"/>
      <c r="AC425" s="238">
        <f>ROUND((AC393-AC410-AC412-AC417-AC420)*FIT,0)</f>
        <v>0</v>
      </c>
      <c r="AD425" s="238"/>
      <c r="AE425" s="238">
        <f>ROUND((AE393-AE410-AE412-AE417-AE420)*FIT,0)</f>
        <v>0</v>
      </c>
      <c r="AF425" s="229"/>
      <c r="AG425" s="229"/>
      <c r="AH425" s="229"/>
      <c r="AI425" s="229"/>
      <c r="AJ425" s="229"/>
      <c r="AK425" s="229"/>
      <c r="AL425" s="229"/>
      <c r="AM425" s="229"/>
      <c r="AN425" s="229"/>
      <c r="AO425" s="229"/>
      <c r="AP425" s="229"/>
      <c r="AQ425" s="229"/>
      <c r="AR425" s="229"/>
      <c r="AS425" s="229"/>
      <c r="AT425" s="229"/>
      <c r="AU425" s="229"/>
    </row>
    <row r="426" spans="1:47">
      <c r="A426" s="229"/>
      <c r="B426" s="229"/>
      <c r="C426" s="229"/>
      <c r="D426" s="229"/>
      <c r="E426" s="229"/>
      <c r="F426" s="229"/>
      <c r="G426" s="229"/>
      <c r="H426" s="229"/>
      <c r="I426" s="229"/>
      <c r="J426" s="229"/>
      <c r="K426" s="229"/>
      <c r="L426" s="229"/>
      <c r="M426" s="229"/>
      <c r="N426" s="229"/>
      <c r="O426" s="229"/>
      <c r="P426" s="229"/>
      <c r="Q426" s="240">
        <v>38</v>
      </c>
      <c r="R426" s="229"/>
      <c r="S426" s="234" t="s">
        <v>1763</v>
      </c>
      <c r="T426" s="229"/>
      <c r="U426" s="238"/>
      <c r="V426" s="229"/>
      <c r="W426" s="238"/>
      <c r="X426" s="238"/>
      <c r="Y426" s="238"/>
      <c r="Z426" s="238"/>
      <c r="AA426" s="238"/>
      <c r="AB426" s="238"/>
      <c r="AC426" s="238"/>
      <c r="AD426" s="238"/>
      <c r="AE426" s="238"/>
      <c r="AF426" s="229"/>
      <c r="AG426" s="229"/>
      <c r="AH426" s="229"/>
      <c r="AI426" s="229"/>
      <c r="AJ426" s="229"/>
      <c r="AK426" s="229"/>
      <c r="AL426" s="229"/>
      <c r="AM426" s="229"/>
      <c r="AN426" s="229"/>
      <c r="AO426" s="229"/>
      <c r="AP426" s="229"/>
      <c r="AQ426" s="229"/>
      <c r="AR426" s="229"/>
      <c r="AS426" s="229"/>
      <c r="AT426" s="229"/>
      <c r="AU426" s="229"/>
    </row>
    <row r="427" spans="1:47">
      <c r="A427" s="229"/>
      <c r="B427" s="229"/>
      <c r="C427" s="229"/>
      <c r="D427" s="229"/>
      <c r="E427" s="229"/>
      <c r="F427" s="229"/>
      <c r="G427" s="229"/>
      <c r="H427" s="229"/>
      <c r="I427" s="229"/>
      <c r="J427" s="229"/>
      <c r="K427" s="229"/>
      <c r="L427" s="229"/>
      <c r="M427" s="229"/>
      <c r="N427" s="229"/>
      <c r="O427" s="229"/>
      <c r="P427" s="229"/>
      <c r="Q427" s="240">
        <v>39</v>
      </c>
      <c r="R427" s="229"/>
      <c r="S427" s="234" t="s">
        <v>1441</v>
      </c>
      <c r="T427" s="229"/>
      <c r="U427" s="238"/>
      <c r="V427" s="229"/>
      <c r="W427" s="238"/>
      <c r="X427" s="238"/>
      <c r="Y427" s="238"/>
      <c r="Z427" s="238"/>
      <c r="AA427" s="238"/>
      <c r="AB427" s="238"/>
      <c r="AC427" s="238"/>
      <c r="AD427" s="238"/>
      <c r="AE427" s="238"/>
      <c r="AF427" s="229"/>
      <c r="AG427" s="229"/>
      <c r="AH427" s="229"/>
      <c r="AI427" s="229"/>
      <c r="AJ427" s="229"/>
      <c r="AK427" s="229"/>
      <c r="AL427" s="229"/>
      <c r="AM427" s="229"/>
      <c r="AN427" s="229"/>
      <c r="AO427" s="229"/>
      <c r="AP427" s="229"/>
      <c r="AQ427" s="229"/>
      <c r="AR427" s="229"/>
      <c r="AS427" s="229"/>
      <c r="AT427" s="229"/>
      <c r="AU427" s="229"/>
    </row>
    <row r="428" spans="1:47">
      <c r="A428" s="229"/>
      <c r="B428" s="229"/>
      <c r="C428" s="229"/>
      <c r="D428" s="229"/>
      <c r="E428" s="229"/>
      <c r="F428" s="229"/>
      <c r="G428" s="229"/>
      <c r="H428" s="229"/>
      <c r="I428" s="229"/>
      <c r="J428" s="229"/>
      <c r="K428" s="229"/>
      <c r="L428" s="229"/>
      <c r="M428" s="229"/>
      <c r="N428" s="229"/>
      <c r="O428" s="229"/>
      <c r="P428" s="229"/>
      <c r="Q428" s="240">
        <v>40</v>
      </c>
      <c r="R428" s="229"/>
      <c r="S428" s="234" t="s">
        <v>1766</v>
      </c>
      <c r="T428" s="229"/>
      <c r="U428" s="2140">
        <f>SUM(U425:U427)</f>
        <v>0</v>
      </c>
      <c r="V428" s="229"/>
      <c r="W428" s="2140">
        <f>SUM(W425:W427)</f>
        <v>0</v>
      </c>
      <c r="X428" s="238"/>
      <c r="Y428" s="2140">
        <f>SUM(Y425:Y427)</f>
        <v>0</v>
      </c>
      <c r="Z428" s="238"/>
      <c r="AA428" s="2140">
        <f>SUM(AA425:AA427)</f>
        <v>0</v>
      </c>
      <c r="AB428" s="238"/>
      <c r="AC428" s="2140">
        <f>SUM(AC425:AC427)</f>
        <v>0</v>
      </c>
      <c r="AD428" s="238"/>
      <c r="AE428" s="2140">
        <f>SUM(AE425:AE427)</f>
        <v>0</v>
      </c>
      <c r="AF428" s="229"/>
      <c r="AG428" s="229"/>
      <c r="AH428" s="229"/>
      <c r="AI428" s="229"/>
      <c r="AJ428" s="229"/>
      <c r="AK428" s="229"/>
      <c r="AL428" s="229"/>
      <c r="AM428" s="229"/>
      <c r="AN428" s="229"/>
      <c r="AO428" s="229"/>
      <c r="AP428" s="229"/>
      <c r="AQ428" s="229"/>
      <c r="AR428" s="229"/>
      <c r="AS428" s="229"/>
      <c r="AT428" s="229"/>
      <c r="AU428" s="229"/>
    </row>
    <row r="429" spans="1:47">
      <c r="A429" s="229"/>
      <c r="B429" s="229"/>
      <c r="C429" s="229"/>
      <c r="D429" s="229"/>
      <c r="E429" s="229"/>
      <c r="F429" s="229"/>
      <c r="G429" s="229"/>
      <c r="H429" s="229"/>
      <c r="I429" s="229"/>
      <c r="J429" s="229"/>
      <c r="K429" s="229"/>
      <c r="L429" s="229"/>
      <c r="M429" s="229"/>
      <c r="N429" s="229"/>
      <c r="O429" s="229"/>
      <c r="P429" s="229"/>
      <c r="Q429" s="240">
        <v>41</v>
      </c>
      <c r="R429" s="229"/>
      <c r="S429" s="229"/>
      <c r="T429" s="229"/>
      <c r="U429" s="239"/>
      <c r="V429" s="229"/>
      <c r="W429" s="239"/>
      <c r="X429" s="239"/>
      <c r="Y429" s="239"/>
      <c r="Z429" s="239"/>
      <c r="AA429" s="239"/>
      <c r="AB429" s="239"/>
      <c r="AC429" s="239"/>
      <c r="AD429" s="239"/>
      <c r="AE429" s="239"/>
      <c r="AF429" s="229"/>
      <c r="AG429" s="229"/>
      <c r="AH429" s="229"/>
      <c r="AI429" s="229"/>
      <c r="AJ429" s="229"/>
      <c r="AK429" s="229"/>
      <c r="AL429" s="229"/>
      <c r="AM429" s="229"/>
      <c r="AN429" s="229"/>
      <c r="AO429" s="229"/>
      <c r="AP429" s="229"/>
      <c r="AQ429" s="229"/>
      <c r="AR429" s="229"/>
      <c r="AS429" s="229"/>
      <c r="AT429" s="229"/>
      <c r="AU429" s="229"/>
    </row>
    <row r="430" spans="1:47">
      <c r="A430" s="229"/>
      <c r="B430" s="229"/>
      <c r="C430" s="229"/>
      <c r="D430" s="229"/>
      <c r="E430" s="229"/>
      <c r="F430" s="229"/>
      <c r="G430" s="229"/>
      <c r="H430" s="229"/>
      <c r="I430" s="229"/>
      <c r="J430" s="229"/>
      <c r="K430" s="229"/>
      <c r="L430" s="229"/>
      <c r="M430" s="229"/>
      <c r="N430" s="229"/>
      <c r="O430" s="229"/>
      <c r="P430" s="229"/>
      <c r="Q430" s="240">
        <v>42</v>
      </c>
      <c r="R430" s="229"/>
      <c r="S430" s="234" t="s">
        <v>1767</v>
      </c>
      <c r="T430" s="229"/>
      <c r="U430" s="1506">
        <f>U410+U412+U417+U422+U428</f>
        <v>0</v>
      </c>
      <c r="V430" s="229"/>
      <c r="W430" s="1506">
        <f>W410+W412+W417+W422+W428</f>
        <v>0</v>
      </c>
      <c r="X430" s="238"/>
      <c r="Y430" s="1506">
        <f>Y410+Y412+Y417+Y422+Y428</f>
        <v>0</v>
      </c>
      <c r="Z430" s="238"/>
      <c r="AA430" s="1506">
        <f>AA410+AA412+AA417+AA422+AA428</f>
        <v>0</v>
      </c>
      <c r="AB430" s="238"/>
      <c r="AC430" s="1506">
        <f>AC410+AC412+AC417+AC422+AC428</f>
        <v>0</v>
      </c>
      <c r="AD430" s="238"/>
      <c r="AE430" s="1506">
        <f>AE410+AE412+AE417+AE422+AE428</f>
        <v>0</v>
      </c>
      <c r="AF430" s="229"/>
      <c r="AG430" s="229"/>
      <c r="AH430" s="229"/>
      <c r="AI430" s="229"/>
      <c r="AJ430" s="229"/>
      <c r="AK430" s="229"/>
      <c r="AL430" s="229"/>
      <c r="AM430" s="229"/>
      <c r="AN430" s="229"/>
      <c r="AO430" s="229"/>
      <c r="AP430" s="229"/>
      <c r="AQ430" s="229"/>
      <c r="AR430" s="229"/>
      <c r="AS430" s="229"/>
      <c r="AT430" s="229"/>
      <c r="AU430" s="229"/>
    </row>
    <row r="431" spans="1:47">
      <c r="A431" s="229"/>
      <c r="B431" s="229"/>
      <c r="C431" s="229"/>
      <c r="D431" s="229"/>
      <c r="E431" s="229"/>
      <c r="F431" s="229"/>
      <c r="G431" s="229"/>
      <c r="H431" s="229"/>
      <c r="I431" s="229"/>
      <c r="J431" s="229"/>
      <c r="K431" s="229"/>
      <c r="L431" s="229"/>
      <c r="M431" s="229"/>
      <c r="N431" s="229"/>
      <c r="O431" s="229"/>
      <c r="P431" s="229"/>
      <c r="Q431" s="240">
        <v>43</v>
      </c>
      <c r="R431" s="229"/>
      <c r="S431" s="229"/>
      <c r="T431" s="229"/>
      <c r="U431" s="239"/>
      <c r="V431" s="229"/>
      <c r="W431" s="239"/>
      <c r="X431" s="239"/>
      <c r="Y431" s="239"/>
      <c r="Z431" s="239"/>
      <c r="AA431" s="239"/>
      <c r="AB431" s="239"/>
      <c r="AC431" s="239"/>
      <c r="AD431" s="239"/>
      <c r="AE431" s="239"/>
      <c r="AF431" s="229"/>
      <c r="AG431" s="229"/>
      <c r="AH431" s="229"/>
      <c r="AI431" s="229"/>
      <c r="AJ431" s="229"/>
      <c r="AK431" s="229"/>
      <c r="AL431" s="229"/>
      <c r="AM431" s="229"/>
      <c r="AN431" s="229"/>
      <c r="AO431" s="229"/>
      <c r="AP431" s="229"/>
      <c r="AQ431" s="229"/>
      <c r="AR431" s="229"/>
      <c r="AS431" s="229"/>
      <c r="AT431" s="229"/>
      <c r="AU431" s="229"/>
    </row>
    <row r="432" spans="1:47" ht="13.8" thickBot="1">
      <c r="A432" s="229"/>
      <c r="B432" s="229"/>
      <c r="C432" s="229"/>
      <c r="D432" s="229"/>
      <c r="E432" s="229"/>
      <c r="F432" s="229"/>
      <c r="G432" s="229"/>
      <c r="H432" s="229"/>
      <c r="I432" s="229"/>
      <c r="J432" s="229"/>
      <c r="K432" s="229"/>
      <c r="L432" s="229"/>
      <c r="M432" s="229"/>
      <c r="N432" s="229"/>
      <c r="O432" s="229"/>
      <c r="P432" s="229"/>
      <c r="Q432" s="240">
        <v>44</v>
      </c>
      <c r="R432" s="229"/>
      <c r="S432" s="234" t="s">
        <v>1443</v>
      </c>
      <c r="T432" s="229"/>
      <c r="U432" s="1953">
        <f>U393-U430</f>
        <v>0</v>
      </c>
      <c r="V432" s="229"/>
      <c r="W432" s="1953">
        <f>W393-W430</f>
        <v>0</v>
      </c>
      <c r="X432" s="238"/>
      <c r="Y432" s="1953">
        <f>Y393-Y430</f>
        <v>0</v>
      </c>
      <c r="Z432" s="238"/>
      <c r="AA432" s="1953">
        <f>AA393-AA430</f>
        <v>0</v>
      </c>
      <c r="AB432" s="238"/>
      <c r="AC432" s="1953">
        <f>AC393-AC430</f>
        <v>0</v>
      </c>
      <c r="AD432" s="238"/>
      <c r="AE432" s="1953">
        <f>AE393-AE430</f>
        <v>0</v>
      </c>
      <c r="AF432" s="229"/>
      <c r="AG432" s="229"/>
      <c r="AH432" s="229"/>
      <c r="AI432" s="229"/>
      <c r="AJ432" s="229"/>
      <c r="AK432" s="229"/>
      <c r="AL432" s="229"/>
      <c r="AM432" s="229"/>
      <c r="AN432" s="229"/>
      <c r="AO432" s="229"/>
      <c r="AP432" s="229"/>
      <c r="AQ432" s="229"/>
      <c r="AR432" s="229"/>
      <c r="AS432" s="229"/>
      <c r="AT432" s="229"/>
      <c r="AU432" s="229"/>
    </row>
    <row r="433" spans="1:32" ht="13.8" thickTop="1">
      <c r="A433" s="229"/>
      <c r="B433" s="229"/>
      <c r="C433" s="229"/>
      <c r="D433" s="229"/>
      <c r="E433" s="229"/>
      <c r="F433" s="229"/>
      <c r="G433" s="229"/>
      <c r="H433" s="229"/>
      <c r="I433" s="229"/>
      <c r="J433" s="229"/>
      <c r="K433" s="229"/>
      <c r="L433" s="229"/>
      <c r="M433" s="229"/>
      <c r="N433" s="229"/>
      <c r="O433" s="229"/>
      <c r="P433" s="229"/>
      <c r="Q433" s="229"/>
      <c r="R433" s="229"/>
      <c r="S433" s="229"/>
      <c r="T433" s="238"/>
      <c r="U433" s="241" t="str">
        <f>IF(ISERR(ROUND((U422+U428)/(U432+U422+U428),4)=TRUE)," ",ROUND((U422+U428)/(U432+U422+U428),4))</f>
        <v xml:space="preserve"> </v>
      </c>
      <c r="V433" s="229"/>
      <c r="W433" s="241" t="str">
        <f>IF(ISERR(ROUND((W422+W428)/(W432+W422+W428),4)=TRUE)," ",ROUND((W422+W428)/(W432+W422+W428),4))</f>
        <v xml:space="preserve"> </v>
      </c>
      <c r="X433" s="241"/>
      <c r="Y433" s="241" t="str">
        <f>IF(ISERR(ROUND((Y422+Y428)/(Y432+Y422+Y428),4)=TRUE)," ",ROUND((Y422+Y428)/(Y432+Y422+Y428),4))</f>
        <v xml:space="preserve"> </v>
      </c>
      <c r="Z433" s="241"/>
      <c r="AA433" s="241" t="str">
        <f>IF(ISERR(ROUND((AA422+AA428)/(AA432+AA422+AA428),4)=TRUE)," ",ROUND((AA422+AA428)/(AA432+AA422+AA428),4))</f>
        <v xml:space="preserve"> </v>
      </c>
      <c r="AB433" s="241"/>
      <c r="AC433" s="241" t="str">
        <f>IF(ISERR(ROUND((AC422+AC428)/(AC432+AC422+AC428),4)=TRUE)," ",ROUND((AC422+AC428)/(AC432+AC422+AC428),4))</f>
        <v xml:space="preserve"> </v>
      </c>
      <c r="AD433" s="241"/>
      <c r="AE433" s="241" t="str">
        <f>IF(ISERR(ROUND((AE422+AE428)/(AE432+AE422+AE428),4)=TRUE)," ",ROUND((AE422+AE428)/(AE432+AE422+AE428),4))</f>
        <v xml:space="preserve"> </v>
      </c>
      <c r="AF433" s="229"/>
    </row>
    <row r="434" spans="1:32">
      <c r="A434" s="229"/>
      <c r="B434" s="229"/>
      <c r="C434" s="229"/>
      <c r="D434" s="229"/>
      <c r="E434" s="229"/>
      <c r="F434" s="229"/>
      <c r="G434" s="229"/>
      <c r="H434" s="229"/>
      <c r="I434" s="229"/>
      <c r="J434" s="229"/>
      <c r="K434" s="229"/>
      <c r="L434" s="229"/>
      <c r="M434" s="229"/>
      <c r="N434" s="229"/>
      <c r="O434" s="229"/>
      <c r="P434" s="229"/>
      <c r="Q434" s="231"/>
      <c r="R434" s="228"/>
      <c r="S434" s="228"/>
      <c r="T434" s="228"/>
      <c r="U434" s="228"/>
      <c r="V434" s="228"/>
      <c r="W434" s="228"/>
      <c r="X434" s="228"/>
      <c r="Y434" s="228"/>
      <c r="Z434" s="228"/>
      <c r="AA434" s="228"/>
      <c r="AB434" s="228"/>
      <c r="AC434" s="246"/>
      <c r="AD434" s="228"/>
      <c r="AE434" s="228"/>
      <c r="AF434" s="229"/>
    </row>
    <row r="435" spans="1:32">
      <c r="A435" s="229"/>
      <c r="B435" s="229"/>
      <c r="C435" s="229"/>
      <c r="D435" s="229"/>
      <c r="E435" s="229"/>
      <c r="F435" s="229"/>
      <c r="G435" s="229"/>
      <c r="H435" s="229"/>
      <c r="I435" s="229"/>
      <c r="J435" s="229"/>
      <c r="K435" s="229"/>
      <c r="L435" s="229"/>
      <c r="M435" s="229"/>
      <c r="N435" s="229"/>
      <c r="O435" s="229"/>
      <c r="P435" s="229"/>
      <c r="Q435" s="228" t="str">
        <f>COMPANY</f>
        <v>DUKE ENERGY KENTUCKY, INC.</v>
      </c>
      <c r="R435" s="228"/>
      <c r="S435" s="228"/>
      <c r="T435" s="228"/>
      <c r="U435" s="228"/>
      <c r="V435" s="228"/>
      <c r="W435" s="228"/>
      <c r="X435" s="228"/>
      <c r="Y435" s="228"/>
      <c r="Z435" s="228"/>
      <c r="AA435" s="228"/>
      <c r="AB435" s="228"/>
      <c r="AC435" s="228"/>
      <c r="AD435" s="228"/>
      <c r="AE435" s="228"/>
      <c r="AF435" s="229"/>
    </row>
    <row r="436" spans="1:32">
      <c r="A436" s="229"/>
      <c r="B436" s="229"/>
      <c r="C436" s="229"/>
      <c r="D436" s="229"/>
      <c r="E436" s="229"/>
      <c r="F436" s="229"/>
      <c r="G436" s="229"/>
      <c r="H436" s="229"/>
      <c r="I436" s="229"/>
      <c r="J436" s="229"/>
      <c r="K436" s="229"/>
      <c r="L436" s="229"/>
      <c r="M436" s="229"/>
      <c r="N436" s="229"/>
      <c r="O436" s="229"/>
      <c r="P436" s="229"/>
      <c r="Q436" s="228" t="str">
        <f>CASE</f>
        <v>CASE NO. 2024-00354</v>
      </c>
      <c r="R436" s="228"/>
      <c r="S436" s="228"/>
      <c r="T436" s="228"/>
      <c r="U436" s="230"/>
      <c r="V436" s="230"/>
      <c r="W436" s="228"/>
      <c r="X436" s="228"/>
      <c r="Y436" s="228"/>
      <c r="Z436" s="228"/>
      <c r="AA436" s="228"/>
      <c r="AB436" s="228"/>
      <c r="AC436" s="228"/>
      <c r="AD436" s="228"/>
      <c r="AE436" s="228"/>
      <c r="AF436" s="229"/>
    </row>
    <row r="437" spans="1:32">
      <c r="A437" s="229"/>
      <c r="B437" s="229"/>
      <c r="C437" s="229"/>
      <c r="D437" s="229"/>
      <c r="E437" s="229"/>
      <c r="F437" s="229"/>
      <c r="G437" s="229"/>
      <c r="H437" s="229"/>
      <c r="I437" s="229"/>
      <c r="J437" s="229"/>
      <c r="K437" s="229"/>
      <c r="L437" s="229"/>
      <c r="M437" s="229"/>
      <c r="N437" s="229"/>
      <c r="O437" s="229"/>
      <c r="P437" s="229"/>
      <c r="Q437" s="231" t="str">
        <f>$AG$500</f>
        <v>SUMMARY OF UTILITY JURISDICTIONAL ADJUSTMENTS TO</v>
      </c>
      <c r="R437" s="228"/>
      <c r="S437" s="228"/>
      <c r="T437" s="228"/>
      <c r="U437" s="228"/>
      <c r="V437" s="228"/>
      <c r="W437" s="228"/>
      <c r="X437" s="228"/>
      <c r="Y437" s="228"/>
      <c r="Z437" s="228"/>
      <c r="AA437" s="228"/>
      <c r="AB437" s="228"/>
      <c r="AC437" s="228"/>
      <c r="AD437" s="228"/>
      <c r="AE437" s="228"/>
      <c r="AF437" s="229"/>
    </row>
    <row r="438" spans="1:32">
      <c r="A438" s="229"/>
      <c r="B438" s="229"/>
      <c r="C438" s="229"/>
      <c r="D438" s="229"/>
      <c r="E438" s="229"/>
      <c r="F438" s="229"/>
      <c r="G438" s="229"/>
      <c r="H438" s="229"/>
      <c r="I438" s="229"/>
      <c r="J438" s="229"/>
      <c r="K438" s="229"/>
      <c r="L438" s="229"/>
      <c r="M438" s="229"/>
      <c r="N438" s="229"/>
      <c r="O438" s="229"/>
      <c r="P438" s="229"/>
      <c r="Q438" s="231" t="str">
        <f>$AG$501</f>
        <v>OPERATING INCOME BY MAJOR ACCOUNTS</v>
      </c>
      <c r="R438" s="228"/>
      <c r="S438" s="228"/>
      <c r="T438" s="228"/>
      <c r="U438" s="228"/>
      <c r="V438" s="228"/>
      <c r="W438" s="228"/>
      <c r="X438" s="228"/>
      <c r="Y438" s="228"/>
      <c r="Z438" s="228"/>
      <c r="AA438" s="228"/>
      <c r="AB438" s="228"/>
      <c r="AC438" s="228"/>
      <c r="AD438" s="228"/>
      <c r="AE438" s="228"/>
      <c r="AF438" s="229"/>
    </row>
    <row r="439" spans="1:32">
      <c r="A439" s="229"/>
      <c r="B439" s="229"/>
      <c r="C439" s="229"/>
      <c r="D439" s="229"/>
      <c r="E439" s="229"/>
      <c r="F439" s="229"/>
      <c r="G439" s="229"/>
      <c r="H439" s="229"/>
      <c r="I439" s="229"/>
      <c r="J439" s="229"/>
      <c r="K439" s="229"/>
      <c r="L439" s="229"/>
      <c r="M439" s="229"/>
      <c r="N439" s="229"/>
      <c r="O439" s="229"/>
      <c r="P439" s="229"/>
      <c r="Q439" s="232" t="str">
        <f>Q315</f>
        <v>PRO FORMA ADJUSTMENTS TO THE FORECASTED PERIOD</v>
      </c>
      <c r="R439" s="228"/>
      <c r="S439" s="228"/>
      <c r="T439" s="228"/>
      <c r="U439" s="228"/>
      <c r="V439" s="228"/>
      <c r="W439" s="228"/>
      <c r="X439" s="228"/>
      <c r="Y439" s="228"/>
      <c r="Z439" s="228"/>
      <c r="AA439" s="228"/>
      <c r="AB439" s="228"/>
      <c r="AC439" s="228"/>
      <c r="AD439" s="228"/>
      <c r="AE439" s="228"/>
      <c r="AF439" s="229"/>
    </row>
    <row r="440" spans="1:32">
      <c r="A440" s="229"/>
      <c r="B440" s="229"/>
      <c r="C440" s="229"/>
      <c r="D440" s="229"/>
      <c r="E440" s="229"/>
      <c r="F440" s="229"/>
      <c r="G440" s="229"/>
      <c r="H440" s="229"/>
      <c r="I440" s="229"/>
      <c r="J440" s="229"/>
      <c r="K440" s="229"/>
      <c r="L440" s="229"/>
      <c r="M440" s="229"/>
      <c r="N440" s="229"/>
      <c r="O440" s="229"/>
      <c r="P440" s="229"/>
      <c r="Q440" s="228" t="str">
        <f>PeriodF</f>
        <v>FOR THE TWELVE MONTHS ENDED JUNE 30, 2026</v>
      </c>
      <c r="R440" s="228"/>
      <c r="S440" s="228"/>
      <c r="T440" s="228"/>
      <c r="U440" s="228"/>
      <c r="V440" s="228"/>
      <c r="W440" s="228"/>
      <c r="X440" s="228"/>
      <c r="Y440" s="228"/>
      <c r="Z440" s="228"/>
      <c r="AA440" s="228"/>
      <c r="AB440" s="228"/>
      <c r="AC440" s="228"/>
      <c r="AD440" s="228"/>
      <c r="AE440" s="228"/>
      <c r="AF440" s="229"/>
    </row>
    <row r="441" spans="1:32">
      <c r="A441" s="229"/>
      <c r="B441" s="229"/>
      <c r="C441" s="229"/>
      <c r="D441" s="229"/>
      <c r="E441" s="229"/>
      <c r="F441" s="229"/>
      <c r="G441" s="229"/>
      <c r="H441" s="229"/>
      <c r="I441" s="229"/>
      <c r="J441" s="229"/>
      <c r="K441" s="229"/>
      <c r="L441" s="229"/>
      <c r="M441" s="229"/>
      <c r="N441" s="229"/>
      <c r="O441" s="229"/>
      <c r="P441" s="229"/>
      <c r="Q441" s="229"/>
      <c r="R441" s="229"/>
      <c r="S441" s="229"/>
      <c r="T441" s="229"/>
      <c r="U441" s="229"/>
      <c r="V441" s="229"/>
      <c r="W441" s="229"/>
      <c r="X441" s="229"/>
      <c r="Y441" s="229"/>
      <c r="Z441" s="229"/>
      <c r="AA441" s="229"/>
      <c r="AB441" s="229"/>
      <c r="AC441" s="229"/>
      <c r="AD441" s="229"/>
      <c r="AE441" s="229"/>
      <c r="AF441" s="229"/>
    </row>
    <row r="442" spans="1:32">
      <c r="A442" s="229"/>
      <c r="B442" s="229"/>
      <c r="C442" s="229"/>
      <c r="D442" s="229"/>
      <c r="E442" s="229"/>
      <c r="F442" s="229"/>
      <c r="G442" s="229"/>
      <c r="H442" s="229"/>
      <c r="I442" s="229"/>
      <c r="J442" s="229"/>
      <c r="K442" s="229"/>
      <c r="L442" s="229"/>
      <c r="M442" s="229"/>
      <c r="N442" s="229"/>
      <c r="O442" s="229"/>
      <c r="P442" s="229"/>
      <c r="Q442" s="229" t="str">
        <f>DataF</f>
        <v>DATA:  BASE PERIOD  "X" FORECASTED PERIOD</v>
      </c>
      <c r="R442" s="229"/>
      <c r="S442" s="229"/>
      <c r="T442" s="229"/>
      <c r="U442" s="229"/>
      <c r="V442" s="229"/>
      <c r="W442" s="229"/>
      <c r="X442" s="229"/>
      <c r="Y442" s="229"/>
      <c r="Z442" s="229"/>
      <c r="AA442" s="229"/>
      <c r="AB442" s="229"/>
      <c r="AC442" s="233" t="s">
        <v>1725</v>
      </c>
      <c r="AD442" s="234"/>
      <c r="AE442" s="234"/>
      <c r="AF442" s="229"/>
    </row>
    <row r="443" spans="1:32">
      <c r="A443" s="229"/>
      <c r="B443" s="229"/>
      <c r="C443" s="229"/>
      <c r="D443" s="229"/>
      <c r="E443" s="229"/>
      <c r="F443" s="229"/>
      <c r="G443" s="229"/>
      <c r="H443" s="229"/>
      <c r="I443" s="229"/>
      <c r="J443" s="229"/>
      <c r="K443" s="229"/>
      <c r="L443" s="229"/>
      <c r="M443" s="229"/>
      <c r="N443" s="229"/>
      <c r="O443" s="229"/>
      <c r="P443" s="229"/>
      <c r="Q443" s="229" t="str">
        <f>Type</f>
        <v xml:space="preserve">TYPE OF FILING:  "X" ORIGINAL   UPDATED    REVISED  </v>
      </c>
      <c r="R443" s="229"/>
      <c r="S443" s="229"/>
      <c r="T443" s="229"/>
      <c r="U443" s="229"/>
      <c r="V443" s="229"/>
      <c r="W443" s="229"/>
      <c r="X443" s="229"/>
      <c r="Y443" s="229"/>
      <c r="Z443" s="229"/>
      <c r="AA443" s="229"/>
      <c r="AB443" s="229"/>
      <c r="AC443" s="234" t="s">
        <v>1831</v>
      </c>
      <c r="AD443" s="234"/>
      <c r="AE443" s="234"/>
      <c r="AF443" s="229"/>
    </row>
    <row r="444" spans="1:32">
      <c r="A444" s="229"/>
      <c r="B444" s="229"/>
      <c r="C444" s="229"/>
      <c r="D444" s="229"/>
      <c r="E444" s="229"/>
      <c r="F444" s="229"/>
      <c r="G444" s="229"/>
      <c r="H444" s="229"/>
      <c r="I444" s="229"/>
      <c r="J444" s="229"/>
      <c r="K444" s="229"/>
      <c r="L444" s="229"/>
      <c r="M444" s="229"/>
      <c r="N444" s="229"/>
      <c r="O444" s="229"/>
      <c r="P444" s="229"/>
      <c r="Q444" s="234" t="s">
        <v>467</v>
      </c>
      <c r="R444" s="229"/>
      <c r="S444" s="229"/>
      <c r="T444" s="229"/>
      <c r="U444" s="229"/>
      <c r="V444" s="229"/>
      <c r="W444" s="229"/>
      <c r="X444" s="229"/>
      <c r="Y444" s="229"/>
      <c r="Z444" s="229"/>
      <c r="AA444" s="229"/>
      <c r="AB444" s="229"/>
      <c r="AC444" s="233" t="s">
        <v>1727</v>
      </c>
      <c r="AD444" s="234"/>
      <c r="AE444" s="234"/>
      <c r="AF444" s="229"/>
    </row>
    <row r="445" spans="1:32">
      <c r="A445" s="229"/>
      <c r="B445" s="229"/>
      <c r="C445" s="229"/>
      <c r="D445" s="229"/>
      <c r="E445" s="229"/>
      <c r="F445" s="229"/>
      <c r="G445" s="229"/>
      <c r="H445" s="229"/>
      <c r="I445" s="229"/>
      <c r="J445" s="229"/>
      <c r="K445" s="229"/>
      <c r="L445" s="229"/>
      <c r="M445" s="229"/>
      <c r="N445" s="229"/>
      <c r="O445" s="229"/>
      <c r="P445" s="229"/>
      <c r="Q445" s="229"/>
      <c r="R445" s="229"/>
      <c r="S445" s="229"/>
      <c r="T445" s="229"/>
      <c r="U445" s="229"/>
      <c r="V445" s="229"/>
      <c r="W445" s="229"/>
      <c r="X445" s="229"/>
      <c r="Y445" s="229"/>
      <c r="Z445" s="229"/>
      <c r="AA445" s="229"/>
      <c r="AB445" s="229"/>
      <c r="AC445" s="234" t="str">
        <f>"          "&amp;_WIT1</f>
        <v xml:space="preserve">          L. D. STEINKUHL</v>
      </c>
      <c r="AD445" s="234"/>
      <c r="AE445" s="234"/>
      <c r="AF445" s="229"/>
    </row>
    <row r="446" spans="1:32">
      <c r="A446" s="229"/>
      <c r="B446" s="229"/>
      <c r="C446" s="229"/>
      <c r="D446" s="229"/>
      <c r="E446" s="229"/>
      <c r="F446" s="229"/>
      <c r="G446" s="229"/>
      <c r="H446" s="229"/>
      <c r="I446" s="229"/>
      <c r="J446" s="229"/>
      <c r="K446" s="229"/>
      <c r="L446" s="229"/>
      <c r="M446" s="229"/>
      <c r="N446" s="229"/>
      <c r="O446" s="229"/>
      <c r="P446" s="229"/>
      <c r="Q446" s="1502"/>
      <c r="R446" s="1502"/>
      <c r="S446" s="1502"/>
      <c r="T446" s="1502"/>
      <c r="U446" s="1508"/>
      <c r="V446" s="1508"/>
      <c r="W446" s="1508"/>
      <c r="X446" s="1508"/>
      <c r="Y446" s="1508"/>
      <c r="Z446" s="1508"/>
      <c r="AA446" s="1508"/>
      <c r="AB446" s="1502"/>
      <c r="AC446" s="1503"/>
      <c r="AD446" s="1504"/>
      <c r="AE446" s="1502"/>
      <c r="AF446" s="229"/>
    </row>
    <row r="447" spans="1:32">
      <c r="A447" s="229"/>
      <c r="B447" s="229"/>
      <c r="C447" s="229"/>
      <c r="D447" s="229"/>
      <c r="E447" s="229"/>
      <c r="F447" s="229"/>
      <c r="G447" s="229"/>
      <c r="H447" s="229"/>
      <c r="I447" s="229"/>
      <c r="J447" s="229"/>
      <c r="K447" s="229"/>
      <c r="L447" s="229"/>
      <c r="M447" s="229"/>
      <c r="N447" s="229"/>
      <c r="O447" s="229"/>
      <c r="P447" s="229"/>
      <c r="Q447" s="229"/>
      <c r="R447" s="229"/>
      <c r="S447" s="229"/>
      <c r="T447" s="229"/>
      <c r="U447" s="240"/>
      <c r="V447" s="240"/>
      <c r="W447" s="240"/>
      <c r="X447" s="240"/>
      <c r="Y447" s="240"/>
      <c r="Z447" s="229"/>
      <c r="AA447" s="240"/>
      <c r="AB447" s="240"/>
      <c r="AC447" s="240"/>
      <c r="AD447" s="240"/>
      <c r="AE447" s="240"/>
      <c r="AF447" s="229"/>
    </row>
    <row r="448" spans="1:32">
      <c r="A448" s="229"/>
      <c r="B448" s="229"/>
      <c r="C448" s="229"/>
      <c r="D448" s="229"/>
      <c r="E448" s="229"/>
      <c r="F448" s="229"/>
      <c r="G448" s="229"/>
      <c r="H448" s="229"/>
      <c r="I448" s="229"/>
      <c r="J448" s="229"/>
      <c r="K448" s="229"/>
      <c r="L448" s="229"/>
      <c r="M448" s="229"/>
      <c r="N448" s="229"/>
      <c r="O448" s="229"/>
      <c r="P448" s="229"/>
      <c r="Q448" s="240" t="s">
        <v>471</v>
      </c>
      <c r="R448" s="229"/>
      <c r="S448" s="229"/>
      <c r="T448" s="229"/>
      <c r="U448" s="240" t="s">
        <v>1731</v>
      </c>
      <c r="V448" s="240"/>
      <c r="W448" s="240" t="s">
        <v>1731</v>
      </c>
      <c r="X448" s="240"/>
      <c r="Y448" s="240" t="s">
        <v>1731</v>
      </c>
      <c r="Z448" s="240"/>
      <c r="AA448" s="240" t="s">
        <v>1731</v>
      </c>
      <c r="AB448" s="240"/>
      <c r="AC448" s="240" t="s">
        <v>1731</v>
      </c>
      <c r="AD448" s="240"/>
      <c r="AE448" s="240" t="s">
        <v>1731</v>
      </c>
      <c r="AF448" s="229"/>
    </row>
    <row r="449" spans="1:32">
      <c r="A449" s="229"/>
      <c r="B449" s="229"/>
      <c r="C449" s="229"/>
      <c r="D449" s="229"/>
      <c r="E449" s="229"/>
      <c r="F449" s="229"/>
      <c r="G449" s="229"/>
      <c r="H449" s="229"/>
      <c r="I449" s="229"/>
      <c r="J449" s="229"/>
      <c r="K449" s="229"/>
      <c r="L449" s="229"/>
      <c r="M449" s="229"/>
      <c r="N449" s="229"/>
      <c r="O449" s="229"/>
      <c r="P449" s="229"/>
      <c r="Q449" s="1503" t="s">
        <v>533</v>
      </c>
      <c r="R449" s="1504"/>
      <c r="S449" s="1503" t="s">
        <v>1733</v>
      </c>
      <c r="T449" s="1504"/>
      <c r="U449" s="1503"/>
      <c r="V449" s="1503"/>
      <c r="W449" s="1503"/>
      <c r="X449" s="1503"/>
      <c r="Y449" s="1503"/>
      <c r="Z449" s="1503"/>
      <c r="AA449" s="1503"/>
      <c r="AB449" s="1503"/>
      <c r="AC449" s="1503"/>
      <c r="AD449" s="1502"/>
      <c r="AE449" s="1503"/>
      <c r="AF449" s="229"/>
    </row>
    <row r="450" spans="1:32">
      <c r="A450" s="229"/>
      <c r="B450" s="229"/>
      <c r="C450" s="229"/>
      <c r="D450" s="229"/>
      <c r="E450" s="229"/>
      <c r="F450" s="229"/>
      <c r="G450" s="229"/>
      <c r="H450" s="229"/>
      <c r="I450" s="229"/>
      <c r="J450" s="229"/>
      <c r="K450" s="229"/>
      <c r="L450" s="229"/>
      <c r="M450" s="229"/>
      <c r="N450" s="229"/>
      <c r="O450" s="229"/>
      <c r="P450" s="229"/>
      <c r="Q450" s="1504"/>
      <c r="R450" s="1504"/>
      <c r="S450" s="1505" t="s">
        <v>1737</v>
      </c>
      <c r="T450" s="1504"/>
      <c r="U450" s="1503" t="s">
        <v>1832</v>
      </c>
      <c r="V450" s="1503"/>
      <c r="W450" s="1503" t="s">
        <v>1833</v>
      </c>
      <c r="X450" s="1503"/>
      <c r="Y450" s="1503" t="s">
        <v>1834</v>
      </c>
      <c r="Z450" s="1503"/>
      <c r="AA450" s="1503" t="s">
        <v>1835</v>
      </c>
      <c r="AB450" s="1503"/>
      <c r="AC450" s="1503" t="s">
        <v>1836</v>
      </c>
      <c r="AD450" s="1503"/>
      <c r="AE450" s="1503" t="s">
        <v>1837</v>
      </c>
      <c r="AF450" s="229"/>
    </row>
    <row r="451" spans="1:32">
      <c r="A451" s="229"/>
      <c r="B451" s="229"/>
      <c r="C451" s="229"/>
      <c r="D451" s="229"/>
      <c r="E451" s="229"/>
      <c r="F451" s="229"/>
      <c r="G451" s="229"/>
      <c r="H451" s="229"/>
      <c r="I451" s="229"/>
      <c r="J451" s="229"/>
      <c r="K451" s="229"/>
      <c r="L451" s="229"/>
      <c r="M451" s="229"/>
      <c r="N451" s="229"/>
      <c r="O451" s="229"/>
      <c r="P451" s="229"/>
      <c r="Q451" s="240">
        <v>1</v>
      </c>
      <c r="R451" s="242" t="s">
        <v>451</v>
      </c>
      <c r="S451" s="229"/>
      <c r="T451" s="229"/>
      <c r="U451" s="229"/>
      <c r="V451" s="229"/>
      <c r="W451" s="229"/>
      <c r="X451" s="229"/>
      <c r="Y451" s="229"/>
      <c r="Z451" s="229"/>
      <c r="AA451" s="229"/>
      <c r="AB451" s="229"/>
      <c r="AC451" s="229"/>
      <c r="AD451" s="229"/>
      <c r="AE451" s="229"/>
      <c r="AF451" s="229"/>
    </row>
    <row r="452" spans="1:32">
      <c r="A452" s="229"/>
      <c r="B452" s="229"/>
      <c r="C452" s="229"/>
      <c r="D452" s="229"/>
      <c r="E452" s="229"/>
      <c r="F452" s="229"/>
      <c r="G452" s="229"/>
      <c r="H452" s="229"/>
      <c r="I452" s="229"/>
      <c r="J452" s="229"/>
      <c r="K452" s="229"/>
      <c r="L452" s="229"/>
      <c r="M452" s="229"/>
      <c r="N452" s="229"/>
      <c r="O452" s="229"/>
      <c r="P452" s="229"/>
      <c r="Q452" s="240">
        <v>2</v>
      </c>
      <c r="R452" s="229"/>
      <c r="S452" s="234" t="s">
        <v>1740</v>
      </c>
      <c r="T452" s="229"/>
      <c r="U452" s="661"/>
      <c r="V452" s="229"/>
      <c r="W452" s="238"/>
      <c r="X452" s="238"/>
      <c r="Y452" s="238"/>
      <c r="Z452" s="238"/>
      <c r="AA452" s="238"/>
      <c r="AB452" s="238"/>
      <c r="AC452" s="238"/>
      <c r="AD452" s="238"/>
      <c r="AE452" s="238"/>
      <c r="AF452" s="229"/>
    </row>
    <row r="453" spans="1:32">
      <c r="A453" s="229"/>
      <c r="B453" s="229"/>
      <c r="C453" s="229"/>
      <c r="D453" s="229"/>
      <c r="E453" s="229"/>
      <c r="F453" s="229"/>
      <c r="G453" s="229"/>
      <c r="H453" s="229"/>
      <c r="I453" s="229"/>
      <c r="J453" s="229"/>
      <c r="K453" s="229"/>
      <c r="L453" s="229"/>
      <c r="M453" s="229"/>
      <c r="N453" s="229"/>
      <c r="O453" s="229"/>
      <c r="P453" s="229"/>
      <c r="Q453" s="240">
        <v>3</v>
      </c>
      <c r="R453" s="229"/>
      <c r="S453" s="234" t="s">
        <v>1741</v>
      </c>
      <c r="T453" s="229"/>
      <c r="U453" s="238"/>
      <c r="V453" s="229"/>
      <c r="W453" s="238"/>
      <c r="X453" s="238"/>
      <c r="Y453" s="238"/>
      <c r="Z453" s="238"/>
      <c r="AA453" s="238"/>
      <c r="AB453" s="238"/>
      <c r="AC453" s="238"/>
      <c r="AD453" s="238"/>
      <c r="AE453" s="238"/>
      <c r="AF453" s="229"/>
    </row>
    <row r="454" spans="1:32">
      <c r="A454" s="229"/>
      <c r="B454" s="229"/>
      <c r="C454" s="229"/>
      <c r="D454" s="229"/>
      <c r="E454" s="229"/>
      <c r="F454" s="229"/>
      <c r="G454" s="229"/>
      <c r="H454" s="229"/>
      <c r="I454" s="229"/>
      <c r="J454" s="229"/>
      <c r="K454" s="229"/>
      <c r="L454" s="229"/>
      <c r="M454" s="229"/>
      <c r="N454" s="229"/>
      <c r="O454" s="229"/>
      <c r="P454" s="229"/>
      <c r="Q454" s="240">
        <v>4</v>
      </c>
      <c r="R454" s="229"/>
      <c r="S454" s="234" t="s">
        <v>1742</v>
      </c>
      <c r="T454" s="229"/>
      <c r="U454" s="661"/>
      <c r="V454" s="229"/>
      <c r="W454" s="238"/>
      <c r="X454" s="238"/>
      <c r="Y454" s="238"/>
      <c r="Z454" s="238"/>
      <c r="AA454" s="238"/>
      <c r="AB454" s="238"/>
      <c r="AC454" s="246"/>
      <c r="AD454" s="238"/>
      <c r="AE454" s="246"/>
      <c r="AF454" s="229"/>
    </row>
    <row r="455" spans="1:32">
      <c r="A455" s="229"/>
      <c r="B455" s="229"/>
      <c r="C455" s="229"/>
      <c r="D455" s="229"/>
      <c r="E455" s="229"/>
      <c r="F455" s="229"/>
      <c r="G455" s="229"/>
      <c r="H455" s="229"/>
      <c r="I455" s="229"/>
      <c r="J455" s="229"/>
      <c r="K455" s="229"/>
      <c r="L455" s="229"/>
      <c r="M455" s="229"/>
      <c r="N455" s="229"/>
      <c r="O455" s="229"/>
      <c r="P455" s="229"/>
      <c r="Q455" s="240">
        <v>5</v>
      </c>
      <c r="R455" s="229"/>
      <c r="S455" s="234" t="s">
        <v>1743</v>
      </c>
      <c r="T455" s="229"/>
      <c r="U455" s="2140">
        <f>SUM(U452:U454)</f>
        <v>0</v>
      </c>
      <c r="V455" s="229"/>
      <c r="W455" s="2140">
        <f>SUM(W452:W454)</f>
        <v>0</v>
      </c>
      <c r="X455" s="238"/>
      <c r="Y455" s="2140">
        <f>SUM(Y452:Y454)</f>
        <v>0</v>
      </c>
      <c r="Z455" s="238"/>
      <c r="AA455" s="2140">
        <f>SUM(AA452:AA454)</f>
        <v>0</v>
      </c>
      <c r="AB455" s="238"/>
      <c r="AC455" s="2140">
        <f>SUM(AC452:AC454)</f>
        <v>0</v>
      </c>
      <c r="AD455" s="238"/>
      <c r="AE455" s="2140">
        <f>SUM(AE452:AE454)</f>
        <v>0</v>
      </c>
      <c r="AF455" s="229"/>
    </row>
    <row r="456" spans="1:32">
      <c r="A456" s="229"/>
      <c r="B456" s="229"/>
      <c r="C456" s="229"/>
      <c r="D456" s="229"/>
      <c r="E456" s="229"/>
      <c r="F456" s="229"/>
      <c r="G456" s="229"/>
      <c r="H456" s="229"/>
      <c r="I456" s="229"/>
      <c r="J456" s="229"/>
      <c r="K456" s="229"/>
      <c r="L456" s="229"/>
      <c r="M456" s="229"/>
      <c r="N456" s="229"/>
      <c r="O456" s="229"/>
      <c r="P456" s="229"/>
      <c r="Q456" s="240">
        <v>6</v>
      </c>
      <c r="R456" s="229"/>
      <c r="S456" s="229"/>
      <c r="T456" s="229"/>
      <c r="U456" s="239"/>
      <c r="V456" s="229"/>
      <c r="W456" s="239"/>
      <c r="X456" s="239"/>
      <c r="Y456" s="239"/>
      <c r="Z456" s="239"/>
      <c r="AA456" s="239"/>
      <c r="AB456" s="239"/>
      <c r="AC456" s="239"/>
      <c r="AD456" s="239"/>
      <c r="AE456" s="239"/>
      <c r="AF456" s="229"/>
    </row>
    <row r="457" spans="1:32">
      <c r="A457" s="229"/>
      <c r="B457" s="229"/>
      <c r="C457" s="229"/>
      <c r="D457" s="229"/>
      <c r="E457" s="229"/>
      <c r="F457" s="229"/>
      <c r="G457" s="229"/>
      <c r="H457" s="229"/>
      <c r="I457" s="229"/>
      <c r="J457" s="229"/>
      <c r="K457" s="229"/>
      <c r="L457" s="229"/>
      <c r="M457" s="229"/>
      <c r="N457" s="229"/>
      <c r="O457" s="229"/>
      <c r="P457" s="229"/>
      <c r="Q457" s="240">
        <v>7</v>
      </c>
      <c r="R457" s="242" t="s">
        <v>404</v>
      </c>
      <c r="S457" s="229"/>
      <c r="T457" s="229"/>
      <c r="U457" s="1752" t="str">
        <f>IF(SUM(U458:U459,U476,U481,U486)=0,"","DATA ENTERED IN WRONG LINE")</f>
        <v/>
      </c>
      <c r="V457" s="1752"/>
      <c r="W457" s="1752" t="str">
        <f>IF(SUM(W458:W459,W476,W481,W486)=0,"","DATA ENTERED IN WRONG LINE")</f>
        <v/>
      </c>
      <c r="X457" s="1752"/>
      <c r="Y457" s="1752" t="str">
        <f>IF(SUM(Y458:Y459,Y476,Y481,Y486)=0,"","DATA ENTERED IN WRONG LINE")</f>
        <v/>
      </c>
      <c r="Z457" s="1752"/>
      <c r="AA457" s="1752" t="str">
        <f>IF(SUM(AA458:AA459,AA476,AA481,AA486)=0,"","DATA ENTERED IN WRONG LINE")</f>
        <v/>
      </c>
      <c r="AB457" s="1752"/>
      <c r="AC457" s="1752" t="str">
        <f>IF(SUM(AC458:AC459,AC476,AC481,AC486)=0,"","DATA ENTERED IN WRONG LINE")</f>
        <v/>
      </c>
      <c r="AD457" s="1752"/>
      <c r="AE457" s="1752" t="str">
        <f>IF(SUM(AE458:AE459,AE476,AE481,AE486)=0,"","DATA ENTERED IN WRONG LINE")</f>
        <v/>
      </c>
      <c r="AF457" s="229"/>
    </row>
    <row r="458" spans="1:32">
      <c r="A458" s="229"/>
      <c r="B458" s="229"/>
      <c r="C458" s="229"/>
      <c r="D458" s="229"/>
      <c r="E458" s="229"/>
      <c r="F458" s="229"/>
      <c r="G458" s="229"/>
      <c r="H458" s="229"/>
      <c r="I458" s="229"/>
      <c r="J458" s="229"/>
      <c r="K458" s="229"/>
      <c r="L458" s="229"/>
      <c r="M458" s="229"/>
      <c r="N458" s="229"/>
      <c r="O458" s="229"/>
      <c r="P458" s="229"/>
      <c r="Q458" s="240">
        <v>8</v>
      </c>
      <c r="R458" s="229"/>
      <c r="S458" s="234" t="s">
        <v>1744</v>
      </c>
      <c r="T458" s="229"/>
      <c r="U458" s="238"/>
      <c r="V458" s="229"/>
      <c r="W458" s="229"/>
      <c r="X458" s="229"/>
      <c r="Y458" s="229"/>
      <c r="Z458" s="229"/>
      <c r="AA458" s="229"/>
      <c r="AB458" s="229"/>
      <c r="AC458" s="229"/>
      <c r="AD458" s="229"/>
      <c r="AE458" s="229"/>
      <c r="AF458" s="229"/>
    </row>
    <row r="459" spans="1:32">
      <c r="A459" s="229"/>
      <c r="B459" s="229"/>
      <c r="C459" s="229"/>
      <c r="D459" s="229"/>
      <c r="E459" s="229"/>
      <c r="F459" s="229"/>
      <c r="G459" s="229"/>
      <c r="H459" s="229"/>
      <c r="I459" s="229"/>
      <c r="J459" s="229"/>
      <c r="K459" s="229"/>
      <c r="L459" s="229"/>
      <c r="M459" s="229"/>
      <c r="N459" s="229"/>
      <c r="O459" s="229"/>
      <c r="P459" s="229"/>
      <c r="Q459" s="240">
        <v>9</v>
      </c>
      <c r="R459" s="229"/>
      <c r="S459" s="234" t="s">
        <v>1745</v>
      </c>
      <c r="T459" s="229"/>
      <c r="U459" s="238"/>
      <c r="V459" s="229"/>
      <c r="W459" s="229"/>
      <c r="X459" s="229"/>
      <c r="Y459" s="229"/>
      <c r="Z459" s="229"/>
      <c r="AA459" s="229"/>
      <c r="AB459" s="229"/>
      <c r="AC459" s="229"/>
      <c r="AD459" s="229"/>
      <c r="AE459" s="229"/>
      <c r="AF459" s="229"/>
    </row>
    <row r="460" spans="1:32">
      <c r="A460" s="229"/>
      <c r="B460" s="229"/>
      <c r="C460" s="229"/>
      <c r="D460" s="229"/>
      <c r="E460" s="229"/>
      <c r="F460" s="229"/>
      <c r="G460" s="229"/>
      <c r="H460" s="229"/>
      <c r="I460" s="229"/>
      <c r="J460" s="229"/>
      <c r="K460" s="229"/>
      <c r="L460" s="229"/>
      <c r="M460" s="229"/>
      <c r="N460" s="229"/>
      <c r="O460" s="229"/>
      <c r="P460" s="229"/>
      <c r="Q460" s="240">
        <v>10</v>
      </c>
      <c r="R460" s="229"/>
      <c r="S460" s="181" t="s">
        <v>454</v>
      </c>
      <c r="T460" s="229"/>
      <c r="U460" s="238"/>
      <c r="V460" s="229"/>
      <c r="W460" s="238"/>
      <c r="X460" s="238"/>
      <c r="Y460" s="238"/>
      <c r="Z460" s="238"/>
      <c r="AA460" s="238"/>
      <c r="AB460" s="238"/>
      <c r="AC460" s="238"/>
      <c r="AD460" s="238"/>
      <c r="AE460" s="238"/>
      <c r="AF460" s="229"/>
    </row>
    <row r="461" spans="1:32">
      <c r="A461" s="229"/>
      <c r="B461" s="229"/>
      <c r="C461" s="229"/>
      <c r="D461" s="229"/>
      <c r="E461" s="229"/>
      <c r="F461" s="229"/>
      <c r="G461" s="229"/>
      <c r="H461" s="229"/>
      <c r="I461" s="229"/>
      <c r="J461" s="229"/>
      <c r="K461" s="229"/>
      <c r="L461" s="229"/>
      <c r="M461" s="229"/>
      <c r="N461" s="229"/>
      <c r="O461" s="229"/>
      <c r="P461" s="229"/>
      <c r="Q461" s="240">
        <v>11</v>
      </c>
      <c r="R461" s="229"/>
      <c r="S461" s="234" t="s">
        <v>1746</v>
      </c>
      <c r="T461" s="229"/>
      <c r="U461" s="238"/>
      <c r="V461" s="229"/>
      <c r="W461" s="238"/>
      <c r="X461" s="238"/>
      <c r="Y461" s="238"/>
      <c r="Z461" s="238"/>
      <c r="AA461" s="238"/>
      <c r="AB461" s="238"/>
      <c r="AC461" s="238"/>
      <c r="AD461" s="238"/>
      <c r="AE461" s="238"/>
      <c r="AF461" s="229"/>
    </row>
    <row r="462" spans="1:32">
      <c r="A462" s="229"/>
      <c r="B462" s="229"/>
      <c r="C462" s="229"/>
      <c r="D462" s="229"/>
      <c r="E462" s="229"/>
      <c r="F462" s="229"/>
      <c r="G462" s="229"/>
      <c r="H462" s="229"/>
      <c r="I462" s="229"/>
      <c r="J462" s="229"/>
      <c r="K462" s="229"/>
      <c r="L462" s="229"/>
      <c r="M462" s="229"/>
      <c r="N462" s="229"/>
      <c r="O462" s="229"/>
      <c r="P462" s="229"/>
      <c r="Q462" s="240">
        <v>12</v>
      </c>
      <c r="R462" s="229"/>
      <c r="S462" s="234" t="s">
        <v>1747</v>
      </c>
      <c r="T462" s="229"/>
      <c r="U462" s="2141">
        <f>SUM(U459:U461)</f>
        <v>0</v>
      </c>
      <c r="V462" s="229"/>
      <c r="W462" s="2141">
        <f>SUM(W459:W461)</f>
        <v>0</v>
      </c>
      <c r="X462" s="238"/>
      <c r="Y462" s="2141">
        <f>SUM(Y459:Y461)</f>
        <v>0</v>
      </c>
      <c r="Z462" s="238"/>
      <c r="AA462" s="2141">
        <f>SUM(AA459:AA461)</f>
        <v>0</v>
      </c>
      <c r="AB462" s="238"/>
      <c r="AC462" s="2141">
        <f>SUM(AC459:AC461)</f>
        <v>0</v>
      </c>
      <c r="AD462" s="238"/>
      <c r="AE462" s="2141">
        <f>SUM(AE459:AE461)</f>
        <v>0</v>
      </c>
      <c r="AF462" s="229"/>
    </row>
    <row r="463" spans="1:32">
      <c r="A463" s="229"/>
      <c r="B463" s="229"/>
      <c r="C463" s="229"/>
      <c r="D463" s="229"/>
      <c r="E463" s="229"/>
      <c r="F463" s="229"/>
      <c r="G463" s="229"/>
      <c r="H463" s="229"/>
      <c r="I463" s="229"/>
      <c r="J463" s="229"/>
      <c r="K463" s="229"/>
      <c r="L463" s="229"/>
      <c r="M463" s="229"/>
      <c r="N463" s="229"/>
      <c r="O463" s="229"/>
      <c r="P463" s="229"/>
      <c r="Q463" s="240">
        <v>13</v>
      </c>
      <c r="R463" s="229"/>
      <c r="S463" s="229"/>
      <c r="T463" s="229"/>
      <c r="U463" s="239"/>
      <c r="V463" s="229"/>
      <c r="W463" s="239"/>
      <c r="X463" s="239"/>
      <c r="Y463" s="239"/>
      <c r="Z463" s="239"/>
      <c r="AA463" s="239"/>
      <c r="AB463" s="239"/>
      <c r="AC463" s="239"/>
      <c r="AD463" s="239"/>
      <c r="AE463" s="239"/>
      <c r="AF463" s="229"/>
    </row>
    <row r="464" spans="1:32">
      <c r="A464" s="229"/>
      <c r="B464" s="229"/>
      <c r="C464" s="229"/>
      <c r="D464" s="229"/>
      <c r="E464" s="229"/>
      <c r="F464" s="229"/>
      <c r="G464" s="229"/>
      <c r="H464" s="229"/>
      <c r="I464" s="229"/>
      <c r="J464" s="229"/>
      <c r="K464" s="229"/>
      <c r="L464" s="229"/>
      <c r="M464" s="229"/>
      <c r="N464" s="229"/>
      <c r="O464" s="229"/>
      <c r="P464" s="229"/>
      <c r="Q464" s="240">
        <v>14</v>
      </c>
      <c r="R464" s="229"/>
      <c r="S464" s="234" t="s">
        <v>1776</v>
      </c>
      <c r="T464" s="229"/>
      <c r="U464" s="661"/>
      <c r="V464" s="229"/>
      <c r="W464" s="239"/>
      <c r="X464" s="239"/>
      <c r="Y464" s="239"/>
      <c r="Z464" s="239"/>
      <c r="AA464" s="239"/>
      <c r="AB464" s="239"/>
      <c r="AC464" s="239"/>
      <c r="AD464" s="239"/>
      <c r="AE464" s="239"/>
      <c r="AF464" s="229"/>
    </row>
    <row r="465" spans="1:32">
      <c r="A465" s="229"/>
      <c r="B465" s="229"/>
      <c r="C465" s="229"/>
      <c r="D465" s="229"/>
      <c r="E465" s="229"/>
      <c r="F465" s="229"/>
      <c r="G465" s="229"/>
      <c r="H465" s="229"/>
      <c r="I465" s="229"/>
      <c r="J465" s="229"/>
      <c r="K465" s="229"/>
      <c r="L465" s="229"/>
      <c r="M465" s="229"/>
      <c r="N465" s="229"/>
      <c r="O465" s="229"/>
      <c r="P465" s="229"/>
      <c r="Q465" s="240">
        <v>15</v>
      </c>
      <c r="R465" s="229"/>
      <c r="S465" s="234" t="s">
        <v>1777</v>
      </c>
      <c r="T465" s="229"/>
      <c r="U465" s="239"/>
      <c r="V465" s="229"/>
      <c r="W465" s="239"/>
      <c r="X465" s="239"/>
      <c r="Y465" s="239"/>
      <c r="Z465" s="239"/>
      <c r="AA465" s="239"/>
      <c r="AB465" s="239"/>
      <c r="AC465" s="239"/>
      <c r="AD465" s="239"/>
      <c r="AE465" s="239"/>
      <c r="AF465" s="229"/>
    </row>
    <row r="466" spans="1:32">
      <c r="A466" s="229"/>
      <c r="B466" s="229"/>
      <c r="C466" s="229"/>
      <c r="D466" s="229"/>
      <c r="E466" s="229"/>
      <c r="F466" s="229"/>
      <c r="G466" s="229"/>
      <c r="H466" s="229"/>
      <c r="I466" s="229"/>
      <c r="J466" s="229"/>
      <c r="K466" s="229"/>
      <c r="L466" s="229"/>
      <c r="M466" s="229"/>
      <c r="N466" s="229"/>
      <c r="O466" s="229"/>
      <c r="P466" s="229"/>
      <c r="Q466" s="240">
        <v>16</v>
      </c>
      <c r="R466" s="229"/>
      <c r="S466" s="234" t="s">
        <v>1778</v>
      </c>
      <c r="T466" s="229"/>
      <c r="U466" s="238"/>
      <c r="V466" s="229"/>
      <c r="W466" s="238"/>
      <c r="X466" s="238"/>
      <c r="Y466" s="238"/>
      <c r="Z466" s="238"/>
      <c r="AA466" s="238"/>
      <c r="AB466" s="238"/>
      <c r="AC466" s="238"/>
      <c r="AD466" s="238"/>
      <c r="AE466" s="238"/>
      <c r="AF466" s="229"/>
    </row>
    <row r="467" spans="1:32">
      <c r="A467" s="229"/>
      <c r="B467" s="229"/>
      <c r="C467" s="229"/>
      <c r="D467" s="229"/>
      <c r="E467" s="229"/>
      <c r="F467" s="229"/>
      <c r="G467" s="229"/>
      <c r="H467" s="229"/>
      <c r="I467" s="229"/>
      <c r="J467" s="229"/>
      <c r="K467" s="229"/>
      <c r="L467" s="229"/>
      <c r="M467" s="229"/>
      <c r="N467" s="229"/>
      <c r="O467" s="229"/>
      <c r="P467" s="229"/>
      <c r="Q467" s="240">
        <v>17</v>
      </c>
      <c r="R467" s="229"/>
      <c r="S467" s="234" t="s">
        <v>1779</v>
      </c>
      <c r="T467" s="229"/>
      <c r="U467" s="238"/>
      <c r="V467" s="229"/>
      <c r="W467" s="238"/>
      <c r="X467" s="238"/>
      <c r="Y467" s="238"/>
      <c r="Z467" s="238"/>
      <c r="AA467" s="238"/>
      <c r="AB467" s="238"/>
      <c r="AC467" s="238"/>
      <c r="AD467" s="238"/>
      <c r="AE467" s="238"/>
      <c r="AF467" s="229"/>
    </row>
    <row r="468" spans="1:32">
      <c r="A468" s="229"/>
      <c r="B468" s="229"/>
      <c r="C468" s="229"/>
      <c r="D468" s="229"/>
      <c r="E468" s="229"/>
      <c r="F468" s="229"/>
      <c r="G468" s="229"/>
      <c r="H468" s="229"/>
      <c r="I468" s="229"/>
      <c r="J468" s="229"/>
      <c r="K468" s="229"/>
      <c r="L468" s="229"/>
      <c r="M468" s="229"/>
      <c r="N468" s="229"/>
      <c r="O468" s="229"/>
      <c r="P468" s="229"/>
      <c r="Q468" s="240">
        <v>18</v>
      </c>
      <c r="R468" s="229"/>
      <c r="S468" s="234" t="s">
        <v>1780</v>
      </c>
      <c r="T468" s="229"/>
      <c r="U468" s="238"/>
      <c r="V468" s="229"/>
      <c r="W468" s="238"/>
      <c r="X468" s="238"/>
      <c r="Y468" s="238"/>
      <c r="Z468" s="238"/>
      <c r="AA468" s="238"/>
      <c r="AB468" s="238"/>
      <c r="AC468" s="238"/>
      <c r="AD468" s="238"/>
      <c r="AE468" s="238"/>
      <c r="AF468" s="229"/>
    </row>
    <row r="469" spans="1:32">
      <c r="A469" s="229"/>
      <c r="B469" s="229"/>
      <c r="C469" s="229"/>
      <c r="D469" s="229"/>
      <c r="E469" s="229"/>
      <c r="F469" s="229"/>
      <c r="G469" s="229"/>
      <c r="H469" s="229"/>
      <c r="I469" s="229"/>
      <c r="J469" s="229"/>
      <c r="K469" s="229"/>
      <c r="L469" s="229"/>
      <c r="M469" s="229"/>
      <c r="N469" s="229"/>
      <c r="O469" s="229"/>
      <c r="P469" s="229"/>
      <c r="Q469" s="240">
        <v>19</v>
      </c>
      <c r="R469" s="229"/>
      <c r="S469" s="234" t="s">
        <v>1781</v>
      </c>
      <c r="T469" s="229"/>
      <c r="U469" s="238"/>
      <c r="V469" s="229"/>
      <c r="W469" s="238"/>
      <c r="X469" s="238"/>
      <c r="Y469" s="238"/>
      <c r="Z469" s="238"/>
      <c r="AA469" s="238"/>
      <c r="AB469" s="238"/>
      <c r="AC469" s="238"/>
      <c r="AD469" s="238"/>
      <c r="AE469" s="238"/>
      <c r="AF469" s="229"/>
    </row>
    <row r="470" spans="1:32">
      <c r="A470" s="229"/>
      <c r="B470" s="229"/>
      <c r="C470" s="229"/>
      <c r="D470" s="229"/>
      <c r="E470" s="229"/>
      <c r="F470" s="229"/>
      <c r="G470" s="229"/>
      <c r="H470" s="229"/>
      <c r="I470" s="229"/>
      <c r="J470" s="229"/>
      <c r="K470" s="229"/>
      <c r="L470" s="229"/>
      <c r="M470" s="229"/>
      <c r="N470" s="229"/>
      <c r="O470" s="229"/>
      <c r="P470" s="229"/>
      <c r="Q470" s="240">
        <v>20</v>
      </c>
      <c r="R470" s="229"/>
      <c r="S470" s="234" t="s">
        <v>1782</v>
      </c>
      <c r="T470" s="229"/>
      <c r="U470" s="238"/>
      <c r="V470" s="229"/>
      <c r="W470" s="238"/>
      <c r="X470" s="238"/>
      <c r="Y470" s="229"/>
      <c r="Z470" s="238"/>
      <c r="AA470" s="238"/>
      <c r="AB470" s="238"/>
      <c r="AC470" s="238"/>
      <c r="AD470" s="238"/>
      <c r="AE470" s="238"/>
      <c r="AF470" s="229"/>
    </row>
    <row r="471" spans="1:32">
      <c r="A471" s="229"/>
      <c r="B471" s="229"/>
      <c r="C471" s="229"/>
      <c r="D471" s="229"/>
      <c r="E471" s="229"/>
      <c r="F471" s="229"/>
      <c r="G471" s="229"/>
      <c r="H471" s="229"/>
      <c r="I471" s="229"/>
      <c r="J471" s="229"/>
      <c r="K471" s="229"/>
      <c r="L471" s="229"/>
      <c r="M471" s="229"/>
      <c r="N471" s="229"/>
      <c r="O471" s="229"/>
      <c r="P471" s="229"/>
      <c r="Q471" s="240">
        <v>21</v>
      </c>
      <c r="R471" s="229"/>
      <c r="S471" s="234" t="s">
        <v>1783</v>
      </c>
      <c r="T471" s="229"/>
      <c r="U471" s="238"/>
      <c r="V471" s="229"/>
      <c r="W471" s="238"/>
      <c r="X471" s="238"/>
      <c r="Y471" s="238"/>
      <c r="Z471" s="238"/>
      <c r="AA471" s="238"/>
      <c r="AB471" s="238"/>
      <c r="AC471" s="246"/>
      <c r="AD471" s="238"/>
      <c r="AE471" s="238"/>
      <c r="AF471" s="229"/>
    </row>
    <row r="472" spans="1:32">
      <c r="A472" s="229"/>
      <c r="B472" s="229"/>
      <c r="C472" s="229"/>
      <c r="D472" s="229"/>
      <c r="E472" s="229"/>
      <c r="F472" s="229"/>
      <c r="G472" s="229"/>
      <c r="H472" s="229"/>
      <c r="I472" s="229"/>
      <c r="J472" s="229"/>
      <c r="K472" s="229"/>
      <c r="L472" s="229"/>
      <c r="M472" s="229"/>
      <c r="N472" s="229"/>
      <c r="O472" s="229"/>
      <c r="P472" s="229"/>
      <c r="Q472" s="240">
        <v>22</v>
      </c>
      <c r="R472" s="229"/>
      <c r="S472" s="234" t="s">
        <v>1756</v>
      </c>
      <c r="T472" s="229"/>
      <c r="U472" s="2140">
        <f>U462+SUM(U464:U471)</f>
        <v>0</v>
      </c>
      <c r="V472" s="229"/>
      <c r="W472" s="2140">
        <f>W462+SUM(W464:W471)</f>
        <v>0</v>
      </c>
      <c r="X472" s="238"/>
      <c r="Y472" s="2140">
        <f>Y462+SUM(Y464:Y471)</f>
        <v>0</v>
      </c>
      <c r="Z472" s="238"/>
      <c r="AA472" s="2140">
        <f>AA462+SUM(AA464:AA471)</f>
        <v>0</v>
      </c>
      <c r="AB472" s="238"/>
      <c r="AC472" s="2140">
        <f>AC462+SUM(AC464:AC471)</f>
        <v>0</v>
      </c>
      <c r="AD472" s="238"/>
      <c r="AE472" s="2140">
        <f>AE462+SUM(AE464:AE471)</f>
        <v>0</v>
      </c>
      <c r="AF472" s="229"/>
    </row>
    <row r="473" spans="1:32">
      <c r="A473" s="229"/>
      <c r="B473" s="229"/>
      <c r="C473" s="229"/>
      <c r="D473" s="229"/>
      <c r="E473" s="229"/>
      <c r="F473" s="229"/>
      <c r="G473" s="229"/>
      <c r="H473" s="229"/>
      <c r="I473" s="229"/>
      <c r="J473" s="229"/>
      <c r="K473" s="229"/>
      <c r="L473" s="229"/>
      <c r="M473" s="229"/>
      <c r="N473" s="229"/>
      <c r="O473" s="229"/>
      <c r="P473" s="229"/>
      <c r="Q473" s="240">
        <v>23</v>
      </c>
      <c r="R473" s="229"/>
      <c r="S473" s="229"/>
      <c r="T473" s="229"/>
      <c r="U473" s="239"/>
      <c r="V473" s="229"/>
      <c r="W473" s="239"/>
      <c r="X473" s="239"/>
      <c r="Y473" s="239"/>
      <c r="Z473" s="239"/>
      <c r="AA473" s="239"/>
      <c r="AB473" s="239"/>
      <c r="AC473" s="239"/>
      <c r="AD473" s="239"/>
      <c r="AE473" s="239"/>
      <c r="AF473" s="229"/>
    </row>
    <row r="474" spans="1:32">
      <c r="A474" s="229"/>
      <c r="B474" s="229"/>
      <c r="C474" s="229"/>
      <c r="D474" s="229"/>
      <c r="E474" s="229"/>
      <c r="F474" s="229"/>
      <c r="G474" s="229"/>
      <c r="H474" s="229"/>
      <c r="I474" s="229"/>
      <c r="J474" s="229"/>
      <c r="K474" s="229"/>
      <c r="L474" s="229"/>
      <c r="M474" s="229"/>
      <c r="N474" s="229"/>
      <c r="O474" s="229"/>
      <c r="P474" s="229"/>
      <c r="Q474" s="240">
        <v>24</v>
      </c>
      <c r="R474" s="229"/>
      <c r="S474" s="234" t="s">
        <v>1784</v>
      </c>
      <c r="T474" s="229"/>
      <c r="U474" s="1506"/>
      <c r="V474" s="229"/>
      <c r="W474" s="1506"/>
      <c r="X474" s="238"/>
      <c r="Y474" s="1506"/>
      <c r="Z474" s="238"/>
      <c r="AA474" s="1506"/>
      <c r="AB474" s="238"/>
      <c r="AC474" s="1506"/>
      <c r="AD474" s="238"/>
      <c r="AE474" s="1506"/>
      <c r="AF474" s="229"/>
    </row>
    <row r="475" spans="1:32">
      <c r="A475" s="229"/>
      <c r="B475" s="229"/>
      <c r="C475" s="229"/>
      <c r="D475" s="229"/>
      <c r="E475" s="229"/>
      <c r="F475" s="229"/>
      <c r="G475" s="229"/>
      <c r="H475" s="229"/>
      <c r="I475" s="229"/>
      <c r="J475" s="229"/>
      <c r="K475" s="229"/>
      <c r="L475" s="229"/>
      <c r="M475" s="229"/>
      <c r="N475" s="229"/>
      <c r="O475" s="229"/>
      <c r="P475" s="229"/>
      <c r="Q475" s="240">
        <v>25</v>
      </c>
      <c r="R475" s="229"/>
      <c r="S475" s="229"/>
      <c r="T475" s="229"/>
      <c r="U475" s="239"/>
      <c r="V475" s="229"/>
      <c r="W475" s="239"/>
      <c r="X475" s="239"/>
      <c r="Y475" s="239"/>
      <c r="Z475" s="239"/>
      <c r="AA475" s="239"/>
      <c r="AB475" s="239"/>
      <c r="AC475" s="239"/>
      <c r="AD475" s="239"/>
      <c r="AE475" s="239"/>
      <c r="AF475" s="229"/>
    </row>
    <row r="476" spans="1:32">
      <c r="A476" s="229"/>
      <c r="B476" s="229"/>
      <c r="C476" s="229"/>
      <c r="D476" s="229"/>
      <c r="E476" s="229"/>
      <c r="F476" s="229"/>
      <c r="G476" s="229"/>
      <c r="H476" s="229"/>
      <c r="I476" s="229"/>
      <c r="J476" s="229"/>
      <c r="K476" s="229"/>
      <c r="L476" s="229"/>
      <c r="M476" s="229"/>
      <c r="N476" s="229"/>
      <c r="O476" s="229"/>
      <c r="P476" s="229"/>
      <c r="Q476" s="240">
        <v>26</v>
      </c>
      <c r="R476" s="229"/>
      <c r="S476" s="234" t="s">
        <v>1758</v>
      </c>
      <c r="T476" s="229"/>
      <c r="U476" s="238"/>
      <c r="V476" s="229"/>
      <c r="W476" s="229"/>
      <c r="X476" s="229"/>
      <c r="Y476" s="229"/>
      <c r="Z476" s="229"/>
      <c r="AA476" s="229"/>
      <c r="AB476" s="229"/>
      <c r="AC476" s="229"/>
      <c r="AD476" s="229"/>
      <c r="AE476" s="229"/>
      <c r="AF476" s="229"/>
    </row>
    <row r="477" spans="1:32">
      <c r="A477" s="229"/>
      <c r="B477" s="229"/>
      <c r="C477" s="229"/>
      <c r="D477" s="229"/>
      <c r="E477" s="229"/>
      <c r="F477" s="229"/>
      <c r="G477" s="229"/>
      <c r="H477" s="229"/>
      <c r="I477" s="229"/>
      <c r="J477" s="229"/>
      <c r="K477" s="229"/>
      <c r="L477" s="229"/>
      <c r="M477" s="229"/>
      <c r="N477" s="229"/>
      <c r="O477" s="229"/>
      <c r="P477" s="229"/>
      <c r="Q477" s="240">
        <v>27</v>
      </c>
      <c r="R477" s="229"/>
      <c r="S477" s="234" t="s">
        <v>1432</v>
      </c>
      <c r="T477" s="229"/>
      <c r="U477" s="238"/>
      <c r="V477" s="229"/>
      <c r="W477" s="238"/>
      <c r="X477" s="238"/>
      <c r="Y477" s="238"/>
      <c r="Z477" s="238"/>
      <c r="AA477" s="238"/>
      <c r="AB477" s="238"/>
      <c r="AC477" s="238"/>
      <c r="AD477" s="238"/>
      <c r="AE477" s="238"/>
      <c r="AF477" s="229"/>
    </row>
    <row r="478" spans="1:32">
      <c r="A478" s="229"/>
      <c r="B478" s="229"/>
      <c r="C478" s="229"/>
      <c r="D478" s="229"/>
      <c r="E478" s="229"/>
      <c r="F478" s="229"/>
      <c r="G478" s="229"/>
      <c r="H478" s="229"/>
      <c r="I478" s="229"/>
      <c r="J478" s="229"/>
      <c r="K478" s="229"/>
      <c r="L478" s="229"/>
      <c r="M478" s="229"/>
      <c r="N478" s="229"/>
      <c r="O478" s="229"/>
      <c r="P478" s="229"/>
      <c r="Q478" s="240">
        <v>28</v>
      </c>
      <c r="R478" s="229"/>
      <c r="S478" s="234" t="s">
        <v>1434</v>
      </c>
      <c r="T478" s="229"/>
      <c r="U478" s="246"/>
      <c r="V478" s="229"/>
      <c r="W478" s="238"/>
      <c r="X478" s="238"/>
      <c r="Y478" s="238"/>
      <c r="Z478" s="238"/>
      <c r="AA478" s="238"/>
      <c r="AB478" s="238"/>
      <c r="AC478" s="238"/>
      <c r="AD478" s="238"/>
      <c r="AE478" s="238"/>
      <c r="AF478" s="229"/>
    </row>
    <row r="479" spans="1:32">
      <c r="A479" s="229"/>
      <c r="B479" s="229"/>
      <c r="C479" s="229"/>
      <c r="D479" s="229"/>
      <c r="E479" s="229"/>
      <c r="F479" s="229"/>
      <c r="G479" s="229"/>
      <c r="H479" s="229"/>
      <c r="I479" s="229"/>
      <c r="J479" s="229"/>
      <c r="K479" s="229"/>
      <c r="L479" s="229"/>
      <c r="M479" s="229"/>
      <c r="N479" s="229"/>
      <c r="O479" s="229"/>
      <c r="P479" s="229"/>
      <c r="Q479" s="240">
        <v>29</v>
      </c>
      <c r="R479" s="229"/>
      <c r="S479" s="234" t="s">
        <v>1761</v>
      </c>
      <c r="T479" s="229"/>
      <c r="U479" s="2140">
        <f>SUM(U477:U478)</f>
        <v>0</v>
      </c>
      <c r="V479" s="229"/>
      <c r="W479" s="2140">
        <f>SUM(W477:W478)</f>
        <v>0</v>
      </c>
      <c r="X479" s="238"/>
      <c r="Y479" s="2140">
        <f>SUM(Y477:Y478)</f>
        <v>0</v>
      </c>
      <c r="Z479" s="238"/>
      <c r="AA479" s="2140">
        <f>SUM(AA477:AA478)</f>
        <v>0</v>
      </c>
      <c r="AB479" s="238"/>
      <c r="AC479" s="2140">
        <f>SUM(AC477:AC478)</f>
        <v>0</v>
      </c>
      <c r="AD479" s="238"/>
      <c r="AE479" s="2140">
        <f>SUM(AE477:AE478)</f>
        <v>0</v>
      </c>
      <c r="AF479" s="229"/>
    </row>
    <row r="480" spans="1:32">
      <c r="A480" s="229"/>
      <c r="B480" s="229"/>
      <c r="C480" s="229"/>
      <c r="D480" s="229"/>
      <c r="E480" s="229"/>
      <c r="F480" s="229"/>
      <c r="G480" s="229"/>
      <c r="H480" s="229"/>
      <c r="I480" s="229"/>
      <c r="J480" s="229"/>
      <c r="K480" s="229"/>
      <c r="L480" s="229"/>
      <c r="M480" s="229"/>
      <c r="N480" s="229"/>
      <c r="O480" s="229"/>
      <c r="P480" s="229"/>
      <c r="Q480" s="240">
        <v>30</v>
      </c>
      <c r="R480" s="229"/>
      <c r="S480" s="234"/>
      <c r="T480" s="229"/>
      <c r="U480" s="238"/>
      <c r="V480" s="229"/>
      <c r="W480" s="238"/>
      <c r="X480" s="238"/>
      <c r="Y480" s="238"/>
      <c r="Z480" s="238"/>
      <c r="AA480" s="238"/>
      <c r="AB480" s="238"/>
      <c r="AC480" s="238"/>
      <c r="AD480" s="238"/>
      <c r="AE480" s="238"/>
      <c r="AF480" s="229"/>
    </row>
    <row r="481" spans="1:47">
      <c r="A481" s="229"/>
      <c r="B481" s="229"/>
      <c r="C481" s="229"/>
      <c r="D481" s="229"/>
      <c r="E481" s="229"/>
      <c r="F481" s="229"/>
      <c r="G481" s="229"/>
      <c r="H481" s="229"/>
      <c r="I481" s="229"/>
      <c r="J481" s="229"/>
      <c r="K481" s="229"/>
      <c r="L481" s="229"/>
      <c r="M481" s="229"/>
      <c r="N481" s="229"/>
      <c r="O481" s="229"/>
      <c r="P481" s="229"/>
      <c r="Q481" s="240">
        <v>31</v>
      </c>
      <c r="R481" s="229"/>
      <c r="S481" s="234" t="s">
        <v>1762</v>
      </c>
      <c r="T481" s="229"/>
      <c r="U481" s="229"/>
      <c r="V481" s="229"/>
      <c r="W481" s="229"/>
      <c r="X481" s="229"/>
      <c r="Y481" s="229"/>
      <c r="Z481" s="229"/>
      <c r="AA481" s="229"/>
      <c r="AB481" s="229"/>
      <c r="AC481" s="229"/>
      <c r="AD481" s="229"/>
      <c r="AE481" s="229"/>
      <c r="AF481" s="229"/>
    </row>
    <row r="482" spans="1:47">
      <c r="A482" s="229"/>
      <c r="B482" s="229"/>
      <c r="C482" s="229"/>
      <c r="D482" s="229"/>
      <c r="E482" s="229"/>
      <c r="F482" s="229"/>
      <c r="G482" s="229"/>
      <c r="H482" s="229"/>
      <c r="I482" s="229"/>
      <c r="J482" s="229"/>
      <c r="K482" s="229"/>
      <c r="L482" s="229"/>
      <c r="M482" s="229"/>
      <c r="N482" s="229"/>
      <c r="O482" s="229"/>
      <c r="P482" s="229"/>
      <c r="Q482" s="240">
        <v>32</v>
      </c>
      <c r="R482" s="229"/>
      <c r="S482" s="234" t="s">
        <v>1654</v>
      </c>
      <c r="T482" s="229"/>
      <c r="U482" s="238">
        <f>ROUND((U455-U472-U474-U479)*SIT*APPORT,0)</f>
        <v>0</v>
      </c>
      <c r="V482" s="229"/>
      <c r="W482" s="238">
        <f>ROUND((W455-W472-W474-W479)*SIT*APPORT,0)</f>
        <v>0</v>
      </c>
      <c r="X482" s="238"/>
      <c r="Y482" s="238">
        <f>ROUND((Y455-Y472-Y474-Y479)*SIT*APPORT,0)</f>
        <v>0</v>
      </c>
      <c r="Z482" s="238"/>
      <c r="AA482" s="238">
        <f>ROUND((AA455-AA472-AA474-AA479)*SIT*APPORT,0)</f>
        <v>0</v>
      </c>
      <c r="AB482" s="238"/>
      <c r="AC482" s="238">
        <f>ROUND((AC455-AC472-AC474-AC479)*SIT*APPORT,0)</f>
        <v>0</v>
      </c>
      <c r="AD482" s="238"/>
      <c r="AE482" s="238">
        <f>ROUND((AE455-AE472-AE474-AE479)*SIT*APPORT,0)</f>
        <v>0</v>
      </c>
      <c r="AF482" s="229"/>
    </row>
    <row r="483" spans="1:47">
      <c r="A483" s="229"/>
      <c r="B483" s="229"/>
      <c r="C483" s="229"/>
      <c r="D483" s="229"/>
      <c r="E483" s="229"/>
      <c r="F483" s="229"/>
      <c r="G483" s="229"/>
      <c r="H483" s="229"/>
      <c r="I483" s="229"/>
      <c r="J483" s="229"/>
      <c r="K483" s="229"/>
      <c r="L483" s="229"/>
      <c r="M483" s="229"/>
      <c r="N483" s="229"/>
      <c r="O483" s="229"/>
      <c r="P483" s="229"/>
      <c r="Q483" s="240">
        <v>33</v>
      </c>
      <c r="R483" s="229"/>
      <c r="S483" s="234" t="s">
        <v>1763</v>
      </c>
      <c r="T483" s="229"/>
      <c r="U483" s="238"/>
      <c r="V483" s="229"/>
      <c r="W483" s="238"/>
      <c r="X483" s="238"/>
      <c r="Y483" s="238"/>
      <c r="Z483" s="238"/>
      <c r="AA483" s="238"/>
      <c r="AB483" s="238"/>
      <c r="AC483" s="238"/>
      <c r="AD483" s="238"/>
      <c r="AE483" s="238"/>
      <c r="AF483" s="229"/>
    </row>
    <row r="484" spans="1:47">
      <c r="A484" s="229"/>
      <c r="B484" s="229"/>
      <c r="C484" s="229"/>
      <c r="D484" s="229"/>
      <c r="E484" s="229"/>
      <c r="F484" s="229"/>
      <c r="G484" s="229"/>
      <c r="H484" s="229"/>
      <c r="I484" s="229"/>
      <c r="J484" s="229"/>
      <c r="K484" s="229"/>
      <c r="L484" s="229"/>
      <c r="M484" s="229"/>
      <c r="N484" s="229"/>
      <c r="O484" s="229"/>
      <c r="P484" s="229"/>
      <c r="Q484" s="240">
        <v>34</v>
      </c>
      <c r="R484" s="229"/>
      <c r="S484" s="234" t="s">
        <v>1764</v>
      </c>
      <c r="T484" s="229"/>
      <c r="U484" s="2140">
        <f>SUM(U482:U483)</f>
        <v>0</v>
      </c>
      <c r="V484" s="229"/>
      <c r="W484" s="2140">
        <f>SUM(W482:W483)</f>
        <v>0</v>
      </c>
      <c r="X484" s="238"/>
      <c r="Y484" s="2140">
        <f>SUM(Y482:Y483)</f>
        <v>0</v>
      </c>
      <c r="Z484" s="238"/>
      <c r="AA484" s="2140">
        <f>SUM(AA482:AA483)</f>
        <v>0</v>
      </c>
      <c r="AB484" s="238"/>
      <c r="AC484" s="2140">
        <f>SUM(AC482:AC483)</f>
        <v>0</v>
      </c>
      <c r="AD484" s="238"/>
      <c r="AE484" s="2140">
        <f>SUM(AE482:AE483)</f>
        <v>0</v>
      </c>
      <c r="AF484" s="229"/>
    </row>
    <row r="485" spans="1:47">
      <c r="A485" s="229"/>
      <c r="B485" s="229"/>
      <c r="C485" s="229"/>
      <c r="D485" s="229"/>
      <c r="E485" s="229"/>
      <c r="F485" s="229"/>
      <c r="G485" s="229"/>
      <c r="H485" s="229"/>
      <c r="I485" s="229"/>
      <c r="J485" s="229"/>
      <c r="K485" s="229"/>
      <c r="L485" s="229"/>
      <c r="M485" s="229"/>
      <c r="N485" s="229"/>
      <c r="O485" s="229"/>
      <c r="P485" s="229"/>
      <c r="Q485" s="240">
        <v>35</v>
      </c>
      <c r="R485" s="229"/>
      <c r="S485" s="229"/>
      <c r="T485" s="229"/>
      <c r="U485" s="239"/>
      <c r="V485" s="229"/>
      <c r="W485" s="239"/>
      <c r="X485" s="239"/>
      <c r="Y485" s="239"/>
      <c r="Z485" s="239"/>
      <c r="AA485" s="239"/>
      <c r="AB485" s="239"/>
      <c r="AC485" s="239"/>
      <c r="AD485" s="239"/>
      <c r="AE485" s="239"/>
      <c r="AF485" s="229"/>
    </row>
    <row r="486" spans="1:47">
      <c r="A486" s="229"/>
      <c r="B486" s="229"/>
      <c r="C486" s="229"/>
      <c r="D486" s="229"/>
      <c r="E486" s="229"/>
      <c r="F486" s="229"/>
      <c r="G486" s="229"/>
      <c r="H486" s="229"/>
      <c r="I486" s="229"/>
      <c r="J486" s="229"/>
      <c r="K486" s="229"/>
      <c r="L486" s="229"/>
      <c r="M486" s="229"/>
      <c r="N486" s="229"/>
      <c r="O486" s="229"/>
      <c r="P486" s="229"/>
      <c r="Q486" s="240">
        <v>36</v>
      </c>
      <c r="R486" s="229"/>
      <c r="S486" s="234" t="s">
        <v>1765</v>
      </c>
      <c r="T486" s="229"/>
      <c r="U486" s="229"/>
      <c r="V486" s="229"/>
      <c r="W486" s="229"/>
      <c r="X486" s="229"/>
      <c r="Y486" s="229"/>
      <c r="Z486" s="229"/>
      <c r="AA486" s="229"/>
      <c r="AB486" s="229"/>
      <c r="AC486" s="229"/>
      <c r="AD486" s="229"/>
      <c r="AE486" s="229"/>
      <c r="AF486" s="229"/>
    </row>
    <row r="487" spans="1:47">
      <c r="A487" s="229"/>
      <c r="B487" s="229"/>
      <c r="C487" s="229"/>
      <c r="D487" s="229"/>
      <c r="E487" s="229"/>
      <c r="F487" s="229"/>
      <c r="G487" s="229"/>
      <c r="H487" s="229"/>
      <c r="I487" s="229"/>
      <c r="J487" s="229"/>
      <c r="K487" s="229"/>
      <c r="L487" s="229"/>
      <c r="M487" s="229"/>
      <c r="N487" s="229"/>
      <c r="O487" s="229"/>
      <c r="P487" s="229"/>
      <c r="Q487" s="240">
        <v>37</v>
      </c>
      <c r="R487" s="229"/>
      <c r="S487" s="234" t="s">
        <v>1654</v>
      </c>
      <c r="T487" s="229"/>
      <c r="U487" s="238">
        <f>ROUND((U455-U472-U474-U479-U482)*FIT,0)</f>
        <v>0</v>
      </c>
      <c r="V487" s="229"/>
      <c r="W487" s="238">
        <f>ROUND((W455-W472-W474-W479-W482)*FIT,0)</f>
        <v>0</v>
      </c>
      <c r="X487" s="238"/>
      <c r="Y487" s="238">
        <f>ROUND((Y455-Y472-Y474-Y479-Y482)*FIT,0)</f>
        <v>0</v>
      </c>
      <c r="Z487" s="238"/>
      <c r="AA487" s="238">
        <f>ROUND((AA455-AA472-AA474-AA479-AA482)*FIT,0)</f>
        <v>0</v>
      </c>
      <c r="AB487" s="238"/>
      <c r="AC487" s="238">
        <f>ROUND((AC455-AC472-AC474-AC479-AC482)*FIT,0)</f>
        <v>0</v>
      </c>
      <c r="AD487" s="238"/>
      <c r="AE487" s="238">
        <f>ROUND((AE455-AE472-AE474-AE479-AE482)*FIT,0)</f>
        <v>0</v>
      </c>
      <c r="AF487" s="229"/>
    </row>
    <row r="488" spans="1:47">
      <c r="A488" s="229"/>
      <c r="B488" s="229"/>
      <c r="C488" s="229"/>
      <c r="D488" s="229"/>
      <c r="E488" s="229"/>
      <c r="F488" s="229"/>
      <c r="G488" s="229"/>
      <c r="H488" s="229"/>
      <c r="I488" s="229"/>
      <c r="J488" s="229"/>
      <c r="K488" s="229"/>
      <c r="L488" s="229"/>
      <c r="M488" s="229"/>
      <c r="N488" s="229"/>
      <c r="O488" s="229"/>
      <c r="P488" s="229"/>
      <c r="Q488" s="240">
        <v>38</v>
      </c>
      <c r="R488" s="229"/>
      <c r="S488" s="234" t="s">
        <v>1763</v>
      </c>
      <c r="T488" s="229"/>
      <c r="U488" s="238"/>
      <c r="V488" s="229"/>
      <c r="W488" s="238"/>
      <c r="X488" s="238"/>
      <c r="Y488" s="238"/>
      <c r="Z488" s="238"/>
      <c r="AA488" s="238"/>
      <c r="AB488" s="238"/>
      <c r="AC488" s="238"/>
      <c r="AD488" s="238"/>
      <c r="AE488" s="238"/>
      <c r="AF488" s="229"/>
    </row>
    <row r="489" spans="1:47">
      <c r="A489" s="229"/>
      <c r="B489" s="229"/>
      <c r="C489" s="229"/>
      <c r="D489" s="229"/>
      <c r="E489" s="229"/>
      <c r="F489" s="229"/>
      <c r="G489" s="229"/>
      <c r="H489" s="229"/>
      <c r="I489" s="229"/>
      <c r="J489" s="229"/>
      <c r="K489" s="229"/>
      <c r="L489" s="229"/>
      <c r="M489" s="229"/>
      <c r="N489" s="229"/>
      <c r="O489" s="229"/>
      <c r="P489" s="229"/>
      <c r="Q489" s="240">
        <v>39</v>
      </c>
      <c r="R489" s="229"/>
      <c r="S489" s="234" t="s">
        <v>1441</v>
      </c>
      <c r="T489" s="229"/>
      <c r="U489" s="238"/>
      <c r="V489" s="229"/>
      <c r="W489" s="238"/>
      <c r="X489" s="238"/>
      <c r="Y489" s="238"/>
      <c r="Z489" s="238"/>
      <c r="AA489" s="238"/>
      <c r="AB489" s="238"/>
      <c r="AC489" s="238"/>
      <c r="AD489" s="238"/>
      <c r="AE489" s="238"/>
      <c r="AF489" s="229"/>
    </row>
    <row r="490" spans="1:47">
      <c r="A490" s="229"/>
      <c r="B490" s="229"/>
      <c r="C490" s="229"/>
      <c r="D490" s="229"/>
      <c r="E490" s="229"/>
      <c r="F490" s="229"/>
      <c r="G490" s="229"/>
      <c r="H490" s="229"/>
      <c r="I490" s="229"/>
      <c r="J490" s="229"/>
      <c r="K490" s="229"/>
      <c r="L490" s="229"/>
      <c r="M490" s="229"/>
      <c r="N490" s="229"/>
      <c r="O490" s="229"/>
      <c r="P490" s="229"/>
      <c r="Q490" s="240">
        <v>40</v>
      </c>
      <c r="R490" s="229"/>
      <c r="S490" s="234" t="s">
        <v>1766</v>
      </c>
      <c r="T490" s="229"/>
      <c r="U490" s="2140">
        <f>SUM(U487:U489)</f>
        <v>0</v>
      </c>
      <c r="V490" s="229"/>
      <c r="W490" s="2140">
        <f>SUM(W487:W489)</f>
        <v>0</v>
      </c>
      <c r="X490" s="238"/>
      <c r="Y490" s="2140">
        <f>SUM(Y487:Y489)</f>
        <v>0</v>
      </c>
      <c r="Z490" s="238"/>
      <c r="AA490" s="2140">
        <f>SUM(AA487:AA489)</f>
        <v>0</v>
      </c>
      <c r="AB490" s="238"/>
      <c r="AC490" s="2140">
        <f>SUM(AC487:AC489)</f>
        <v>0</v>
      </c>
      <c r="AD490" s="238"/>
      <c r="AE490" s="2140">
        <f>SUM(AE487:AE489)</f>
        <v>0</v>
      </c>
      <c r="AF490" s="229"/>
    </row>
    <row r="491" spans="1:47">
      <c r="A491" s="229"/>
      <c r="B491" s="229"/>
      <c r="C491" s="229"/>
      <c r="D491" s="229"/>
      <c r="E491" s="229"/>
      <c r="F491" s="229"/>
      <c r="G491" s="229"/>
      <c r="H491" s="229"/>
      <c r="I491" s="229"/>
      <c r="J491" s="229"/>
      <c r="K491" s="229"/>
      <c r="L491" s="229"/>
      <c r="M491" s="229"/>
      <c r="N491" s="229"/>
      <c r="O491" s="229"/>
      <c r="P491" s="229"/>
      <c r="Q491" s="240">
        <v>41</v>
      </c>
      <c r="R491" s="229"/>
      <c r="S491" s="229"/>
      <c r="T491" s="229"/>
      <c r="U491" s="239"/>
      <c r="V491" s="229"/>
      <c r="W491" s="239"/>
      <c r="X491" s="239"/>
      <c r="Y491" s="239"/>
      <c r="Z491" s="239"/>
      <c r="AA491" s="239"/>
      <c r="AB491" s="239"/>
      <c r="AC491" s="239"/>
      <c r="AD491" s="239"/>
      <c r="AE491" s="239"/>
      <c r="AF491" s="229"/>
    </row>
    <row r="492" spans="1:47">
      <c r="A492" s="229"/>
      <c r="B492" s="229"/>
      <c r="C492" s="229"/>
      <c r="D492" s="229"/>
      <c r="E492" s="229"/>
      <c r="F492" s="229"/>
      <c r="G492" s="229"/>
      <c r="H492" s="229"/>
      <c r="I492" s="229"/>
      <c r="J492" s="229"/>
      <c r="K492" s="229"/>
      <c r="L492" s="229"/>
      <c r="M492" s="229"/>
      <c r="N492" s="229"/>
      <c r="O492" s="229"/>
      <c r="P492" s="229"/>
      <c r="Q492" s="240">
        <v>42</v>
      </c>
      <c r="R492" s="229"/>
      <c r="S492" s="234" t="s">
        <v>1767</v>
      </c>
      <c r="T492" s="229"/>
      <c r="U492" s="1506">
        <f>U472+U474+U479+U484+U490</f>
        <v>0</v>
      </c>
      <c r="V492" s="229"/>
      <c r="W492" s="1506">
        <f>W472+W474+W479+W484+W490</f>
        <v>0</v>
      </c>
      <c r="X492" s="238"/>
      <c r="Y492" s="1506">
        <f>Y472+Y474+Y479+Y484+Y490</f>
        <v>0</v>
      </c>
      <c r="Z492" s="238"/>
      <c r="AA492" s="1506">
        <f>AA472+AA474+AA479+AA484+AA490</f>
        <v>0</v>
      </c>
      <c r="AB492" s="238"/>
      <c r="AC492" s="1506">
        <f>AC472+AC474+AC479+AC484+AC490</f>
        <v>0</v>
      </c>
      <c r="AD492" s="238"/>
      <c r="AE492" s="1506">
        <f>AE472+AE474+AE479+AE484+AE490</f>
        <v>0</v>
      </c>
      <c r="AF492" s="229"/>
    </row>
    <row r="493" spans="1:47">
      <c r="A493" s="229"/>
      <c r="B493" s="229"/>
      <c r="C493" s="229"/>
      <c r="D493" s="229"/>
      <c r="E493" s="229"/>
      <c r="F493" s="229"/>
      <c r="G493" s="229"/>
      <c r="H493" s="229"/>
      <c r="I493" s="229"/>
      <c r="J493" s="229"/>
      <c r="K493" s="229"/>
      <c r="L493" s="229"/>
      <c r="M493" s="229"/>
      <c r="N493" s="229"/>
      <c r="O493" s="229"/>
      <c r="P493" s="229"/>
      <c r="Q493" s="240">
        <v>43</v>
      </c>
      <c r="R493" s="229"/>
      <c r="S493" s="229"/>
      <c r="T493" s="229"/>
      <c r="U493" s="239"/>
      <c r="V493" s="229"/>
      <c r="W493" s="239"/>
      <c r="X493" s="239"/>
      <c r="Y493" s="239"/>
      <c r="Z493" s="239"/>
      <c r="AA493" s="239"/>
      <c r="AB493" s="239"/>
      <c r="AC493" s="239"/>
      <c r="AD493" s="239"/>
      <c r="AE493" s="239"/>
      <c r="AF493" s="229"/>
    </row>
    <row r="494" spans="1:47" ht="13.8" thickBot="1">
      <c r="A494" s="229"/>
      <c r="B494" s="229"/>
      <c r="C494" s="229"/>
      <c r="D494" s="229"/>
      <c r="E494" s="229"/>
      <c r="F494" s="229"/>
      <c r="G494" s="229"/>
      <c r="H494" s="229"/>
      <c r="I494" s="229"/>
      <c r="J494" s="229"/>
      <c r="K494" s="229"/>
      <c r="L494" s="229"/>
      <c r="M494" s="229"/>
      <c r="N494" s="229"/>
      <c r="O494" s="229"/>
      <c r="P494" s="229"/>
      <c r="Q494" s="240">
        <v>44</v>
      </c>
      <c r="R494" s="229"/>
      <c r="S494" s="234" t="s">
        <v>1443</v>
      </c>
      <c r="T494" s="229"/>
      <c r="U494" s="1953">
        <f>U455-U492</f>
        <v>0</v>
      </c>
      <c r="V494" s="229"/>
      <c r="W494" s="1953">
        <f>W455-W492</f>
        <v>0</v>
      </c>
      <c r="X494" s="238"/>
      <c r="Y494" s="1953">
        <f>Y455-Y492</f>
        <v>0</v>
      </c>
      <c r="Z494" s="238"/>
      <c r="AA494" s="1953">
        <f>AA455-AA492</f>
        <v>0</v>
      </c>
      <c r="AB494" s="238"/>
      <c r="AC494" s="1953">
        <f>AC455-AC492</f>
        <v>0</v>
      </c>
      <c r="AD494" s="238"/>
      <c r="AE494" s="1953">
        <f>AE455-AE492</f>
        <v>0</v>
      </c>
      <c r="AF494" s="229"/>
      <c r="AG494" s="229"/>
      <c r="AH494" s="229"/>
      <c r="AI494" s="229"/>
      <c r="AJ494" s="238"/>
      <c r="AK494" s="239"/>
      <c r="AL494" s="239"/>
      <c r="AM494" s="239"/>
      <c r="AN494" s="239"/>
      <c r="AO494" s="239"/>
      <c r="AP494" s="229"/>
      <c r="AQ494" s="229"/>
      <c r="AR494" s="229"/>
      <c r="AS494" s="229"/>
      <c r="AT494" s="229"/>
      <c r="AU494" s="229"/>
    </row>
    <row r="495" spans="1:47" ht="13.8" thickTop="1">
      <c r="A495" s="229"/>
      <c r="B495" s="229"/>
      <c r="C495" s="229"/>
      <c r="D495" s="229"/>
      <c r="E495" s="229"/>
      <c r="F495" s="229"/>
      <c r="G495" s="229"/>
      <c r="H495" s="229"/>
      <c r="I495" s="229"/>
      <c r="J495" s="229"/>
      <c r="K495" s="229"/>
      <c r="L495" s="229"/>
      <c r="M495" s="229"/>
      <c r="N495" s="229"/>
      <c r="O495" s="229"/>
      <c r="P495" s="229"/>
      <c r="Q495" s="229"/>
      <c r="R495" s="229"/>
      <c r="S495" s="229"/>
      <c r="T495" s="238"/>
      <c r="U495" s="241" t="str">
        <f>IF(ISERR(ROUND((U484+U490)/(U494+U484+U490),4)=TRUE)," ",ROUND((U484+U490)/(U494+U484+U490),4))</f>
        <v xml:space="preserve"> </v>
      </c>
      <c r="V495" s="229"/>
      <c r="W495" s="241" t="str">
        <f>IF(ISERR(ROUND((W484+W490)/(W494+W484+W490),4)=TRUE)," ",ROUND((W484+W490)/(W494+W484+W490),4))</f>
        <v xml:space="preserve"> </v>
      </c>
      <c r="X495" s="241"/>
      <c r="Y495" s="241" t="str">
        <f>IF(ISERR(ROUND((Y484+Y490)/(Y494+Y484+Y490),4)=TRUE)," ",ROUND((Y484+Y490)/(Y494+Y484+Y490),4))</f>
        <v xml:space="preserve"> </v>
      </c>
      <c r="Z495" s="241"/>
      <c r="AA495" s="241" t="str">
        <f>IF(ISERR(ROUND((AA484+AA490)/(AA494+AA484+AA490),4)=TRUE)," ",ROUND((AA484+AA490)/(AA494+AA484+AA490),4))</f>
        <v xml:space="preserve"> </v>
      </c>
      <c r="AB495" s="241"/>
      <c r="AC495" s="241" t="str">
        <f>IF(ISERR(ROUND((AC484+AC490)/(AC494+AC484+AC490),4)=TRUE)," ",ROUND((AC484+AC490)/(AC494+AC484+AC490),4))</f>
        <v xml:space="preserve"> </v>
      </c>
      <c r="AD495" s="241"/>
      <c r="AE495" s="241" t="str">
        <f>IF(ISERR(ROUND((AE484+AE490)/(AE494+AE484+AE490),4)=TRUE)," ",ROUND((AE484+AE490)/(AE494+AE484+AE490),4))</f>
        <v xml:space="preserve"> </v>
      </c>
      <c r="AF495" s="229"/>
      <c r="AG495" s="229"/>
      <c r="AH495" s="229"/>
      <c r="AI495" s="229"/>
      <c r="AJ495" s="229"/>
      <c r="AK495" s="229"/>
      <c r="AL495" s="229"/>
      <c r="AM495" s="229"/>
      <c r="AN495" s="229"/>
      <c r="AO495" s="229"/>
      <c r="AP495" s="229"/>
      <c r="AQ495" s="229"/>
      <c r="AR495" s="229"/>
      <c r="AS495" s="229"/>
      <c r="AT495" s="229"/>
      <c r="AU495" s="229"/>
    </row>
    <row r="496" spans="1:47">
      <c r="A496" s="229"/>
      <c r="B496" s="229"/>
      <c r="C496" s="229"/>
      <c r="D496" s="229"/>
      <c r="E496" s="229"/>
      <c r="F496" s="229"/>
      <c r="G496" s="229"/>
      <c r="H496" s="229"/>
      <c r="I496" s="229"/>
      <c r="J496" s="229"/>
      <c r="K496" s="229"/>
      <c r="L496" s="229"/>
      <c r="M496" s="229"/>
      <c r="N496" s="229"/>
      <c r="O496" s="229"/>
      <c r="P496" s="229"/>
      <c r="Q496" s="228"/>
      <c r="R496" s="228"/>
      <c r="S496" s="228"/>
      <c r="T496" s="228"/>
      <c r="U496" s="230"/>
      <c r="V496" s="230"/>
      <c r="W496" s="228"/>
      <c r="X496" s="228"/>
      <c r="Y496" s="228"/>
      <c r="Z496" s="228"/>
      <c r="AA496" s="228"/>
      <c r="AB496" s="228"/>
      <c r="AC496" s="228"/>
      <c r="AD496" s="228"/>
      <c r="AE496" s="228"/>
      <c r="AF496" s="229"/>
      <c r="AG496" s="229"/>
      <c r="AH496" s="229"/>
      <c r="AI496" s="229"/>
      <c r="AJ496" s="229"/>
      <c r="AK496" s="229"/>
      <c r="AL496" s="229"/>
      <c r="AM496" s="229"/>
      <c r="AN496" s="229"/>
      <c r="AO496" s="229"/>
      <c r="AP496" s="229"/>
      <c r="AQ496" s="229"/>
      <c r="AR496" s="229"/>
      <c r="AS496" s="229"/>
      <c r="AT496" s="229"/>
      <c r="AU496" s="229"/>
    </row>
    <row r="497" spans="17:47">
      <c r="Q497" s="231"/>
      <c r="R497" s="228"/>
      <c r="S497" s="228"/>
      <c r="T497" s="228"/>
      <c r="U497" s="250"/>
      <c r="V497" s="229"/>
      <c r="W497" s="238"/>
      <c r="X497" s="238"/>
      <c r="Y497" s="238"/>
      <c r="Z497" s="238"/>
      <c r="AA497" s="238"/>
      <c r="AB497" s="238"/>
      <c r="AC497" s="238"/>
      <c r="AD497" s="238"/>
      <c r="AE497" s="238"/>
    </row>
    <row r="498" spans="17:47">
      <c r="AG498" s="228" t="str">
        <f>COMPANY</f>
        <v>DUKE ENERGY KENTUCKY, INC.</v>
      </c>
      <c r="AH498" s="228"/>
      <c r="AI498" s="228"/>
      <c r="AJ498" s="228"/>
      <c r="AK498" s="228"/>
      <c r="AL498" s="228"/>
      <c r="AM498" s="228"/>
      <c r="AN498" s="228"/>
      <c r="AO498" s="228"/>
      <c r="AP498" s="229"/>
      <c r="AQ498" s="229"/>
      <c r="AR498" s="229"/>
      <c r="AS498" s="229"/>
      <c r="AT498" s="229"/>
      <c r="AU498" s="229"/>
    </row>
    <row r="499" spans="17:47">
      <c r="AG499" s="228" t="str">
        <f>CASE</f>
        <v>CASE NO. 2024-00354</v>
      </c>
      <c r="AH499" s="228"/>
      <c r="AI499" s="228"/>
      <c r="AJ499" s="228"/>
      <c r="AK499" s="230"/>
      <c r="AL499" s="230"/>
      <c r="AM499" s="228"/>
      <c r="AN499" s="228"/>
      <c r="AO499" s="228"/>
      <c r="AP499" s="229"/>
      <c r="AQ499" s="229"/>
      <c r="AR499" s="229"/>
      <c r="AS499" s="229"/>
      <c r="AT499" s="229"/>
      <c r="AU499" s="229"/>
    </row>
    <row r="500" spans="17:47">
      <c r="AG500" s="231" t="s">
        <v>1838</v>
      </c>
      <c r="AH500" s="228"/>
      <c r="AI500" s="228"/>
      <c r="AJ500" s="228"/>
      <c r="AK500" s="228"/>
      <c r="AL500" s="228"/>
      <c r="AM500" s="228"/>
      <c r="AN500" s="228"/>
      <c r="AO500" s="228"/>
      <c r="AP500" s="229"/>
      <c r="AQ500" s="229"/>
      <c r="AR500" s="229"/>
      <c r="AS500" s="229"/>
      <c r="AT500" s="229"/>
      <c r="AU500" s="229"/>
    </row>
    <row r="501" spans="17:47">
      <c r="AG501" s="231" t="s">
        <v>1839</v>
      </c>
      <c r="AH501" s="228"/>
      <c r="AI501" s="228"/>
      <c r="AJ501" s="228"/>
      <c r="AK501" s="228"/>
      <c r="AL501" s="228"/>
      <c r="AM501" s="228"/>
      <c r="AN501" s="228"/>
      <c r="AO501" s="228"/>
      <c r="AP501" s="229"/>
      <c r="AQ501" s="229"/>
      <c r="AR501" s="229"/>
      <c r="AS501" s="229"/>
      <c r="AT501" s="229"/>
      <c r="AU501" s="229"/>
    </row>
    <row r="502" spans="17:47">
      <c r="AG502" s="228" t="str">
        <f>PERIOD</f>
        <v>FOR THE TWELVE MONTHS ENDED FEBRUARY 28, 2025</v>
      </c>
      <c r="AH502" s="228"/>
      <c r="AI502" s="228"/>
      <c r="AJ502" s="228"/>
      <c r="AK502" s="228"/>
      <c r="AL502" s="228"/>
      <c r="AM502" s="228"/>
      <c r="AN502" s="228"/>
      <c r="AO502" s="228"/>
      <c r="AP502" s="229"/>
      <c r="AQ502" s="229"/>
      <c r="AR502" s="229"/>
      <c r="AS502" s="229"/>
      <c r="AT502" s="229"/>
      <c r="AU502" s="229"/>
    </row>
    <row r="503" spans="17:47">
      <c r="AG503" s="228" t="str">
        <f>PeriodF</f>
        <v>FOR THE TWELVE MONTHS ENDED JUNE 30, 2026</v>
      </c>
      <c r="AH503" s="228"/>
      <c r="AI503" s="228"/>
      <c r="AJ503" s="228"/>
      <c r="AK503" s="228"/>
      <c r="AL503" s="228"/>
      <c r="AM503" s="228"/>
      <c r="AN503" s="228"/>
      <c r="AO503" s="228"/>
      <c r="AP503" s="229"/>
      <c r="AQ503" s="229"/>
      <c r="AR503" s="229"/>
      <c r="AS503" s="229"/>
      <c r="AT503" s="229"/>
      <c r="AU503" s="229"/>
    </row>
    <row r="504" spans="17:47">
      <c r="AG504" s="229"/>
      <c r="AH504" s="229"/>
      <c r="AI504" s="229"/>
      <c r="AJ504" s="229"/>
      <c r="AK504" s="229"/>
      <c r="AL504" s="229"/>
      <c r="AM504" s="229"/>
      <c r="AN504" s="229"/>
      <c r="AO504" s="229"/>
      <c r="AP504" s="229"/>
      <c r="AQ504" s="229"/>
      <c r="AR504" s="229"/>
      <c r="AS504" s="229"/>
      <c r="AT504" s="229"/>
      <c r="AU504" s="229"/>
    </row>
    <row r="505" spans="17:47">
      <c r="AG505" s="229" t="str">
        <f>DataB</f>
        <v>DATA: "X" BASE PERIOD  "X" FORECASTED PERIOD</v>
      </c>
      <c r="AH505" s="229"/>
      <c r="AI505" s="229"/>
      <c r="AJ505" s="229"/>
      <c r="AK505" s="229"/>
      <c r="AL505" s="229"/>
      <c r="AM505" s="229"/>
      <c r="AN505" s="233" t="s">
        <v>1409</v>
      </c>
      <c r="AO505" s="229"/>
      <c r="AP505" s="229"/>
      <c r="AQ505" s="229"/>
      <c r="AR505" s="229"/>
      <c r="AS505" s="229"/>
      <c r="AT505" s="229"/>
      <c r="AU505" s="229"/>
    </row>
    <row r="506" spans="17:47">
      <c r="AG506" s="229" t="str">
        <f>Type</f>
        <v xml:space="preserve">TYPE OF FILING:  "X" ORIGINAL   UPDATED    REVISED  </v>
      </c>
      <c r="AH506" s="229"/>
      <c r="AI506" s="229"/>
      <c r="AJ506" s="229"/>
      <c r="AK506" s="229"/>
      <c r="AL506" s="229"/>
      <c r="AM506" s="229"/>
      <c r="AN506" s="234" t="s">
        <v>1840</v>
      </c>
      <c r="AO506" s="229"/>
      <c r="AP506" s="229"/>
      <c r="AQ506" s="229"/>
      <c r="AR506" s="229"/>
      <c r="AS506" s="229"/>
      <c r="AT506" s="229"/>
      <c r="AU506" s="229"/>
    </row>
    <row r="507" spans="17:47">
      <c r="AG507" s="234" t="s">
        <v>467</v>
      </c>
      <c r="AH507" s="229"/>
      <c r="AI507" s="229"/>
      <c r="AJ507" s="229"/>
      <c r="AK507" s="229"/>
      <c r="AL507" s="229"/>
      <c r="AM507" s="229"/>
      <c r="AN507" s="233" t="s">
        <v>468</v>
      </c>
      <c r="AO507" s="229"/>
      <c r="AP507" s="229"/>
      <c r="AQ507" s="229"/>
      <c r="AR507" s="229"/>
      <c r="AS507" s="229"/>
      <c r="AT507" s="229"/>
      <c r="AU507" s="229"/>
    </row>
    <row r="508" spans="17:47">
      <c r="AG508" s="229"/>
      <c r="AH508" s="229"/>
      <c r="AI508" s="229"/>
      <c r="AJ508" s="229"/>
      <c r="AK508" s="229"/>
      <c r="AL508" s="229"/>
      <c r="AM508" s="229"/>
      <c r="AN508" s="234" t="str">
        <f>_WIT1</f>
        <v>L. D. STEINKUHL</v>
      </c>
      <c r="AO508" s="229"/>
      <c r="AP508" s="229"/>
      <c r="AQ508" s="229"/>
      <c r="AR508" s="229"/>
      <c r="AS508" s="229"/>
      <c r="AT508" s="229"/>
      <c r="AU508" s="229"/>
    </row>
    <row r="509" spans="17:47">
      <c r="AG509" s="1502"/>
      <c r="AH509" s="1502"/>
      <c r="AI509" s="1502"/>
      <c r="AJ509" s="1502"/>
      <c r="AK509" s="1503"/>
      <c r="AL509" s="1503"/>
      <c r="AM509" s="1503"/>
      <c r="AN509" s="1502"/>
      <c r="AO509" s="1502"/>
      <c r="AP509" s="229"/>
      <c r="AQ509" s="229"/>
      <c r="AR509" s="229"/>
      <c r="AS509" s="229"/>
      <c r="AT509" s="229"/>
      <c r="AU509" s="229"/>
    </row>
    <row r="510" spans="17:47">
      <c r="AG510" s="229"/>
      <c r="AH510" s="229"/>
      <c r="AI510" s="229"/>
      <c r="AJ510" s="229"/>
      <c r="AK510" s="229"/>
      <c r="AL510" s="229"/>
      <c r="AM510" s="229"/>
      <c r="AN510" s="240"/>
      <c r="AO510" s="240" t="str">
        <f>U199</f>
        <v>TOTAL</v>
      </c>
      <c r="AP510" s="229"/>
      <c r="AQ510" s="229"/>
      <c r="AR510" s="229"/>
      <c r="AS510" s="229"/>
      <c r="AT510" s="229"/>
      <c r="AU510" s="229"/>
    </row>
    <row r="511" spans="17:47">
      <c r="AG511" s="229"/>
      <c r="AH511" s="229"/>
      <c r="AI511" s="229"/>
      <c r="AJ511" s="229"/>
      <c r="AK511" s="240" t="s">
        <v>972</v>
      </c>
      <c r="AL511" s="240"/>
      <c r="AM511" s="240" t="str">
        <f>E13</f>
        <v>TOTAL</v>
      </c>
      <c r="AN511" s="240"/>
      <c r="AO511" s="240" t="str">
        <f>U200</f>
        <v>PRO FORMA</v>
      </c>
      <c r="AP511" s="229"/>
      <c r="AQ511" s="229"/>
      <c r="AR511" s="229"/>
      <c r="AS511" s="229"/>
      <c r="AT511" s="229"/>
      <c r="AU511" s="229"/>
    </row>
    <row r="512" spans="17:47">
      <c r="AG512" s="240" t="s">
        <v>471</v>
      </c>
      <c r="AH512" s="229"/>
      <c r="AI512" s="229"/>
      <c r="AJ512" s="229"/>
      <c r="AK512" s="240" t="s">
        <v>472</v>
      </c>
      <c r="AL512" s="240"/>
      <c r="AM512" s="240" t="str">
        <f>E14</f>
        <v>ADJ. TO</v>
      </c>
      <c r="AN512" s="240"/>
      <c r="AO512" s="240" t="s">
        <v>1729</v>
      </c>
      <c r="AP512" s="229"/>
      <c r="AQ512" s="229"/>
      <c r="AR512" s="229"/>
      <c r="AS512" s="229"/>
      <c r="AT512" s="229"/>
      <c r="AU512" s="229"/>
    </row>
    <row r="513" spans="33:47">
      <c r="AG513" s="1503" t="s">
        <v>533</v>
      </c>
      <c r="AH513" s="1504"/>
      <c r="AI513" s="1503" t="s">
        <v>1733</v>
      </c>
      <c r="AJ513" s="1504"/>
      <c r="AK513" s="1503" t="s">
        <v>1841</v>
      </c>
      <c r="AL513" s="1503"/>
      <c r="AM513" s="1503" t="str">
        <f>E15</f>
        <v>BASE PERIOD</v>
      </c>
      <c r="AN513" s="1503"/>
      <c r="AO513" s="1503" t="s">
        <v>403</v>
      </c>
      <c r="AP513" s="229"/>
      <c r="AQ513" s="229"/>
      <c r="AR513" s="229"/>
      <c r="AS513" s="229"/>
      <c r="AT513" s="229"/>
      <c r="AU513" s="229"/>
    </row>
    <row r="514" spans="33:47">
      <c r="AG514" s="1504"/>
      <c r="AH514" s="1504"/>
      <c r="AI514" s="1505" t="s">
        <v>1737</v>
      </c>
      <c r="AJ514" s="1504"/>
      <c r="AK514" s="1503"/>
      <c r="AL514" s="2144"/>
      <c r="AM514" s="1503" t="s">
        <v>1842</v>
      </c>
      <c r="AN514" s="1503"/>
      <c r="AO514" s="1503" t="s">
        <v>1843</v>
      </c>
      <c r="AP514" s="229"/>
      <c r="AQ514" s="229"/>
      <c r="AR514" s="229"/>
      <c r="AS514" s="229"/>
      <c r="AT514" s="229"/>
      <c r="AU514" s="229"/>
    </row>
    <row r="515" spans="33:47">
      <c r="AG515" s="240">
        <v>1</v>
      </c>
      <c r="AH515" s="242" t="s">
        <v>451</v>
      </c>
      <c r="AI515" s="229"/>
      <c r="AJ515" s="229"/>
      <c r="AK515" s="229"/>
      <c r="AL515" s="229"/>
      <c r="AM515" s="229"/>
      <c r="AN515" s="229"/>
      <c r="AO515" s="229"/>
      <c r="AP515" s="229"/>
      <c r="AQ515" s="229"/>
      <c r="AR515" s="229"/>
      <c r="AS515" s="229"/>
      <c r="AT515" s="229"/>
      <c r="AU515" s="229"/>
    </row>
    <row r="516" spans="33:47">
      <c r="AG516" s="240">
        <v>2</v>
      </c>
      <c r="AH516" s="229"/>
      <c r="AI516" s="234" t="s">
        <v>1740</v>
      </c>
      <c r="AJ516" s="229"/>
      <c r="AK516" s="238">
        <f>AM516+AO516</f>
        <v>-16516604</v>
      </c>
      <c r="AL516" s="238"/>
      <c r="AM516" s="238">
        <f>E18</f>
        <v>-21828073</v>
      </c>
      <c r="AN516" s="238"/>
      <c r="AO516" s="238">
        <f>U204</f>
        <v>5311469</v>
      </c>
      <c r="AP516" s="229"/>
      <c r="AQ516" s="229"/>
      <c r="AR516" s="229"/>
      <c r="AS516" s="229"/>
      <c r="AT516" s="229"/>
      <c r="AU516" s="229"/>
    </row>
    <row r="517" spans="33:47">
      <c r="AG517" s="240">
        <v>3</v>
      </c>
      <c r="AH517" s="229"/>
      <c r="AI517" s="234" t="s">
        <v>1741</v>
      </c>
      <c r="AJ517" s="229"/>
      <c r="AK517" s="238">
        <f>AM517+AO517</f>
        <v>-2719333</v>
      </c>
      <c r="AL517" s="238"/>
      <c r="AM517" s="238">
        <f>E19</f>
        <v>-2719333</v>
      </c>
      <c r="AN517" s="238"/>
      <c r="AO517" s="238">
        <f>U205</f>
        <v>0</v>
      </c>
      <c r="AP517" s="229"/>
      <c r="AQ517" s="229"/>
      <c r="AR517" s="229"/>
      <c r="AS517" s="229"/>
      <c r="AT517" s="229"/>
      <c r="AU517" s="229"/>
    </row>
    <row r="518" spans="33:47">
      <c r="AG518" s="240">
        <v>4</v>
      </c>
      <c r="AH518" s="229"/>
      <c r="AI518" s="234" t="s">
        <v>1742</v>
      </c>
      <c r="AJ518" s="229"/>
      <c r="AK518" s="238">
        <f>AM518+AO518</f>
        <v>-30106573</v>
      </c>
      <c r="AL518" s="238"/>
      <c r="AM518" s="238">
        <f>E20</f>
        <v>3335236</v>
      </c>
      <c r="AN518" s="238"/>
      <c r="AO518" s="238">
        <f>U206</f>
        <v>-33441809</v>
      </c>
      <c r="AP518" s="229"/>
      <c r="AQ518" s="229"/>
      <c r="AR518" s="229"/>
      <c r="AS518" s="229"/>
      <c r="AT518" s="229"/>
      <c r="AU518" s="229"/>
    </row>
    <row r="519" spans="33:47">
      <c r="AG519" s="240">
        <v>5</v>
      </c>
      <c r="AH519" s="229"/>
      <c r="AI519" s="234" t="s">
        <v>1844</v>
      </c>
      <c r="AJ519" s="229"/>
      <c r="AK519" s="2140">
        <f>SUM(AK516:AK518)</f>
        <v>-49342510</v>
      </c>
      <c r="AL519" s="238"/>
      <c r="AM519" s="2140">
        <f>SUM(AM516:AM518)</f>
        <v>-21212170</v>
      </c>
      <c r="AN519" s="238"/>
      <c r="AO519" s="2140">
        <f>SUM(AO516:AO518)</f>
        <v>-28130340</v>
      </c>
      <c r="AP519" s="229"/>
      <c r="AQ519" s="229"/>
      <c r="AR519" s="229"/>
      <c r="AS519" s="229"/>
      <c r="AT519" s="229"/>
      <c r="AU519" s="229"/>
    </row>
    <row r="520" spans="33:47">
      <c r="AG520" s="240">
        <v>6</v>
      </c>
      <c r="AH520" s="229"/>
      <c r="AI520" s="229"/>
      <c r="AJ520" s="229"/>
      <c r="AK520" s="239"/>
      <c r="AL520" s="229"/>
      <c r="AM520" s="239"/>
      <c r="AN520" s="239"/>
      <c r="AO520" s="239"/>
      <c r="AP520" s="229"/>
      <c r="AQ520" s="229"/>
      <c r="AR520" s="229"/>
      <c r="AS520" s="229"/>
      <c r="AT520" s="229"/>
      <c r="AU520" s="229"/>
    </row>
    <row r="521" spans="33:47">
      <c r="AG521" s="240">
        <v>7</v>
      </c>
      <c r="AH521" s="242" t="s">
        <v>404</v>
      </c>
      <c r="AI521" s="229"/>
      <c r="AJ521" s="229"/>
      <c r="AK521" s="229"/>
      <c r="AL521" s="229"/>
      <c r="AM521" s="229"/>
      <c r="AN521" s="229"/>
      <c r="AO521" s="229"/>
      <c r="AP521" s="229"/>
      <c r="AQ521" s="229"/>
      <c r="AR521" s="229"/>
      <c r="AS521" s="229"/>
      <c r="AT521" s="229"/>
      <c r="AU521" s="229"/>
    </row>
    <row r="522" spans="33:47">
      <c r="AG522" s="240">
        <v>8</v>
      </c>
      <c r="AH522" s="229"/>
      <c r="AI522" s="234" t="s">
        <v>1744</v>
      </c>
      <c r="AJ522" s="229"/>
      <c r="AK522" s="229"/>
      <c r="AL522" s="229"/>
      <c r="AM522" s="229"/>
      <c r="AN522" s="229"/>
      <c r="AO522" s="229"/>
      <c r="AP522" s="229"/>
      <c r="AQ522" s="229"/>
      <c r="AR522" s="229"/>
      <c r="AS522" s="229"/>
      <c r="AT522" s="229"/>
      <c r="AU522" s="229"/>
    </row>
    <row r="523" spans="33:47">
      <c r="AG523" s="240">
        <v>9</v>
      </c>
      <c r="AH523" s="229"/>
      <c r="AI523" s="234" t="s">
        <v>1745</v>
      </c>
      <c r="AJ523" s="229"/>
      <c r="AK523" s="238"/>
      <c r="AL523" s="229"/>
      <c r="AM523" s="238"/>
      <c r="AN523" s="229"/>
      <c r="AO523" s="238"/>
      <c r="AP523" s="229"/>
      <c r="AQ523" s="229"/>
      <c r="AR523" s="229"/>
      <c r="AS523" s="229"/>
      <c r="AT523" s="229"/>
      <c r="AU523" s="229"/>
    </row>
    <row r="524" spans="33:47">
      <c r="AG524" s="240">
        <v>10</v>
      </c>
      <c r="AH524" s="229"/>
      <c r="AI524" s="181" t="s">
        <v>454</v>
      </c>
      <c r="AJ524" s="229"/>
      <c r="AK524" s="238">
        <f>AM524+AO524</f>
        <v>-21914386</v>
      </c>
      <c r="AL524" s="238"/>
      <c r="AM524" s="238">
        <f>E26</f>
        <v>-7955234</v>
      </c>
      <c r="AN524" s="238"/>
      <c r="AO524" s="238">
        <f>U212</f>
        <v>-13959152</v>
      </c>
      <c r="AP524" s="229"/>
      <c r="AQ524" s="229"/>
      <c r="AR524" s="229"/>
      <c r="AS524" s="229"/>
      <c r="AT524" s="229"/>
      <c r="AU524" s="229"/>
    </row>
    <row r="525" spans="33:47">
      <c r="AG525" s="240">
        <v>11</v>
      </c>
      <c r="AH525" s="229"/>
      <c r="AI525" s="234" t="s">
        <v>1746</v>
      </c>
      <c r="AJ525" s="229"/>
      <c r="AK525" s="238">
        <f ca="1">AM525+AO525</f>
        <v>-8689600</v>
      </c>
      <c r="AL525" s="238"/>
      <c r="AM525" s="238">
        <f>E27</f>
        <v>3808146</v>
      </c>
      <c r="AN525" s="238"/>
      <c r="AO525" s="238">
        <f ca="1">U213</f>
        <v>-12497746</v>
      </c>
      <c r="AP525" s="229"/>
      <c r="AQ525" s="229"/>
      <c r="AR525" s="229"/>
      <c r="AS525" s="229"/>
      <c r="AT525" s="229"/>
      <c r="AU525" s="229"/>
    </row>
    <row r="526" spans="33:47">
      <c r="AG526" s="240">
        <v>12</v>
      </c>
      <c r="AH526" s="229"/>
      <c r="AI526" s="234" t="s">
        <v>1747</v>
      </c>
      <c r="AJ526" s="229"/>
      <c r="AK526" s="2141">
        <f ca="1">SUM(AK524:AK525)</f>
        <v>-30603986</v>
      </c>
      <c r="AL526" s="238"/>
      <c r="AM526" s="2141">
        <f>SUM(AM524:AM525)</f>
        <v>-4147088</v>
      </c>
      <c r="AN526" s="238"/>
      <c r="AO526" s="2141">
        <f ca="1">SUM(AO524:AO525)</f>
        <v>-26456898</v>
      </c>
      <c r="AP526" s="229"/>
      <c r="AQ526" s="229"/>
      <c r="AR526" s="229"/>
      <c r="AS526" s="229"/>
      <c r="AT526" s="229"/>
      <c r="AU526" s="229"/>
    </row>
    <row r="527" spans="33:47">
      <c r="AG527" s="240">
        <v>13</v>
      </c>
      <c r="AH527" s="229"/>
      <c r="AI527" s="229"/>
      <c r="AJ527" s="229"/>
      <c r="AK527" s="239"/>
      <c r="AL527" s="229"/>
      <c r="AM527" s="239"/>
      <c r="AN527" s="239"/>
      <c r="AO527" s="239"/>
      <c r="AP527" s="229"/>
      <c r="AQ527" s="229"/>
      <c r="AR527" s="229"/>
      <c r="AS527" s="229"/>
      <c r="AT527" s="229"/>
      <c r="AU527" s="229"/>
    </row>
    <row r="528" spans="33:47">
      <c r="AG528" s="240">
        <v>14</v>
      </c>
      <c r="AH528" s="229"/>
      <c r="AI528" s="234" t="s">
        <v>1776</v>
      </c>
      <c r="AJ528" s="229"/>
      <c r="AK528" s="239">
        <f t="shared" ref="AK528:AK535" si="2">AM528+AO528</f>
        <v>3096729</v>
      </c>
      <c r="AL528" s="238"/>
      <c r="AM528" s="239">
        <f t="shared" ref="AM528:AM535" si="3">E30</f>
        <v>4296729</v>
      </c>
      <c r="AN528" s="239"/>
      <c r="AO528" s="239">
        <f t="shared" ref="AO528:AO535" si="4">U216</f>
        <v>-1200000</v>
      </c>
      <c r="AP528" s="229"/>
      <c r="AQ528" s="229"/>
      <c r="AR528" s="229"/>
      <c r="AS528" s="229"/>
      <c r="AT528" s="229"/>
      <c r="AU528" s="229"/>
    </row>
    <row r="529" spans="33:47">
      <c r="AG529" s="240">
        <v>15</v>
      </c>
      <c r="AH529" s="229"/>
      <c r="AI529" s="234" t="s">
        <v>1777</v>
      </c>
      <c r="AJ529" s="229"/>
      <c r="AK529" s="239">
        <f t="shared" si="2"/>
        <v>669967</v>
      </c>
      <c r="AL529" s="238"/>
      <c r="AM529" s="239">
        <f t="shared" si="3"/>
        <v>669967</v>
      </c>
      <c r="AN529" s="239"/>
      <c r="AO529" s="239">
        <f t="shared" si="4"/>
        <v>0</v>
      </c>
      <c r="AP529" s="229"/>
      <c r="AQ529" s="229"/>
      <c r="AR529" s="229"/>
      <c r="AS529" s="229"/>
      <c r="AT529" s="229"/>
      <c r="AU529" s="229"/>
    </row>
    <row r="530" spans="33:47">
      <c r="AG530" s="240">
        <v>16</v>
      </c>
      <c r="AH530" s="229"/>
      <c r="AI530" s="234" t="s">
        <v>1778</v>
      </c>
      <c r="AJ530" s="229"/>
      <c r="AK530" s="238">
        <f t="shared" si="2"/>
        <v>2016745</v>
      </c>
      <c r="AL530" s="238"/>
      <c r="AM530" s="238">
        <f t="shared" si="3"/>
        <v>2016745</v>
      </c>
      <c r="AN530" s="238"/>
      <c r="AO530" s="238">
        <f t="shared" si="4"/>
        <v>0</v>
      </c>
      <c r="AP530" s="229"/>
      <c r="AQ530" s="229"/>
      <c r="AR530" s="229"/>
      <c r="AS530" s="229"/>
      <c r="AT530" s="229"/>
      <c r="AU530" s="229"/>
    </row>
    <row r="531" spans="33:47">
      <c r="AG531" s="240">
        <v>17</v>
      </c>
      <c r="AH531" s="229"/>
      <c r="AI531" s="234" t="s">
        <v>1779</v>
      </c>
      <c r="AJ531" s="229"/>
      <c r="AK531" s="238">
        <f t="shared" ca="1" si="2"/>
        <v>2171369</v>
      </c>
      <c r="AL531" s="238"/>
      <c r="AM531" s="238">
        <f t="shared" si="3"/>
        <v>66570</v>
      </c>
      <c r="AN531" s="238"/>
      <c r="AO531" s="238">
        <f t="shared" ca="1" si="4"/>
        <v>2104799</v>
      </c>
      <c r="AP531" s="229"/>
      <c r="AQ531" s="229"/>
      <c r="AR531" s="229"/>
      <c r="AS531" s="229"/>
      <c r="AT531" s="229"/>
      <c r="AU531" s="229"/>
    </row>
    <row r="532" spans="33:47">
      <c r="AG532" s="240">
        <v>18</v>
      </c>
      <c r="AH532" s="229"/>
      <c r="AI532" s="234" t="s">
        <v>1780</v>
      </c>
      <c r="AJ532" s="229"/>
      <c r="AK532" s="238">
        <f t="shared" ca="1" si="2"/>
        <v>338753</v>
      </c>
      <c r="AL532" s="238"/>
      <c r="AM532" s="238">
        <f t="shared" si="3"/>
        <v>338753</v>
      </c>
      <c r="AN532" s="238"/>
      <c r="AO532" s="238">
        <f t="shared" ca="1" si="4"/>
        <v>0</v>
      </c>
      <c r="AP532" s="229"/>
      <c r="AQ532" s="229"/>
      <c r="AR532" s="229"/>
      <c r="AS532" s="229"/>
      <c r="AT532" s="229"/>
      <c r="AU532" s="229"/>
    </row>
    <row r="533" spans="33:47">
      <c r="AG533" s="240">
        <v>19</v>
      </c>
      <c r="AH533" s="229"/>
      <c r="AI533" s="234" t="s">
        <v>1781</v>
      </c>
      <c r="AJ533" s="229"/>
      <c r="AK533" s="238">
        <f t="shared" ca="1" si="2"/>
        <v>55072</v>
      </c>
      <c r="AL533" s="238"/>
      <c r="AM533" s="238">
        <f t="shared" si="3"/>
        <v>103983</v>
      </c>
      <c r="AN533" s="238"/>
      <c r="AO533" s="238">
        <f t="shared" ca="1" si="4"/>
        <v>-48911</v>
      </c>
      <c r="AP533" s="229"/>
      <c r="AQ533" s="229"/>
      <c r="AR533" s="229"/>
      <c r="AS533" s="229"/>
      <c r="AT533" s="229"/>
      <c r="AU533" s="229"/>
    </row>
    <row r="534" spans="33:47">
      <c r="AG534" s="240">
        <v>20</v>
      </c>
      <c r="AH534" s="229"/>
      <c r="AI534" s="234" t="s">
        <v>1782</v>
      </c>
      <c r="AJ534" s="229"/>
      <c r="AK534" s="238">
        <f t="shared" ca="1" si="2"/>
        <v>-1029736</v>
      </c>
      <c r="AL534" s="238"/>
      <c r="AM534" s="238">
        <f t="shared" si="3"/>
        <v>2996380</v>
      </c>
      <c r="AN534" s="238"/>
      <c r="AO534" s="238">
        <f t="shared" ca="1" si="4"/>
        <v>-4026116</v>
      </c>
      <c r="AP534" s="229"/>
      <c r="AQ534" s="229"/>
      <c r="AR534" s="229"/>
      <c r="AS534" s="229"/>
      <c r="AT534" s="229"/>
      <c r="AU534" s="229"/>
    </row>
    <row r="535" spans="33:47">
      <c r="AG535" s="240">
        <v>21</v>
      </c>
      <c r="AH535" s="229"/>
      <c r="AI535" s="234" t="s">
        <v>1783</v>
      </c>
      <c r="AJ535" s="229"/>
      <c r="AK535" s="238">
        <f t="shared" si="2"/>
        <v>-4222146</v>
      </c>
      <c r="AL535" s="238"/>
      <c r="AM535" s="238">
        <f t="shared" si="3"/>
        <v>-3748440</v>
      </c>
      <c r="AN535" s="238"/>
      <c r="AO535" s="238">
        <f t="shared" si="4"/>
        <v>-473706</v>
      </c>
      <c r="AP535" s="229"/>
      <c r="AQ535" s="229"/>
      <c r="AR535" s="229"/>
      <c r="AS535" s="229"/>
      <c r="AT535" s="229"/>
      <c r="AU535" s="229"/>
    </row>
    <row r="536" spans="33:47">
      <c r="AG536" s="240">
        <v>22</v>
      </c>
      <c r="AH536" s="229"/>
      <c r="AI536" s="234" t="s">
        <v>1756</v>
      </c>
      <c r="AJ536" s="229"/>
      <c r="AK536" s="2140">
        <f ca="1">AK526+SUM(AK528:AK535)</f>
        <v>-27507233</v>
      </c>
      <c r="AL536" s="238"/>
      <c r="AM536" s="2140">
        <f>AM526+SUM(AM528:AM535)</f>
        <v>2593599</v>
      </c>
      <c r="AN536" s="238"/>
      <c r="AO536" s="2140">
        <f ca="1">AO526+SUM(AO528:AO535)</f>
        <v>-30100832</v>
      </c>
      <c r="AP536" s="229"/>
      <c r="AQ536" s="229"/>
      <c r="AR536" s="229"/>
      <c r="AS536" s="229"/>
      <c r="AT536" s="229"/>
      <c r="AU536" s="229"/>
    </row>
    <row r="537" spans="33:47">
      <c r="AG537" s="240">
        <v>23</v>
      </c>
      <c r="AH537" s="229"/>
      <c r="AI537" s="229"/>
      <c r="AJ537" s="229"/>
      <c r="AK537" s="239"/>
      <c r="AL537" s="229"/>
      <c r="AM537" s="239"/>
      <c r="AN537" s="239"/>
      <c r="AO537" s="239"/>
      <c r="AP537" s="229"/>
      <c r="AQ537" s="229"/>
      <c r="AR537" s="229"/>
      <c r="AS537" s="229"/>
      <c r="AT537" s="229"/>
      <c r="AU537" s="229"/>
    </row>
    <row r="538" spans="33:47">
      <c r="AG538" s="240">
        <v>24</v>
      </c>
      <c r="AH538" s="229"/>
      <c r="AI538" s="234" t="s">
        <v>1784</v>
      </c>
      <c r="AJ538" s="229"/>
      <c r="AK538" s="1506">
        <f>AM538+AO538</f>
        <v>18858892</v>
      </c>
      <c r="AL538" s="238"/>
      <c r="AM538" s="1506">
        <f>E40</f>
        <v>4396406</v>
      </c>
      <c r="AN538" s="238"/>
      <c r="AO538" s="1506">
        <f>U226</f>
        <v>14462486</v>
      </c>
      <c r="AP538" s="229"/>
      <c r="AQ538" s="229"/>
      <c r="AR538" s="229"/>
      <c r="AS538" s="229"/>
      <c r="AT538" s="229"/>
      <c r="AU538" s="229"/>
    </row>
    <row r="539" spans="33:47">
      <c r="AG539" s="240">
        <v>25</v>
      </c>
      <c r="AH539" s="229"/>
      <c r="AI539" s="229"/>
      <c r="AJ539" s="229"/>
      <c r="AK539" s="239"/>
      <c r="AL539" s="229"/>
      <c r="AM539" s="239"/>
      <c r="AN539" s="239"/>
      <c r="AO539" s="239"/>
      <c r="AP539" s="229"/>
      <c r="AQ539" s="229"/>
      <c r="AR539" s="229"/>
      <c r="AS539" s="229"/>
      <c r="AT539" s="229"/>
      <c r="AU539" s="229"/>
    </row>
    <row r="540" spans="33:47">
      <c r="AG540" s="240">
        <v>26</v>
      </c>
      <c r="AH540" s="229"/>
      <c r="AI540" s="234" t="s">
        <v>1758</v>
      </c>
      <c r="AJ540" s="229"/>
      <c r="AK540" s="229"/>
      <c r="AL540" s="229"/>
      <c r="AM540" s="229"/>
      <c r="AN540" s="229"/>
      <c r="AO540" s="229"/>
      <c r="AP540" s="229"/>
      <c r="AQ540" s="229"/>
      <c r="AR540" s="229"/>
      <c r="AS540" s="229"/>
      <c r="AT540" s="229"/>
      <c r="AU540" s="229"/>
    </row>
    <row r="541" spans="33:47">
      <c r="AG541" s="240">
        <v>27</v>
      </c>
      <c r="AH541" s="229"/>
      <c r="AI541" s="234" t="s">
        <v>1432</v>
      </c>
      <c r="AJ541" s="229"/>
      <c r="AK541" s="238">
        <f>AM541+AO541</f>
        <v>-98380</v>
      </c>
      <c r="AL541" s="238"/>
      <c r="AM541" s="238">
        <f>E43</f>
        <v>2342</v>
      </c>
      <c r="AN541" s="238"/>
      <c r="AO541" s="238">
        <f>U229</f>
        <v>-100722</v>
      </c>
      <c r="AP541" s="229"/>
      <c r="AQ541" s="229"/>
      <c r="AR541" s="229"/>
      <c r="AS541" s="229"/>
      <c r="AT541" s="229"/>
      <c r="AU541" s="229"/>
    </row>
    <row r="542" spans="33:47">
      <c r="AG542" s="240">
        <v>28</v>
      </c>
      <c r="AH542" s="229"/>
      <c r="AI542" s="234" t="s">
        <v>1434</v>
      </c>
      <c r="AJ542" s="229"/>
      <c r="AK542" s="238">
        <f ca="1">AM542+AO542</f>
        <v>2328285</v>
      </c>
      <c r="AL542" s="238"/>
      <c r="AM542" s="238">
        <f>E44</f>
        <v>2239283</v>
      </c>
      <c r="AN542" s="238"/>
      <c r="AO542" s="238">
        <f ca="1">U230</f>
        <v>89002</v>
      </c>
      <c r="AP542" s="229"/>
      <c r="AQ542" s="229"/>
      <c r="AR542" s="229"/>
      <c r="AS542" s="229"/>
      <c r="AT542" s="229"/>
      <c r="AU542" s="229"/>
    </row>
    <row r="543" spans="33:47">
      <c r="AG543" s="240">
        <v>29</v>
      </c>
      <c r="AH543" s="229"/>
      <c r="AI543" s="234" t="s">
        <v>1761</v>
      </c>
      <c r="AJ543" s="229"/>
      <c r="AK543" s="2140">
        <f ca="1">SUM(AK541:AK542)</f>
        <v>2229905</v>
      </c>
      <c r="AL543" s="238"/>
      <c r="AM543" s="2140">
        <f>SUM(AM541:AM542)</f>
        <v>2241625</v>
      </c>
      <c r="AN543" s="238"/>
      <c r="AO543" s="2140">
        <f ca="1">SUM(AO541:AO542)</f>
        <v>-11720</v>
      </c>
      <c r="AP543" s="229"/>
      <c r="AQ543" s="247" t="s">
        <v>1845</v>
      </c>
      <c r="AR543" s="229"/>
      <c r="AS543" s="229"/>
      <c r="AT543" s="229"/>
      <c r="AU543" s="229"/>
    </row>
    <row r="544" spans="33:47" ht="13.8" thickBot="1">
      <c r="AG544" s="240">
        <v>30</v>
      </c>
      <c r="AH544" s="229"/>
      <c r="AI544" s="234"/>
      <c r="AJ544" s="229"/>
      <c r="AK544" s="238"/>
      <c r="AL544" s="229"/>
      <c r="AM544" s="238"/>
      <c r="AN544" s="238"/>
      <c r="AO544" s="238"/>
      <c r="AP544" s="229"/>
      <c r="AQ544" s="240" t="s">
        <v>258</v>
      </c>
      <c r="AR544" s="248" t="s">
        <v>1846</v>
      </c>
      <c r="AS544" s="248" t="s">
        <v>1847</v>
      </c>
      <c r="AT544" s="229"/>
      <c r="AU544" s="229"/>
    </row>
    <row r="545" spans="33:47" ht="13.8" thickTop="1">
      <c r="AG545" s="240">
        <v>31</v>
      </c>
      <c r="AH545" s="229"/>
      <c r="AI545" s="234" t="s">
        <v>1762</v>
      </c>
      <c r="AJ545" s="229"/>
      <c r="AK545" s="229"/>
      <c r="AL545" s="229"/>
      <c r="AM545" s="229"/>
      <c r="AN545" s="229"/>
      <c r="AO545" s="229"/>
      <c r="AP545" s="229"/>
      <c r="AQ545" s="1052">
        <f ca="1">AK548</f>
        <v>-2240052</v>
      </c>
      <c r="AR545" s="1053">
        <f ca="1">AM548</f>
        <v>-2081718</v>
      </c>
      <c r="AS545" s="1053">
        <f ca="1">AO548</f>
        <v>-158334</v>
      </c>
      <c r="AT545" s="1054" t="s">
        <v>1848</v>
      </c>
      <c r="AU545" s="229"/>
    </row>
    <row r="546" spans="33:47">
      <c r="AG546" s="240">
        <v>32</v>
      </c>
      <c r="AH546" s="229"/>
      <c r="AI546" s="234" t="s">
        <v>1654</v>
      </c>
      <c r="AJ546" s="229"/>
      <c r="AK546" s="238">
        <f ca="1">AM546+AO546</f>
        <v>-1753435</v>
      </c>
      <c r="AL546" s="238"/>
      <c r="AM546" s="238">
        <f ca="1">E48</f>
        <v>-2230920</v>
      </c>
      <c r="AN546" s="238"/>
      <c r="AO546" s="238">
        <f ca="1">U234</f>
        <v>477485</v>
      </c>
      <c r="AP546" s="229"/>
      <c r="AQ546" s="1055">
        <f ca="1">SCH_E1!$I$116+SCH_E1!L116</f>
        <v>-2240052</v>
      </c>
      <c r="AR546" s="661">
        <f>SCH_E1!$I$116</f>
        <v>-2081718</v>
      </c>
      <c r="AS546" s="238">
        <f ca="1">SCH_E1!L116</f>
        <v>-158334</v>
      </c>
      <c r="AT546" s="1056" t="s">
        <v>1849</v>
      </c>
      <c r="AU546" s="229"/>
    </row>
    <row r="547" spans="33:47" ht="13.8" thickBot="1">
      <c r="AG547" s="240">
        <v>33</v>
      </c>
      <c r="AH547" s="229"/>
      <c r="AI547" s="234" t="s">
        <v>1763</v>
      </c>
      <c r="AJ547" s="229"/>
      <c r="AK547" s="238">
        <f>AM547+AO547</f>
        <v>-486617</v>
      </c>
      <c r="AL547" s="238"/>
      <c r="AM547" s="238">
        <f>E49</f>
        <v>149202</v>
      </c>
      <c r="AN547" s="238"/>
      <c r="AO547" s="238">
        <f>U235</f>
        <v>-635819</v>
      </c>
      <c r="AP547" s="229"/>
      <c r="AQ547" s="1057">
        <f ca="1">AQ545-AQ546</f>
        <v>0</v>
      </c>
      <c r="AR547" s="1058">
        <f ca="1">AR545-AR546</f>
        <v>0</v>
      </c>
      <c r="AS547" s="1058">
        <f ca="1">AS545-AS546</f>
        <v>0</v>
      </c>
      <c r="AT547" s="1059" t="s">
        <v>1850</v>
      </c>
      <c r="AU547" s="229"/>
    </row>
    <row r="548" spans="33:47" ht="13.8" thickTop="1">
      <c r="AG548" s="240">
        <v>34</v>
      </c>
      <c r="AH548" s="229"/>
      <c r="AI548" s="234" t="s">
        <v>1764</v>
      </c>
      <c r="AJ548" s="229"/>
      <c r="AK548" s="2140">
        <f ca="1">SUM(AK546:AK547)</f>
        <v>-2240052</v>
      </c>
      <c r="AL548" s="238"/>
      <c r="AM548" s="2140">
        <f ca="1">SUM(AM546:AM547)</f>
        <v>-2081718</v>
      </c>
      <c r="AN548" s="238"/>
      <c r="AO548" s="2140">
        <f ca="1">SUM(AO546:AO547)</f>
        <v>-158334</v>
      </c>
      <c r="AP548" s="229"/>
      <c r="AQ548" s="229"/>
      <c r="AR548" s="229"/>
      <c r="AS548" s="229"/>
      <c r="AT548" s="187"/>
      <c r="AU548" s="229"/>
    </row>
    <row r="549" spans="33:47">
      <c r="AG549" s="240">
        <v>35</v>
      </c>
      <c r="AH549" s="229"/>
      <c r="AI549" s="229"/>
      <c r="AJ549" s="229"/>
      <c r="AK549" s="239"/>
      <c r="AL549" s="229"/>
      <c r="AM549" s="239"/>
      <c r="AN549" s="239"/>
      <c r="AO549" s="239"/>
      <c r="AP549" s="229"/>
      <c r="AQ549" s="247" t="s">
        <v>1851</v>
      </c>
      <c r="AR549" s="229"/>
      <c r="AS549" s="229"/>
      <c r="AT549" s="94"/>
      <c r="AU549" s="229"/>
    </row>
    <row r="550" spans="33:47" ht="13.8" thickBot="1">
      <c r="AG550" s="240">
        <v>36</v>
      </c>
      <c r="AH550" s="229"/>
      <c r="AI550" s="234" t="s">
        <v>1765</v>
      </c>
      <c r="AJ550" s="229"/>
      <c r="AK550" s="229"/>
      <c r="AL550" s="229"/>
      <c r="AM550" s="229"/>
      <c r="AN550" s="229"/>
      <c r="AO550" s="229"/>
      <c r="AP550" s="229"/>
      <c r="AQ550" s="240" t="s">
        <v>258</v>
      </c>
      <c r="AR550" s="248" t="s">
        <v>1846</v>
      </c>
      <c r="AS550" s="248" t="s">
        <v>1847</v>
      </c>
      <c r="AT550" s="187"/>
      <c r="AU550" s="229"/>
    </row>
    <row r="551" spans="33:47" ht="13.8" thickTop="1">
      <c r="AG551" s="240">
        <v>37</v>
      </c>
      <c r="AH551" s="229"/>
      <c r="AI551" s="234" t="s">
        <v>1654</v>
      </c>
      <c r="AJ551" s="229"/>
      <c r="AK551" s="238">
        <f ca="1">AM551+AO551</f>
        <v>-13216060</v>
      </c>
      <c r="AL551" s="238"/>
      <c r="AM551" s="238">
        <f ca="1">E53</f>
        <v>-15133931</v>
      </c>
      <c r="AN551" s="238"/>
      <c r="AO551" s="238">
        <f ca="1">U239</f>
        <v>1917871</v>
      </c>
      <c r="AP551" s="229"/>
      <c r="AQ551" s="1052">
        <f ca="1">AK554</f>
        <v>-6348568</v>
      </c>
      <c r="AR551" s="1053">
        <f ca="1">AM554</f>
        <v>-5712592</v>
      </c>
      <c r="AS551" s="1053">
        <f ca="1">AO554</f>
        <v>-635976</v>
      </c>
      <c r="AT551" s="1054" t="s">
        <v>1848</v>
      </c>
      <c r="AU551" s="229"/>
    </row>
    <row r="552" spans="33:47">
      <c r="AG552" s="240">
        <v>38</v>
      </c>
      <c r="AH552" s="229"/>
      <c r="AI552" s="234" t="s">
        <v>1763</v>
      </c>
      <c r="AJ552" s="229"/>
      <c r="AK552" s="238">
        <f>AM552+AO552</f>
        <v>6867492</v>
      </c>
      <c r="AL552" s="238"/>
      <c r="AM552" s="238">
        <f>E54</f>
        <v>9421339</v>
      </c>
      <c r="AN552" s="238"/>
      <c r="AO552" s="238">
        <f>U240</f>
        <v>-2553847</v>
      </c>
      <c r="AP552" s="229"/>
      <c r="AQ552" s="1060">
        <f ca="1">SCH_E1!$I$140+SCH_E1!$L$140</f>
        <v>-6348568</v>
      </c>
      <c r="AR552" s="238">
        <f>SCH_E1!$I$140</f>
        <v>-5712592</v>
      </c>
      <c r="AS552" s="238">
        <f ca="1">SCH_E1!$L$140</f>
        <v>-635976</v>
      </c>
      <c r="AT552" s="1056" t="s">
        <v>1849</v>
      </c>
      <c r="AU552" s="229"/>
    </row>
    <row r="553" spans="33:47" ht="13.8" thickBot="1">
      <c r="AG553" s="240">
        <v>39</v>
      </c>
      <c r="AH553" s="229"/>
      <c r="AI553" s="234" t="s">
        <v>1441</v>
      </c>
      <c r="AJ553" s="229"/>
      <c r="AK553" s="238">
        <f>AM553+AO553</f>
        <v>0</v>
      </c>
      <c r="AL553" s="238"/>
      <c r="AM553" s="238">
        <f>E55</f>
        <v>0</v>
      </c>
      <c r="AN553" s="238"/>
      <c r="AO553" s="238">
        <f>U241</f>
        <v>0</v>
      </c>
      <c r="AP553" s="229"/>
      <c r="AQ553" s="1057">
        <f ca="1">AQ551-AQ552</f>
        <v>0</v>
      </c>
      <c r="AR553" s="1058">
        <f ca="1">AR551-AR552</f>
        <v>0</v>
      </c>
      <c r="AS553" s="1058">
        <f ca="1">AS551-AS552</f>
        <v>0</v>
      </c>
      <c r="AT553" s="1059" t="s">
        <v>1850</v>
      </c>
      <c r="AU553" s="229"/>
    </row>
    <row r="554" spans="33:47" ht="13.8" thickTop="1">
      <c r="AG554" s="240">
        <v>40</v>
      </c>
      <c r="AH554" s="229"/>
      <c r="AI554" s="234" t="s">
        <v>1766</v>
      </c>
      <c r="AJ554" s="229"/>
      <c r="AK554" s="2140">
        <f ca="1">SUM(AK551:AK553)</f>
        <v>-6348568</v>
      </c>
      <c r="AL554" s="238"/>
      <c r="AM554" s="2140">
        <f ca="1">SUM(AM551:AM553)</f>
        <v>-5712592</v>
      </c>
      <c r="AN554" s="238"/>
      <c r="AO554" s="2140">
        <f ca="1">SUM(AO551:AO553)</f>
        <v>-635976</v>
      </c>
      <c r="AP554" s="229"/>
      <c r="AQ554" s="229"/>
      <c r="AR554" s="229"/>
      <c r="AS554" s="229"/>
      <c r="AT554" s="229"/>
      <c r="AU554" s="229"/>
    </row>
    <row r="555" spans="33:47">
      <c r="AG555" s="240">
        <v>41</v>
      </c>
      <c r="AH555" s="229"/>
      <c r="AI555" s="229"/>
      <c r="AJ555" s="229"/>
      <c r="AK555" s="239"/>
      <c r="AL555" s="229"/>
      <c r="AM555" s="239"/>
      <c r="AN555" s="239"/>
      <c r="AO555" s="239"/>
      <c r="AP555" s="229"/>
      <c r="AQ555" s="229"/>
      <c r="AR555" s="229"/>
      <c r="AS555" s="229"/>
      <c r="AT555" s="229"/>
      <c r="AU555" s="229"/>
    </row>
    <row r="556" spans="33:47" ht="13.8" thickBot="1">
      <c r="AG556" s="240">
        <v>42</v>
      </c>
      <c r="AH556" s="229"/>
      <c r="AI556" s="234" t="s">
        <v>1767</v>
      </c>
      <c r="AJ556" s="229"/>
      <c r="AK556" s="1506">
        <f ca="1">AK536+AK538+AK543+AK548+AK554</f>
        <v>-15007056</v>
      </c>
      <c r="AL556" s="238"/>
      <c r="AM556" s="1506">
        <f ca="1">AM536+AM538+AM543+AM548+AM554</f>
        <v>1437320</v>
      </c>
      <c r="AN556" s="238"/>
      <c r="AO556" s="1506">
        <f ca="1">AO536+AO538+AO543+AO548+AO554</f>
        <v>-16444376</v>
      </c>
      <c r="AP556" s="229"/>
      <c r="AQ556" s="249" t="s">
        <v>1852</v>
      </c>
      <c r="AR556" s="249"/>
      <c r="AS556" s="249"/>
      <c r="AT556" s="187"/>
      <c r="AU556" s="229"/>
    </row>
    <row r="557" spans="33:47" ht="13.8" thickBot="1">
      <c r="AG557" s="240">
        <v>43</v>
      </c>
      <c r="AH557" s="229"/>
      <c r="AI557" s="229"/>
      <c r="AJ557" s="229"/>
      <c r="AK557" s="239"/>
      <c r="AL557" s="229"/>
      <c r="AM557" s="239"/>
      <c r="AN557" s="239"/>
      <c r="AO557" s="239"/>
      <c r="AP557" s="229"/>
      <c r="AQ557" s="1061">
        <f ca="1">ABS(AQ547)+ABS(AQ553)</f>
        <v>0</v>
      </c>
      <c r="AR557" s="1062"/>
      <c r="AS557" s="1062"/>
      <c r="AT557" s="1063"/>
      <c r="AU557" s="229"/>
    </row>
    <row r="558" spans="33:47" ht="13.8" thickBot="1">
      <c r="AG558" s="240">
        <v>44</v>
      </c>
      <c r="AH558" s="229"/>
      <c r="AI558" s="234" t="s">
        <v>1443</v>
      </c>
      <c r="AJ558" s="229"/>
      <c r="AK558" s="1953">
        <f ca="1">AK519-AK556</f>
        <v>-34335454</v>
      </c>
      <c r="AL558" s="238"/>
      <c r="AM558" s="1953">
        <f ca="1">AM519-AM556</f>
        <v>-22649490</v>
      </c>
      <c r="AN558" s="238"/>
      <c r="AO558" s="1953">
        <f ca="1">AO519-AO556</f>
        <v>-11685964</v>
      </c>
      <c r="AP558" s="229"/>
      <c r="AQ558" s="229"/>
      <c r="AR558" s="229"/>
      <c r="AS558" s="229"/>
      <c r="AT558" s="229"/>
      <c r="AU558" s="229"/>
    </row>
    <row r="559" spans="33:47" ht="13.8" thickTop="1"/>
  </sheetData>
  <phoneticPr fontId="19" type="noConversion"/>
  <pageMargins left="1" right="0.75" top="1" bottom="0" header="0" footer="0"/>
  <pageSetup scale="61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3">
    <tabColor theme="7" tint="-0.249977111117893"/>
    <pageSetUpPr fitToPage="1"/>
  </sheetPr>
  <dimension ref="A1:V69"/>
  <sheetViews>
    <sheetView topLeftCell="A42" zoomScale="85" zoomScaleNormal="85" workbookViewId="0"/>
  </sheetViews>
  <sheetFormatPr defaultColWidth="8" defaultRowHeight="13.2"/>
  <cols>
    <col min="1" max="2" width="16.44140625" customWidth="1"/>
    <col min="3" max="3" width="12.44140625" customWidth="1"/>
    <col min="4" max="4" width="14.5546875" customWidth="1"/>
    <col min="5" max="5" width="19.44140625" customWidth="1"/>
    <col min="6" max="6" width="12.44140625" customWidth="1"/>
    <col min="7" max="7" width="7.44140625" customWidth="1"/>
    <col min="8" max="8" width="8" customWidth="1"/>
    <col min="9" max="9" width="17.44140625" customWidth="1"/>
    <col min="10" max="10" width="17.5546875" customWidth="1"/>
    <col min="11" max="11" width="5.44140625" customWidth="1"/>
    <col min="12" max="12" width="8" customWidth="1"/>
    <col min="13" max="13" width="1.5546875" customWidth="1"/>
    <col min="14" max="14" width="22.5546875" customWidth="1"/>
    <col min="15" max="15" width="6.5546875" customWidth="1"/>
    <col min="16" max="16" width="17.5546875" customWidth="1"/>
    <col min="17" max="17" width="2.5546875" customWidth="1"/>
    <col min="18" max="18" width="18.44140625" customWidth="1"/>
    <col min="19" max="19" width="2.5546875" customWidth="1"/>
    <col min="20" max="20" width="20.5546875" customWidth="1"/>
  </cols>
  <sheetData>
    <row r="1" spans="1:22">
      <c r="A1" s="968" t="str">
        <f>LOGO!B5</f>
        <v>DUKE ENERGY KENTUCKY, INC.</v>
      </c>
      <c r="B1" s="968"/>
      <c r="C1" s="968"/>
      <c r="D1" s="968"/>
      <c r="E1" s="968"/>
      <c r="F1" s="968"/>
      <c r="G1" s="968"/>
      <c r="H1" s="968"/>
      <c r="I1" s="968"/>
      <c r="J1" s="968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</row>
    <row r="2" spans="1:22">
      <c r="A2" s="968" t="str">
        <f>LOGO!B6</f>
        <v>CASE NO. 2024-00354</v>
      </c>
      <c r="B2" s="968"/>
      <c r="C2" s="968"/>
      <c r="D2" s="968"/>
      <c r="E2" s="968"/>
      <c r="F2" s="968"/>
      <c r="G2" s="968"/>
      <c r="H2" s="968"/>
      <c r="I2" s="968"/>
      <c r="J2" s="968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</row>
    <row r="3" spans="1:22">
      <c r="A3" s="968" t="s">
        <v>1853</v>
      </c>
      <c r="B3" s="968"/>
      <c r="C3" s="968"/>
      <c r="D3" s="968"/>
      <c r="E3" s="968"/>
      <c r="F3" s="968"/>
      <c r="G3" s="968"/>
      <c r="H3" s="968"/>
      <c r="I3" s="968"/>
      <c r="J3" s="968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</row>
    <row r="4" spans="1:22">
      <c r="A4" s="968" t="str">
        <f>LOGO!B8</f>
        <v>FOR THE TWELVE MONTHS ENDED JUNE 30, 2026</v>
      </c>
      <c r="B4" s="968"/>
      <c r="C4" s="968"/>
      <c r="D4" s="968"/>
      <c r="E4" s="968"/>
      <c r="F4" s="968"/>
      <c r="G4" s="968"/>
      <c r="H4" s="968"/>
      <c r="I4" s="968"/>
      <c r="J4" s="968"/>
      <c r="K4" s="597"/>
      <c r="L4" s="597"/>
      <c r="M4" s="597"/>
      <c r="N4" s="597"/>
      <c r="O4" s="597"/>
      <c r="P4" s="597"/>
      <c r="Q4" s="597"/>
      <c r="R4" s="597"/>
      <c r="S4" s="597"/>
      <c r="T4" s="597"/>
      <c r="U4" s="597"/>
      <c r="V4" s="597"/>
    </row>
    <row r="5" spans="1:22">
      <c r="A5" s="597"/>
      <c r="B5" s="597"/>
      <c r="C5" s="597"/>
      <c r="D5" s="597"/>
      <c r="E5" s="597"/>
      <c r="F5" s="597"/>
      <c r="G5" s="597"/>
      <c r="H5" s="597"/>
      <c r="I5" s="597"/>
      <c r="J5" s="597"/>
      <c r="K5" s="597"/>
      <c r="L5" s="597"/>
      <c r="M5" s="597"/>
      <c r="N5" s="597"/>
      <c r="O5" s="597"/>
      <c r="P5" s="597"/>
      <c r="Q5" s="597"/>
      <c r="R5" s="597"/>
      <c r="S5" s="597"/>
      <c r="T5" s="597"/>
      <c r="U5" s="597"/>
      <c r="V5" s="597"/>
    </row>
    <row r="6" spans="1:22">
      <c r="A6" s="597" t="str">
        <f>DataB</f>
        <v>DATA: "X" BASE PERIOD  "X" FORECASTED PERIOD</v>
      </c>
      <c r="B6" s="597"/>
      <c r="C6" s="597"/>
      <c r="D6" s="597"/>
      <c r="E6" s="597"/>
      <c r="F6" s="597"/>
      <c r="G6" s="597"/>
      <c r="H6" s="597"/>
      <c r="I6" s="996" t="s">
        <v>1854</v>
      </c>
      <c r="J6" s="597"/>
      <c r="K6" s="597"/>
      <c r="L6" s="597"/>
      <c r="M6" s="597"/>
      <c r="N6" s="597"/>
      <c r="O6" s="597"/>
      <c r="P6" s="597"/>
      <c r="Q6" s="597"/>
      <c r="R6" s="597"/>
      <c r="S6" s="597"/>
      <c r="T6" s="597"/>
      <c r="U6" s="597"/>
      <c r="V6" s="597"/>
    </row>
    <row r="7" spans="1:22">
      <c r="A7" s="597" t="str">
        <f>LOGO!B15</f>
        <v xml:space="preserve">TYPE OF FILING:  "X" ORIGINAL   UPDATED    REVISED  </v>
      </c>
      <c r="B7" s="597"/>
      <c r="C7" s="597"/>
      <c r="D7" s="597"/>
      <c r="E7" s="597"/>
      <c r="F7" s="597"/>
      <c r="G7" s="597"/>
      <c r="H7" s="597"/>
      <c r="I7" s="996" t="s">
        <v>1855</v>
      </c>
      <c r="J7" s="597"/>
      <c r="K7" s="597"/>
      <c r="L7" s="597"/>
      <c r="M7" s="597"/>
      <c r="N7" s="597"/>
      <c r="O7" s="597"/>
      <c r="P7" s="597"/>
      <c r="Q7" s="597"/>
      <c r="R7" s="597"/>
      <c r="S7" s="597"/>
      <c r="T7" s="597"/>
      <c r="U7" s="597"/>
      <c r="V7" s="597"/>
    </row>
    <row r="8" spans="1:22">
      <c r="A8" s="733" t="s">
        <v>1856</v>
      </c>
      <c r="B8" s="597"/>
      <c r="C8" s="597"/>
      <c r="D8" s="597"/>
      <c r="E8" s="597"/>
      <c r="F8" s="597"/>
      <c r="G8" s="597"/>
      <c r="H8" s="597"/>
      <c r="I8" s="996" t="s">
        <v>1727</v>
      </c>
      <c r="J8" s="597"/>
      <c r="K8" s="597"/>
      <c r="L8" s="597"/>
      <c r="M8" s="597"/>
      <c r="N8" s="597"/>
      <c r="O8" s="597"/>
      <c r="P8" s="597"/>
      <c r="Q8" s="597"/>
      <c r="R8" s="597"/>
      <c r="S8" s="597"/>
      <c r="T8" s="597"/>
      <c r="U8" s="597"/>
      <c r="V8" s="597"/>
    </row>
    <row r="9" spans="1:22">
      <c r="A9" s="597"/>
      <c r="B9" s="597"/>
      <c r="C9" s="597"/>
      <c r="D9" s="597"/>
      <c r="E9" s="597"/>
      <c r="F9" s="597"/>
      <c r="G9" s="597"/>
      <c r="H9" s="597"/>
      <c r="I9" s="733" t="str">
        <f>"          "&amp;_WIT10</f>
        <v xml:space="preserve">          G. S. CARPENTER</v>
      </c>
      <c r="J9" s="597"/>
      <c r="K9" s="597"/>
      <c r="L9" s="597"/>
      <c r="M9" s="597"/>
      <c r="N9" s="597"/>
      <c r="O9" s="597"/>
      <c r="P9" s="597"/>
      <c r="Q9" s="597"/>
      <c r="R9" s="597"/>
      <c r="S9" s="597"/>
      <c r="T9" s="597"/>
      <c r="U9" s="597"/>
      <c r="V9" s="597"/>
    </row>
    <row r="10" spans="1:22">
      <c r="A10" s="1510"/>
      <c r="B10" s="1510"/>
      <c r="C10" s="1510"/>
      <c r="D10" s="1510"/>
      <c r="E10" s="1510"/>
      <c r="F10" s="1510"/>
      <c r="G10" s="1510"/>
      <c r="H10" s="1510"/>
      <c r="I10" s="1510"/>
      <c r="J10" s="1510"/>
      <c r="K10" s="597"/>
      <c r="L10" s="597"/>
      <c r="M10" s="597"/>
      <c r="N10" s="597"/>
      <c r="O10" s="597"/>
      <c r="P10" s="597"/>
      <c r="Q10" s="597"/>
      <c r="R10" s="597"/>
      <c r="S10" s="597"/>
      <c r="T10" s="597"/>
      <c r="U10" s="597"/>
      <c r="V10" s="597"/>
    </row>
    <row r="11" spans="1:22">
      <c r="A11" s="597"/>
      <c r="B11" s="597"/>
      <c r="C11" s="597"/>
      <c r="D11" s="597"/>
      <c r="E11" s="597"/>
      <c r="F11" s="597"/>
      <c r="G11" s="597"/>
      <c r="H11" s="597"/>
      <c r="I11" s="597"/>
      <c r="J11" s="597"/>
      <c r="K11" s="597"/>
      <c r="L11" s="597"/>
      <c r="M11" s="597"/>
      <c r="N11" s="597"/>
      <c r="O11" s="597"/>
      <c r="P11" s="597"/>
      <c r="Q11" s="597"/>
      <c r="R11" s="597"/>
      <c r="S11" s="597"/>
      <c r="T11" s="597"/>
      <c r="U11" s="597"/>
      <c r="V11" s="597"/>
    </row>
    <row r="12" spans="1:22">
      <c r="A12" s="733" t="s">
        <v>1857</v>
      </c>
      <c r="B12" s="597"/>
      <c r="C12" s="597"/>
      <c r="D12" s="597"/>
      <c r="E12" s="597"/>
      <c r="F12" s="597"/>
      <c r="G12" s="597"/>
      <c r="H12" s="597"/>
      <c r="I12" s="597"/>
      <c r="J12" s="701" t="s">
        <v>975</v>
      </c>
      <c r="K12" s="597"/>
      <c r="L12" s="597"/>
      <c r="M12" s="597"/>
      <c r="N12" s="597"/>
      <c r="O12" s="597"/>
      <c r="P12" s="597"/>
      <c r="Q12" s="597"/>
      <c r="R12" s="597"/>
      <c r="S12" s="597"/>
      <c r="T12" s="597"/>
      <c r="U12" s="597"/>
      <c r="V12" s="597"/>
    </row>
    <row r="13" spans="1:22">
      <c r="A13" s="1510"/>
      <c r="B13" s="1510"/>
      <c r="C13" s="1510"/>
      <c r="D13" s="1510"/>
      <c r="E13" s="1510"/>
      <c r="F13" s="1510"/>
      <c r="G13" s="1510"/>
      <c r="H13" s="1510"/>
      <c r="I13" s="1510"/>
      <c r="J13" s="1510"/>
      <c r="K13" s="597"/>
      <c r="L13" s="597"/>
      <c r="M13" s="597"/>
      <c r="N13" s="597"/>
      <c r="O13" s="597"/>
      <c r="P13" s="597"/>
      <c r="Q13" s="597"/>
      <c r="R13" s="597"/>
      <c r="S13" s="597"/>
      <c r="T13" s="597"/>
      <c r="U13" s="597"/>
      <c r="V13" s="597"/>
    </row>
    <row r="14" spans="1:22">
      <c r="A14" s="597"/>
      <c r="B14" s="597"/>
      <c r="C14" s="597"/>
      <c r="D14" s="597"/>
      <c r="E14" s="597"/>
      <c r="F14" s="597"/>
      <c r="G14" s="597"/>
      <c r="H14" s="597"/>
      <c r="I14" s="597"/>
      <c r="J14" s="597"/>
      <c r="K14" s="597"/>
      <c r="L14" s="597"/>
      <c r="M14" s="597"/>
      <c r="N14" s="597"/>
      <c r="O14" s="597"/>
      <c r="P14" s="597"/>
      <c r="Q14" s="597"/>
      <c r="R14" s="597"/>
      <c r="S14" s="597"/>
      <c r="T14" s="597"/>
      <c r="U14" s="597"/>
      <c r="V14" s="597"/>
    </row>
    <row r="15" spans="1:22">
      <c r="A15" s="169" t="s">
        <v>1858</v>
      </c>
      <c r="B15" s="597"/>
      <c r="C15" s="597"/>
      <c r="D15" s="597"/>
      <c r="E15" s="597"/>
      <c r="F15" s="597"/>
      <c r="G15" s="597"/>
      <c r="H15" s="597"/>
      <c r="I15" s="597"/>
      <c r="J15" s="597"/>
      <c r="K15" s="597"/>
      <c r="L15" s="597"/>
      <c r="M15" s="597"/>
      <c r="N15" s="597"/>
      <c r="O15" s="597"/>
      <c r="P15" s="597"/>
      <c r="Q15" s="597"/>
      <c r="R15" s="597"/>
      <c r="S15" s="597"/>
      <c r="T15" s="597"/>
      <c r="U15" s="597"/>
      <c r="V15" s="597"/>
    </row>
    <row r="16" spans="1:22">
      <c r="A16" s="169" t="s">
        <v>1859</v>
      </c>
      <c r="B16" s="597"/>
      <c r="C16" s="597"/>
      <c r="D16" s="597"/>
      <c r="E16" s="597"/>
      <c r="F16" s="597"/>
      <c r="G16" s="597"/>
      <c r="H16" s="597"/>
      <c r="I16" s="597"/>
      <c r="J16" s="597"/>
      <c r="K16" s="597"/>
      <c r="L16" s="597"/>
      <c r="M16" s="597"/>
      <c r="N16" s="597"/>
      <c r="O16" s="597"/>
      <c r="P16" s="597"/>
      <c r="Q16" s="597"/>
      <c r="R16" s="597"/>
      <c r="S16" s="597"/>
      <c r="T16" s="597"/>
      <c r="U16" s="597"/>
      <c r="V16" s="597"/>
    </row>
    <row r="17" spans="1:22">
      <c r="A17" s="169"/>
      <c r="B17" s="597"/>
      <c r="C17" s="597"/>
      <c r="D17" s="597"/>
      <c r="E17" s="597"/>
      <c r="F17" s="597"/>
      <c r="G17" s="597"/>
      <c r="H17" s="597"/>
      <c r="I17" s="597"/>
      <c r="J17" s="597"/>
      <c r="K17" s="597"/>
      <c r="L17" s="597"/>
      <c r="M17" s="597"/>
      <c r="N17" s="597"/>
      <c r="O17" s="597"/>
      <c r="P17" s="597"/>
      <c r="Q17" s="597"/>
      <c r="R17" s="597"/>
      <c r="S17" s="597"/>
      <c r="T17" s="597"/>
      <c r="U17" s="597"/>
      <c r="V17" s="597"/>
    </row>
    <row r="18" spans="1:22">
      <c r="A18" s="169"/>
      <c r="B18" s="597"/>
      <c r="C18" s="597"/>
      <c r="D18" s="597"/>
      <c r="E18" s="597"/>
      <c r="F18" s="597"/>
      <c r="G18" s="597"/>
      <c r="H18" s="597"/>
      <c r="I18" s="597"/>
      <c r="J18" s="597"/>
      <c r="K18" s="597"/>
      <c r="L18" s="597"/>
      <c r="M18" s="597"/>
      <c r="N18" s="597"/>
      <c r="O18" s="597"/>
      <c r="P18" s="597"/>
      <c r="Q18" s="597"/>
      <c r="R18" s="597"/>
      <c r="S18" s="597"/>
      <c r="T18" s="597"/>
      <c r="U18" s="597"/>
      <c r="V18" s="597"/>
    </row>
    <row r="19" spans="1:22">
      <c r="A19" s="169"/>
      <c r="B19" s="597"/>
      <c r="C19" s="597"/>
      <c r="D19" s="597"/>
      <c r="E19" s="597"/>
      <c r="F19" s="597"/>
      <c r="G19" s="597"/>
      <c r="H19" s="597"/>
      <c r="I19" s="597"/>
      <c r="J19" s="597"/>
      <c r="K19" s="597"/>
      <c r="L19" s="597"/>
      <c r="M19" s="597"/>
      <c r="N19" s="597"/>
      <c r="O19" s="597"/>
      <c r="P19" s="597"/>
      <c r="Q19" s="597"/>
      <c r="R19" s="597"/>
      <c r="S19" s="597"/>
      <c r="T19" s="597"/>
      <c r="U19" s="597"/>
      <c r="V19" s="597"/>
    </row>
    <row r="20" spans="1:22">
      <c r="A20" s="169"/>
      <c r="B20" s="597"/>
      <c r="C20" s="597"/>
      <c r="D20" s="597"/>
      <c r="E20" s="597"/>
      <c r="F20" s="597"/>
      <c r="G20" s="597"/>
      <c r="H20" s="597"/>
      <c r="I20" s="597"/>
      <c r="J20" s="998"/>
      <c r="K20" s="597"/>
      <c r="L20" s="597"/>
      <c r="M20" s="597"/>
      <c r="N20" s="597"/>
      <c r="O20" s="597"/>
      <c r="P20" s="597"/>
      <c r="Q20" s="597"/>
      <c r="R20" s="597"/>
      <c r="S20" s="597"/>
      <c r="T20" s="597"/>
      <c r="U20" s="597"/>
      <c r="V20" s="597"/>
    </row>
    <row r="21" spans="1:22">
      <c r="A21" s="597"/>
      <c r="B21" s="597"/>
      <c r="C21" s="597"/>
      <c r="D21" s="597"/>
      <c r="E21" s="597"/>
      <c r="F21" s="597"/>
      <c r="G21" s="597"/>
      <c r="H21" s="597"/>
      <c r="I21" s="597"/>
      <c r="J21" s="597"/>
      <c r="K21" s="597"/>
      <c r="L21" s="597"/>
      <c r="M21" s="597"/>
      <c r="N21" s="597"/>
      <c r="O21" s="597"/>
      <c r="P21" s="597"/>
      <c r="Q21" s="597"/>
      <c r="R21" s="597"/>
      <c r="S21" s="597"/>
      <c r="T21" s="597"/>
      <c r="U21" s="597"/>
      <c r="V21" s="597"/>
    </row>
    <row r="22" spans="1:22">
      <c r="A22" s="733" t="s">
        <v>1487</v>
      </c>
      <c r="B22" s="597"/>
      <c r="C22" s="597"/>
      <c r="D22" s="597"/>
      <c r="E22" s="597"/>
      <c r="F22" s="597"/>
      <c r="G22" s="733" t="s">
        <v>1860</v>
      </c>
      <c r="H22" s="597"/>
      <c r="I22" s="597"/>
      <c r="J22" s="682">
        <f>T51</f>
        <v>-21828073</v>
      </c>
      <c r="K22" s="597"/>
      <c r="L22" s="597"/>
      <c r="M22" s="597"/>
      <c r="N22" s="597"/>
      <c r="O22" s="597"/>
      <c r="P22" s="597"/>
      <c r="Q22" s="597"/>
      <c r="R22" s="597"/>
      <c r="S22" s="597"/>
      <c r="T22" s="597"/>
      <c r="U22" s="597"/>
      <c r="V22" s="597"/>
    </row>
    <row r="23" spans="1:22">
      <c r="A23" s="733"/>
      <c r="B23" s="597"/>
      <c r="C23" s="597"/>
      <c r="D23" s="597"/>
      <c r="E23" s="597"/>
      <c r="F23" s="597"/>
      <c r="G23" s="597"/>
      <c r="H23" s="597"/>
      <c r="I23" s="597"/>
      <c r="J23" s="998"/>
      <c r="K23" s="597"/>
      <c r="L23" s="597"/>
      <c r="M23" s="597"/>
      <c r="N23" s="597"/>
      <c r="O23" s="597"/>
      <c r="P23" s="597"/>
      <c r="Q23" s="597"/>
      <c r="R23" s="597"/>
      <c r="S23" s="597"/>
      <c r="T23" s="597"/>
      <c r="U23" s="597"/>
      <c r="V23" s="597"/>
    </row>
    <row r="24" spans="1:22">
      <c r="A24" s="733" t="s">
        <v>1413</v>
      </c>
      <c r="B24" s="597"/>
      <c r="C24" s="597"/>
      <c r="D24" s="597"/>
      <c r="E24" s="597"/>
      <c r="F24" s="597"/>
      <c r="G24" s="733" t="s">
        <v>1860</v>
      </c>
      <c r="H24" s="597"/>
      <c r="I24" s="597"/>
      <c r="J24" s="998">
        <f>T53</f>
        <v>-2719333</v>
      </c>
      <c r="K24" s="597"/>
      <c r="L24" s="597"/>
      <c r="M24" s="597"/>
      <c r="N24" s="597"/>
      <c r="O24" s="597"/>
      <c r="P24" s="597"/>
      <c r="Q24" s="597"/>
      <c r="R24" s="597"/>
      <c r="S24" s="597"/>
      <c r="T24" s="597"/>
      <c r="U24" s="597"/>
      <c r="V24" s="597"/>
    </row>
    <row r="25" spans="1:22">
      <c r="A25" s="733"/>
      <c r="B25" s="597"/>
      <c r="C25" s="597"/>
      <c r="D25" s="597"/>
      <c r="E25" s="597"/>
      <c r="F25" s="597"/>
      <c r="G25" s="597"/>
      <c r="H25" s="597"/>
      <c r="I25" s="597"/>
      <c r="J25" s="997"/>
      <c r="K25" s="597"/>
      <c r="L25" s="597"/>
      <c r="M25" s="597"/>
      <c r="N25" s="597"/>
      <c r="O25" s="597"/>
      <c r="P25" s="597"/>
      <c r="Q25" s="597"/>
      <c r="R25" s="597"/>
      <c r="S25" s="597"/>
      <c r="T25" s="597"/>
      <c r="U25" s="597"/>
      <c r="V25" s="597"/>
    </row>
    <row r="26" spans="1:22">
      <c r="A26" s="733" t="s">
        <v>1414</v>
      </c>
      <c r="B26" s="597"/>
      <c r="C26" s="597"/>
      <c r="D26" s="597"/>
      <c r="E26" s="597"/>
      <c r="F26" s="597"/>
      <c r="G26" s="733" t="s">
        <v>1860</v>
      </c>
      <c r="H26" s="597"/>
      <c r="I26" s="597"/>
      <c r="J26" s="1050">
        <f>T55</f>
        <v>3335236</v>
      </c>
      <c r="K26" s="597"/>
      <c r="L26" s="597"/>
      <c r="M26" s="597"/>
      <c r="N26" s="597"/>
      <c r="O26" s="597"/>
      <c r="P26" s="597"/>
      <c r="Q26" s="597"/>
      <c r="R26" s="597"/>
      <c r="S26" s="597"/>
      <c r="T26" s="597"/>
      <c r="U26" s="597"/>
      <c r="V26" s="597"/>
    </row>
    <row r="27" spans="1:22">
      <c r="A27" s="733"/>
      <c r="B27" s="597"/>
      <c r="C27" s="597"/>
      <c r="D27" s="597"/>
      <c r="E27" s="597"/>
      <c r="F27" s="597"/>
      <c r="G27" s="733"/>
      <c r="H27" s="597"/>
      <c r="I27" s="597"/>
      <c r="J27" s="997"/>
      <c r="K27" s="597"/>
      <c r="L27" s="597"/>
      <c r="M27" s="597"/>
      <c r="N27" s="597"/>
      <c r="O27" s="597"/>
      <c r="P27" s="597"/>
      <c r="Q27" s="597"/>
      <c r="R27" s="597"/>
      <c r="S27" s="597"/>
      <c r="T27" s="597"/>
      <c r="U27" s="597"/>
      <c r="V27" s="597"/>
    </row>
    <row r="28" spans="1:22">
      <c r="A28" s="733" t="s">
        <v>1861</v>
      </c>
      <c r="B28" s="597"/>
      <c r="C28" s="597"/>
      <c r="D28" s="597"/>
      <c r="E28" s="597"/>
      <c r="F28" s="597"/>
      <c r="G28" s="597"/>
      <c r="H28" s="597"/>
      <c r="I28" s="597"/>
      <c r="J28" s="682">
        <f>SUM(J22:J26)</f>
        <v>-21212170</v>
      </c>
      <c r="K28" s="597"/>
      <c r="L28" s="597"/>
      <c r="M28" s="597"/>
      <c r="N28" s="597"/>
      <c r="O28" s="597"/>
      <c r="P28" s="597"/>
      <c r="Q28" s="597"/>
      <c r="R28" s="597"/>
      <c r="S28" s="597"/>
      <c r="T28" s="597"/>
      <c r="U28" s="597"/>
      <c r="V28" s="597"/>
    </row>
    <row r="29" spans="1:22">
      <c r="A29" s="597"/>
      <c r="B29" s="597"/>
      <c r="C29" s="597"/>
      <c r="D29" s="597"/>
      <c r="E29" s="597"/>
      <c r="F29" s="597"/>
      <c r="G29" s="597"/>
      <c r="H29" s="597"/>
      <c r="I29" s="597"/>
      <c r="J29" s="998"/>
      <c r="K29" s="597"/>
      <c r="L29" s="597"/>
      <c r="M29" s="597"/>
      <c r="N29" s="597"/>
      <c r="O29" s="597"/>
      <c r="P29" s="597"/>
      <c r="Q29" s="597"/>
      <c r="R29" s="597"/>
      <c r="S29" s="597"/>
      <c r="T29" s="597"/>
      <c r="U29" s="597"/>
      <c r="V29" s="597"/>
    </row>
    <row r="30" spans="1:22">
      <c r="A30" s="733" t="s">
        <v>1862</v>
      </c>
      <c r="B30" s="597"/>
      <c r="C30" s="597"/>
      <c r="D30" s="597"/>
      <c r="E30" s="597"/>
      <c r="F30" s="597"/>
      <c r="G30" s="597"/>
      <c r="H30" s="597"/>
      <c r="I30" s="597"/>
      <c r="J30" s="703">
        <f>VLOOKUP(C35,ALLOCTABLE,2)/100</f>
        <v>1</v>
      </c>
      <c r="K30" s="597"/>
      <c r="L30" s="597"/>
      <c r="M30" s="597"/>
      <c r="N30" s="597"/>
      <c r="O30" s="597"/>
      <c r="P30" s="597"/>
      <c r="Q30" s="597"/>
      <c r="R30" s="597"/>
      <c r="S30" s="597"/>
      <c r="T30" s="597"/>
      <c r="U30" s="597"/>
      <c r="V30" s="597"/>
    </row>
    <row r="31" spans="1:22">
      <c r="A31" s="597"/>
      <c r="B31" s="597"/>
      <c r="C31" s="597"/>
      <c r="D31" s="597"/>
      <c r="E31" s="597"/>
      <c r="F31" s="597"/>
      <c r="G31" s="597"/>
      <c r="H31" s="597"/>
      <c r="I31" s="597"/>
      <c r="J31" s="597"/>
      <c r="K31" s="597"/>
      <c r="L31" s="597"/>
      <c r="M31" s="597"/>
      <c r="N31" s="597"/>
      <c r="O31" s="597"/>
      <c r="P31" s="597"/>
      <c r="Q31" s="597"/>
      <c r="R31" s="597"/>
      <c r="S31" s="597"/>
      <c r="T31" s="597"/>
      <c r="U31" s="597"/>
      <c r="V31" s="597"/>
    </row>
    <row r="32" spans="1:22" ht="15">
      <c r="A32" s="733" t="s">
        <v>1863</v>
      </c>
      <c r="B32" s="597"/>
      <c r="C32" s="597"/>
      <c r="D32" s="597"/>
      <c r="E32" s="597"/>
      <c r="F32" s="597"/>
      <c r="G32" s="597"/>
      <c r="H32" s="597"/>
      <c r="I32" s="597"/>
      <c r="J32" s="688">
        <f>ROUND(J28*J30,0)</f>
        <v>-21212170</v>
      </c>
      <c r="K32" s="597"/>
      <c r="L32" s="597"/>
      <c r="M32" s="597"/>
      <c r="N32" s="597"/>
      <c r="O32" s="597"/>
      <c r="P32" s="597"/>
      <c r="Q32" s="597"/>
      <c r="R32" s="597"/>
      <c r="S32" s="597"/>
      <c r="T32" s="597"/>
      <c r="U32" s="597"/>
      <c r="V32" s="597"/>
    </row>
    <row r="33" spans="1:22">
      <c r="A33" s="597"/>
      <c r="B33" s="597"/>
      <c r="C33" s="597"/>
      <c r="D33" s="597"/>
      <c r="E33" s="597"/>
      <c r="F33" s="597"/>
      <c r="G33" s="597"/>
      <c r="H33" s="597"/>
      <c r="I33" s="597"/>
      <c r="J33" s="1001"/>
      <c r="K33" s="597"/>
      <c r="L33" s="597"/>
      <c r="M33" s="597"/>
      <c r="N33" s="597"/>
      <c r="O33" s="597"/>
      <c r="P33" s="597"/>
      <c r="Q33" s="597"/>
      <c r="R33" s="597"/>
      <c r="S33" s="597"/>
      <c r="T33" s="597"/>
      <c r="U33" s="597"/>
      <c r="V33" s="597"/>
    </row>
    <row r="34" spans="1:22">
      <c r="A34" s="597"/>
      <c r="B34" s="597"/>
      <c r="C34" s="597"/>
      <c r="D34" s="597"/>
      <c r="E34" s="597"/>
      <c r="F34" s="597"/>
      <c r="G34" s="597"/>
      <c r="H34" s="597"/>
      <c r="I34" s="597"/>
      <c r="J34" s="597"/>
      <c r="K34" s="597"/>
      <c r="L34" s="597"/>
      <c r="M34" s="597"/>
      <c r="N34" s="597"/>
      <c r="O34" s="597"/>
      <c r="P34" s="597"/>
      <c r="Q34" s="597"/>
      <c r="R34" s="597"/>
      <c r="S34" s="597"/>
      <c r="T34" s="597"/>
      <c r="U34" s="597"/>
      <c r="V34" s="597"/>
    </row>
    <row r="35" spans="1:22">
      <c r="A35" s="733" t="s">
        <v>1864</v>
      </c>
      <c r="B35" s="597"/>
      <c r="C35" s="1002" t="s">
        <v>428</v>
      </c>
      <c r="D35" s="597"/>
      <c r="E35" s="597"/>
      <c r="F35" s="597"/>
      <c r="G35" s="597"/>
      <c r="H35" s="597"/>
      <c r="I35" s="597"/>
      <c r="J35" s="597"/>
      <c r="K35" s="597"/>
      <c r="L35" s="597"/>
      <c r="M35" s="597"/>
      <c r="N35" s="597"/>
      <c r="O35" s="597"/>
      <c r="P35" s="597"/>
      <c r="Q35" s="597"/>
      <c r="R35" s="597"/>
      <c r="S35" s="597"/>
      <c r="T35" s="597"/>
      <c r="U35" s="597"/>
      <c r="V35" s="597"/>
    </row>
    <row r="36" spans="1:22">
      <c r="A36" s="733"/>
      <c r="B36" s="597"/>
      <c r="C36" s="597"/>
      <c r="D36" s="597"/>
      <c r="E36" s="597"/>
      <c r="F36" s="597"/>
      <c r="G36" s="597"/>
      <c r="H36" s="597"/>
      <c r="I36" s="597"/>
      <c r="J36" s="597"/>
      <c r="K36" s="597"/>
      <c r="L36" s="597"/>
      <c r="M36" s="597"/>
      <c r="N36" s="597"/>
      <c r="O36" s="597"/>
      <c r="P36" s="597"/>
      <c r="Q36" s="597"/>
      <c r="R36" s="597"/>
      <c r="S36" s="597"/>
      <c r="T36" s="597"/>
      <c r="U36" s="597"/>
      <c r="V36" s="597"/>
    </row>
    <row r="37" spans="1:22">
      <c r="A37" s="597"/>
      <c r="B37" s="597"/>
      <c r="C37" s="597"/>
      <c r="D37" s="597"/>
      <c r="E37" s="597"/>
      <c r="F37" s="597"/>
      <c r="G37" s="597"/>
      <c r="H37" s="597"/>
      <c r="I37" s="597"/>
      <c r="J37" s="682"/>
      <c r="K37" s="597"/>
      <c r="L37" s="597"/>
      <c r="M37" s="597"/>
      <c r="N37" s="597"/>
      <c r="O37" s="597"/>
      <c r="P37" s="597"/>
      <c r="Q37" s="597"/>
      <c r="R37" s="597"/>
      <c r="S37" s="597"/>
      <c r="T37" s="597"/>
      <c r="U37" s="597"/>
      <c r="V37" s="597"/>
    </row>
    <row r="38" spans="1:22">
      <c r="A38" s="597"/>
      <c r="B38" s="597"/>
      <c r="C38" s="597"/>
      <c r="D38" s="597"/>
      <c r="E38" s="597"/>
      <c r="F38" s="597"/>
      <c r="G38" s="597"/>
      <c r="H38" s="597"/>
      <c r="I38" s="597"/>
      <c r="J38" s="1003"/>
      <c r="K38" s="597"/>
      <c r="L38" s="597"/>
      <c r="M38" s="597"/>
      <c r="N38" s="597"/>
      <c r="O38" s="597"/>
      <c r="P38" s="597"/>
      <c r="Q38" s="597"/>
      <c r="R38" s="597"/>
      <c r="S38" s="597"/>
      <c r="T38" s="597"/>
      <c r="U38" s="597"/>
      <c r="V38" s="597"/>
    </row>
    <row r="39" spans="1:22">
      <c r="A39" s="597"/>
      <c r="B39" s="597"/>
      <c r="C39" s="597"/>
      <c r="D39" s="597"/>
      <c r="E39" s="597"/>
      <c r="F39" s="597"/>
      <c r="G39" s="597"/>
      <c r="H39" s="597"/>
      <c r="I39" s="597"/>
      <c r="J39" s="1004"/>
      <c r="K39" s="597"/>
      <c r="L39" s="597"/>
      <c r="M39" s="597"/>
      <c r="N39" s="597"/>
      <c r="O39" s="597"/>
      <c r="P39" s="597"/>
      <c r="Q39" s="597"/>
      <c r="R39" s="597"/>
      <c r="S39" s="597"/>
      <c r="T39" s="597"/>
      <c r="U39" s="597"/>
      <c r="V39" s="597"/>
    </row>
    <row r="40" spans="1:22">
      <c r="A40" s="597"/>
      <c r="B40" s="597"/>
      <c r="C40" s="597"/>
      <c r="D40" s="597"/>
      <c r="E40" s="597"/>
      <c r="F40" s="597"/>
      <c r="G40" s="597"/>
      <c r="H40" s="597"/>
      <c r="I40" s="597"/>
      <c r="J40" s="597"/>
      <c r="K40" s="597"/>
      <c r="L40" s="597"/>
      <c r="M40" s="597"/>
      <c r="N40" s="597"/>
      <c r="O40" s="597"/>
      <c r="P40" s="597"/>
      <c r="Q40" s="597"/>
      <c r="R40" s="597"/>
      <c r="S40" s="597"/>
      <c r="T40" s="597"/>
      <c r="U40" s="597"/>
      <c r="V40" s="597"/>
    </row>
    <row r="41" spans="1:22">
      <c r="A41" s="597"/>
      <c r="B41" s="597"/>
      <c r="C41" s="597"/>
      <c r="D41" s="597"/>
      <c r="E41" s="597"/>
      <c r="F41" s="597"/>
      <c r="G41" s="597"/>
      <c r="H41" s="597"/>
      <c r="I41" s="597"/>
      <c r="J41" s="597"/>
      <c r="K41" s="597"/>
      <c r="L41" s="779" t="str">
        <f>COMPANY</f>
        <v>DUKE ENERGY KENTUCKY, INC.</v>
      </c>
      <c r="M41" s="253"/>
      <c r="N41" s="253"/>
      <c r="O41" s="253"/>
      <c r="P41" s="253"/>
      <c r="Q41" s="253"/>
      <c r="S41" s="779" t="s">
        <v>1865</v>
      </c>
      <c r="T41" s="597"/>
      <c r="U41" s="597"/>
      <c r="V41" s="597"/>
    </row>
    <row r="42" spans="1:22">
      <c r="A42" s="597"/>
      <c r="B42" s="597"/>
      <c r="C42" s="597"/>
      <c r="D42" s="597"/>
      <c r="E42" s="597"/>
      <c r="F42" s="597"/>
      <c r="G42" s="597"/>
      <c r="H42" s="597"/>
      <c r="I42" s="597"/>
      <c r="J42" s="597"/>
      <c r="K42" s="597"/>
      <c r="L42" s="779" t="str">
        <f>DEPT</f>
        <v>ELECTRIC DEPARTMENT</v>
      </c>
      <c r="M42" s="253"/>
      <c r="N42" s="253"/>
      <c r="O42" s="253"/>
      <c r="P42" s="253"/>
      <c r="Q42" s="253"/>
      <c r="S42" s="779" t="s">
        <v>1866</v>
      </c>
      <c r="T42" s="597"/>
      <c r="U42" s="597"/>
      <c r="V42" s="597"/>
    </row>
    <row r="43" spans="1:22">
      <c r="A43" s="597"/>
      <c r="B43" s="597"/>
      <c r="C43" s="597"/>
      <c r="D43" s="597"/>
      <c r="E43" s="597"/>
      <c r="F43" s="597"/>
      <c r="G43" s="597"/>
      <c r="H43" s="597"/>
      <c r="I43" s="597"/>
      <c r="J43" s="597"/>
      <c r="K43" s="597"/>
      <c r="L43" s="779" t="str">
        <f>CASE</f>
        <v>CASE NO. 2024-00354</v>
      </c>
      <c r="M43" s="253"/>
      <c r="N43" s="253"/>
      <c r="O43" s="253"/>
      <c r="P43" s="253"/>
      <c r="Q43" s="253"/>
      <c r="S43" s="253" t="str">
        <f>_WIT10</f>
        <v>G. S. CARPENTER</v>
      </c>
      <c r="T43" s="597"/>
      <c r="U43" s="597"/>
      <c r="V43" s="597"/>
    </row>
    <row r="44" spans="1:22">
      <c r="A44" s="597"/>
      <c r="B44" s="597"/>
      <c r="C44" s="597"/>
      <c r="D44" s="597"/>
      <c r="E44" s="597"/>
      <c r="F44" s="597"/>
      <c r="G44" s="597"/>
      <c r="H44" s="597"/>
      <c r="I44" s="597"/>
      <c r="J44" s="597"/>
      <c r="K44" s="597"/>
      <c r="L44" s="779" t="s">
        <v>1867</v>
      </c>
      <c r="M44" s="253"/>
      <c r="N44" s="253"/>
      <c r="O44" s="253"/>
      <c r="P44" s="253"/>
      <c r="Q44" s="253"/>
      <c r="R44" s="961"/>
      <c r="S44" s="253"/>
      <c r="T44" s="597"/>
      <c r="U44" s="597"/>
      <c r="V44" s="597"/>
    </row>
    <row r="45" spans="1:22">
      <c r="A45" s="597"/>
      <c r="B45" s="597"/>
      <c r="C45" s="597"/>
      <c r="D45" s="597"/>
      <c r="E45" s="597"/>
      <c r="F45" s="597"/>
      <c r="G45" s="597"/>
      <c r="H45" s="597"/>
      <c r="I45" s="597"/>
      <c r="J45" s="597"/>
      <c r="K45" s="597"/>
      <c r="L45" s="779"/>
      <c r="M45" s="253"/>
      <c r="N45" s="253"/>
      <c r="O45" s="253"/>
      <c r="P45" s="253"/>
      <c r="Q45" s="253"/>
      <c r="R45" s="253"/>
      <c r="S45" s="253"/>
      <c r="T45" s="597"/>
      <c r="U45" s="597"/>
      <c r="V45" s="597"/>
    </row>
    <row r="46" spans="1:22">
      <c r="A46" s="597"/>
      <c r="B46" s="597"/>
      <c r="C46" s="597"/>
      <c r="D46" s="597"/>
      <c r="E46" s="597"/>
      <c r="F46" s="597"/>
      <c r="G46" s="597"/>
      <c r="H46" s="597"/>
      <c r="I46" s="597"/>
      <c r="J46" s="597"/>
      <c r="K46" s="597"/>
      <c r="L46" s="597"/>
      <c r="M46" s="597"/>
      <c r="N46" s="597"/>
      <c r="O46" s="597"/>
      <c r="P46" s="597"/>
      <c r="Q46" s="597"/>
      <c r="R46" s="597"/>
      <c r="S46" s="597"/>
      <c r="T46" s="597"/>
      <c r="U46" s="597"/>
      <c r="V46" s="597"/>
    </row>
    <row r="47" spans="1:22">
      <c r="A47" s="597"/>
      <c r="B47" s="597"/>
      <c r="C47" s="597"/>
      <c r="D47" s="597"/>
      <c r="E47" s="597"/>
      <c r="F47" s="597"/>
      <c r="G47" s="597"/>
      <c r="H47" s="597"/>
      <c r="I47" s="597"/>
      <c r="J47" s="597"/>
      <c r="K47" s="597"/>
      <c r="L47" s="597"/>
      <c r="M47" s="597"/>
      <c r="N47" s="597"/>
      <c r="O47" s="597"/>
      <c r="P47" s="597"/>
      <c r="Q47" s="597"/>
      <c r="R47" s="597"/>
      <c r="S47" s="597"/>
      <c r="T47" s="597"/>
      <c r="U47" s="597"/>
      <c r="V47" s="597"/>
    </row>
    <row r="48" spans="1:22">
      <c r="A48" s="597"/>
      <c r="B48" s="597"/>
      <c r="C48" s="597"/>
      <c r="D48" s="597"/>
      <c r="E48" s="597"/>
      <c r="F48" s="597"/>
      <c r="G48" s="597"/>
      <c r="H48" s="597"/>
      <c r="I48" s="597"/>
      <c r="J48" s="597"/>
      <c r="K48" s="597"/>
      <c r="L48" s="701" t="s">
        <v>573</v>
      </c>
      <c r="M48" s="701"/>
      <c r="N48" s="701"/>
      <c r="O48" s="701"/>
      <c r="P48" s="701" t="s">
        <v>13</v>
      </c>
      <c r="Q48" s="701"/>
      <c r="R48" s="701" t="s">
        <v>417</v>
      </c>
      <c r="S48" s="701"/>
      <c r="T48" s="701"/>
      <c r="U48" s="701"/>
      <c r="V48" s="701"/>
    </row>
    <row r="49" spans="1:22">
      <c r="A49" s="597"/>
      <c r="B49" s="597"/>
      <c r="C49" s="597"/>
      <c r="D49" s="597"/>
      <c r="E49" s="597"/>
      <c r="F49" s="597"/>
      <c r="G49" s="597"/>
      <c r="H49" s="597"/>
      <c r="I49" s="597"/>
      <c r="J49" s="597"/>
      <c r="K49" s="597"/>
      <c r="L49" s="702" t="s">
        <v>576</v>
      </c>
      <c r="M49" s="702"/>
      <c r="N49" s="702" t="s">
        <v>2</v>
      </c>
      <c r="O49" s="702"/>
      <c r="P49" s="702" t="s">
        <v>418</v>
      </c>
      <c r="Q49" s="702"/>
      <c r="R49" s="702" t="s">
        <v>418</v>
      </c>
      <c r="S49" s="702"/>
      <c r="T49" s="702" t="s">
        <v>698</v>
      </c>
      <c r="U49" s="702"/>
      <c r="V49" s="702"/>
    </row>
    <row r="50" spans="1:22">
      <c r="A50" s="597"/>
      <c r="B50" s="597"/>
      <c r="C50" s="597"/>
      <c r="D50" s="597"/>
      <c r="E50" s="597"/>
      <c r="F50" s="597"/>
      <c r="G50" s="597"/>
      <c r="H50" s="597"/>
      <c r="I50" s="597"/>
      <c r="J50" s="597"/>
      <c r="K50" s="597"/>
      <c r="L50" s="597"/>
      <c r="M50" s="597"/>
      <c r="N50" s="597"/>
      <c r="O50" s="597"/>
      <c r="P50" s="597"/>
      <c r="Q50" s="597"/>
      <c r="R50" s="597"/>
      <c r="S50" s="597"/>
      <c r="T50" s="597"/>
      <c r="U50" s="597"/>
      <c r="V50" s="597"/>
    </row>
    <row r="51" spans="1:22">
      <c r="A51" s="597"/>
      <c r="B51" s="597"/>
      <c r="C51" s="597"/>
      <c r="D51" s="597"/>
      <c r="E51" s="597"/>
      <c r="F51" s="597"/>
      <c r="G51" s="597"/>
      <c r="H51" s="597"/>
      <c r="I51" s="597"/>
      <c r="J51" s="597"/>
      <c r="K51" s="597"/>
      <c r="L51" s="701">
        <v>1</v>
      </c>
      <c r="M51" s="597"/>
      <c r="N51" s="181" t="s">
        <v>13</v>
      </c>
      <c r="O51" s="597"/>
      <c r="P51" s="682">
        <f>WPC_2!E34</f>
        <v>320101480</v>
      </c>
      <c r="Q51" s="597"/>
      <c r="R51" s="682">
        <f>WPC_2!O73</f>
        <v>298273407</v>
      </c>
      <c r="S51" s="597"/>
      <c r="T51" s="682">
        <f>R51-P51</f>
        <v>-21828073</v>
      </c>
      <c r="U51" s="597"/>
      <c r="V51" s="597"/>
    </row>
    <row r="52" spans="1:22">
      <c r="A52" s="597"/>
      <c r="B52" s="597"/>
      <c r="C52" s="597"/>
      <c r="D52" s="597"/>
      <c r="E52" s="597"/>
      <c r="F52" s="597"/>
      <c r="G52" s="597"/>
      <c r="H52" s="597"/>
      <c r="I52" s="597"/>
      <c r="J52" s="597"/>
      <c r="K52" s="597"/>
      <c r="L52" s="701">
        <v>2</v>
      </c>
      <c r="M52" s="597"/>
      <c r="N52" s="181"/>
      <c r="O52" s="597"/>
      <c r="P52" s="597"/>
      <c r="Q52" s="597"/>
      <c r="R52" s="597"/>
      <c r="S52" s="597"/>
      <c r="T52" s="597"/>
      <c r="U52" s="597"/>
      <c r="V52" s="597"/>
    </row>
    <row r="53" spans="1:22">
      <c r="A53" s="597"/>
      <c r="B53" s="597"/>
      <c r="C53" s="597"/>
      <c r="D53" s="597"/>
      <c r="E53" s="597"/>
      <c r="F53" s="597"/>
      <c r="G53" s="597"/>
      <c r="H53" s="597"/>
      <c r="I53" s="597"/>
      <c r="J53" s="597"/>
      <c r="K53" s="597"/>
      <c r="L53" s="701">
        <v>3</v>
      </c>
      <c r="M53" s="597"/>
      <c r="N53" s="181" t="s">
        <v>1868</v>
      </c>
      <c r="O53" s="597"/>
      <c r="P53" s="998">
        <f>WPC_2!F34</f>
        <v>149982546</v>
      </c>
      <c r="Q53" s="597"/>
      <c r="R53" s="998">
        <f>WPC_2!P73</f>
        <v>147263213</v>
      </c>
      <c r="S53" s="597"/>
      <c r="T53" s="998">
        <f>R53-P53</f>
        <v>-2719333</v>
      </c>
      <c r="U53" s="597"/>
      <c r="V53" s="597"/>
    </row>
    <row r="54" spans="1:22">
      <c r="A54" s="597"/>
      <c r="B54" s="597"/>
      <c r="C54" s="597"/>
      <c r="D54" s="597"/>
      <c r="E54" s="597"/>
      <c r="F54" s="597"/>
      <c r="G54" s="597"/>
      <c r="H54" s="597"/>
      <c r="I54" s="597"/>
      <c r="J54" s="597"/>
      <c r="K54" s="597"/>
      <c r="L54" s="701">
        <v>4</v>
      </c>
      <c r="M54" s="597"/>
      <c r="N54" s="181"/>
      <c r="O54" s="597"/>
      <c r="P54" s="597"/>
      <c r="Q54" s="597"/>
      <c r="R54" s="597"/>
      <c r="S54" s="597"/>
      <c r="T54" s="597"/>
      <c r="U54" s="597"/>
      <c r="V54" s="597"/>
    </row>
    <row r="55" spans="1:22">
      <c r="A55" s="597"/>
      <c r="B55" s="597"/>
      <c r="C55" s="597"/>
      <c r="D55" s="597"/>
      <c r="E55" s="597"/>
      <c r="F55" s="597"/>
      <c r="G55" s="597"/>
      <c r="H55" s="597"/>
      <c r="I55" s="597"/>
      <c r="J55" s="597"/>
      <c r="K55" s="597"/>
      <c r="L55" s="701">
        <v>5</v>
      </c>
      <c r="M55" s="597"/>
      <c r="N55" s="181" t="s">
        <v>1414</v>
      </c>
      <c r="O55" s="597"/>
      <c r="P55" s="1511">
        <f>WPC_2!G34</f>
        <v>33681121</v>
      </c>
      <c r="Q55" s="597"/>
      <c r="R55" s="1511">
        <f>WPC_2!Q73</f>
        <v>37016357</v>
      </c>
      <c r="S55" s="597"/>
      <c r="T55" s="1511">
        <f>R55-P55</f>
        <v>3335236</v>
      </c>
      <c r="U55" s="597"/>
      <c r="V55" s="597"/>
    </row>
    <row r="56" spans="1:22">
      <c r="A56" s="597"/>
      <c r="B56" s="597"/>
      <c r="C56" s="597"/>
      <c r="D56" s="597"/>
      <c r="E56" s="597"/>
      <c r="F56" s="597"/>
      <c r="G56" s="597"/>
      <c r="H56" s="597"/>
      <c r="I56" s="597"/>
      <c r="J56" s="597"/>
      <c r="K56" s="597"/>
      <c r="L56" s="701">
        <v>6</v>
      </c>
      <c r="M56" s="597"/>
      <c r="N56" s="597"/>
      <c r="O56" s="597"/>
      <c r="P56" s="597"/>
      <c r="Q56" s="597"/>
      <c r="R56" s="597"/>
      <c r="S56" s="597"/>
      <c r="T56" s="597"/>
      <c r="U56" s="597"/>
      <c r="V56" s="597"/>
    </row>
    <row r="57" spans="1:22" ht="13.8" thickBot="1">
      <c r="A57" s="597"/>
      <c r="B57" s="597"/>
      <c r="C57" s="597"/>
      <c r="D57" s="597"/>
      <c r="E57" s="597"/>
      <c r="F57" s="597"/>
      <c r="G57" s="597"/>
      <c r="H57" s="597"/>
      <c r="I57" s="597"/>
      <c r="J57" s="597"/>
      <c r="K57" s="597"/>
      <c r="L57" s="701">
        <v>7</v>
      </c>
      <c r="M57" s="597"/>
      <c r="N57" s="1006" t="s">
        <v>452</v>
      </c>
      <c r="O57" s="597"/>
      <c r="P57" s="1954">
        <f>SUM(P51:P55)</f>
        <v>503765147</v>
      </c>
      <c r="Q57" s="597"/>
      <c r="R57" s="1954">
        <f>SUM(R51:R55)</f>
        <v>482552977</v>
      </c>
      <c r="S57" s="597"/>
      <c r="T57" s="1954">
        <f>SUM(T51:T55)</f>
        <v>-21212170</v>
      </c>
      <c r="U57" s="597"/>
      <c r="V57" s="597"/>
    </row>
    <row r="58" spans="1:22" ht="13.8" thickTop="1">
      <c r="A58" s="597"/>
      <c r="B58" s="597"/>
      <c r="C58" s="597"/>
      <c r="D58" s="597"/>
      <c r="E58" s="597"/>
      <c r="F58" s="597"/>
      <c r="G58" s="597"/>
      <c r="H58" s="597"/>
      <c r="I58" s="597"/>
      <c r="J58" s="597"/>
      <c r="K58" s="597"/>
      <c r="L58" s="701"/>
      <c r="M58" s="597"/>
      <c r="N58" s="597"/>
      <c r="O58" s="597"/>
      <c r="P58" s="597"/>
      <c r="Q58" s="597"/>
      <c r="R58" s="597"/>
      <c r="S58" s="597"/>
      <c r="T58" s="597"/>
      <c r="U58" s="597"/>
      <c r="V58" s="597"/>
    </row>
    <row r="59" spans="1:22">
      <c r="A59" s="597"/>
      <c r="B59" s="597"/>
      <c r="C59" s="597"/>
      <c r="D59" s="597"/>
      <c r="E59" s="597"/>
      <c r="F59" s="597"/>
      <c r="G59" s="597"/>
      <c r="H59" s="597"/>
      <c r="I59" s="597"/>
      <c r="J59" s="597"/>
      <c r="K59" s="597"/>
      <c r="L59" s="597"/>
      <c r="M59" s="597"/>
      <c r="N59" s="597"/>
      <c r="O59" s="597"/>
      <c r="P59" s="597"/>
      <c r="Q59" s="597"/>
      <c r="R59" s="597"/>
      <c r="S59" s="597"/>
      <c r="T59" s="597"/>
      <c r="U59" s="597"/>
      <c r="V59" s="597"/>
    </row>
    <row r="60" spans="1:22">
      <c r="A60" s="597"/>
      <c r="B60" s="597"/>
      <c r="C60" s="597"/>
      <c r="D60" s="597"/>
      <c r="E60" s="597"/>
      <c r="F60" s="597"/>
      <c r="G60" s="597"/>
      <c r="H60" s="597"/>
      <c r="I60" s="597"/>
      <c r="J60" s="597"/>
      <c r="K60" s="597"/>
      <c r="L60" s="597"/>
      <c r="M60" s="597"/>
      <c r="N60" s="597"/>
      <c r="O60" s="597"/>
      <c r="P60" s="597"/>
      <c r="Q60" s="597"/>
      <c r="R60" s="597"/>
      <c r="S60" s="597"/>
      <c r="T60" s="597"/>
      <c r="U60" s="597"/>
      <c r="V60" s="597"/>
    </row>
    <row r="61" spans="1:22">
      <c r="A61" s="597"/>
      <c r="B61" s="597"/>
      <c r="C61" s="597"/>
      <c r="D61" s="597"/>
      <c r="E61" s="597"/>
      <c r="F61" s="597"/>
      <c r="G61" s="597"/>
      <c r="H61" s="597"/>
      <c r="I61" s="597"/>
      <c r="J61" s="597"/>
      <c r="K61" s="597"/>
      <c r="L61" s="597"/>
      <c r="M61" s="597"/>
      <c r="N61" s="597"/>
      <c r="O61" s="597"/>
      <c r="P61" s="597"/>
      <c r="Q61" s="597"/>
      <c r="R61" s="597"/>
      <c r="S61" s="597"/>
      <c r="T61" s="701" t="s">
        <v>1869</v>
      </c>
      <c r="U61" s="597"/>
      <c r="V61" s="597"/>
    </row>
    <row r="62" spans="1:22">
      <c r="A62" s="597"/>
      <c r="B62" s="597"/>
      <c r="C62" s="597"/>
      <c r="D62" s="597"/>
      <c r="E62" s="597"/>
      <c r="F62" s="597"/>
      <c r="G62" s="597"/>
      <c r="H62" s="597"/>
      <c r="I62" s="597"/>
      <c r="J62" s="597"/>
      <c r="K62" s="597"/>
      <c r="L62" s="597"/>
      <c r="M62" s="597"/>
      <c r="N62" s="597"/>
      <c r="O62" s="597"/>
      <c r="P62" s="597"/>
      <c r="Q62" s="597"/>
      <c r="R62" s="597"/>
      <c r="S62" s="597"/>
      <c r="T62" s="597"/>
      <c r="U62" s="597"/>
      <c r="V62" s="597"/>
    </row>
    <row r="63" spans="1:22">
      <c r="A63" s="597"/>
      <c r="B63" s="597"/>
      <c r="C63" s="597"/>
      <c r="D63" s="597"/>
      <c r="E63" s="597"/>
      <c r="F63" s="597"/>
      <c r="G63" s="597"/>
      <c r="H63" s="597"/>
      <c r="I63" s="597"/>
      <c r="J63" s="597"/>
      <c r="K63" s="597"/>
      <c r="L63" s="597"/>
      <c r="M63" s="597"/>
      <c r="N63" s="597"/>
      <c r="O63" s="597"/>
      <c r="P63" s="597"/>
      <c r="Q63" s="597"/>
      <c r="R63" s="597"/>
      <c r="S63" s="597"/>
      <c r="T63" s="597"/>
      <c r="U63" s="597"/>
      <c r="V63" s="597"/>
    </row>
    <row r="64" spans="1:22">
      <c r="A64" s="597"/>
      <c r="B64" s="597"/>
      <c r="C64" s="597"/>
      <c r="D64" s="597"/>
      <c r="E64" s="597"/>
      <c r="F64" s="597"/>
      <c r="G64" s="597"/>
      <c r="H64" s="597"/>
      <c r="I64" s="597"/>
      <c r="J64" s="597"/>
      <c r="K64" s="597"/>
      <c r="L64" s="597"/>
      <c r="M64" s="597"/>
      <c r="N64" s="597"/>
      <c r="O64" s="597"/>
      <c r="P64" s="597"/>
      <c r="Q64" s="597"/>
      <c r="R64" s="597"/>
      <c r="S64" s="597"/>
      <c r="T64" s="597"/>
      <c r="U64" s="597"/>
      <c r="V64" s="597"/>
    </row>
    <row r="65" spans="1:22">
      <c r="A65" s="597"/>
      <c r="B65" s="597"/>
      <c r="C65" s="597"/>
      <c r="D65" s="597"/>
      <c r="E65" s="597"/>
      <c r="F65" s="597"/>
      <c r="G65" s="597"/>
      <c r="H65" s="597"/>
      <c r="I65" s="597"/>
      <c r="J65" s="597"/>
      <c r="K65" s="597"/>
      <c r="L65" s="597"/>
      <c r="M65" s="597"/>
      <c r="N65" s="597"/>
      <c r="O65" s="597"/>
      <c r="P65" s="597"/>
      <c r="Q65" s="597"/>
      <c r="R65" s="597"/>
      <c r="S65" s="597"/>
      <c r="T65" s="597"/>
      <c r="U65" s="597"/>
      <c r="V65" s="597"/>
    </row>
    <row r="66" spans="1:22">
      <c r="A66" s="597"/>
      <c r="B66" s="597"/>
      <c r="C66" s="597"/>
      <c r="D66" s="597"/>
      <c r="E66" s="597"/>
      <c r="F66" s="597"/>
      <c r="G66" s="597"/>
      <c r="H66" s="597"/>
      <c r="I66" s="597"/>
      <c r="J66" s="597"/>
      <c r="K66" s="597"/>
      <c r="L66" s="597"/>
      <c r="M66" s="597"/>
      <c r="N66" s="597"/>
      <c r="O66" s="597"/>
      <c r="P66" s="597"/>
      <c r="Q66" s="597"/>
      <c r="R66" s="597"/>
      <c r="S66" s="597"/>
      <c r="T66" s="597"/>
      <c r="U66" s="597"/>
      <c r="V66" s="597"/>
    </row>
    <row r="67" spans="1:22">
      <c r="A67" s="597"/>
      <c r="B67" s="597"/>
      <c r="C67" s="597"/>
      <c r="D67" s="597"/>
      <c r="E67" s="597"/>
      <c r="F67" s="597"/>
      <c r="G67" s="597"/>
      <c r="H67" s="597"/>
      <c r="I67" s="597"/>
      <c r="J67" s="597"/>
      <c r="K67" s="597"/>
      <c r="L67" s="597"/>
      <c r="M67" s="597"/>
      <c r="N67" s="597"/>
      <c r="O67" s="597"/>
      <c r="P67" s="597"/>
      <c r="Q67" s="597"/>
      <c r="R67" s="597"/>
      <c r="S67" s="597"/>
      <c r="T67" s="597"/>
      <c r="U67" s="597"/>
      <c r="V67" s="597"/>
    </row>
    <row r="68" spans="1:22">
      <c r="A68" s="597"/>
      <c r="B68" s="597"/>
      <c r="C68" s="597"/>
      <c r="D68" s="597"/>
      <c r="E68" s="597"/>
      <c r="F68" s="597"/>
      <c r="G68" s="597"/>
      <c r="H68" s="597"/>
      <c r="I68" s="597"/>
      <c r="J68" s="597"/>
      <c r="K68" s="597"/>
      <c r="L68" s="597"/>
      <c r="M68" s="597"/>
      <c r="N68" s="597"/>
      <c r="O68" s="597"/>
      <c r="P68" s="597"/>
      <c r="Q68" s="597"/>
      <c r="R68" s="597"/>
      <c r="S68" s="597"/>
      <c r="T68" s="597"/>
      <c r="U68" s="597"/>
      <c r="V68" s="597"/>
    </row>
    <row r="69" spans="1:22">
      <c r="A69" s="597"/>
      <c r="B69" s="597"/>
      <c r="C69" s="597"/>
      <c r="D69" s="597"/>
      <c r="E69" s="597"/>
      <c r="F69" s="597"/>
      <c r="G69" s="597"/>
      <c r="H69" s="597"/>
      <c r="I69" s="597"/>
      <c r="J69" s="597"/>
      <c r="K69" s="597"/>
      <c r="L69" s="597"/>
      <c r="M69" s="597"/>
      <c r="N69" s="597"/>
      <c r="O69" s="597"/>
      <c r="P69" s="597"/>
      <c r="Q69" s="597"/>
      <c r="R69" s="597"/>
      <c r="S69" s="597"/>
      <c r="T69" s="597"/>
      <c r="U69" s="597"/>
      <c r="V69" s="597"/>
    </row>
  </sheetData>
  <phoneticPr fontId="19" type="noConversion"/>
  <pageMargins left="1" right="0.75" top="1" bottom="0" header="0" footer="0"/>
  <pageSetup scale="87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24">
    <tabColor theme="7" tint="-0.249977111117893"/>
    <pageSetUpPr fitToPage="1"/>
  </sheetPr>
  <dimension ref="A1:W69"/>
  <sheetViews>
    <sheetView topLeftCell="A42" workbookViewId="0"/>
  </sheetViews>
  <sheetFormatPr defaultColWidth="8" defaultRowHeight="13.2"/>
  <cols>
    <col min="1" max="1" width="8" customWidth="1"/>
    <col min="2" max="2" width="20.44140625" customWidth="1"/>
    <col min="3" max="3" width="8" customWidth="1"/>
    <col min="4" max="4" width="10.44140625" customWidth="1"/>
    <col min="5" max="7" width="8" customWidth="1"/>
    <col min="8" max="8" width="12.44140625" customWidth="1"/>
    <col min="9" max="9" width="10" customWidth="1"/>
    <col min="10" max="10" width="18.44140625" customWidth="1"/>
    <col min="11" max="12" width="8" customWidth="1"/>
    <col min="13" max="13" width="2.44140625" customWidth="1"/>
    <col min="14" max="14" width="30.5546875" customWidth="1"/>
    <col min="15" max="15" width="3.5546875" customWidth="1"/>
    <col min="16" max="16" width="18.44140625" customWidth="1"/>
    <col min="17" max="17" width="1.5546875" customWidth="1"/>
    <col min="18" max="18" width="18.44140625" customWidth="1"/>
    <col min="19" max="19" width="2.44140625" customWidth="1"/>
    <col min="20" max="20" width="21.5546875" customWidth="1"/>
  </cols>
  <sheetData>
    <row r="1" spans="1:23">
      <c r="A1" s="951" t="str">
        <f>LOGO!B5</f>
        <v>DUKE ENERGY KENTUCKY, INC.</v>
      </c>
      <c r="B1" s="951"/>
      <c r="C1" s="951"/>
      <c r="D1" s="951"/>
      <c r="E1" s="951"/>
      <c r="F1" s="951"/>
      <c r="G1" s="951"/>
      <c r="H1" s="951"/>
      <c r="I1" s="951"/>
      <c r="J1" s="951"/>
      <c r="K1" s="599"/>
      <c r="L1" s="599"/>
      <c r="M1" s="599"/>
      <c r="N1" s="599"/>
      <c r="O1" s="599"/>
      <c r="P1" s="599"/>
      <c r="Q1" s="599"/>
      <c r="R1" s="599"/>
      <c r="S1" s="599"/>
      <c r="T1" s="599"/>
      <c r="U1" s="599"/>
      <c r="V1" s="599"/>
      <c r="W1" s="599"/>
    </row>
    <row r="2" spans="1:23">
      <c r="A2" s="951" t="str">
        <f>LOGO!B6</f>
        <v>CASE NO. 2024-00354</v>
      </c>
      <c r="B2" s="951"/>
      <c r="C2" s="951"/>
      <c r="D2" s="951"/>
      <c r="E2" s="951"/>
      <c r="F2" s="951"/>
      <c r="G2" s="951"/>
      <c r="H2" s="951"/>
      <c r="I2" s="951"/>
      <c r="J2" s="951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</row>
    <row r="3" spans="1:23">
      <c r="A3" s="968" t="s">
        <v>1870</v>
      </c>
      <c r="B3" s="951"/>
      <c r="C3" s="951"/>
      <c r="D3" s="951"/>
      <c r="E3" s="951"/>
      <c r="F3" s="951"/>
      <c r="G3" s="951"/>
      <c r="H3" s="951"/>
      <c r="I3" s="951"/>
      <c r="J3" s="951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</row>
    <row r="4" spans="1:23">
      <c r="A4" s="951" t="str">
        <f>LOGO!B8</f>
        <v>FOR THE TWELVE MONTHS ENDED JUNE 30, 2026</v>
      </c>
      <c r="B4" s="951"/>
      <c r="C4" s="951"/>
      <c r="D4" s="951"/>
      <c r="E4" s="951"/>
      <c r="F4" s="951"/>
      <c r="G4" s="951"/>
      <c r="H4" s="951"/>
      <c r="I4" s="951"/>
      <c r="J4" s="951"/>
      <c r="K4" s="599"/>
      <c r="L4" s="599"/>
      <c r="M4" s="599"/>
      <c r="N4" s="599"/>
      <c r="O4" s="599"/>
      <c r="P4" s="599"/>
      <c r="Q4" s="599"/>
      <c r="R4" s="599"/>
      <c r="S4" s="599"/>
      <c r="T4" s="599"/>
      <c r="U4" s="599"/>
      <c r="V4" s="599"/>
      <c r="W4" s="599"/>
    </row>
    <row r="5" spans="1:23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  <c r="V5" s="599"/>
      <c r="W5" s="599"/>
    </row>
    <row r="6" spans="1:23">
      <c r="A6" s="599" t="str">
        <f>DataB</f>
        <v>DATA: "X" BASE PERIOD  "X" FORECASTED PERIOD</v>
      </c>
      <c r="B6" s="599"/>
      <c r="C6" s="599"/>
      <c r="D6" s="599"/>
      <c r="E6" s="599"/>
      <c r="F6" s="599"/>
      <c r="G6" s="599"/>
      <c r="H6" s="599"/>
      <c r="I6" s="973" t="s">
        <v>1871</v>
      </c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599"/>
      <c r="V6" s="599"/>
      <c r="W6" s="599"/>
    </row>
    <row r="7" spans="1:23">
      <c r="A7" s="599" t="str">
        <f>LOGO!B15</f>
        <v xml:space="preserve">TYPE OF FILING:  "X" ORIGINAL   UPDATED    REVISED  </v>
      </c>
      <c r="B7" s="599"/>
      <c r="C7" s="599"/>
      <c r="D7" s="599"/>
      <c r="E7" s="599"/>
      <c r="F7" s="599"/>
      <c r="G7" s="599"/>
      <c r="H7" s="599"/>
      <c r="I7" s="598" t="s">
        <v>466</v>
      </c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  <c r="U7" s="599"/>
      <c r="V7" s="599"/>
      <c r="W7" s="599"/>
    </row>
    <row r="8" spans="1:23">
      <c r="A8" s="598" t="s">
        <v>1872</v>
      </c>
      <c r="B8" s="599"/>
      <c r="C8" s="599"/>
      <c r="D8" s="599"/>
      <c r="E8" s="599"/>
      <c r="F8" s="599"/>
      <c r="G8" s="599"/>
      <c r="H8" s="599"/>
      <c r="I8" s="598" t="s">
        <v>468</v>
      </c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  <c r="U8" s="599"/>
      <c r="V8" s="599"/>
      <c r="W8" s="599"/>
    </row>
    <row r="9" spans="1:23">
      <c r="A9" s="599"/>
      <c r="B9" s="599"/>
      <c r="C9" s="599"/>
      <c r="D9" s="599"/>
      <c r="E9" s="599"/>
      <c r="F9" s="599"/>
      <c r="G9" s="599"/>
      <c r="H9" s="599"/>
      <c r="I9" s="598" t="str">
        <f>_WIT10</f>
        <v>G. S. CARPENTER</v>
      </c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  <c r="U9" s="599"/>
      <c r="V9" s="599"/>
      <c r="W9" s="599"/>
    </row>
    <row r="10" spans="1:23">
      <c r="A10" s="1372"/>
      <c r="B10" s="1372"/>
      <c r="C10" s="1372"/>
      <c r="D10" s="1372"/>
      <c r="E10" s="1372"/>
      <c r="F10" s="1372"/>
      <c r="G10" s="1372"/>
      <c r="H10" s="1372"/>
      <c r="I10" s="1372"/>
      <c r="J10" s="1372"/>
      <c r="K10" s="598"/>
      <c r="L10" s="599"/>
      <c r="M10" s="599"/>
      <c r="N10" s="599"/>
      <c r="O10" s="599"/>
      <c r="P10" s="599"/>
      <c r="Q10" s="599"/>
      <c r="R10" s="599"/>
      <c r="S10" s="599"/>
      <c r="T10" s="599"/>
      <c r="U10" s="599"/>
      <c r="V10" s="599"/>
      <c r="W10" s="599"/>
    </row>
    <row r="11" spans="1:23">
      <c r="A11" s="599"/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  <c r="U11" s="599"/>
      <c r="V11" s="599"/>
      <c r="W11" s="599"/>
    </row>
    <row r="12" spans="1:23">
      <c r="A12" s="598" t="s">
        <v>1857</v>
      </c>
      <c r="B12" s="599"/>
      <c r="C12" s="599"/>
      <c r="D12" s="599"/>
      <c r="E12" s="599"/>
      <c r="F12" s="599"/>
      <c r="G12" s="599"/>
      <c r="H12" s="599"/>
      <c r="I12" s="599"/>
      <c r="J12" s="974" t="s">
        <v>975</v>
      </c>
      <c r="K12" s="599"/>
      <c r="L12" s="599"/>
      <c r="M12" s="599"/>
      <c r="N12" s="599"/>
      <c r="O12" s="599"/>
      <c r="P12" s="599"/>
      <c r="Q12" s="599"/>
      <c r="R12" s="599"/>
      <c r="S12" s="599"/>
      <c r="T12" s="599"/>
      <c r="U12" s="599"/>
      <c r="V12" s="599"/>
      <c r="W12" s="599"/>
    </row>
    <row r="13" spans="1:23">
      <c r="A13" s="1372"/>
      <c r="B13" s="1372"/>
      <c r="C13" s="1372"/>
      <c r="D13" s="1372"/>
      <c r="E13" s="1372"/>
      <c r="F13" s="1372"/>
      <c r="G13" s="1372"/>
      <c r="H13" s="1372"/>
      <c r="I13" s="1372"/>
      <c r="J13" s="1372"/>
      <c r="K13" s="598"/>
      <c r="L13" s="599"/>
      <c r="M13" s="599"/>
      <c r="N13" s="599"/>
      <c r="O13" s="599"/>
      <c r="P13" s="599"/>
      <c r="Q13" s="599"/>
      <c r="R13" s="599"/>
      <c r="S13" s="599"/>
      <c r="T13" s="599"/>
      <c r="U13" s="599"/>
      <c r="V13" s="599"/>
      <c r="W13" s="599"/>
    </row>
    <row r="14" spans="1:23">
      <c r="A14" s="599"/>
      <c r="B14" s="599"/>
      <c r="C14" s="599"/>
      <c r="D14" s="599"/>
      <c r="E14" s="599"/>
      <c r="F14" s="599"/>
      <c r="G14" s="599"/>
      <c r="H14" s="599"/>
      <c r="I14" s="599"/>
      <c r="J14" s="974"/>
      <c r="K14" s="599"/>
      <c r="L14" s="599"/>
      <c r="M14" s="599"/>
      <c r="N14" s="599"/>
      <c r="O14" s="599"/>
      <c r="P14" s="599"/>
      <c r="Q14" s="599"/>
      <c r="R14" s="599"/>
      <c r="S14" s="599"/>
      <c r="T14" s="599"/>
      <c r="U14" s="599"/>
      <c r="V14" s="599"/>
      <c r="W14" s="599"/>
    </row>
    <row r="15" spans="1:23">
      <c r="A15" s="169" t="s">
        <v>1873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  <c r="V15" s="599"/>
      <c r="W15" s="599"/>
    </row>
    <row r="16" spans="1:23">
      <c r="A16" s="169" t="s">
        <v>1874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</row>
    <row r="17" spans="1:23">
      <c r="A17" s="598"/>
      <c r="B17" s="599"/>
      <c r="C17" s="599"/>
      <c r="D17" s="599"/>
      <c r="E17" s="599"/>
      <c r="F17" s="599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  <c r="U17" s="599"/>
      <c r="V17" s="599"/>
      <c r="W17" s="599"/>
    </row>
    <row r="18" spans="1:23">
      <c r="A18" s="598"/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</row>
    <row r="19" spans="1:23">
      <c r="A19" s="598"/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</row>
    <row r="20" spans="1:23">
      <c r="A20" s="598"/>
      <c r="B20" s="599"/>
      <c r="C20" s="599"/>
      <c r="D20" s="599"/>
      <c r="E20" s="599"/>
      <c r="F20" s="599"/>
      <c r="G20" s="599"/>
      <c r="H20" s="974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  <c r="U20" s="599"/>
      <c r="V20" s="599"/>
      <c r="W20" s="599"/>
    </row>
    <row r="21" spans="1:23">
      <c r="A21" s="734"/>
      <c r="B21" s="599"/>
      <c r="C21" s="599"/>
      <c r="D21" s="599"/>
      <c r="E21" s="599"/>
      <c r="F21" s="599"/>
      <c r="G21" s="599"/>
      <c r="H21" s="96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  <c r="U21" s="599"/>
      <c r="V21" s="599"/>
      <c r="W21" s="599"/>
    </row>
    <row r="22" spans="1:23">
      <c r="A22" s="598" t="s">
        <v>1875</v>
      </c>
      <c r="B22" s="599"/>
      <c r="C22" s="599"/>
      <c r="D22" s="599"/>
      <c r="E22" s="599"/>
      <c r="F22" s="599"/>
      <c r="G22" s="599"/>
      <c r="H22" s="974"/>
      <c r="I22" s="599"/>
      <c r="J22" s="682">
        <f>T51</f>
        <v>-7955234</v>
      </c>
      <c r="K22" s="599"/>
      <c r="L22" s="599"/>
      <c r="M22" s="599"/>
      <c r="N22" s="599"/>
      <c r="O22" s="599"/>
      <c r="P22" s="599"/>
      <c r="Q22" s="599"/>
      <c r="R22" s="599"/>
      <c r="S22" s="599"/>
      <c r="T22" s="599"/>
      <c r="U22" s="599"/>
      <c r="V22" s="599"/>
      <c r="W22" s="599"/>
    </row>
    <row r="23" spans="1:23">
      <c r="A23" s="599"/>
      <c r="B23" s="599"/>
      <c r="C23" s="599"/>
      <c r="D23" s="599"/>
      <c r="E23" s="599"/>
      <c r="F23" s="599"/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  <c r="R23" s="599"/>
      <c r="S23" s="599"/>
      <c r="T23" s="599"/>
      <c r="U23" s="599"/>
      <c r="V23" s="599"/>
      <c r="W23" s="599"/>
    </row>
    <row r="24" spans="1:23">
      <c r="A24" s="598" t="s">
        <v>1862</v>
      </c>
      <c r="B24" s="599"/>
      <c r="C24" s="599"/>
      <c r="D24" s="599"/>
      <c r="E24" s="599"/>
      <c r="F24" s="599"/>
      <c r="G24" s="599"/>
      <c r="H24" s="599"/>
      <c r="I24" s="599"/>
      <c r="J24" s="703">
        <f>VLOOKUP(D31,ALLOCTABLE,2)/100</f>
        <v>1</v>
      </c>
      <c r="K24" s="599"/>
      <c r="L24" s="599"/>
      <c r="M24" s="599"/>
      <c r="N24" s="599"/>
      <c r="O24" s="599"/>
      <c r="P24" s="599"/>
      <c r="Q24" s="599"/>
      <c r="R24" s="599"/>
      <c r="S24" s="599"/>
      <c r="T24" s="599"/>
      <c r="U24" s="599"/>
      <c r="V24" s="599"/>
      <c r="W24" s="599"/>
    </row>
    <row r="25" spans="1:23">
      <c r="A25" s="599"/>
      <c r="B25" s="599"/>
      <c r="C25" s="599"/>
      <c r="D25" s="599"/>
      <c r="E25" s="599"/>
      <c r="F25" s="599"/>
      <c r="G25" s="599"/>
      <c r="H25" s="599"/>
      <c r="I25" s="599"/>
      <c r="J25" s="704"/>
      <c r="K25" s="599"/>
      <c r="L25" s="599"/>
      <c r="M25" s="599"/>
      <c r="N25" s="599"/>
      <c r="O25" s="599"/>
      <c r="P25" s="599"/>
      <c r="Q25" s="599"/>
      <c r="R25" s="599"/>
      <c r="S25" s="599"/>
      <c r="T25" s="599"/>
      <c r="U25" s="599"/>
      <c r="V25" s="599"/>
      <c r="W25" s="599"/>
    </row>
    <row r="26" spans="1:23">
      <c r="A26" s="599"/>
      <c r="B26" s="599"/>
      <c r="C26" s="599"/>
      <c r="D26" s="599"/>
      <c r="E26" s="599"/>
      <c r="F26" s="599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</row>
    <row r="27" spans="1:23" ht="15">
      <c r="A27" s="598" t="s">
        <v>1863</v>
      </c>
      <c r="B27" s="599"/>
      <c r="C27" s="599"/>
      <c r="D27" s="599"/>
      <c r="E27" s="599"/>
      <c r="F27" s="598" t="s">
        <v>1876</v>
      </c>
      <c r="G27" s="599"/>
      <c r="H27" s="599"/>
      <c r="I27" s="704"/>
      <c r="J27" s="705">
        <f>ROUND(J22*J24,0)</f>
        <v>-7955234</v>
      </c>
      <c r="K27" s="599"/>
      <c r="L27" s="599"/>
      <c r="M27" s="599"/>
      <c r="N27" s="599"/>
      <c r="O27" s="599"/>
      <c r="P27" s="599"/>
      <c r="Q27" s="599"/>
      <c r="R27" s="599"/>
      <c r="S27" s="599"/>
      <c r="T27" s="599"/>
      <c r="U27" s="599"/>
      <c r="V27" s="599"/>
      <c r="W27" s="599"/>
    </row>
    <row r="28" spans="1:23">
      <c r="A28" s="599"/>
      <c r="B28" s="599"/>
      <c r="C28" s="599"/>
      <c r="D28" s="599"/>
      <c r="E28" s="599"/>
      <c r="F28" s="599"/>
      <c r="G28" s="599"/>
      <c r="H28" s="599"/>
      <c r="I28" s="599"/>
      <c r="J28" s="704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  <c r="V28" s="599"/>
      <c r="W28" s="599"/>
    </row>
    <row r="29" spans="1:23">
      <c r="A29" s="599"/>
      <c r="B29" s="599"/>
      <c r="C29" s="599"/>
      <c r="D29" s="599"/>
      <c r="E29" s="599"/>
      <c r="F29" s="599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599"/>
      <c r="U29" s="599"/>
      <c r="V29" s="599"/>
      <c r="W29" s="599"/>
    </row>
    <row r="30" spans="1:23">
      <c r="A30" s="599"/>
      <c r="B30" s="599"/>
      <c r="C30" s="599"/>
      <c r="D30" s="599"/>
      <c r="E30" s="599"/>
      <c r="F30" s="599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599"/>
      <c r="T30" s="599"/>
      <c r="U30" s="599"/>
      <c r="V30" s="599"/>
      <c r="W30" s="599"/>
    </row>
    <row r="31" spans="1:23">
      <c r="A31" s="598" t="s">
        <v>1864</v>
      </c>
      <c r="B31" s="599"/>
      <c r="C31" s="599"/>
      <c r="D31" s="966" t="s">
        <v>428</v>
      </c>
      <c r="E31" s="599"/>
      <c r="F31" s="599"/>
      <c r="G31" s="599"/>
      <c r="H31" s="599"/>
      <c r="I31" s="599"/>
      <c r="J31" s="599"/>
      <c r="K31" s="599"/>
      <c r="L31" s="599"/>
      <c r="M31" s="599"/>
      <c r="N31" s="599"/>
      <c r="O31" s="599"/>
      <c r="P31" s="599"/>
      <c r="Q31" s="599"/>
      <c r="R31" s="599"/>
      <c r="S31" s="599"/>
      <c r="T31" s="599"/>
      <c r="U31" s="599"/>
      <c r="V31" s="599"/>
      <c r="W31" s="599"/>
    </row>
    <row r="32" spans="1:23">
      <c r="A32" s="598"/>
      <c r="B32" s="599"/>
      <c r="C32" s="599"/>
      <c r="D32" s="599"/>
      <c r="E32" s="599"/>
      <c r="F32" s="599"/>
      <c r="G32" s="599"/>
      <c r="H32" s="599"/>
      <c r="I32" s="599"/>
      <c r="J32" s="599"/>
      <c r="K32" s="599"/>
      <c r="L32" s="599"/>
      <c r="M32" s="599"/>
      <c r="N32" s="599"/>
      <c r="O32" s="599"/>
      <c r="P32" s="599"/>
      <c r="Q32" s="599"/>
      <c r="R32" s="599"/>
      <c r="S32" s="599"/>
      <c r="T32" s="599"/>
      <c r="U32" s="599"/>
      <c r="V32" s="599"/>
      <c r="W32" s="599"/>
    </row>
    <row r="33" spans="1:23">
      <c r="A33" s="599"/>
      <c r="B33" s="599"/>
      <c r="C33" s="599"/>
      <c r="D33" s="599"/>
      <c r="E33" s="599"/>
      <c r="F33" s="599"/>
      <c r="G33" s="599"/>
      <c r="H33" s="599"/>
      <c r="I33" s="599"/>
      <c r="J33" s="599"/>
      <c r="K33" s="599"/>
      <c r="L33" s="599"/>
      <c r="M33" s="599"/>
      <c r="N33" s="599"/>
      <c r="O33" s="599"/>
      <c r="P33" s="599"/>
      <c r="Q33" s="599"/>
      <c r="R33" s="599"/>
      <c r="S33" s="599"/>
      <c r="T33" s="599"/>
      <c r="U33" s="599"/>
      <c r="V33" s="599"/>
      <c r="W33" s="599"/>
    </row>
    <row r="34" spans="1:23">
      <c r="A34" s="599"/>
      <c r="B34" s="599"/>
      <c r="C34" s="599"/>
      <c r="D34" s="599"/>
      <c r="E34" s="599"/>
      <c r="F34" s="599"/>
      <c r="G34" s="599"/>
      <c r="H34" s="599"/>
      <c r="I34" s="599"/>
      <c r="J34" s="599"/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  <c r="W34" s="599"/>
    </row>
    <row r="35" spans="1:23">
      <c r="A35" s="599"/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599"/>
      <c r="O35" s="599"/>
      <c r="P35" s="599"/>
      <c r="Q35" s="599"/>
      <c r="R35" s="599"/>
      <c r="S35" s="599"/>
      <c r="T35" s="599"/>
      <c r="U35" s="599"/>
      <c r="V35" s="599"/>
      <c r="W35" s="599"/>
    </row>
    <row r="36" spans="1:23">
      <c r="A36" s="599"/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599"/>
      <c r="O36" s="599"/>
      <c r="P36" s="599"/>
      <c r="Q36" s="599"/>
      <c r="R36" s="599"/>
      <c r="S36" s="599"/>
      <c r="T36" s="599"/>
      <c r="U36" s="599"/>
      <c r="V36" s="599"/>
      <c r="W36" s="599"/>
    </row>
    <row r="37" spans="1:23">
      <c r="A37" s="599"/>
      <c r="B37" s="599"/>
      <c r="C37" s="599"/>
      <c r="D37" s="599"/>
      <c r="E37" s="599"/>
      <c r="F37" s="599"/>
      <c r="G37" s="599"/>
      <c r="H37" s="599"/>
      <c r="I37" s="599"/>
      <c r="J37" s="599"/>
      <c r="K37" s="599"/>
      <c r="L37" s="599"/>
      <c r="M37" s="599"/>
      <c r="N37" s="599"/>
      <c r="O37" s="599"/>
      <c r="P37" s="599"/>
      <c r="Q37" s="599"/>
      <c r="R37" s="599"/>
      <c r="S37" s="599"/>
      <c r="T37" s="599"/>
      <c r="U37" s="599"/>
      <c r="V37" s="599"/>
      <c r="W37" s="599"/>
    </row>
    <row r="38" spans="1:23">
      <c r="A38" s="599"/>
      <c r="B38" s="599"/>
      <c r="C38" s="599"/>
      <c r="D38" s="599"/>
      <c r="E38" s="599"/>
      <c r="F38" s="599"/>
      <c r="G38" s="599"/>
      <c r="H38" s="599"/>
      <c r="I38" s="599"/>
      <c r="J38" s="59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  <c r="V38" s="599"/>
      <c r="W38" s="599"/>
    </row>
    <row r="39" spans="1:23">
      <c r="A39" s="599"/>
      <c r="B39" s="599"/>
      <c r="C39" s="599"/>
      <c r="D39" s="599"/>
      <c r="E39" s="599"/>
      <c r="F39" s="599"/>
      <c r="G39" s="599"/>
      <c r="H39" s="599"/>
      <c r="I39" s="599"/>
      <c r="J39" s="599"/>
      <c r="K39" s="599"/>
      <c r="L39" s="599"/>
      <c r="M39" s="599"/>
      <c r="N39" s="599"/>
      <c r="O39" s="599"/>
      <c r="P39" s="599"/>
      <c r="Q39" s="599"/>
      <c r="R39" s="599"/>
      <c r="S39" s="599"/>
      <c r="T39" s="599"/>
      <c r="U39" s="599"/>
      <c r="V39" s="599"/>
      <c r="W39" s="599"/>
    </row>
    <row r="40" spans="1:23">
      <c r="A40" s="599"/>
      <c r="B40" s="599"/>
      <c r="C40" s="599"/>
      <c r="D40" s="599"/>
      <c r="E40" s="599"/>
      <c r="F40" s="599"/>
      <c r="G40" s="599"/>
      <c r="H40" s="599"/>
      <c r="I40" s="599"/>
      <c r="J40" s="599"/>
      <c r="K40" s="599"/>
      <c r="L40" s="599"/>
      <c r="M40" s="599"/>
      <c r="N40" s="599"/>
      <c r="O40" s="599"/>
      <c r="P40" s="599"/>
      <c r="Q40" s="599"/>
      <c r="R40" s="599"/>
      <c r="S40" s="599"/>
      <c r="T40" s="599"/>
      <c r="U40" s="599"/>
      <c r="V40" s="599"/>
      <c r="W40" s="599"/>
    </row>
    <row r="41" spans="1:23">
      <c r="A41" s="599"/>
      <c r="B41" s="599"/>
      <c r="C41" s="599"/>
      <c r="D41" s="599"/>
      <c r="E41" s="599"/>
      <c r="F41" s="599"/>
      <c r="G41" s="599"/>
      <c r="H41" s="599"/>
      <c r="I41" s="599"/>
      <c r="J41" s="599"/>
      <c r="K41" s="599"/>
      <c r="L41" s="779" t="str">
        <f>COMPANY</f>
        <v>DUKE ENERGY KENTUCKY, INC.</v>
      </c>
      <c r="M41" s="253"/>
      <c r="N41" s="253"/>
      <c r="O41" s="253"/>
      <c r="P41" s="253"/>
      <c r="Q41" s="253"/>
      <c r="S41" s="779" t="s">
        <v>1877</v>
      </c>
      <c r="T41" s="597"/>
      <c r="U41" s="599"/>
      <c r="V41" s="599"/>
      <c r="W41" s="599"/>
    </row>
    <row r="42" spans="1:23">
      <c r="A42" s="599"/>
      <c r="B42" s="599"/>
      <c r="C42" s="599"/>
      <c r="D42" s="599"/>
      <c r="E42" s="599"/>
      <c r="F42" s="599"/>
      <c r="G42" s="599"/>
      <c r="H42" s="599"/>
      <c r="I42" s="599"/>
      <c r="J42" s="599"/>
      <c r="K42" s="599"/>
      <c r="L42" s="779" t="str">
        <f>DEPT</f>
        <v>ELECTRIC DEPARTMENT</v>
      </c>
      <c r="M42" s="253"/>
      <c r="N42" s="253"/>
      <c r="O42" s="253"/>
      <c r="P42" s="253"/>
      <c r="Q42" s="253"/>
      <c r="S42" s="779" t="s">
        <v>1866</v>
      </c>
      <c r="T42" s="597"/>
      <c r="U42" s="599"/>
      <c r="V42" s="599"/>
      <c r="W42" s="599"/>
    </row>
    <row r="43" spans="1:23">
      <c r="A43" s="599"/>
      <c r="B43" s="599"/>
      <c r="C43" s="599"/>
      <c r="D43" s="599"/>
      <c r="E43" s="599"/>
      <c r="F43" s="599"/>
      <c r="G43" s="599"/>
      <c r="H43" s="599"/>
      <c r="I43" s="599"/>
      <c r="J43" s="599"/>
      <c r="K43" s="599"/>
      <c r="L43" s="779" t="str">
        <f>CASE</f>
        <v>CASE NO. 2024-00354</v>
      </c>
      <c r="M43" s="253"/>
      <c r="N43" s="253"/>
      <c r="O43" s="253"/>
      <c r="P43" s="253"/>
      <c r="Q43" s="253"/>
      <c r="S43" s="253" t="str">
        <f>_WIT10</f>
        <v>G. S. CARPENTER</v>
      </c>
      <c r="T43" s="597"/>
      <c r="U43" s="599"/>
      <c r="V43" s="599"/>
      <c r="W43" s="599"/>
    </row>
    <row r="44" spans="1:23">
      <c r="A44" s="599"/>
      <c r="B44" s="599"/>
      <c r="C44" s="599"/>
      <c r="D44" s="599"/>
      <c r="E44" s="599"/>
      <c r="F44" s="599"/>
      <c r="G44" s="599"/>
      <c r="H44" s="599"/>
      <c r="I44" s="599"/>
      <c r="J44" s="599"/>
      <c r="K44" s="599"/>
      <c r="L44" s="779" t="s">
        <v>1878</v>
      </c>
      <c r="M44" s="253"/>
      <c r="N44" s="253"/>
      <c r="O44" s="253"/>
      <c r="P44" s="253"/>
      <c r="Q44" s="253"/>
      <c r="R44" s="961"/>
      <c r="S44" s="253"/>
      <c r="T44" s="597"/>
      <c r="U44" s="599"/>
      <c r="V44" s="599"/>
      <c r="W44" s="599"/>
    </row>
    <row r="45" spans="1:23">
      <c r="A45" s="599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779"/>
      <c r="M45" s="253"/>
      <c r="N45" s="253"/>
      <c r="O45" s="253"/>
      <c r="P45" s="253"/>
      <c r="Q45" s="253"/>
      <c r="R45" s="253"/>
      <c r="S45" s="253"/>
      <c r="T45" s="597"/>
      <c r="U45" s="599"/>
      <c r="V45" s="599"/>
      <c r="W45" s="599"/>
    </row>
    <row r="46" spans="1:23">
      <c r="A46" s="599"/>
      <c r="B46" s="599"/>
      <c r="C46" s="599"/>
      <c r="D46" s="599"/>
      <c r="E46" s="599"/>
      <c r="F46" s="599"/>
      <c r="G46" s="599"/>
      <c r="H46" s="599"/>
      <c r="I46" s="599"/>
      <c r="J46" s="599"/>
      <c r="K46" s="599"/>
      <c r="L46" s="597"/>
      <c r="M46" s="597"/>
      <c r="N46" s="597"/>
      <c r="O46" s="597"/>
      <c r="P46" s="597"/>
      <c r="Q46" s="597"/>
      <c r="R46" s="597"/>
      <c r="S46" s="597"/>
      <c r="T46" s="597"/>
      <c r="U46" s="599"/>
      <c r="V46" s="599"/>
      <c r="W46" s="599"/>
    </row>
    <row r="47" spans="1:23">
      <c r="A47" s="599"/>
      <c r="B47" s="599"/>
      <c r="C47" s="599"/>
      <c r="D47" s="599"/>
      <c r="E47" s="599"/>
      <c r="F47" s="599"/>
      <c r="G47" s="599"/>
      <c r="H47" s="599"/>
      <c r="I47" s="599"/>
      <c r="J47" s="599"/>
      <c r="K47" s="599"/>
      <c r="L47" s="597"/>
      <c r="M47" s="597"/>
      <c r="N47" s="597"/>
      <c r="O47" s="597"/>
      <c r="P47" s="597"/>
      <c r="Q47" s="597"/>
      <c r="R47" s="597"/>
      <c r="S47" s="597"/>
      <c r="T47" s="597"/>
      <c r="U47" s="599"/>
      <c r="V47" s="599"/>
      <c r="W47" s="599"/>
    </row>
    <row r="48" spans="1:23">
      <c r="A48" s="599"/>
      <c r="B48" s="599"/>
      <c r="C48" s="599"/>
      <c r="D48" s="599"/>
      <c r="E48" s="599"/>
      <c r="F48" s="599"/>
      <c r="G48" s="599"/>
      <c r="H48" s="599"/>
      <c r="I48" s="599"/>
      <c r="J48" s="599"/>
      <c r="K48" s="599"/>
      <c r="L48" s="701" t="s">
        <v>573</v>
      </c>
      <c r="M48" s="701"/>
      <c r="N48" s="701"/>
      <c r="O48" s="701"/>
      <c r="P48" s="701" t="s">
        <v>13</v>
      </c>
      <c r="Q48" s="701"/>
      <c r="R48" s="701" t="s">
        <v>417</v>
      </c>
      <c r="S48" s="701"/>
      <c r="T48" s="701"/>
      <c r="U48" s="599"/>
      <c r="V48" s="599"/>
      <c r="W48" s="599"/>
    </row>
    <row r="49" spans="1:23">
      <c r="A49" s="599"/>
      <c r="B49" s="599"/>
      <c r="C49" s="599"/>
      <c r="D49" s="599"/>
      <c r="E49" s="599"/>
      <c r="F49" s="599"/>
      <c r="G49" s="599"/>
      <c r="H49" s="599"/>
      <c r="I49" s="599"/>
      <c r="J49" s="599"/>
      <c r="K49" s="599"/>
      <c r="L49" s="702" t="s">
        <v>576</v>
      </c>
      <c r="M49" s="702"/>
      <c r="N49" s="702" t="s">
        <v>2</v>
      </c>
      <c r="O49" s="702"/>
      <c r="P49" s="702" t="s">
        <v>418</v>
      </c>
      <c r="Q49" s="702"/>
      <c r="R49" s="702" t="s">
        <v>418</v>
      </c>
      <c r="S49" s="702"/>
      <c r="T49" s="702" t="s">
        <v>698</v>
      </c>
      <c r="U49" s="599"/>
      <c r="V49" s="599"/>
      <c r="W49" s="599"/>
    </row>
    <row r="50" spans="1:23">
      <c r="A50" s="599"/>
      <c r="B50" s="599"/>
      <c r="C50" s="599"/>
      <c r="D50" s="599"/>
      <c r="E50" s="599"/>
      <c r="F50" s="599"/>
      <c r="G50" s="599"/>
      <c r="H50" s="599"/>
      <c r="I50" s="599"/>
      <c r="J50" s="599"/>
      <c r="K50" s="599"/>
      <c r="L50" s="597"/>
      <c r="M50" s="597"/>
      <c r="N50" s="597"/>
      <c r="O50" s="597"/>
      <c r="P50" s="597"/>
      <c r="Q50" s="597"/>
      <c r="R50" s="597"/>
      <c r="S50" s="597"/>
      <c r="T50" s="597"/>
      <c r="U50" s="599"/>
      <c r="V50" s="599"/>
      <c r="W50" s="599"/>
    </row>
    <row r="51" spans="1:23" ht="13.8" thickBot="1">
      <c r="A51" s="599"/>
      <c r="B51" s="599"/>
      <c r="C51" s="599"/>
      <c r="D51" s="599"/>
      <c r="E51" s="599"/>
      <c r="F51" s="599"/>
      <c r="G51" s="599"/>
      <c r="H51" s="599"/>
      <c r="I51" s="599"/>
      <c r="J51" s="599"/>
      <c r="K51" s="599"/>
      <c r="L51" s="701">
        <v>1</v>
      </c>
      <c r="M51" s="597"/>
      <c r="N51" s="598" t="s">
        <v>1875</v>
      </c>
      <c r="O51" s="597"/>
      <c r="P51" s="1954">
        <f>SCH_C2!E25</f>
        <v>172781854</v>
      </c>
      <c r="Q51" s="597"/>
      <c r="R51" s="1954">
        <f>SCH_C2!H25</f>
        <v>164826620</v>
      </c>
      <c r="S51" s="597"/>
      <c r="T51" s="1954">
        <f>R51-P51</f>
        <v>-7955234</v>
      </c>
      <c r="U51" s="599"/>
      <c r="V51" s="599"/>
      <c r="W51" s="599"/>
    </row>
    <row r="52" spans="1:23" ht="13.8" thickTop="1">
      <c r="A52" s="599"/>
      <c r="B52" s="599"/>
      <c r="C52" s="599"/>
      <c r="D52" s="599"/>
      <c r="E52" s="599"/>
      <c r="F52" s="599"/>
      <c r="G52" s="599"/>
      <c r="H52" s="599"/>
      <c r="I52" s="599"/>
      <c r="J52" s="599"/>
      <c r="K52" s="599"/>
      <c r="L52" s="701"/>
      <c r="M52" s="597"/>
      <c r="N52" s="598"/>
      <c r="O52" s="597"/>
      <c r="P52" s="597"/>
      <c r="Q52" s="597"/>
      <c r="R52" s="597"/>
      <c r="S52" s="597"/>
      <c r="T52" s="597"/>
      <c r="U52" s="599"/>
      <c r="V52" s="599"/>
      <c r="W52" s="599"/>
    </row>
    <row r="53" spans="1:23">
      <c r="A53" s="599"/>
      <c r="B53" s="599"/>
      <c r="C53" s="599"/>
      <c r="D53" s="599"/>
      <c r="E53" s="599"/>
      <c r="F53" s="599"/>
      <c r="G53" s="599"/>
      <c r="H53" s="599"/>
      <c r="I53" s="599"/>
      <c r="J53" s="599"/>
      <c r="K53" s="599"/>
      <c r="L53" s="701"/>
      <c r="M53" s="597"/>
      <c r="N53" s="597"/>
      <c r="O53" s="597"/>
      <c r="P53" s="597"/>
      <c r="Q53" s="597"/>
      <c r="R53" s="597"/>
      <c r="S53" s="597"/>
      <c r="T53" s="597"/>
      <c r="U53" s="599"/>
      <c r="V53" s="599"/>
      <c r="W53" s="599"/>
    </row>
    <row r="54" spans="1:23">
      <c r="A54" s="599"/>
      <c r="B54" s="599"/>
      <c r="C54" s="599"/>
      <c r="D54" s="599"/>
      <c r="E54" s="599"/>
      <c r="F54" s="599"/>
      <c r="G54" s="599"/>
      <c r="H54" s="599"/>
      <c r="I54" s="599"/>
      <c r="J54" s="599"/>
      <c r="K54" s="599"/>
      <c r="L54" s="597"/>
      <c r="M54" s="597"/>
      <c r="N54" s="597"/>
      <c r="O54" s="597"/>
      <c r="P54" s="597"/>
      <c r="Q54" s="597"/>
      <c r="R54" s="597"/>
      <c r="S54" s="597"/>
      <c r="T54" s="597"/>
      <c r="U54" s="599"/>
      <c r="V54" s="599"/>
      <c r="W54" s="599"/>
    </row>
    <row r="55" spans="1:23">
      <c r="A55" s="599"/>
      <c r="B55" s="599"/>
      <c r="C55" s="599"/>
      <c r="D55" s="599"/>
      <c r="E55" s="599"/>
      <c r="F55" s="599"/>
      <c r="G55" s="599"/>
      <c r="H55" s="599"/>
      <c r="I55" s="599"/>
      <c r="J55" s="599"/>
      <c r="K55" s="599"/>
      <c r="L55" s="597"/>
      <c r="M55" s="597"/>
      <c r="N55" s="597"/>
      <c r="O55" s="597"/>
      <c r="P55" s="597"/>
      <c r="Q55" s="597"/>
      <c r="R55" s="597"/>
      <c r="S55" s="597"/>
      <c r="T55" s="597"/>
      <c r="U55" s="599"/>
      <c r="V55" s="599"/>
      <c r="W55" s="599"/>
    </row>
    <row r="56" spans="1:23">
      <c r="A56" s="599"/>
      <c r="B56" s="599"/>
      <c r="C56" s="599"/>
      <c r="D56" s="599"/>
      <c r="E56" s="599"/>
      <c r="F56" s="599"/>
      <c r="G56" s="599"/>
      <c r="H56" s="599"/>
      <c r="I56" s="599"/>
      <c r="J56" s="599"/>
      <c r="K56" s="599"/>
      <c r="L56" s="597"/>
      <c r="M56" s="597"/>
      <c r="N56" s="597"/>
      <c r="O56" s="597"/>
      <c r="P56" s="597"/>
      <c r="Q56" s="597"/>
      <c r="R56" s="597"/>
      <c r="S56" s="597"/>
      <c r="T56" s="701" t="s">
        <v>1869</v>
      </c>
      <c r="U56" s="599"/>
      <c r="V56" s="599"/>
      <c r="W56" s="599"/>
    </row>
    <row r="57" spans="1:23">
      <c r="A57" s="599"/>
      <c r="B57" s="599"/>
      <c r="C57" s="599"/>
      <c r="D57" s="599"/>
      <c r="E57" s="599"/>
      <c r="F57" s="599"/>
      <c r="G57" s="599"/>
      <c r="H57" s="599"/>
      <c r="I57" s="599"/>
      <c r="J57" s="599"/>
      <c r="K57" s="599"/>
      <c r="L57" s="599"/>
      <c r="M57" s="599"/>
      <c r="N57" s="599"/>
      <c r="O57" s="599"/>
      <c r="P57" s="599"/>
      <c r="Q57" s="599"/>
      <c r="R57" s="599"/>
      <c r="S57" s="599"/>
      <c r="T57" s="599"/>
      <c r="U57" s="599"/>
      <c r="V57" s="599"/>
      <c r="W57" s="599"/>
    </row>
    <row r="58" spans="1:23">
      <c r="A58" s="599"/>
      <c r="B58" s="599"/>
      <c r="C58" s="599"/>
      <c r="D58" s="599"/>
      <c r="E58" s="599"/>
      <c r="F58" s="599"/>
      <c r="G58" s="599"/>
      <c r="H58" s="599"/>
      <c r="I58" s="599"/>
      <c r="J58" s="599"/>
      <c r="K58" s="599"/>
      <c r="L58" s="599"/>
      <c r="M58" s="599"/>
      <c r="N58" s="599"/>
      <c r="O58" s="599"/>
      <c r="P58" s="599"/>
      <c r="Q58" s="599"/>
      <c r="R58" s="599"/>
      <c r="S58" s="599"/>
      <c r="T58" s="599"/>
      <c r="U58" s="599"/>
      <c r="V58" s="599"/>
      <c r="W58" s="599"/>
    </row>
    <row r="59" spans="1:23">
      <c r="A59" s="599"/>
      <c r="B59" s="599"/>
      <c r="C59" s="599"/>
      <c r="D59" s="599"/>
      <c r="E59" s="599"/>
      <c r="F59" s="599"/>
      <c r="G59" s="599"/>
      <c r="H59" s="599"/>
      <c r="I59" s="599"/>
      <c r="J59" s="599"/>
      <c r="K59" s="599"/>
      <c r="L59" s="599"/>
      <c r="M59" s="599"/>
      <c r="N59" s="599"/>
      <c r="O59" s="599"/>
      <c r="P59" s="599"/>
      <c r="Q59" s="599"/>
      <c r="R59" s="1051"/>
      <c r="S59" s="599"/>
      <c r="T59" s="599"/>
      <c r="U59" s="599"/>
      <c r="V59" s="599"/>
      <c r="W59" s="599"/>
    </row>
    <row r="60" spans="1:23">
      <c r="A60" s="599"/>
      <c r="B60" s="599"/>
      <c r="C60" s="599"/>
      <c r="D60" s="599"/>
      <c r="E60" s="599"/>
      <c r="F60" s="599"/>
      <c r="G60" s="599"/>
      <c r="H60" s="599"/>
      <c r="I60" s="599"/>
      <c r="J60" s="599"/>
      <c r="K60" s="599"/>
      <c r="L60" s="599"/>
      <c r="M60" s="599"/>
      <c r="N60" s="599"/>
      <c r="O60" s="599"/>
      <c r="P60" s="599"/>
      <c r="Q60" s="599"/>
      <c r="R60" s="599"/>
      <c r="S60" s="599"/>
      <c r="T60" s="599"/>
      <c r="U60" s="599"/>
      <c r="V60" s="599"/>
      <c r="W60" s="599"/>
    </row>
    <row r="61" spans="1:23">
      <c r="A61" s="599"/>
      <c r="B61" s="599"/>
      <c r="C61" s="599"/>
      <c r="D61" s="599"/>
      <c r="E61" s="599"/>
      <c r="F61" s="599"/>
      <c r="G61" s="599"/>
      <c r="H61" s="599"/>
      <c r="I61" s="599"/>
      <c r="J61" s="599"/>
      <c r="K61" s="599"/>
      <c r="L61" s="599"/>
      <c r="M61" s="599"/>
      <c r="N61" s="599"/>
      <c r="O61" s="599"/>
      <c r="P61" s="599"/>
      <c r="Q61" s="599"/>
      <c r="R61" s="599"/>
      <c r="S61" s="599"/>
      <c r="T61" s="599"/>
      <c r="U61" s="599"/>
      <c r="V61" s="599"/>
      <c r="W61" s="599"/>
    </row>
    <row r="62" spans="1:23">
      <c r="A62" s="599"/>
      <c r="B62" s="599"/>
      <c r="C62" s="599"/>
      <c r="D62" s="599"/>
      <c r="E62" s="599"/>
      <c r="F62" s="599"/>
      <c r="G62" s="599"/>
      <c r="H62" s="599"/>
      <c r="I62" s="599"/>
      <c r="J62" s="599"/>
      <c r="K62" s="599"/>
      <c r="L62" s="599"/>
      <c r="M62" s="599"/>
      <c r="N62" s="599"/>
      <c r="O62" s="599"/>
      <c r="P62" s="599"/>
      <c r="Q62" s="599"/>
      <c r="R62" s="599"/>
      <c r="S62" s="599"/>
      <c r="T62" s="599"/>
      <c r="U62" s="599"/>
      <c r="V62" s="599"/>
      <c r="W62" s="599"/>
    </row>
    <row r="63" spans="1:23">
      <c r="A63" s="599"/>
      <c r="B63" s="599"/>
      <c r="C63" s="599"/>
      <c r="D63" s="599"/>
      <c r="E63" s="599"/>
      <c r="F63" s="599"/>
      <c r="G63" s="599"/>
      <c r="H63" s="599"/>
      <c r="I63" s="599"/>
      <c r="J63" s="599"/>
      <c r="K63" s="599"/>
      <c r="L63" s="599"/>
      <c r="M63" s="599"/>
      <c r="N63" s="599"/>
      <c r="O63" s="599"/>
      <c r="P63" s="599"/>
      <c r="Q63" s="599"/>
      <c r="R63" s="599"/>
      <c r="S63" s="599"/>
      <c r="T63" s="599"/>
      <c r="U63" s="599"/>
      <c r="V63" s="599"/>
      <c r="W63" s="599"/>
    </row>
    <row r="64" spans="1:23">
      <c r="A64" s="599"/>
      <c r="B64" s="599"/>
      <c r="C64" s="599"/>
      <c r="D64" s="599"/>
      <c r="E64" s="599"/>
      <c r="F64" s="599"/>
      <c r="G64" s="599"/>
      <c r="H64" s="599"/>
      <c r="I64" s="599"/>
      <c r="J64" s="599"/>
      <c r="K64" s="599"/>
      <c r="L64" s="599"/>
      <c r="M64" s="599"/>
      <c r="N64" s="599"/>
      <c r="O64" s="599"/>
      <c r="P64" s="599"/>
      <c r="Q64" s="599"/>
      <c r="R64" s="599"/>
      <c r="S64" s="599"/>
      <c r="T64" s="599"/>
      <c r="U64" s="599"/>
      <c r="V64" s="599"/>
      <c r="W64" s="599"/>
    </row>
    <row r="65" spans="1:23">
      <c r="A65" s="599"/>
      <c r="B65" s="599"/>
      <c r="C65" s="599"/>
      <c r="D65" s="599"/>
      <c r="E65" s="599"/>
      <c r="F65" s="599"/>
      <c r="G65" s="599"/>
      <c r="H65" s="599"/>
      <c r="I65" s="599"/>
      <c r="J65" s="599"/>
      <c r="K65" s="599"/>
      <c r="L65" s="599"/>
      <c r="M65" s="599"/>
      <c r="N65" s="599"/>
      <c r="O65" s="599"/>
      <c r="P65" s="599"/>
      <c r="Q65" s="599"/>
      <c r="R65" s="599"/>
      <c r="S65" s="599"/>
      <c r="T65" s="599"/>
      <c r="U65" s="599"/>
      <c r="V65" s="599"/>
      <c r="W65" s="599"/>
    </row>
    <row r="66" spans="1:23">
      <c r="A66" s="599"/>
      <c r="B66" s="599"/>
      <c r="C66" s="599"/>
      <c r="D66" s="599"/>
      <c r="E66" s="599"/>
      <c r="F66" s="599"/>
      <c r="G66" s="599"/>
      <c r="H66" s="599"/>
      <c r="I66" s="599"/>
      <c r="J66" s="599"/>
      <c r="K66" s="599"/>
      <c r="L66" s="599"/>
      <c r="M66" s="599"/>
      <c r="N66" s="599"/>
      <c r="O66" s="599"/>
      <c r="P66" s="599"/>
      <c r="Q66" s="599"/>
      <c r="R66" s="599"/>
      <c r="S66" s="599"/>
      <c r="T66" s="599"/>
      <c r="U66" s="599"/>
      <c r="V66" s="599"/>
      <c r="W66" s="599"/>
    </row>
    <row r="67" spans="1:23">
      <c r="A67" s="599"/>
      <c r="B67" s="599"/>
      <c r="C67" s="599"/>
      <c r="D67" s="599"/>
      <c r="E67" s="599"/>
      <c r="F67" s="599"/>
      <c r="G67" s="599"/>
      <c r="H67" s="599"/>
      <c r="I67" s="599"/>
      <c r="J67" s="599"/>
      <c r="K67" s="599"/>
      <c r="L67" s="599"/>
      <c r="M67" s="599"/>
      <c r="N67" s="599"/>
      <c r="O67" s="599"/>
      <c r="P67" s="599"/>
      <c r="Q67" s="599"/>
      <c r="R67" s="599"/>
      <c r="S67" s="599"/>
      <c r="T67" s="599"/>
      <c r="U67" s="599"/>
      <c r="V67" s="599"/>
      <c r="W67" s="599"/>
    </row>
    <row r="68" spans="1:23">
      <c r="A68" s="599"/>
      <c r="B68" s="599"/>
      <c r="C68" s="599"/>
      <c r="D68" s="599"/>
      <c r="E68" s="599"/>
      <c r="F68" s="599"/>
      <c r="G68" s="599"/>
      <c r="H68" s="599"/>
      <c r="I68" s="599"/>
      <c r="J68" s="599"/>
      <c r="K68" s="599"/>
      <c r="L68" s="599"/>
      <c r="M68" s="599"/>
      <c r="N68" s="599"/>
      <c r="O68" s="599"/>
      <c r="P68" s="599"/>
      <c r="Q68" s="599"/>
      <c r="R68" s="599"/>
      <c r="S68" s="599"/>
      <c r="T68" s="599"/>
      <c r="U68" s="599"/>
      <c r="V68" s="599"/>
      <c r="W68" s="599"/>
    </row>
    <row r="69" spans="1:23">
      <c r="A69" s="599"/>
      <c r="B69" s="599"/>
      <c r="C69" s="599"/>
      <c r="D69" s="599"/>
      <c r="E69" s="599"/>
      <c r="F69" s="599"/>
      <c r="G69" s="599"/>
      <c r="H69" s="599"/>
      <c r="I69" s="599"/>
      <c r="J69" s="599"/>
      <c r="K69" s="599"/>
      <c r="L69" s="599"/>
      <c r="M69" s="599"/>
      <c r="N69" s="599"/>
      <c r="O69" s="599"/>
      <c r="P69" s="599"/>
      <c r="Q69" s="599"/>
      <c r="R69" s="599"/>
      <c r="S69" s="599"/>
      <c r="T69" s="599"/>
      <c r="U69" s="599"/>
      <c r="V69" s="599"/>
      <c r="W69" s="599"/>
    </row>
  </sheetData>
  <phoneticPr fontId="19" type="noConversion"/>
  <pageMargins left="1" right="0.75" top="1" bottom="0" header="0" footer="0"/>
  <pageSetup scale="82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5">
    <tabColor theme="7" tint="-0.249977111117893"/>
    <pageSetUpPr fitToPage="1"/>
  </sheetPr>
  <dimension ref="A1:X69"/>
  <sheetViews>
    <sheetView topLeftCell="A39" workbookViewId="0"/>
  </sheetViews>
  <sheetFormatPr defaultColWidth="8" defaultRowHeight="13.2"/>
  <cols>
    <col min="1" max="1" width="8" customWidth="1"/>
    <col min="2" max="2" width="20.44140625" customWidth="1"/>
    <col min="3" max="3" width="8" customWidth="1"/>
    <col min="4" max="4" width="10.44140625" customWidth="1"/>
    <col min="5" max="7" width="8" customWidth="1"/>
    <col min="8" max="8" width="12.44140625" customWidth="1"/>
    <col min="9" max="9" width="10" customWidth="1"/>
    <col min="10" max="10" width="18.44140625" customWidth="1"/>
    <col min="11" max="12" width="8" customWidth="1"/>
    <col min="13" max="13" width="2.44140625" customWidth="1"/>
    <col min="14" max="14" width="31.5546875" customWidth="1"/>
    <col min="15" max="15" width="3.5546875" customWidth="1"/>
    <col min="16" max="16" width="16" customWidth="1"/>
    <col min="17" max="17" width="1.5546875" customWidth="1"/>
    <col min="18" max="18" width="18.44140625" customWidth="1"/>
    <col min="19" max="19" width="2.44140625" customWidth="1"/>
    <col min="20" max="20" width="20.5546875" customWidth="1"/>
  </cols>
  <sheetData>
    <row r="1" spans="1:24">
      <c r="A1" s="951" t="str">
        <f>LOGO!B5</f>
        <v>DUKE ENERGY KENTUCKY, INC.</v>
      </c>
      <c r="B1" s="951"/>
      <c r="C1" s="951"/>
      <c r="D1" s="951"/>
      <c r="E1" s="951"/>
      <c r="F1" s="951"/>
      <c r="G1" s="951"/>
      <c r="H1" s="951"/>
      <c r="I1" s="951"/>
      <c r="J1" s="951"/>
      <c r="K1" s="599"/>
      <c r="L1" s="599"/>
      <c r="M1" s="599"/>
      <c r="N1" s="599"/>
      <c r="O1" s="599"/>
      <c r="P1" s="599"/>
      <c r="Q1" s="599"/>
      <c r="R1" s="599"/>
      <c r="S1" s="599"/>
      <c r="T1" s="599"/>
      <c r="U1" s="599"/>
      <c r="V1" s="599"/>
      <c r="W1" s="599"/>
      <c r="X1" s="599"/>
    </row>
    <row r="2" spans="1:24">
      <c r="A2" s="951" t="str">
        <f>LOGO!B6</f>
        <v>CASE NO. 2024-00354</v>
      </c>
      <c r="B2" s="951"/>
      <c r="C2" s="951"/>
      <c r="D2" s="951"/>
      <c r="E2" s="951"/>
      <c r="F2" s="951"/>
      <c r="G2" s="951"/>
      <c r="H2" s="951"/>
      <c r="I2" s="951"/>
      <c r="J2" s="951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</row>
    <row r="3" spans="1:24">
      <c r="A3" s="968" t="s">
        <v>1879</v>
      </c>
      <c r="B3" s="951"/>
      <c r="C3" s="951"/>
      <c r="D3" s="951"/>
      <c r="E3" s="951"/>
      <c r="F3" s="951"/>
      <c r="G3" s="951"/>
      <c r="H3" s="951"/>
      <c r="I3" s="951"/>
      <c r="J3" s="951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</row>
    <row r="4" spans="1:24">
      <c r="A4" s="951" t="str">
        <f>LOGO!B8</f>
        <v>FOR THE TWELVE MONTHS ENDED JUNE 30, 2026</v>
      </c>
      <c r="B4" s="951"/>
      <c r="C4" s="951"/>
      <c r="D4" s="951"/>
      <c r="E4" s="951"/>
      <c r="F4" s="951"/>
      <c r="G4" s="951"/>
      <c r="H4" s="951"/>
      <c r="I4" s="951"/>
      <c r="J4" s="951"/>
      <c r="K4" s="599"/>
      <c r="L4" s="599"/>
      <c r="M4" s="599"/>
      <c r="N4" s="599"/>
      <c r="O4" s="599"/>
      <c r="P4" s="599"/>
      <c r="Q4" s="599"/>
      <c r="R4" s="599"/>
      <c r="S4" s="599"/>
      <c r="T4" s="599"/>
      <c r="U4" s="599"/>
      <c r="V4" s="599"/>
      <c r="W4" s="599"/>
      <c r="X4" s="599"/>
    </row>
    <row r="5" spans="1:24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  <c r="V5" s="599"/>
      <c r="W5" s="599"/>
      <c r="X5" s="599"/>
    </row>
    <row r="6" spans="1:24">
      <c r="A6" s="599" t="str">
        <f>DataB</f>
        <v>DATA: "X" BASE PERIOD  "X" FORECASTED PERIOD</v>
      </c>
      <c r="B6" s="599"/>
      <c r="C6" s="599"/>
      <c r="D6" s="599"/>
      <c r="E6" s="599"/>
      <c r="F6" s="599"/>
      <c r="G6" s="599"/>
      <c r="H6" s="599"/>
      <c r="I6" s="973" t="s">
        <v>1880</v>
      </c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599"/>
      <c r="V6" s="599"/>
      <c r="W6" s="599"/>
      <c r="X6" s="599"/>
    </row>
    <row r="7" spans="1:24">
      <c r="A7" s="599" t="str">
        <f>LOGO!B15</f>
        <v xml:space="preserve">TYPE OF FILING:  "X" ORIGINAL   UPDATED    REVISED  </v>
      </c>
      <c r="B7" s="599"/>
      <c r="C7" s="599"/>
      <c r="D7" s="599"/>
      <c r="E7" s="599"/>
      <c r="F7" s="599"/>
      <c r="G7" s="599"/>
      <c r="H7" s="599"/>
      <c r="I7" s="598" t="s">
        <v>466</v>
      </c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  <c r="U7" s="599"/>
      <c r="V7" s="599"/>
      <c r="W7" s="599"/>
      <c r="X7" s="599"/>
    </row>
    <row r="8" spans="1:24">
      <c r="A8" s="598" t="s">
        <v>1881</v>
      </c>
      <c r="B8" s="599"/>
      <c r="C8" s="599"/>
      <c r="D8" s="599"/>
      <c r="E8" s="599"/>
      <c r="F8" s="599"/>
      <c r="G8" s="599"/>
      <c r="H8" s="599"/>
      <c r="I8" s="598" t="s">
        <v>468</v>
      </c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  <c r="U8" s="599"/>
      <c r="V8" s="599"/>
      <c r="W8" s="599"/>
      <c r="X8" s="599"/>
    </row>
    <row r="9" spans="1:24">
      <c r="A9" s="599"/>
      <c r="B9" s="599"/>
      <c r="C9" s="599"/>
      <c r="D9" s="599"/>
      <c r="E9" s="599"/>
      <c r="F9" s="599"/>
      <c r="G9" s="599"/>
      <c r="H9" s="599"/>
      <c r="I9" s="598" t="str">
        <f>_WIT10</f>
        <v>G. S. CARPENTER</v>
      </c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  <c r="U9" s="599"/>
      <c r="V9" s="599"/>
      <c r="W9" s="599"/>
      <c r="X9" s="599"/>
    </row>
    <row r="10" spans="1:24">
      <c r="A10" s="1372"/>
      <c r="B10" s="1372"/>
      <c r="C10" s="1372"/>
      <c r="D10" s="1372"/>
      <c r="E10" s="1372"/>
      <c r="F10" s="1372"/>
      <c r="G10" s="1372"/>
      <c r="H10" s="1372"/>
      <c r="I10" s="1372"/>
      <c r="J10" s="1372"/>
      <c r="K10" s="598"/>
      <c r="L10" s="599"/>
      <c r="M10" s="599"/>
      <c r="N10" s="599"/>
      <c r="O10" s="599"/>
      <c r="P10" s="599"/>
      <c r="Q10" s="599"/>
      <c r="R10" s="599"/>
      <c r="S10" s="599"/>
      <c r="T10" s="599"/>
      <c r="U10" s="599"/>
      <c r="V10" s="599"/>
      <c r="W10" s="599"/>
      <c r="X10" s="599"/>
    </row>
    <row r="11" spans="1:24">
      <c r="A11" s="599"/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  <c r="U11" s="599"/>
      <c r="V11" s="599"/>
      <c r="W11" s="599"/>
      <c r="X11" s="599"/>
    </row>
    <row r="12" spans="1:24">
      <c r="A12" s="598" t="s">
        <v>1857</v>
      </c>
      <c r="B12" s="599"/>
      <c r="C12" s="599"/>
      <c r="D12" s="599"/>
      <c r="E12" s="599"/>
      <c r="F12" s="599"/>
      <c r="G12" s="599"/>
      <c r="H12" s="599"/>
      <c r="I12" s="599"/>
      <c r="J12" s="974" t="s">
        <v>975</v>
      </c>
      <c r="K12" s="599"/>
      <c r="L12" s="599"/>
      <c r="M12" s="599"/>
      <c r="N12" s="599"/>
      <c r="O12" s="599"/>
      <c r="P12" s="599"/>
      <c r="Q12" s="599"/>
      <c r="R12" s="599"/>
      <c r="S12" s="599"/>
      <c r="T12" s="599"/>
      <c r="U12" s="599"/>
      <c r="V12" s="599"/>
      <c r="W12" s="599"/>
      <c r="X12" s="599"/>
    </row>
    <row r="13" spans="1:24">
      <c r="A13" s="1372"/>
      <c r="B13" s="1372"/>
      <c r="C13" s="1372"/>
      <c r="D13" s="1372"/>
      <c r="E13" s="1372"/>
      <c r="F13" s="1372"/>
      <c r="G13" s="1372"/>
      <c r="H13" s="1372"/>
      <c r="I13" s="1372"/>
      <c r="J13" s="1372"/>
      <c r="K13" s="598"/>
      <c r="L13" s="599"/>
      <c r="M13" s="599"/>
      <c r="N13" s="599"/>
      <c r="O13" s="599"/>
      <c r="P13" s="599"/>
      <c r="Q13" s="599"/>
      <c r="R13" s="599"/>
      <c r="S13" s="599"/>
      <c r="T13" s="599"/>
      <c r="U13" s="599"/>
      <c r="V13" s="599"/>
      <c r="W13" s="599"/>
      <c r="X13" s="599"/>
    </row>
    <row r="14" spans="1:24">
      <c r="A14" s="599"/>
      <c r="B14" s="599"/>
      <c r="C14" s="599"/>
      <c r="D14" s="599"/>
      <c r="E14" s="599"/>
      <c r="F14" s="599"/>
      <c r="G14" s="599"/>
      <c r="H14" s="599"/>
      <c r="I14" s="599"/>
      <c r="J14" s="974"/>
      <c r="K14" s="599"/>
      <c r="L14" s="599"/>
      <c r="M14" s="599"/>
      <c r="N14" s="599"/>
      <c r="O14" s="599"/>
      <c r="P14" s="599"/>
      <c r="Q14" s="599"/>
      <c r="R14" s="599"/>
      <c r="S14" s="599"/>
      <c r="T14" s="599"/>
      <c r="U14" s="599"/>
      <c r="V14" s="599"/>
      <c r="W14" s="599"/>
      <c r="X14" s="599"/>
    </row>
    <row r="15" spans="1:24">
      <c r="A15" s="169" t="s">
        <v>1882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  <c r="V15" s="599"/>
      <c r="W15" s="599"/>
      <c r="X15" s="599"/>
    </row>
    <row r="16" spans="1:24">
      <c r="A16" s="169" t="s">
        <v>1883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</row>
    <row r="17" spans="1:24">
      <c r="A17" s="598"/>
      <c r="B17" s="599"/>
      <c r="C17" s="599"/>
      <c r="D17" s="599"/>
      <c r="E17" s="599"/>
      <c r="F17" s="599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  <c r="U17" s="599"/>
      <c r="V17" s="599"/>
      <c r="W17" s="599"/>
      <c r="X17" s="599"/>
    </row>
    <row r="18" spans="1:24">
      <c r="A18" s="598"/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  <c r="X18" s="599"/>
    </row>
    <row r="19" spans="1:24">
      <c r="A19" s="598"/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</row>
    <row r="20" spans="1:24">
      <c r="A20" s="598"/>
      <c r="B20" s="599"/>
      <c r="C20" s="599"/>
      <c r="D20" s="599"/>
      <c r="E20" s="599"/>
      <c r="F20" s="599"/>
      <c r="G20" s="599"/>
      <c r="H20" s="974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  <c r="U20" s="599"/>
      <c r="V20" s="599"/>
      <c r="W20" s="599"/>
      <c r="X20" s="599"/>
    </row>
    <row r="21" spans="1:24">
      <c r="A21" s="734"/>
      <c r="B21" s="599"/>
      <c r="C21" s="599"/>
      <c r="D21" s="599"/>
      <c r="E21" s="599"/>
      <c r="F21" s="599"/>
      <c r="G21" s="599"/>
      <c r="H21" s="96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  <c r="U21" s="599"/>
      <c r="V21" s="599"/>
      <c r="W21" s="599"/>
      <c r="X21" s="599"/>
    </row>
    <row r="22" spans="1:24">
      <c r="A22" s="599"/>
      <c r="B22" s="599"/>
      <c r="C22" s="599"/>
      <c r="D22" s="599"/>
      <c r="E22" s="599"/>
      <c r="F22" s="599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  <c r="U22" s="599"/>
      <c r="V22" s="599"/>
      <c r="W22" s="599"/>
      <c r="X22" s="599"/>
    </row>
    <row r="23" spans="1:24">
      <c r="A23" s="598" t="s">
        <v>1884</v>
      </c>
      <c r="B23" s="599"/>
      <c r="C23" s="599"/>
      <c r="D23" s="599"/>
      <c r="E23" s="599"/>
      <c r="F23" s="599"/>
      <c r="G23" s="599"/>
      <c r="H23" s="599"/>
      <c r="I23" s="704"/>
      <c r="J23" s="682">
        <f>T53</f>
        <v>3808146</v>
      </c>
      <c r="K23" s="599"/>
      <c r="L23" s="599"/>
      <c r="M23" s="599"/>
      <c r="N23" s="599"/>
      <c r="O23" s="599"/>
      <c r="P23" s="599"/>
      <c r="Q23" s="599"/>
      <c r="R23" s="599"/>
      <c r="S23" s="599"/>
      <c r="T23" s="599"/>
      <c r="U23" s="599"/>
      <c r="V23" s="599"/>
      <c r="W23" s="599"/>
      <c r="X23" s="599"/>
    </row>
    <row r="24" spans="1:24">
      <c r="A24" s="599"/>
      <c r="B24" s="599"/>
      <c r="C24" s="599"/>
      <c r="D24" s="599"/>
      <c r="E24" s="599"/>
      <c r="F24" s="599"/>
      <c r="G24" s="599"/>
      <c r="H24" s="599"/>
      <c r="I24" s="599"/>
      <c r="J24" s="704"/>
      <c r="K24" s="599"/>
      <c r="L24" s="599"/>
      <c r="M24" s="599"/>
      <c r="N24" s="599"/>
      <c r="O24" s="599"/>
      <c r="P24" s="599"/>
      <c r="Q24" s="599"/>
      <c r="R24" s="599"/>
      <c r="S24" s="599"/>
      <c r="T24" s="599"/>
      <c r="U24" s="599"/>
      <c r="V24" s="599"/>
      <c r="W24" s="599"/>
      <c r="X24" s="599"/>
    </row>
    <row r="25" spans="1:24">
      <c r="A25" s="599"/>
      <c r="B25" s="599"/>
      <c r="C25" s="599"/>
      <c r="D25" s="599"/>
      <c r="E25" s="599"/>
      <c r="F25" s="599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  <c r="U25" s="599"/>
      <c r="V25" s="599"/>
      <c r="W25" s="599"/>
      <c r="X25" s="599"/>
    </row>
    <row r="26" spans="1:24">
      <c r="A26" s="598" t="s">
        <v>1862</v>
      </c>
      <c r="B26" s="599"/>
      <c r="C26" s="599"/>
      <c r="D26" s="599"/>
      <c r="E26" s="599"/>
      <c r="F26" s="599"/>
      <c r="G26" s="599"/>
      <c r="H26" s="599"/>
      <c r="I26" s="599"/>
      <c r="J26" s="703">
        <f>VLOOKUP(D33,ALLOCTABLE,2)/100</f>
        <v>1</v>
      </c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  <c r="X26" s="599"/>
    </row>
    <row r="27" spans="1:24">
      <c r="A27" s="599"/>
      <c r="B27" s="599"/>
      <c r="C27" s="599"/>
      <c r="D27" s="599"/>
      <c r="E27" s="599"/>
      <c r="F27" s="599"/>
      <c r="G27" s="599"/>
      <c r="H27" s="599"/>
      <c r="I27" s="599"/>
      <c r="J27" s="704"/>
      <c r="K27" s="599"/>
      <c r="L27" s="599"/>
      <c r="M27" s="599"/>
      <c r="N27" s="599"/>
      <c r="O27" s="599"/>
      <c r="P27" s="599"/>
      <c r="Q27" s="599"/>
      <c r="R27" s="599"/>
      <c r="S27" s="599"/>
      <c r="T27" s="599"/>
      <c r="U27" s="599"/>
      <c r="V27" s="599"/>
      <c r="W27" s="599"/>
      <c r="X27" s="599"/>
    </row>
    <row r="28" spans="1:24">
      <c r="A28" s="599"/>
      <c r="B28" s="599"/>
      <c r="C28" s="599"/>
      <c r="D28" s="599"/>
      <c r="E28" s="599"/>
      <c r="F28" s="599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  <c r="V28" s="599"/>
      <c r="W28" s="599"/>
      <c r="X28" s="599"/>
    </row>
    <row r="29" spans="1:24" ht="15">
      <c r="A29" s="598" t="s">
        <v>1863</v>
      </c>
      <c r="B29" s="599"/>
      <c r="C29" s="599"/>
      <c r="D29" s="599"/>
      <c r="E29" s="599"/>
      <c r="F29" s="598" t="s">
        <v>1876</v>
      </c>
      <c r="G29" s="599"/>
      <c r="H29" s="599"/>
      <c r="I29" s="704"/>
      <c r="J29" s="705">
        <f>ROUND(J23*J26,0)</f>
        <v>3808146</v>
      </c>
      <c r="K29" s="599"/>
      <c r="L29" s="599"/>
      <c r="M29" s="599"/>
      <c r="N29" s="599"/>
      <c r="O29" s="599"/>
      <c r="P29" s="599"/>
      <c r="Q29" s="599"/>
      <c r="R29" s="599"/>
      <c r="S29" s="599"/>
      <c r="T29" s="599"/>
      <c r="U29" s="599"/>
      <c r="V29" s="599"/>
      <c r="W29" s="599"/>
      <c r="X29" s="599"/>
    </row>
    <row r="30" spans="1:24">
      <c r="A30" s="599"/>
      <c r="B30" s="599"/>
      <c r="C30" s="599"/>
      <c r="D30" s="599"/>
      <c r="E30" s="599"/>
      <c r="F30" s="599"/>
      <c r="G30" s="599"/>
      <c r="H30" s="599"/>
      <c r="I30" s="599"/>
      <c r="J30" s="704"/>
      <c r="K30" s="599"/>
      <c r="L30" s="599"/>
      <c r="M30" s="599"/>
      <c r="N30" s="599"/>
      <c r="O30" s="599"/>
      <c r="P30" s="599"/>
      <c r="Q30" s="599"/>
      <c r="R30" s="599"/>
      <c r="S30" s="599"/>
      <c r="T30" s="599"/>
      <c r="U30" s="599"/>
      <c r="V30" s="599"/>
      <c r="W30" s="599"/>
      <c r="X30" s="599"/>
    </row>
    <row r="31" spans="1:24">
      <c r="A31" s="599"/>
      <c r="B31" s="599"/>
      <c r="C31" s="599"/>
      <c r="D31" s="599"/>
      <c r="E31" s="599"/>
      <c r="F31" s="599"/>
      <c r="G31" s="599"/>
      <c r="H31" s="599"/>
      <c r="I31" s="599"/>
      <c r="J31" s="599"/>
      <c r="K31" s="599"/>
      <c r="L31" s="599"/>
      <c r="M31" s="599"/>
      <c r="N31" s="599"/>
      <c r="O31" s="599"/>
      <c r="P31" s="599"/>
      <c r="Q31" s="599"/>
      <c r="R31" s="599"/>
      <c r="S31" s="599"/>
      <c r="T31" s="599"/>
      <c r="U31" s="599"/>
      <c r="V31" s="599"/>
      <c r="W31" s="599"/>
      <c r="X31" s="599"/>
    </row>
    <row r="32" spans="1:24">
      <c r="A32" s="599"/>
      <c r="B32" s="599"/>
      <c r="C32" s="599"/>
      <c r="D32" s="599"/>
      <c r="E32" s="599"/>
      <c r="F32" s="599"/>
      <c r="G32" s="599"/>
      <c r="H32" s="599"/>
      <c r="I32" s="599"/>
      <c r="J32" s="599"/>
      <c r="K32" s="599"/>
      <c r="L32" s="599"/>
      <c r="M32" s="599"/>
      <c r="N32" s="599"/>
      <c r="O32" s="599"/>
      <c r="P32" s="599"/>
      <c r="Q32" s="599"/>
      <c r="R32" s="599"/>
      <c r="S32" s="599"/>
      <c r="T32" s="599"/>
      <c r="U32" s="599"/>
      <c r="V32" s="599"/>
      <c r="W32" s="599"/>
      <c r="X32" s="599"/>
    </row>
    <row r="33" spans="1:24">
      <c r="A33" s="598" t="s">
        <v>1864</v>
      </c>
      <c r="B33" s="599"/>
      <c r="C33" s="599"/>
      <c r="D33" s="966" t="s">
        <v>428</v>
      </c>
      <c r="E33" s="599"/>
      <c r="F33" s="599"/>
      <c r="G33" s="599"/>
      <c r="H33" s="599"/>
      <c r="I33" s="599"/>
      <c r="J33" s="599"/>
      <c r="K33" s="599"/>
      <c r="L33" s="599"/>
      <c r="M33" s="599"/>
      <c r="N33" s="599"/>
      <c r="O33" s="599"/>
      <c r="P33" s="599"/>
      <c r="Q33" s="599"/>
      <c r="R33" s="599"/>
      <c r="S33" s="599"/>
      <c r="T33" s="599"/>
      <c r="U33" s="599"/>
      <c r="V33" s="599"/>
      <c r="W33" s="599"/>
      <c r="X33" s="599"/>
    </row>
    <row r="34" spans="1:24">
      <c r="A34" s="598"/>
      <c r="B34" s="599"/>
      <c r="C34" s="599"/>
      <c r="D34" s="599"/>
      <c r="E34" s="599"/>
      <c r="F34" s="599"/>
      <c r="G34" s="599"/>
      <c r="H34" s="599"/>
      <c r="I34" s="599"/>
      <c r="J34" s="599"/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  <c r="W34" s="599"/>
      <c r="X34" s="599"/>
    </row>
    <row r="35" spans="1:24">
      <c r="A35" s="599"/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599"/>
      <c r="O35" s="599"/>
      <c r="P35" s="599"/>
      <c r="Q35" s="599"/>
      <c r="R35" s="599"/>
      <c r="S35" s="599"/>
      <c r="T35" s="599"/>
      <c r="U35" s="599"/>
      <c r="V35" s="599"/>
      <c r="W35" s="599"/>
      <c r="X35" s="599"/>
    </row>
    <row r="36" spans="1:24">
      <c r="A36" s="599"/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599"/>
      <c r="O36" s="599"/>
      <c r="P36" s="599"/>
      <c r="Q36" s="599"/>
      <c r="R36" s="599"/>
      <c r="S36" s="599"/>
      <c r="T36" s="599"/>
      <c r="U36" s="599"/>
      <c r="V36" s="599"/>
      <c r="W36" s="599"/>
      <c r="X36" s="599"/>
    </row>
    <row r="37" spans="1:24">
      <c r="A37" s="599"/>
      <c r="B37" s="599"/>
      <c r="C37" s="599"/>
      <c r="D37" s="599"/>
      <c r="E37" s="599"/>
      <c r="F37" s="599"/>
      <c r="G37" s="599"/>
      <c r="H37" s="599"/>
      <c r="I37" s="599"/>
      <c r="J37" s="599"/>
      <c r="K37" s="599"/>
      <c r="L37" s="599"/>
      <c r="M37" s="599"/>
      <c r="N37" s="599"/>
      <c r="O37" s="599"/>
      <c r="P37" s="599"/>
      <c r="Q37" s="599"/>
      <c r="R37" s="599"/>
      <c r="S37" s="599"/>
      <c r="T37" s="599"/>
      <c r="U37" s="599"/>
      <c r="V37" s="599"/>
      <c r="W37" s="599"/>
      <c r="X37" s="599"/>
    </row>
    <row r="38" spans="1:24">
      <c r="A38" s="599"/>
      <c r="B38" s="599"/>
      <c r="C38" s="599"/>
      <c r="D38" s="599"/>
      <c r="E38" s="599"/>
      <c r="F38" s="599"/>
      <c r="G38" s="599"/>
      <c r="H38" s="599"/>
      <c r="I38" s="599"/>
      <c r="J38" s="59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  <c r="V38" s="599"/>
      <c r="W38" s="599"/>
      <c r="X38" s="599"/>
    </row>
    <row r="39" spans="1:24">
      <c r="A39" s="599"/>
      <c r="B39" s="599"/>
      <c r="C39" s="599"/>
      <c r="D39" s="599"/>
      <c r="E39" s="599"/>
      <c r="F39" s="599"/>
      <c r="G39" s="599"/>
      <c r="H39" s="599"/>
      <c r="I39" s="599"/>
      <c r="J39" s="599"/>
      <c r="K39" s="599"/>
      <c r="L39" s="599"/>
      <c r="M39" s="599"/>
      <c r="N39" s="599"/>
      <c r="O39" s="599"/>
      <c r="P39" s="599"/>
      <c r="Q39" s="599"/>
      <c r="R39" s="599"/>
      <c r="S39" s="599"/>
      <c r="T39" s="599"/>
      <c r="U39" s="599"/>
      <c r="V39" s="599"/>
      <c r="W39" s="599"/>
      <c r="X39" s="599"/>
    </row>
    <row r="40" spans="1:24">
      <c r="A40" s="599"/>
      <c r="B40" s="599"/>
      <c r="C40" s="599"/>
      <c r="D40" s="599"/>
      <c r="E40" s="599"/>
      <c r="F40" s="599"/>
      <c r="G40" s="599"/>
      <c r="H40" s="599"/>
      <c r="I40" s="599"/>
      <c r="J40" s="599"/>
      <c r="K40" s="599"/>
      <c r="L40" s="599"/>
      <c r="M40" s="599"/>
      <c r="N40" s="599"/>
      <c r="O40" s="599"/>
      <c r="P40" s="599"/>
      <c r="Q40" s="599"/>
      <c r="R40" s="599"/>
      <c r="S40" s="599"/>
      <c r="T40" s="599"/>
      <c r="U40" s="599"/>
      <c r="V40" s="599"/>
      <c r="W40" s="599"/>
      <c r="X40" s="599"/>
    </row>
    <row r="41" spans="1:24">
      <c r="A41" s="599"/>
      <c r="B41" s="599"/>
      <c r="C41" s="599"/>
      <c r="D41" s="599"/>
      <c r="E41" s="599"/>
      <c r="F41" s="599"/>
      <c r="G41" s="599"/>
      <c r="H41" s="599"/>
      <c r="I41" s="599"/>
      <c r="J41" s="599"/>
      <c r="K41" s="599"/>
      <c r="L41" s="599"/>
      <c r="M41" s="599"/>
      <c r="N41" s="599"/>
      <c r="O41" s="599"/>
      <c r="P41" s="599"/>
      <c r="Q41" s="599"/>
      <c r="R41" s="599"/>
      <c r="S41" s="599"/>
      <c r="T41" s="599"/>
      <c r="U41" s="599"/>
      <c r="V41" s="599"/>
      <c r="W41" s="599"/>
      <c r="X41" s="599"/>
    </row>
    <row r="42" spans="1:24">
      <c r="A42" s="599"/>
      <c r="B42" s="599"/>
      <c r="C42" s="599"/>
      <c r="D42" s="599"/>
      <c r="E42" s="599"/>
      <c r="F42" s="599"/>
      <c r="G42" s="599"/>
      <c r="H42" s="599"/>
      <c r="I42" s="599"/>
      <c r="J42" s="599"/>
      <c r="K42" s="599"/>
      <c r="L42" s="599"/>
      <c r="M42" s="599"/>
      <c r="N42" s="599"/>
      <c r="O42" s="599"/>
      <c r="P42" s="599"/>
      <c r="Q42" s="599"/>
      <c r="R42" s="599"/>
      <c r="S42" s="599"/>
      <c r="T42" s="599"/>
      <c r="U42" s="599"/>
      <c r="V42" s="599"/>
      <c r="W42" s="599"/>
      <c r="X42" s="599"/>
    </row>
    <row r="43" spans="1:24">
      <c r="A43" s="599"/>
      <c r="B43" s="599"/>
      <c r="C43" s="599"/>
      <c r="D43" s="599"/>
      <c r="E43" s="599"/>
      <c r="F43" s="599"/>
      <c r="G43" s="599"/>
      <c r="H43" s="599"/>
      <c r="I43" s="599"/>
      <c r="J43" s="599"/>
      <c r="K43" s="599"/>
      <c r="L43" s="779" t="str">
        <f>COMPANY</f>
        <v>DUKE ENERGY KENTUCKY, INC.</v>
      </c>
      <c r="M43" s="253"/>
      <c r="N43" s="253"/>
      <c r="O43" s="253"/>
      <c r="P43" s="253"/>
      <c r="Q43" s="253"/>
      <c r="S43" s="779" t="s">
        <v>1885</v>
      </c>
      <c r="T43" s="597"/>
      <c r="U43" s="599"/>
      <c r="V43" s="599"/>
      <c r="W43" s="599"/>
      <c r="X43" s="599"/>
    </row>
    <row r="44" spans="1:24">
      <c r="A44" s="599"/>
      <c r="B44" s="599"/>
      <c r="C44" s="599"/>
      <c r="D44" s="599"/>
      <c r="E44" s="599"/>
      <c r="F44" s="599"/>
      <c r="G44" s="599"/>
      <c r="H44" s="599"/>
      <c r="I44" s="599"/>
      <c r="J44" s="599"/>
      <c r="K44" s="599"/>
      <c r="L44" s="779" t="str">
        <f>DEPT</f>
        <v>ELECTRIC DEPARTMENT</v>
      </c>
      <c r="M44" s="253"/>
      <c r="N44" s="253"/>
      <c r="O44" s="253"/>
      <c r="P44" s="253"/>
      <c r="Q44" s="253"/>
      <c r="S44" s="779" t="s">
        <v>1866</v>
      </c>
      <c r="T44" s="597"/>
      <c r="U44" s="599"/>
      <c r="V44" s="599"/>
      <c r="W44" s="599"/>
      <c r="X44" s="599"/>
    </row>
    <row r="45" spans="1:24">
      <c r="A45" s="599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779" t="str">
        <f>CASE</f>
        <v>CASE NO. 2024-00354</v>
      </c>
      <c r="M45" s="253"/>
      <c r="N45" s="253"/>
      <c r="O45" s="253"/>
      <c r="P45" s="253"/>
      <c r="Q45" s="253"/>
      <c r="S45" s="253" t="str">
        <f>_WIT10</f>
        <v>G. S. CARPENTER</v>
      </c>
      <c r="T45" s="597"/>
      <c r="U45" s="599"/>
      <c r="V45" s="599"/>
      <c r="W45" s="599"/>
      <c r="X45" s="599"/>
    </row>
    <row r="46" spans="1:24">
      <c r="A46" s="599"/>
      <c r="B46" s="599"/>
      <c r="C46" s="599"/>
      <c r="D46" s="599"/>
      <c r="E46" s="599"/>
      <c r="F46" s="599"/>
      <c r="G46" s="599"/>
      <c r="H46" s="599"/>
      <c r="I46" s="599"/>
      <c r="J46" s="599"/>
      <c r="K46" s="599"/>
      <c r="L46" s="779" t="s">
        <v>1886</v>
      </c>
      <c r="M46" s="253"/>
      <c r="N46" s="253"/>
      <c r="O46" s="253"/>
      <c r="P46" s="253"/>
      <c r="Q46" s="253"/>
      <c r="R46" s="961"/>
      <c r="S46" s="253"/>
      <c r="T46" s="597"/>
      <c r="U46" s="599"/>
      <c r="V46" s="599"/>
      <c r="W46" s="599"/>
      <c r="X46" s="599"/>
    </row>
    <row r="47" spans="1:24">
      <c r="A47" s="599"/>
      <c r="B47" s="599"/>
      <c r="C47" s="599"/>
      <c r="D47" s="599"/>
      <c r="E47" s="599"/>
      <c r="F47" s="599"/>
      <c r="G47" s="599"/>
      <c r="H47" s="599"/>
      <c r="I47" s="599"/>
      <c r="J47" s="599"/>
      <c r="K47" s="599"/>
      <c r="L47" s="779"/>
      <c r="M47" s="253"/>
      <c r="N47" s="253"/>
      <c r="O47" s="253"/>
      <c r="P47" s="253"/>
      <c r="Q47" s="253"/>
      <c r="R47" s="253"/>
      <c r="S47" s="253"/>
      <c r="T47" s="597"/>
      <c r="U47" s="599"/>
      <c r="V47" s="599"/>
      <c r="W47" s="599"/>
      <c r="X47" s="599"/>
    </row>
    <row r="48" spans="1:24">
      <c r="A48" s="599"/>
      <c r="B48" s="599"/>
      <c r="C48" s="599"/>
      <c r="D48" s="599"/>
      <c r="E48" s="599"/>
      <c r="F48" s="599"/>
      <c r="G48" s="599"/>
      <c r="H48" s="599"/>
      <c r="I48" s="599"/>
      <c r="J48" s="599"/>
      <c r="K48" s="599"/>
      <c r="L48" s="597"/>
      <c r="M48" s="597"/>
      <c r="N48" s="597"/>
      <c r="O48" s="597"/>
      <c r="P48" s="597"/>
      <c r="Q48" s="597"/>
      <c r="R48" s="597"/>
      <c r="S48" s="597"/>
      <c r="T48" s="597"/>
      <c r="U48" s="599"/>
      <c r="V48" s="599"/>
      <c r="W48" s="599"/>
      <c r="X48" s="599"/>
    </row>
    <row r="49" spans="1:24">
      <c r="A49" s="599"/>
      <c r="B49" s="599"/>
      <c r="C49" s="599"/>
      <c r="D49" s="599"/>
      <c r="E49" s="599"/>
      <c r="F49" s="599"/>
      <c r="G49" s="599"/>
      <c r="H49" s="599"/>
      <c r="I49" s="599"/>
      <c r="J49" s="599"/>
      <c r="K49" s="599"/>
      <c r="L49" s="597"/>
      <c r="M49" s="597"/>
      <c r="N49" s="597"/>
      <c r="O49" s="597"/>
      <c r="P49" s="597"/>
      <c r="Q49" s="597"/>
      <c r="R49" s="597"/>
      <c r="S49" s="597"/>
      <c r="T49" s="597"/>
      <c r="U49" s="599"/>
      <c r="V49" s="599"/>
      <c r="W49" s="599"/>
      <c r="X49" s="599"/>
    </row>
    <row r="50" spans="1:24">
      <c r="A50" s="599"/>
      <c r="B50" s="599"/>
      <c r="C50" s="599"/>
      <c r="D50" s="599"/>
      <c r="E50" s="599"/>
      <c r="F50" s="599"/>
      <c r="G50" s="599"/>
      <c r="H50" s="599"/>
      <c r="I50" s="599"/>
      <c r="J50" s="599"/>
      <c r="K50" s="599"/>
      <c r="L50" s="701" t="s">
        <v>573</v>
      </c>
      <c r="M50" s="701"/>
      <c r="N50" s="701"/>
      <c r="O50" s="701"/>
      <c r="P50" s="701" t="s">
        <v>13</v>
      </c>
      <c r="Q50" s="701"/>
      <c r="R50" s="701" t="s">
        <v>417</v>
      </c>
      <c r="S50" s="701"/>
      <c r="T50" s="701"/>
      <c r="U50" s="599"/>
      <c r="V50" s="599"/>
      <c r="W50" s="599"/>
      <c r="X50" s="599"/>
    </row>
    <row r="51" spans="1:24">
      <c r="A51" s="599"/>
      <c r="B51" s="599"/>
      <c r="C51" s="599"/>
      <c r="D51" s="599"/>
      <c r="E51" s="599"/>
      <c r="F51" s="599"/>
      <c r="G51" s="599"/>
      <c r="H51" s="599"/>
      <c r="I51" s="599"/>
      <c r="J51" s="599"/>
      <c r="K51" s="599"/>
      <c r="L51" s="702" t="s">
        <v>576</v>
      </c>
      <c r="M51" s="702"/>
      <c r="N51" s="702" t="s">
        <v>2</v>
      </c>
      <c r="O51" s="702"/>
      <c r="P51" s="702" t="s">
        <v>418</v>
      </c>
      <c r="Q51" s="702"/>
      <c r="R51" s="702" t="s">
        <v>418</v>
      </c>
      <c r="S51" s="702"/>
      <c r="T51" s="702" t="s">
        <v>698</v>
      </c>
      <c r="U51" s="599"/>
      <c r="V51" s="599"/>
      <c r="W51" s="599"/>
      <c r="X51" s="599"/>
    </row>
    <row r="52" spans="1:24">
      <c r="A52" s="599"/>
      <c r="B52" s="599"/>
      <c r="C52" s="599"/>
      <c r="D52" s="599"/>
      <c r="E52" s="599"/>
      <c r="F52" s="599"/>
      <c r="G52" s="599"/>
      <c r="H52" s="599"/>
      <c r="I52" s="599"/>
      <c r="J52" s="599"/>
      <c r="K52" s="599"/>
      <c r="L52" s="597"/>
      <c r="M52" s="597"/>
      <c r="N52" s="597"/>
      <c r="O52" s="597"/>
      <c r="P52" s="597"/>
      <c r="Q52" s="597"/>
      <c r="R52" s="597"/>
      <c r="S52" s="597"/>
      <c r="T52" s="597"/>
      <c r="U52" s="599"/>
      <c r="V52" s="599"/>
      <c r="W52" s="599"/>
      <c r="X52" s="599"/>
    </row>
    <row r="53" spans="1:24" ht="13.8" thickBot="1">
      <c r="A53" s="599"/>
      <c r="B53" s="599"/>
      <c r="C53" s="599"/>
      <c r="D53" s="599"/>
      <c r="E53" s="599"/>
      <c r="F53" s="599"/>
      <c r="G53" s="599"/>
      <c r="H53" s="599"/>
      <c r="I53" s="599"/>
      <c r="J53" s="599"/>
      <c r="K53" s="599"/>
      <c r="L53" s="701">
        <v>1</v>
      </c>
      <c r="M53" s="597"/>
      <c r="N53" s="598" t="s">
        <v>1884</v>
      </c>
      <c r="O53" s="597"/>
      <c r="P53" s="1954">
        <f>SCH_C2!E26</f>
        <v>55165286</v>
      </c>
      <c r="Q53" s="597"/>
      <c r="R53" s="1954">
        <f>SCH_C2!H26</f>
        <v>58973432</v>
      </c>
      <c r="S53" s="597"/>
      <c r="T53" s="1954">
        <f>R53-P53</f>
        <v>3808146</v>
      </c>
      <c r="U53" s="599"/>
      <c r="V53" s="599"/>
      <c r="W53" s="599"/>
      <c r="X53" s="599"/>
    </row>
    <row r="54" spans="1:24" ht="13.8" thickTop="1">
      <c r="A54" s="599"/>
      <c r="B54" s="599"/>
      <c r="C54" s="599"/>
      <c r="D54" s="599"/>
      <c r="E54" s="599"/>
      <c r="F54" s="599"/>
      <c r="G54" s="599"/>
      <c r="H54" s="599"/>
      <c r="I54" s="599"/>
      <c r="J54" s="599"/>
      <c r="K54" s="599"/>
      <c r="L54" s="701"/>
      <c r="M54" s="597"/>
      <c r="N54" s="597"/>
      <c r="O54" s="597"/>
      <c r="P54" s="597"/>
      <c r="Q54" s="597"/>
      <c r="R54" s="597"/>
      <c r="S54" s="597"/>
      <c r="T54" s="597"/>
      <c r="U54" s="599"/>
      <c r="V54" s="599"/>
      <c r="W54" s="599"/>
      <c r="X54" s="599"/>
    </row>
    <row r="55" spans="1:24">
      <c r="A55" s="599"/>
      <c r="B55" s="599"/>
      <c r="C55" s="599"/>
      <c r="D55" s="599"/>
      <c r="E55" s="599"/>
      <c r="F55" s="599"/>
      <c r="G55" s="599"/>
      <c r="H55" s="599"/>
      <c r="I55" s="599"/>
      <c r="J55" s="599"/>
      <c r="K55" s="599"/>
      <c r="L55" s="597"/>
      <c r="M55" s="597"/>
      <c r="N55" s="597"/>
      <c r="O55" s="597"/>
      <c r="P55" s="597"/>
      <c r="Q55" s="597"/>
      <c r="R55" s="597"/>
      <c r="S55" s="597"/>
      <c r="T55" s="597"/>
      <c r="U55" s="599"/>
      <c r="V55" s="599"/>
      <c r="W55" s="599"/>
      <c r="X55" s="599"/>
    </row>
    <row r="56" spans="1:24">
      <c r="A56" s="599"/>
      <c r="B56" s="599"/>
      <c r="C56" s="599"/>
      <c r="D56" s="599"/>
      <c r="E56" s="599"/>
      <c r="F56" s="599"/>
      <c r="G56" s="599"/>
      <c r="H56" s="599"/>
      <c r="I56" s="599"/>
      <c r="J56" s="599"/>
      <c r="K56" s="599"/>
      <c r="L56" s="597"/>
      <c r="M56" s="597"/>
      <c r="N56" s="597"/>
      <c r="O56" s="597"/>
      <c r="P56" s="597"/>
      <c r="Q56" s="597"/>
      <c r="R56" s="597"/>
      <c r="S56" s="597"/>
      <c r="T56" s="597"/>
      <c r="U56" s="599"/>
      <c r="V56" s="599"/>
      <c r="W56" s="599"/>
      <c r="X56" s="599"/>
    </row>
    <row r="57" spans="1:24">
      <c r="A57" s="599"/>
      <c r="B57" s="599"/>
      <c r="C57" s="599"/>
      <c r="D57" s="599"/>
      <c r="E57" s="599"/>
      <c r="F57" s="599"/>
      <c r="G57" s="599"/>
      <c r="H57" s="599"/>
      <c r="I57" s="599"/>
      <c r="J57" s="599"/>
      <c r="K57" s="599"/>
      <c r="L57" s="597"/>
      <c r="M57" s="597"/>
      <c r="N57" s="597"/>
      <c r="O57" s="597"/>
      <c r="P57" s="597"/>
      <c r="Q57" s="597"/>
      <c r="R57" s="597"/>
      <c r="S57" s="597"/>
      <c r="T57" s="701" t="s">
        <v>1869</v>
      </c>
      <c r="U57" s="599"/>
      <c r="V57" s="599"/>
      <c r="W57" s="599"/>
      <c r="X57" s="599"/>
    </row>
    <row r="58" spans="1:24">
      <c r="A58" s="599"/>
      <c r="B58" s="599"/>
      <c r="C58" s="599"/>
      <c r="D58" s="599"/>
      <c r="E58" s="599"/>
      <c r="F58" s="599"/>
      <c r="G58" s="599"/>
      <c r="H58" s="599"/>
      <c r="I58" s="599"/>
      <c r="J58" s="599"/>
      <c r="K58" s="599"/>
      <c r="L58" s="599"/>
      <c r="M58" s="599"/>
      <c r="N58" s="599"/>
      <c r="O58" s="599"/>
      <c r="P58" s="599"/>
      <c r="Q58" s="599"/>
      <c r="R58" s="599"/>
      <c r="S58" s="599"/>
      <c r="T58" s="599"/>
      <c r="U58" s="599"/>
      <c r="V58" s="599"/>
      <c r="W58" s="599"/>
      <c r="X58" s="599"/>
    </row>
    <row r="59" spans="1:24">
      <c r="A59" s="599"/>
      <c r="B59" s="599"/>
      <c r="C59" s="599"/>
      <c r="D59" s="599"/>
      <c r="E59" s="599"/>
      <c r="F59" s="599"/>
      <c r="G59" s="599"/>
      <c r="H59" s="599"/>
      <c r="I59" s="599"/>
      <c r="J59" s="599"/>
      <c r="K59" s="599"/>
      <c r="L59" s="599"/>
      <c r="M59" s="599"/>
      <c r="N59" s="599"/>
      <c r="O59" s="599"/>
      <c r="P59" s="599"/>
      <c r="Q59" s="599"/>
      <c r="R59" s="599"/>
      <c r="S59" s="599"/>
      <c r="T59" s="599"/>
      <c r="U59" s="599"/>
      <c r="V59" s="599"/>
      <c r="W59" s="599"/>
      <c r="X59" s="599"/>
    </row>
    <row r="60" spans="1:24">
      <c r="A60" s="599"/>
      <c r="B60" s="599"/>
      <c r="C60" s="599"/>
      <c r="D60" s="599"/>
      <c r="E60" s="599"/>
      <c r="F60" s="599"/>
      <c r="G60" s="599"/>
      <c r="H60" s="599"/>
      <c r="I60" s="599"/>
      <c r="J60" s="599"/>
      <c r="K60" s="599"/>
      <c r="L60" s="599"/>
      <c r="M60" s="599"/>
      <c r="N60" s="599"/>
      <c r="O60" s="599"/>
      <c r="P60" s="599"/>
      <c r="Q60" s="599"/>
      <c r="R60" s="1051"/>
      <c r="S60" s="599"/>
      <c r="T60" s="599"/>
      <c r="U60" s="599"/>
      <c r="V60" s="599"/>
      <c r="W60" s="599"/>
      <c r="X60" s="599"/>
    </row>
    <row r="61" spans="1:24">
      <c r="A61" s="599"/>
      <c r="B61" s="599"/>
      <c r="C61" s="599"/>
      <c r="D61" s="599"/>
      <c r="E61" s="599"/>
      <c r="F61" s="599"/>
      <c r="G61" s="599"/>
      <c r="H61" s="599"/>
      <c r="I61" s="599"/>
      <c r="J61" s="599"/>
      <c r="K61" s="599"/>
      <c r="L61" s="599"/>
      <c r="M61" s="599"/>
      <c r="N61" s="599"/>
      <c r="O61" s="599"/>
      <c r="P61" s="599"/>
      <c r="Q61" s="599"/>
      <c r="R61" s="599"/>
      <c r="S61" s="599"/>
      <c r="T61" s="599"/>
      <c r="U61" s="599"/>
      <c r="V61" s="599"/>
      <c r="W61" s="599"/>
      <c r="X61" s="599"/>
    </row>
    <row r="62" spans="1:24">
      <c r="A62" s="599"/>
      <c r="B62" s="599"/>
      <c r="C62" s="599"/>
      <c r="D62" s="599"/>
      <c r="E62" s="599"/>
      <c r="F62" s="599"/>
      <c r="G62" s="599"/>
      <c r="H62" s="599"/>
      <c r="I62" s="599"/>
      <c r="J62" s="599"/>
      <c r="K62" s="599"/>
      <c r="L62" s="599"/>
      <c r="M62" s="599"/>
      <c r="N62" s="599"/>
      <c r="O62" s="599"/>
      <c r="P62" s="599"/>
      <c r="Q62" s="599"/>
      <c r="R62" s="599"/>
      <c r="S62" s="599"/>
      <c r="T62" s="599"/>
      <c r="U62" s="599"/>
      <c r="V62" s="599"/>
      <c r="W62" s="599"/>
      <c r="X62" s="599"/>
    </row>
    <row r="63" spans="1:24">
      <c r="A63" s="599"/>
      <c r="B63" s="599"/>
      <c r="C63" s="599"/>
      <c r="D63" s="599"/>
      <c r="E63" s="599"/>
      <c r="F63" s="599"/>
      <c r="G63" s="599"/>
      <c r="H63" s="599"/>
      <c r="I63" s="599"/>
      <c r="J63" s="599"/>
      <c r="K63" s="599"/>
      <c r="L63" s="599"/>
      <c r="M63" s="599"/>
      <c r="N63" s="599"/>
      <c r="O63" s="599"/>
      <c r="P63" s="599"/>
      <c r="Q63" s="599"/>
      <c r="R63" s="599"/>
      <c r="S63" s="599"/>
      <c r="T63" s="599"/>
      <c r="U63" s="599"/>
      <c r="V63" s="599"/>
      <c r="W63" s="599"/>
      <c r="X63" s="599"/>
    </row>
    <row r="64" spans="1:24">
      <c r="A64" s="599"/>
      <c r="B64" s="599"/>
      <c r="C64" s="599"/>
      <c r="D64" s="599"/>
      <c r="E64" s="599"/>
      <c r="F64" s="599"/>
      <c r="G64" s="599"/>
      <c r="H64" s="599"/>
      <c r="I64" s="599"/>
      <c r="J64" s="599"/>
      <c r="K64" s="599"/>
      <c r="L64" s="599"/>
      <c r="M64" s="599"/>
      <c r="N64" s="599"/>
      <c r="O64" s="599"/>
      <c r="P64" s="599"/>
      <c r="Q64" s="599"/>
      <c r="R64" s="599"/>
      <c r="S64" s="599"/>
      <c r="T64" s="599"/>
      <c r="U64" s="599"/>
      <c r="V64" s="599"/>
      <c r="W64" s="599"/>
      <c r="X64" s="599"/>
    </row>
    <row r="65" spans="1:24">
      <c r="A65" s="599"/>
      <c r="B65" s="599"/>
      <c r="C65" s="599"/>
      <c r="D65" s="599"/>
      <c r="E65" s="599"/>
      <c r="F65" s="599"/>
      <c r="G65" s="599"/>
      <c r="H65" s="599"/>
      <c r="I65" s="599"/>
      <c r="J65" s="599"/>
      <c r="K65" s="599"/>
      <c r="L65" s="599"/>
      <c r="M65" s="599"/>
      <c r="N65" s="599"/>
      <c r="O65" s="599"/>
      <c r="P65" s="599"/>
      <c r="Q65" s="599"/>
      <c r="R65" s="599"/>
      <c r="S65" s="599"/>
      <c r="T65" s="599"/>
      <c r="U65" s="599"/>
      <c r="V65" s="599"/>
      <c r="W65" s="599"/>
      <c r="X65" s="599"/>
    </row>
    <row r="66" spans="1:24">
      <c r="A66" s="599"/>
      <c r="B66" s="599"/>
      <c r="C66" s="599"/>
      <c r="D66" s="599"/>
      <c r="E66" s="599"/>
      <c r="F66" s="599"/>
      <c r="G66" s="599"/>
      <c r="H66" s="599"/>
      <c r="I66" s="599"/>
      <c r="J66" s="599"/>
      <c r="K66" s="599"/>
      <c r="L66" s="599"/>
      <c r="M66" s="599"/>
      <c r="N66" s="599"/>
      <c r="O66" s="599"/>
      <c r="P66" s="599"/>
      <c r="Q66" s="599"/>
      <c r="R66" s="599"/>
      <c r="S66" s="599"/>
      <c r="T66" s="599"/>
      <c r="U66" s="599"/>
      <c r="V66" s="599"/>
      <c r="W66" s="599"/>
      <c r="X66" s="599"/>
    </row>
    <row r="67" spans="1:24">
      <c r="A67" s="599"/>
      <c r="B67" s="599"/>
      <c r="C67" s="599"/>
      <c r="D67" s="599"/>
      <c r="E67" s="599"/>
      <c r="F67" s="599"/>
      <c r="G67" s="599"/>
      <c r="H67" s="599"/>
      <c r="I67" s="599"/>
      <c r="J67" s="599"/>
      <c r="K67" s="599"/>
      <c r="L67" s="599"/>
      <c r="M67" s="599"/>
      <c r="N67" s="599"/>
      <c r="O67" s="599"/>
      <c r="P67" s="599"/>
      <c r="Q67" s="599"/>
      <c r="R67" s="599"/>
      <c r="S67" s="599"/>
      <c r="T67" s="599"/>
      <c r="U67" s="599"/>
      <c r="V67" s="599"/>
      <c r="W67" s="599"/>
      <c r="X67" s="599"/>
    </row>
    <row r="68" spans="1:24">
      <c r="A68" s="599"/>
      <c r="B68" s="599"/>
      <c r="C68" s="599"/>
      <c r="D68" s="599"/>
      <c r="E68" s="599"/>
      <c r="F68" s="599"/>
      <c r="G68" s="599"/>
      <c r="H68" s="599"/>
      <c r="I68" s="599"/>
      <c r="J68" s="599"/>
      <c r="K68" s="599"/>
      <c r="L68" s="599"/>
      <c r="M68" s="599"/>
      <c r="N68" s="599"/>
      <c r="O68" s="599"/>
      <c r="P68" s="599"/>
      <c r="Q68" s="599"/>
      <c r="R68" s="599"/>
      <c r="S68" s="599"/>
      <c r="T68" s="599"/>
      <c r="U68" s="599"/>
      <c r="V68" s="599"/>
      <c r="W68" s="599"/>
      <c r="X68" s="599"/>
    </row>
    <row r="69" spans="1:24">
      <c r="A69" s="599"/>
      <c r="B69" s="599"/>
      <c r="C69" s="599"/>
      <c r="D69" s="599"/>
      <c r="E69" s="599"/>
      <c r="F69" s="599"/>
      <c r="G69" s="599"/>
      <c r="H69" s="599"/>
      <c r="I69" s="599"/>
      <c r="J69" s="599"/>
      <c r="K69" s="599"/>
      <c r="L69" s="599"/>
      <c r="M69" s="599"/>
      <c r="N69" s="599"/>
      <c r="O69" s="599"/>
      <c r="P69" s="599"/>
      <c r="Q69" s="599"/>
      <c r="R69" s="599"/>
      <c r="S69" s="599"/>
      <c r="T69" s="599"/>
      <c r="U69" s="599"/>
      <c r="V69" s="599"/>
      <c r="W69" s="599"/>
      <c r="X69" s="599"/>
    </row>
  </sheetData>
  <phoneticPr fontId="19" type="noConversion"/>
  <pageMargins left="1" right="0.75" top="1" bottom="0" header="0" footer="0"/>
  <pageSetup scale="84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rgb="FF009999"/>
    <pageSetUpPr fitToPage="1"/>
  </sheetPr>
  <dimension ref="A1:AO40"/>
  <sheetViews>
    <sheetView workbookViewId="0"/>
  </sheetViews>
  <sheetFormatPr defaultColWidth="8" defaultRowHeight="13.2"/>
  <cols>
    <col min="1" max="1" width="4.44140625" customWidth="1"/>
    <col min="2" max="2" width="7.5546875" customWidth="1"/>
    <col min="3" max="3" width="1.5546875" customWidth="1"/>
    <col min="4" max="4" width="8" customWidth="1"/>
    <col min="5" max="5" width="1.44140625" customWidth="1"/>
    <col min="6" max="6" width="8.6640625" customWidth="1"/>
    <col min="7" max="7" width="1.44140625" customWidth="1"/>
    <col min="8" max="8" width="8" customWidth="1"/>
    <col min="9" max="9" width="1.44140625" customWidth="1"/>
    <col min="10" max="10" width="8" customWidth="1"/>
    <col min="11" max="11" width="1.44140625" customWidth="1"/>
    <col min="12" max="12" width="8" customWidth="1"/>
    <col min="13" max="13" width="1.44140625" customWidth="1"/>
    <col min="14" max="14" width="7.5546875" customWidth="1"/>
    <col min="15" max="15" width="1.44140625" customWidth="1"/>
    <col min="16" max="16" width="8" customWidth="1"/>
    <col min="17" max="17" width="1.44140625" customWidth="1"/>
    <col min="18" max="18" width="8" customWidth="1"/>
    <col min="19" max="19" width="1.44140625" customWidth="1"/>
    <col min="20" max="20" width="8" customWidth="1"/>
    <col min="21" max="21" width="1" customWidth="1"/>
    <col min="22" max="22" width="9" customWidth="1"/>
    <col min="23" max="23" width="2.44140625" customWidth="1"/>
    <col min="24" max="24" width="17.88671875" customWidth="1"/>
    <col min="25" max="25" width="2.44140625" customWidth="1"/>
  </cols>
  <sheetData>
    <row r="1" spans="1:41" ht="12" customHeight="1">
      <c r="A1" s="7"/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8"/>
      <c r="X1" s="631"/>
      <c r="Y1" s="8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41" ht="15" customHeight="1">
      <c r="A2" s="7"/>
      <c r="B2" s="7"/>
      <c r="C2" s="7"/>
      <c r="D2" s="7"/>
      <c r="E2" s="7"/>
      <c r="F2" s="8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</row>
    <row r="3" spans="1:41" ht="15" customHeight="1">
      <c r="A3" s="7"/>
      <c r="B3" s="7"/>
      <c r="C3" s="7"/>
      <c r="D3" s="8"/>
      <c r="E3" s="7"/>
      <c r="F3" s="8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</row>
    <row r="4" spans="1:41" ht="15" customHeight="1">
      <c r="A4" s="7"/>
      <c r="B4" s="7"/>
      <c r="C4" s="7"/>
      <c r="D4" s="8"/>
      <c r="E4" s="7"/>
      <c r="F4" s="8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</row>
    <row r="5" spans="1:41" ht="15" customHeight="1">
      <c r="A5" s="7"/>
      <c r="B5" s="7"/>
      <c r="C5" s="7"/>
      <c r="D5" s="8"/>
      <c r="E5" s="7"/>
      <c r="F5" s="8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ht="15" customHeight="1">
      <c r="A6" s="7"/>
      <c r="B6" s="7"/>
      <c r="C6" s="7"/>
      <c r="D6" s="8"/>
      <c r="E6" s="7"/>
      <c r="F6" s="8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ht="15" customHeight="1">
      <c r="A7" s="7"/>
      <c r="B7" s="7"/>
      <c r="C7" s="7"/>
      <c r="D7" s="8"/>
      <c r="E7" s="7"/>
      <c r="F7" s="8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ht="15" customHeight="1">
      <c r="A8" s="7"/>
      <c r="B8" s="7"/>
      <c r="C8" s="7"/>
      <c r="D8" s="7"/>
      <c r="E8" s="7"/>
      <c r="F8" s="8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ht="15" customHeight="1">
      <c r="A9" s="7"/>
      <c r="B9" s="7"/>
      <c r="C9" s="7"/>
      <c r="D9" s="7"/>
      <c r="E9" s="7"/>
      <c r="F9" s="8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ht="15" customHeight="1">
      <c r="A10" s="7"/>
      <c r="B10" s="7"/>
      <c r="C10" s="7"/>
      <c r="D10" s="7"/>
      <c r="E10" s="7"/>
      <c r="F10" s="8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</row>
    <row r="11" spans="1:41" ht="15" customHeight="1">
      <c r="A11" s="7"/>
      <c r="B11" s="7"/>
      <c r="C11" s="7"/>
      <c r="D11" s="7"/>
      <c r="E11" s="7"/>
      <c r="F11" s="8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</row>
    <row r="12" spans="1:41" ht="15" customHeight="1">
      <c r="A12" s="7"/>
      <c r="B12" s="7"/>
      <c r="C12" s="7"/>
      <c r="D12" s="7"/>
      <c r="E12" s="7"/>
      <c r="F12" s="8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ht="15" customHeight="1">
      <c r="A13" s="7"/>
      <c r="B13" s="7"/>
      <c r="C13" s="7"/>
      <c r="D13" s="7"/>
      <c r="E13" s="7"/>
      <c r="F13" s="8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ht="15" customHeight="1">
      <c r="A14" s="7"/>
      <c r="B14" s="7"/>
      <c r="C14" s="7"/>
      <c r="D14" s="7"/>
      <c r="E14" s="7"/>
      <c r="F14" s="8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ht="15" customHeight="1">
      <c r="A15" s="7"/>
      <c r="B15" s="7"/>
      <c r="C15" s="7"/>
      <c r="D15" s="7"/>
      <c r="E15" s="7"/>
      <c r="F15" s="8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ht="15" customHeight="1">
      <c r="A16" s="7"/>
      <c r="B16" s="7"/>
      <c r="C16" s="7"/>
      <c r="D16" s="7"/>
      <c r="E16" s="7"/>
      <c r="F16" s="8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ht="15" customHeight="1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</row>
    <row r="18" spans="1:41" ht="15" customHeight="1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</row>
    <row r="19" spans="1:41" ht="15" customHeight="1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ht="15" customHeight="1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ht="15" customHeight="1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ht="15" customHeight="1" thickBot="1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ht="15" customHeight="1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1" t="s">
        <v>59</v>
      </c>
      <c r="S23" s="6"/>
      <c r="T23" s="6"/>
      <c r="U23" s="620"/>
      <c r="V23" s="620"/>
      <c r="W23" s="620"/>
      <c r="X23" s="620"/>
      <c r="Y23" s="621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ht="15" customHeight="1">
      <c r="A24" s="7"/>
      <c r="B24" s="7"/>
      <c r="C24" s="7"/>
      <c r="D24" s="8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622" t="s">
        <v>63</v>
      </c>
      <c r="S24" s="623"/>
      <c r="T24" s="623"/>
      <c r="U24" s="624"/>
      <c r="V24" s="624"/>
      <c r="W24" s="624"/>
      <c r="X24" s="624"/>
      <c r="Y24" s="625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</row>
    <row r="25" spans="1:41" ht="15" customHeight="1">
      <c r="A25" s="7"/>
      <c r="B25" s="7"/>
      <c r="C25" s="7"/>
      <c r="D25" s="8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622" t="s">
        <v>64</v>
      </c>
      <c r="S25" s="623"/>
      <c r="T25" s="623"/>
      <c r="U25" s="624"/>
      <c r="V25" s="624"/>
      <c r="W25" s="624"/>
      <c r="X25" s="624"/>
      <c r="Y25" s="625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</row>
    <row r="26" spans="1:41" ht="15" customHeight="1">
      <c r="A26" s="7"/>
      <c r="B26" s="7"/>
      <c r="C26" s="7"/>
      <c r="D26" s="8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622" t="s">
        <v>62</v>
      </c>
      <c r="S26" s="623"/>
      <c r="T26" s="623"/>
      <c r="U26" s="624"/>
      <c r="V26" s="624"/>
      <c r="W26" s="624"/>
      <c r="X26" s="624"/>
      <c r="Y26" s="625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ht="15" customHeight="1">
      <c r="A27" s="7"/>
      <c r="B27" s="7"/>
      <c r="C27" s="7"/>
      <c r="D27" s="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626"/>
      <c r="S27" s="624"/>
      <c r="T27" s="624"/>
      <c r="U27" s="624"/>
      <c r="V27" s="624"/>
      <c r="W27" s="624"/>
      <c r="X27" s="624"/>
      <c r="Y27" s="625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ht="15.6" thickBot="1">
      <c r="A28" s="7"/>
      <c r="B28" s="7"/>
      <c r="C28" s="7"/>
      <c r="D28" s="8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627"/>
      <c r="S28" s="628"/>
      <c r="T28" s="628"/>
      <c r="U28" s="628"/>
      <c r="V28" s="628"/>
      <c r="W28" s="628"/>
      <c r="X28" s="628"/>
      <c r="Y28" s="629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ht="15">
      <c r="A29" s="7"/>
      <c r="B29" s="7"/>
      <c r="C29" s="7"/>
      <c r="D29" s="8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ht="15">
      <c r="A30" s="7"/>
      <c r="B30" s="7"/>
      <c r="C30" s="7"/>
      <c r="D30" s="8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ht="15">
      <c r="A31" s="7"/>
      <c r="B31" s="7"/>
      <c r="C31" s="7"/>
      <c r="D31" s="8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</row>
    <row r="32" spans="1:41" ht="15">
      <c r="A32" s="7"/>
      <c r="B32" s="7"/>
      <c r="C32" s="7"/>
      <c r="D32" s="8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</row>
    <row r="33" spans="1:41" ht="15">
      <c r="A33" s="7"/>
      <c r="B33" s="7"/>
      <c r="C33" s="7"/>
      <c r="D33" s="8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ht="15">
      <c r="A34" s="7"/>
      <c r="B34" s="7"/>
      <c r="C34" s="7"/>
      <c r="D34" s="8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ht="15">
      <c r="A35" s="7"/>
      <c r="B35" s="7"/>
      <c r="C35" s="7"/>
      <c r="D35" s="8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</row>
    <row r="36" spans="1:41" ht="15">
      <c r="A36" s="7"/>
      <c r="B36" s="7"/>
      <c r="C36" s="7"/>
      <c r="D36" s="8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</row>
    <row r="37" spans="1:41" ht="15">
      <c r="A37" s="7"/>
      <c r="B37" s="7"/>
      <c r="C37" s="7"/>
      <c r="D37" s="8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</row>
    <row r="38" spans="1:41" ht="15">
      <c r="A38" s="7"/>
      <c r="B38" s="7"/>
      <c r="C38" s="7"/>
      <c r="D38" s="8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</row>
    <row r="39" spans="1:41" ht="15">
      <c r="A39" s="7"/>
      <c r="B39" s="7"/>
      <c r="C39" s="7"/>
      <c r="D39" s="8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</row>
    <row r="40" spans="1:41" ht="15">
      <c r="A40" s="7"/>
      <c r="B40" s="7"/>
      <c r="C40" s="7"/>
      <c r="D40" s="8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</row>
  </sheetData>
  <phoneticPr fontId="19" type="noConversion"/>
  <pageMargins left="0.75" right="0.75" top="1" bottom="1" header="0.5" footer="0.5"/>
  <pageSetup scale="35" orientation="portrait" r:id="rId1"/>
  <headerFooter alignWithMargins="0">
    <oddHeader>&amp;A</oddHeader>
    <oddFooter>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Line="0" autoPict="0" macro="[0]!PRINT_SCH_A">
                <anchor moveWithCells="1" sizeWithCells="1">
                  <from>
                    <xdr:col>1</xdr:col>
                    <xdr:colOff>30480</xdr:colOff>
                    <xdr:row>1</xdr:row>
                    <xdr:rowOff>0</xdr:rowOff>
                  </from>
                  <to>
                    <xdr:col>1</xdr:col>
                    <xdr:colOff>533400</xdr:colOff>
                    <xdr:row>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utton 2">
              <controlPr defaultSize="0" print="0" autoFill="0" autoLine="0" autoPict="0" macro="[0]!PRINT_SCH_B1">
                <anchor moveWithCells="1" sizeWithCells="1">
                  <from>
                    <xdr:col>1</xdr:col>
                    <xdr:colOff>30480</xdr:colOff>
                    <xdr:row>3</xdr:row>
                    <xdr:rowOff>106680</xdr:rowOff>
                  </from>
                  <to>
                    <xdr:col>1</xdr:col>
                    <xdr:colOff>533400</xdr:colOff>
                    <xdr:row>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Button 3">
              <controlPr defaultSize="0" print="0" autoFill="0" autoLine="0" autoPict="0" macro="[0]!PRINT_SCH_B5">
                <anchor moveWithCells="1" sizeWithCells="1">
                  <from>
                    <xdr:col>3</xdr:col>
                    <xdr:colOff>0</xdr:colOff>
                    <xdr:row>13</xdr:row>
                    <xdr:rowOff>30480</xdr:rowOff>
                  </from>
                  <to>
                    <xdr:col>3</xdr:col>
                    <xdr:colOff>563880</xdr:colOff>
                    <xdr:row>15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Button 4">
              <controlPr defaultSize="0" print="0" autoFill="0" autoLine="0" autoPict="0" macro="[0]!PRINT_SCH_B6">
                <anchor moveWithCells="1" sizeWithCells="1">
                  <from>
                    <xdr:col>3</xdr:col>
                    <xdr:colOff>30480</xdr:colOff>
                    <xdr:row>15</xdr:row>
                    <xdr:rowOff>144780</xdr:rowOff>
                  </from>
                  <to>
                    <xdr:col>3</xdr:col>
                    <xdr:colOff>563880</xdr:colOff>
                    <xdr:row>17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Button 5">
              <controlPr defaultSize="0" print="0" autoFill="0" autoLine="0" autoPict="0" macro="[0]!PRINT_SCH_B7">
                <anchor moveWithCells="1" sizeWithCells="1">
                  <from>
                    <xdr:col>3</xdr:col>
                    <xdr:colOff>0</xdr:colOff>
                    <xdr:row>17</xdr:row>
                    <xdr:rowOff>182880</xdr:rowOff>
                  </from>
                  <to>
                    <xdr:col>4</xdr:col>
                    <xdr:colOff>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9" name="Button 6">
              <controlPr defaultSize="0" print="0" autoFill="0" autoLine="0" autoPict="0" macro="[0]!PRINT_SCH_B8">
                <anchor moveWithCells="1" sizeWithCells="1">
                  <from>
                    <xdr:col>3</xdr:col>
                    <xdr:colOff>30480</xdr:colOff>
                    <xdr:row>20</xdr:row>
                    <xdr:rowOff>76200</xdr:rowOff>
                  </from>
                  <to>
                    <xdr:col>4</xdr:col>
                    <xdr:colOff>0</xdr:colOff>
                    <xdr:row>22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0" name="Button 7">
              <controlPr defaultSize="0" print="0" autoFill="0" autoLine="0" autoPict="0" macro="[0]!PRINT_SCH_C1">
                <anchor moveWithCells="1" sizeWithCells="1">
                  <from>
                    <xdr:col>5</xdr:col>
                    <xdr:colOff>30480</xdr:colOff>
                    <xdr:row>1</xdr:row>
                    <xdr:rowOff>30480</xdr:rowOff>
                  </from>
                  <to>
                    <xdr:col>5</xdr:col>
                    <xdr:colOff>563880</xdr:colOff>
                    <xdr:row>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1" name="Button 8">
              <controlPr defaultSize="0" print="0" autoFill="0" autoLine="0" autoPict="0" macro="[0]!PRINT_SCH_C2">
                <anchor moveWithCells="1" sizeWithCells="1">
                  <from>
                    <xdr:col>5</xdr:col>
                    <xdr:colOff>30480</xdr:colOff>
                    <xdr:row>3</xdr:row>
                    <xdr:rowOff>106680</xdr:rowOff>
                  </from>
                  <to>
                    <xdr:col>5</xdr:col>
                    <xdr:colOff>563880</xdr:colOff>
                    <xdr:row>5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2" name="Button 9">
              <controlPr defaultSize="0" print="0" autoFill="0" autoLine="0" autoPict="0" macro="[0]!PRINT_SCH_C2_1_Base">
                <anchor moveWithCells="1" sizeWithCells="1">
                  <from>
                    <xdr:col>5</xdr:col>
                    <xdr:colOff>0</xdr:colOff>
                    <xdr:row>6</xdr:row>
                    <xdr:rowOff>0</xdr:rowOff>
                  </from>
                  <to>
                    <xdr:col>6</xdr:col>
                    <xdr:colOff>0</xdr:colOff>
                    <xdr:row>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3" name="Button 14">
              <controlPr defaultSize="0" print="0" autoFill="0" autoLine="0" autoPict="0" macro="[0]!PRINT_SCH_D2_4">
                <anchor moveWithCells="1" sizeWithCells="1">
                  <from>
                    <xdr:col>7</xdr:col>
                    <xdr:colOff>30480</xdr:colOff>
                    <xdr:row>10</xdr:row>
                    <xdr:rowOff>106680</xdr:rowOff>
                  </from>
                  <to>
                    <xdr:col>8</xdr:col>
                    <xdr:colOff>0</xdr:colOff>
                    <xdr:row>12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4" name="Button 15">
              <controlPr defaultSize="0" print="0" autoFill="0" autoLine="0" autoPict="0" macro="[0]!PRINT_SCH_D2_5">
                <anchor moveWithCells="1" sizeWithCells="1">
                  <from>
                    <xdr:col>7</xdr:col>
                    <xdr:colOff>30480</xdr:colOff>
                    <xdr:row>13</xdr:row>
                    <xdr:rowOff>0</xdr:rowOff>
                  </from>
                  <to>
                    <xdr:col>8</xdr:col>
                    <xdr:colOff>30480</xdr:colOff>
                    <xdr:row>14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5" name="Button 16">
              <controlPr defaultSize="0" print="0" autoFill="0" autoLine="0" autoPict="0" macro="[0]!PRINT_SCH_D2_6">
                <anchor moveWithCells="1" sizeWithCells="1">
                  <from>
                    <xdr:col>7</xdr:col>
                    <xdr:colOff>30480</xdr:colOff>
                    <xdr:row>15</xdr:row>
                    <xdr:rowOff>76200</xdr:rowOff>
                  </from>
                  <to>
                    <xdr:col>8</xdr:col>
                    <xdr:colOff>30480</xdr:colOff>
                    <xdr:row>17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6" name="Button 17">
              <controlPr defaultSize="0" print="0" autoFill="0" autoLine="0" autoPict="0" macro="[0]!PRINT_SCH_D2_7">
                <anchor moveWithCells="1" sizeWithCells="1">
                  <from>
                    <xdr:col>7</xdr:col>
                    <xdr:colOff>30480</xdr:colOff>
                    <xdr:row>17</xdr:row>
                    <xdr:rowOff>182880</xdr:rowOff>
                  </from>
                  <to>
                    <xdr:col>8</xdr:col>
                    <xdr:colOff>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7" name="Button 18">
              <controlPr defaultSize="0" print="0" autoFill="0" autoLine="0" autoPict="0" macro="[0]!PRINT_SCH_D2_8">
                <anchor moveWithCells="1" sizeWithCells="1">
                  <from>
                    <xdr:col>7</xdr:col>
                    <xdr:colOff>30480</xdr:colOff>
                    <xdr:row>20</xdr:row>
                    <xdr:rowOff>106680</xdr:rowOff>
                  </from>
                  <to>
                    <xdr:col>8</xdr:col>
                    <xdr:colOff>0</xdr:colOff>
                    <xdr:row>22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8" name="Button 19">
              <controlPr defaultSize="0" print="0" autoFill="0" autoLine="0" autoPict="0" macro="[0]!PRINT_SCH_D2_9">
                <anchor moveWithCells="1" sizeWithCells="1">
                  <from>
                    <xdr:col>7</xdr:col>
                    <xdr:colOff>30480</xdr:colOff>
                    <xdr:row>22</xdr:row>
                    <xdr:rowOff>182880</xdr:rowOff>
                  </from>
                  <to>
                    <xdr:col>8</xdr:col>
                    <xdr:colOff>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9" name="Button 20">
              <controlPr defaultSize="0" print="0" autoFill="0" autoLine="0" autoPict="0" macro="[0]!PRINT_SCH_D2_10">
                <anchor moveWithCells="1" sizeWithCells="1">
                  <from>
                    <xdr:col>7</xdr:col>
                    <xdr:colOff>30480</xdr:colOff>
                    <xdr:row>25</xdr:row>
                    <xdr:rowOff>68580</xdr:rowOff>
                  </from>
                  <to>
                    <xdr:col>8</xdr:col>
                    <xdr:colOff>0</xdr:colOff>
                    <xdr:row>27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0" name="Button 21">
              <controlPr defaultSize="0" print="0" autoFill="0" autoLine="0" autoPict="0" macro="[0]!PRINT_SCH_D2_11">
                <anchor moveWithCells="1" sizeWithCells="1">
                  <from>
                    <xdr:col>9</xdr:col>
                    <xdr:colOff>30480</xdr:colOff>
                    <xdr:row>1</xdr:row>
                    <xdr:rowOff>30480</xdr:rowOff>
                  </from>
                  <to>
                    <xdr:col>10</xdr:col>
                    <xdr:colOff>0</xdr:colOff>
                    <xdr:row>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1" name="Button 22">
              <controlPr defaultSize="0" print="0" autoFill="0" autoLine="0" autoPict="0" macro="[0]!PRINT_SCH_D2_12">
                <anchor moveWithCells="1" sizeWithCells="1">
                  <from>
                    <xdr:col>9</xdr:col>
                    <xdr:colOff>30480</xdr:colOff>
                    <xdr:row>3</xdr:row>
                    <xdr:rowOff>106680</xdr:rowOff>
                  </from>
                  <to>
                    <xdr:col>10</xdr:col>
                    <xdr:colOff>0</xdr:colOff>
                    <xdr:row>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2" name="Button 23">
              <controlPr defaultSize="0" print="0" autoFill="0" autoLine="0" autoPict="0" macro="[0]!PRINT_SCH_D2_13">
                <anchor moveWithCells="1" sizeWithCells="1">
                  <from>
                    <xdr:col>9</xdr:col>
                    <xdr:colOff>30480</xdr:colOff>
                    <xdr:row>5</xdr:row>
                    <xdr:rowOff>182880</xdr:rowOff>
                  </from>
                  <to>
                    <xdr:col>10</xdr:col>
                    <xdr:colOff>30480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3" name="Button 24">
              <controlPr defaultSize="0" print="0" autoFill="0" autoLine="0" autoPict="0" macro="[0]!PRINT_SCH_D2_14">
                <anchor moveWithCells="1" sizeWithCells="1">
                  <from>
                    <xdr:col>9</xdr:col>
                    <xdr:colOff>30480</xdr:colOff>
                    <xdr:row>8</xdr:row>
                    <xdr:rowOff>68580</xdr:rowOff>
                  </from>
                  <to>
                    <xdr:col>10</xdr:col>
                    <xdr:colOff>30480</xdr:colOff>
                    <xdr:row>10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4" name="Button 25">
              <controlPr defaultSize="0" print="0" autoFill="0" autoLine="0" autoPict="0" macro="[0]!PRINT_SCH_D2_15">
                <anchor moveWithCells="1" sizeWithCells="1">
                  <from>
                    <xdr:col>9</xdr:col>
                    <xdr:colOff>30480</xdr:colOff>
                    <xdr:row>10</xdr:row>
                    <xdr:rowOff>106680</xdr:rowOff>
                  </from>
                  <to>
                    <xdr:col>10</xdr:col>
                    <xdr:colOff>0</xdr:colOff>
                    <xdr:row>12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5" name="Button 26">
              <controlPr defaultSize="0" print="0" autoFill="0" autoLine="0" autoPict="0" macro="[0]!PRINT_SCH_D2_16">
                <anchor moveWithCells="1" sizeWithCells="1">
                  <from>
                    <xdr:col>9</xdr:col>
                    <xdr:colOff>30480</xdr:colOff>
                    <xdr:row>12</xdr:row>
                    <xdr:rowOff>182880</xdr:rowOff>
                  </from>
                  <to>
                    <xdr:col>10</xdr:col>
                    <xdr:colOff>0</xdr:colOff>
                    <xdr:row>14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6" name="Button 27">
              <controlPr defaultSize="0" print="0" autoFill="0" autoLine="0" autoPict="0" macro="[0]!PRINT_SCH_D2_17">
                <anchor moveWithCells="1" sizeWithCells="1">
                  <from>
                    <xdr:col>9</xdr:col>
                    <xdr:colOff>30480</xdr:colOff>
                    <xdr:row>15</xdr:row>
                    <xdr:rowOff>106680</xdr:rowOff>
                  </from>
                  <to>
                    <xdr:col>10</xdr:col>
                    <xdr:colOff>0</xdr:colOff>
                    <xdr:row>17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27" name="Button 44">
              <controlPr defaultSize="0" print="0" autoFill="0" autoLine="0" autoPict="0" macro="[0]!PRINT_FILING">
                <anchor moveWithCells="1" sizeWithCells="1">
                  <from>
                    <xdr:col>25</xdr:col>
                    <xdr:colOff>38100</xdr:colOff>
                    <xdr:row>1</xdr:row>
                    <xdr:rowOff>30480</xdr:rowOff>
                  </from>
                  <to>
                    <xdr:col>27</xdr:col>
                    <xdr:colOff>0</xdr:colOff>
                    <xdr:row>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28" name="Button 45">
              <controlPr defaultSize="0" print="0" autoFill="0" autoLine="0" autoPict="0" macro="[0]!PRINT_B_Schedules">
                <anchor moveWithCells="1" sizeWithCells="1">
                  <from>
                    <xdr:col>25</xdr:col>
                    <xdr:colOff>38100</xdr:colOff>
                    <xdr:row>3</xdr:row>
                    <xdr:rowOff>106680</xdr:rowOff>
                  </from>
                  <to>
                    <xdr:col>27</xdr:col>
                    <xdr:colOff>0</xdr:colOff>
                    <xdr:row>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29" name="Button 46">
              <controlPr defaultSize="0" print="0" autoFill="0" autoLine="0" autoPict="0" macro="[0]!PRINT_C_Schedules">
                <anchor moveWithCells="1" sizeWithCells="1">
                  <from>
                    <xdr:col>25</xdr:col>
                    <xdr:colOff>38100</xdr:colOff>
                    <xdr:row>5</xdr:row>
                    <xdr:rowOff>182880</xdr:rowOff>
                  </from>
                  <to>
                    <xdr:col>27</xdr:col>
                    <xdr:colOff>0</xdr:colOff>
                    <xdr:row>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30" name="Button 50">
              <controlPr defaultSize="0" print="0" autoFill="0" autoLine="0" autoPict="0" macro="[0]!PRINT_D_Schedules">
                <anchor moveWithCells="1" sizeWithCells="1">
                  <from>
                    <xdr:col>25</xdr:col>
                    <xdr:colOff>38100</xdr:colOff>
                    <xdr:row>8</xdr:row>
                    <xdr:rowOff>106680</xdr:rowOff>
                  </from>
                  <to>
                    <xdr:col>27</xdr:col>
                    <xdr:colOff>0</xdr:colOff>
                    <xdr:row>10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31" name="Button 51">
              <controlPr defaultSize="0" print="0" autoFill="0" autoLine="0" autoPict="0" macro="[0]!PRINT_E_Schedules">
                <anchor moveWithCells="1" sizeWithCells="1">
                  <from>
                    <xdr:col>25</xdr:col>
                    <xdr:colOff>38100</xdr:colOff>
                    <xdr:row>10</xdr:row>
                    <xdr:rowOff>182880</xdr:rowOff>
                  </from>
                  <to>
                    <xdr:col>27</xdr:col>
                    <xdr:colOff>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32" name="Button 52">
              <controlPr defaultSize="0" print="0" autoFill="0" autoLine="0" autoPict="0" macro="[0]!PRINT_F_Schedules">
                <anchor moveWithCells="1" sizeWithCells="1">
                  <from>
                    <xdr:col>25</xdr:col>
                    <xdr:colOff>38100</xdr:colOff>
                    <xdr:row>13</xdr:row>
                    <xdr:rowOff>76200</xdr:rowOff>
                  </from>
                  <to>
                    <xdr:col>27</xdr:col>
                    <xdr:colOff>0</xdr:colOff>
                    <xdr:row>15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33" name="Button 53">
              <controlPr defaultSize="0" print="0" autoFill="0" autoLine="0" autoPict="0" macro="[0]!PRINT_G_Schedules">
                <anchor moveWithCells="1" sizeWithCells="1">
                  <from>
                    <xdr:col>25</xdr:col>
                    <xdr:colOff>38100</xdr:colOff>
                    <xdr:row>15</xdr:row>
                    <xdr:rowOff>182880</xdr:rowOff>
                  </from>
                  <to>
                    <xdr:col>27</xdr:col>
                    <xdr:colOff>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34" name="Button 54">
              <controlPr defaultSize="0" print="0" autoFill="0" autoLine="0" autoPict="0" macro="[0]!PRINT_I_Schedules">
                <anchor moveWithCells="1" sizeWithCells="1">
                  <from>
                    <xdr:col>25</xdr:col>
                    <xdr:colOff>38100</xdr:colOff>
                    <xdr:row>18</xdr:row>
                    <xdr:rowOff>68580</xdr:rowOff>
                  </from>
                  <to>
                    <xdr:col>27</xdr:col>
                    <xdr:colOff>0</xdr:colOff>
                    <xdr:row>20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35" name="Button 55">
              <controlPr defaultSize="0" print="0" autoFill="0" autoLine="0" autoPict="0" macro="[0]!PRINT_WPB_6">
                <anchor moveWithCells="1" sizeWithCells="1">
                  <from>
                    <xdr:col>23</xdr:col>
                    <xdr:colOff>30480</xdr:colOff>
                    <xdr:row>11</xdr:row>
                    <xdr:rowOff>30480</xdr:rowOff>
                  </from>
                  <to>
                    <xdr:col>24</xdr:col>
                    <xdr:colOff>30480</xdr:colOff>
                    <xdr:row>13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36" name="Button 56">
              <controlPr defaultSize="0" print="0" autoFill="0" autoLine="0" autoPict="0" macro="[0]!PRINT_WPE_2">
                <anchor moveWithCells="1" sizeWithCells="1">
                  <from>
                    <xdr:col>23</xdr:col>
                    <xdr:colOff>30480</xdr:colOff>
                    <xdr:row>16</xdr:row>
                    <xdr:rowOff>30480</xdr:rowOff>
                  </from>
                  <to>
                    <xdr:col>24</xdr:col>
                    <xdr:colOff>68580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37" name="Button 57">
              <controlPr defaultSize="0" print="0" autoFill="0" autoLine="0" autoPict="0" macro="[0]!PRINT_WPD_2s">
                <anchor moveWithCells="1" sizeWithCells="1">
                  <from>
                    <xdr:col>23</xdr:col>
                    <xdr:colOff>30480</xdr:colOff>
                    <xdr:row>13</xdr:row>
                    <xdr:rowOff>144780</xdr:rowOff>
                  </from>
                  <to>
                    <xdr:col>24</xdr:col>
                    <xdr:colOff>38100</xdr:colOff>
                    <xdr:row>15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38" name="Button 71">
              <controlPr defaultSize="0" print="0" autoFill="0" autoLine="0" autoPict="0" macro="[0]!PRINT_WPB_5s">
                <anchor moveWithCells="1" sizeWithCells="1">
                  <from>
                    <xdr:col>23</xdr:col>
                    <xdr:colOff>30480</xdr:colOff>
                    <xdr:row>6</xdr:row>
                    <xdr:rowOff>30480</xdr:rowOff>
                  </from>
                  <to>
                    <xdr:col>24</xdr:col>
                    <xdr:colOff>30480</xdr:colOff>
                    <xdr:row>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39" name="Button 74">
              <controlPr defaultSize="0" print="0" autoFill="0" autoLine="0" autoPict="0" macro="[0]!PRINT_SCH_G1">
                <anchor moveWithCells="1" sizeWithCells="1">
                  <from>
                    <xdr:col>15</xdr:col>
                    <xdr:colOff>30480</xdr:colOff>
                    <xdr:row>1</xdr:row>
                    <xdr:rowOff>30480</xdr:rowOff>
                  </from>
                  <to>
                    <xdr:col>16</xdr:col>
                    <xdr:colOff>30480</xdr:colOff>
                    <xdr:row>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40" name="Button 75">
              <controlPr defaultSize="0" print="0" autoFill="0" autoLine="0" autoPict="0" macro="[0]!PRINT_SCH_G2">
                <anchor moveWithCells="1" sizeWithCells="1">
                  <from>
                    <xdr:col>15</xdr:col>
                    <xdr:colOff>30480</xdr:colOff>
                    <xdr:row>3</xdr:row>
                    <xdr:rowOff>114300</xdr:rowOff>
                  </from>
                  <to>
                    <xdr:col>15</xdr:col>
                    <xdr:colOff>563880</xdr:colOff>
                    <xdr:row>5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41" name="Button 76">
              <controlPr defaultSize="0" print="0" autoFill="0" autoLine="0" autoPict="0" macro="[0]!PRINT_SCH_G3">
                <anchor moveWithCells="1" sizeWithCells="1">
                  <from>
                    <xdr:col>15</xdr:col>
                    <xdr:colOff>30480</xdr:colOff>
                    <xdr:row>6</xdr:row>
                    <xdr:rowOff>0</xdr:rowOff>
                  </from>
                  <to>
                    <xdr:col>15</xdr:col>
                    <xdr:colOff>563880</xdr:colOff>
                    <xdr:row>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42" name="Button 80">
              <controlPr defaultSize="0" print="0" autoFill="0" autoLine="0" autoPict="0" macro="[0]!PRINT_SCH_I3">
                <anchor moveWithCells="1" sizeWithCells="1">
                  <from>
                    <xdr:col>17</xdr:col>
                    <xdr:colOff>30480</xdr:colOff>
                    <xdr:row>5</xdr:row>
                    <xdr:rowOff>182880</xdr:rowOff>
                  </from>
                  <to>
                    <xdr:col>18</xdr:col>
                    <xdr:colOff>30480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43" name="Button 81">
              <controlPr defaultSize="0" print="0" autoFill="0" autoLine="0" autoPict="0" macro="[0]!PRINT_SCH_I4">
                <anchor moveWithCells="1" sizeWithCells="1">
                  <from>
                    <xdr:col>17</xdr:col>
                    <xdr:colOff>30480</xdr:colOff>
                    <xdr:row>8</xdr:row>
                    <xdr:rowOff>68580</xdr:rowOff>
                  </from>
                  <to>
                    <xdr:col>18</xdr:col>
                    <xdr:colOff>30480</xdr:colOff>
                    <xdr:row>10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44" name="Button 93">
              <controlPr defaultSize="0" print="0" autoFill="0" autoLine="0" autoPict="0" macro="[0]!PRINT_SCH_C2_1_Forecast">
                <anchor moveWithCells="1" sizeWithCells="1">
                  <from>
                    <xdr:col>5</xdr:col>
                    <xdr:colOff>0</xdr:colOff>
                    <xdr:row>8</xdr:row>
                    <xdr:rowOff>106680</xdr:rowOff>
                  </from>
                  <to>
                    <xdr:col>6</xdr:col>
                    <xdr:colOff>0</xdr:colOff>
                    <xdr:row>10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45" name="Button 94">
              <controlPr defaultSize="0" print="0" autoFill="0" autoLine="0" autoPict="0" macro="[0]!PRINT_SCH_D1">
                <anchor moveWithCells="1" sizeWithCells="1">
                  <from>
                    <xdr:col>7</xdr:col>
                    <xdr:colOff>30480</xdr:colOff>
                    <xdr:row>1</xdr:row>
                    <xdr:rowOff>30480</xdr:rowOff>
                  </from>
                  <to>
                    <xdr:col>8</xdr:col>
                    <xdr:colOff>0</xdr:colOff>
                    <xdr:row>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46" name="Button 95">
              <controlPr defaultSize="0" print="0" autoFill="0" autoLine="0" autoPict="0" macro="[0]!PRINT_SCH_D2_1">
                <anchor moveWithCells="1" sizeWithCells="1">
                  <from>
                    <xdr:col>7</xdr:col>
                    <xdr:colOff>30480</xdr:colOff>
                    <xdr:row>3</xdr:row>
                    <xdr:rowOff>76200</xdr:rowOff>
                  </from>
                  <to>
                    <xdr:col>8</xdr:col>
                    <xdr:colOff>0</xdr:colOff>
                    <xdr:row>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47" name="Button 96">
              <controlPr defaultSize="0" print="0" autoFill="0" autoLine="0" autoPict="0" macro="[0]!PRINT_SCH_D2_2">
                <anchor moveWithCells="1" sizeWithCells="1">
                  <from>
                    <xdr:col>7</xdr:col>
                    <xdr:colOff>30480</xdr:colOff>
                    <xdr:row>5</xdr:row>
                    <xdr:rowOff>152400</xdr:rowOff>
                  </from>
                  <to>
                    <xdr:col>8</xdr:col>
                    <xdr:colOff>30480</xdr:colOff>
                    <xdr:row>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48" name="Button 97">
              <controlPr defaultSize="0" print="0" autoFill="0" autoLine="0" autoPict="0" macro="[0]!PRINT_SCH_D2_3">
                <anchor moveWithCells="1" sizeWithCells="1">
                  <from>
                    <xdr:col>7</xdr:col>
                    <xdr:colOff>30480</xdr:colOff>
                    <xdr:row>8</xdr:row>
                    <xdr:rowOff>68580</xdr:rowOff>
                  </from>
                  <to>
                    <xdr:col>8</xdr:col>
                    <xdr:colOff>0</xdr:colOff>
                    <xdr:row>10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49" name="Button 98">
              <controlPr defaultSize="0" print="0" autoFill="0" autoLine="0" autoPict="0" macro="[0]!PRINT_SCH_C2_2">
                <anchor moveWithCells="1" sizeWithCells="1">
                  <from>
                    <xdr:col>5</xdr:col>
                    <xdr:colOff>0</xdr:colOff>
                    <xdr:row>10</xdr:row>
                    <xdr:rowOff>182880</xdr:rowOff>
                  </from>
                  <to>
                    <xdr:col>6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50" name="Button 99">
              <controlPr defaultSize="0" print="0" autoFill="0" autoLine="0" autoPict="0" macro="[0]!PRINT_SCH_D2_18">
                <anchor moveWithCells="1" sizeWithCells="1">
                  <from>
                    <xdr:col>9</xdr:col>
                    <xdr:colOff>30480</xdr:colOff>
                    <xdr:row>17</xdr:row>
                    <xdr:rowOff>152400</xdr:rowOff>
                  </from>
                  <to>
                    <xdr:col>10</xdr:col>
                    <xdr:colOff>0</xdr:colOff>
                    <xdr:row>19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51" name="Button 100">
              <controlPr defaultSize="0" print="0" autoFill="0" autoLine="0" autoPict="0" macro="[0]!PRINT_SCH_D2_19">
                <anchor moveWithCells="1" sizeWithCells="1">
                  <from>
                    <xdr:col>9</xdr:col>
                    <xdr:colOff>30480</xdr:colOff>
                    <xdr:row>20</xdr:row>
                    <xdr:rowOff>68580</xdr:rowOff>
                  </from>
                  <to>
                    <xdr:col>10</xdr:col>
                    <xdr:colOff>0</xdr:colOff>
                    <xdr:row>22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52" name="Button 101">
              <controlPr defaultSize="0" print="0" autoFill="0" autoLine="0" autoPict="0" macro="[0]!PRINT_SCH_D2_20">
                <anchor moveWithCells="1" sizeWithCells="1">
                  <from>
                    <xdr:col>9</xdr:col>
                    <xdr:colOff>30480</xdr:colOff>
                    <xdr:row>22</xdr:row>
                    <xdr:rowOff>144780</xdr:rowOff>
                  </from>
                  <to>
                    <xdr:col>10</xdr:col>
                    <xdr:colOff>30480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53" name="Button 102">
              <controlPr defaultSize="0" print="0" autoFill="0" autoLine="0" autoPict="0" macro="[0]!PRINT_SCH_D2_21">
                <anchor moveWithCells="1" sizeWithCells="1">
                  <from>
                    <xdr:col>9</xdr:col>
                    <xdr:colOff>30480</xdr:colOff>
                    <xdr:row>25</xdr:row>
                    <xdr:rowOff>68580</xdr:rowOff>
                  </from>
                  <to>
                    <xdr:col>10</xdr:col>
                    <xdr:colOff>30480</xdr:colOff>
                    <xdr:row>27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54" name="Button 109">
              <controlPr defaultSize="0" print="0" autoFill="0" autoLine="0" autoPict="0" macro="[0]!PRINT_SCH_F1">
                <anchor moveWithCells="1" sizeWithCells="1">
                  <from>
                    <xdr:col>13</xdr:col>
                    <xdr:colOff>30480</xdr:colOff>
                    <xdr:row>1</xdr:row>
                    <xdr:rowOff>30480</xdr:rowOff>
                  </from>
                  <to>
                    <xdr:col>14</xdr:col>
                    <xdr:colOff>30480</xdr:colOff>
                    <xdr:row>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55" name="Button 110">
              <controlPr defaultSize="0" print="0" autoFill="0" autoLine="0" autoPict="0" macro="[0]!PRINT_SCH_F2_1">
                <anchor moveWithCells="1" sizeWithCells="1">
                  <from>
                    <xdr:col>13</xdr:col>
                    <xdr:colOff>30480</xdr:colOff>
                    <xdr:row>3</xdr:row>
                    <xdr:rowOff>106680</xdr:rowOff>
                  </from>
                  <to>
                    <xdr:col>14</xdr:col>
                    <xdr:colOff>68580</xdr:colOff>
                    <xdr:row>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56" name="Button 111">
              <controlPr defaultSize="0" print="0" autoFill="0" autoLine="0" autoPict="0" macro="[0]!PRINT_SCH_F2_2">
                <anchor moveWithCells="1" sizeWithCells="1">
                  <from>
                    <xdr:col>13</xdr:col>
                    <xdr:colOff>30480</xdr:colOff>
                    <xdr:row>5</xdr:row>
                    <xdr:rowOff>182880</xdr:rowOff>
                  </from>
                  <to>
                    <xdr:col>14</xdr:col>
                    <xdr:colOff>68580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57" name="Button 112">
              <controlPr defaultSize="0" print="0" autoFill="0" autoLine="0" autoPict="0" macro="[0]!PRINT_SCH_F2_3">
                <anchor moveWithCells="1" sizeWithCells="1">
                  <from>
                    <xdr:col>13</xdr:col>
                    <xdr:colOff>30480</xdr:colOff>
                    <xdr:row>8</xdr:row>
                    <xdr:rowOff>68580</xdr:rowOff>
                  </from>
                  <to>
                    <xdr:col>14</xdr:col>
                    <xdr:colOff>68580</xdr:colOff>
                    <xdr:row>10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58" name="Button 113">
              <controlPr defaultSize="0" print="0" autoFill="0" autoLine="0" autoPict="0" macro="[0]!PRINT_SCH_F3">
                <anchor moveWithCells="1" sizeWithCells="1">
                  <from>
                    <xdr:col>13</xdr:col>
                    <xdr:colOff>30480</xdr:colOff>
                    <xdr:row>10</xdr:row>
                    <xdr:rowOff>144780</xdr:rowOff>
                  </from>
                  <to>
                    <xdr:col>14</xdr:col>
                    <xdr:colOff>68580</xdr:colOff>
                    <xdr:row>12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59" name="Button 114">
              <controlPr defaultSize="0" print="0" autoFill="0" autoLine="0" autoPict="0" macro="[0]!PRINT_SCH_F4">
                <anchor moveWithCells="1" sizeWithCells="1">
                  <from>
                    <xdr:col>13</xdr:col>
                    <xdr:colOff>30480</xdr:colOff>
                    <xdr:row>13</xdr:row>
                    <xdr:rowOff>30480</xdr:rowOff>
                  </from>
                  <to>
                    <xdr:col>14</xdr:col>
                    <xdr:colOff>68580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60" name="Button 115">
              <controlPr defaultSize="0" print="0" autoFill="0" autoLine="0" autoPict="0" macro="[0]!PRINT_SCH_F5">
                <anchor moveWithCells="1" sizeWithCells="1">
                  <from>
                    <xdr:col>13</xdr:col>
                    <xdr:colOff>30480</xdr:colOff>
                    <xdr:row>15</xdr:row>
                    <xdr:rowOff>106680</xdr:rowOff>
                  </from>
                  <to>
                    <xdr:col>14</xdr:col>
                    <xdr:colOff>68580</xdr:colOff>
                    <xdr:row>17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61" name="Button 116">
              <controlPr defaultSize="0" print="0" autoFill="0" autoLine="0" autoPict="0" macro="[0]!PRINT_SCH_F6">
                <anchor moveWithCells="1" sizeWithCells="1">
                  <from>
                    <xdr:col>13</xdr:col>
                    <xdr:colOff>30480</xdr:colOff>
                    <xdr:row>17</xdr:row>
                    <xdr:rowOff>182880</xdr:rowOff>
                  </from>
                  <to>
                    <xdr:col>14</xdr:col>
                    <xdr:colOff>68580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62" name="Button 117">
              <controlPr defaultSize="0" print="0" autoFill="0" autoLine="0" autoPict="0" macro="[0]!PRINT_SCH_F7">
                <anchor moveWithCells="1" sizeWithCells="1">
                  <from>
                    <xdr:col>13</xdr:col>
                    <xdr:colOff>30480</xdr:colOff>
                    <xdr:row>20</xdr:row>
                    <xdr:rowOff>76200</xdr:rowOff>
                  </from>
                  <to>
                    <xdr:col>14</xdr:col>
                    <xdr:colOff>68580</xdr:colOff>
                    <xdr:row>22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63" name="Button 118">
              <controlPr defaultSize="0" print="0" autoFill="0" autoLine="0" autoPict="0" macro="[0]!PRINT_SCH_H">
                <anchor moveWithCells="1" sizeWithCells="1">
                  <from>
                    <xdr:col>15</xdr:col>
                    <xdr:colOff>30480</xdr:colOff>
                    <xdr:row>8</xdr:row>
                    <xdr:rowOff>68580</xdr:rowOff>
                  </from>
                  <to>
                    <xdr:col>16</xdr:col>
                    <xdr:colOff>30480</xdr:colOff>
                    <xdr:row>10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64" name="Button 119">
              <controlPr defaultSize="0" print="0" autoFill="0" autoLine="0" autoPict="0" macro="[0]!PRINT_SCH_I1">
                <anchor moveWithCells="1" sizeWithCells="1">
                  <from>
                    <xdr:col>17</xdr:col>
                    <xdr:colOff>30480</xdr:colOff>
                    <xdr:row>1</xdr:row>
                    <xdr:rowOff>30480</xdr:rowOff>
                  </from>
                  <to>
                    <xdr:col>18</xdr:col>
                    <xdr:colOff>30480</xdr:colOff>
                    <xdr:row>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65" name="Button 120">
              <controlPr defaultSize="0" print="0" autoFill="0" autoLine="0" autoPict="0" macro="[0]!PRINT_SCH_I2_1">
                <anchor moveWithCells="1" sizeWithCells="1">
                  <from>
                    <xdr:col>17</xdr:col>
                    <xdr:colOff>30480</xdr:colOff>
                    <xdr:row>3</xdr:row>
                    <xdr:rowOff>106680</xdr:rowOff>
                  </from>
                  <to>
                    <xdr:col>18</xdr:col>
                    <xdr:colOff>30480</xdr:colOff>
                    <xdr:row>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66" name="Button 121">
              <controlPr defaultSize="0" print="0" autoFill="0" autoLine="0" autoPict="0" macro="[0]!PRINT_SCH_I5">
                <anchor moveWithCells="1" sizeWithCells="1">
                  <from>
                    <xdr:col>17</xdr:col>
                    <xdr:colOff>30480</xdr:colOff>
                    <xdr:row>10</xdr:row>
                    <xdr:rowOff>144780</xdr:rowOff>
                  </from>
                  <to>
                    <xdr:col>18</xdr:col>
                    <xdr:colOff>30480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67" name="Button 122">
              <controlPr defaultSize="0" print="0" autoFill="0" autoLine="0" autoPict="0" macro="[0]!PRINT_SCH_J1_Base">
                <anchor moveWithCells="1" sizeWithCells="1">
                  <from>
                    <xdr:col>19</xdr:col>
                    <xdr:colOff>30480</xdr:colOff>
                    <xdr:row>1</xdr:row>
                    <xdr:rowOff>30480</xdr:rowOff>
                  </from>
                  <to>
                    <xdr:col>20</xdr:col>
                    <xdr:colOff>30480</xdr:colOff>
                    <xdr:row>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68" name="Button 123">
              <controlPr defaultSize="0" print="0" autoFill="0" autoLine="0" autoPict="0" macro="[0]!PRINT_SCH_J1_Forecast">
                <anchor moveWithCells="1" sizeWithCells="1">
                  <from>
                    <xdr:col>21</xdr:col>
                    <xdr:colOff>68580</xdr:colOff>
                    <xdr:row>1</xdr:row>
                    <xdr:rowOff>30480</xdr:rowOff>
                  </from>
                  <to>
                    <xdr:col>22</xdr:col>
                    <xdr:colOff>30480</xdr:colOff>
                    <xdr:row>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69" name="Button 124">
              <controlPr defaultSize="0" print="0" autoFill="0" autoLine="0" autoPict="0" macro="[0]!PRINT_SCH_J1_1">
                <anchor moveWithCells="1" sizeWithCells="1">
                  <from>
                    <xdr:col>19</xdr:col>
                    <xdr:colOff>30480</xdr:colOff>
                    <xdr:row>3</xdr:row>
                    <xdr:rowOff>76200</xdr:rowOff>
                  </from>
                  <to>
                    <xdr:col>20</xdr:col>
                    <xdr:colOff>68580</xdr:colOff>
                    <xdr:row>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70" name="Button 125">
              <controlPr defaultSize="0" print="0" autoFill="0" autoLine="0" autoPict="0" macro="[0]!PRINT_SCH_J1_2">
                <anchor moveWithCells="1" sizeWithCells="1">
                  <from>
                    <xdr:col>19</xdr:col>
                    <xdr:colOff>30480</xdr:colOff>
                    <xdr:row>5</xdr:row>
                    <xdr:rowOff>152400</xdr:rowOff>
                  </from>
                  <to>
                    <xdr:col>20</xdr:col>
                    <xdr:colOff>68580</xdr:colOff>
                    <xdr:row>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71" name="Button 126">
              <controlPr defaultSize="0" print="0" autoFill="0" autoLine="0" autoPict="0" macro="[0]!PRINT_SCH_J2_Base">
                <anchor moveWithCells="1" sizeWithCells="1">
                  <from>
                    <xdr:col>19</xdr:col>
                    <xdr:colOff>30480</xdr:colOff>
                    <xdr:row>8</xdr:row>
                    <xdr:rowOff>106680</xdr:rowOff>
                  </from>
                  <to>
                    <xdr:col>20</xdr:col>
                    <xdr:colOff>30480</xdr:colOff>
                    <xdr:row>10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72" name="Button 127">
              <controlPr defaultSize="0" print="0" autoFill="0" autoLine="0" autoPict="0" macro="[0]!PRINT_SCH_J2_Forecast">
                <anchor moveWithCells="1" sizeWithCells="1">
                  <from>
                    <xdr:col>21</xdr:col>
                    <xdr:colOff>68580</xdr:colOff>
                    <xdr:row>8</xdr:row>
                    <xdr:rowOff>106680</xdr:rowOff>
                  </from>
                  <to>
                    <xdr:col>22</xdr:col>
                    <xdr:colOff>30480</xdr:colOff>
                    <xdr:row>10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73" name="Button 128">
              <controlPr defaultSize="0" print="0" autoFill="0" autoLine="0" autoPict="0" macro="[0]!PRINT_SCH_J3_Base">
                <anchor moveWithCells="1" sizeWithCells="1">
                  <from>
                    <xdr:col>19</xdr:col>
                    <xdr:colOff>30480</xdr:colOff>
                    <xdr:row>10</xdr:row>
                    <xdr:rowOff>182880</xdr:rowOff>
                  </from>
                  <to>
                    <xdr:col>20</xdr:col>
                    <xdr:colOff>30480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74" name="Button 129">
              <controlPr defaultSize="0" print="0" autoFill="0" autoLine="0" autoPict="0" macro="[0]!PRINT_SCH_J3_Forecast">
                <anchor moveWithCells="1" sizeWithCells="1">
                  <from>
                    <xdr:col>21</xdr:col>
                    <xdr:colOff>68580</xdr:colOff>
                    <xdr:row>10</xdr:row>
                    <xdr:rowOff>182880</xdr:rowOff>
                  </from>
                  <to>
                    <xdr:col>22</xdr:col>
                    <xdr:colOff>30480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75" name="Button 130">
              <controlPr defaultSize="0" print="0" autoFill="0" autoLine="0" autoPict="0" macro="[0]!PRINT_SCH_J4">
                <anchor moveWithCells="1" sizeWithCells="1">
                  <from>
                    <xdr:col>19</xdr:col>
                    <xdr:colOff>30480</xdr:colOff>
                    <xdr:row>13</xdr:row>
                    <xdr:rowOff>68580</xdr:rowOff>
                  </from>
                  <to>
                    <xdr:col>20</xdr:col>
                    <xdr:colOff>30480</xdr:colOff>
                    <xdr:row>15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76" name="Button 131">
              <controlPr defaultSize="0" print="0" autoFill="0" autoLine="0" autoPict="0" macro="[0]!PRINT_K_Schedules">
                <anchor moveWithCells="1" sizeWithCells="1">
                  <from>
                    <xdr:col>19</xdr:col>
                    <xdr:colOff>30480</xdr:colOff>
                    <xdr:row>16</xdr:row>
                    <xdr:rowOff>68580</xdr:rowOff>
                  </from>
                  <to>
                    <xdr:col>20</xdr:col>
                    <xdr:colOff>30480</xdr:colOff>
                    <xdr:row>18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77" name="Button 132">
              <controlPr defaultSize="0" print="0" autoFill="0" autoLine="0" autoPict="0" macro="[0]!PRINT_OTHER">
                <anchor moveWithCells="1" sizeWithCells="1">
                  <from>
                    <xdr:col>23</xdr:col>
                    <xdr:colOff>30480</xdr:colOff>
                    <xdr:row>8</xdr:row>
                    <xdr:rowOff>106680</xdr:rowOff>
                  </from>
                  <to>
                    <xdr:col>24</xdr:col>
                    <xdr:colOff>30480</xdr:colOff>
                    <xdr:row>10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78" name="Button 133">
              <controlPr defaultSize="0" print="0" autoFill="0" autoLine="0" autoPict="0" macro="[0]!PRINT_SCH_B2">
                <anchor moveWithCells="1" sizeWithCells="1">
                  <from>
                    <xdr:col>1</xdr:col>
                    <xdr:colOff>0</xdr:colOff>
                    <xdr:row>5</xdr:row>
                    <xdr:rowOff>182880</xdr:rowOff>
                  </from>
                  <to>
                    <xdr:col>1</xdr:col>
                    <xdr:colOff>533400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79" name="Button 134">
              <controlPr defaultSize="0" print="0" autoFill="0" autoLine="0" autoPict="0" macro="[0]!PRINT_SCH_B2_1">
                <anchor moveWithCells="1" sizeWithCells="1">
                  <from>
                    <xdr:col>1</xdr:col>
                    <xdr:colOff>30480</xdr:colOff>
                    <xdr:row>8</xdr:row>
                    <xdr:rowOff>68580</xdr:rowOff>
                  </from>
                  <to>
                    <xdr:col>1</xdr:col>
                    <xdr:colOff>533400</xdr:colOff>
                    <xdr:row>10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80" name="Button 135">
              <controlPr defaultSize="0" print="0" autoFill="0" autoLine="0" autoPict="0" macro="[0]!PRINT_SCH_B2_2">
                <anchor moveWithCells="1" sizeWithCells="1">
                  <from>
                    <xdr:col>1</xdr:col>
                    <xdr:colOff>30480</xdr:colOff>
                    <xdr:row>10</xdr:row>
                    <xdr:rowOff>144780</xdr:rowOff>
                  </from>
                  <to>
                    <xdr:col>1</xdr:col>
                    <xdr:colOff>533400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81" name="Button 136">
              <controlPr defaultSize="0" print="0" autoFill="0" autoLine="0" autoPict="0" macro="[0]!PRINT_SCH_B2_3">
                <anchor moveWithCells="1" sizeWithCells="1">
                  <from>
                    <xdr:col>1</xdr:col>
                    <xdr:colOff>30480</xdr:colOff>
                    <xdr:row>13</xdr:row>
                    <xdr:rowOff>30480</xdr:rowOff>
                  </from>
                  <to>
                    <xdr:col>1</xdr:col>
                    <xdr:colOff>533400</xdr:colOff>
                    <xdr:row>15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82" name="Button 137">
              <controlPr defaultSize="0" print="0" autoFill="0" autoLine="0" autoPict="0" macro="[0]!PRINT_SCH_B2_4">
                <anchor moveWithCells="1" sizeWithCells="1">
                  <from>
                    <xdr:col>1</xdr:col>
                    <xdr:colOff>30480</xdr:colOff>
                    <xdr:row>15</xdr:row>
                    <xdr:rowOff>114300</xdr:rowOff>
                  </from>
                  <to>
                    <xdr:col>1</xdr:col>
                    <xdr:colOff>533400</xdr:colOff>
                    <xdr:row>17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83" name="Button 138">
              <controlPr defaultSize="0" print="0" autoFill="0" autoLine="0" autoPict="0" macro="[0]!PRINT_SCH_B2_5">
                <anchor moveWithCells="1" sizeWithCells="1">
                  <from>
                    <xdr:col>1</xdr:col>
                    <xdr:colOff>30480</xdr:colOff>
                    <xdr:row>18</xdr:row>
                    <xdr:rowOff>0</xdr:rowOff>
                  </from>
                  <to>
                    <xdr:col>1</xdr:col>
                    <xdr:colOff>533400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84" name="Button 139">
              <controlPr defaultSize="0" print="0" autoFill="0" autoLine="0" autoPict="0" macro="[0]!PRINT_SCH_B2_6">
                <anchor moveWithCells="1" sizeWithCells="1">
                  <from>
                    <xdr:col>1</xdr:col>
                    <xdr:colOff>30480</xdr:colOff>
                    <xdr:row>20</xdr:row>
                    <xdr:rowOff>106680</xdr:rowOff>
                  </from>
                  <to>
                    <xdr:col>1</xdr:col>
                    <xdr:colOff>533400</xdr:colOff>
                    <xdr:row>22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85" name="Button 140">
              <controlPr defaultSize="0" print="0" autoFill="0" autoLine="0" autoPict="0" macro="[0]!PRINT_SCH_B2_7">
                <anchor moveWithCells="1" sizeWithCells="1">
                  <from>
                    <xdr:col>1</xdr:col>
                    <xdr:colOff>30480</xdr:colOff>
                    <xdr:row>22</xdr:row>
                    <xdr:rowOff>182880</xdr:rowOff>
                  </from>
                  <to>
                    <xdr:col>1</xdr:col>
                    <xdr:colOff>533400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86" name="Button 163">
              <controlPr defaultSize="0" print="0" autoFill="0" autoLine="0" autoPict="0" macro="[0]!PRINT_SCH_B3">
                <anchor moveWithCells="1" sizeWithCells="1">
                  <from>
                    <xdr:col>3</xdr:col>
                    <xdr:colOff>30480</xdr:colOff>
                    <xdr:row>1</xdr:row>
                    <xdr:rowOff>30480</xdr:rowOff>
                  </from>
                  <to>
                    <xdr:col>3</xdr:col>
                    <xdr:colOff>563880</xdr:colOff>
                    <xdr:row>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87" name="Button 164">
              <controlPr defaultSize="0" print="0" autoFill="0" autoLine="0" autoPict="0" macro="[0]!PRINT_SCH_B3_1">
                <anchor moveWithCells="1" sizeWithCells="1">
                  <from>
                    <xdr:col>3</xdr:col>
                    <xdr:colOff>30480</xdr:colOff>
                    <xdr:row>3</xdr:row>
                    <xdr:rowOff>144780</xdr:rowOff>
                  </from>
                  <to>
                    <xdr:col>3</xdr:col>
                    <xdr:colOff>563880</xdr:colOff>
                    <xdr:row>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88" name="Button 165">
              <controlPr defaultSize="0" print="0" autoFill="0" autoLine="0" autoPict="0" macro="[0]!PRINT_SCH_B3_2">
                <anchor moveWithCells="1" sizeWithCells="1">
                  <from>
                    <xdr:col>3</xdr:col>
                    <xdr:colOff>30480</xdr:colOff>
                    <xdr:row>6</xdr:row>
                    <xdr:rowOff>30480</xdr:rowOff>
                  </from>
                  <to>
                    <xdr:col>3</xdr:col>
                    <xdr:colOff>563880</xdr:colOff>
                    <xdr:row>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89" name="Button 166">
              <controlPr defaultSize="0" print="0" autoFill="0" autoLine="0" autoPict="0" macro="[0]!PRINT_SCH_B4">
                <anchor moveWithCells="1" sizeWithCells="1">
                  <from>
                    <xdr:col>3</xdr:col>
                    <xdr:colOff>30480</xdr:colOff>
                    <xdr:row>8</xdr:row>
                    <xdr:rowOff>106680</xdr:rowOff>
                  </from>
                  <to>
                    <xdr:col>3</xdr:col>
                    <xdr:colOff>563880</xdr:colOff>
                    <xdr:row>10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90" name="Button 167">
              <controlPr defaultSize="0" print="0" autoFill="0" autoLine="0" autoPict="0" macro="[0]!PRINT_SCH_B4_1">
                <anchor moveWithCells="1" sizeWithCells="1">
                  <from>
                    <xdr:col>3</xdr:col>
                    <xdr:colOff>30480</xdr:colOff>
                    <xdr:row>10</xdr:row>
                    <xdr:rowOff>182880</xdr:rowOff>
                  </from>
                  <to>
                    <xdr:col>3</xdr:col>
                    <xdr:colOff>563880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91" name="Button 170">
              <controlPr defaultSize="0" print="0" autoFill="0" autoLine="0" autoPict="0" macro="[0]!PRINT_J_Schedules">
                <anchor moveWithCells="1" sizeWithCells="1">
                  <from>
                    <xdr:col>25</xdr:col>
                    <xdr:colOff>68580</xdr:colOff>
                    <xdr:row>20</xdr:row>
                    <xdr:rowOff>182880</xdr:rowOff>
                  </from>
                  <to>
                    <xdr:col>27</xdr:col>
                    <xdr:colOff>30480</xdr:colOff>
                    <xdr:row>22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92" name="Button 174">
              <controlPr defaultSize="0" print="0" autoFill="0" autoLine="0" autoPict="0" macro="[0]!PRINT_SCH_D2_27">
                <anchor moveWithCells="1" sizeWithCells="1">
                  <from>
                    <xdr:col>10</xdr:col>
                    <xdr:colOff>68580</xdr:colOff>
                    <xdr:row>1</xdr:row>
                    <xdr:rowOff>30480</xdr:rowOff>
                  </from>
                  <to>
                    <xdr:col>12</xdr:col>
                    <xdr:colOff>30480</xdr:colOff>
                    <xdr:row>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93" name="Button 178">
              <controlPr defaultSize="0" print="0" autoFill="0" autoLine="0" autoPict="0" macro="[0]!PRINT_SCH_E1">
                <anchor moveWithCells="1" sizeWithCells="1">
                  <from>
                    <xdr:col>13</xdr:col>
                    <xdr:colOff>68580</xdr:colOff>
                    <xdr:row>22</xdr:row>
                    <xdr:rowOff>182880</xdr:rowOff>
                  </from>
                  <to>
                    <xdr:col>14</xdr:col>
                    <xdr:colOff>76200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94" name="Button 179">
              <controlPr defaultSize="0" print="0" autoFill="0" autoLine="0" autoPict="0" macro="[0]!PRINT_SCH_E2">
                <anchor moveWithCells="1" sizeWithCells="1">
                  <from>
                    <xdr:col>13</xdr:col>
                    <xdr:colOff>68580</xdr:colOff>
                    <xdr:row>25</xdr:row>
                    <xdr:rowOff>68580</xdr:rowOff>
                  </from>
                  <to>
                    <xdr:col>15</xdr:col>
                    <xdr:colOff>30480</xdr:colOff>
                    <xdr:row>27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95" name="Button 185">
              <controlPr defaultSize="0" print="0" autoFill="0" autoLine="0" autoPict="0" macro="[0]!PRINT_SCH_D2_23">
                <anchor moveWithCells="1" sizeWithCells="1">
                  <from>
                    <xdr:col>9</xdr:col>
                    <xdr:colOff>30480</xdr:colOff>
                    <xdr:row>29</xdr:row>
                    <xdr:rowOff>144780</xdr:rowOff>
                  </from>
                  <to>
                    <xdr:col>10</xdr:col>
                    <xdr:colOff>30480</xdr:colOff>
                    <xdr:row>31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96" name="Button 186">
              <controlPr defaultSize="0" print="0" autoFill="0" autoLine="0" autoPict="0" macro="[0]!PRINT_SCH_D2_22">
                <anchor moveWithCells="1" sizeWithCells="1">
                  <from>
                    <xdr:col>9</xdr:col>
                    <xdr:colOff>30480</xdr:colOff>
                    <xdr:row>27</xdr:row>
                    <xdr:rowOff>106680</xdr:rowOff>
                  </from>
                  <to>
                    <xdr:col>10</xdr:col>
                    <xdr:colOff>30480</xdr:colOff>
                    <xdr:row>29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97" name="Button 187">
              <controlPr defaultSize="0" print="0" autoFill="0" autoLine="0" autoPict="0" macro="[0]!PRINT_SCH_D2_24">
                <anchor moveWithCells="1" sizeWithCells="1">
                  <from>
                    <xdr:col>9</xdr:col>
                    <xdr:colOff>30480</xdr:colOff>
                    <xdr:row>31</xdr:row>
                    <xdr:rowOff>190500</xdr:rowOff>
                  </from>
                  <to>
                    <xdr:col>10</xdr:col>
                    <xdr:colOff>30480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98" name="Button 188">
              <controlPr defaultSize="0" print="0" autoFill="0" autoLine="0" autoPict="0" macro="[0]!PRINT_SCH_D2_25">
                <anchor moveWithCells="1" sizeWithCells="1">
                  <from>
                    <xdr:col>9</xdr:col>
                    <xdr:colOff>30480</xdr:colOff>
                    <xdr:row>34</xdr:row>
                    <xdr:rowOff>68580</xdr:rowOff>
                  </from>
                  <to>
                    <xdr:col>10</xdr:col>
                    <xdr:colOff>30480</xdr:colOff>
                    <xdr:row>36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99" name="Button 189">
              <controlPr defaultSize="0" print="0" autoFill="0" autoLine="0" autoPict="0" macro="[0]!PRINT_SCH_D2_26">
                <anchor moveWithCells="1" sizeWithCells="1">
                  <from>
                    <xdr:col>9</xdr:col>
                    <xdr:colOff>0</xdr:colOff>
                    <xdr:row>36</xdr:row>
                    <xdr:rowOff>144780</xdr:rowOff>
                  </from>
                  <to>
                    <xdr:col>10</xdr:col>
                    <xdr:colOff>30480</xdr:colOff>
                    <xdr:row>38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100" name="Button 190">
              <controlPr defaultSize="0" print="0" autoFill="0" autoLine="0" autoPict="0" macro="[0]!PRINT_SCH_D2_28">
                <anchor moveWithCells="1" sizeWithCells="1">
                  <from>
                    <xdr:col>10</xdr:col>
                    <xdr:colOff>68580</xdr:colOff>
                    <xdr:row>3</xdr:row>
                    <xdr:rowOff>106680</xdr:rowOff>
                  </from>
                  <to>
                    <xdr:col>12</xdr:col>
                    <xdr:colOff>30480</xdr:colOff>
                    <xdr:row>5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101" name="Button 191">
              <controlPr defaultSize="0" print="0" autoFill="0" autoLine="0" autoPict="0" macro="[0]!PRINT_SCH_D2_29">
                <anchor moveWithCells="1" sizeWithCells="1">
                  <from>
                    <xdr:col>10</xdr:col>
                    <xdr:colOff>106680</xdr:colOff>
                    <xdr:row>5</xdr:row>
                    <xdr:rowOff>182880</xdr:rowOff>
                  </from>
                  <to>
                    <xdr:col>12</xdr:col>
                    <xdr:colOff>30480</xdr:colOff>
                    <xdr:row>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102" name="Button 192">
              <controlPr defaultSize="0" print="0" autoFill="0" autoLine="0" autoPict="0" macro="[0]!PRINT_SCH_D2_30">
                <anchor moveWithCells="1" sizeWithCells="1">
                  <from>
                    <xdr:col>10</xdr:col>
                    <xdr:colOff>106680</xdr:colOff>
                    <xdr:row>8</xdr:row>
                    <xdr:rowOff>68580</xdr:rowOff>
                  </from>
                  <to>
                    <xdr:col>12</xdr:col>
                    <xdr:colOff>30480</xdr:colOff>
                    <xdr:row>10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103" name="Button 193">
              <controlPr defaultSize="0" print="0" autoFill="0" autoLine="0" autoPict="0" macro="[0]!PRINT_SCH_D2_31">
                <anchor moveWithCells="1" sizeWithCells="1">
                  <from>
                    <xdr:col>10</xdr:col>
                    <xdr:colOff>106680</xdr:colOff>
                    <xdr:row>10</xdr:row>
                    <xdr:rowOff>144780</xdr:rowOff>
                  </from>
                  <to>
                    <xdr:col>11</xdr:col>
                    <xdr:colOff>563880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2" r:id="rId104" name="Button 194">
              <controlPr defaultSize="0" print="0" autoFill="0" autoLine="0" autoPict="0" macro="[0]!PRINT_SCH_D2_32">
                <anchor moveWithCells="1" sizeWithCells="1">
                  <from>
                    <xdr:col>10</xdr:col>
                    <xdr:colOff>76200</xdr:colOff>
                    <xdr:row>12</xdr:row>
                    <xdr:rowOff>182880</xdr:rowOff>
                  </from>
                  <to>
                    <xdr:col>11</xdr:col>
                    <xdr:colOff>563880</xdr:colOff>
                    <xdr:row>14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105" name="Button 195">
              <controlPr defaultSize="0" print="0" autoFill="0" autoLine="0" autoPict="0" macro="[0]!PRINT_SCH_D2_33">
                <anchor moveWithCells="1" sizeWithCells="1">
                  <from>
                    <xdr:col>10</xdr:col>
                    <xdr:colOff>76200</xdr:colOff>
                    <xdr:row>15</xdr:row>
                    <xdr:rowOff>68580</xdr:rowOff>
                  </from>
                  <to>
                    <xdr:col>11</xdr:col>
                    <xdr:colOff>563880</xdr:colOff>
                    <xdr:row>17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106" name="Button 196">
              <controlPr defaultSize="0" print="0" autoFill="0" autoLine="0" autoPict="0" macro="[0]!GOTO_SCH_D2_34">
                <anchor moveWithCells="1" sizeWithCells="1">
                  <from>
                    <xdr:col>10</xdr:col>
                    <xdr:colOff>76200</xdr:colOff>
                    <xdr:row>17</xdr:row>
                    <xdr:rowOff>182880</xdr:rowOff>
                  </from>
                  <to>
                    <xdr:col>11</xdr:col>
                    <xdr:colOff>563880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107" name="Button 197">
              <controlPr defaultSize="0" print="0" autoFill="0" autoLine="0" autoPict="0" macro="[0]!PRINT_SCH_D2_35">
                <anchor moveWithCells="1" sizeWithCells="1">
                  <from>
                    <xdr:col>10</xdr:col>
                    <xdr:colOff>76200</xdr:colOff>
                    <xdr:row>20</xdr:row>
                    <xdr:rowOff>38100</xdr:rowOff>
                  </from>
                  <to>
                    <xdr:col>11</xdr:col>
                    <xdr:colOff>563880</xdr:colOff>
                    <xdr:row>22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108" name="Button 198">
              <controlPr defaultSize="0" print="0" autoFill="0" autoLine="0" autoPict="0" macro="[0]!PRINT_SCH_D2_35">
                <anchor moveWithCells="1" sizeWithCells="1">
                  <from>
                    <xdr:col>11</xdr:col>
                    <xdr:colOff>30480</xdr:colOff>
                    <xdr:row>22</xdr:row>
                    <xdr:rowOff>152400</xdr:rowOff>
                  </from>
                  <to>
                    <xdr:col>12</xdr:col>
                    <xdr:colOff>30480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109" name="Button 199">
              <controlPr defaultSize="0" print="0" autoFill="0" autoLine="0" autoPict="0" macro="[0]!PRINT_SCH_D2_35">
                <anchor moveWithCells="1" sizeWithCells="1">
                  <from>
                    <xdr:col>11</xdr:col>
                    <xdr:colOff>30480</xdr:colOff>
                    <xdr:row>25</xdr:row>
                    <xdr:rowOff>68580</xdr:rowOff>
                  </from>
                  <to>
                    <xdr:col>12</xdr:col>
                    <xdr:colOff>30480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8" r:id="rId110" name="Button 200">
              <controlPr defaultSize="0" print="0" autoFill="0" autoLine="0" autoPict="0" macro="[0]!PRINT_SCH_D2_35">
                <anchor moveWithCells="1" sizeWithCells="1">
                  <from>
                    <xdr:col>11</xdr:col>
                    <xdr:colOff>30480</xdr:colOff>
                    <xdr:row>27</xdr:row>
                    <xdr:rowOff>106680</xdr:rowOff>
                  </from>
                  <to>
                    <xdr:col>12</xdr:col>
                    <xdr:colOff>30480</xdr:colOff>
                    <xdr:row>29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9" r:id="rId111" name="Button 201">
              <controlPr defaultSize="0" print="0" autoFill="0" autoLine="0" autoPict="0" macro="[0]!PRINT_SCH_D2_35">
                <anchor moveWithCells="1" sizeWithCells="1">
                  <from>
                    <xdr:col>11</xdr:col>
                    <xdr:colOff>30480</xdr:colOff>
                    <xdr:row>29</xdr:row>
                    <xdr:rowOff>144780</xdr:rowOff>
                  </from>
                  <to>
                    <xdr:col>12</xdr:col>
                    <xdr:colOff>30480</xdr:colOff>
                    <xdr:row>31</xdr:row>
                    <xdr:rowOff>144780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6">
    <tabColor theme="7" tint="-0.249977111117893"/>
    <pageSetUpPr fitToPage="1"/>
  </sheetPr>
  <dimension ref="A1:M33"/>
  <sheetViews>
    <sheetView workbookViewId="0"/>
  </sheetViews>
  <sheetFormatPr defaultColWidth="8" defaultRowHeight="13.2"/>
  <cols>
    <col min="1" max="1" width="8" customWidth="1"/>
    <col min="2" max="2" width="20.44140625" customWidth="1"/>
    <col min="3" max="3" width="8" customWidth="1"/>
    <col min="4" max="4" width="10.44140625" customWidth="1"/>
    <col min="5" max="7" width="8" customWidth="1"/>
    <col min="8" max="8" width="12.44140625" customWidth="1"/>
    <col min="9" max="9" width="10" customWidth="1"/>
    <col min="10" max="10" width="18.44140625" customWidth="1"/>
    <col min="11" max="12" width="8" customWidth="1"/>
    <col min="13" max="13" width="2.44140625" customWidth="1"/>
    <col min="14" max="14" width="42.44140625" customWidth="1"/>
    <col min="15" max="15" width="3.5546875" customWidth="1"/>
    <col min="16" max="16" width="16" customWidth="1"/>
    <col min="17" max="17" width="1.5546875" customWidth="1"/>
    <col min="18" max="18" width="18.44140625" customWidth="1"/>
    <col min="19" max="19" width="2.44140625" customWidth="1"/>
    <col min="20" max="20" width="18.5546875" customWidth="1"/>
  </cols>
  <sheetData>
    <row r="1" spans="1:13">
      <c r="A1" s="951" t="str">
        <f>LOGO!B5</f>
        <v>DUKE ENERGY KENTUCKY, INC.</v>
      </c>
      <c r="B1" s="951"/>
      <c r="C1" s="951"/>
      <c r="D1" s="951"/>
      <c r="E1" s="951"/>
      <c r="F1" s="951"/>
      <c r="G1" s="951"/>
      <c r="H1" s="951"/>
      <c r="I1" s="951"/>
      <c r="J1" s="951"/>
      <c r="K1" s="599"/>
      <c r="L1" s="599"/>
      <c r="M1" s="599"/>
    </row>
    <row r="2" spans="1:13">
      <c r="A2" s="951" t="str">
        <f>LOGO!B6</f>
        <v>CASE NO. 2024-00354</v>
      </c>
      <c r="B2" s="951"/>
      <c r="C2" s="951"/>
      <c r="D2" s="951"/>
      <c r="E2" s="951"/>
      <c r="F2" s="951"/>
      <c r="G2" s="951"/>
      <c r="H2" s="951"/>
      <c r="I2" s="951"/>
      <c r="J2" s="951"/>
      <c r="K2" s="599"/>
      <c r="L2" s="599"/>
      <c r="M2" s="599"/>
    </row>
    <row r="3" spans="1:13">
      <c r="A3" s="968" t="s">
        <v>1887</v>
      </c>
      <c r="B3" s="951"/>
      <c r="C3" s="951"/>
      <c r="D3" s="951"/>
      <c r="E3" s="951"/>
      <c r="F3" s="951"/>
      <c r="G3" s="951"/>
      <c r="H3" s="951"/>
      <c r="I3" s="951"/>
      <c r="J3" s="951"/>
      <c r="K3" s="599"/>
      <c r="L3" s="599"/>
      <c r="M3" s="599"/>
    </row>
    <row r="4" spans="1:13">
      <c r="A4" s="951" t="str">
        <f>LOGO!B8</f>
        <v>FOR THE TWELVE MONTHS ENDED JUNE 30, 2026</v>
      </c>
      <c r="B4" s="951"/>
      <c r="C4" s="951"/>
      <c r="D4" s="951"/>
      <c r="E4" s="951"/>
      <c r="F4" s="951"/>
      <c r="G4" s="951"/>
      <c r="H4" s="951"/>
      <c r="I4" s="951"/>
      <c r="J4" s="951"/>
      <c r="K4" s="599"/>
      <c r="L4" s="599"/>
      <c r="M4" s="599"/>
    </row>
    <row r="5" spans="1:13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</row>
    <row r="6" spans="1:13">
      <c r="A6" s="599" t="str">
        <f>DataB</f>
        <v>DATA: "X" BASE PERIOD  "X" FORECASTED PERIOD</v>
      </c>
      <c r="B6" s="599"/>
      <c r="C6" s="599"/>
      <c r="D6" s="599"/>
      <c r="E6" s="599"/>
      <c r="F6" s="599"/>
      <c r="G6" s="599"/>
      <c r="H6" s="599"/>
      <c r="I6" s="973" t="s">
        <v>1888</v>
      </c>
      <c r="J6" s="599"/>
      <c r="K6" s="599"/>
      <c r="L6" s="599"/>
      <c r="M6" s="599"/>
    </row>
    <row r="7" spans="1:13">
      <c r="A7" s="599" t="str">
        <f>LOGO!B15</f>
        <v xml:space="preserve">TYPE OF FILING:  "X" ORIGINAL   UPDATED    REVISED  </v>
      </c>
      <c r="B7" s="599"/>
      <c r="C7" s="599"/>
      <c r="D7" s="599"/>
      <c r="E7" s="599"/>
      <c r="F7" s="599"/>
      <c r="G7" s="599"/>
      <c r="H7" s="599"/>
      <c r="I7" s="598" t="s">
        <v>466</v>
      </c>
      <c r="J7" s="599"/>
      <c r="K7" s="599"/>
      <c r="L7" s="599"/>
      <c r="M7" s="599"/>
    </row>
    <row r="8" spans="1:13">
      <c r="A8" s="598" t="s">
        <v>694</v>
      </c>
      <c r="B8" s="599"/>
      <c r="C8" s="599"/>
      <c r="D8" s="599"/>
      <c r="E8" s="599"/>
      <c r="F8" s="599"/>
      <c r="G8" s="599"/>
      <c r="H8" s="599"/>
      <c r="I8" s="598" t="s">
        <v>468</v>
      </c>
      <c r="J8" s="599"/>
      <c r="K8" s="599"/>
      <c r="L8" s="599"/>
      <c r="M8" s="599"/>
    </row>
    <row r="9" spans="1:13">
      <c r="A9" s="599"/>
      <c r="B9" s="599"/>
      <c r="C9" s="599"/>
      <c r="D9" s="599"/>
      <c r="E9" s="599"/>
      <c r="F9" s="599"/>
      <c r="G9" s="599"/>
      <c r="H9" s="599"/>
      <c r="I9" s="598" t="str">
        <f>_WIT10</f>
        <v>G. S. CARPENTER</v>
      </c>
      <c r="J9" s="599"/>
      <c r="K9" s="599"/>
      <c r="L9" s="599"/>
      <c r="M9" s="599"/>
    </row>
    <row r="10" spans="1:13">
      <c r="A10" s="1372"/>
      <c r="B10" s="1372"/>
      <c r="C10" s="1372"/>
      <c r="D10" s="1372"/>
      <c r="E10" s="1372"/>
      <c r="F10" s="1372"/>
      <c r="G10" s="1372"/>
      <c r="H10" s="1372"/>
      <c r="I10" s="1372"/>
      <c r="J10" s="1372"/>
      <c r="K10" s="598"/>
      <c r="L10" s="599"/>
      <c r="M10" s="599"/>
    </row>
    <row r="11" spans="1:13">
      <c r="A11" s="599"/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</row>
    <row r="12" spans="1:13">
      <c r="A12" s="598" t="s">
        <v>1857</v>
      </c>
      <c r="B12" s="599"/>
      <c r="C12" s="599"/>
      <c r="D12" s="599"/>
      <c r="E12" s="599"/>
      <c r="F12" s="599"/>
      <c r="G12" s="599"/>
      <c r="H12" s="599"/>
      <c r="I12" s="599"/>
      <c r="J12" s="974" t="s">
        <v>975</v>
      </c>
      <c r="K12" s="599"/>
      <c r="L12" s="599"/>
      <c r="M12" s="599"/>
    </row>
    <row r="13" spans="1:13">
      <c r="A13" s="1372"/>
      <c r="B13" s="1372"/>
      <c r="C13" s="1372"/>
      <c r="D13" s="1372"/>
      <c r="E13" s="1372"/>
      <c r="F13" s="1372"/>
      <c r="G13" s="1372"/>
      <c r="H13" s="1372"/>
      <c r="I13" s="1372"/>
      <c r="J13" s="1372"/>
      <c r="K13" s="598"/>
      <c r="L13" s="599"/>
      <c r="M13" s="599"/>
    </row>
    <row r="14" spans="1:13">
      <c r="A14" s="599"/>
      <c r="B14" s="599"/>
      <c r="C14" s="599"/>
      <c r="D14" s="599"/>
      <c r="E14" s="599"/>
      <c r="F14" s="599"/>
      <c r="G14" s="599"/>
      <c r="H14" s="599"/>
      <c r="I14" s="599"/>
      <c r="J14" s="974"/>
      <c r="K14" s="599"/>
      <c r="L14" s="599"/>
      <c r="M14" s="599"/>
    </row>
    <row r="15" spans="1:13">
      <c r="A15" s="169" t="s">
        <v>1889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</row>
    <row r="16" spans="1:13">
      <c r="A16" s="169"/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</row>
    <row r="17" spans="1:13">
      <c r="A17" s="598"/>
      <c r="B17" s="599"/>
      <c r="C17" s="599"/>
      <c r="D17" s="599"/>
      <c r="E17" s="599"/>
      <c r="F17" s="599"/>
      <c r="G17" s="599"/>
      <c r="H17" s="974"/>
      <c r="I17" s="599"/>
      <c r="J17" s="599"/>
      <c r="K17" s="599"/>
      <c r="L17" s="599"/>
      <c r="M17" s="599"/>
    </row>
    <row r="18" spans="1:13">
      <c r="A18" s="734"/>
      <c r="B18" s="599"/>
      <c r="C18" s="599"/>
      <c r="D18" s="599"/>
      <c r="E18" s="599"/>
      <c r="F18" s="599"/>
      <c r="G18" s="599"/>
      <c r="H18" s="969"/>
      <c r="I18" s="599"/>
      <c r="J18" s="599"/>
      <c r="K18" s="599"/>
      <c r="L18" s="599"/>
      <c r="M18" s="599"/>
    </row>
    <row r="19" spans="1:13">
      <c r="A19" s="599"/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</row>
    <row r="20" spans="1:13">
      <c r="A20" s="94" t="s">
        <v>1890</v>
      </c>
      <c r="B20" s="599"/>
      <c r="C20" s="599"/>
      <c r="D20" s="599"/>
      <c r="E20" s="599"/>
      <c r="F20" s="599"/>
      <c r="G20" s="599"/>
      <c r="H20" s="599"/>
      <c r="I20" s="704"/>
      <c r="J20" s="682">
        <v>0</v>
      </c>
      <c r="K20" s="599"/>
      <c r="L20" s="599"/>
      <c r="M20" s="599"/>
    </row>
    <row r="21" spans="1:13">
      <c r="A21" s="599"/>
      <c r="B21" s="599"/>
      <c r="C21" s="599"/>
      <c r="D21" s="599"/>
      <c r="E21" s="599"/>
      <c r="F21" s="599"/>
      <c r="G21" s="599"/>
      <c r="H21" s="599"/>
      <c r="I21" s="599"/>
      <c r="J21" s="704"/>
      <c r="K21" s="599"/>
      <c r="L21" s="599"/>
      <c r="M21" s="599"/>
    </row>
    <row r="22" spans="1:13">
      <c r="A22" s="599"/>
      <c r="B22" s="599"/>
      <c r="C22" s="599"/>
      <c r="D22" s="599"/>
      <c r="E22" s="599"/>
      <c r="F22" s="599"/>
      <c r="G22" s="599"/>
      <c r="H22" s="599"/>
      <c r="I22" s="599"/>
      <c r="J22" s="599"/>
      <c r="K22" s="599"/>
      <c r="L22" s="599"/>
      <c r="M22" s="599"/>
    </row>
    <row r="23" spans="1:13">
      <c r="A23" s="598" t="s">
        <v>1862</v>
      </c>
      <c r="B23" s="599"/>
      <c r="C23" s="599"/>
      <c r="D23" s="599"/>
      <c r="E23" s="599"/>
      <c r="F23" s="599"/>
      <c r="G23" s="599"/>
      <c r="H23" s="599"/>
      <c r="I23" s="599"/>
      <c r="J23" s="703">
        <f>VLOOKUP(D30,ALLOCTABLE,2)/100</f>
        <v>1</v>
      </c>
      <c r="K23" s="599"/>
      <c r="L23" s="599"/>
      <c r="M23" s="599"/>
    </row>
    <row r="24" spans="1:13">
      <c r="A24" s="599"/>
      <c r="B24" s="599"/>
      <c r="C24" s="599"/>
      <c r="D24" s="599"/>
      <c r="E24" s="599"/>
      <c r="F24" s="599"/>
      <c r="G24" s="599"/>
      <c r="H24" s="599"/>
      <c r="I24" s="599"/>
      <c r="J24" s="704"/>
      <c r="K24" s="599"/>
      <c r="L24" s="599"/>
      <c r="M24" s="599"/>
    </row>
    <row r="25" spans="1:13">
      <c r="A25" s="599"/>
      <c r="B25" s="599"/>
      <c r="C25" s="599"/>
      <c r="D25" s="599"/>
      <c r="E25" s="599"/>
      <c r="F25" s="599"/>
      <c r="G25" s="599"/>
      <c r="H25" s="599"/>
      <c r="I25" s="599"/>
      <c r="J25" s="599"/>
      <c r="K25" s="599"/>
      <c r="L25" s="599"/>
      <c r="M25" s="599"/>
    </row>
    <row r="26" spans="1:13" ht="15">
      <c r="A26" s="598" t="s">
        <v>1863</v>
      </c>
      <c r="B26" s="599"/>
      <c r="C26" s="599"/>
      <c r="D26" s="599"/>
      <c r="E26" s="599"/>
      <c r="F26" s="598" t="s">
        <v>1876</v>
      </c>
      <c r="G26" s="599"/>
      <c r="H26" s="599"/>
      <c r="I26" s="704"/>
      <c r="J26" s="705">
        <f>ROUND(J20*J23,0)</f>
        <v>0</v>
      </c>
      <c r="K26" s="599"/>
      <c r="L26" s="599"/>
      <c r="M26" s="599"/>
    </row>
    <row r="27" spans="1:13">
      <c r="A27" s="599"/>
      <c r="B27" s="599"/>
      <c r="C27" s="599"/>
      <c r="D27" s="599"/>
      <c r="E27" s="599"/>
      <c r="F27" s="599"/>
      <c r="G27" s="599"/>
      <c r="H27" s="599"/>
      <c r="I27" s="599"/>
      <c r="J27" s="704"/>
      <c r="K27" s="599"/>
      <c r="L27" s="599"/>
      <c r="M27" s="599"/>
    </row>
    <row r="28" spans="1:13">
      <c r="A28" s="599"/>
      <c r="B28" s="599"/>
      <c r="C28" s="599"/>
      <c r="D28" s="599"/>
      <c r="E28" s="599"/>
      <c r="F28" s="599"/>
      <c r="G28" s="599"/>
      <c r="H28" s="599"/>
      <c r="I28" s="599"/>
      <c r="J28" s="599"/>
      <c r="K28" s="599"/>
      <c r="L28" s="599"/>
      <c r="M28" s="599"/>
    </row>
    <row r="29" spans="1:13">
      <c r="A29" s="599"/>
      <c r="B29" s="599"/>
      <c r="C29" s="599"/>
      <c r="D29" s="599"/>
      <c r="E29" s="599"/>
      <c r="F29" s="599"/>
      <c r="G29" s="599"/>
      <c r="H29" s="599"/>
      <c r="I29" s="599"/>
      <c r="J29" s="599"/>
      <c r="K29" s="599"/>
      <c r="L29" s="599"/>
      <c r="M29" s="599"/>
    </row>
    <row r="30" spans="1:13">
      <c r="A30" s="598" t="s">
        <v>1864</v>
      </c>
      <c r="B30" s="599"/>
      <c r="C30" s="599"/>
      <c r="D30" s="966" t="s">
        <v>428</v>
      </c>
      <c r="E30" s="599"/>
      <c r="F30" s="599"/>
      <c r="G30" s="599"/>
      <c r="H30" s="599"/>
      <c r="I30" s="599"/>
      <c r="J30" s="599"/>
      <c r="K30" s="599"/>
      <c r="L30" s="599"/>
      <c r="M30" s="599"/>
    </row>
    <row r="31" spans="1:13">
      <c r="A31" s="598"/>
      <c r="B31" s="599"/>
      <c r="C31" s="599"/>
      <c r="D31" s="599"/>
      <c r="E31" s="599"/>
      <c r="F31" s="599"/>
      <c r="G31" s="599"/>
      <c r="H31" s="599"/>
      <c r="I31" s="599"/>
      <c r="J31" s="599"/>
      <c r="K31" s="599"/>
      <c r="L31" s="599"/>
      <c r="M31" s="599"/>
    </row>
    <row r="32" spans="1:13">
      <c r="A32" s="599"/>
      <c r="B32" s="599"/>
      <c r="C32" s="599"/>
      <c r="D32" s="599"/>
      <c r="E32" s="599"/>
      <c r="F32" s="599"/>
      <c r="G32" s="599"/>
      <c r="H32" s="599"/>
      <c r="I32" s="599"/>
      <c r="J32" s="599"/>
      <c r="K32" s="599"/>
      <c r="L32" s="599"/>
      <c r="M32" s="599"/>
    </row>
    <row r="33" spans="1:13">
      <c r="A33" s="599"/>
      <c r="B33" s="599"/>
      <c r="C33" s="599"/>
      <c r="D33" s="599"/>
      <c r="E33" s="599"/>
      <c r="F33" s="599"/>
      <c r="G33" s="599"/>
      <c r="H33" s="599"/>
      <c r="I33" s="599"/>
      <c r="J33" s="599"/>
      <c r="K33" s="599"/>
      <c r="L33" s="599"/>
      <c r="M33" s="599"/>
    </row>
  </sheetData>
  <phoneticPr fontId="19" type="noConversion"/>
  <pageMargins left="1" right="0.75" top="1" bottom="0" header="0" footer="0"/>
  <pageSetup scale="78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2">
    <tabColor theme="7" tint="-0.249977111117893"/>
    <pageSetUpPr fitToPage="1"/>
  </sheetPr>
  <dimension ref="A1:V69"/>
  <sheetViews>
    <sheetView workbookViewId="0"/>
  </sheetViews>
  <sheetFormatPr defaultColWidth="8" defaultRowHeight="13.2"/>
  <cols>
    <col min="1" max="1" width="8" customWidth="1"/>
    <col min="2" max="2" width="20.44140625" customWidth="1"/>
    <col min="3" max="3" width="8" customWidth="1"/>
    <col min="4" max="4" width="10.44140625" customWidth="1"/>
    <col min="5" max="7" width="8" customWidth="1"/>
    <col min="8" max="8" width="12.44140625" customWidth="1"/>
    <col min="9" max="9" width="10" customWidth="1"/>
    <col min="10" max="10" width="18.44140625" customWidth="1"/>
    <col min="11" max="12" width="8" customWidth="1"/>
    <col min="13" max="13" width="2.44140625" customWidth="1"/>
    <col min="14" max="14" width="26.5546875" customWidth="1"/>
    <col min="15" max="15" width="3.5546875" customWidth="1"/>
    <col min="16" max="16" width="16" customWidth="1"/>
    <col min="17" max="17" width="1.5546875" customWidth="1"/>
    <col min="18" max="18" width="18.44140625" customWidth="1"/>
    <col min="19" max="19" width="2.44140625" customWidth="1"/>
    <col min="20" max="20" width="22.44140625" customWidth="1"/>
  </cols>
  <sheetData>
    <row r="1" spans="1:22">
      <c r="A1" s="951" t="str">
        <f>LOGO!B5</f>
        <v>DUKE ENERGY KENTUCKY, INC.</v>
      </c>
      <c r="B1" s="951"/>
      <c r="C1" s="951"/>
      <c r="D1" s="951"/>
      <c r="E1" s="951"/>
      <c r="F1" s="951"/>
      <c r="G1" s="951"/>
      <c r="H1" s="951"/>
      <c r="I1" s="951"/>
      <c r="J1" s="951"/>
      <c r="K1" s="599"/>
      <c r="L1" s="599"/>
      <c r="M1" s="599"/>
      <c r="N1" s="599"/>
      <c r="O1" s="599"/>
      <c r="P1" s="599"/>
      <c r="Q1" s="599"/>
      <c r="R1" s="599"/>
      <c r="S1" s="599"/>
      <c r="T1" s="599"/>
      <c r="U1" s="599"/>
      <c r="V1" s="599"/>
    </row>
    <row r="2" spans="1:22">
      <c r="A2" s="951" t="str">
        <f>LOGO!B6</f>
        <v>CASE NO. 2024-00354</v>
      </c>
      <c r="B2" s="951"/>
      <c r="C2" s="951"/>
      <c r="D2" s="951"/>
      <c r="E2" s="951"/>
      <c r="F2" s="951"/>
      <c r="G2" s="951"/>
      <c r="H2" s="951"/>
      <c r="I2" s="951"/>
      <c r="J2" s="951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</row>
    <row r="3" spans="1:22">
      <c r="A3" s="968" t="s">
        <v>1891</v>
      </c>
      <c r="B3" s="951"/>
      <c r="C3" s="951"/>
      <c r="D3" s="951"/>
      <c r="E3" s="951"/>
      <c r="F3" s="951"/>
      <c r="G3" s="951"/>
      <c r="H3" s="951"/>
      <c r="I3" s="951"/>
      <c r="J3" s="951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</row>
    <row r="4" spans="1:22">
      <c r="A4" s="951" t="str">
        <f>LOGO!B8</f>
        <v>FOR THE TWELVE MONTHS ENDED JUNE 30, 2026</v>
      </c>
      <c r="B4" s="951"/>
      <c r="C4" s="951"/>
      <c r="D4" s="951"/>
      <c r="E4" s="951"/>
      <c r="F4" s="951"/>
      <c r="G4" s="951"/>
      <c r="H4" s="951"/>
      <c r="I4" s="951"/>
      <c r="J4" s="951"/>
      <c r="K4" s="599"/>
      <c r="L4" s="599"/>
      <c r="M4" s="599"/>
      <c r="N4" s="599"/>
      <c r="O4" s="599"/>
      <c r="P4" s="599"/>
      <c r="Q4" s="599"/>
      <c r="R4" s="599"/>
      <c r="S4" s="599"/>
      <c r="T4" s="599"/>
      <c r="U4" s="599"/>
      <c r="V4" s="599"/>
    </row>
    <row r="5" spans="1:22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  <c r="V5" s="599"/>
    </row>
    <row r="6" spans="1:22">
      <c r="A6" s="599" t="str">
        <f>DataB</f>
        <v>DATA: "X" BASE PERIOD  "X" FORECASTED PERIOD</v>
      </c>
      <c r="B6" s="599"/>
      <c r="C6" s="599"/>
      <c r="D6" s="599"/>
      <c r="E6" s="599"/>
      <c r="F6" s="599"/>
      <c r="G6" s="599"/>
      <c r="H6" s="599"/>
      <c r="I6" s="973" t="s">
        <v>1892</v>
      </c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599"/>
      <c r="V6" s="599"/>
    </row>
    <row r="7" spans="1:22">
      <c r="A7" s="599" t="str">
        <f>LOGO!B15</f>
        <v xml:space="preserve">TYPE OF FILING:  "X" ORIGINAL   UPDATED    REVISED  </v>
      </c>
      <c r="B7" s="599"/>
      <c r="C7" s="599"/>
      <c r="D7" s="599"/>
      <c r="E7" s="599"/>
      <c r="F7" s="599"/>
      <c r="G7" s="599"/>
      <c r="H7" s="599"/>
      <c r="I7" s="598" t="s">
        <v>466</v>
      </c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  <c r="U7" s="599"/>
      <c r="V7" s="599"/>
    </row>
    <row r="8" spans="1:22">
      <c r="A8" s="598" t="s">
        <v>1893</v>
      </c>
      <c r="B8" s="599"/>
      <c r="C8" s="599"/>
      <c r="D8" s="599"/>
      <c r="E8" s="599"/>
      <c r="F8" s="599"/>
      <c r="G8" s="599"/>
      <c r="H8" s="599"/>
      <c r="I8" s="598" t="s">
        <v>468</v>
      </c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  <c r="U8" s="599"/>
      <c r="V8" s="599"/>
    </row>
    <row r="9" spans="1:22">
      <c r="A9" s="599"/>
      <c r="B9" s="599"/>
      <c r="C9" s="599"/>
      <c r="D9" s="599"/>
      <c r="E9" s="599"/>
      <c r="F9" s="599"/>
      <c r="G9" s="599"/>
      <c r="H9" s="599"/>
      <c r="I9" s="598" t="str">
        <f>_WIT10</f>
        <v>G. S. CARPENTER</v>
      </c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  <c r="U9" s="599"/>
      <c r="V9" s="599"/>
    </row>
    <row r="10" spans="1:22">
      <c r="A10" s="1372"/>
      <c r="B10" s="1372"/>
      <c r="C10" s="1372"/>
      <c r="D10" s="1372"/>
      <c r="E10" s="1372"/>
      <c r="F10" s="1372"/>
      <c r="G10" s="1372"/>
      <c r="H10" s="1372"/>
      <c r="I10" s="1372"/>
      <c r="J10" s="1372"/>
      <c r="K10" s="598"/>
      <c r="L10" s="599"/>
      <c r="M10" s="599"/>
      <c r="N10" s="599"/>
      <c r="O10" s="599"/>
      <c r="P10" s="599"/>
      <c r="Q10" s="599"/>
      <c r="R10" s="599"/>
      <c r="S10" s="599"/>
      <c r="T10" s="599"/>
      <c r="U10" s="599"/>
      <c r="V10" s="599"/>
    </row>
    <row r="11" spans="1:22">
      <c r="A11" s="599"/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  <c r="U11" s="599"/>
      <c r="V11" s="599"/>
    </row>
    <row r="12" spans="1:22">
      <c r="A12" s="598" t="s">
        <v>1857</v>
      </c>
      <c r="B12" s="599"/>
      <c r="C12" s="599"/>
      <c r="D12" s="599"/>
      <c r="E12" s="599"/>
      <c r="F12" s="599"/>
      <c r="G12" s="599"/>
      <c r="H12" s="599"/>
      <c r="I12" s="599"/>
      <c r="J12" s="974" t="s">
        <v>975</v>
      </c>
      <c r="K12" s="599"/>
      <c r="L12" s="599"/>
      <c r="M12" s="599"/>
      <c r="N12" s="599"/>
      <c r="O12" s="599"/>
      <c r="P12" s="599"/>
      <c r="Q12" s="599"/>
      <c r="R12" s="599"/>
      <c r="S12" s="599"/>
      <c r="T12" s="599"/>
      <c r="U12" s="599"/>
      <c r="V12" s="599"/>
    </row>
    <row r="13" spans="1:22">
      <c r="A13" s="1372"/>
      <c r="B13" s="1372"/>
      <c r="C13" s="1372"/>
      <c r="D13" s="1372"/>
      <c r="E13" s="1372"/>
      <c r="F13" s="1372"/>
      <c r="G13" s="1372"/>
      <c r="H13" s="1372"/>
      <c r="I13" s="1372"/>
      <c r="J13" s="1372"/>
      <c r="K13" s="598"/>
      <c r="L13" s="599"/>
      <c r="M13" s="599"/>
      <c r="N13" s="599"/>
      <c r="O13" s="599"/>
      <c r="P13" s="599"/>
      <c r="Q13" s="599"/>
      <c r="R13" s="599"/>
      <c r="S13" s="599"/>
      <c r="T13" s="599"/>
      <c r="U13" s="599"/>
      <c r="V13" s="599"/>
    </row>
    <row r="14" spans="1:22">
      <c r="A14" s="599"/>
      <c r="B14" s="599"/>
      <c r="C14" s="599"/>
      <c r="D14" s="599"/>
      <c r="E14" s="599"/>
      <c r="F14" s="599"/>
      <c r="G14" s="599"/>
      <c r="H14" s="599"/>
      <c r="I14" s="599"/>
      <c r="J14" s="974"/>
      <c r="K14" s="599"/>
      <c r="L14" s="599"/>
      <c r="M14" s="599"/>
      <c r="N14" s="599"/>
      <c r="O14" s="599"/>
      <c r="P14" s="599"/>
      <c r="Q14" s="599"/>
      <c r="R14" s="599"/>
      <c r="S14" s="599"/>
      <c r="T14" s="599"/>
      <c r="U14" s="599"/>
      <c r="V14" s="599"/>
    </row>
    <row r="15" spans="1:22">
      <c r="A15" s="169" t="s">
        <v>1894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  <c r="V15" s="599"/>
    </row>
    <row r="16" spans="1:22">
      <c r="A16" s="169" t="s">
        <v>1883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</row>
    <row r="17" spans="1:22">
      <c r="A17" s="598"/>
      <c r="B17" s="599"/>
      <c r="C17" s="599"/>
      <c r="D17" s="599"/>
      <c r="E17" s="599"/>
      <c r="F17" s="599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  <c r="U17" s="599"/>
      <c r="V17" s="599"/>
    </row>
    <row r="18" spans="1:22">
      <c r="A18" s="598"/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</row>
    <row r="19" spans="1:22">
      <c r="A19" s="598"/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</row>
    <row r="20" spans="1:22">
      <c r="A20" s="598"/>
      <c r="B20" s="599"/>
      <c r="C20" s="599"/>
      <c r="D20" s="599"/>
      <c r="E20" s="599"/>
      <c r="F20" s="599"/>
      <c r="G20" s="599"/>
      <c r="H20" s="974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  <c r="U20" s="599"/>
      <c r="V20" s="599"/>
    </row>
    <row r="21" spans="1:22">
      <c r="A21" s="734"/>
      <c r="B21" s="599"/>
      <c r="C21" s="599"/>
      <c r="D21" s="599"/>
      <c r="E21" s="599"/>
      <c r="F21" s="599"/>
      <c r="G21" s="599"/>
      <c r="H21" s="96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  <c r="U21" s="599"/>
      <c r="V21" s="599"/>
    </row>
    <row r="22" spans="1:22">
      <c r="A22" s="599"/>
      <c r="B22" s="599"/>
      <c r="C22" s="599"/>
      <c r="D22" s="599"/>
      <c r="E22" s="599"/>
      <c r="F22" s="599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  <c r="U22" s="599"/>
      <c r="V22" s="599"/>
    </row>
    <row r="23" spans="1:22">
      <c r="A23" s="598" t="s">
        <v>1895</v>
      </c>
      <c r="B23" s="599"/>
      <c r="C23" s="599"/>
      <c r="D23" s="599"/>
      <c r="E23" s="599"/>
      <c r="F23" s="599"/>
      <c r="G23" s="599"/>
      <c r="H23" s="599"/>
      <c r="I23" s="704"/>
      <c r="J23" s="682">
        <f>T53</f>
        <v>4296729</v>
      </c>
      <c r="K23" s="599"/>
      <c r="L23" s="599"/>
      <c r="M23" s="599"/>
      <c r="N23" s="599"/>
      <c r="O23" s="599"/>
      <c r="P23" s="599"/>
      <c r="Q23" s="599"/>
      <c r="R23" s="599"/>
      <c r="S23" s="599"/>
      <c r="T23" s="599"/>
      <c r="U23" s="599"/>
      <c r="V23" s="599"/>
    </row>
    <row r="24" spans="1:22">
      <c r="A24" s="599"/>
      <c r="B24" s="599"/>
      <c r="C24" s="599"/>
      <c r="D24" s="599"/>
      <c r="E24" s="599"/>
      <c r="F24" s="599"/>
      <c r="G24" s="599"/>
      <c r="H24" s="599"/>
      <c r="I24" s="599"/>
      <c r="J24" s="704"/>
      <c r="K24" s="599"/>
      <c r="L24" s="599"/>
      <c r="M24" s="599"/>
      <c r="N24" s="599"/>
      <c r="O24" s="599"/>
      <c r="P24" s="599"/>
      <c r="Q24" s="599"/>
      <c r="R24" s="599"/>
      <c r="S24" s="599"/>
      <c r="T24" s="599"/>
      <c r="U24" s="599"/>
      <c r="V24" s="599"/>
    </row>
    <row r="25" spans="1:22">
      <c r="A25" s="599"/>
      <c r="B25" s="599"/>
      <c r="C25" s="599"/>
      <c r="D25" s="599"/>
      <c r="E25" s="599"/>
      <c r="F25" s="599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  <c r="U25" s="599"/>
      <c r="V25" s="599"/>
    </row>
    <row r="26" spans="1:22">
      <c r="A26" s="598" t="s">
        <v>1862</v>
      </c>
      <c r="B26" s="599"/>
      <c r="C26" s="599"/>
      <c r="D26" s="599"/>
      <c r="E26" s="599"/>
      <c r="F26" s="599"/>
      <c r="G26" s="599"/>
      <c r="H26" s="599"/>
      <c r="I26" s="599"/>
      <c r="J26" s="703">
        <f>VLOOKUP(D33,ALLOCTABLE,2)/100</f>
        <v>1</v>
      </c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  <c r="V26" s="599"/>
    </row>
    <row r="27" spans="1:22">
      <c r="A27" s="599"/>
      <c r="B27" s="599"/>
      <c r="C27" s="599"/>
      <c r="D27" s="599"/>
      <c r="E27" s="599"/>
      <c r="F27" s="599"/>
      <c r="G27" s="599"/>
      <c r="H27" s="599"/>
      <c r="I27" s="599"/>
      <c r="J27" s="704"/>
      <c r="K27" s="599"/>
      <c r="L27" s="599"/>
      <c r="M27" s="599"/>
      <c r="N27" s="599"/>
      <c r="O27" s="599"/>
      <c r="P27" s="599"/>
      <c r="Q27" s="599"/>
      <c r="R27" s="599"/>
      <c r="S27" s="599"/>
      <c r="T27" s="599"/>
      <c r="U27" s="599"/>
      <c r="V27" s="599"/>
    </row>
    <row r="28" spans="1:22">
      <c r="A28" s="599"/>
      <c r="B28" s="599"/>
      <c r="C28" s="599"/>
      <c r="D28" s="599"/>
      <c r="E28" s="599"/>
      <c r="F28" s="599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  <c r="V28" s="599"/>
    </row>
    <row r="29" spans="1:22" ht="15">
      <c r="A29" s="598" t="s">
        <v>1863</v>
      </c>
      <c r="B29" s="599"/>
      <c r="C29" s="599"/>
      <c r="D29" s="599"/>
      <c r="E29" s="599"/>
      <c r="F29" s="598" t="s">
        <v>1876</v>
      </c>
      <c r="G29" s="599"/>
      <c r="H29" s="599"/>
      <c r="I29" s="704"/>
      <c r="J29" s="705">
        <f>ROUND(J23*J26,0)</f>
        <v>4296729</v>
      </c>
      <c r="K29" s="599"/>
      <c r="L29" s="599"/>
      <c r="M29" s="599"/>
      <c r="N29" s="599"/>
      <c r="O29" s="599"/>
      <c r="P29" s="599"/>
      <c r="Q29" s="599"/>
      <c r="R29" s="599"/>
      <c r="S29" s="599"/>
      <c r="T29" s="599"/>
      <c r="U29" s="599"/>
      <c r="V29" s="599"/>
    </row>
    <row r="30" spans="1:22">
      <c r="A30" s="599"/>
      <c r="B30" s="599"/>
      <c r="C30" s="599"/>
      <c r="D30" s="599"/>
      <c r="E30" s="599"/>
      <c r="F30" s="599"/>
      <c r="G30" s="599"/>
      <c r="H30" s="599"/>
      <c r="I30" s="599"/>
      <c r="J30" s="704"/>
      <c r="K30" s="599"/>
      <c r="L30" s="599"/>
      <c r="M30" s="599"/>
      <c r="N30" s="599"/>
      <c r="O30" s="599"/>
      <c r="P30" s="599"/>
      <c r="Q30" s="599"/>
      <c r="R30" s="599"/>
      <c r="S30" s="599"/>
      <c r="T30" s="599"/>
      <c r="U30" s="599"/>
      <c r="V30" s="599"/>
    </row>
    <row r="31" spans="1:22">
      <c r="A31" s="599"/>
      <c r="B31" s="599"/>
      <c r="C31" s="599"/>
      <c r="D31" s="599"/>
      <c r="E31" s="599"/>
      <c r="F31" s="599"/>
      <c r="G31" s="599"/>
      <c r="H31" s="599"/>
      <c r="I31" s="599"/>
      <c r="J31" s="599"/>
      <c r="K31" s="599"/>
      <c r="L31" s="599"/>
      <c r="M31" s="599"/>
      <c r="N31" s="599"/>
      <c r="O31" s="599"/>
      <c r="P31" s="599"/>
      <c r="Q31" s="599"/>
      <c r="R31" s="599"/>
      <c r="S31" s="599"/>
      <c r="T31" s="599"/>
      <c r="U31" s="599"/>
      <c r="V31" s="599"/>
    </row>
    <row r="32" spans="1:22">
      <c r="A32" s="599"/>
      <c r="B32" s="599"/>
      <c r="C32" s="599"/>
      <c r="D32" s="599"/>
      <c r="E32" s="599"/>
      <c r="F32" s="599"/>
      <c r="G32" s="599"/>
      <c r="H32" s="599"/>
      <c r="I32" s="599"/>
      <c r="J32" s="599"/>
      <c r="K32" s="599"/>
      <c r="L32" s="599"/>
      <c r="M32" s="599"/>
      <c r="N32" s="599"/>
      <c r="O32" s="599"/>
      <c r="P32" s="599"/>
      <c r="Q32" s="599"/>
      <c r="R32" s="599"/>
      <c r="S32" s="599"/>
      <c r="T32" s="599"/>
      <c r="U32" s="599"/>
      <c r="V32" s="599"/>
    </row>
    <row r="33" spans="1:22">
      <c r="A33" s="598" t="s">
        <v>1864</v>
      </c>
      <c r="B33" s="599"/>
      <c r="C33" s="599"/>
      <c r="D33" s="966" t="s">
        <v>428</v>
      </c>
      <c r="E33" s="599"/>
      <c r="F33" s="599"/>
      <c r="G33" s="599"/>
      <c r="H33" s="599"/>
      <c r="I33" s="599"/>
      <c r="J33" s="599"/>
      <c r="K33" s="599"/>
      <c r="L33" s="599"/>
      <c r="M33" s="599"/>
      <c r="N33" s="599"/>
      <c r="O33" s="599"/>
      <c r="P33" s="599"/>
      <c r="Q33" s="599"/>
      <c r="R33" s="599"/>
      <c r="S33" s="599"/>
      <c r="T33" s="599"/>
      <c r="U33" s="599"/>
      <c r="V33" s="599"/>
    </row>
    <row r="34" spans="1:22">
      <c r="A34" s="598"/>
      <c r="B34" s="599"/>
      <c r="C34" s="599"/>
      <c r="D34" s="599"/>
      <c r="E34" s="599"/>
      <c r="F34" s="599"/>
      <c r="G34" s="599"/>
      <c r="H34" s="599"/>
      <c r="I34" s="599"/>
      <c r="J34" s="599"/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</row>
    <row r="35" spans="1:22">
      <c r="A35" s="599"/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599"/>
      <c r="O35" s="599"/>
      <c r="P35" s="599"/>
      <c r="Q35" s="599"/>
      <c r="R35" s="599"/>
      <c r="S35" s="599"/>
      <c r="T35" s="599"/>
      <c r="U35" s="599"/>
      <c r="V35" s="599"/>
    </row>
    <row r="36" spans="1:22">
      <c r="A36" s="599"/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599"/>
      <c r="O36" s="599"/>
      <c r="P36" s="599"/>
      <c r="Q36" s="599"/>
      <c r="R36" s="599"/>
      <c r="S36" s="599"/>
      <c r="T36" s="599"/>
      <c r="U36" s="599"/>
      <c r="V36" s="599"/>
    </row>
    <row r="37" spans="1:22">
      <c r="A37" s="599"/>
      <c r="B37" s="599"/>
      <c r="C37" s="599"/>
      <c r="D37" s="599"/>
      <c r="E37" s="599"/>
      <c r="F37" s="599"/>
      <c r="G37" s="599"/>
      <c r="H37" s="599"/>
      <c r="I37" s="599"/>
      <c r="J37" s="599"/>
      <c r="K37" s="599"/>
      <c r="L37" s="599"/>
      <c r="M37" s="599"/>
      <c r="N37" s="599"/>
      <c r="O37" s="599"/>
      <c r="P37" s="599"/>
      <c r="Q37" s="599"/>
      <c r="R37" s="599"/>
      <c r="S37" s="599"/>
      <c r="T37" s="599"/>
      <c r="U37" s="599"/>
      <c r="V37" s="599"/>
    </row>
    <row r="38" spans="1:22">
      <c r="A38" s="599"/>
      <c r="B38" s="599"/>
      <c r="C38" s="599"/>
      <c r="D38" s="599"/>
      <c r="E38" s="599"/>
      <c r="F38" s="599"/>
      <c r="G38" s="599"/>
      <c r="H38" s="599"/>
      <c r="I38" s="599"/>
      <c r="J38" s="59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  <c r="V38" s="599"/>
    </row>
    <row r="39" spans="1:22">
      <c r="A39" s="599"/>
      <c r="B39" s="599"/>
      <c r="C39" s="599"/>
      <c r="D39" s="599"/>
      <c r="E39" s="599"/>
      <c r="F39" s="599"/>
      <c r="G39" s="599"/>
      <c r="H39" s="599"/>
      <c r="I39" s="599"/>
      <c r="J39" s="599"/>
      <c r="K39" s="599"/>
      <c r="L39" s="599"/>
      <c r="M39" s="599"/>
      <c r="N39" s="599"/>
      <c r="O39" s="599"/>
      <c r="P39" s="599"/>
      <c r="Q39" s="599"/>
      <c r="R39" s="599"/>
      <c r="S39" s="599"/>
      <c r="T39" s="599"/>
      <c r="U39" s="599"/>
      <c r="V39" s="599"/>
    </row>
    <row r="40" spans="1:22">
      <c r="A40" s="599"/>
      <c r="B40" s="599"/>
      <c r="C40" s="599"/>
      <c r="D40" s="599"/>
      <c r="E40" s="599"/>
      <c r="F40" s="599"/>
      <c r="G40" s="599"/>
      <c r="H40" s="599"/>
      <c r="I40" s="599"/>
      <c r="J40" s="599"/>
      <c r="K40" s="599"/>
      <c r="L40" s="599"/>
      <c r="M40" s="599"/>
      <c r="N40" s="599"/>
      <c r="O40" s="599"/>
      <c r="P40" s="599"/>
      <c r="Q40" s="599"/>
      <c r="R40" s="599"/>
      <c r="S40" s="599"/>
      <c r="T40" s="599"/>
      <c r="U40" s="599"/>
      <c r="V40" s="599"/>
    </row>
    <row r="41" spans="1:22">
      <c r="A41" s="599"/>
      <c r="B41" s="599"/>
      <c r="C41" s="599"/>
      <c r="D41" s="599"/>
      <c r="E41" s="599"/>
      <c r="F41" s="599"/>
      <c r="G41" s="599"/>
      <c r="H41" s="599"/>
      <c r="I41" s="599"/>
      <c r="J41" s="599"/>
      <c r="K41" s="599"/>
      <c r="L41" s="599"/>
      <c r="M41" s="599"/>
      <c r="N41" s="599"/>
      <c r="O41" s="599"/>
      <c r="P41" s="599"/>
      <c r="Q41" s="599"/>
      <c r="R41" s="599"/>
      <c r="S41" s="599"/>
      <c r="T41" s="599"/>
      <c r="U41" s="599"/>
      <c r="V41" s="599"/>
    </row>
    <row r="42" spans="1:22">
      <c r="A42" s="599"/>
      <c r="B42" s="599"/>
      <c r="C42" s="599"/>
      <c r="D42" s="599"/>
      <c r="E42" s="599"/>
      <c r="F42" s="599"/>
      <c r="G42" s="599"/>
      <c r="H42" s="599"/>
      <c r="I42" s="599"/>
      <c r="J42" s="599"/>
      <c r="K42" s="599"/>
      <c r="L42" s="599"/>
      <c r="M42" s="599"/>
      <c r="N42" s="599"/>
      <c r="O42" s="599"/>
      <c r="P42" s="599"/>
      <c r="Q42" s="599"/>
      <c r="R42" s="599"/>
      <c r="S42" s="599"/>
      <c r="T42" s="599"/>
      <c r="U42" s="599"/>
      <c r="V42" s="599"/>
    </row>
    <row r="43" spans="1:22">
      <c r="A43" s="599"/>
      <c r="B43" s="599"/>
      <c r="C43" s="599"/>
      <c r="D43" s="599"/>
      <c r="E43" s="599"/>
      <c r="F43" s="599"/>
      <c r="G43" s="599"/>
      <c r="H43" s="599"/>
      <c r="I43" s="599"/>
      <c r="J43" s="599"/>
      <c r="K43" s="599"/>
      <c r="L43" s="779" t="str">
        <f>COMPANY</f>
        <v>DUKE ENERGY KENTUCKY, INC.</v>
      </c>
      <c r="M43" s="253"/>
      <c r="N43" s="253"/>
      <c r="O43" s="253"/>
      <c r="P43" s="253"/>
      <c r="Q43" s="253"/>
      <c r="S43" s="779" t="s">
        <v>1896</v>
      </c>
      <c r="T43" s="597"/>
      <c r="U43" s="599"/>
      <c r="V43" s="599"/>
    </row>
    <row r="44" spans="1:22">
      <c r="A44" s="599"/>
      <c r="B44" s="599"/>
      <c r="C44" s="599"/>
      <c r="D44" s="599"/>
      <c r="E44" s="599"/>
      <c r="F44" s="599"/>
      <c r="G44" s="599"/>
      <c r="H44" s="599"/>
      <c r="I44" s="599"/>
      <c r="J44" s="599"/>
      <c r="K44" s="599"/>
      <c r="L44" s="779" t="str">
        <f>DEPT</f>
        <v>ELECTRIC DEPARTMENT</v>
      </c>
      <c r="M44" s="253"/>
      <c r="N44" s="253"/>
      <c r="O44" s="253"/>
      <c r="P44" s="253"/>
      <c r="Q44" s="253"/>
      <c r="S44" s="779" t="s">
        <v>1866</v>
      </c>
      <c r="T44" s="597"/>
      <c r="U44" s="599"/>
      <c r="V44" s="599"/>
    </row>
    <row r="45" spans="1:22">
      <c r="A45" s="599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779" t="str">
        <f>CASE</f>
        <v>CASE NO. 2024-00354</v>
      </c>
      <c r="M45" s="253"/>
      <c r="N45" s="253"/>
      <c r="O45" s="253"/>
      <c r="P45" s="253"/>
      <c r="Q45" s="253"/>
      <c r="S45" s="253" t="str">
        <f>_WIT10</f>
        <v>G. S. CARPENTER</v>
      </c>
      <c r="T45" s="597"/>
      <c r="U45" s="599"/>
      <c r="V45" s="599"/>
    </row>
    <row r="46" spans="1:22">
      <c r="A46" s="599"/>
      <c r="B46" s="599"/>
      <c r="C46" s="599"/>
      <c r="D46" s="599"/>
      <c r="E46" s="599"/>
      <c r="F46" s="599"/>
      <c r="G46" s="599"/>
      <c r="H46" s="599"/>
      <c r="I46" s="599"/>
      <c r="J46" s="599"/>
      <c r="K46" s="599"/>
      <c r="L46" s="779" t="s">
        <v>1897</v>
      </c>
      <c r="M46" s="253"/>
      <c r="N46" s="253"/>
      <c r="O46" s="253"/>
      <c r="P46" s="253"/>
      <c r="Q46" s="253"/>
      <c r="R46" s="961"/>
      <c r="S46" s="253"/>
      <c r="T46" s="597"/>
      <c r="U46" s="599"/>
      <c r="V46" s="599"/>
    </row>
    <row r="47" spans="1:22">
      <c r="A47" s="599"/>
      <c r="B47" s="599"/>
      <c r="C47" s="599"/>
      <c r="D47" s="599"/>
      <c r="E47" s="599"/>
      <c r="F47" s="599"/>
      <c r="G47" s="599"/>
      <c r="H47" s="599"/>
      <c r="I47" s="599"/>
      <c r="J47" s="599"/>
      <c r="K47" s="599"/>
      <c r="L47" s="779"/>
      <c r="M47" s="253"/>
      <c r="N47" s="253"/>
      <c r="O47" s="253"/>
      <c r="P47" s="253"/>
      <c r="Q47" s="253"/>
      <c r="R47" s="253"/>
      <c r="S47" s="253"/>
      <c r="T47" s="597"/>
      <c r="U47" s="599"/>
      <c r="V47" s="599"/>
    </row>
    <row r="48" spans="1:22">
      <c r="A48" s="599"/>
      <c r="B48" s="599"/>
      <c r="C48" s="599"/>
      <c r="D48" s="599"/>
      <c r="E48" s="599"/>
      <c r="F48" s="599"/>
      <c r="G48" s="599"/>
      <c r="H48" s="599"/>
      <c r="I48" s="599"/>
      <c r="J48" s="599"/>
      <c r="K48" s="599"/>
      <c r="L48" s="597"/>
      <c r="M48" s="597"/>
      <c r="N48" s="597"/>
      <c r="O48" s="597"/>
      <c r="P48" s="597"/>
      <c r="Q48" s="597"/>
      <c r="R48" s="597"/>
      <c r="S48" s="597"/>
      <c r="T48" s="597"/>
      <c r="U48" s="599"/>
      <c r="V48" s="599"/>
    </row>
    <row r="49" spans="1:22">
      <c r="A49" s="599"/>
      <c r="B49" s="599"/>
      <c r="C49" s="599"/>
      <c r="D49" s="599"/>
      <c r="E49" s="599"/>
      <c r="F49" s="599"/>
      <c r="G49" s="599"/>
      <c r="H49" s="599"/>
      <c r="I49" s="599"/>
      <c r="J49" s="599"/>
      <c r="K49" s="599"/>
      <c r="L49" s="597"/>
      <c r="M49" s="597"/>
      <c r="N49" s="597"/>
      <c r="O49" s="597"/>
      <c r="P49" s="597"/>
      <c r="Q49" s="597"/>
      <c r="R49" s="597"/>
      <c r="S49" s="597"/>
      <c r="T49" s="597"/>
      <c r="U49" s="599"/>
      <c r="V49" s="599"/>
    </row>
    <row r="50" spans="1:22">
      <c r="A50" s="599"/>
      <c r="B50" s="599"/>
      <c r="C50" s="599"/>
      <c r="D50" s="599"/>
      <c r="E50" s="599"/>
      <c r="F50" s="599"/>
      <c r="G50" s="599"/>
      <c r="H50" s="599"/>
      <c r="I50" s="599"/>
      <c r="J50" s="599"/>
      <c r="K50" s="599"/>
      <c r="L50" s="701" t="s">
        <v>573</v>
      </c>
      <c r="M50" s="701"/>
      <c r="N50" s="701"/>
      <c r="O50" s="701"/>
      <c r="P50" s="701" t="s">
        <v>13</v>
      </c>
      <c r="Q50" s="701"/>
      <c r="R50" s="701" t="s">
        <v>417</v>
      </c>
      <c r="S50" s="701"/>
      <c r="T50" s="701"/>
      <c r="U50" s="599"/>
      <c r="V50" s="599"/>
    </row>
    <row r="51" spans="1:22">
      <c r="A51" s="599"/>
      <c r="B51" s="599"/>
      <c r="C51" s="599"/>
      <c r="D51" s="599"/>
      <c r="E51" s="599"/>
      <c r="F51" s="599"/>
      <c r="G51" s="599"/>
      <c r="H51" s="599"/>
      <c r="I51" s="599"/>
      <c r="J51" s="599"/>
      <c r="K51" s="599"/>
      <c r="L51" s="702" t="s">
        <v>576</v>
      </c>
      <c r="M51" s="702"/>
      <c r="N51" s="702" t="s">
        <v>2</v>
      </c>
      <c r="O51" s="702"/>
      <c r="P51" s="702" t="s">
        <v>418</v>
      </c>
      <c r="Q51" s="702"/>
      <c r="R51" s="702" t="s">
        <v>418</v>
      </c>
      <c r="S51" s="702"/>
      <c r="T51" s="702" t="s">
        <v>698</v>
      </c>
      <c r="U51" s="599"/>
      <c r="V51" s="599"/>
    </row>
    <row r="52" spans="1:22">
      <c r="A52" s="599"/>
      <c r="B52" s="599"/>
      <c r="C52" s="599"/>
      <c r="D52" s="599"/>
      <c r="E52" s="599"/>
      <c r="F52" s="599"/>
      <c r="G52" s="599"/>
      <c r="H52" s="599"/>
      <c r="I52" s="599"/>
      <c r="J52" s="599"/>
      <c r="K52" s="599"/>
      <c r="L52" s="597"/>
      <c r="M52" s="597"/>
      <c r="N52" s="597"/>
      <c r="O52" s="597"/>
      <c r="P52" s="597"/>
      <c r="Q52" s="597"/>
      <c r="R52" s="597"/>
      <c r="S52" s="597"/>
      <c r="T52" s="597"/>
      <c r="U52" s="599"/>
      <c r="V52" s="599"/>
    </row>
    <row r="53" spans="1:22" ht="13.8" thickBot="1">
      <c r="A53" s="599"/>
      <c r="B53" s="599"/>
      <c r="C53" s="599"/>
      <c r="D53" s="599"/>
      <c r="E53" s="599"/>
      <c r="F53" s="599"/>
      <c r="G53" s="599"/>
      <c r="H53" s="599"/>
      <c r="I53" s="599"/>
      <c r="J53" s="599"/>
      <c r="K53" s="599"/>
      <c r="L53" s="701">
        <v>1</v>
      </c>
      <c r="M53" s="597"/>
      <c r="N53" s="598" t="s">
        <v>457</v>
      </c>
      <c r="O53" s="597"/>
      <c r="P53" s="1954">
        <f>SCH_C2!E29</f>
        <v>30517275</v>
      </c>
      <c r="Q53" s="597"/>
      <c r="R53" s="1954">
        <f>SCH_C2!H29</f>
        <v>34814004</v>
      </c>
      <c r="S53" s="597"/>
      <c r="T53" s="1954">
        <f>R53-P53</f>
        <v>4296729</v>
      </c>
      <c r="U53" s="599"/>
      <c r="V53" s="599"/>
    </row>
    <row r="54" spans="1:22" ht="13.8" thickTop="1">
      <c r="A54" s="599"/>
      <c r="B54" s="599"/>
      <c r="C54" s="599"/>
      <c r="D54" s="599"/>
      <c r="E54" s="599"/>
      <c r="F54" s="599"/>
      <c r="G54" s="599"/>
      <c r="H54" s="599"/>
      <c r="I54" s="599"/>
      <c r="J54" s="599"/>
      <c r="K54" s="599"/>
      <c r="L54" s="701"/>
      <c r="M54" s="597"/>
      <c r="N54" s="597"/>
      <c r="O54" s="597"/>
      <c r="P54" s="597"/>
      <c r="Q54" s="597"/>
      <c r="R54" s="597"/>
      <c r="S54" s="597"/>
      <c r="T54" s="597"/>
      <c r="U54" s="599"/>
      <c r="V54" s="599"/>
    </row>
    <row r="55" spans="1:22">
      <c r="A55" s="599"/>
      <c r="B55" s="599"/>
      <c r="C55" s="599"/>
      <c r="D55" s="599"/>
      <c r="E55" s="599"/>
      <c r="F55" s="599"/>
      <c r="G55" s="599"/>
      <c r="H55" s="599"/>
      <c r="I55" s="599"/>
      <c r="J55" s="599"/>
      <c r="K55" s="599"/>
      <c r="L55" s="597"/>
      <c r="M55" s="597"/>
      <c r="N55" s="597"/>
      <c r="O55" s="597"/>
      <c r="P55" s="597"/>
      <c r="Q55" s="597"/>
      <c r="R55" s="597"/>
      <c r="S55" s="597"/>
      <c r="T55" s="597"/>
      <c r="U55" s="599"/>
      <c r="V55" s="599"/>
    </row>
    <row r="56" spans="1:22">
      <c r="A56" s="599"/>
      <c r="B56" s="599"/>
      <c r="C56" s="599"/>
      <c r="D56" s="599"/>
      <c r="E56" s="599"/>
      <c r="F56" s="599"/>
      <c r="G56" s="599"/>
      <c r="H56" s="599"/>
      <c r="I56" s="599"/>
      <c r="J56" s="599"/>
      <c r="K56" s="599"/>
      <c r="L56" s="597"/>
      <c r="M56" s="597"/>
      <c r="N56" s="597"/>
      <c r="O56" s="597"/>
      <c r="P56" s="597"/>
      <c r="Q56" s="597"/>
      <c r="R56" s="597"/>
      <c r="S56" s="597"/>
      <c r="T56" s="597"/>
      <c r="U56" s="599"/>
      <c r="V56" s="599"/>
    </row>
    <row r="57" spans="1:22">
      <c r="A57" s="599"/>
      <c r="B57" s="599"/>
      <c r="C57" s="599"/>
      <c r="D57" s="599"/>
      <c r="E57" s="599"/>
      <c r="F57" s="599"/>
      <c r="G57" s="599"/>
      <c r="H57" s="599"/>
      <c r="I57" s="599"/>
      <c r="J57" s="599"/>
      <c r="K57" s="599"/>
      <c r="L57" s="597"/>
      <c r="M57" s="597"/>
      <c r="N57" s="597"/>
      <c r="O57" s="597"/>
      <c r="P57" s="597"/>
      <c r="Q57" s="597"/>
      <c r="R57" s="597"/>
      <c r="S57" s="597"/>
      <c r="T57" s="701" t="s">
        <v>1869</v>
      </c>
      <c r="U57" s="599"/>
      <c r="V57" s="599"/>
    </row>
    <row r="58" spans="1:22">
      <c r="A58" s="599"/>
      <c r="B58" s="599"/>
      <c r="C58" s="599"/>
      <c r="D58" s="599"/>
      <c r="E58" s="599"/>
      <c r="F58" s="599"/>
      <c r="G58" s="599"/>
      <c r="H58" s="599"/>
      <c r="I58" s="599"/>
      <c r="J58" s="599"/>
      <c r="K58" s="599"/>
      <c r="L58" s="599"/>
      <c r="M58" s="599"/>
      <c r="N58" s="599"/>
      <c r="O58" s="599"/>
      <c r="P58" s="599"/>
      <c r="Q58" s="599"/>
      <c r="R58" s="599"/>
      <c r="S58" s="599"/>
      <c r="T58" s="599"/>
      <c r="U58" s="599"/>
      <c r="V58" s="599"/>
    </row>
    <row r="59" spans="1:22">
      <c r="A59" s="599"/>
      <c r="B59" s="599"/>
      <c r="C59" s="599"/>
      <c r="D59" s="599"/>
      <c r="E59" s="599"/>
      <c r="F59" s="599"/>
      <c r="G59" s="599"/>
      <c r="H59" s="599"/>
      <c r="I59" s="599"/>
      <c r="J59" s="599"/>
      <c r="K59" s="599"/>
      <c r="L59" s="599"/>
      <c r="M59" s="599"/>
      <c r="N59" s="599"/>
      <c r="O59" s="599"/>
      <c r="P59" s="599"/>
      <c r="Q59" s="599"/>
      <c r="R59" s="599"/>
      <c r="S59" s="599"/>
      <c r="T59" s="599"/>
      <c r="U59" s="599"/>
      <c r="V59" s="599"/>
    </row>
    <row r="60" spans="1:22">
      <c r="A60" s="599"/>
      <c r="B60" s="599"/>
      <c r="C60" s="599"/>
      <c r="D60" s="599"/>
      <c r="E60" s="599"/>
      <c r="F60" s="599"/>
      <c r="G60" s="599"/>
      <c r="H60" s="599"/>
      <c r="I60" s="599"/>
      <c r="J60" s="599"/>
      <c r="K60" s="599"/>
      <c r="L60" s="599"/>
      <c r="M60" s="599"/>
      <c r="N60" s="599"/>
      <c r="O60" s="599"/>
      <c r="P60" s="599"/>
      <c r="Q60" s="599"/>
      <c r="R60" s="1051"/>
      <c r="S60" s="599"/>
      <c r="T60" s="599"/>
      <c r="U60" s="599"/>
      <c r="V60" s="599"/>
    </row>
    <row r="61" spans="1:22">
      <c r="A61" s="599"/>
      <c r="B61" s="599"/>
      <c r="C61" s="599"/>
      <c r="D61" s="599"/>
      <c r="E61" s="599"/>
      <c r="F61" s="599"/>
      <c r="G61" s="599"/>
      <c r="H61" s="599"/>
      <c r="I61" s="599"/>
      <c r="J61" s="599"/>
      <c r="K61" s="599"/>
      <c r="L61" s="599"/>
      <c r="M61" s="599"/>
      <c r="N61" s="599"/>
      <c r="O61" s="599"/>
      <c r="P61" s="599"/>
      <c r="Q61" s="599"/>
      <c r="R61" s="599"/>
      <c r="S61" s="599"/>
      <c r="T61" s="599"/>
      <c r="U61" s="599"/>
      <c r="V61" s="599"/>
    </row>
    <row r="62" spans="1:22">
      <c r="A62" s="599"/>
      <c r="B62" s="599"/>
      <c r="C62" s="599"/>
      <c r="D62" s="599"/>
      <c r="E62" s="599"/>
      <c r="F62" s="599"/>
      <c r="G62" s="599"/>
      <c r="H62" s="599"/>
      <c r="I62" s="599"/>
      <c r="J62" s="599"/>
      <c r="K62" s="599"/>
      <c r="L62" s="599"/>
      <c r="M62" s="599"/>
      <c r="N62" s="599"/>
      <c r="O62" s="599"/>
      <c r="P62" s="599"/>
      <c r="Q62" s="599"/>
      <c r="R62" s="599"/>
      <c r="S62" s="599"/>
      <c r="T62" s="599"/>
      <c r="U62" s="599"/>
      <c r="V62" s="599"/>
    </row>
    <row r="63" spans="1:22">
      <c r="A63" s="599"/>
      <c r="B63" s="599"/>
      <c r="C63" s="599"/>
      <c r="D63" s="599"/>
      <c r="E63" s="599"/>
      <c r="F63" s="599"/>
      <c r="G63" s="599"/>
      <c r="H63" s="599"/>
      <c r="I63" s="599"/>
      <c r="J63" s="599"/>
      <c r="K63" s="599"/>
      <c r="L63" s="599"/>
      <c r="M63" s="599"/>
      <c r="N63" s="599"/>
      <c r="O63" s="599"/>
      <c r="P63" s="599"/>
      <c r="Q63" s="599"/>
      <c r="R63" s="599"/>
      <c r="S63" s="599"/>
      <c r="T63" s="599"/>
      <c r="U63" s="599"/>
      <c r="V63" s="599"/>
    </row>
    <row r="64" spans="1:22">
      <c r="A64" s="599"/>
      <c r="B64" s="599"/>
      <c r="C64" s="599"/>
      <c r="D64" s="599"/>
      <c r="E64" s="599"/>
      <c r="F64" s="599"/>
      <c r="G64" s="599"/>
      <c r="H64" s="599"/>
      <c r="I64" s="599"/>
      <c r="J64" s="599"/>
      <c r="K64" s="599"/>
      <c r="L64" s="599"/>
      <c r="M64" s="599"/>
      <c r="N64" s="599"/>
      <c r="O64" s="599"/>
      <c r="P64" s="599"/>
      <c r="Q64" s="599"/>
      <c r="R64" s="599"/>
      <c r="S64" s="599"/>
      <c r="T64" s="599"/>
      <c r="U64" s="599"/>
      <c r="V64" s="599"/>
    </row>
    <row r="65" spans="1:22">
      <c r="A65" s="599"/>
      <c r="B65" s="599"/>
      <c r="C65" s="599"/>
      <c r="D65" s="599"/>
      <c r="E65" s="599"/>
      <c r="F65" s="599"/>
      <c r="G65" s="599"/>
      <c r="H65" s="599"/>
      <c r="I65" s="599"/>
      <c r="J65" s="599"/>
      <c r="K65" s="599"/>
      <c r="L65" s="599"/>
      <c r="M65" s="599"/>
      <c r="N65" s="599"/>
      <c r="O65" s="599"/>
      <c r="P65" s="599"/>
      <c r="Q65" s="599"/>
      <c r="R65" s="599"/>
      <c r="S65" s="599"/>
      <c r="T65" s="599"/>
      <c r="U65" s="599"/>
      <c r="V65" s="599"/>
    </row>
    <row r="66" spans="1:22">
      <c r="A66" s="599"/>
      <c r="B66" s="599"/>
      <c r="C66" s="599"/>
      <c r="D66" s="599"/>
      <c r="E66" s="599"/>
      <c r="F66" s="599"/>
      <c r="G66" s="599"/>
      <c r="H66" s="599"/>
      <c r="I66" s="599"/>
      <c r="J66" s="599"/>
      <c r="K66" s="599"/>
      <c r="L66" s="599"/>
      <c r="M66" s="599"/>
      <c r="N66" s="599"/>
      <c r="O66" s="599"/>
      <c r="P66" s="599"/>
      <c r="Q66" s="599"/>
      <c r="R66" s="599"/>
      <c r="S66" s="599"/>
      <c r="T66" s="599"/>
      <c r="U66" s="599"/>
      <c r="V66" s="599"/>
    </row>
    <row r="67" spans="1:22">
      <c r="A67" s="599"/>
      <c r="B67" s="599"/>
      <c r="C67" s="599"/>
      <c r="D67" s="599"/>
      <c r="E67" s="599"/>
      <c r="F67" s="599"/>
      <c r="G67" s="599"/>
      <c r="H67" s="599"/>
      <c r="I67" s="599"/>
      <c r="J67" s="599"/>
      <c r="K67" s="599"/>
      <c r="L67" s="599"/>
      <c r="M67" s="599"/>
      <c r="N67" s="599"/>
      <c r="O67" s="599"/>
      <c r="P67" s="599"/>
      <c r="Q67" s="599"/>
      <c r="R67" s="599"/>
      <c r="S67" s="599"/>
      <c r="T67" s="599"/>
      <c r="U67" s="599"/>
      <c r="V67" s="599"/>
    </row>
    <row r="68" spans="1:22">
      <c r="A68" s="599"/>
      <c r="B68" s="599"/>
      <c r="C68" s="599"/>
      <c r="D68" s="599"/>
      <c r="E68" s="599"/>
      <c r="F68" s="599"/>
      <c r="G68" s="599"/>
      <c r="H68" s="599"/>
      <c r="I68" s="599"/>
      <c r="J68" s="599"/>
      <c r="K68" s="599"/>
      <c r="L68" s="599"/>
      <c r="M68" s="599"/>
      <c r="N68" s="599"/>
      <c r="O68" s="599"/>
      <c r="P68" s="599"/>
      <c r="Q68" s="599"/>
      <c r="R68" s="599"/>
      <c r="S68" s="599"/>
      <c r="T68" s="599"/>
      <c r="U68" s="599"/>
      <c r="V68" s="599"/>
    </row>
    <row r="69" spans="1:22">
      <c r="A69" s="599"/>
      <c r="B69" s="599"/>
      <c r="C69" s="599"/>
      <c r="D69" s="599"/>
      <c r="E69" s="599"/>
      <c r="F69" s="599"/>
      <c r="G69" s="599"/>
      <c r="H69" s="599"/>
      <c r="I69" s="599"/>
      <c r="J69" s="599"/>
      <c r="K69" s="599"/>
      <c r="L69" s="599"/>
      <c r="M69" s="599"/>
      <c r="N69" s="599"/>
      <c r="O69" s="599"/>
      <c r="P69" s="599"/>
      <c r="Q69" s="599"/>
      <c r="R69" s="599"/>
      <c r="S69" s="599"/>
      <c r="T69" s="599"/>
      <c r="U69" s="599"/>
      <c r="V69" s="599"/>
    </row>
  </sheetData>
  <phoneticPr fontId="19" type="noConversion"/>
  <pageMargins left="1" right="0.75" top="1" bottom="0" header="0" footer="0"/>
  <pageSetup scale="86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7">
    <tabColor theme="7" tint="-0.249977111117893"/>
    <pageSetUpPr fitToPage="1"/>
  </sheetPr>
  <dimension ref="A1:U69"/>
  <sheetViews>
    <sheetView workbookViewId="0"/>
  </sheetViews>
  <sheetFormatPr defaultColWidth="8" defaultRowHeight="13.2"/>
  <cols>
    <col min="1" max="1" width="8" customWidth="1"/>
    <col min="2" max="2" width="20.44140625" customWidth="1"/>
    <col min="3" max="3" width="8" customWidth="1"/>
    <col min="4" max="4" width="10.44140625" customWidth="1"/>
    <col min="5" max="7" width="8" customWidth="1"/>
    <col min="8" max="8" width="12.44140625" customWidth="1"/>
    <col min="9" max="9" width="10" customWidth="1"/>
    <col min="10" max="10" width="18.44140625" customWidth="1"/>
    <col min="11" max="12" width="8" customWidth="1"/>
    <col min="13" max="13" width="2.44140625" customWidth="1"/>
    <col min="14" max="14" width="25.5546875" customWidth="1"/>
    <col min="15" max="15" width="3.5546875" customWidth="1"/>
    <col min="16" max="16" width="16" customWidth="1"/>
    <col min="17" max="17" width="1.5546875" customWidth="1"/>
    <col min="18" max="18" width="18.44140625" customWidth="1"/>
    <col min="19" max="19" width="2.44140625" customWidth="1"/>
    <col min="20" max="20" width="20.44140625" customWidth="1"/>
  </cols>
  <sheetData>
    <row r="1" spans="1:21">
      <c r="A1" s="951" t="str">
        <f>LOGO!B5</f>
        <v>DUKE ENERGY KENTUCKY, INC.</v>
      </c>
      <c r="B1" s="951"/>
      <c r="C1" s="951"/>
      <c r="D1" s="951"/>
      <c r="E1" s="951"/>
      <c r="F1" s="951"/>
      <c r="G1" s="951"/>
      <c r="H1" s="951"/>
      <c r="I1" s="951"/>
      <c r="J1" s="951"/>
      <c r="K1" s="599"/>
      <c r="L1" s="599"/>
      <c r="M1" s="599"/>
      <c r="N1" s="599"/>
      <c r="O1" s="599"/>
      <c r="P1" s="599"/>
      <c r="Q1" s="599"/>
      <c r="R1" s="599"/>
      <c r="S1" s="599"/>
      <c r="T1" s="599"/>
      <c r="U1" s="599"/>
    </row>
    <row r="2" spans="1:21">
      <c r="A2" s="951" t="str">
        <f>LOGO!B6</f>
        <v>CASE NO. 2024-00354</v>
      </c>
      <c r="B2" s="951"/>
      <c r="C2" s="951"/>
      <c r="D2" s="951"/>
      <c r="E2" s="951"/>
      <c r="F2" s="951"/>
      <c r="G2" s="951"/>
      <c r="H2" s="951"/>
      <c r="I2" s="951"/>
      <c r="J2" s="951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</row>
    <row r="3" spans="1:21">
      <c r="A3" s="968" t="s">
        <v>1898</v>
      </c>
      <c r="B3" s="951"/>
      <c r="C3" s="951"/>
      <c r="D3" s="951"/>
      <c r="E3" s="951"/>
      <c r="F3" s="951"/>
      <c r="G3" s="951"/>
      <c r="H3" s="951"/>
      <c r="I3" s="951"/>
      <c r="J3" s="951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</row>
    <row r="4" spans="1:21">
      <c r="A4" s="951" t="str">
        <f>LOGO!B8</f>
        <v>FOR THE TWELVE MONTHS ENDED JUNE 30, 2026</v>
      </c>
      <c r="B4" s="951"/>
      <c r="C4" s="951"/>
      <c r="D4" s="951"/>
      <c r="E4" s="951"/>
      <c r="F4" s="951"/>
      <c r="G4" s="951"/>
      <c r="H4" s="951"/>
      <c r="I4" s="951"/>
      <c r="J4" s="951"/>
      <c r="K4" s="599"/>
      <c r="L4" s="599"/>
      <c r="M4" s="599"/>
      <c r="N4" s="599"/>
      <c r="O4" s="599"/>
      <c r="P4" s="599"/>
      <c r="Q4" s="599"/>
      <c r="R4" s="599"/>
      <c r="S4" s="599"/>
      <c r="T4" s="599"/>
      <c r="U4" s="599"/>
    </row>
    <row r="5" spans="1:21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</row>
    <row r="6" spans="1:21">
      <c r="A6" s="599" t="str">
        <f>DataB</f>
        <v>DATA: "X" BASE PERIOD  "X" FORECASTED PERIOD</v>
      </c>
      <c r="B6" s="599"/>
      <c r="C6" s="599"/>
      <c r="D6" s="599"/>
      <c r="E6" s="599"/>
      <c r="F6" s="599"/>
      <c r="G6" s="599"/>
      <c r="H6" s="599"/>
      <c r="I6" s="973" t="s">
        <v>1899</v>
      </c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599"/>
    </row>
    <row r="7" spans="1:21">
      <c r="A7" s="599" t="str">
        <f>LOGO!B15</f>
        <v xml:space="preserve">TYPE OF FILING:  "X" ORIGINAL   UPDATED    REVISED  </v>
      </c>
      <c r="B7" s="599"/>
      <c r="C7" s="599"/>
      <c r="D7" s="599"/>
      <c r="E7" s="599"/>
      <c r="F7" s="599"/>
      <c r="G7" s="599"/>
      <c r="H7" s="599"/>
      <c r="I7" s="598" t="s">
        <v>466</v>
      </c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  <c r="U7" s="599"/>
    </row>
    <row r="8" spans="1:21">
      <c r="A8" s="598" t="s">
        <v>1900</v>
      </c>
      <c r="B8" s="599"/>
      <c r="C8" s="599"/>
      <c r="D8" s="599"/>
      <c r="E8" s="599"/>
      <c r="F8" s="599"/>
      <c r="G8" s="599"/>
      <c r="H8" s="599"/>
      <c r="I8" s="598" t="s">
        <v>468</v>
      </c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  <c r="U8" s="599"/>
    </row>
    <row r="9" spans="1:21">
      <c r="A9" s="599"/>
      <c r="B9" s="599"/>
      <c r="C9" s="599"/>
      <c r="D9" s="599"/>
      <c r="E9" s="599"/>
      <c r="F9" s="599"/>
      <c r="G9" s="599"/>
      <c r="H9" s="599"/>
      <c r="I9" s="598" t="str">
        <f>_WIT10</f>
        <v>G. S. CARPENTER</v>
      </c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  <c r="U9" s="599"/>
    </row>
    <row r="10" spans="1:21">
      <c r="A10" s="1372"/>
      <c r="B10" s="1372"/>
      <c r="C10" s="1372"/>
      <c r="D10" s="1372"/>
      <c r="E10" s="1372"/>
      <c r="F10" s="1372"/>
      <c r="G10" s="1372"/>
      <c r="H10" s="1372"/>
      <c r="I10" s="1372"/>
      <c r="J10" s="1372"/>
      <c r="K10" s="598"/>
      <c r="L10" s="599"/>
      <c r="M10" s="599"/>
      <c r="N10" s="599"/>
      <c r="O10" s="599"/>
      <c r="P10" s="599"/>
      <c r="Q10" s="599"/>
      <c r="R10" s="599"/>
      <c r="S10" s="599"/>
      <c r="T10" s="599"/>
      <c r="U10" s="599"/>
    </row>
    <row r="11" spans="1:21">
      <c r="A11" s="599"/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  <c r="U11" s="599"/>
    </row>
    <row r="12" spans="1:21">
      <c r="A12" s="598" t="s">
        <v>1857</v>
      </c>
      <c r="B12" s="599"/>
      <c r="C12" s="599"/>
      <c r="D12" s="599"/>
      <c r="E12" s="599"/>
      <c r="F12" s="599"/>
      <c r="G12" s="599"/>
      <c r="H12" s="599"/>
      <c r="I12" s="599"/>
      <c r="J12" s="974" t="s">
        <v>975</v>
      </c>
      <c r="K12" s="599"/>
      <c r="L12" s="599"/>
      <c r="M12" s="599"/>
      <c r="N12" s="599"/>
      <c r="O12" s="599"/>
      <c r="P12" s="599"/>
      <c r="Q12" s="599"/>
      <c r="R12" s="599"/>
      <c r="S12" s="599"/>
      <c r="T12" s="599"/>
      <c r="U12" s="599"/>
    </row>
    <row r="13" spans="1:21">
      <c r="A13" s="1372"/>
      <c r="B13" s="1372"/>
      <c r="C13" s="1372"/>
      <c r="D13" s="1372"/>
      <c r="E13" s="1372"/>
      <c r="F13" s="1372"/>
      <c r="G13" s="1372"/>
      <c r="H13" s="1372"/>
      <c r="I13" s="1372"/>
      <c r="J13" s="1372"/>
      <c r="K13" s="598"/>
      <c r="L13" s="599"/>
      <c r="M13" s="599"/>
      <c r="N13" s="599"/>
      <c r="O13" s="599"/>
      <c r="P13" s="599"/>
      <c r="Q13" s="599"/>
      <c r="R13" s="599"/>
      <c r="S13" s="599"/>
      <c r="T13" s="599"/>
      <c r="U13" s="599"/>
    </row>
    <row r="14" spans="1:21">
      <c r="A14" s="599"/>
      <c r="B14" s="599"/>
      <c r="C14" s="599"/>
      <c r="D14" s="599"/>
      <c r="E14" s="599"/>
      <c r="F14" s="599"/>
      <c r="G14" s="599"/>
      <c r="H14" s="599"/>
      <c r="I14" s="599"/>
      <c r="J14" s="974"/>
      <c r="K14" s="599"/>
      <c r="L14" s="599"/>
      <c r="M14" s="599"/>
      <c r="N14" s="599"/>
      <c r="O14" s="599"/>
      <c r="P14" s="599"/>
      <c r="Q14" s="599"/>
      <c r="R14" s="599"/>
      <c r="S14" s="599"/>
      <c r="T14" s="599"/>
      <c r="U14" s="599"/>
    </row>
    <row r="15" spans="1:21">
      <c r="A15" s="169" t="s">
        <v>1901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</row>
    <row r="16" spans="1:21">
      <c r="A16" s="169" t="s">
        <v>1883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</row>
    <row r="17" spans="1:21">
      <c r="A17" s="598"/>
      <c r="B17" s="599"/>
      <c r="C17" s="599"/>
      <c r="D17" s="599"/>
      <c r="E17" s="599"/>
      <c r="F17" s="599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  <c r="U17" s="599"/>
    </row>
    <row r="18" spans="1:21">
      <c r="A18" s="598"/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</row>
    <row r="19" spans="1:21">
      <c r="A19" s="598"/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</row>
    <row r="20" spans="1:21">
      <c r="A20" s="598"/>
      <c r="B20" s="599"/>
      <c r="C20" s="599"/>
      <c r="D20" s="599"/>
      <c r="E20" s="599"/>
      <c r="F20" s="599"/>
      <c r="G20" s="599"/>
      <c r="H20" s="974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  <c r="U20" s="599"/>
    </row>
    <row r="21" spans="1:21">
      <c r="A21" s="734"/>
      <c r="B21" s="599"/>
      <c r="C21" s="599"/>
      <c r="D21" s="599"/>
      <c r="E21" s="599"/>
      <c r="F21" s="599"/>
      <c r="G21" s="599"/>
      <c r="H21" s="96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  <c r="U21" s="599"/>
    </row>
    <row r="22" spans="1:21">
      <c r="A22" s="599"/>
      <c r="B22" s="599"/>
      <c r="C22" s="599"/>
      <c r="D22" s="599"/>
      <c r="E22" s="599"/>
      <c r="F22" s="599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  <c r="U22" s="599"/>
    </row>
    <row r="23" spans="1:21">
      <c r="A23" s="598" t="s">
        <v>1422</v>
      </c>
      <c r="B23" s="599"/>
      <c r="C23" s="599"/>
      <c r="D23" s="599"/>
      <c r="E23" s="599"/>
      <c r="F23" s="599"/>
      <c r="G23" s="599"/>
      <c r="H23" s="599"/>
      <c r="I23" s="704"/>
      <c r="J23" s="682">
        <f>T53</f>
        <v>669967</v>
      </c>
      <c r="K23" s="599"/>
      <c r="L23" s="599"/>
      <c r="M23" s="599"/>
      <c r="N23" s="599"/>
      <c r="O23" s="599"/>
      <c r="P23" s="599"/>
      <c r="Q23" s="599"/>
      <c r="R23" s="599"/>
      <c r="S23" s="599"/>
      <c r="T23" s="599"/>
      <c r="U23" s="599"/>
    </row>
    <row r="24" spans="1:21">
      <c r="A24" s="599"/>
      <c r="B24" s="599"/>
      <c r="C24" s="599"/>
      <c r="D24" s="599"/>
      <c r="E24" s="599"/>
      <c r="F24" s="599"/>
      <c r="G24" s="599"/>
      <c r="H24" s="599"/>
      <c r="I24" s="599"/>
      <c r="J24" s="704"/>
      <c r="K24" s="599"/>
      <c r="L24" s="599"/>
      <c r="M24" s="599"/>
      <c r="N24" s="599"/>
      <c r="O24" s="599"/>
      <c r="P24" s="599"/>
      <c r="Q24" s="599"/>
      <c r="R24" s="599"/>
      <c r="S24" s="599"/>
      <c r="T24" s="599"/>
      <c r="U24" s="599"/>
    </row>
    <row r="25" spans="1:21">
      <c r="A25" s="599"/>
      <c r="B25" s="599"/>
      <c r="C25" s="599"/>
      <c r="D25" s="599"/>
      <c r="E25" s="599"/>
      <c r="F25" s="599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  <c r="U25" s="599"/>
    </row>
    <row r="26" spans="1:21">
      <c r="A26" s="598" t="s">
        <v>1862</v>
      </c>
      <c r="B26" s="599"/>
      <c r="C26" s="599"/>
      <c r="D26" s="599"/>
      <c r="E26" s="599"/>
      <c r="F26" s="599"/>
      <c r="G26" s="599"/>
      <c r="H26" s="599"/>
      <c r="I26" s="599"/>
      <c r="J26" s="703">
        <f>VLOOKUP(D33,ALLOCTABLE,2)/100</f>
        <v>1</v>
      </c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</row>
    <row r="27" spans="1:21">
      <c r="A27" s="599"/>
      <c r="B27" s="599"/>
      <c r="C27" s="599"/>
      <c r="D27" s="599"/>
      <c r="E27" s="599"/>
      <c r="F27" s="599"/>
      <c r="G27" s="599"/>
      <c r="H27" s="599"/>
      <c r="I27" s="599"/>
      <c r="J27" s="704"/>
      <c r="K27" s="599"/>
      <c r="L27" s="599"/>
      <c r="M27" s="599"/>
      <c r="N27" s="599"/>
      <c r="O27" s="599"/>
      <c r="P27" s="599"/>
      <c r="Q27" s="599"/>
      <c r="R27" s="599"/>
      <c r="S27" s="599"/>
      <c r="T27" s="599"/>
      <c r="U27" s="599"/>
    </row>
    <row r="28" spans="1:21">
      <c r="A28" s="599"/>
      <c r="B28" s="599"/>
      <c r="C28" s="599"/>
      <c r="D28" s="599"/>
      <c r="E28" s="599"/>
      <c r="F28" s="599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</row>
    <row r="29" spans="1:21" ht="15">
      <c r="A29" s="598" t="s">
        <v>1863</v>
      </c>
      <c r="B29" s="599"/>
      <c r="C29" s="599"/>
      <c r="D29" s="599"/>
      <c r="E29" s="599"/>
      <c r="F29" s="598" t="s">
        <v>1876</v>
      </c>
      <c r="G29" s="599"/>
      <c r="H29" s="599"/>
      <c r="I29" s="704"/>
      <c r="J29" s="705">
        <f>ROUND(J23*J26,0)</f>
        <v>669967</v>
      </c>
      <c r="K29" s="599"/>
      <c r="L29" s="599"/>
      <c r="M29" s="599"/>
      <c r="N29" s="599"/>
      <c r="O29" s="599"/>
      <c r="P29" s="599"/>
      <c r="Q29" s="599"/>
      <c r="R29" s="599"/>
      <c r="S29" s="599"/>
      <c r="T29" s="599"/>
      <c r="U29" s="599"/>
    </row>
    <row r="30" spans="1:21">
      <c r="A30" s="599"/>
      <c r="B30" s="599"/>
      <c r="C30" s="599"/>
      <c r="D30" s="599"/>
      <c r="E30" s="599"/>
      <c r="F30" s="599"/>
      <c r="G30" s="599"/>
      <c r="H30" s="599"/>
      <c r="I30" s="599"/>
      <c r="J30" s="704"/>
      <c r="K30" s="599"/>
      <c r="L30" s="599"/>
      <c r="M30" s="599"/>
      <c r="N30" s="599"/>
      <c r="O30" s="599"/>
      <c r="P30" s="599"/>
      <c r="Q30" s="599"/>
      <c r="R30" s="599"/>
      <c r="S30" s="599"/>
      <c r="T30" s="599"/>
      <c r="U30" s="599"/>
    </row>
    <row r="31" spans="1:21">
      <c r="A31" s="599"/>
      <c r="B31" s="599"/>
      <c r="C31" s="599"/>
      <c r="D31" s="599"/>
      <c r="E31" s="599"/>
      <c r="F31" s="599"/>
      <c r="G31" s="599"/>
      <c r="H31" s="599"/>
      <c r="I31" s="599"/>
      <c r="J31" s="599"/>
      <c r="K31" s="599"/>
      <c r="L31" s="599"/>
      <c r="M31" s="599"/>
      <c r="N31" s="599"/>
      <c r="O31" s="599"/>
      <c r="P31" s="599"/>
      <c r="Q31" s="599"/>
      <c r="R31" s="599"/>
      <c r="S31" s="599"/>
      <c r="T31" s="599"/>
      <c r="U31" s="599"/>
    </row>
    <row r="32" spans="1:21">
      <c r="A32" s="599"/>
      <c r="B32" s="599"/>
      <c r="C32" s="599"/>
      <c r="D32" s="599"/>
      <c r="E32" s="599"/>
      <c r="F32" s="599"/>
      <c r="G32" s="599"/>
      <c r="H32" s="599"/>
      <c r="I32" s="599"/>
      <c r="J32" s="599"/>
      <c r="K32" s="599"/>
      <c r="L32" s="599"/>
      <c r="M32" s="599"/>
      <c r="N32" s="599"/>
      <c r="O32" s="599"/>
      <c r="P32" s="599"/>
      <c r="Q32" s="599"/>
      <c r="R32" s="599"/>
      <c r="S32" s="599"/>
      <c r="T32" s="599"/>
      <c r="U32" s="599"/>
    </row>
    <row r="33" spans="1:21">
      <c r="A33" s="598" t="s">
        <v>1864</v>
      </c>
      <c r="B33" s="599"/>
      <c r="C33" s="599"/>
      <c r="D33" s="966" t="s">
        <v>428</v>
      </c>
      <c r="E33" s="599"/>
      <c r="F33" s="599"/>
      <c r="G33" s="599"/>
      <c r="H33" s="599"/>
      <c r="I33" s="599"/>
      <c r="J33" s="599"/>
      <c r="K33" s="599"/>
      <c r="L33" s="599"/>
      <c r="M33" s="599"/>
      <c r="N33" s="599"/>
      <c r="O33" s="599"/>
      <c r="P33" s="599"/>
      <c r="Q33" s="599"/>
      <c r="R33" s="599"/>
      <c r="S33" s="599"/>
      <c r="T33" s="599"/>
      <c r="U33" s="599"/>
    </row>
    <row r="34" spans="1:21">
      <c r="A34" s="598"/>
      <c r="B34" s="599"/>
      <c r="C34" s="599"/>
      <c r="D34" s="599"/>
      <c r="E34" s="599"/>
      <c r="F34" s="599"/>
      <c r="G34" s="599"/>
      <c r="H34" s="599"/>
      <c r="I34" s="599"/>
      <c r="J34" s="599"/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</row>
    <row r="35" spans="1:21">
      <c r="A35" s="599"/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599"/>
      <c r="O35" s="599"/>
      <c r="P35" s="599"/>
      <c r="Q35" s="599"/>
      <c r="R35" s="599"/>
      <c r="S35" s="599"/>
      <c r="T35" s="599"/>
      <c r="U35" s="599"/>
    </row>
    <row r="36" spans="1:21">
      <c r="A36" s="599"/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599"/>
      <c r="O36" s="599"/>
      <c r="P36" s="599"/>
      <c r="Q36" s="599"/>
      <c r="R36" s="599"/>
      <c r="S36" s="599"/>
      <c r="T36" s="599"/>
      <c r="U36" s="599"/>
    </row>
    <row r="37" spans="1:21">
      <c r="A37" s="599"/>
      <c r="B37" s="599"/>
      <c r="C37" s="599"/>
      <c r="D37" s="599"/>
      <c r="E37" s="599"/>
      <c r="F37" s="599"/>
      <c r="G37" s="599"/>
      <c r="H37" s="599"/>
      <c r="I37" s="599"/>
      <c r="J37" s="599"/>
      <c r="K37" s="599"/>
      <c r="L37" s="599"/>
      <c r="M37" s="599"/>
      <c r="N37" s="599"/>
      <c r="O37" s="599"/>
      <c r="P37" s="599"/>
      <c r="Q37" s="599"/>
      <c r="R37" s="599"/>
      <c r="S37" s="599"/>
      <c r="T37" s="599"/>
      <c r="U37" s="599"/>
    </row>
    <row r="38" spans="1:21">
      <c r="A38" s="599"/>
      <c r="B38" s="599"/>
      <c r="C38" s="599"/>
      <c r="D38" s="599"/>
      <c r="E38" s="599"/>
      <c r="F38" s="599"/>
      <c r="G38" s="599"/>
      <c r="H38" s="599"/>
      <c r="I38" s="599"/>
      <c r="J38" s="59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</row>
    <row r="39" spans="1:21">
      <c r="A39" s="599"/>
      <c r="B39" s="599"/>
      <c r="C39" s="599"/>
      <c r="D39" s="599"/>
      <c r="E39" s="599"/>
      <c r="F39" s="599"/>
      <c r="G39" s="599"/>
      <c r="H39" s="599"/>
      <c r="I39" s="599"/>
      <c r="J39" s="599"/>
      <c r="K39" s="599"/>
      <c r="L39" s="599"/>
      <c r="M39" s="599"/>
      <c r="N39" s="599"/>
      <c r="O39" s="599"/>
      <c r="P39" s="599"/>
      <c r="Q39" s="599"/>
      <c r="R39" s="599"/>
      <c r="S39" s="599"/>
      <c r="T39" s="599"/>
      <c r="U39" s="599"/>
    </row>
    <row r="40" spans="1:21">
      <c r="A40" s="599"/>
      <c r="B40" s="599"/>
      <c r="C40" s="599"/>
      <c r="D40" s="599"/>
      <c r="E40" s="599"/>
      <c r="F40" s="599"/>
      <c r="G40" s="599"/>
      <c r="H40" s="599"/>
      <c r="I40" s="599"/>
      <c r="J40" s="599"/>
      <c r="K40" s="599"/>
      <c r="L40" s="599"/>
      <c r="M40" s="599"/>
      <c r="N40" s="599"/>
      <c r="O40" s="599"/>
      <c r="P40" s="599"/>
      <c r="Q40" s="599"/>
      <c r="R40" s="599"/>
      <c r="S40" s="599"/>
      <c r="T40" s="599"/>
      <c r="U40" s="599"/>
    </row>
    <row r="41" spans="1:21">
      <c r="A41" s="599"/>
      <c r="B41" s="599"/>
      <c r="C41" s="599"/>
      <c r="D41" s="599"/>
      <c r="E41" s="599"/>
      <c r="F41" s="599"/>
      <c r="G41" s="599"/>
      <c r="H41" s="599"/>
      <c r="I41" s="599"/>
      <c r="J41" s="599"/>
      <c r="K41" s="599"/>
      <c r="L41" s="599"/>
      <c r="M41" s="599"/>
      <c r="N41" s="599"/>
      <c r="O41" s="599"/>
      <c r="P41" s="599"/>
      <c r="Q41" s="599"/>
      <c r="R41" s="599"/>
      <c r="S41" s="599"/>
      <c r="T41" s="599"/>
      <c r="U41" s="599"/>
    </row>
    <row r="42" spans="1:21">
      <c r="A42" s="599"/>
      <c r="B42" s="599"/>
      <c r="C42" s="599"/>
      <c r="D42" s="599"/>
      <c r="E42" s="599"/>
      <c r="F42" s="599"/>
      <c r="G42" s="599"/>
      <c r="H42" s="599"/>
      <c r="I42" s="599"/>
      <c r="J42" s="599"/>
      <c r="K42" s="599"/>
      <c r="L42" s="599"/>
      <c r="M42" s="599"/>
      <c r="N42" s="599"/>
      <c r="O42" s="599"/>
      <c r="P42" s="599"/>
      <c r="Q42" s="599"/>
      <c r="R42" s="599"/>
      <c r="S42" s="599"/>
      <c r="T42" s="599"/>
      <c r="U42" s="599"/>
    </row>
    <row r="43" spans="1:21">
      <c r="A43" s="599"/>
      <c r="B43" s="599"/>
      <c r="C43" s="599"/>
      <c r="D43" s="599"/>
      <c r="E43" s="599"/>
      <c r="F43" s="599"/>
      <c r="G43" s="599"/>
      <c r="H43" s="599"/>
      <c r="I43" s="599"/>
      <c r="J43" s="599"/>
      <c r="K43" s="599"/>
      <c r="L43" s="779" t="str">
        <f>COMPANY</f>
        <v>DUKE ENERGY KENTUCKY, INC.</v>
      </c>
      <c r="M43" s="253"/>
      <c r="N43" s="253"/>
      <c r="O43" s="253"/>
      <c r="P43" s="253"/>
      <c r="Q43" s="253"/>
      <c r="S43" s="779" t="s">
        <v>1902</v>
      </c>
      <c r="T43" s="597"/>
      <c r="U43" s="599"/>
    </row>
    <row r="44" spans="1:21">
      <c r="A44" s="599"/>
      <c r="B44" s="599"/>
      <c r="C44" s="599"/>
      <c r="D44" s="599"/>
      <c r="E44" s="599"/>
      <c r="F44" s="599"/>
      <c r="G44" s="599"/>
      <c r="H44" s="599"/>
      <c r="I44" s="599"/>
      <c r="J44" s="599"/>
      <c r="K44" s="599"/>
      <c r="L44" s="779" t="str">
        <f>DEPT</f>
        <v>ELECTRIC DEPARTMENT</v>
      </c>
      <c r="M44" s="253"/>
      <c r="N44" s="253"/>
      <c r="O44" s="253"/>
      <c r="P44" s="253"/>
      <c r="Q44" s="253"/>
      <c r="S44" s="779" t="s">
        <v>1866</v>
      </c>
      <c r="T44" s="597"/>
      <c r="U44" s="599"/>
    </row>
    <row r="45" spans="1:21">
      <c r="A45" s="599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779" t="str">
        <f>CASE</f>
        <v>CASE NO. 2024-00354</v>
      </c>
      <c r="M45" s="253"/>
      <c r="N45" s="253"/>
      <c r="O45" s="253"/>
      <c r="P45" s="253"/>
      <c r="Q45" s="253"/>
      <c r="S45" s="253" t="str">
        <f>_WIT10</f>
        <v>G. S. CARPENTER</v>
      </c>
      <c r="T45" s="597"/>
      <c r="U45" s="599"/>
    </row>
    <row r="46" spans="1:21">
      <c r="A46" s="599"/>
      <c r="B46" s="599"/>
      <c r="C46" s="599"/>
      <c r="D46" s="599"/>
      <c r="E46" s="599"/>
      <c r="F46" s="599"/>
      <c r="G46" s="599"/>
      <c r="H46" s="599"/>
      <c r="I46" s="599"/>
      <c r="J46" s="599"/>
      <c r="K46" s="599"/>
      <c r="L46" s="779" t="s">
        <v>1903</v>
      </c>
      <c r="M46" s="253"/>
      <c r="N46" s="253"/>
      <c r="O46" s="253"/>
      <c r="P46" s="253"/>
      <c r="Q46" s="253"/>
      <c r="R46" s="961"/>
      <c r="S46" s="253"/>
      <c r="T46" s="597"/>
      <c r="U46" s="599"/>
    </row>
    <row r="47" spans="1:21">
      <c r="A47" s="599"/>
      <c r="B47" s="599"/>
      <c r="C47" s="599"/>
      <c r="D47" s="599"/>
      <c r="E47" s="599"/>
      <c r="F47" s="599"/>
      <c r="G47" s="599"/>
      <c r="H47" s="599"/>
      <c r="I47" s="599"/>
      <c r="J47" s="599"/>
      <c r="K47" s="599"/>
      <c r="L47" s="779"/>
      <c r="M47" s="253"/>
      <c r="N47" s="253"/>
      <c r="O47" s="253"/>
      <c r="P47" s="253"/>
      <c r="Q47" s="253"/>
      <c r="R47" s="253"/>
      <c r="S47" s="253"/>
      <c r="T47" s="597"/>
      <c r="U47" s="599"/>
    </row>
    <row r="48" spans="1:21">
      <c r="A48" s="599"/>
      <c r="B48" s="599"/>
      <c r="C48" s="599"/>
      <c r="D48" s="599"/>
      <c r="E48" s="599"/>
      <c r="F48" s="599"/>
      <c r="G48" s="599"/>
      <c r="H48" s="599"/>
      <c r="I48" s="599"/>
      <c r="J48" s="599"/>
      <c r="K48" s="599"/>
      <c r="L48" s="597"/>
      <c r="M48" s="597"/>
      <c r="N48" s="597"/>
      <c r="O48" s="597"/>
      <c r="P48" s="597"/>
      <c r="Q48" s="597"/>
      <c r="R48" s="597"/>
      <c r="S48" s="597"/>
      <c r="T48" s="597"/>
      <c r="U48" s="599"/>
    </row>
    <row r="49" spans="1:21">
      <c r="A49" s="599"/>
      <c r="B49" s="599"/>
      <c r="C49" s="599"/>
      <c r="D49" s="599"/>
      <c r="E49" s="599"/>
      <c r="F49" s="599"/>
      <c r="G49" s="599"/>
      <c r="H49" s="599"/>
      <c r="I49" s="599"/>
      <c r="J49" s="599"/>
      <c r="K49" s="599"/>
      <c r="L49" s="597"/>
      <c r="M49" s="597"/>
      <c r="N49" s="597"/>
      <c r="O49" s="597"/>
      <c r="P49" s="597"/>
      <c r="Q49" s="597"/>
      <c r="R49" s="597"/>
      <c r="S49" s="597"/>
      <c r="T49" s="597"/>
      <c r="U49" s="599"/>
    </row>
    <row r="50" spans="1:21">
      <c r="A50" s="599"/>
      <c r="B50" s="599"/>
      <c r="C50" s="599"/>
      <c r="D50" s="599"/>
      <c r="E50" s="599"/>
      <c r="F50" s="599"/>
      <c r="G50" s="599"/>
      <c r="H50" s="599"/>
      <c r="I50" s="599"/>
      <c r="J50" s="599"/>
      <c r="K50" s="599"/>
      <c r="L50" s="701" t="s">
        <v>573</v>
      </c>
      <c r="M50" s="701"/>
      <c r="N50" s="701"/>
      <c r="O50" s="701"/>
      <c r="P50" s="701" t="s">
        <v>13</v>
      </c>
      <c r="Q50" s="701"/>
      <c r="R50" s="701" t="s">
        <v>417</v>
      </c>
      <c r="S50" s="701"/>
      <c r="T50" s="701"/>
      <c r="U50" s="599"/>
    </row>
    <row r="51" spans="1:21">
      <c r="A51" s="599"/>
      <c r="B51" s="599"/>
      <c r="C51" s="599"/>
      <c r="D51" s="599"/>
      <c r="E51" s="599"/>
      <c r="F51" s="599"/>
      <c r="G51" s="599"/>
      <c r="H51" s="599"/>
      <c r="I51" s="599"/>
      <c r="J51" s="599"/>
      <c r="K51" s="599"/>
      <c r="L51" s="702" t="s">
        <v>576</v>
      </c>
      <c r="M51" s="702"/>
      <c r="N51" s="702" t="s">
        <v>2</v>
      </c>
      <c r="O51" s="702"/>
      <c r="P51" s="702" t="s">
        <v>418</v>
      </c>
      <c r="Q51" s="702"/>
      <c r="R51" s="702" t="s">
        <v>418</v>
      </c>
      <c r="S51" s="702"/>
      <c r="T51" s="702" t="s">
        <v>698</v>
      </c>
      <c r="U51" s="599"/>
    </row>
    <row r="52" spans="1:21">
      <c r="A52" s="599"/>
      <c r="B52" s="599"/>
      <c r="C52" s="599"/>
      <c r="D52" s="599"/>
      <c r="E52" s="599"/>
      <c r="F52" s="599"/>
      <c r="G52" s="599"/>
      <c r="H52" s="599"/>
      <c r="I52" s="599"/>
      <c r="J52" s="599"/>
      <c r="K52" s="599"/>
      <c r="L52" s="597"/>
      <c r="M52" s="597"/>
      <c r="N52" s="597"/>
      <c r="O52" s="597"/>
      <c r="P52" s="597"/>
      <c r="Q52" s="597"/>
      <c r="R52" s="597"/>
      <c r="S52" s="597"/>
      <c r="T52" s="597"/>
      <c r="U52" s="599"/>
    </row>
    <row r="53" spans="1:21" ht="13.8" thickBot="1">
      <c r="A53" s="599"/>
      <c r="B53" s="599"/>
      <c r="C53" s="599"/>
      <c r="D53" s="599"/>
      <c r="E53" s="599"/>
      <c r="F53" s="599"/>
      <c r="G53" s="599"/>
      <c r="H53" s="599"/>
      <c r="I53" s="599"/>
      <c r="J53" s="599"/>
      <c r="K53" s="599"/>
      <c r="L53" s="701">
        <v>1</v>
      </c>
      <c r="M53" s="597"/>
      <c r="N53" s="598" t="s">
        <v>1422</v>
      </c>
      <c r="O53" s="597"/>
      <c r="P53" s="1954">
        <f>SCH_C2!E30</f>
        <v>2770253</v>
      </c>
      <c r="Q53" s="597"/>
      <c r="R53" s="1954">
        <f>SCH_C2!H30</f>
        <v>3440220</v>
      </c>
      <c r="S53" s="597"/>
      <c r="T53" s="1954">
        <f>R53-P53</f>
        <v>669967</v>
      </c>
      <c r="U53" s="599"/>
    </row>
    <row r="54" spans="1:21" ht="13.8" thickTop="1">
      <c r="A54" s="599"/>
      <c r="B54" s="599"/>
      <c r="C54" s="599"/>
      <c r="D54" s="599"/>
      <c r="E54" s="599"/>
      <c r="F54" s="599"/>
      <c r="G54" s="599"/>
      <c r="H54" s="599"/>
      <c r="I54" s="599"/>
      <c r="J54" s="599"/>
      <c r="K54" s="599"/>
      <c r="L54" s="701"/>
      <c r="M54" s="597"/>
      <c r="N54" s="597"/>
      <c r="O54" s="597"/>
      <c r="P54" s="597"/>
      <c r="Q54" s="597"/>
      <c r="R54" s="597"/>
      <c r="S54" s="597"/>
      <c r="T54" s="597"/>
      <c r="U54" s="599"/>
    </row>
    <row r="55" spans="1:21">
      <c r="A55" s="599"/>
      <c r="B55" s="599"/>
      <c r="C55" s="599"/>
      <c r="D55" s="599"/>
      <c r="E55" s="599"/>
      <c r="F55" s="599"/>
      <c r="G55" s="599"/>
      <c r="H55" s="599"/>
      <c r="I55" s="599"/>
      <c r="J55" s="599"/>
      <c r="K55" s="599"/>
      <c r="L55" s="597"/>
      <c r="M55" s="597"/>
      <c r="N55" s="597"/>
      <c r="O55" s="597"/>
      <c r="P55" s="597"/>
      <c r="Q55" s="597"/>
      <c r="R55" s="597"/>
      <c r="S55" s="597"/>
      <c r="T55" s="597"/>
      <c r="U55" s="599"/>
    </row>
    <row r="56" spans="1:21">
      <c r="A56" s="599"/>
      <c r="B56" s="599"/>
      <c r="C56" s="599"/>
      <c r="D56" s="599"/>
      <c r="E56" s="599"/>
      <c r="F56" s="599"/>
      <c r="G56" s="599"/>
      <c r="H56" s="599"/>
      <c r="I56" s="599"/>
      <c r="J56" s="599"/>
      <c r="K56" s="599"/>
      <c r="L56" s="597"/>
      <c r="M56" s="597"/>
      <c r="N56" s="597"/>
      <c r="O56" s="597"/>
      <c r="P56" s="597"/>
      <c r="Q56" s="597"/>
      <c r="R56" s="597"/>
      <c r="S56" s="597"/>
      <c r="T56" s="597"/>
      <c r="U56" s="599"/>
    </row>
    <row r="57" spans="1:21">
      <c r="A57" s="599"/>
      <c r="B57" s="599"/>
      <c r="C57" s="599"/>
      <c r="D57" s="599"/>
      <c r="E57" s="599"/>
      <c r="F57" s="599"/>
      <c r="G57" s="599"/>
      <c r="H57" s="599"/>
      <c r="I57" s="599"/>
      <c r="J57" s="599"/>
      <c r="K57" s="599"/>
      <c r="L57" s="597"/>
      <c r="M57" s="597"/>
      <c r="N57" s="597"/>
      <c r="O57" s="597"/>
      <c r="P57" s="597"/>
      <c r="Q57" s="597"/>
      <c r="R57" s="597"/>
      <c r="S57" s="597"/>
      <c r="T57" s="701" t="s">
        <v>1869</v>
      </c>
      <c r="U57" s="599"/>
    </row>
    <row r="58" spans="1:21">
      <c r="A58" s="599"/>
      <c r="B58" s="599"/>
      <c r="C58" s="599"/>
      <c r="D58" s="599"/>
      <c r="E58" s="599"/>
      <c r="F58" s="599"/>
      <c r="G58" s="599"/>
      <c r="H58" s="599"/>
      <c r="I58" s="599"/>
      <c r="J58" s="599"/>
      <c r="K58" s="599"/>
      <c r="L58" s="599"/>
      <c r="M58" s="599"/>
      <c r="N58" s="599"/>
      <c r="O58" s="599"/>
      <c r="P58" s="599"/>
      <c r="Q58" s="599"/>
      <c r="R58" s="599"/>
      <c r="S58" s="599"/>
      <c r="T58" s="599"/>
      <c r="U58" s="599"/>
    </row>
    <row r="59" spans="1:21">
      <c r="A59" s="599"/>
      <c r="B59" s="599"/>
      <c r="C59" s="599"/>
      <c r="D59" s="599"/>
      <c r="E59" s="599"/>
      <c r="F59" s="599"/>
      <c r="G59" s="599"/>
      <c r="H59" s="599"/>
      <c r="I59" s="599"/>
      <c r="J59" s="599"/>
      <c r="K59" s="599"/>
      <c r="L59" s="599"/>
      <c r="M59" s="599"/>
      <c r="N59" s="599"/>
      <c r="O59" s="599"/>
      <c r="P59" s="599"/>
      <c r="Q59" s="599"/>
      <c r="R59" s="599"/>
      <c r="S59" s="599"/>
      <c r="T59" s="599"/>
      <c r="U59" s="599"/>
    </row>
    <row r="60" spans="1:21">
      <c r="A60" s="599"/>
      <c r="B60" s="599"/>
      <c r="C60" s="599"/>
      <c r="D60" s="599"/>
      <c r="E60" s="599"/>
      <c r="F60" s="599"/>
      <c r="G60" s="599"/>
      <c r="H60" s="599"/>
      <c r="I60" s="599"/>
      <c r="J60" s="599"/>
      <c r="K60" s="599"/>
      <c r="L60" s="599"/>
      <c r="M60" s="599"/>
      <c r="N60" s="599"/>
      <c r="O60" s="599"/>
      <c r="P60" s="599"/>
      <c r="Q60" s="599"/>
      <c r="R60" s="1051"/>
      <c r="S60" s="599"/>
      <c r="T60" s="599"/>
      <c r="U60" s="599"/>
    </row>
    <row r="61" spans="1:21">
      <c r="A61" s="599"/>
      <c r="B61" s="599"/>
      <c r="C61" s="599"/>
      <c r="D61" s="599"/>
      <c r="E61" s="599"/>
      <c r="F61" s="599"/>
      <c r="G61" s="599"/>
      <c r="H61" s="599"/>
      <c r="I61" s="599"/>
      <c r="J61" s="599"/>
      <c r="K61" s="599"/>
      <c r="L61" s="599"/>
      <c r="M61" s="599"/>
      <c r="N61" s="599"/>
      <c r="O61" s="599"/>
      <c r="P61" s="599"/>
      <c r="Q61" s="599"/>
      <c r="R61" s="599"/>
      <c r="S61" s="599"/>
      <c r="T61" s="599"/>
      <c r="U61" s="599"/>
    </row>
    <row r="62" spans="1:21">
      <c r="A62" s="599"/>
      <c r="B62" s="599"/>
      <c r="C62" s="599"/>
      <c r="D62" s="599"/>
      <c r="E62" s="599"/>
      <c r="F62" s="599"/>
      <c r="G62" s="599"/>
      <c r="H62" s="599"/>
      <c r="I62" s="599"/>
      <c r="J62" s="599"/>
      <c r="K62" s="599"/>
      <c r="L62" s="599"/>
      <c r="M62" s="599"/>
      <c r="N62" s="599"/>
      <c r="O62" s="599"/>
      <c r="P62" s="599"/>
      <c r="Q62" s="599"/>
      <c r="R62" s="599"/>
      <c r="S62" s="599"/>
      <c r="T62" s="599"/>
      <c r="U62" s="599"/>
    </row>
    <row r="63" spans="1:21">
      <c r="A63" s="599"/>
      <c r="B63" s="599"/>
      <c r="C63" s="599"/>
      <c r="D63" s="599"/>
      <c r="E63" s="599"/>
      <c r="F63" s="599"/>
      <c r="G63" s="599"/>
      <c r="H63" s="599"/>
      <c r="I63" s="599"/>
      <c r="J63" s="599"/>
      <c r="K63" s="599"/>
      <c r="L63" s="599"/>
      <c r="M63" s="599"/>
      <c r="N63" s="599"/>
      <c r="O63" s="599"/>
      <c r="P63" s="599"/>
      <c r="Q63" s="599"/>
      <c r="R63" s="599"/>
      <c r="S63" s="599"/>
      <c r="T63" s="599"/>
      <c r="U63" s="599"/>
    </row>
    <row r="64" spans="1:21">
      <c r="A64" s="599"/>
      <c r="B64" s="599"/>
      <c r="C64" s="599"/>
      <c r="D64" s="599"/>
      <c r="E64" s="599"/>
      <c r="F64" s="599"/>
      <c r="G64" s="599"/>
      <c r="H64" s="599"/>
      <c r="I64" s="599"/>
      <c r="J64" s="599"/>
      <c r="K64" s="599"/>
      <c r="L64" s="599"/>
      <c r="M64" s="599"/>
      <c r="N64" s="599"/>
      <c r="O64" s="599"/>
      <c r="P64" s="599"/>
      <c r="Q64" s="599"/>
      <c r="R64" s="599"/>
      <c r="S64" s="599"/>
      <c r="T64" s="599"/>
      <c r="U64" s="599"/>
    </row>
    <row r="65" spans="1:21">
      <c r="A65" s="599"/>
      <c r="B65" s="599"/>
      <c r="C65" s="599"/>
      <c r="D65" s="599"/>
      <c r="E65" s="599"/>
      <c r="F65" s="599"/>
      <c r="G65" s="599"/>
      <c r="H65" s="599"/>
      <c r="I65" s="599"/>
      <c r="J65" s="599"/>
      <c r="K65" s="599"/>
      <c r="L65" s="599"/>
      <c r="M65" s="599"/>
      <c r="N65" s="599"/>
      <c r="O65" s="599"/>
      <c r="P65" s="599"/>
      <c r="Q65" s="599"/>
      <c r="R65" s="599"/>
      <c r="S65" s="599"/>
      <c r="T65" s="599"/>
      <c r="U65" s="599"/>
    </row>
    <row r="66" spans="1:21">
      <c r="A66" s="599"/>
      <c r="B66" s="599"/>
      <c r="C66" s="599"/>
      <c r="D66" s="599"/>
      <c r="E66" s="599"/>
      <c r="F66" s="599"/>
      <c r="G66" s="599"/>
      <c r="H66" s="599"/>
      <c r="I66" s="599"/>
      <c r="J66" s="599"/>
      <c r="K66" s="599"/>
      <c r="L66" s="599"/>
      <c r="M66" s="599"/>
      <c r="N66" s="599"/>
      <c r="O66" s="599"/>
      <c r="P66" s="599"/>
      <c r="Q66" s="599"/>
      <c r="R66" s="599"/>
      <c r="S66" s="599"/>
      <c r="T66" s="599"/>
      <c r="U66" s="599"/>
    </row>
    <row r="67" spans="1:21">
      <c r="A67" s="599"/>
      <c r="B67" s="599"/>
      <c r="C67" s="599"/>
      <c r="D67" s="599"/>
      <c r="E67" s="599"/>
      <c r="F67" s="599"/>
      <c r="G67" s="599"/>
      <c r="H67" s="599"/>
      <c r="I67" s="599"/>
      <c r="J67" s="599"/>
      <c r="K67" s="599"/>
      <c r="L67" s="599"/>
      <c r="M67" s="599"/>
      <c r="N67" s="599"/>
      <c r="O67" s="599"/>
      <c r="P67" s="599"/>
      <c r="Q67" s="599"/>
      <c r="R67" s="599"/>
      <c r="S67" s="599"/>
      <c r="T67" s="599"/>
      <c r="U67" s="599"/>
    </row>
    <row r="68" spans="1:21">
      <c r="A68" s="599"/>
      <c r="B68" s="599"/>
      <c r="C68" s="599"/>
      <c r="D68" s="599"/>
      <c r="E68" s="599"/>
      <c r="F68" s="599"/>
      <c r="G68" s="599"/>
      <c r="H68" s="599"/>
      <c r="I68" s="599"/>
      <c r="J68" s="599"/>
      <c r="K68" s="599"/>
      <c r="L68" s="599"/>
      <c r="M68" s="599"/>
      <c r="N68" s="599"/>
      <c r="O68" s="599"/>
      <c r="P68" s="599"/>
      <c r="Q68" s="599"/>
      <c r="R68" s="599"/>
      <c r="S68" s="599"/>
      <c r="T68" s="599"/>
      <c r="U68" s="599"/>
    </row>
    <row r="69" spans="1:21">
      <c r="A69" s="599"/>
      <c r="B69" s="599"/>
      <c r="C69" s="599"/>
      <c r="D69" s="599"/>
      <c r="E69" s="599"/>
      <c r="F69" s="599"/>
      <c r="G69" s="599"/>
      <c r="H69" s="599"/>
      <c r="I69" s="599"/>
      <c r="J69" s="599"/>
      <c r="K69" s="599"/>
      <c r="L69" s="599"/>
      <c r="M69" s="599"/>
      <c r="N69" s="599"/>
      <c r="O69" s="599"/>
      <c r="P69" s="599"/>
      <c r="Q69" s="599"/>
      <c r="R69" s="599"/>
      <c r="S69" s="599"/>
      <c r="T69" s="599"/>
      <c r="U69" s="599"/>
    </row>
  </sheetData>
  <pageMargins left="1" right="0.75" top="1" bottom="0.75" header="0.3" footer="0.3"/>
  <pageSetup scale="8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7">
    <tabColor theme="7" tint="-0.249977111117893"/>
    <pageSetUpPr fitToPage="1"/>
  </sheetPr>
  <dimension ref="A1:U69"/>
  <sheetViews>
    <sheetView workbookViewId="0"/>
  </sheetViews>
  <sheetFormatPr defaultColWidth="8" defaultRowHeight="13.2"/>
  <cols>
    <col min="1" max="1" width="8" customWidth="1"/>
    <col min="2" max="2" width="20.44140625" customWidth="1"/>
    <col min="3" max="3" width="8" customWidth="1"/>
    <col min="4" max="4" width="10.44140625" customWidth="1"/>
    <col min="5" max="7" width="8" customWidth="1"/>
    <col min="8" max="8" width="12.44140625" customWidth="1"/>
    <col min="9" max="9" width="10" customWidth="1"/>
    <col min="10" max="10" width="18.44140625" customWidth="1"/>
    <col min="11" max="11" width="8" customWidth="1"/>
    <col min="12" max="12" width="6.5546875" customWidth="1"/>
    <col min="13" max="13" width="2.44140625" customWidth="1"/>
    <col min="14" max="14" width="24.5546875" customWidth="1"/>
    <col min="15" max="15" width="3.5546875" customWidth="1"/>
    <col min="16" max="16" width="16" customWidth="1"/>
    <col min="17" max="17" width="1.5546875" customWidth="1"/>
    <col min="18" max="18" width="18.44140625" customWidth="1"/>
    <col min="19" max="19" width="2.44140625" customWidth="1"/>
    <col min="20" max="20" width="20.5546875" customWidth="1"/>
  </cols>
  <sheetData>
    <row r="1" spans="1:21">
      <c r="A1" s="951" t="str">
        <f>LOGO!B5</f>
        <v>DUKE ENERGY KENTUCKY, INC.</v>
      </c>
      <c r="B1" s="951"/>
      <c r="C1" s="951"/>
      <c r="D1" s="951"/>
      <c r="E1" s="951"/>
      <c r="F1" s="951"/>
      <c r="G1" s="951"/>
      <c r="H1" s="951"/>
      <c r="I1" s="951"/>
      <c r="J1" s="951"/>
      <c r="K1" s="599"/>
      <c r="L1" s="599"/>
      <c r="M1" s="599"/>
      <c r="N1" s="599"/>
      <c r="O1" s="599"/>
      <c r="P1" s="599"/>
      <c r="Q1" s="599"/>
      <c r="R1" s="599"/>
      <c r="S1" s="599"/>
      <c r="T1" s="599"/>
      <c r="U1" s="599"/>
    </row>
    <row r="2" spans="1:21">
      <c r="A2" s="951" t="str">
        <f>LOGO!B6</f>
        <v>CASE NO. 2024-00354</v>
      </c>
      <c r="B2" s="951"/>
      <c r="C2" s="951"/>
      <c r="D2" s="951"/>
      <c r="E2" s="951"/>
      <c r="F2" s="951"/>
      <c r="G2" s="951"/>
      <c r="H2" s="951"/>
      <c r="I2" s="951"/>
      <c r="J2" s="951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</row>
    <row r="3" spans="1:21">
      <c r="A3" s="968" t="s">
        <v>1904</v>
      </c>
      <c r="B3" s="951"/>
      <c r="C3" s="951"/>
      <c r="D3" s="951"/>
      <c r="E3" s="951"/>
      <c r="F3" s="951"/>
      <c r="G3" s="951"/>
      <c r="H3" s="951"/>
      <c r="I3" s="951"/>
      <c r="J3" s="951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</row>
    <row r="4" spans="1:21">
      <c r="A4" s="951" t="str">
        <f>LOGO!B8</f>
        <v>FOR THE TWELVE MONTHS ENDED JUNE 30, 2026</v>
      </c>
      <c r="B4" s="951"/>
      <c r="C4" s="951"/>
      <c r="D4" s="951"/>
      <c r="E4" s="951"/>
      <c r="F4" s="951"/>
      <c r="G4" s="951"/>
      <c r="H4" s="951"/>
      <c r="I4" s="951"/>
      <c r="J4" s="951"/>
      <c r="K4" s="599"/>
      <c r="L4" s="599"/>
      <c r="M4" s="599"/>
      <c r="N4" s="599"/>
      <c r="O4" s="599"/>
      <c r="P4" s="599"/>
      <c r="Q4" s="599"/>
      <c r="R4" s="599"/>
      <c r="S4" s="599"/>
      <c r="T4" s="599"/>
      <c r="U4" s="599"/>
    </row>
    <row r="5" spans="1:21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</row>
    <row r="6" spans="1:21">
      <c r="A6" s="599" t="str">
        <f>DataB</f>
        <v>DATA: "X" BASE PERIOD  "X" FORECASTED PERIOD</v>
      </c>
      <c r="B6" s="599"/>
      <c r="C6" s="599"/>
      <c r="D6" s="599"/>
      <c r="E6" s="599"/>
      <c r="F6" s="599"/>
      <c r="G6" s="599"/>
      <c r="H6" s="599"/>
      <c r="I6" s="973" t="s">
        <v>1905</v>
      </c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599"/>
    </row>
    <row r="7" spans="1:21">
      <c r="A7" s="599" t="str">
        <f>LOGO!B15</f>
        <v xml:space="preserve">TYPE OF FILING:  "X" ORIGINAL   UPDATED    REVISED  </v>
      </c>
      <c r="B7" s="599"/>
      <c r="C7" s="599"/>
      <c r="D7" s="599"/>
      <c r="E7" s="599"/>
      <c r="F7" s="599"/>
      <c r="G7" s="599"/>
      <c r="H7" s="599"/>
      <c r="I7" s="598" t="s">
        <v>466</v>
      </c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  <c r="U7" s="599"/>
    </row>
    <row r="8" spans="1:21">
      <c r="A8" s="598" t="s">
        <v>1906</v>
      </c>
      <c r="B8" s="599"/>
      <c r="C8" s="599"/>
      <c r="D8" s="599"/>
      <c r="E8" s="599"/>
      <c r="F8" s="599"/>
      <c r="G8" s="599"/>
      <c r="H8" s="599"/>
      <c r="I8" s="598" t="s">
        <v>468</v>
      </c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  <c r="U8" s="599"/>
    </row>
    <row r="9" spans="1:21">
      <c r="A9" s="599"/>
      <c r="B9" s="599"/>
      <c r="C9" s="599"/>
      <c r="D9" s="599"/>
      <c r="E9" s="599"/>
      <c r="F9" s="599"/>
      <c r="G9" s="599"/>
      <c r="H9" s="599"/>
      <c r="I9" s="598" t="str">
        <f>_WIT10</f>
        <v>G. S. CARPENTER</v>
      </c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  <c r="U9" s="599"/>
    </row>
    <row r="10" spans="1:21">
      <c r="A10" s="1372"/>
      <c r="B10" s="1372"/>
      <c r="C10" s="1372"/>
      <c r="D10" s="1372"/>
      <c r="E10" s="1372"/>
      <c r="F10" s="1372"/>
      <c r="G10" s="1372"/>
      <c r="H10" s="1372"/>
      <c r="I10" s="1372"/>
      <c r="J10" s="1372"/>
      <c r="K10" s="598"/>
      <c r="L10" s="599"/>
      <c r="M10" s="599"/>
      <c r="N10" s="599"/>
      <c r="O10" s="599"/>
      <c r="P10" s="599"/>
      <c r="Q10" s="599"/>
      <c r="R10" s="599"/>
      <c r="S10" s="599"/>
      <c r="T10" s="599"/>
      <c r="U10" s="599"/>
    </row>
    <row r="11" spans="1:21">
      <c r="A11" s="599"/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  <c r="U11" s="599"/>
    </row>
    <row r="12" spans="1:21">
      <c r="A12" s="598" t="s">
        <v>1857</v>
      </c>
      <c r="B12" s="599"/>
      <c r="C12" s="599"/>
      <c r="D12" s="599"/>
      <c r="E12" s="599"/>
      <c r="F12" s="599"/>
      <c r="G12" s="599"/>
      <c r="H12" s="599"/>
      <c r="I12" s="599"/>
      <c r="J12" s="974" t="s">
        <v>975</v>
      </c>
      <c r="K12" s="599"/>
      <c r="L12" s="599"/>
      <c r="M12" s="599"/>
      <c r="N12" s="599"/>
      <c r="O12" s="599"/>
      <c r="P12" s="599"/>
      <c r="Q12" s="599"/>
      <c r="R12" s="599"/>
      <c r="S12" s="599"/>
      <c r="T12" s="599"/>
      <c r="U12" s="599"/>
    </row>
    <row r="13" spans="1:21">
      <c r="A13" s="1372"/>
      <c r="B13" s="1372"/>
      <c r="C13" s="1372"/>
      <c r="D13" s="1372"/>
      <c r="E13" s="1372"/>
      <c r="F13" s="1372"/>
      <c r="G13" s="1372"/>
      <c r="H13" s="1372"/>
      <c r="I13" s="1372"/>
      <c r="J13" s="1372"/>
      <c r="K13" s="598"/>
      <c r="L13" s="599"/>
      <c r="M13" s="599"/>
      <c r="N13" s="599"/>
      <c r="O13" s="599"/>
      <c r="P13" s="599"/>
      <c r="Q13" s="599"/>
      <c r="R13" s="599"/>
      <c r="S13" s="599"/>
      <c r="T13" s="599"/>
      <c r="U13" s="599"/>
    </row>
    <row r="14" spans="1:21">
      <c r="A14" s="599"/>
      <c r="B14" s="599"/>
      <c r="C14" s="599"/>
      <c r="D14" s="599"/>
      <c r="E14" s="599"/>
      <c r="F14" s="599"/>
      <c r="G14" s="599"/>
      <c r="H14" s="599"/>
      <c r="I14" s="599"/>
      <c r="J14" s="974"/>
      <c r="K14" s="599"/>
      <c r="L14" s="599"/>
      <c r="M14" s="599"/>
      <c r="N14" s="599"/>
      <c r="O14" s="599"/>
      <c r="P14" s="599"/>
      <c r="Q14" s="599"/>
      <c r="R14" s="599"/>
      <c r="S14" s="599"/>
      <c r="T14" s="599"/>
      <c r="U14" s="599"/>
    </row>
    <row r="15" spans="1:21">
      <c r="A15" s="169" t="s">
        <v>1907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</row>
    <row r="16" spans="1:21">
      <c r="A16" s="169" t="s">
        <v>1883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</row>
    <row r="17" spans="1:21">
      <c r="A17" s="598"/>
      <c r="B17" s="599"/>
      <c r="C17" s="599"/>
      <c r="D17" s="599"/>
      <c r="E17" s="599"/>
      <c r="F17" s="599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  <c r="U17" s="599"/>
    </row>
    <row r="18" spans="1:21">
      <c r="A18" s="598"/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</row>
    <row r="19" spans="1:21">
      <c r="A19" s="598"/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</row>
    <row r="20" spans="1:21">
      <c r="A20" s="598"/>
      <c r="B20" s="599"/>
      <c r="C20" s="599"/>
      <c r="D20" s="599"/>
      <c r="E20" s="599"/>
      <c r="F20" s="599"/>
      <c r="G20" s="599"/>
      <c r="H20" s="974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  <c r="U20" s="599"/>
    </row>
    <row r="21" spans="1:21">
      <c r="A21" s="734"/>
      <c r="B21" s="599"/>
      <c r="C21" s="599"/>
      <c r="D21" s="599"/>
      <c r="E21" s="599"/>
      <c r="F21" s="599"/>
      <c r="G21" s="599"/>
      <c r="H21" s="96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  <c r="U21" s="599"/>
    </row>
    <row r="22" spans="1:21">
      <c r="A22" s="599"/>
      <c r="B22" s="599"/>
      <c r="C22" s="599"/>
      <c r="D22" s="599"/>
      <c r="E22" s="599"/>
      <c r="F22" s="599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  <c r="U22" s="599"/>
    </row>
    <row r="23" spans="1:21">
      <c r="A23" s="598" t="s">
        <v>1908</v>
      </c>
      <c r="B23" s="599"/>
      <c r="C23" s="599"/>
      <c r="D23" s="599"/>
      <c r="E23" s="599"/>
      <c r="F23" s="599"/>
      <c r="G23" s="599"/>
      <c r="H23" s="599"/>
      <c r="I23" s="704"/>
      <c r="J23" s="682">
        <f>T53</f>
        <v>2016745</v>
      </c>
      <c r="K23" s="599"/>
      <c r="L23" s="599"/>
      <c r="M23" s="599"/>
      <c r="N23" s="599"/>
      <c r="O23" s="599"/>
      <c r="P23" s="599"/>
      <c r="Q23" s="599"/>
      <c r="R23" s="599"/>
      <c r="S23" s="599"/>
      <c r="T23" s="599"/>
      <c r="U23" s="599"/>
    </row>
    <row r="24" spans="1:21">
      <c r="A24" s="599"/>
      <c r="B24" s="599"/>
      <c r="C24" s="599"/>
      <c r="D24" s="599"/>
      <c r="E24" s="599"/>
      <c r="F24" s="599"/>
      <c r="G24" s="599"/>
      <c r="H24" s="599"/>
      <c r="I24" s="599"/>
      <c r="J24" s="704"/>
      <c r="K24" s="599"/>
      <c r="L24" s="599"/>
      <c r="M24" s="599"/>
      <c r="N24" s="599"/>
      <c r="O24" s="599"/>
      <c r="P24" s="599"/>
      <c r="Q24" s="599"/>
      <c r="R24" s="599"/>
      <c r="S24" s="599"/>
      <c r="T24" s="599"/>
      <c r="U24" s="599"/>
    </row>
    <row r="25" spans="1:21">
      <c r="A25" s="599"/>
      <c r="B25" s="599"/>
      <c r="C25" s="599"/>
      <c r="D25" s="599"/>
      <c r="E25" s="599"/>
      <c r="F25" s="599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  <c r="U25" s="599"/>
    </row>
    <row r="26" spans="1:21">
      <c r="A26" s="598" t="s">
        <v>1862</v>
      </c>
      <c r="B26" s="599"/>
      <c r="C26" s="599"/>
      <c r="D26" s="599"/>
      <c r="E26" s="599"/>
      <c r="F26" s="599"/>
      <c r="G26" s="599"/>
      <c r="H26" s="599"/>
      <c r="I26" s="599"/>
      <c r="J26" s="703">
        <f>VLOOKUP(D33,ALLOCTABLE,2)/100</f>
        <v>1</v>
      </c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</row>
    <row r="27" spans="1:21">
      <c r="A27" s="599"/>
      <c r="B27" s="599"/>
      <c r="C27" s="599"/>
      <c r="D27" s="599"/>
      <c r="E27" s="599"/>
      <c r="F27" s="599"/>
      <c r="G27" s="599"/>
      <c r="H27" s="599"/>
      <c r="I27" s="599"/>
      <c r="J27" s="704"/>
      <c r="K27" s="599"/>
      <c r="L27" s="599"/>
      <c r="M27" s="599"/>
      <c r="N27" s="599"/>
      <c r="O27" s="599"/>
      <c r="P27" s="599"/>
      <c r="Q27" s="599"/>
      <c r="R27" s="599"/>
      <c r="S27" s="599"/>
      <c r="T27" s="599"/>
      <c r="U27" s="599"/>
    </row>
    <row r="28" spans="1:21">
      <c r="A28" s="599"/>
      <c r="B28" s="599"/>
      <c r="C28" s="599"/>
      <c r="D28" s="599"/>
      <c r="E28" s="599"/>
      <c r="F28" s="599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</row>
    <row r="29" spans="1:21" ht="15">
      <c r="A29" s="598" t="s">
        <v>1863</v>
      </c>
      <c r="B29" s="599"/>
      <c r="C29" s="599"/>
      <c r="D29" s="599"/>
      <c r="E29" s="599"/>
      <c r="F29" s="598" t="s">
        <v>1876</v>
      </c>
      <c r="G29" s="599"/>
      <c r="H29" s="599"/>
      <c r="I29" s="704"/>
      <c r="J29" s="705">
        <f>ROUND(J23*J26,0)</f>
        <v>2016745</v>
      </c>
      <c r="K29" s="599"/>
      <c r="L29" s="599"/>
      <c r="M29" s="599"/>
      <c r="N29" s="599"/>
      <c r="O29" s="599"/>
      <c r="P29" s="599"/>
      <c r="Q29" s="599"/>
      <c r="R29" s="599"/>
      <c r="S29" s="599"/>
      <c r="T29" s="599"/>
      <c r="U29" s="599"/>
    </row>
    <row r="30" spans="1:21">
      <c r="A30" s="599"/>
      <c r="B30" s="599"/>
      <c r="C30" s="599"/>
      <c r="D30" s="599"/>
      <c r="E30" s="599"/>
      <c r="F30" s="599"/>
      <c r="G30" s="599"/>
      <c r="H30" s="599"/>
      <c r="I30" s="599"/>
      <c r="J30" s="704"/>
      <c r="K30" s="599"/>
      <c r="L30" s="599"/>
      <c r="M30" s="599"/>
      <c r="N30" s="599"/>
      <c r="O30" s="599"/>
      <c r="P30" s="599"/>
      <c r="Q30" s="599"/>
      <c r="R30" s="599"/>
      <c r="S30" s="599"/>
      <c r="T30" s="599"/>
      <c r="U30" s="599"/>
    </row>
    <row r="31" spans="1:21">
      <c r="A31" s="599"/>
      <c r="B31" s="599"/>
      <c r="C31" s="599"/>
      <c r="D31" s="599"/>
      <c r="E31" s="599"/>
      <c r="F31" s="599"/>
      <c r="G31" s="599"/>
      <c r="H31" s="599"/>
      <c r="I31" s="599"/>
      <c r="J31" s="599"/>
      <c r="K31" s="599"/>
      <c r="L31" s="599"/>
      <c r="M31" s="599"/>
      <c r="N31" s="599"/>
      <c r="O31" s="599"/>
      <c r="P31" s="599"/>
      <c r="Q31" s="599"/>
      <c r="R31" s="599"/>
      <c r="S31" s="599"/>
      <c r="T31" s="599"/>
      <c r="U31" s="599"/>
    </row>
    <row r="32" spans="1:21">
      <c r="A32" s="599"/>
      <c r="B32" s="599"/>
      <c r="C32" s="599"/>
      <c r="D32" s="599"/>
      <c r="E32" s="599"/>
      <c r="F32" s="599"/>
      <c r="G32" s="599"/>
      <c r="H32" s="599"/>
      <c r="I32" s="599"/>
      <c r="J32" s="599"/>
      <c r="K32" s="599"/>
      <c r="L32" s="599"/>
      <c r="M32" s="599"/>
      <c r="N32" s="599"/>
      <c r="O32" s="599"/>
      <c r="P32" s="599"/>
      <c r="Q32" s="599"/>
      <c r="R32" s="599"/>
      <c r="S32" s="599"/>
      <c r="T32" s="599"/>
      <c r="U32" s="599"/>
    </row>
    <row r="33" spans="1:21">
      <c r="A33" s="598" t="s">
        <v>1864</v>
      </c>
      <c r="B33" s="599"/>
      <c r="C33" s="599"/>
      <c r="D33" s="966" t="s">
        <v>428</v>
      </c>
      <c r="E33" s="599"/>
      <c r="F33" s="599"/>
      <c r="G33" s="599"/>
      <c r="H33" s="599"/>
      <c r="I33" s="599"/>
      <c r="J33" s="599"/>
      <c r="K33" s="599"/>
      <c r="L33" s="599"/>
      <c r="M33" s="599"/>
      <c r="N33" s="599"/>
      <c r="O33" s="599"/>
      <c r="P33" s="599"/>
      <c r="Q33" s="599"/>
      <c r="R33" s="599"/>
      <c r="S33" s="599"/>
      <c r="T33" s="599"/>
      <c r="U33" s="599"/>
    </row>
    <row r="34" spans="1:21">
      <c r="A34" s="598"/>
      <c r="B34" s="599"/>
      <c r="C34" s="599"/>
      <c r="D34" s="599"/>
      <c r="E34" s="599"/>
      <c r="F34" s="599"/>
      <c r="G34" s="599"/>
      <c r="H34" s="599"/>
      <c r="I34" s="599"/>
      <c r="J34" s="599"/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</row>
    <row r="35" spans="1:21">
      <c r="A35" s="599"/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599"/>
      <c r="O35" s="599"/>
      <c r="P35" s="599"/>
      <c r="Q35" s="599"/>
      <c r="R35" s="599"/>
      <c r="S35" s="599"/>
      <c r="T35" s="599"/>
      <c r="U35" s="599"/>
    </row>
    <row r="36" spans="1:21">
      <c r="A36" s="599"/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599"/>
      <c r="O36" s="599"/>
      <c r="P36" s="599"/>
      <c r="Q36" s="599"/>
      <c r="R36" s="599"/>
      <c r="S36" s="599"/>
      <c r="T36" s="599"/>
      <c r="U36" s="599"/>
    </row>
    <row r="37" spans="1:21">
      <c r="A37" s="599"/>
      <c r="B37" s="599"/>
      <c r="C37" s="599"/>
      <c r="D37" s="599"/>
      <c r="E37" s="599"/>
      <c r="F37" s="599"/>
      <c r="G37" s="599"/>
      <c r="H37" s="599"/>
      <c r="I37" s="599"/>
      <c r="J37" s="599"/>
      <c r="K37" s="599"/>
      <c r="L37" s="599"/>
      <c r="M37" s="599"/>
      <c r="N37" s="599"/>
      <c r="O37" s="599"/>
      <c r="P37" s="599"/>
      <c r="Q37" s="599"/>
      <c r="R37" s="599"/>
      <c r="S37" s="599"/>
      <c r="T37" s="599"/>
      <c r="U37" s="599"/>
    </row>
    <row r="38" spans="1:21">
      <c r="A38" s="599"/>
      <c r="B38" s="599"/>
      <c r="C38" s="599"/>
      <c r="D38" s="599"/>
      <c r="E38" s="599"/>
      <c r="F38" s="599"/>
      <c r="G38" s="599"/>
      <c r="H38" s="599"/>
      <c r="I38" s="599"/>
      <c r="J38" s="59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</row>
    <row r="39" spans="1:21">
      <c r="A39" s="599"/>
      <c r="B39" s="599"/>
      <c r="C39" s="599"/>
      <c r="D39" s="599"/>
      <c r="E39" s="599"/>
      <c r="F39" s="599"/>
      <c r="G39" s="599"/>
      <c r="H39" s="599"/>
      <c r="I39" s="599"/>
      <c r="J39" s="599"/>
      <c r="K39" s="599"/>
      <c r="L39" s="599"/>
      <c r="M39" s="599"/>
      <c r="N39" s="599"/>
      <c r="O39" s="599"/>
      <c r="P39" s="599"/>
      <c r="Q39" s="599"/>
      <c r="R39" s="599"/>
      <c r="S39" s="599"/>
      <c r="T39" s="599"/>
      <c r="U39" s="599"/>
    </row>
    <row r="40" spans="1:21">
      <c r="A40" s="599"/>
      <c r="B40" s="599"/>
      <c r="C40" s="599"/>
      <c r="D40" s="599"/>
      <c r="E40" s="599"/>
      <c r="F40" s="599"/>
      <c r="G40" s="599"/>
      <c r="H40" s="599"/>
      <c r="I40" s="599"/>
      <c r="J40" s="599"/>
      <c r="K40" s="599"/>
      <c r="L40" s="599"/>
      <c r="M40" s="599"/>
      <c r="N40" s="599"/>
      <c r="O40" s="599"/>
      <c r="P40" s="599"/>
      <c r="Q40" s="599"/>
      <c r="R40" s="599"/>
      <c r="S40" s="599"/>
      <c r="T40" s="599"/>
      <c r="U40" s="599"/>
    </row>
    <row r="41" spans="1:21">
      <c r="A41" s="599"/>
      <c r="B41" s="599"/>
      <c r="C41" s="599"/>
      <c r="D41" s="599"/>
      <c r="E41" s="599"/>
      <c r="F41" s="599"/>
      <c r="G41" s="599"/>
      <c r="H41" s="599"/>
      <c r="I41" s="599"/>
      <c r="J41" s="599"/>
      <c r="K41" s="599"/>
      <c r="L41" s="599"/>
      <c r="M41" s="599"/>
      <c r="N41" s="599"/>
      <c r="O41" s="599"/>
      <c r="P41" s="599"/>
      <c r="Q41" s="599"/>
      <c r="R41" s="599"/>
      <c r="S41" s="599"/>
      <c r="T41" s="599"/>
      <c r="U41" s="599"/>
    </row>
    <row r="42" spans="1:21">
      <c r="A42" s="599"/>
      <c r="B42" s="599"/>
      <c r="C42" s="599"/>
      <c r="D42" s="599"/>
      <c r="E42" s="599"/>
      <c r="F42" s="599"/>
      <c r="G42" s="599"/>
      <c r="H42" s="599"/>
      <c r="I42" s="599"/>
      <c r="J42" s="599"/>
      <c r="K42" s="599"/>
      <c r="L42" s="599"/>
      <c r="M42" s="599"/>
      <c r="N42" s="599"/>
      <c r="O42" s="599"/>
      <c r="P42" s="599"/>
      <c r="Q42" s="599"/>
      <c r="R42" s="599"/>
      <c r="S42" s="599"/>
      <c r="T42" s="599"/>
      <c r="U42" s="599"/>
    </row>
    <row r="43" spans="1:21">
      <c r="A43" s="599"/>
      <c r="B43" s="599"/>
      <c r="C43" s="599"/>
      <c r="D43" s="599"/>
      <c r="E43" s="599"/>
      <c r="F43" s="599"/>
      <c r="G43" s="599"/>
      <c r="H43" s="599"/>
      <c r="I43" s="599"/>
      <c r="J43" s="599"/>
      <c r="K43" s="599"/>
      <c r="L43" s="779" t="str">
        <f>COMPANY</f>
        <v>DUKE ENERGY KENTUCKY, INC.</v>
      </c>
      <c r="M43" s="253"/>
      <c r="N43" s="253"/>
      <c r="O43" s="253"/>
      <c r="P43" s="253"/>
      <c r="Q43" s="253"/>
      <c r="S43" s="779" t="s">
        <v>1909</v>
      </c>
      <c r="T43" s="597"/>
      <c r="U43" s="599"/>
    </row>
    <row r="44" spans="1:21">
      <c r="A44" s="599"/>
      <c r="B44" s="599"/>
      <c r="C44" s="599"/>
      <c r="D44" s="599"/>
      <c r="E44" s="599"/>
      <c r="F44" s="599"/>
      <c r="G44" s="599"/>
      <c r="H44" s="599"/>
      <c r="I44" s="599"/>
      <c r="J44" s="599"/>
      <c r="K44" s="599"/>
      <c r="L44" s="779" t="str">
        <f>DEPT</f>
        <v>ELECTRIC DEPARTMENT</v>
      </c>
      <c r="M44" s="253"/>
      <c r="N44" s="253"/>
      <c r="O44" s="253"/>
      <c r="P44" s="253"/>
      <c r="Q44" s="253"/>
      <c r="S44" s="779" t="s">
        <v>1866</v>
      </c>
      <c r="T44" s="597"/>
      <c r="U44" s="599"/>
    </row>
    <row r="45" spans="1:21">
      <c r="A45" s="599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779" t="str">
        <f>CASE</f>
        <v>CASE NO. 2024-00354</v>
      </c>
      <c r="M45" s="253"/>
      <c r="N45" s="253"/>
      <c r="O45" s="253"/>
      <c r="P45" s="253"/>
      <c r="Q45" s="253"/>
      <c r="S45" s="253" t="str">
        <f>_WIT10</f>
        <v>G. S. CARPENTER</v>
      </c>
      <c r="T45" s="597"/>
      <c r="U45" s="599"/>
    </row>
    <row r="46" spans="1:21">
      <c r="A46" s="599"/>
      <c r="B46" s="599"/>
      <c r="C46" s="599"/>
      <c r="D46" s="599"/>
      <c r="E46" s="599"/>
      <c r="F46" s="599"/>
      <c r="G46" s="599"/>
      <c r="H46" s="599"/>
      <c r="I46" s="599"/>
      <c r="J46" s="599"/>
      <c r="K46" s="599"/>
      <c r="L46" s="779" t="s">
        <v>1910</v>
      </c>
      <c r="M46" s="253"/>
      <c r="N46" s="253"/>
      <c r="O46" s="253"/>
      <c r="P46" s="253"/>
      <c r="Q46" s="253"/>
      <c r="R46" s="961"/>
      <c r="S46" s="253"/>
      <c r="T46" s="597"/>
      <c r="U46" s="599"/>
    </row>
    <row r="47" spans="1:21">
      <c r="A47" s="599"/>
      <c r="B47" s="599"/>
      <c r="C47" s="599"/>
      <c r="D47" s="599"/>
      <c r="E47" s="599"/>
      <c r="F47" s="599"/>
      <c r="G47" s="599"/>
      <c r="H47" s="599"/>
      <c r="I47" s="599"/>
      <c r="J47" s="599"/>
      <c r="K47" s="599"/>
      <c r="L47" s="779"/>
      <c r="M47" s="253"/>
      <c r="N47" s="253"/>
      <c r="O47" s="253"/>
      <c r="P47" s="253"/>
      <c r="Q47" s="253"/>
      <c r="R47" s="253"/>
      <c r="S47" s="253"/>
      <c r="T47" s="597"/>
      <c r="U47" s="599"/>
    </row>
    <row r="48" spans="1:21">
      <c r="A48" s="599"/>
      <c r="B48" s="599"/>
      <c r="C48" s="599"/>
      <c r="D48" s="599"/>
      <c r="E48" s="599"/>
      <c r="F48" s="599"/>
      <c r="G48" s="599"/>
      <c r="H48" s="599"/>
      <c r="I48" s="599"/>
      <c r="J48" s="599"/>
      <c r="K48" s="599"/>
      <c r="L48" s="597"/>
      <c r="M48" s="597"/>
      <c r="N48" s="597"/>
      <c r="O48" s="597"/>
      <c r="P48" s="597"/>
      <c r="Q48" s="597"/>
      <c r="R48" s="597"/>
      <c r="S48" s="597"/>
      <c r="T48" s="597"/>
      <c r="U48" s="599"/>
    </row>
    <row r="49" spans="1:21">
      <c r="A49" s="599"/>
      <c r="B49" s="599"/>
      <c r="C49" s="599"/>
      <c r="D49" s="599"/>
      <c r="E49" s="599"/>
      <c r="F49" s="599"/>
      <c r="G49" s="599"/>
      <c r="H49" s="599"/>
      <c r="I49" s="599"/>
      <c r="J49" s="599"/>
      <c r="K49" s="599"/>
      <c r="L49" s="597"/>
      <c r="M49" s="597"/>
      <c r="N49" s="597"/>
      <c r="O49" s="597"/>
      <c r="P49" s="597"/>
      <c r="Q49" s="597"/>
      <c r="R49" s="597"/>
      <c r="S49" s="597"/>
      <c r="T49" s="597"/>
      <c r="U49" s="599"/>
    </row>
    <row r="50" spans="1:21">
      <c r="A50" s="599"/>
      <c r="B50" s="599"/>
      <c r="C50" s="599"/>
      <c r="D50" s="599"/>
      <c r="E50" s="599"/>
      <c r="F50" s="599"/>
      <c r="G50" s="599"/>
      <c r="H50" s="599"/>
      <c r="I50" s="599"/>
      <c r="J50" s="599"/>
      <c r="K50" s="599"/>
      <c r="L50" s="701" t="s">
        <v>573</v>
      </c>
      <c r="M50" s="701"/>
      <c r="N50" s="701"/>
      <c r="O50" s="701"/>
      <c r="P50" s="701" t="s">
        <v>13</v>
      </c>
      <c r="Q50" s="701"/>
      <c r="R50" s="701" t="s">
        <v>417</v>
      </c>
      <c r="S50" s="701"/>
      <c r="T50" s="701"/>
      <c r="U50" s="599"/>
    </row>
    <row r="51" spans="1:21">
      <c r="A51" s="599"/>
      <c r="B51" s="599"/>
      <c r="C51" s="599"/>
      <c r="D51" s="599"/>
      <c r="E51" s="599"/>
      <c r="F51" s="599"/>
      <c r="G51" s="599"/>
      <c r="H51" s="599"/>
      <c r="I51" s="599"/>
      <c r="J51" s="599"/>
      <c r="K51" s="599"/>
      <c r="L51" s="702" t="s">
        <v>576</v>
      </c>
      <c r="M51" s="702"/>
      <c r="N51" s="702" t="s">
        <v>2</v>
      </c>
      <c r="O51" s="702"/>
      <c r="P51" s="702" t="s">
        <v>418</v>
      </c>
      <c r="Q51" s="702"/>
      <c r="R51" s="702" t="s">
        <v>418</v>
      </c>
      <c r="S51" s="702"/>
      <c r="T51" s="702" t="s">
        <v>698</v>
      </c>
      <c r="U51" s="599"/>
    </row>
    <row r="52" spans="1:21">
      <c r="A52" s="599"/>
      <c r="B52" s="599"/>
      <c r="C52" s="599"/>
      <c r="D52" s="599"/>
      <c r="E52" s="599"/>
      <c r="F52" s="599"/>
      <c r="G52" s="599"/>
      <c r="H52" s="599"/>
      <c r="I52" s="599"/>
      <c r="J52" s="599"/>
      <c r="K52" s="599"/>
      <c r="L52" s="597"/>
      <c r="M52" s="597"/>
      <c r="N52" s="597"/>
      <c r="O52" s="597"/>
      <c r="P52" s="597"/>
      <c r="Q52" s="597"/>
      <c r="R52" s="597"/>
      <c r="S52" s="597"/>
      <c r="T52" s="597"/>
      <c r="U52" s="599"/>
    </row>
    <row r="53" spans="1:21" ht="13.8" thickBot="1">
      <c r="A53" s="599"/>
      <c r="B53" s="599"/>
      <c r="C53" s="599"/>
      <c r="D53" s="599"/>
      <c r="E53" s="599"/>
      <c r="F53" s="599"/>
      <c r="G53" s="599"/>
      <c r="H53" s="599"/>
      <c r="I53" s="599"/>
      <c r="J53" s="599"/>
      <c r="K53" s="599"/>
      <c r="L53" s="701">
        <v>1</v>
      </c>
      <c r="M53" s="597"/>
      <c r="N53" s="598" t="s">
        <v>458</v>
      </c>
      <c r="O53" s="597"/>
      <c r="P53" s="1954">
        <f>SCH_C2!E31</f>
        <v>12416931</v>
      </c>
      <c r="Q53" s="597"/>
      <c r="R53" s="1954">
        <f>SCH_C2!H31</f>
        <v>14433676</v>
      </c>
      <c r="S53" s="597"/>
      <c r="T53" s="1954">
        <f>R53-P53</f>
        <v>2016745</v>
      </c>
      <c r="U53" s="599"/>
    </row>
    <row r="54" spans="1:21" ht="13.8" thickTop="1">
      <c r="A54" s="599"/>
      <c r="B54" s="599"/>
      <c r="C54" s="599"/>
      <c r="D54" s="599"/>
      <c r="E54" s="599"/>
      <c r="F54" s="599"/>
      <c r="G54" s="599"/>
      <c r="H54" s="599"/>
      <c r="I54" s="599"/>
      <c r="J54" s="599"/>
      <c r="K54" s="599"/>
      <c r="L54" s="701"/>
      <c r="M54" s="597"/>
      <c r="N54" s="597"/>
      <c r="O54" s="597"/>
      <c r="P54" s="597"/>
      <c r="Q54" s="597"/>
      <c r="R54" s="597"/>
      <c r="S54" s="597"/>
      <c r="T54" s="597"/>
      <c r="U54" s="599"/>
    </row>
    <row r="55" spans="1:21">
      <c r="A55" s="599"/>
      <c r="B55" s="599"/>
      <c r="C55" s="599"/>
      <c r="D55" s="599"/>
      <c r="E55" s="599"/>
      <c r="F55" s="599"/>
      <c r="G55" s="599"/>
      <c r="H55" s="599"/>
      <c r="I55" s="599"/>
      <c r="J55" s="599"/>
      <c r="K55" s="599"/>
      <c r="L55" s="597"/>
      <c r="M55" s="597"/>
      <c r="N55" s="597"/>
      <c r="O55" s="597"/>
      <c r="P55" s="597"/>
      <c r="Q55" s="597"/>
      <c r="R55" s="597"/>
      <c r="S55" s="597"/>
      <c r="T55" s="597"/>
      <c r="U55" s="599"/>
    </row>
    <row r="56" spans="1:21">
      <c r="A56" s="599"/>
      <c r="B56" s="599"/>
      <c r="C56" s="599"/>
      <c r="D56" s="599"/>
      <c r="E56" s="599"/>
      <c r="F56" s="599"/>
      <c r="G56" s="599"/>
      <c r="H56" s="599"/>
      <c r="I56" s="599"/>
      <c r="J56" s="599"/>
      <c r="K56" s="599"/>
      <c r="L56" s="597"/>
      <c r="M56" s="597"/>
      <c r="N56" s="597"/>
      <c r="O56" s="597"/>
      <c r="P56" s="597"/>
      <c r="Q56" s="597"/>
      <c r="R56" s="597"/>
      <c r="S56" s="597"/>
      <c r="T56" s="597"/>
      <c r="U56" s="599"/>
    </row>
    <row r="57" spans="1:21">
      <c r="A57" s="599"/>
      <c r="B57" s="599"/>
      <c r="C57" s="599"/>
      <c r="D57" s="599"/>
      <c r="E57" s="599"/>
      <c r="F57" s="599"/>
      <c r="G57" s="599"/>
      <c r="H57" s="599"/>
      <c r="I57" s="599"/>
      <c r="J57" s="599"/>
      <c r="K57" s="599"/>
      <c r="L57" s="597"/>
      <c r="M57" s="597"/>
      <c r="N57" s="597"/>
      <c r="O57" s="597"/>
      <c r="P57" s="597"/>
      <c r="Q57" s="597"/>
      <c r="R57" s="597"/>
      <c r="S57" s="597"/>
      <c r="T57" s="701" t="s">
        <v>1869</v>
      </c>
      <c r="U57" s="599"/>
    </row>
    <row r="58" spans="1:21">
      <c r="A58" s="599"/>
      <c r="B58" s="599"/>
      <c r="C58" s="599"/>
      <c r="D58" s="599"/>
      <c r="E58" s="599"/>
      <c r="F58" s="599"/>
      <c r="G58" s="599"/>
      <c r="H58" s="599"/>
      <c r="I58" s="599"/>
      <c r="J58" s="599"/>
      <c r="K58" s="599"/>
      <c r="L58" s="599"/>
      <c r="M58" s="599"/>
      <c r="N58" s="599"/>
      <c r="O58" s="599"/>
      <c r="P58" s="599"/>
      <c r="Q58" s="599"/>
      <c r="R58" s="599"/>
      <c r="S58" s="599"/>
      <c r="T58" s="599"/>
      <c r="U58" s="599"/>
    </row>
    <row r="59" spans="1:21">
      <c r="A59" s="599"/>
      <c r="B59" s="599"/>
      <c r="C59" s="599"/>
      <c r="D59" s="599"/>
      <c r="E59" s="599"/>
      <c r="F59" s="599"/>
      <c r="G59" s="599"/>
      <c r="H59" s="599"/>
      <c r="I59" s="599"/>
      <c r="J59" s="599"/>
      <c r="K59" s="599"/>
      <c r="L59" s="599"/>
      <c r="M59" s="599"/>
      <c r="N59" s="599"/>
      <c r="O59" s="599"/>
      <c r="P59" s="599"/>
      <c r="Q59" s="599"/>
      <c r="R59" s="599"/>
      <c r="S59" s="599"/>
      <c r="T59" s="599"/>
      <c r="U59" s="599"/>
    </row>
    <row r="60" spans="1:21">
      <c r="A60" s="599"/>
      <c r="B60" s="599"/>
      <c r="C60" s="599"/>
      <c r="D60" s="599"/>
      <c r="E60" s="599"/>
      <c r="F60" s="599"/>
      <c r="G60" s="599"/>
      <c r="H60" s="599"/>
      <c r="I60" s="599"/>
      <c r="J60" s="599"/>
      <c r="K60" s="599"/>
      <c r="L60" s="599"/>
      <c r="M60" s="599"/>
      <c r="N60" s="599"/>
      <c r="O60" s="599"/>
      <c r="P60" s="599"/>
      <c r="Q60" s="599"/>
      <c r="R60" s="1051"/>
      <c r="S60" s="599"/>
      <c r="T60" s="599"/>
      <c r="U60" s="599"/>
    </row>
    <row r="61" spans="1:21">
      <c r="A61" s="599"/>
      <c r="B61" s="599"/>
      <c r="C61" s="599"/>
      <c r="D61" s="599"/>
      <c r="E61" s="599"/>
      <c r="F61" s="599"/>
      <c r="G61" s="599"/>
      <c r="H61" s="599"/>
      <c r="I61" s="599"/>
      <c r="J61" s="599"/>
      <c r="K61" s="599"/>
      <c r="L61" s="599"/>
      <c r="M61" s="599"/>
      <c r="N61" s="599"/>
      <c r="O61" s="599"/>
      <c r="P61" s="599"/>
      <c r="Q61" s="599"/>
      <c r="R61" s="599"/>
      <c r="S61" s="599"/>
      <c r="T61" s="599"/>
      <c r="U61" s="599"/>
    </row>
    <row r="62" spans="1:21">
      <c r="A62" s="599"/>
      <c r="B62" s="599"/>
      <c r="C62" s="599"/>
      <c r="D62" s="599"/>
      <c r="E62" s="599"/>
      <c r="F62" s="599"/>
      <c r="G62" s="599"/>
      <c r="H62" s="599"/>
      <c r="I62" s="599"/>
      <c r="J62" s="599"/>
      <c r="K62" s="599"/>
      <c r="L62" s="599"/>
      <c r="M62" s="599"/>
      <c r="N62" s="599"/>
      <c r="O62" s="599"/>
      <c r="P62" s="599"/>
      <c r="Q62" s="599"/>
      <c r="R62" s="599"/>
      <c r="S62" s="599"/>
      <c r="T62" s="599"/>
      <c r="U62" s="599"/>
    </row>
    <row r="63" spans="1:21">
      <c r="A63" s="599"/>
      <c r="B63" s="599"/>
      <c r="C63" s="599"/>
      <c r="D63" s="599"/>
      <c r="E63" s="599"/>
      <c r="F63" s="599"/>
      <c r="G63" s="599"/>
      <c r="H63" s="599"/>
      <c r="I63" s="599"/>
      <c r="J63" s="599"/>
      <c r="K63" s="599"/>
      <c r="L63" s="599"/>
      <c r="M63" s="599"/>
      <c r="N63" s="599"/>
      <c r="O63" s="599"/>
      <c r="P63" s="599"/>
      <c r="Q63" s="599"/>
      <c r="R63" s="599"/>
      <c r="S63" s="599"/>
      <c r="T63" s="599"/>
      <c r="U63" s="599"/>
    </row>
    <row r="64" spans="1:21">
      <c r="A64" s="599"/>
      <c r="B64" s="599"/>
      <c r="C64" s="599"/>
      <c r="D64" s="599"/>
      <c r="E64" s="599"/>
      <c r="F64" s="599"/>
      <c r="G64" s="599"/>
      <c r="H64" s="599"/>
      <c r="I64" s="599"/>
      <c r="J64" s="599"/>
      <c r="K64" s="599"/>
      <c r="L64" s="599"/>
      <c r="M64" s="599"/>
      <c r="N64" s="599"/>
      <c r="O64" s="599"/>
      <c r="P64" s="599"/>
      <c r="Q64" s="599"/>
      <c r="R64" s="599"/>
      <c r="S64" s="599"/>
      <c r="T64" s="599"/>
      <c r="U64" s="599"/>
    </row>
    <row r="65" spans="1:21">
      <c r="A65" s="599"/>
      <c r="B65" s="599"/>
      <c r="C65" s="599"/>
      <c r="D65" s="599"/>
      <c r="E65" s="599"/>
      <c r="F65" s="599"/>
      <c r="G65" s="599"/>
      <c r="H65" s="599"/>
      <c r="I65" s="599"/>
      <c r="J65" s="599"/>
      <c r="K65" s="599"/>
      <c r="L65" s="599"/>
      <c r="M65" s="599"/>
      <c r="N65" s="599"/>
      <c r="O65" s="599"/>
      <c r="P65" s="599"/>
      <c r="Q65" s="599"/>
      <c r="R65" s="599"/>
      <c r="S65" s="599"/>
      <c r="T65" s="599"/>
      <c r="U65" s="599"/>
    </row>
    <row r="66" spans="1:21">
      <c r="A66" s="599"/>
      <c r="B66" s="599"/>
      <c r="C66" s="599"/>
      <c r="D66" s="599"/>
      <c r="E66" s="599"/>
      <c r="F66" s="599"/>
      <c r="G66" s="599"/>
      <c r="H66" s="599"/>
      <c r="I66" s="599"/>
      <c r="J66" s="599"/>
      <c r="K66" s="599"/>
      <c r="L66" s="599"/>
      <c r="M66" s="599"/>
      <c r="N66" s="599"/>
      <c r="O66" s="599"/>
      <c r="P66" s="599"/>
      <c r="Q66" s="599"/>
      <c r="R66" s="599"/>
      <c r="S66" s="599"/>
      <c r="T66" s="599"/>
      <c r="U66" s="599"/>
    </row>
    <row r="67" spans="1:21">
      <c r="A67" s="599"/>
      <c r="B67" s="599"/>
      <c r="C67" s="599"/>
      <c r="D67" s="599"/>
      <c r="E67" s="599"/>
      <c r="F67" s="599"/>
      <c r="G67" s="599"/>
      <c r="H67" s="599"/>
      <c r="I67" s="599"/>
      <c r="J67" s="599"/>
      <c r="K67" s="599"/>
      <c r="L67" s="599"/>
      <c r="M67" s="599"/>
      <c r="N67" s="599"/>
      <c r="O67" s="599"/>
      <c r="P67" s="599"/>
      <c r="Q67" s="599"/>
      <c r="R67" s="599"/>
      <c r="S67" s="599"/>
      <c r="T67" s="599"/>
      <c r="U67" s="599"/>
    </row>
    <row r="68" spans="1:21">
      <c r="A68" s="599"/>
      <c r="B68" s="599"/>
      <c r="C68" s="599"/>
      <c r="D68" s="599"/>
      <c r="E68" s="599"/>
      <c r="F68" s="599"/>
      <c r="G68" s="599"/>
      <c r="H68" s="599"/>
      <c r="I68" s="599"/>
      <c r="J68" s="599"/>
      <c r="K68" s="599"/>
      <c r="L68" s="599"/>
      <c r="M68" s="599"/>
      <c r="N68" s="599"/>
      <c r="O68" s="599"/>
      <c r="P68" s="599"/>
      <c r="Q68" s="599"/>
      <c r="R68" s="599"/>
      <c r="S68" s="599"/>
      <c r="T68" s="599"/>
      <c r="U68" s="599"/>
    </row>
    <row r="69" spans="1:21">
      <c r="A69" s="599"/>
      <c r="B69" s="599"/>
      <c r="C69" s="599"/>
      <c r="D69" s="599"/>
      <c r="E69" s="599"/>
      <c r="F69" s="599"/>
      <c r="G69" s="599"/>
      <c r="H69" s="599"/>
      <c r="I69" s="599"/>
      <c r="J69" s="599"/>
      <c r="K69" s="599"/>
      <c r="L69" s="599"/>
      <c r="M69" s="599"/>
      <c r="N69" s="599"/>
      <c r="O69" s="599"/>
      <c r="P69" s="599"/>
      <c r="Q69" s="599"/>
      <c r="R69" s="599"/>
      <c r="S69" s="599"/>
      <c r="T69" s="599"/>
      <c r="U69" s="599"/>
    </row>
  </sheetData>
  <phoneticPr fontId="19" type="noConversion"/>
  <pageMargins left="1" right="0.75" top="1" bottom="0" header="0" footer="0"/>
  <pageSetup scale="91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8">
    <tabColor theme="7" tint="-0.249977111117893"/>
    <pageSetUpPr fitToPage="1"/>
  </sheetPr>
  <dimension ref="A1:V69"/>
  <sheetViews>
    <sheetView workbookViewId="0"/>
  </sheetViews>
  <sheetFormatPr defaultColWidth="8" defaultRowHeight="13.2"/>
  <cols>
    <col min="1" max="1" width="8" customWidth="1"/>
    <col min="2" max="2" width="20.44140625" customWidth="1"/>
    <col min="3" max="3" width="8" customWidth="1"/>
    <col min="4" max="4" width="10.44140625" customWidth="1"/>
    <col min="5" max="7" width="8" customWidth="1"/>
    <col min="8" max="8" width="12.44140625" customWidth="1"/>
    <col min="9" max="9" width="10" customWidth="1"/>
    <col min="10" max="10" width="18.44140625" customWidth="1"/>
    <col min="11" max="12" width="8" customWidth="1"/>
    <col min="13" max="13" width="2.44140625" customWidth="1"/>
    <col min="14" max="14" width="27.44140625" customWidth="1"/>
    <col min="15" max="15" width="3.5546875" customWidth="1"/>
    <col min="16" max="16" width="16" customWidth="1"/>
    <col min="17" max="17" width="1.5546875" customWidth="1"/>
    <col min="18" max="18" width="18.44140625" customWidth="1"/>
    <col min="19" max="19" width="2.44140625" customWidth="1"/>
    <col min="20" max="20" width="21.5546875" customWidth="1"/>
  </cols>
  <sheetData>
    <row r="1" spans="1:22">
      <c r="A1" s="951" t="str">
        <f>LOGO!B5</f>
        <v>DUKE ENERGY KENTUCKY, INC.</v>
      </c>
      <c r="B1" s="951"/>
      <c r="C1" s="951"/>
      <c r="D1" s="951"/>
      <c r="E1" s="951"/>
      <c r="F1" s="951"/>
      <c r="G1" s="951"/>
      <c r="H1" s="951"/>
      <c r="I1" s="951"/>
      <c r="J1" s="951"/>
      <c r="K1" s="599"/>
      <c r="L1" s="599"/>
      <c r="M1" s="599"/>
      <c r="N1" s="599"/>
      <c r="O1" s="599"/>
      <c r="P1" s="599"/>
      <c r="Q1" s="599"/>
      <c r="R1" s="599"/>
      <c r="S1" s="599"/>
      <c r="T1" s="599"/>
      <c r="U1" s="599"/>
      <c r="V1" s="599"/>
    </row>
    <row r="2" spans="1:22">
      <c r="A2" s="951" t="str">
        <f>LOGO!B6</f>
        <v>CASE NO. 2024-00354</v>
      </c>
      <c r="B2" s="951"/>
      <c r="C2" s="951"/>
      <c r="D2" s="951"/>
      <c r="E2" s="951"/>
      <c r="F2" s="951"/>
      <c r="G2" s="951"/>
      <c r="H2" s="951"/>
      <c r="I2" s="951"/>
      <c r="J2" s="951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</row>
    <row r="3" spans="1:22">
      <c r="A3" s="968" t="s">
        <v>1911</v>
      </c>
      <c r="B3" s="951"/>
      <c r="C3" s="951"/>
      <c r="D3" s="951"/>
      <c r="E3" s="951"/>
      <c r="F3" s="951"/>
      <c r="G3" s="951"/>
      <c r="H3" s="951"/>
      <c r="I3" s="951"/>
      <c r="J3" s="951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</row>
    <row r="4" spans="1:22">
      <c r="A4" s="951" t="str">
        <f>LOGO!B8</f>
        <v>FOR THE TWELVE MONTHS ENDED JUNE 30, 2026</v>
      </c>
      <c r="B4" s="951"/>
      <c r="C4" s="951"/>
      <c r="D4" s="951"/>
      <c r="E4" s="951"/>
      <c r="F4" s="951"/>
      <c r="G4" s="951"/>
      <c r="H4" s="951"/>
      <c r="I4" s="951"/>
      <c r="J4" s="951"/>
      <c r="K4" s="599"/>
      <c r="L4" s="599"/>
      <c r="M4" s="599"/>
      <c r="N4" s="599"/>
      <c r="O4" s="599"/>
      <c r="P4" s="599"/>
      <c r="Q4" s="599"/>
      <c r="R4" s="599"/>
      <c r="S4" s="599"/>
      <c r="T4" s="599"/>
      <c r="U4" s="599"/>
      <c r="V4" s="599"/>
    </row>
    <row r="5" spans="1:22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  <c r="V5" s="599"/>
    </row>
    <row r="6" spans="1:22">
      <c r="A6" s="599" t="str">
        <f>DataB</f>
        <v>DATA: "X" BASE PERIOD  "X" FORECASTED PERIOD</v>
      </c>
      <c r="B6" s="599"/>
      <c r="C6" s="599"/>
      <c r="D6" s="599"/>
      <c r="E6" s="599"/>
      <c r="F6" s="599"/>
      <c r="G6" s="599"/>
      <c r="H6" s="599"/>
      <c r="I6" s="973" t="s">
        <v>1912</v>
      </c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599"/>
      <c r="V6" s="599"/>
    </row>
    <row r="7" spans="1:22">
      <c r="A7" s="599" t="str">
        <f>LOGO!B15</f>
        <v xml:space="preserve">TYPE OF FILING:  "X" ORIGINAL   UPDATED    REVISED  </v>
      </c>
      <c r="B7" s="599"/>
      <c r="C7" s="599"/>
      <c r="D7" s="599"/>
      <c r="E7" s="599"/>
      <c r="F7" s="599"/>
      <c r="G7" s="599"/>
      <c r="H7" s="599"/>
      <c r="I7" s="598" t="s">
        <v>466</v>
      </c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  <c r="U7" s="599"/>
      <c r="V7" s="599"/>
    </row>
    <row r="8" spans="1:22">
      <c r="A8" s="598" t="s">
        <v>1913</v>
      </c>
      <c r="B8" s="599"/>
      <c r="C8" s="599"/>
      <c r="D8" s="599"/>
      <c r="E8" s="599"/>
      <c r="F8" s="599"/>
      <c r="G8" s="599"/>
      <c r="H8" s="599"/>
      <c r="I8" s="598" t="s">
        <v>468</v>
      </c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  <c r="U8" s="599"/>
      <c r="V8" s="599"/>
    </row>
    <row r="9" spans="1:22">
      <c r="A9" s="599"/>
      <c r="B9" s="599"/>
      <c r="C9" s="599"/>
      <c r="D9" s="599"/>
      <c r="E9" s="599"/>
      <c r="F9" s="599"/>
      <c r="G9" s="599"/>
      <c r="H9" s="599"/>
      <c r="I9" s="598" t="str">
        <f>_WIT10</f>
        <v>G. S. CARPENTER</v>
      </c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  <c r="U9" s="599"/>
      <c r="V9" s="599"/>
    </row>
    <row r="10" spans="1:22">
      <c r="A10" s="1372"/>
      <c r="B10" s="1372"/>
      <c r="C10" s="1372"/>
      <c r="D10" s="1372"/>
      <c r="E10" s="1372"/>
      <c r="F10" s="1372"/>
      <c r="G10" s="1372"/>
      <c r="H10" s="1372"/>
      <c r="I10" s="1372"/>
      <c r="J10" s="1372"/>
      <c r="K10" s="598"/>
      <c r="L10" s="599"/>
      <c r="M10" s="599"/>
      <c r="N10" s="599"/>
      <c r="O10" s="599"/>
      <c r="P10" s="599"/>
      <c r="Q10" s="599"/>
      <c r="R10" s="599"/>
      <c r="S10" s="599"/>
      <c r="T10" s="599"/>
      <c r="U10" s="599"/>
      <c r="V10" s="599"/>
    </row>
    <row r="11" spans="1:22">
      <c r="A11" s="599"/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  <c r="U11" s="599"/>
      <c r="V11" s="599"/>
    </row>
    <row r="12" spans="1:22">
      <c r="A12" s="598" t="s">
        <v>1857</v>
      </c>
      <c r="B12" s="599"/>
      <c r="C12" s="599"/>
      <c r="D12" s="599"/>
      <c r="E12" s="599"/>
      <c r="F12" s="599"/>
      <c r="G12" s="599"/>
      <c r="H12" s="599"/>
      <c r="I12" s="599"/>
      <c r="J12" s="974" t="s">
        <v>975</v>
      </c>
      <c r="K12" s="599"/>
      <c r="L12" s="599"/>
      <c r="M12" s="599"/>
      <c r="N12" s="599"/>
      <c r="O12" s="599"/>
      <c r="P12" s="599"/>
      <c r="Q12" s="599"/>
      <c r="R12" s="599"/>
      <c r="S12" s="599"/>
      <c r="T12" s="599"/>
      <c r="U12" s="599"/>
      <c r="V12" s="599"/>
    </row>
    <row r="13" spans="1:22">
      <c r="A13" s="1372"/>
      <c r="B13" s="1372"/>
      <c r="C13" s="1372"/>
      <c r="D13" s="1372"/>
      <c r="E13" s="1372"/>
      <c r="F13" s="1372"/>
      <c r="G13" s="1372"/>
      <c r="H13" s="1372"/>
      <c r="I13" s="1372"/>
      <c r="J13" s="1372"/>
      <c r="K13" s="598"/>
      <c r="L13" s="599"/>
      <c r="M13" s="599"/>
      <c r="N13" s="599"/>
      <c r="O13" s="599"/>
      <c r="P13" s="599"/>
      <c r="Q13" s="599"/>
      <c r="R13" s="599"/>
      <c r="S13" s="599"/>
      <c r="T13" s="599"/>
      <c r="U13" s="599"/>
      <c r="V13" s="599"/>
    </row>
    <row r="14" spans="1:22">
      <c r="A14" s="599"/>
      <c r="B14" s="599"/>
      <c r="C14" s="599"/>
      <c r="D14" s="599"/>
      <c r="E14" s="599"/>
      <c r="F14" s="599"/>
      <c r="G14" s="599"/>
      <c r="H14" s="599"/>
      <c r="I14" s="599"/>
      <c r="J14" s="974"/>
      <c r="K14" s="599"/>
      <c r="L14" s="599"/>
      <c r="M14" s="599"/>
      <c r="N14" s="599"/>
      <c r="O14" s="599"/>
      <c r="P14" s="599"/>
      <c r="Q14" s="599"/>
      <c r="R14" s="599"/>
      <c r="S14" s="599"/>
      <c r="T14" s="599"/>
      <c r="U14" s="599"/>
      <c r="V14" s="599"/>
    </row>
    <row r="15" spans="1:22">
      <c r="A15" s="169" t="s">
        <v>1914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  <c r="V15" s="599"/>
    </row>
    <row r="16" spans="1:22">
      <c r="A16" s="169" t="s">
        <v>1883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</row>
    <row r="17" spans="1:22">
      <c r="A17" s="598"/>
      <c r="B17" s="599"/>
      <c r="C17" s="599"/>
      <c r="D17" s="599"/>
      <c r="E17" s="599"/>
      <c r="F17" s="599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  <c r="U17" s="599"/>
      <c r="V17" s="599"/>
    </row>
    <row r="18" spans="1:22">
      <c r="A18" s="598"/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</row>
    <row r="19" spans="1:22">
      <c r="A19" s="598"/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</row>
    <row r="20" spans="1:22">
      <c r="A20" s="598"/>
      <c r="B20" s="599"/>
      <c r="C20" s="599"/>
      <c r="D20" s="599"/>
      <c r="E20" s="599"/>
      <c r="F20" s="599"/>
      <c r="G20" s="599"/>
      <c r="H20" s="974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  <c r="U20" s="599"/>
      <c r="V20" s="599"/>
    </row>
    <row r="21" spans="1:22">
      <c r="A21" s="734"/>
      <c r="B21" s="599"/>
      <c r="C21" s="599"/>
      <c r="D21" s="599"/>
      <c r="E21" s="599"/>
      <c r="F21" s="599"/>
      <c r="G21" s="599"/>
      <c r="H21" s="96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  <c r="U21" s="599"/>
      <c r="V21" s="599"/>
    </row>
    <row r="22" spans="1:22">
      <c r="A22" s="599"/>
      <c r="B22" s="599"/>
      <c r="C22" s="599"/>
      <c r="D22" s="599"/>
      <c r="E22" s="599"/>
      <c r="F22" s="599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  <c r="U22" s="599"/>
      <c r="V22" s="599"/>
    </row>
    <row r="23" spans="1:22">
      <c r="A23" s="598" t="s">
        <v>423</v>
      </c>
      <c r="B23" s="599"/>
      <c r="C23" s="599"/>
      <c r="D23" s="599"/>
      <c r="E23" s="599"/>
      <c r="F23" s="599"/>
      <c r="G23" s="599"/>
      <c r="H23" s="599"/>
      <c r="I23" s="704"/>
      <c r="J23" s="682">
        <f>T53</f>
        <v>66570</v>
      </c>
      <c r="K23" s="599"/>
      <c r="L23" s="599"/>
      <c r="M23" s="599"/>
      <c r="N23" s="599"/>
      <c r="O23" s="599"/>
      <c r="P23" s="599"/>
      <c r="Q23" s="599"/>
      <c r="R23" s="599"/>
      <c r="S23" s="599"/>
      <c r="T23" s="599"/>
      <c r="U23" s="599"/>
      <c r="V23" s="599"/>
    </row>
    <row r="24" spans="1:22">
      <c r="A24" s="599"/>
      <c r="B24" s="599"/>
      <c r="C24" s="599"/>
      <c r="D24" s="599"/>
      <c r="E24" s="599"/>
      <c r="F24" s="599"/>
      <c r="G24" s="599"/>
      <c r="H24" s="599"/>
      <c r="I24" s="599"/>
      <c r="J24" s="704"/>
      <c r="K24" s="599"/>
      <c r="L24" s="599"/>
      <c r="M24" s="599"/>
      <c r="N24" s="599"/>
      <c r="O24" s="599"/>
      <c r="P24" s="599"/>
      <c r="Q24" s="599"/>
      <c r="R24" s="599"/>
      <c r="S24" s="599"/>
      <c r="T24" s="599"/>
      <c r="U24" s="599"/>
      <c r="V24" s="599"/>
    </row>
    <row r="25" spans="1:22">
      <c r="A25" s="599"/>
      <c r="B25" s="599"/>
      <c r="C25" s="599"/>
      <c r="D25" s="599"/>
      <c r="E25" s="599"/>
      <c r="F25" s="599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  <c r="U25" s="599"/>
      <c r="V25" s="599"/>
    </row>
    <row r="26" spans="1:22">
      <c r="A26" s="598" t="s">
        <v>1862</v>
      </c>
      <c r="B26" s="599"/>
      <c r="C26" s="599"/>
      <c r="D26" s="599"/>
      <c r="E26" s="599"/>
      <c r="F26" s="599"/>
      <c r="G26" s="599"/>
      <c r="H26" s="599"/>
      <c r="I26" s="599"/>
      <c r="J26" s="703">
        <f>VLOOKUP(D33,ALLOCTABLE,2)/100</f>
        <v>1</v>
      </c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  <c r="V26" s="599"/>
    </row>
    <row r="27" spans="1:22">
      <c r="A27" s="599"/>
      <c r="B27" s="599"/>
      <c r="C27" s="599"/>
      <c r="D27" s="599"/>
      <c r="E27" s="599"/>
      <c r="F27" s="599"/>
      <c r="G27" s="599"/>
      <c r="H27" s="599"/>
      <c r="I27" s="599"/>
      <c r="J27" s="704"/>
      <c r="K27" s="599"/>
      <c r="L27" s="599"/>
      <c r="M27" s="599"/>
      <c r="N27" s="599"/>
      <c r="O27" s="599"/>
      <c r="P27" s="599"/>
      <c r="Q27" s="599"/>
      <c r="R27" s="599"/>
      <c r="S27" s="599"/>
      <c r="T27" s="599"/>
      <c r="U27" s="599"/>
      <c r="V27" s="599"/>
    </row>
    <row r="28" spans="1:22">
      <c r="A28" s="599"/>
      <c r="B28" s="599"/>
      <c r="C28" s="599"/>
      <c r="D28" s="599"/>
      <c r="E28" s="599"/>
      <c r="F28" s="599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  <c r="V28" s="599"/>
    </row>
    <row r="29" spans="1:22" ht="15">
      <c r="A29" s="598" t="s">
        <v>1863</v>
      </c>
      <c r="B29" s="599"/>
      <c r="C29" s="599"/>
      <c r="D29" s="599"/>
      <c r="E29" s="599"/>
      <c r="F29" s="598" t="s">
        <v>1876</v>
      </c>
      <c r="G29" s="599"/>
      <c r="H29" s="599"/>
      <c r="I29" s="704"/>
      <c r="J29" s="705">
        <f>ROUND(J23*J26,0)</f>
        <v>66570</v>
      </c>
      <c r="K29" s="599"/>
      <c r="L29" s="599"/>
      <c r="M29" s="599"/>
      <c r="N29" s="599"/>
      <c r="O29" s="599"/>
      <c r="P29" s="599"/>
      <c r="Q29" s="599"/>
      <c r="R29" s="599"/>
      <c r="S29" s="599"/>
      <c r="T29" s="599"/>
      <c r="U29" s="599"/>
      <c r="V29" s="599"/>
    </row>
    <row r="30" spans="1:22">
      <c r="A30" s="599"/>
      <c r="B30" s="599"/>
      <c r="C30" s="599"/>
      <c r="D30" s="599"/>
      <c r="E30" s="599"/>
      <c r="F30" s="599"/>
      <c r="G30" s="599"/>
      <c r="H30" s="599"/>
      <c r="I30" s="599"/>
      <c r="J30" s="704"/>
      <c r="K30" s="599"/>
      <c r="L30" s="599"/>
      <c r="M30" s="599"/>
      <c r="N30" s="599"/>
      <c r="O30" s="599"/>
      <c r="P30" s="599"/>
      <c r="Q30" s="599"/>
      <c r="R30" s="599"/>
      <c r="S30" s="599"/>
      <c r="T30" s="599"/>
      <c r="U30" s="599"/>
      <c r="V30" s="599"/>
    </row>
    <row r="31" spans="1:22">
      <c r="A31" s="599"/>
      <c r="B31" s="599"/>
      <c r="C31" s="599"/>
      <c r="D31" s="599"/>
      <c r="E31" s="599"/>
      <c r="F31" s="599"/>
      <c r="G31" s="599"/>
      <c r="H31" s="599"/>
      <c r="I31" s="599"/>
      <c r="J31" s="599"/>
      <c r="K31" s="599"/>
      <c r="L31" s="599"/>
      <c r="M31" s="599"/>
      <c r="N31" s="599"/>
      <c r="O31" s="599"/>
      <c r="P31" s="599"/>
      <c r="Q31" s="599"/>
      <c r="R31" s="599"/>
      <c r="S31" s="599"/>
      <c r="T31" s="599"/>
      <c r="U31" s="599"/>
      <c r="V31" s="599"/>
    </row>
    <row r="32" spans="1:22">
      <c r="A32" s="599"/>
      <c r="B32" s="599"/>
      <c r="C32" s="599"/>
      <c r="D32" s="599"/>
      <c r="E32" s="599"/>
      <c r="F32" s="599"/>
      <c r="G32" s="599"/>
      <c r="H32" s="599"/>
      <c r="I32" s="599"/>
      <c r="J32" s="599"/>
      <c r="K32" s="599"/>
      <c r="L32" s="599"/>
      <c r="M32" s="599"/>
      <c r="N32" s="599"/>
      <c r="O32" s="599"/>
      <c r="P32" s="599"/>
      <c r="Q32" s="599"/>
      <c r="R32" s="599"/>
      <c r="S32" s="599"/>
      <c r="T32" s="599"/>
      <c r="U32" s="599"/>
      <c r="V32" s="599"/>
    </row>
    <row r="33" spans="1:22">
      <c r="A33" s="598" t="s">
        <v>1864</v>
      </c>
      <c r="B33" s="599"/>
      <c r="C33" s="599"/>
      <c r="D33" s="966" t="s">
        <v>428</v>
      </c>
      <c r="E33" s="599"/>
      <c r="F33" s="599"/>
      <c r="G33" s="599"/>
      <c r="H33" s="599"/>
      <c r="I33" s="599"/>
      <c r="J33" s="599"/>
      <c r="K33" s="599"/>
      <c r="L33" s="599"/>
      <c r="M33" s="599"/>
      <c r="N33" s="599"/>
      <c r="O33" s="599"/>
      <c r="P33" s="599"/>
      <c r="Q33" s="599"/>
      <c r="R33" s="599"/>
      <c r="S33" s="599"/>
      <c r="T33" s="599"/>
      <c r="U33" s="599"/>
      <c r="V33" s="599"/>
    </row>
    <row r="34" spans="1:22">
      <c r="A34" s="598"/>
      <c r="B34" s="599"/>
      <c r="C34" s="599"/>
      <c r="D34" s="599"/>
      <c r="E34" s="599"/>
      <c r="F34" s="599"/>
      <c r="G34" s="599"/>
      <c r="H34" s="599"/>
      <c r="I34" s="599"/>
      <c r="J34" s="599"/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</row>
    <row r="35" spans="1:22">
      <c r="A35" s="599"/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599"/>
      <c r="O35" s="599"/>
      <c r="P35" s="599"/>
      <c r="Q35" s="599"/>
      <c r="R35" s="599"/>
      <c r="S35" s="599"/>
      <c r="T35" s="599"/>
      <c r="U35" s="599"/>
      <c r="V35" s="599"/>
    </row>
    <row r="36" spans="1:22">
      <c r="A36" s="599"/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599"/>
      <c r="O36" s="599"/>
      <c r="P36" s="599"/>
      <c r="Q36" s="599"/>
      <c r="R36" s="599"/>
      <c r="S36" s="599"/>
      <c r="T36" s="599"/>
      <c r="U36" s="599"/>
      <c r="V36" s="599"/>
    </row>
    <row r="37" spans="1:22">
      <c r="A37" s="599"/>
      <c r="B37" s="599"/>
      <c r="C37" s="599"/>
      <c r="D37" s="599"/>
      <c r="E37" s="599"/>
      <c r="F37" s="599"/>
      <c r="G37" s="599"/>
      <c r="H37" s="599"/>
      <c r="I37" s="599"/>
      <c r="J37" s="599"/>
      <c r="K37" s="599"/>
      <c r="L37" s="599"/>
      <c r="M37" s="599"/>
      <c r="N37" s="599"/>
      <c r="O37" s="599"/>
      <c r="P37" s="599"/>
      <c r="Q37" s="599"/>
      <c r="R37" s="599"/>
      <c r="S37" s="599"/>
      <c r="T37" s="599"/>
      <c r="U37" s="599"/>
      <c r="V37" s="599"/>
    </row>
    <row r="38" spans="1:22">
      <c r="A38" s="599"/>
      <c r="B38" s="599"/>
      <c r="C38" s="599"/>
      <c r="D38" s="599"/>
      <c r="E38" s="599"/>
      <c r="F38" s="599"/>
      <c r="G38" s="599"/>
      <c r="H38" s="599"/>
      <c r="I38" s="599"/>
      <c r="J38" s="59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  <c r="V38" s="599"/>
    </row>
    <row r="39" spans="1:22">
      <c r="A39" s="599"/>
      <c r="B39" s="599"/>
      <c r="C39" s="599"/>
      <c r="D39" s="599"/>
      <c r="E39" s="599"/>
      <c r="F39" s="599"/>
      <c r="G39" s="599"/>
      <c r="H39" s="599"/>
      <c r="I39" s="599"/>
      <c r="J39" s="599"/>
      <c r="K39" s="599"/>
      <c r="L39" s="599"/>
      <c r="M39" s="599"/>
      <c r="N39" s="599"/>
      <c r="O39" s="599"/>
      <c r="P39" s="599"/>
      <c r="Q39" s="599"/>
      <c r="R39" s="599"/>
      <c r="S39" s="599"/>
      <c r="T39" s="599"/>
      <c r="U39" s="599"/>
      <c r="V39" s="599"/>
    </row>
    <row r="40" spans="1:22">
      <c r="A40" s="599"/>
      <c r="B40" s="599"/>
      <c r="C40" s="599"/>
      <c r="D40" s="599"/>
      <c r="E40" s="599"/>
      <c r="F40" s="599"/>
      <c r="G40" s="599"/>
      <c r="H40" s="599"/>
      <c r="I40" s="599"/>
      <c r="J40" s="599"/>
      <c r="K40" s="599"/>
      <c r="L40" s="599"/>
      <c r="M40" s="599"/>
      <c r="N40" s="599"/>
      <c r="O40" s="599"/>
      <c r="P40" s="599"/>
      <c r="Q40" s="599"/>
      <c r="R40" s="599"/>
      <c r="S40" s="599"/>
      <c r="T40" s="599"/>
      <c r="U40" s="599"/>
      <c r="V40" s="599"/>
    </row>
    <row r="41" spans="1:22">
      <c r="A41" s="599"/>
      <c r="B41" s="599"/>
      <c r="C41" s="599"/>
      <c r="D41" s="599"/>
      <c r="E41" s="599"/>
      <c r="F41" s="599"/>
      <c r="G41" s="599"/>
      <c r="H41" s="599"/>
      <c r="I41" s="599"/>
      <c r="J41" s="599"/>
      <c r="K41" s="599"/>
      <c r="L41" s="599"/>
      <c r="M41" s="599"/>
      <c r="N41" s="599"/>
      <c r="O41" s="599"/>
      <c r="P41" s="599"/>
      <c r="Q41" s="599"/>
      <c r="R41" s="599"/>
      <c r="S41" s="599"/>
      <c r="T41" s="599"/>
      <c r="U41" s="599"/>
      <c r="V41" s="599"/>
    </row>
    <row r="42" spans="1:22">
      <c r="A42" s="599"/>
      <c r="B42" s="599"/>
      <c r="C42" s="599"/>
      <c r="D42" s="599"/>
      <c r="E42" s="599"/>
      <c r="F42" s="599"/>
      <c r="G42" s="599"/>
      <c r="H42" s="599"/>
      <c r="I42" s="599"/>
      <c r="J42" s="599"/>
      <c r="K42" s="599"/>
      <c r="L42" s="599"/>
      <c r="M42" s="599"/>
      <c r="N42" s="599"/>
      <c r="O42" s="599"/>
      <c r="P42" s="599"/>
      <c r="Q42" s="599"/>
      <c r="R42" s="599"/>
      <c r="S42" s="599"/>
      <c r="T42" s="599"/>
      <c r="U42" s="599"/>
      <c r="V42" s="599"/>
    </row>
    <row r="43" spans="1:22">
      <c r="A43" s="599"/>
      <c r="B43" s="599"/>
      <c r="C43" s="599"/>
      <c r="D43" s="599"/>
      <c r="E43" s="599"/>
      <c r="F43" s="599"/>
      <c r="G43" s="599"/>
      <c r="H43" s="599"/>
      <c r="I43" s="599"/>
      <c r="J43" s="599"/>
      <c r="K43" s="599"/>
      <c r="L43" s="779" t="str">
        <f>COMPANY</f>
        <v>DUKE ENERGY KENTUCKY, INC.</v>
      </c>
      <c r="M43" s="253"/>
      <c r="N43" s="253"/>
      <c r="O43" s="253"/>
      <c r="P43" s="253"/>
      <c r="Q43" s="253"/>
      <c r="S43" s="779" t="s">
        <v>1915</v>
      </c>
      <c r="T43" s="597"/>
      <c r="U43" s="599"/>
      <c r="V43" s="599"/>
    </row>
    <row r="44" spans="1:22">
      <c r="A44" s="599"/>
      <c r="B44" s="599"/>
      <c r="C44" s="599"/>
      <c r="D44" s="599"/>
      <c r="E44" s="599"/>
      <c r="F44" s="599"/>
      <c r="G44" s="599"/>
      <c r="H44" s="599"/>
      <c r="I44" s="599"/>
      <c r="J44" s="599"/>
      <c r="K44" s="599"/>
      <c r="L44" s="779" t="str">
        <f>DEPT</f>
        <v>ELECTRIC DEPARTMENT</v>
      </c>
      <c r="M44" s="253"/>
      <c r="N44" s="253"/>
      <c r="O44" s="253"/>
      <c r="P44" s="253"/>
      <c r="Q44" s="253"/>
      <c r="S44" s="779" t="s">
        <v>1866</v>
      </c>
      <c r="T44" s="597"/>
      <c r="U44" s="599"/>
      <c r="V44" s="599"/>
    </row>
    <row r="45" spans="1:22">
      <c r="A45" s="599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779" t="str">
        <f>CASE</f>
        <v>CASE NO. 2024-00354</v>
      </c>
      <c r="M45" s="253"/>
      <c r="N45" s="253"/>
      <c r="O45" s="253"/>
      <c r="P45" s="253"/>
      <c r="Q45" s="253"/>
      <c r="S45" s="253" t="str">
        <f>_WIT10</f>
        <v>G. S. CARPENTER</v>
      </c>
      <c r="T45" s="597"/>
      <c r="U45" s="599"/>
      <c r="V45" s="599"/>
    </row>
    <row r="46" spans="1:22">
      <c r="A46" s="599"/>
      <c r="B46" s="599"/>
      <c r="C46" s="599"/>
      <c r="D46" s="599"/>
      <c r="E46" s="599"/>
      <c r="F46" s="599"/>
      <c r="G46" s="599"/>
      <c r="H46" s="599"/>
      <c r="I46" s="599"/>
      <c r="J46" s="599"/>
      <c r="K46" s="599"/>
      <c r="L46" s="779" t="s">
        <v>1916</v>
      </c>
      <c r="M46" s="253"/>
      <c r="N46" s="253"/>
      <c r="O46" s="253"/>
      <c r="P46" s="253"/>
      <c r="Q46" s="253"/>
      <c r="R46" s="961"/>
      <c r="S46" s="253"/>
      <c r="T46" s="597"/>
      <c r="U46" s="599"/>
      <c r="V46" s="599"/>
    </row>
    <row r="47" spans="1:22">
      <c r="A47" s="599"/>
      <c r="B47" s="599"/>
      <c r="C47" s="599"/>
      <c r="D47" s="599"/>
      <c r="E47" s="599"/>
      <c r="F47" s="599"/>
      <c r="G47" s="599"/>
      <c r="H47" s="599"/>
      <c r="I47" s="599"/>
      <c r="J47" s="599"/>
      <c r="K47" s="599"/>
      <c r="L47" s="779"/>
      <c r="M47" s="253"/>
      <c r="N47" s="253"/>
      <c r="O47" s="253"/>
      <c r="P47" s="253"/>
      <c r="Q47" s="253"/>
      <c r="R47" s="253"/>
      <c r="S47" s="253"/>
      <c r="T47" s="597"/>
      <c r="U47" s="599"/>
      <c r="V47" s="599"/>
    </row>
    <row r="48" spans="1:22">
      <c r="A48" s="599"/>
      <c r="B48" s="599"/>
      <c r="C48" s="599"/>
      <c r="D48" s="599"/>
      <c r="E48" s="599"/>
      <c r="F48" s="599"/>
      <c r="G48" s="599"/>
      <c r="H48" s="599"/>
      <c r="I48" s="599"/>
      <c r="J48" s="599"/>
      <c r="K48" s="599"/>
      <c r="L48" s="597"/>
      <c r="M48" s="597"/>
      <c r="N48" s="597"/>
      <c r="O48" s="597"/>
      <c r="P48" s="597"/>
      <c r="Q48" s="597"/>
      <c r="R48" s="597"/>
      <c r="S48" s="597"/>
      <c r="T48" s="597"/>
      <c r="U48" s="599"/>
      <c r="V48" s="599"/>
    </row>
    <row r="49" spans="1:22">
      <c r="A49" s="599"/>
      <c r="B49" s="599"/>
      <c r="C49" s="599"/>
      <c r="D49" s="599"/>
      <c r="E49" s="599"/>
      <c r="F49" s="599"/>
      <c r="G49" s="599"/>
      <c r="H49" s="599"/>
      <c r="I49" s="599"/>
      <c r="J49" s="599"/>
      <c r="K49" s="599"/>
      <c r="L49" s="597"/>
      <c r="M49" s="597"/>
      <c r="N49" s="597"/>
      <c r="O49" s="597"/>
      <c r="P49" s="597"/>
      <c r="Q49" s="597"/>
      <c r="R49" s="597"/>
      <c r="S49" s="597"/>
      <c r="T49" s="597"/>
      <c r="U49" s="599"/>
      <c r="V49" s="599"/>
    </row>
    <row r="50" spans="1:22">
      <c r="A50" s="599"/>
      <c r="B50" s="599"/>
      <c r="C50" s="599"/>
      <c r="D50" s="599"/>
      <c r="E50" s="599"/>
      <c r="F50" s="599"/>
      <c r="G50" s="599"/>
      <c r="H50" s="599"/>
      <c r="I50" s="599"/>
      <c r="J50" s="599"/>
      <c r="K50" s="599"/>
      <c r="L50" s="701" t="s">
        <v>573</v>
      </c>
      <c r="M50" s="701"/>
      <c r="N50" s="701"/>
      <c r="O50" s="701"/>
      <c r="P50" s="701" t="s">
        <v>13</v>
      </c>
      <c r="Q50" s="701"/>
      <c r="R50" s="701" t="s">
        <v>417</v>
      </c>
      <c r="S50" s="701"/>
      <c r="T50" s="701"/>
      <c r="U50" s="599"/>
      <c r="V50" s="599"/>
    </row>
    <row r="51" spans="1:22">
      <c r="A51" s="599"/>
      <c r="B51" s="599"/>
      <c r="C51" s="599"/>
      <c r="D51" s="599"/>
      <c r="E51" s="599"/>
      <c r="F51" s="599"/>
      <c r="G51" s="599"/>
      <c r="H51" s="599"/>
      <c r="I51" s="599"/>
      <c r="J51" s="599"/>
      <c r="K51" s="599"/>
      <c r="L51" s="702" t="s">
        <v>576</v>
      </c>
      <c r="M51" s="702"/>
      <c r="N51" s="702" t="s">
        <v>2</v>
      </c>
      <c r="O51" s="702"/>
      <c r="P51" s="702" t="s">
        <v>418</v>
      </c>
      <c r="Q51" s="702"/>
      <c r="R51" s="702" t="s">
        <v>418</v>
      </c>
      <c r="S51" s="702"/>
      <c r="T51" s="702" t="s">
        <v>698</v>
      </c>
      <c r="U51" s="599"/>
      <c r="V51" s="599"/>
    </row>
    <row r="52" spans="1:22">
      <c r="A52" s="599"/>
      <c r="B52" s="599"/>
      <c r="C52" s="599"/>
      <c r="D52" s="599"/>
      <c r="E52" s="599"/>
      <c r="F52" s="599"/>
      <c r="G52" s="599"/>
      <c r="H52" s="599"/>
      <c r="I52" s="599"/>
      <c r="J52" s="599"/>
      <c r="K52" s="599"/>
      <c r="L52" s="597"/>
      <c r="M52" s="597"/>
      <c r="N52" s="597"/>
      <c r="O52" s="597"/>
      <c r="P52" s="597"/>
      <c r="Q52" s="597"/>
      <c r="R52" s="597"/>
      <c r="S52" s="597"/>
      <c r="T52" s="597"/>
      <c r="U52" s="599"/>
      <c r="V52" s="599"/>
    </row>
    <row r="53" spans="1:22" ht="13.8" thickBot="1">
      <c r="A53" s="599"/>
      <c r="B53" s="599"/>
      <c r="C53" s="599"/>
      <c r="D53" s="599"/>
      <c r="E53" s="599"/>
      <c r="F53" s="599"/>
      <c r="G53" s="599"/>
      <c r="H53" s="599"/>
      <c r="I53" s="599"/>
      <c r="J53" s="599"/>
      <c r="K53" s="599"/>
      <c r="L53" s="701">
        <v>1</v>
      </c>
      <c r="M53" s="597"/>
      <c r="N53" s="598" t="s">
        <v>459</v>
      </c>
      <c r="O53" s="597"/>
      <c r="P53" s="1954">
        <f>SCH_C2!E32</f>
        <v>6265587</v>
      </c>
      <c r="Q53" s="597"/>
      <c r="R53" s="1954">
        <f>SCH_C2!H32</f>
        <v>6332157</v>
      </c>
      <c r="S53" s="597"/>
      <c r="T53" s="1954">
        <f>R53-P53</f>
        <v>66570</v>
      </c>
      <c r="U53" s="599"/>
      <c r="V53" s="599"/>
    </row>
    <row r="54" spans="1:22" ht="13.8" thickTop="1">
      <c r="A54" s="599"/>
      <c r="B54" s="599"/>
      <c r="C54" s="599"/>
      <c r="D54" s="599"/>
      <c r="E54" s="599"/>
      <c r="F54" s="599"/>
      <c r="G54" s="599"/>
      <c r="H54" s="599"/>
      <c r="I54" s="599"/>
      <c r="J54" s="599"/>
      <c r="K54" s="599"/>
      <c r="L54" s="701"/>
      <c r="M54" s="597"/>
      <c r="N54" s="597"/>
      <c r="O54" s="597"/>
      <c r="P54" s="597"/>
      <c r="Q54" s="597"/>
      <c r="R54" s="597"/>
      <c r="S54" s="597"/>
      <c r="T54" s="597"/>
      <c r="U54" s="599"/>
      <c r="V54" s="599"/>
    </row>
    <row r="55" spans="1:22">
      <c r="A55" s="599"/>
      <c r="B55" s="599"/>
      <c r="C55" s="599"/>
      <c r="D55" s="599"/>
      <c r="E55" s="599"/>
      <c r="F55" s="599"/>
      <c r="G55" s="599"/>
      <c r="H55" s="599"/>
      <c r="I55" s="599"/>
      <c r="J55" s="599"/>
      <c r="K55" s="599"/>
      <c r="L55" s="597"/>
      <c r="M55" s="597"/>
      <c r="N55" s="597"/>
      <c r="O55" s="597"/>
      <c r="P55" s="597"/>
      <c r="Q55" s="597"/>
      <c r="R55" s="597"/>
      <c r="S55" s="597"/>
      <c r="T55" s="597"/>
      <c r="U55" s="599"/>
      <c r="V55" s="599"/>
    </row>
    <row r="56" spans="1:22">
      <c r="A56" s="599"/>
      <c r="B56" s="599"/>
      <c r="C56" s="599"/>
      <c r="D56" s="599"/>
      <c r="E56" s="599"/>
      <c r="F56" s="599"/>
      <c r="G56" s="599"/>
      <c r="H56" s="599"/>
      <c r="I56" s="599"/>
      <c r="J56" s="599"/>
      <c r="K56" s="599"/>
      <c r="L56" s="597"/>
      <c r="M56" s="597"/>
      <c r="N56" s="597"/>
      <c r="O56" s="597"/>
      <c r="P56" s="597"/>
      <c r="Q56" s="597"/>
      <c r="R56" s="597"/>
      <c r="S56" s="597"/>
      <c r="T56" s="597"/>
      <c r="U56" s="599"/>
      <c r="V56" s="599"/>
    </row>
    <row r="57" spans="1:22">
      <c r="A57" s="599"/>
      <c r="B57" s="599"/>
      <c r="C57" s="599"/>
      <c r="D57" s="599"/>
      <c r="E57" s="599"/>
      <c r="F57" s="599"/>
      <c r="G57" s="599"/>
      <c r="H57" s="599"/>
      <c r="I57" s="599"/>
      <c r="J57" s="599"/>
      <c r="K57" s="599"/>
      <c r="L57" s="597"/>
      <c r="M57" s="597"/>
      <c r="N57" s="597"/>
      <c r="O57" s="597"/>
      <c r="P57" s="597"/>
      <c r="Q57" s="597"/>
      <c r="R57" s="597"/>
      <c r="S57" s="597"/>
      <c r="T57" s="701" t="s">
        <v>1869</v>
      </c>
      <c r="U57" s="599"/>
      <c r="V57" s="599"/>
    </row>
    <row r="58" spans="1:22">
      <c r="A58" s="599"/>
      <c r="B58" s="599"/>
      <c r="C58" s="599"/>
      <c r="D58" s="599"/>
      <c r="E58" s="599"/>
      <c r="F58" s="599"/>
      <c r="G58" s="599"/>
      <c r="H58" s="599"/>
      <c r="I58" s="599"/>
      <c r="J58" s="599"/>
      <c r="K58" s="599"/>
      <c r="L58" s="599"/>
      <c r="M58" s="599"/>
      <c r="N58" s="599"/>
      <c r="O58" s="599"/>
      <c r="P58" s="599"/>
      <c r="Q58" s="599"/>
      <c r="R58" s="599"/>
      <c r="S58" s="599"/>
      <c r="T58" s="599"/>
      <c r="U58" s="599"/>
      <c r="V58" s="599"/>
    </row>
    <row r="59" spans="1:22">
      <c r="A59" s="599"/>
      <c r="B59" s="599"/>
      <c r="C59" s="599"/>
      <c r="D59" s="599"/>
      <c r="E59" s="599"/>
      <c r="F59" s="599"/>
      <c r="G59" s="599"/>
      <c r="H59" s="599"/>
      <c r="I59" s="599"/>
      <c r="J59" s="599"/>
      <c r="K59" s="599"/>
      <c r="L59" s="599"/>
      <c r="M59" s="599"/>
      <c r="N59" s="599"/>
      <c r="O59" s="599"/>
      <c r="P59" s="599"/>
      <c r="Q59" s="599"/>
      <c r="R59" s="599"/>
      <c r="S59" s="599"/>
      <c r="T59" s="599"/>
      <c r="U59" s="599"/>
      <c r="V59" s="599"/>
    </row>
    <row r="60" spans="1:22">
      <c r="A60" s="599"/>
      <c r="B60" s="599"/>
      <c r="C60" s="599"/>
      <c r="D60" s="599"/>
      <c r="E60" s="599"/>
      <c r="F60" s="599"/>
      <c r="G60" s="599"/>
      <c r="H60" s="599"/>
      <c r="I60" s="599"/>
      <c r="J60" s="599"/>
      <c r="K60" s="599"/>
      <c r="L60" s="599"/>
      <c r="M60" s="599"/>
      <c r="N60" s="599"/>
      <c r="O60" s="599"/>
      <c r="P60" s="599"/>
      <c r="Q60" s="599"/>
      <c r="R60" s="1051"/>
      <c r="S60" s="599"/>
      <c r="T60" s="599"/>
      <c r="U60" s="599"/>
      <c r="V60" s="599"/>
    </row>
    <row r="61" spans="1:22">
      <c r="A61" s="599"/>
      <c r="B61" s="599"/>
      <c r="C61" s="599"/>
      <c r="D61" s="599"/>
      <c r="E61" s="599"/>
      <c r="F61" s="599"/>
      <c r="G61" s="599"/>
      <c r="H61" s="599"/>
      <c r="I61" s="599"/>
      <c r="J61" s="599"/>
      <c r="K61" s="599"/>
      <c r="L61" s="599"/>
      <c r="M61" s="599"/>
      <c r="N61" s="599"/>
      <c r="O61" s="599"/>
      <c r="P61" s="599"/>
      <c r="Q61" s="599"/>
      <c r="R61" s="599"/>
      <c r="S61" s="599"/>
      <c r="T61" s="599"/>
      <c r="U61" s="599"/>
      <c r="V61" s="599"/>
    </row>
    <row r="62" spans="1:22">
      <c r="A62" s="599"/>
      <c r="B62" s="599"/>
      <c r="C62" s="599"/>
      <c r="D62" s="599"/>
      <c r="E62" s="599"/>
      <c r="F62" s="599"/>
      <c r="G62" s="599"/>
      <c r="H62" s="599"/>
      <c r="I62" s="599"/>
      <c r="J62" s="599"/>
      <c r="K62" s="599"/>
      <c r="L62" s="599"/>
      <c r="M62" s="599"/>
      <c r="N62" s="599"/>
      <c r="O62" s="599"/>
      <c r="P62" s="599"/>
      <c r="Q62" s="599"/>
      <c r="R62" s="599"/>
      <c r="S62" s="599"/>
      <c r="T62" s="599"/>
      <c r="U62" s="599"/>
      <c r="V62" s="599"/>
    </row>
    <row r="63" spans="1:22">
      <c r="A63" s="599"/>
      <c r="B63" s="599"/>
      <c r="C63" s="599"/>
      <c r="D63" s="599"/>
      <c r="E63" s="599"/>
      <c r="F63" s="599"/>
      <c r="G63" s="599"/>
      <c r="H63" s="599"/>
      <c r="I63" s="599"/>
      <c r="J63" s="599"/>
      <c r="K63" s="599"/>
      <c r="L63" s="599"/>
      <c r="M63" s="599"/>
      <c r="N63" s="599"/>
      <c r="O63" s="599"/>
      <c r="P63" s="599"/>
      <c r="Q63" s="599"/>
      <c r="R63" s="599"/>
      <c r="S63" s="599"/>
      <c r="T63" s="599"/>
      <c r="U63" s="599"/>
      <c r="V63" s="599"/>
    </row>
    <row r="64" spans="1:22">
      <c r="A64" s="599"/>
      <c r="B64" s="599"/>
      <c r="C64" s="599"/>
      <c r="D64" s="599"/>
      <c r="E64" s="599"/>
      <c r="F64" s="599"/>
      <c r="G64" s="599"/>
      <c r="H64" s="599"/>
      <c r="I64" s="599"/>
      <c r="J64" s="599"/>
      <c r="K64" s="599"/>
      <c r="L64" s="599"/>
      <c r="M64" s="599"/>
      <c r="N64" s="599"/>
      <c r="O64" s="599"/>
      <c r="P64" s="599"/>
      <c r="Q64" s="599"/>
      <c r="R64" s="599"/>
      <c r="S64" s="599"/>
      <c r="T64" s="599"/>
      <c r="U64" s="599"/>
      <c r="V64" s="599"/>
    </row>
    <row r="65" spans="1:22">
      <c r="A65" s="599"/>
      <c r="B65" s="599"/>
      <c r="C65" s="599"/>
      <c r="D65" s="599"/>
      <c r="E65" s="599"/>
      <c r="F65" s="599"/>
      <c r="G65" s="599"/>
      <c r="H65" s="599"/>
      <c r="I65" s="599"/>
      <c r="J65" s="599"/>
      <c r="K65" s="599"/>
      <c r="L65" s="599"/>
      <c r="M65" s="599"/>
      <c r="N65" s="599"/>
      <c r="O65" s="599"/>
      <c r="P65" s="599"/>
      <c r="Q65" s="599"/>
      <c r="R65" s="599"/>
      <c r="S65" s="599"/>
      <c r="T65" s="599"/>
      <c r="U65" s="599"/>
      <c r="V65" s="599"/>
    </row>
    <row r="66" spans="1:22">
      <c r="A66" s="599"/>
      <c r="B66" s="599"/>
      <c r="C66" s="599"/>
      <c r="D66" s="599"/>
      <c r="E66" s="599"/>
      <c r="F66" s="599"/>
      <c r="G66" s="599"/>
      <c r="H66" s="599"/>
      <c r="I66" s="599"/>
      <c r="J66" s="599"/>
      <c r="K66" s="599"/>
      <c r="L66" s="599"/>
      <c r="M66" s="599"/>
      <c r="N66" s="599"/>
      <c r="O66" s="599"/>
      <c r="P66" s="599"/>
      <c r="Q66" s="599"/>
      <c r="R66" s="599"/>
      <c r="S66" s="599"/>
      <c r="T66" s="599"/>
      <c r="U66" s="599"/>
      <c r="V66" s="599"/>
    </row>
    <row r="67" spans="1:22">
      <c r="A67" s="599"/>
      <c r="B67" s="599"/>
      <c r="C67" s="599"/>
      <c r="D67" s="599"/>
      <c r="E67" s="599"/>
      <c r="F67" s="599"/>
      <c r="G67" s="599"/>
      <c r="H67" s="599"/>
      <c r="I67" s="599"/>
      <c r="J67" s="599"/>
      <c r="K67" s="599"/>
      <c r="L67" s="599"/>
      <c r="M67" s="599"/>
      <c r="N67" s="599"/>
      <c r="O67" s="599"/>
      <c r="P67" s="599"/>
      <c r="Q67" s="599"/>
      <c r="R67" s="599"/>
      <c r="S67" s="599"/>
      <c r="T67" s="599"/>
      <c r="U67" s="599"/>
      <c r="V67" s="599"/>
    </row>
    <row r="68" spans="1:22">
      <c r="A68" s="599"/>
      <c r="B68" s="599"/>
      <c r="C68" s="599"/>
      <c r="D68" s="599"/>
      <c r="E68" s="599"/>
      <c r="F68" s="599"/>
      <c r="G68" s="599"/>
      <c r="H68" s="599"/>
      <c r="I68" s="599"/>
      <c r="J68" s="599"/>
      <c r="K68" s="599"/>
      <c r="L68" s="599"/>
      <c r="M68" s="599"/>
      <c r="N68" s="599"/>
      <c r="O68" s="599"/>
      <c r="P68" s="599"/>
      <c r="Q68" s="599"/>
      <c r="R68" s="599"/>
      <c r="S68" s="599"/>
      <c r="T68" s="599"/>
      <c r="U68" s="599"/>
      <c r="V68" s="599"/>
    </row>
    <row r="69" spans="1:22">
      <c r="A69" s="599"/>
      <c r="B69" s="599"/>
      <c r="C69" s="599"/>
      <c r="D69" s="599"/>
      <c r="E69" s="599"/>
      <c r="F69" s="599"/>
      <c r="G69" s="599"/>
      <c r="H69" s="599"/>
      <c r="I69" s="599"/>
      <c r="J69" s="599"/>
      <c r="K69" s="599"/>
      <c r="L69" s="599"/>
      <c r="M69" s="599"/>
      <c r="N69" s="599"/>
      <c r="O69" s="599"/>
      <c r="P69" s="599"/>
      <c r="Q69" s="599"/>
      <c r="R69" s="599"/>
      <c r="S69" s="599"/>
      <c r="T69" s="599"/>
      <c r="U69" s="599"/>
      <c r="V69" s="599"/>
    </row>
  </sheetData>
  <phoneticPr fontId="19" type="noConversion"/>
  <pageMargins left="1" right="0.75" top="1" bottom="0" header="0" footer="0"/>
  <pageSetup scale="86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9">
    <tabColor theme="7" tint="-0.249977111117893"/>
    <pageSetUpPr fitToPage="1"/>
  </sheetPr>
  <dimension ref="A1:X69"/>
  <sheetViews>
    <sheetView workbookViewId="0"/>
  </sheetViews>
  <sheetFormatPr defaultColWidth="8" defaultRowHeight="13.2"/>
  <cols>
    <col min="1" max="1" width="8" customWidth="1"/>
    <col min="2" max="2" width="25.44140625" customWidth="1"/>
    <col min="3" max="3" width="8" customWidth="1"/>
    <col min="4" max="4" width="10.44140625" customWidth="1"/>
    <col min="5" max="7" width="8" customWidth="1"/>
    <col min="8" max="8" width="12.44140625" customWidth="1"/>
    <col min="9" max="9" width="10" customWidth="1"/>
    <col min="10" max="10" width="18.44140625" customWidth="1"/>
    <col min="11" max="12" width="8" customWidth="1"/>
    <col min="13" max="13" width="1.5546875" customWidth="1"/>
    <col min="14" max="14" width="36.5546875" customWidth="1"/>
    <col min="15" max="15" width="3.5546875" customWidth="1"/>
    <col min="16" max="16" width="16" customWidth="1"/>
    <col min="17" max="17" width="1.5546875" customWidth="1"/>
    <col min="18" max="18" width="18.44140625" customWidth="1"/>
    <col min="19" max="19" width="2.44140625" customWidth="1"/>
    <col min="20" max="20" width="20.5546875" customWidth="1"/>
  </cols>
  <sheetData>
    <row r="1" spans="1:24">
      <c r="A1" s="951" t="str">
        <f>LOGO!B5</f>
        <v>DUKE ENERGY KENTUCKY, INC.</v>
      </c>
      <c r="B1" s="951"/>
      <c r="C1" s="951"/>
      <c r="D1" s="951"/>
      <c r="E1" s="951"/>
      <c r="F1" s="951"/>
      <c r="G1" s="951"/>
      <c r="H1" s="951"/>
      <c r="I1" s="951"/>
      <c r="J1" s="951"/>
      <c r="K1" s="599"/>
      <c r="L1" s="599"/>
      <c r="M1" s="599"/>
      <c r="N1" s="599"/>
      <c r="O1" s="599"/>
      <c r="P1" s="599"/>
      <c r="Q1" s="599"/>
      <c r="R1" s="599"/>
      <c r="S1" s="599"/>
      <c r="T1" s="599"/>
      <c r="U1" s="599"/>
      <c r="V1" s="599"/>
      <c r="W1" s="599"/>
      <c r="X1" s="599"/>
    </row>
    <row r="2" spans="1:24">
      <c r="A2" s="951" t="str">
        <f>LOGO!B6</f>
        <v>CASE NO. 2024-00354</v>
      </c>
      <c r="B2" s="951"/>
      <c r="C2" s="951"/>
      <c r="D2" s="951"/>
      <c r="E2" s="951"/>
      <c r="F2" s="951"/>
      <c r="G2" s="951"/>
      <c r="H2" s="951"/>
      <c r="I2" s="951"/>
      <c r="J2" s="951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</row>
    <row r="3" spans="1:24">
      <c r="A3" s="968" t="s">
        <v>1917</v>
      </c>
      <c r="B3" s="951"/>
      <c r="C3" s="951"/>
      <c r="D3" s="951"/>
      <c r="E3" s="951"/>
      <c r="F3" s="951"/>
      <c r="G3" s="951"/>
      <c r="H3" s="951"/>
      <c r="I3" s="951"/>
      <c r="J3" s="951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</row>
    <row r="4" spans="1:24">
      <c r="A4" s="951" t="str">
        <f>LOGO!B8</f>
        <v>FOR THE TWELVE MONTHS ENDED JUNE 30, 2026</v>
      </c>
      <c r="B4" s="951"/>
      <c r="C4" s="951"/>
      <c r="D4" s="951"/>
      <c r="E4" s="951"/>
      <c r="F4" s="951"/>
      <c r="G4" s="951"/>
      <c r="H4" s="951"/>
      <c r="I4" s="951"/>
      <c r="J4" s="951"/>
      <c r="K4" s="599"/>
      <c r="L4" s="599"/>
      <c r="M4" s="599"/>
      <c r="N4" s="599"/>
      <c r="O4" s="599"/>
      <c r="P4" s="599"/>
      <c r="Q4" s="599"/>
      <c r="R4" s="599"/>
      <c r="S4" s="599"/>
      <c r="T4" s="599"/>
      <c r="U4" s="599"/>
      <c r="V4" s="599"/>
      <c r="W4" s="599"/>
      <c r="X4" s="599"/>
    </row>
    <row r="5" spans="1:24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  <c r="V5" s="599"/>
      <c r="W5" s="599"/>
      <c r="X5" s="599"/>
    </row>
    <row r="6" spans="1:24">
      <c r="A6" s="599" t="str">
        <f>DataB</f>
        <v>DATA: "X" BASE PERIOD  "X" FORECASTED PERIOD</v>
      </c>
      <c r="B6" s="599"/>
      <c r="C6" s="599"/>
      <c r="D6" s="599"/>
      <c r="E6" s="599"/>
      <c r="F6" s="599"/>
      <c r="G6" s="599"/>
      <c r="H6" s="599"/>
      <c r="I6" s="973" t="s">
        <v>1918</v>
      </c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599"/>
      <c r="V6" s="599"/>
      <c r="W6" s="599"/>
      <c r="X6" s="599"/>
    </row>
    <row r="7" spans="1:24">
      <c r="A7" s="599" t="str">
        <f>LOGO!B15</f>
        <v xml:space="preserve">TYPE OF FILING:  "X" ORIGINAL   UPDATED    REVISED  </v>
      </c>
      <c r="B7" s="599"/>
      <c r="C7" s="599"/>
      <c r="D7" s="599"/>
      <c r="E7" s="599"/>
      <c r="F7" s="599"/>
      <c r="G7" s="599"/>
      <c r="H7" s="599"/>
      <c r="I7" s="598" t="s">
        <v>466</v>
      </c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  <c r="U7" s="599"/>
      <c r="V7" s="599"/>
      <c r="W7" s="599"/>
      <c r="X7" s="599"/>
    </row>
    <row r="8" spans="1:24">
      <c r="A8" s="598" t="s">
        <v>1919</v>
      </c>
      <c r="B8" s="599"/>
      <c r="C8" s="599"/>
      <c r="D8" s="599"/>
      <c r="E8" s="599"/>
      <c r="F8" s="599"/>
      <c r="G8" s="599"/>
      <c r="H8" s="599"/>
      <c r="I8" s="598" t="s">
        <v>468</v>
      </c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  <c r="U8" s="599"/>
      <c r="V8" s="599"/>
      <c r="W8" s="599"/>
      <c r="X8" s="599"/>
    </row>
    <row r="9" spans="1:24">
      <c r="A9" s="599"/>
      <c r="B9" s="599"/>
      <c r="C9" s="599"/>
      <c r="D9" s="599"/>
      <c r="E9" s="599"/>
      <c r="F9" s="599"/>
      <c r="G9" s="599"/>
      <c r="H9" s="599"/>
      <c r="I9" s="598" t="str">
        <f>_WIT10</f>
        <v>G. S. CARPENTER</v>
      </c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  <c r="U9" s="599"/>
      <c r="V9" s="599"/>
      <c r="W9" s="599"/>
      <c r="X9" s="599"/>
    </row>
    <row r="10" spans="1:24">
      <c r="A10" s="1372"/>
      <c r="B10" s="1372"/>
      <c r="C10" s="1372"/>
      <c r="D10" s="1372"/>
      <c r="E10" s="1372"/>
      <c r="F10" s="1372"/>
      <c r="G10" s="1372"/>
      <c r="H10" s="1372"/>
      <c r="I10" s="1372"/>
      <c r="J10" s="1372"/>
      <c r="K10" s="598"/>
      <c r="L10" s="599"/>
      <c r="M10" s="599"/>
      <c r="N10" s="599"/>
      <c r="O10" s="599"/>
      <c r="P10" s="599"/>
      <c r="Q10" s="599"/>
      <c r="R10" s="599"/>
      <c r="S10" s="599"/>
      <c r="T10" s="599"/>
      <c r="U10" s="599"/>
      <c r="V10" s="599"/>
      <c r="W10" s="599"/>
      <c r="X10" s="599"/>
    </row>
    <row r="11" spans="1:24">
      <c r="A11" s="599"/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  <c r="U11" s="599"/>
      <c r="V11" s="599"/>
      <c r="W11" s="599"/>
      <c r="X11" s="599"/>
    </row>
    <row r="12" spans="1:24">
      <c r="A12" s="598" t="s">
        <v>1857</v>
      </c>
      <c r="B12" s="599"/>
      <c r="C12" s="599"/>
      <c r="D12" s="599"/>
      <c r="E12" s="599"/>
      <c r="F12" s="599"/>
      <c r="G12" s="599"/>
      <c r="H12" s="599"/>
      <c r="I12" s="599"/>
      <c r="J12" s="974" t="s">
        <v>975</v>
      </c>
      <c r="K12" s="599"/>
      <c r="L12" s="599"/>
      <c r="M12" s="599"/>
      <c r="N12" s="599"/>
      <c r="O12" s="599"/>
      <c r="P12" s="599"/>
      <c r="Q12" s="599"/>
      <c r="R12" s="599"/>
      <c r="S12" s="599"/>
      <c r="T12" s="599"/>
      <c r="U12" s="599"/>
      <c r="V12" s="599"/>
      <c r="W12" s="599"/>
      <c r="X12" s="599"/>
    </row>
    <row r="13" spans="1:24">
      <c r="A13" s="1372"/>
      <c r="B13" s="1372"/>
      <c r="C13" s="1372"/>
      <c r="D13" s="1372"/>
      <c r="E13" s="1372"/>
      <c r="F13" s="1372"/>
      <c r="G13" s="1372"/>
      <c r="H13" s="1372"/>
      <c r="I13" s="1372"/>
      <c r="J13" s="1372"/>
      <c r="K13" s="598"/>
      <c r="L13" s="599"/>
      <c r="M13" s="599"/>
      <c r="N13" s="599"/>
      <c r="O13" s="599"/>
      <c r="P13" s="599"/>
      <c r="Q13" s="599"/>
      <c r="R13" s="599"/>
      <c r="S13" s="599"/>
      <c r="T13" s="599"/>
      <c r="U13" s="599"/>
      <c r="V13" s="599"/>
      <c r="W13" s="599"/>
      <c r="X13" s="599"/>
    </row>
    <row r="14" spans="1:24">
      <c r="A14" s="599"/>
      <c r="B14" s="599"/>
      <c r="C14" s="599"/>
      <c r="D14" s="599"/>
      <c r="E14" s="599"/>
      <c r="F14" s="599"/>
      <c r="G14" s="599"/>
      <c r="H14" s="599"/>
      <c r="I14" s="599"/>
      <c r="J14" s="974"/>
      <c r="K14" s="599"/>
      <c r="L14" s="599"/>
      <c r="M14" s="599"/>
      <c r="N14" s="599"/>
      <c r="O14" s="599"/>
      <c r="P14" s="599"/>
      <c r="Q14" s="599"/>
      <c r="R14" s="599"/>
      <c r="S14" s="599"/>
      <c r="T14" s="599"/>
      <c r="U14" s="599"/>
      <c r="V14" s="599"/>
      <c r="W14" s="599"/>
      <c r="X14" s="599"/>
    </row>
    <row r="15" spans="1:24">
      <c r="A15" s="169" t="s">
        <v>1920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  <c r="V15" s="599"/>
      <c r="W15" s="599"/>
      <c r="X15" s="599"/>
    </row>
    <row r="16" spans="1:24">
      <c r="A16" s="169" t="s">
        <v>1921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</row>
    <row r="17" spans="1:24">
      <c r="A17" s="598"/>
      <c r="B17" s="599"/>
      <c r="C17" s="599"/>
      <c r="D17" s="599"/>
      <c r="E17" s="599"/>
      <c r="F17" s="599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  <c r="U17" s="599"/>
      <c r="V17" s="599"/>
      <c r="W17" s="599"/>
      <c r="X17" s="599"/>
    </row>
    <row r="18" spans="1:24">
      <c r="A18" s="598"/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  <c r="X18" s="599"/>
    </row>
    <row r="19" spans="1:24">
      <c r="A19" s="598"/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</row>
    <row r="20" spans="1:24">
      <c r="A20" s="598"/>
      <c r="B20" s="599"/>
      <c r="C20" s="599"/>
      <c r="D20" s="599"/>
      <c r="E20" s="599"/>
      <c r="F20" s="599"/>
      <c r="G20" s="599"/>
      <c r="H20" s="974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  <c r="U20" s="599"/>
      <c r="V20" s="599"/>
      <c r="W20" s="599"/>
      <c r="X20" s="599"/>
    </row>
    <row r="21" spans="1:24">
      <c r="A21" s="734"/>
      <c r="B21" s="599"/>
      <c r="C21" s="599"/>
      <c r="D21" s="599"/>
      <c r="E21" s="599"/>
      <c r="F21" s="599"/>
      <c r="G21" s="599"/>
      <c r="H21" s="96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  <c r="U21" s="599"/>
      <c r="V21" s="599"/>
      <c r="W21" s="599"/>
      <c r="X21" s="599"/>
    </row>
    <row r="22" spans="1:24">
      <c r="A22" s="599"/>
      <c r="B22" s="599"/>
      <c r="C22" s="599"/>
      <c r="D22" s="599"/>
      <c r="E22" s="599"/>
      <c r="F22" s="599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  <c r="U22" s="599"/>
      <c r="V22" s="599"/>
      <c r="W22" s="599"/>
      <c r="X22" s="599"/>
    </row>
    <row r="23" spans="1:24">
      <c r="A23" s="598" t="s">
        <v>1922</v>
      </c>
      <c r="B23" s="599"/>
      <c r="C23" s="599"/>
      <c r="D23" s="599"/>
      <c r="E23" s="599"/>
      <c r="F23" s="599"/>
      <c r="G23" s="599"/>
      <c r="H23" s="599"/>
      <c r="I23" s="704"/>
      <c r="J23" s="682">
        <f>T53</f>
        <v>338753</v>
      </c>
      <c r="K23" s="599"/>
      <c r="L23" s="599"/>
      <c r="M23" s="599"/>
      <c r="N23" s="599"/>
      <c r="O23" s="599"/>
      <c r="P23" s="599"/>
      <c r="Q23" s="599"/>
      <c r="R23" s="599"/>
      <c r="S23" s="599"/>
      <c r="T23" s="599"/>
      <c r="U23" s="599"/>
      <c r="V23" s="599"/>
      <c r="W23" s="599"/>
      <c r="X23" s="599"/>
    </row>
    <row r="24" spans="1:24">
      <c r="A24" s="599"/>
      <c r="B24" s="599"/>
      <c r="C24" s="599"/>
      <c r="D24" s="599"/>
      <c r="E24" s="599"/>
      <c r="F24" s="599"/>
      <c r="G24" s="599"/>
      <c r="H24" s="599"/>
      <c r="I24" s="599"/>
      <c r="J24" s="704"/>
      <c r="K24" s="599"/>
      <c r="L24" s="599"/>
      <c r="M24" s="599"/>
      <c r="N24" s="599"/>
      <c r="O24" s="599"/>
      <c r="P24" s="599"/>
      <c r="Q24" s="599"/>
      <c r="R24" s="599"/>
      <c r="S24" s="599"/>
      <c r="T24" s="599"/>
      <c r="U24" s="599"/>
      <c r="V24" s="599"/>
      <c r="W24" s="599"/>
      <c r="X24" s="599"/>
    </row>
    <row r="25" spans="1:24">
      <c r="A25" s="599"/>
      <c r="B25" s="599"/>
      <c r="C25" s="599"/>
      <c r="D25" s="599"/>
      <c r="E25" s="599"/>
      <c r="F25" s="599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  <c r="U25" s="599"/>
      <c r="V25" s="599"/>
      <c r="W25" s="599"/>
      <c r="X25" s="599"/>
    </row>
    <row r="26" spans="1:24">
      <c r="A26" s="598" t="s">
        <v>1862</v>
      </c>
      <c r="B26" s="599"/>
      <c r="C26" s="599"/>
      <c r="D26" s="599"/>
      <c r="E26" s="599"/>
      <c r="F26" s="599"/>
      <c r="G26" s="599"/>
      <c r="H26" s="599"/>
      <c r="I26" s="599"/>
      <c r="J26" s="703">
        <f>VLOOKUP(D33,ALLOCTABLE,2)/100</f>
        <v>1</v>
      </c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  <c r="X26" s="599"/>
    </row>
    <row r="27" spans="1:24">
      <c r="A27" s="599"/>
      <c r="B27" s="599"/>
      <c r="C27" s="599"/>
      <c r="D27" s="599"/>
      <c r="E27" s="599"/>
      <c r="F27" s="599"/>
      <c r="G27" s="599"/>
      <c r="H27" s="599"/>
      <c r="I27" s="599"/>
      <c r="J27" s="704"/>
      <c r="K27" s="599"/>
      <c r="L27" s="599"/>
      <c r="M27" s="599"/>
      <c r="N27" s="599"/>
      <c r="O27" s="599"/>
      <c r="P27" s="599"/>
      <c r="Q27" s="599"/>
      <c r="R27" s="599"/>
      <c r="S27" s="599"/>
      <c r="T27" s="599"/>
      <c r="U27" s="599"/>
      <c r="V27" s="599"/>
      <c r="W27" s="599"/>
      <c r="X27" s="599"/>
    </row>
    <row r="28" spans="1:24">
      <c r="A28" s="599"/>
      <c r="B28" s="599"/>
      <c r="C28" s="599"/>
      <c r="D28" s="599"/>
      <c r="E28" s="599"/>
      <c r="F28" s="599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  <c r="V28" s="599"/>
      <c r="W28" s="599"/>
      <c r="X28" s="599"/>
    </row>
    <row r="29" spans="1:24" ht="15">
      <c r="A29" s="598" t="s">
        <v>1863</v>
      </c>
      <c r="B29" s="599"/>
      <c r="C29" s="599"/>
      <c r="D29" s="599"/>
      <c r="E29" s="599"/>
      <c r="F29" s="598" t="s">
        <v>1876</v>
      </c>
      <c r="G29" s="599"/>
      <c r="H29" s="599"/>
      <c r="I29" s="704"/>
      <c r="J29" s="705">
        <f>ROUND(J23*J26,0)</f>
        <v>338753</v>
      </c>
      <c r="K29" s="599"/>
      <c r="L29" s="599"/>
      <c r="M29" s="599"/>
      <c r="N29" s="599"/>
      <c r="O29" s="599"/>
      <c r="P29" s="599"/>
      <c r="Q29" s="599"/>
      <c r="R29" s="599"/>
      <c r="S29" s="599"/>
      <c r="T29" s="599"/>
      <c r="U29" s="599"/>
      <c r="V29" s="599"/>
      <c r="W29" s="599"/>
      <c r="X29" s="599"/>
    </row>
    <row r="30" spans="1:24">
      <c r="A30" s="599"/>
      <c r="B30" s="599"/>
      <c r="C30" s="599"/>
      <c r="D30" s="599"/>
      <c r="E30" s="599"/>
      <c r="F30" s="599"/>
      <c r="G30" s="599"/>
      <c r="H30" s="599"/>
      <c r="I30" s="599"/>
      <c r="J30" s="704"/>
      <c r="K30" s="599"/>
      <c r="L30" s="599"/>
      <c r="M30" s="599"/>
      <c r="N30" s="599"/>
      <c r="O30" s="599"/>
      <c r="P30" s="599"/>
      <c r="Q30" s="599"/>
      <c r="R30" s="599"/>
      <c r="S30" s="599"/>
      <c r="T30" s="599"/>
      <c r="U30" s="599"/>
      <c r="V30" s="599"/>
      <c r="W30" s="599"/>
      <c r="X30" s="599"/>
    </row>
    <row r="31" spans="1:24">
      <c r="A31" s="599"/>
      <c r="B31" s="599"/>
      <c r="C31" s="599"/>
      <c r="D31" s="599"/>
      <c r="E31" s="599"/>
      <c r="F31" s="599"/>
      <c r="G31" s="599"/>
      <c r="H31" s="599"/>
      <c r="I31" s="599"/>
      <c r="J31" s="599"/>
      <c r="K31" s="599"/>
      <c r="L31" s="599"/>
      <c r="M31" s="599"/>
      <c r="N31" s="599"/>
      <c r="O31" s="599"/>
      <c r="P31" s="599"/>
      <c r="Q31" s="599"/>
      <c r="R31" s="599"/>
      <c r="S31" s="599"/>
      <c r="T31" s="599"/>
      <c r="U31" s="599"/>
      <c r="V31" s="599"/>
      <c r="W31" s="599"/>
      <c r="X31" s="599"/>
    </row>
    <row r="32" spans="1:24">
      <c r="A32" s="599"/>
      <c r="B32" s="599"/>
      <c r="C32" s="599"/>
      <c r="D32" s="599"/>
      <c r="E32" s="599"/>
      <c r="F32" s="599"/>
      <c r="G32" s="599"/>
      <c r="H32" s="599"/>
      <c r="I32" s="599"/>
      <c r="J32" s="599"/>
      <c r="K32" s="599"/>
      <c r="L32" s="599"/>
      <c r="M32" s="599"/>
      <c r="N32" s="599"/>
      <c r="O32" s="599"/>
      <c r="P32" s="599"/>
      <c r="Q32" s="599"/>
      <c r="R32" s="599"/>
      <c r="S32" s="599"/>
      <c r="T32" s="599"/>
      <c r="U32" s="599"/>
      <c r="V32" s="599"/>
      <c r="W32" s="599"/>
      <c r="X32" s="599"/>
    </row>
    <row r="33" spans="1:24">
      <c r="A33" s="598" t="s">
        <v>1864</v>
      </c>
      <c r="B33" s="599"/>
      <c r="C33" s="599"/>
      <c r="D33" s="966" t="s">
        <v>428</v>
      </c>
      <c r="E33" s="599"/>
      <c r="F33" s="599"/>
      <c r="G33" s="599"/>
      <c r="H33" s="599"/>
      <c r="I33" s="599"/>
      <c r="J33" s="599"/>
      <c r="K33" s="599"/>
      <c r="L33" s="599"/>
      <c r="M33" s="599"/>
      <c r="N33" s="599"/>
      <c r="O33" s="599"/>
      <c r="P33" s="599"/>
      <c r="Q33" s="599"/>
      <c r="R33" s="599"/>
      <c r="S33" s="599"/>
      <c r="T33" s="599"/>
      <c r="U33" s="599"/>
      <c r="V33" s="599"/>
      <c r="W33" s="599"/>
      <c r="X33" s="599"/>
    </row>
    <row r="34" spans="1:24">
      <c r="A34" s="598"/>
      <c r="B34" s="599"/>
      <c r="C34" s="599"/>
      <c r="D34" s="599"/>
      <c r="E34" s="599"/>
      <c r="F34" s="599"/>
      <c r="G34" s="599"/>
      <c r="H34" s="599"/>
      <c r="I34" s="599"/>
      <c r="J34" s="599"/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  <c r="W34" s="599"/>
      <c r="X34" s="599"/>
    </row>
    <row r="35" spans="1:24">
      <c r="A35" s="599"/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599"/>
      <c r="O35" s="599"/>
      <c r="P35" s="599"/>
      <c r="Q35" s="599"/>
      <c r="R35" s="599"/>
      <c r="S35" s="599"/>
      <c r="T35" s="599"/>
      <c r="U35" s="599"/>
      <c r="V35" s="599"/>
      <c r="W35" s="599"/>
      <c r="X35" s="599"/>
    </row>
    <row r="36" spans="1:24">
      <c r="A36" s="599"/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599"/>
      <c r="O36" s="599"/>
      <c r="P36" s="599"/>
      <c r="Q36" s="599"/>
      <c r="R36" s="599"/>
      <c r="S36" s="599"/>
      <c r="T36" s="599"/>
      <c r="U36" s="599"/>
      <c r="V36" s="599"/>
      <c r="W36" s="599"/>
      <c r="X36" s="599"/>
    </row>
    <row r="37" spans="1:24">
      <c r="A37" s="599"/>
      <c r="B37" s="599"/>
      <c r="C37" s="599"/>
      <c r="D37" s="599"/>
      <c r="E37" s="599"/>
      <c r="F37" s="599"/>
      <c r="G37" s="599"/>
      <c r="H37" s="599"/>
      <c r="I37" s="599"/>
      <c r="J37" s="599"/>
      <c r="K37" s="599"/>
      <c r="L37" s="599"/>
      <c r="M37" s="599"/>
      <c r="N37" s="599"/>
      <c r="O37" s="599"/>
      <c r="P37" s="599"/>
      <c r="Q37" s="599"/>
      <c r="R37" s="599"/>
      <c r="S37" s="599"/>
      <c r="T37" s="599"/>
      <c r="U37" s="599"/>
      <c r="V37" s="599"/>
      <c r="W37" s="599"/>
      <c r="X37" s="599"/>
    </row>
    <row r="38" spans="1:24">
      <c r="A38" s="599"/>
      <c r="B38" s="599"/>
      <c r="C38" s="599"/>
      <c r="D38" s="599"/>
      <c r="E38" s="599"/>
      <c r="F38" s="599"/>
      <c r="G38" s="599"/>
      <c r="H38" s="599"/>
      <c r="I38" s="599"/>
      <c r="J38" s="59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  <c r="V38" s="599"/>
      <c r="W38" s="599"/>
      <c r="X38" s="599"/>
    </row>
    <row r="39" spans="1:24">
      <c r="A39" s="599"/>
      <c r="B39" s="599"/>
      <c r="C39" s="599"/>
      <c r="D39" s="599"/>
      <c r="E39" s="599"/>
      <c r="F39" s="599"/>
      <c r="G39" s="599"/>
      <c r="H39" s="599"/>
      <c r="I39" s="599"/>
      <c r="J39" s="599"/>
      <c r="K39" s="599"/>
      <c r="L39" s="599"/>
      <c r="M39" s="599"/>
      <c r="N39" s="599"/>
      <c r="O39" s="599"/>
      <c r="P39" s="599"/>
      <c r="Q39" s="599"/>
      <c r="R39" s="599"/>
      <c r="S39" s="599"/>
      <c r="T39" s="599"/>
      <c r="U39" s="599"/>
      <c r="V39" s="599"/>
      <c r="W39" s="599"/>
      <c r="X39" s="599"/>
    </row>
    <row r="40" spans="1:24">
      <c r="A40" s="599"/>
      <c r="B40" s="599"/>
      <c r="C40" s="599"/>
      <c r="D40" s="599"/>
      <c r="E40" s="599"/>
      <c r="F40" s="599"/>
      <c r="G40" s="599"/>
      <c r="H40" s="599"/>
      <c r="I40" s="599"/>
      <c r="J40" s="599"/>
      <c r="K40" s="599"/>
      <c r="L40" s="599"/>
      <c r="M40" s="599"/>
      <c r="N40" s="599"/>
      <c r="O40" s="599"/>
      <c r="P40" s="599"/>
      <c r="Q40" s="599"/>
      <c r="R40" s="599"/>
      <c r="S40" s="599"/>
      <c r="T40" s="599"/>
      <c r="U40" s="599"/>
      <c r="V40" s="599"/>
      <c r="W40" s="599"/>
      <c r="X40" s="599"/>
    </row>
    <row r="41" spans="1:24">
      <c r="A41" s="599"/>
      <c r="B41" s="599"/>
      <c r="C41" s="599"/>
      <c r="D41" s="599"/>
      <c r="E41" s="599"/>
      <c r="F41" s="599"/>
      <c r="G41" s="599"/>
      <c r="H41" s="599"/>
      <c r="I41" s="599"/>
      <c r="J41" s="599"/>
      <c r="K41" s="599"/>
      <c r="L41" s="599"/>
      <c r="M41" s="599"/>
      <c r="N41" s="599"/>
      <c r="O41" s="599"/>
      <c r="P41" s="599"/>
      <c r="Q41" s="599"/>
      <c r="R41" s="599"/>
      <c r="S41" s="599"/>
      <c r="T41" s="599"/>
      <c r="U41" s="599"/>
      <c r="V41" s="599"/>
      <c r="W41" s="599"/>
      <c r="X41" s="599"/>
    </row>
    <row r="42" spans="1:24">
      <c r="A42" s="599"/>
      <c r="B42" s="599"/>
      <c r="C42" s="599"/>
      <c r="D42" s="599"/>
      <c r="E42" s="599"/>
      <c r="F42" s="599"/>
      <c r="G42" s="599"/>
      <c r="H42" s="599"/>
      <c r="I42" s="599"/>
      <c r="J42" s="599"/>
      <c r="K42" s="599"/>
      <c r="L42" s="599"/>
      <c r="M42" s="599"/>
      <c r="N42" s="599"/>
      <c r="O42" s="599"/>
      <c r="P42" s="599"/>
      <c r="Q42" s="599"/>
      <c r="R42" s="599"/>
      <c r="S42" s="599"/>
      <c r="T42" s="599"/>
      <c r="U42" s="599"/>
      <c r="V42" s="599"/>
      <c r="W42" s="599"/>
      <c r="X42" s="599"/>
    </row>
    <row r="43" spans="1:24">
      <c r="A43" s="599"/>
      <c r="B43" s="599"/>
      <c r="C43" s="599"/>
      <c r="D43" s="599"/>
      <c r="E43" s="599"/>
      <c r="F43" s="599"/>
      <c r="G43" s="599"/>
      <c r="H43" s="599"/>
      <c r="I43" s="599"/>
      <c r="J43" s="599"/>
      <c r="K43" s="599"/>
      <c r="L43" s="779" t="str">
        <f>COMPANY</f>
        <v>DUKE ENERGY KENTUCKY, INC.</v>
      </c>
      <c r="M43" s="253"/>
      <c r="N43" s="253"/>
      <c r="O43" s="253"/>
      <c r="P43" s="253"/>
      <c r="Q43" s="253"/>
      <c r="S43" s="779" t="s">
        <v>1923</v>
      </c>
      <c r="T43" s="597"/>
      <c r="U43" s="599"/>
      <c r="V43" s="599"/>
      <c r="W43" s="599"/>
      <c r="X43" s="599"/>
    </row>
    <row r="44" spans="1:24">
      <c r="A44" s="599"/>
      <c r="B44" s="599"/>
      <c r="C44" s="599"/>
      <c r="D44" s="599"/>
      <c r="E44" s="599"/>
      <c r="F44" s="599"/>
      <c r="G44" s="599"/>
      <c r="H44" s="599"/>
      <c r="I44" s="599"/>
      <c r="J44" s="599"/>
      <c r="K44" s="599"/>
      <c r="L44" s="779" t="str">
        <f>DEPT</f>
        <v>ELECTRIC DEPARTMENT</v>
      </c>
      <c r="M44" s="253"/>
      <c r="N44" s="253"/>
      <c r="O44" s="253"/>
      <c r="P44" s="253"/>
      <c r="Q44" s="253"/>
      <c r="S44" s="779" t="s">
        <v>1866</v>
      </c>
      <c r="T44" s="597"/>
      <c r="U44" s="599"/>
      <c r="V44" s="599"/>
      <c r="W44" s="599"/>
      <c r="X44" s="599"/>
    </row>
    <row r="45" spans="1:24">
      <c r="A45" s="599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779" t="str">
        <f>CASE</f>
        <v>CASE NO. 2024-00354</v>
      </c>
      <c r="M45" s="253"/>
      <c r="N45" s="253"/>
      <c r="O45" s="253"/>
      <c r="P45" s="253"/>
      <c r="Q45" s="253"/>
      <c r="S45" s="253" t="str">
        <f>_WIT10</f>
        <v>G. S. CARPENTER</v>
      </c>
      <c r="T45" s="597"/>
      <c r="U45" s="599"/>
      <c r="V45" s="599"/>
      <c r="W45" s="599"/>
      <c r="X45" s="599"/>
    </row>
    <row r="46" spans="1:24">
      <c r="A46" s="599"/>
      <c r="B46" s="599"/>
      <c r="C46" s="599"/>
      <c r="D46" s="599"/>
      <c r="E46" s="599"/>
      <c r="F46" s="599"/>
      <c r="G46" s="599"/>
      <c r="H46" s="599"/>
      <c r="I46" s="599"/>
      <c r="J46" s="599"/>
      <c r="K46" s="599"/>
      <c r="L46" s="779" t="s">
        <v>1924</v>
      </c>
      <c r="M46" s="253"/>
      <c r="N46" s="253"/>
      <c r="O46" s="253"/>
      <c r="P46" s="253"/>
      <c r="Q46" s="253"/>
      <c r="R46" s="961"/>
      <c r="S46" s="253"/>
      <c r="T46" s="597"/>
      <c r="U46" s="599"/>
      <c r="V46" s="599"/>
      <c r="W46" s="599"/>
      <c r="X46" s="599"/>
    </row>
    <row r="47" spans="1:24">
      <c r="A47" s="599"/>
      <c r="B47" s="599"/>
      <c r="C47" s="599"/>
      <c r="D47" s="599"/>
      <c r="E47" s="599"/>
      <c r="F47" s="599"/>
      <c r="G47" s="599"/>
      <c r="H47" s="599"/>
      <c r="I47" s="599"/>
      <c r="J47" s="599"/>
      <c r="K47" s="599"/>
      <c r="L47" s="779" t="s">
        <v>1925</v>
      </c>
      <c r="M47" s="253"/>
      <c r="N47" s="253"/>
      <c r="O47" s="253"/>
      <c r="P47" s="253"/>
      <c r="Q47" s="253"/>
      <c r="R47" s="253"/>
      <c r="S47" s="253"/>
      <c r="T47" s="597"/>
      <c r="U47" s="599"/>
      <c r="V47" s="599"/>
      <c r="W47" s="599"/>
      <c r="X47" s="599"/>
    </row>
    <row r="48" spans="1:24">
      <c r="A48" s="599"/>
      <c r="B48" s="599"/>
      <c r="C48" s="599"/>
      <c r="D48" s="599"/>
      <c r="E48" s="599"/>
      <c r="F48" s="599"/>
      <c r="G48" s="599"/>
      <c r="H48" s="599"/>
      <c r="I48" s="599"/>
      <c r="J48" s="599"/>
      <c r="K48" s="599"/>
      <c r="L48" s="597"/>
      <c r="M48" s="597"/>
      <c r="N48" s="597"/>
      <c r="O48" s="597"/>
      <c r="P48" s="597"/>
      <c r="Q48" s="597"/>
      <c r="R48" s="597"/>
      <c r="S48" s="597"/>
      <c r="T48" s="597"/>
      <c r="U48" s="599"/>
      <c r="V48" s="599"/>
      <c r="W48" s="599"/>
      <c r="X48" s="599"/>
    </row>
    <row r="49" spans="1:24">
      <c r="A49" s="599"/>
      <c r="B49" s="599"/>
      <c r="C49" s="599"/>
      <c r="D49" s="599"/>
      <c r="E49" s="599"/>
      <c r="F49" s="599"/>
      <c r="G49" s="599"/>
      <c r="H49" s="599"/>
      <c r="I49" s="599"/>
      <c r="J49" s="599"/>
      <c r="K49" s="599"/>
      <c r="L49" s="597"/>
      <c r="M49" s="597"/>
      <c r="N49" s="597"/>
      <c r="O49" s="597"/>
      <c r="P49" s="597"/>
      <c r="Q49" s="597"/>
      <c r="R49" s="597"/>
      <c r="S49" s="597"/>
      <c r="T49" s="597"/>
      <c r="U49" s="599"/>
      <c r="V49" s="599"/>
      <c r="W49" s="599"/>
      <c r="X49" s="599"/>
    </row>
    <row r="50" spans="1:24">
      <c r="A50" s="599"/>
      <c r="B50" s="599"/>
      <c r="C50" s="599"/>
      <c r="D50" s="599"/>
      <c r="E50" s="599"/>
      <c r="F50" s="599"/>
      <c r="G50" s="599"/>
      <c r="H50" s="599"/>
      <c r="I50" s="599"/>
      <c r="J50" s="599"/>
      <c r="K50" s="599"/>
      <c r="L50" s="701" t="s">
        <v>573</v>
      </c>
      <c r="M50" s="701"/>
      <c r="N50" s="701"/>
      <c r="O50" s="701"/>
      <c r="P50" s="701" t="s">
        <v>13</v>
      </c>
      <c r="Q50" s="701"/>
      <c r="R50" s="701" t="s">
        <v>417</v>
      </c>
      <c r="S50" s="701"/>
      <c r="T50" s="701"/>
      <c r="U50" s="599"/>
      <c r="V50" s="599"/>
      <c r="W50" s="599"/>
      <c r="X50" s="599"/>
    </row>
    <row r="51" spans="1:24">
      <c r="A51" s="599"/>
      <c r="B51" s="599"/>
      <c r="C51" s="599"/>
      <c r="D51" s="599"/>
      <c r="E51" s="599"/>
      <c r="F51" s="599"/>
      <c r="G51" s="599"/>
      <c r="H51" s="599"/>
      <c r="I51" s="599"/>
      <c r="J51" s="599"/>
      <c r="K51" s="599"/>
      <c r="L51" s="702" t="s">
        <v>576</v>
      </c>
      <c r="M51" s="702"/>
      <c r="N51" s="702" t="s">
        <v>2</v>
      </c>
      <c r="O51" s="702"/>
      <c r="P51" s="702" t="s">
        <v>418</v>
      </c>
      <c r="Q51" s="702"/>
      <c r="R51" s="702" t="s">
        <v>418</v>
      </c>
      <c r="S51" s="702"/>
      <c r="T51" s="702" t="s">
        <v>698</v>
      </c>
      <c r="U51" s="599"/>
      <c r="V51" s="599"/>
      <c r="W51" s="599"/>
      <c r="X51" s="599"/>
    </row>
    <row r="52" spans="1:24">
      <c r="A52" s="599"/>
      <c r="B52" s="599"/>
      <c r="C52" s="599"/>
      <c r="D52" s="599"/>
      <c r="E52" s="599"/>
      <c r="F52" s="599"/>
      <c r="G52" s="599"/>
      <c r="H52" s="599"/>
      <c r="I52" s="599"/>
      <c r="J52" s="599"/>
      <c r="K52" s="599"/>
      <c r="L52" s="597"/>
      <c r="M52" s="597"/>
      <c r="N52" s="597"/>
      <c r="O52" s="597"/>
      <c r="P52" s="597"/>
      <c r="Q52" s="597"/>
      <c r="R52" s="597"/>
      <c r="S52" s="597"/>
      <c r="T52" s="597"/>
      <c r="U52" s="599"/>
      <c r="V52" s="599"/>
      <c r="W52" s="599"/>
      <c r="X52" s="599"/>
    </row>
    <row r="53" spans="1:24" ht="13.8" thickBot="1">
      <c r="A53" s="599"/>
      <c r="B53" s="599"/>
      <c r="C53" s="599"/>
      <c r="D53" s="599"/>
      <c r="E53" s="599"/>
      <c r="F53" s="599"/>
      <c r="G53" s="599"/>
      <c r="H53" s="599"/>
      <c r="I53" s="599"/>
      <c r="J53" s="599"/>
      <c r="K53" s="599"/>
      <c r="L53" s="701">
        <v>1</v>
      </c>
      <c r="M53" s="597"/>
      <c r="N53" s="598" t="s">
        <v>460</v>
      </c>
      <c r="O53" s="597"/>
      <c r="P53" s="1954">
        <f>SCH_C2!E33</f>
        <v>1175527</v>
      </c>
      <c r="Q53" s="597"/>
      <c r="R53" s="1954">
        <f>SCH_C2!H33</f>
        <v>1514280</v>
      </c>
      <c r="S53" s="597"/>
      <c r="T53" s="1954">
        <f>R53-P53</f>
        <v>338753</v>
      </c>
      <c r="U53" s="599"/>
      <c r="V53" s="599"/>
      <c r="W53" s="599"/>
      <c r="X53" s="599"/>
    </row>
    <row r="54" spans="1:24" ht="13.8" thickTop="1">
      <c r="A54" s="599"/>
      <c r="B54" s="599"/>
      <c r="C54" s="599"/>
      <c r="D54" s="599"/>
      <c r="E54" s="599"/>
      <c r="F54" s="599"/>
      <c r="G54" s="599"/>
      <c r="H54" s="599"/>
      <c r="I54" s="599"/>
      <c r="J54" s="599"/>
      <c r="K54" s="599"/>
      <c r="L54" s="701"/>
      <c r="M54" s="597"/>
      <c r="N54" s="597"/>
      <c r="O54" s="597"/>
      <c r="P54" s="597"/>
      <c r="Q54" s="597"/>
      <c r="R54" s="597"/>
      <c r="S54" s="597"/>
      <c r="T54" s="597"/>
      <c r="U54" s="599"/>
      <c r="V54" s="599"/>
      <c r="W54" s="599"/>
      <c r="X54" s="599"/>
    </row>
    <row r="55" spans="1:24">
      <c r="A55" s="599"/>
      <c r="B55" s="599"/>
      <c r="C55" s="599"/>
      <c r="D55" s="599"/>
      <c r="E55" s="599"/>
      <c r="F55" s="599"/>
      <c r="G55" s="599"/>
      <c r="H55" s="599"/>
      <c r="I55" s="599"/>
      <c r="J55" s="599"/>
      <c r="K55" s="599"/>
      <c r="L55" s="597"/>
      <c r="M55" s="597"/>
      <c r="N55" s="597"/>
      <c r="O55" s="597"/>
      <c r="P55" s="597"/>
      <c r="Q55" s="597"/>
      <c r="R55" s="597"/>
      <c r="S55" s="597"/>
      <c r="T55" s="597"/>
      <c r="U55" s="599"/>
      <c r="V55" s="599"/>
      <c r="W55" s="599"/>
      <c r="X55" s="599"/>
    </row>
    <row r="56" spans="1:24">
      <c r="A56" s="599"/>
      <c r="B56" s="599"/>
      <c r="C56" s="599"/>
      <c r="D56" s="599"/>
      <c r="E56" s="599"/>
      <c r="F56" s="599"/>
      <c r="G56" s="599"/>
      <c r="H56" s="599"/>
      <c r="I56" s="599"/>
      <c r="J56" s="599"/>
      <c r="K56" s="599"/>
      <c r="L56" s="597"/>
      <c r="M56" s="597"/>
      <c r="N56" s="597"/>
      <c r="O56" s="597"/>
      <c r="P56" s="597"/>
      <c r="Q56" s="597"/>
      <c r="R56" s="597"/>
      <c r="S56" s="597"/>
      <c r="T56" s="597"/>
      <c r="U56" s="599"/>
      <c r="V56" s="599"/>
      <c r="W56" s="599"/>
      <c r="X56" s="599"/>
    </row>
    <row r="57" spans="1:24">
      <c r="A57" s="599"/>
      <c r="B57" s="599"/>
      <c r="C57" s="599"/>
      <c r="D57" s="599"/>
      <c r="E57" s="599"/>
      <c r="F57" s="599"/>
      <c r="G57" s="599"/>
      <c r="H57" s="599"/>
      <c r="I57" s="599"/>
      <c r="J57" s="599"/>
      <c r="K57" s="599"/>
      <c r="L57" s="597"/>
      <c r="M57" s="597"/>
      <c r="N57" s="597"/>
      <c r="O57" s="597"/>
      <c r="P57" s="597"/>
      <c r="Q57" s="597"/>
      <c r="R57" s="597"/>
      <c r="S57" s="597"/>
      <c r="T57" s="701" t="s">
        <v>1869</v>
      </c>
      <c r="U57" s="599"/>
      <c r="V57" s="599"/>
      <c r="W57" s="599"/>
      <c r="X57" s="599"/>
    </row>
    <row r="58" spans="1:24">
      <c r="A58" s="599"/>
      <c r="B58" s="599"/>
      <c r="C58" s="599"/>
      <c r="D58" s="599"/>
      <c r="E58" s="599"/>
      <c r="F58" s="599"/>
      <c r="G58" s="599"/>
      <c r="H58" s="599"/>
      <c r="I58" s="599"/>
      <c r="J58" s="599"/>
      <c r="K58" s="599"/>
      <c r="L58" s="599"/>
      <c r="M58" s="599"/>
      <c r="N58" s="599"/>
      <c r="O58" s="599"/>
      <c r="P58" s="599"/>
      <c r="Q58" s="599"/>
      <c r="R58" s="599"/>
      <c r="S58" s="599"/>
      <c r="T58" s="599"/>
      <c r="U58" s="599"/>
      <c r="V58" s="599"/>
      <c r="W58" s="599"/>
      <c r="X58" s="599"/>
    </row>
    <row r="59" spans="1:24">
      <c r="A59" s="599"/>
      <c r="B59" s="599"/>
      <c r="C59" s="599"/>
      <c r="D59" s="599"/>
      <c r="E59" s="599"/>
      <c r="F59" s="599"/>
      <c r="G59" s="599"/>
      <c r="H59" s="599"/>
      <c r="I59" s="599"/>
      <c r="J59" s="599"/>
      <c r="K59" s="599"/>
      <c r="L59" s="599"/>
      <c r="M59" s="599"/>
      <c r="N59" s="599"/>
      <c r="O59" s="599"/>
      <c r="P59" s="599"/>
      <c r="Q59" s="599"/>
      <c r="R59" s="599"/>
      <c r="S59" s="599"/>
      <c r="T59" s="599"/>
      <c r="U59" s="599"/>
      <c r="V59" s="599"/>
      <c r="W59" s="599"/>
      <c r="X59" s="599"/>
    </row>
    <row r="60" spans="1:24">
      <c r="A60" s="599"/>
      <c r="B60" s="599"/>
      <c r="C60" s="599"/>
      <c r="D60" s="599"/>
      <c r="E60" s="599"/>
      <c r="F60" s="599"/>
      <c r="G60" s="599"/>
      <c r="H60" s="599"/>
      <c r="I60" s="599"/>
      <c r="J60" s="599"/>
      <c r="K60" s="599"/>
      <c r="L60" s="599"/>
      <c r="M60" s="599"/>
      <c r="N60" s="599"/>
      <c r="O60" s="599"/>
      <c r="P60" s="599"/>
      <c r="Q60" s="599"/>
      <c r="R60" s="1051"/>
      <c r="S60" s="599"/>
      <c r="T60" s="599"/>
      <c r="U60" s="599"/>
      <c r="V60" s="599"/>
      <c r="W60" s="599"/>
      <c r="X60" s="599"/>
    </row>
    <row r="61" spans="1:24">
      <c r="A61" s="599"/>
      <c r="B61" s="599"/>
      <c r="C61" s="599"/>
      <c r="D61" s="599"/>
      <c r="E61" s="599"/>
      <c r="F61" s="599"/>
      <c r="G61" s="599"/>
      <c r="H61" s="599"/>
      <c r="I61" s="599"/>
      <c r="J61" s="599"/>
      <c r="K61" s="599"/>
      <c r="L61" s="599"/>
      <c r="M61" s="599"/>
      <c r="N61" s="599"/>
      <c r="O61" s="599"/>
      <c r="P61" s="599"/>
      <c r="Q61" s="599"/>
      <c r="R61" s="599"/>
      <c r="S61" s="599"/>
      <c r="T61" s="599"/>
      <c r="U61" s="599"/>
      <c r="V61" s="599"/>
      <c r="W61" s="599"/>
      <c r="X61" s="599"/>
    </row>
    <row r="62" spans="1:24">
      <c r="A62" s="599"/>
      <c r="B62" s="599"/>
      <c r="C62" s="599"/>
      <c r="D62" s="599"/>
      <c r="E62" s="599"/>
      <c r="F62" s="599"/>
      <c r="G62" s="599"/>
      <c r="H62" s="599"/>
      <c r="I62" s="599"/>
      <c r="J62" s="599"/>
      <c r="K62" s="599"/>
      <c r="L62" s="599"/>
      <c r="M62" s="599"/>
      <c r="N62" s="599"/>
      <c r="O62" s="599"/>
      <c r="P62" s="599"/>
      <c r="Q62" s="599"/>
      <c r="R62" s="599"/>
      <c r="S62" s="599"/>
      <c r="T62" s="599"/>
      <c r="U62" s="599"/>
      <c r="V62" s="599"/>
      <c r="W62" s="599"/>
      <c r="X62" s="599"/>
    </row>
    <row r="63" spans="1:24">
      <c r="A63" s="599"/>
      <c r="B63" s="599"/>
      <c r="C63" s="599"/>
      <c r="D63" s="599"/>
      <c r="E63" s="599"/>
      <c r="F63" s="599"/>
      <c r="G63" s="599"/>
      <c r="H63" s="599"/>
      <c r="I63" s="599"/>
      <c r="J63" s="599"/>
      <c r="K63" s="599"/>
      <c r="L63" s="599"/>
      <c r="M63" s="599"/>
      <c r="N63" s="599"/>
      <c r="O63" s="599"/>
      <c r="P63" s="599"/>
      <c r="Q63" s="599"/>
      <c r="R63" s="599"/>
      <c r="S63" s="599"/>
      <c r="T63" s="599"/>
      <c r="U63" s="599"/>
      <c r="V63" s="599"/>
      <c r="W63" s="599"/>
      <c r="X63" s="599"/>
    </row>
    <row r="64" spans="1:24">
      <c r="A64" s="599"/>
      <c r="B64" s="599"/>
      <c r="C64" s="599"/>
      <c r="D64" s="599"/>
      <c r="E64" s="599"/>
      <c r="F64" s="599"/>
      <c r="G64" s="599"/>
      <c r="H64" s="599"/>
      <c r="I64" s="599"/>
      <c r="J64" s="599"/>
      <c r="K64" s="599"/>
      <c r="L64" s="599"/>
      <c r="M64" s="599"/>
      <c r="N64" s="599"/>
      <c r="O64" s="599"/>
      <c r="P64" s="599"/>
      <c r="Q64" s="599"/>
      <c r="R64" s="599"/>
      <c r="S64" s="599"/>
      <c r="T64" s="599"/>
      <c r="U64" s="599"/>
      <c r="V64" s="599"/>
      <c r="W64" s="599"/>
      <c r="X64" s="599"/>
    </row>
    <row r="65" spans="1:24">
      <c r="A65" s="599"/>
      <c r="B65" s="599"/>
      <c r="C65" s="599"/>
      <c r="D65" s="599"/>
      <c r="E65" s="599"/>
      <c r="F65" s="599"/>
      <c r="G65" s="599"/>
      <c r="H65" s="599"/>
      <c r="I65" s="599"/>
      <c r="J65" s="599"/>
      <c r="K65" s="599"/>
      <c r="L65" s="599"/>
      <c r="M65" s="599"/>
      <c r="N65" s="599"/>
      <c r="O65" s="599"/>
      <c r="P65" s="599"/>
      <c r="Q65" s="599"/>
      <c r="R65" s="599"/>
      <c r="S65" s="599"/>
      <c r="T65" s="599"/>
      <c r="U65" s="599"/>
      <c r="V65" s="599"/>
      <c r="W65" s="599"/>
      <c r="X65" s="599"/>
    </row>
    <row r="66" spans="1:24">
      <c r="A66" s="599"/>
      <c r="B66" s="599"/>
      <c r="C66" s="599"/>
      <c r="D66" s="599"/>
      <c r="E66" s="599"/>
      <c r="F66" s="599"/>
      <c r="G66" s="599"/>
      <c r="H66" s="599"/>
      <c r="I66" s="599"/>
      <c r="J66" s="599"/>
      <c r="K66" s="599"/>
      <c r="L66" s="599"/>
      <c r="M66" s="599"/>
      <c r="N66" s="599"/>
      <c r="O66" s="599"/>
      <c r="P66" s="599"/>
      <c r="Q66" s="599"/>
      <c r="R66" s="599"/>
      <c r="S66" s="599"/>
      <c r="T66" s="599"/>
      <c r="U66" s="599"/>
      <c r="V66" s="599"/>
      <c r="W66" s="599"/>
      <c r="X66" s="599"/>
    </row>
    <row r="67" spans="1:24">
      <c r="A67" s="599"/>
      <c r="B67" s="599"/>
      <c r="C67" s="599"/>
      <c r="D67" s="599"/>
      <c r="E67" s="599"/>
      <c r="F67" s="599"/>
      <c r="G67" s="599"/>
      <c r="H67" s="599"/>
      <c r="I67" s="599"/>
      <c r="J67" s="599"/>
      <c r="K67" s="599"/>
      <c r="L67" s="599"/>
      <c r="M67" s="599"/>
      <c r="N67" s="599"/>
      <c r="O67" s="599"/>
      <c r="P67" s="599"/>
      <c r="Q67" s="599"/>
      <c r="R67" s="599"/>
      <c r="S67" s="599"/>
      <c r="T67" s="599"/>
      <c r="U67" s="599"/>
      <c r="V67" s="599"/>
      <c r="W67" s="599"/>
      <c r="X67" s="599"/>
    </row>
    <row r="68" spans="1:24">
      <c r="A68" s="599"/>
      <c r="B68" s="599"/>
      <c r="C68" s="599"/>
      <c r="D68" s="599"/>
      <c r="E68" s="599"/>
      <c r="F68" s="599"/>
      <c r="G68" s="599"/>
      <c r="H68" s="599"/>
      <c r="I68" s="599"/>
      <c r="J68" s="599"/>
      <c r="K68" s="599"/>
      <c r="L68" s="599"/>
      <c r="M68" s="599"/>
      <c r="N68" s="599"/>
      <c r="O68" s="599"/>
      <c r="P68" s="599"/>
      <c r="Q68" s="599"/>
      <c r="R68" s="599"/>
      <c r="S68" s="599"/>
      <c r="T68" s="599"/>
      <c r="U68" s="599"/>
      <c r="V68" s="599"/>
      <c r="W68" s="599"/>
      <c r="X68" s="599"/>
    </row>
    <row r="69" spans="1:24">
      <c r="A69" s="599"/>
      <c r="B69" s="599"/>
      <c r="C69" s="599"/>
      <c r="D69" s="599"/>
      <c r="E69" s="599"/>
      <c r="F69" s="599"/>
      <c r="G69" s="599"/>
      <c r="H69" s="599"/>
      <c r="I69" s="599"/>
      <c r="J69" s="599"/>
      <c r="K69" s="599"/>
      <c r="L69" s="599"/>
      <c r="M69" s="599"/>
      <c r="N69" s="599"/>
      <c r="O69" s="599"/>
      <c r="P69" s="599"/>
      <c r="Q69" s="599"/>
      <c r="R69" s="599"/>
      <c r="S69" s="599"/>
      <c r="T69" s="599"/>
      <c r="U69" s="599"/>
      <c r="V69" s="599"/>
      <c r="W69" s="599"/>
      <c r="X69" s="599"/>
    </row>
  </sheetData>
  <phoneticPr fontId="19" type="noConversion"/>
  <pageMargins left="1" right="0.75" top="1" bottom="0" header="0" footer="0"/>
  <pageSetup scale="80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30">
    <tabColor theme="7" tint="-0.249977111117893"/>
    <pageSetUpPr fitToPage="1"/>
  </sheetPr>
  <dimension ref="A1:X69"/>
  <sheetViews>
    <sheetView workbookViewId="0"/>
  </sheetViews>
  <sheetFormatPr defaultColWidth="8" defaultRowHeight="13.2"/>
  <cols>
    <col min="1" max="1" width="8" customWidth="1"/>
    <col min="2" max="2" width="25.44140625" customWidth="1"/>
    <col min="3" max="3" width="8" customWidth="1"/>
    <col min="4" max="4" width="10.44140625" customWidth="1"/>
    <col min="5" max="7" width="8" customWidth="1"/>
    <col min="8" max="8" width="12.44140625" customWidth="1"/>
    <col min="9" max="9" width="10" customWidth="1"/>
    <col min="10" max="10" width="18.44140625" customWidth="1"/>
    <col min="11" max="12" width="8" customWidth="1"/>
    <col min="13" max="13" width="2.44140625" customWidth="1"/>
    <col min="14" max="14" width="21.5546875" customWidth="1"/>
    <col min="15" max="15" width="3.5546875" customWidth="1"/>
    <col min="16" max="16" width="16" customWidth="1"/>
    <col min="17" max="17" width="1.5546875" customWidth="1"/>
    <col min="18" max="18" width="18.44140625" customWidth="1"/>
    <col min="19" max="19" width="2.44140625" customWidth="1"/>
    <col min="20" max="20" width="21.5546875" customWidth="1"/>
  </cols>
  <sheetData>
    <row r="1" spans="1:24">
      <c r="A1" s="951" t="str">
        <f>LOGO!B5</f>
        <v>DUKE ENERGY KENTUCKY, INC.</v>
      </c>
      <c r="B1" s="951"/>
      <c r="C1" s="951"/>
      <c r="D1" s="951"/>
      <c r="E1" s="951"/>
      <c r="F1" s="951"/>
      <c r="G1" s="951"/>
      <c r="H1" s="951"/>
      <c r="I1" s="951"/>
      <c r="J1" s="951"/>
      <c r="K1" s="599"/>
      <c r="L1" s="599"/>
      <c r="M1" s="599"/>
      <c r="N1" s="599"/>
      <c r="O1" s="599"/>
      <c r="P1" s="599"/>
      <c r="Q1" s="599"/>
      <c r="R1" s="599"/>
      <c r="S1" s="599"/>
      <c r="T1" s="599"/>
      <c r="U1" s="599"/>
      <c r="V1" s="599"/>
      <c r="W1" s="599"/>
      <c r="X1" s="599"/>
    </row>
    <row r="2" spans="1:24">
      <c r="A2" s="951" t="str">
        <f>LOGO!B6</f>
        <v>CASE NO. 2024-00354</v>
      </c>
      <c r="B2" s="951"/>
      <c r="C2" s="951"/>
      <c r="D2" s="951"/>
      <c r="E2" s="951"/>
      <c r="F2" s="951"/>
      <c r="G2" s="951"/>
      <c r="H2" s="951"/>
      <c r="I2" s="951"/>
      <c r="J2" s="951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</row>
    <row r="3" spans="1:24">
      <c r="A3" s="968" t="s">
        <v>1926</v>
      </c>
      <c r="B3" s="951"/>
      <c r="C3" s="951"/>
      <c r="D3" s="951"/>
      <c r="E3" s="951"/>
      <c r="F3" s="951"/>
      <c r="G3" s="951"/>
      <c r="H3" s="951"/>
      <c r="I3" s="951"/>
      <c r="J3" s="951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</row>
    <row r="4" spans="1:24">
      <c r="A4" s="951" t="str">
        <f>LOGO!B8</f>
        <v>FOR THE TWELVE MONTHS ENDED JUNE 30, 2026</v>
      </c>
      <c r="B4" s="951"/>
      <c r="C4" s="951"/>
      <c r="D4" s="951"/>
      <c r="E4" s="951"/>
      <c r="F4" s="951"/>
      <c r="G4" s="951"/>
      <c r="H4" s="951"/>
      <c r="I4" s="951"/>
      <c r="J4" s="951"/>
      <c r="K4" s="599"/>
      <c r="L4" s="599"/>
      <c r="M4" s="599"/>
      <c r="N4" s="599"/>
      <c r="O4" s="599"/>
      <c r="P4" s="599"/>
      <c r="Q4" s="599"/>
      <c r="R4" s="599"/>
      <c r="S4" s="599"/>
      <c r="T4" s="599"/>
      <c r="U4" s="599"/>
      <c r="V4" s="599"/>
      <c r="W4" s="599"/>
      <c r="X4" s="599"/>
    </row>
    <row r="5" spans="1:24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  <c r="V5" s="599"/>
      <c r="W5" s="599"/>
      <c r="X5" s="599"/>
    </row>
    <row r="6" spans="1:24">
      <c r="A6" s="599" t="str">
        <f>DataB</f>
        <v>DATA: "X" BASE PERIOD  "X" FORECASTED PERIOD</v>
      </c>
      <c r="B6" s="599"/>
      <c r="C6" s="599"/>
      <c r="D6" s="599"/>
      <c r="E6" s="599"/>
      <c r="F6" s="599"/>
      <c r="G6" s="599"/>
      <c r="H6" s="599"/>
      <c r="I6" s="973" t="s">
        <v>1927</v>
      </c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599"/>
      <c r="V6" s="599"/>
      <c r="W6" s="599"/>
      <c r="X6" s="599"/>
    </row>
    <row r="7" spans="1:24">
      <c r="A7" s="599" t="str">
        <f>LOGO!B15</f>
        <v xml:space="preserve">TYPE OF FILING:  "X" ORIGINAL   UPDATED    REVISED  </v>
      </c>
      <c r="B7" s="599"/>
      <c r="C7" s="599"/>
      <c r="D7" s="599"/>
      <c r="E7" s="599"/>
      <c r="F7" s="599"/>
      <c r="G7" s="599"/>
      <c r="H7" s="599"/>
      <c r="I7" s="598" t="s">
        <v>466</v>
      </c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  <c r="U7" s="599"/>
      <c r="V7" s="599"/>
      <c r="W7" s="599"/>
      <c r="X7" s="599"/>
    </row>
    <row r="8" spans="1:24">
      <c r="A8" s="598" t="s">
        <v>1928</v>
      </c>
      <c r="B8" s="599"/>
      <c r="C8" s="599"/>
      <c r="D8" s="599"/>
      <c r="E8" s="599"/>
      <c r="F8" s="599"/>
      <c r="G8" s="599"/>
      <c r="H8" s="599"/>
      <c r="I8" s="598" t="s">
        <v>468</v>
      </c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  <c r="U8" s="599"/>
      <c r="V8" s="599"/>
      <c r="W8" s="599"/>
      <c r="X8" s="599"/>
    </row>
    <row r="9" spans="1:24">
      <c r="A9" s="599"/>
      <c r="B9" s="599"/>
      <c r="C9" s="599"/>
      <c r="D9" s="599"/>
      <c r="E9" s="599"/>
      <c r="F9" s="599"/>
      <c r="G9" s="599"/>
      <c r="H9" s="599"/>
      <c r="I9" s="598" t="str">
        <f>_WIT10</f>
        <v>G. S. CARPENTER</v>
      </c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  <c r="U9" s="599"/>
      <c r="V9" s="599"/>
      <c r="W9" s="599"/>
      <c r="X9" s="599"/>
    </row>
    <row r="10" spans="1:24">
      <c r="A10" s="1372"/>
      <c r="B10" s="1372"/>
      <c r="C10" s="1372"/>
      <c r="D10" s="1372"/>
      <c r="E10" s="1372"/>
      <c r="F10" s="1372"/>
      <c r="G10" s="1372"/>
      <c r="H10" s="1372"/>
      <c r="I10" s="1372"/>
      <c r="J10" s="1372"/>
      <c r="K10" s="598"/>
      <c r="L10" s="599"/>
      <c r="M10" s="599"/>
      <c r="N10" s="599"/>
      <c r="O10" s="599"/>
      <c r="P10" s="599"/>
      <c r="Q10" s="599"/>
      <c r="R10" s="599"/>
      <c r="S10" s="599"/>
      <c r="T10" s="599"/>
      <c r="U10" s="599"/>
      <c r="V10" s="599"/>
      <c r="W10" s="599"/>
      <c r="X10" s="599"/>
    </row>
    <row r="11" spans="1:24">
      <c r="A11" s="599"/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  <c r="U11" s="599"/>
      <c r="V11" s="599"/>
      <c r="W11" s="599"/>
      <c r="X11" s="599"/>
    </row>
    <row r="12" spans="1:24">
      <c r="A12" s="598" t="s">
        <v>1857</v>
      </c>
      <c r="B12" s="599"/>
      <c r="C12" s="599"/>
      <c r="D12" s="599"/>
      <c r="E12" s="599"/>
      <c r="F12" s="599"/>
      <c r="G12" s="599"/>
      <c r="H12" s="599"/>
      <c r="I12" s="599"/>
      <c r="J12" s="974" t="s">
        <v>975</v>
      </c>
      <c r="K12" s="599"/>
      <c r="L12" s="599"/>
      <c r="M12" s="599"/>
      <c r="N12" s="599"/>
      <c r="O12" s="599"/>
      <c r="P12" s="599"/>
      <c r="Q12" s="599"/>
      <c r="R12" s="599"/>
      <c r="S12" s="599"/>
      <c r="T12" s="599"/>
      <c r="U12" s="599"/>
      <c r="V12" s="599"/>
      <c r="W12" s="599"/>
      <c r="X12" s="599"/>
    </row>
    <row r="13" spans="1:24">
      <c r="A13" s="1372"/>
      <c r="B13" s="1372"/>
      <c r="C13" s="1372"/>
      <c r="D13" s="1372"/>
      <c r="E13" s="1372"/>
      <c r="F13" s="1372"/>
      <c r="G13" s="1372"/>
      <c r="H13" s="1372"/>
      <c r="I13" s="1372"/>
      <c r="J13" s="1372"/>
      <c r="K13" s="598"/>
      <c r="L13" s="599"/>
      <c r="M13" s="599"/>
      <c r="N13" s="599"/>
      <c r="O13" s="599"/>
      <c r="P13" s="599"/>
      <c r="Q13" s="599"/>
      <c r="R13" s="599"/>
      <c r="S13" s="599"/>
      <c r="T13" s="599"/>
      <c r="U13" s="599"/>
      <c r="V13" s="599"/>
      <c r="W13" s="599"/>
      <c r="X13" s="599"/>
    </row>
    <row r="14" spans="1:24">
      <c r="A14" s="599"/>
      <c r="B14" s="599"/>
      <c r="C14" s="599"/>
      <c r="D14" s="599"/>
      <c r="E14" s="599"/>
      <c r="F14" s="599"/>
      <c r="G14" s="599"/>
      <c r="H14" s="599"/>
      <c r="I14" s="599"/>
      <c r="J14" s="974"/>
      <c r="K14" s="599"/>
      <c r="L14" s="599"/>
      <c r="M14" s="599"/>
      <c r="N14" s="599"/>
      <c r="O14" s="599"/>
      <c r="P14" s="599"/>
      <c r="Q14" s="599"/>
      <c r="R14" s="599"/>
      <c r="S14" s="599"/>
      <c r="T14" s="599"/>
      <c r="U14" s="599"/>
      <c r="V14" s="599"/>
      <c r="W14" s="599"/>
      <c r="X14" s="599"/>
    </row>
    <row r="15" spans="1:24">
      <c r="A15" s="169" t="s">
        <v>1929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  <c r="V15" s="599"/>
      <c r="W15" s="599"/>
      <c r="X15" s="599"/>
    </row>
    <row r="16" spans="1:24">
      <c r="A16" s="169" t="s">
        <v>1874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</row>
    <row r="17" spans="1:24">
      <c r="A17" s="598"/>
      <c r="B17" s="599"/>
      <c r="C17" s="599"/>
      <c r="D17" s="599"/>
      <c r="E17" s="599"/>
      <c r="F17" s="599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  <c r="U17" s="599"/>
      <c r="V17" s="599"/>
      <c r="W17" s="599"/>
      <c r="X17" s="599"/>
    </row>
    <row r="18" spans="1:24">
      <c r="A18" s="598"/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  <c r="X18" s="599"/>
    </row>
    <row r="19" spans="1:24">
      <c r="A19" s="598"/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</row>
    <row r="20" spans="1:24">
      <c r="A20" s="598"/>
      <c r="B20" s="599"/>
      <c r="C20" s="599"/>
      <c r="D20" s="599"/>
      <c r="E20" s="599"/>
      <c r="F20" s="599"/>
      <c r="G20" s="599"/>
      <c r="H20" s="974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  <c r="U20" s="599"/>
      <c r="V20" s="599"/>
      <c r="W20" s="599"/>
      <c r="X20" s="599"/>
    </row>
    <row r="21" spans="1:24">
      <c r="A21" s="734"/>
      <c r="B21" s="599"/>
      <c r="C21" s="599"/>
      <c r="D21" s="599"/>
      <c r="E21" s="599"/>
      <c r="F21" s="599"/>
      <c r="G21" s="599"/>
      <c r="H21" s="96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  <c r="U21" s="599"/>
      <c r="V21" s="599"/>
      <c r="W21" s="599"/>
      <c r="X21" s="599"/>
    </row>
    <row r="22" spans="1:24">
      <c r="A22" s="599"/>
      <c r="B22" s="599"/>
      <c r="C22" s="599"/>
      <c r="D22" s="599"/>
      <c r="E22" s="599"/>
      <c r="F22" s="599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  <c r="U22" s="599"/>
      <c r="V22" s="599"/>
      <c r="W22" s="599"/>
      <c r="X22" s="599"/>
    </row>
    <row r="23" spans="1:24">
      <c r="A23" s="598" t="s">
        <v>1930</v>
      </c>
      <c r="B23" s="599"/>
      <c r="C23" s="599"/>
      <c r="D23" s="599"/>
      <c r="E23" s="599"/>
      <c r="F23" s="599"/>
      <c r="G23" s="599"/>
      <c r="H23" s="599"/>
      <c r="I23" s="704"/>
      <c r="J23" s="682">
        <f>T53</f>
        <v>103983</v>
      </c>
      <c r="K23" s="599"/>
      <c r="L23" s="599"/>
      <c r="M23" s="599"/>
      <c r="N23" s="599"/>
      <c r="O23" s="599"/>
      <c r="P23" s="599"/>
      <c r="Q23" s="599"/>
      <c r="R23" s="599"/>
      <c r="S23" s="599"/>
      <c r="T23" s="599"/>
      <c r="U23" s="599"/>
      <c r="V23" s="599"/>
      <c r="W23" s="599"/>
      <c r="X23" s="599"/>
    </row>
    <row r="24" spans="1:24">
      <c r="A24" s="599"/>
      <c r="B24" s="599"/>
      <c r="C24" s="599"/>
      <c r="D24" s="599"/>
      <c r="E24" s="599"/>
      <c r="F24" s="599"/>
      <c r="G24" s="599"/>
      <c r="H24" s="599"/>
      <c r="I24" s="599"/>
      <c r="J24" s="704"/>
      <c r="K24" s="599"/>
      <c r="L24" s="599"/>
      <c r="M24" s="599"/>
      <c r="N24" s="599"/>
      <c r="O24" s="599"/>
      <c r="P24" s="599"/>
      <c r="Q24" s="599"/>
      <c r="R24" s="599"/>
      <c r="S24" s="599"/>
      <c r="T24" s="599"/>
      <c r="U24" s="599"/>
      <c r="V24" s="599"/>
      <c r="W24" s="599"/>
      <c r="X24" s="599"/>
    </row>
    <row r="25" spans="1:24">
      <c r="A25" s="599"/>
      <c r="B25" s="599"/>
      <c r="C25" s="599"/>
      <c r="D25" s="599"/>
      <c r="E25" s="599"/>
      <c r="F25" s="599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  <c r="U25" s="599"/>
      <c r="V25" s="599"/>
      <c r="W25" s="599"/>
      <c r="X25" s="599"/>
    </row>
    <row r="26" spans="1:24">
      <c r="A26" s="598" t="s">
        <v>1862</v>
      </c>
      <c r="B26" s="599"/>
      <c r="C26" s="599"/>
      <c r="D26" s="599"/>
      <c r="E26" s="599"/>
      <c r="F26" s="599"/>
      <c r="G26" s="599"/>
      <c r="H26" s="599"/>
      <c r="I26" s="599"/>
      <c r="J26" s="703">
        <f>VLOOKUP(D33,ALLOCTABLE,2)/100</f>
        <v>1</v>
      </c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  <c r="X26" s="599"/>
    </row>
    <row r="27" spans="1:24">
      <c r="A27" s="599"/>
      <c r="B27" s="599"/>
      <c r="C27" s="599"/>
      <c r="D27" s="599"/>
      <c r="E27" s="599"/>
      <c r="F27" s="599"/>
      <c r="G27" s="599"/>
      <c r="H27" s="599"/>
      <c r="I27" s="599"/>
      <c r="J27" s="704"/>
      <c r="K27" s="599"/>
      <c r="L27" s="599"/>
      <c r="M27" s="599"/>
      <c r="N27" s="599"/>
      <c r="O27" s="599"/>
      <c r="P27" s="599"/>
      <c r="Q27" s="599"/>
      <c r="R27" s="599"/>
      <c r="S27" s="599"/>
      <c r="T27" s="599"/>
      <c r="U27" s="599"/>
      <c r="V27" s="599"/>
      <c r="W27" s="599"/>
      <c r="X27" s="599"/>
    </row>
    <row r="28" spans="1:24">
      <c r="A28" s="599"/>
      <c r="B28" s="599"/>
      <c r="C28" s="599"/>
      <c r="D28" s="599"/>
      <c r="E28" s="599"/>
      <c r="F28" s="599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  <c r="V28" s="599"/>
      <c r="W28" s="599"/>
      <c r="X28" s="599"/>
    </row>
    <row r="29" spans="1:24" ht="15">
      <c r="A29" s="598" t="s">
        <v>1863</v>
      </c>
      <c r="B29" s="599"/>
      <c r="C29" s="599"/>
      <c r="D29" s="599"/>
      <c r="E29" s="599"/>
      <c r="F29" s="598" t="s">
        <v>1876</v>
      </c>
      <c r="G29" s="599"/>
      <c r="H29" s="599"/>
      <c r="I29" s="704"/>
      <c r="J29" s="705">
        <f>ROUND(J23*J26,0)</f>
        <v>103983</v>
      </c>
      <c r="K29" s="599"/>
      <c r="L29" s="599"/>
      <c r="M29" s="599"/>
      <c r="N29" s="599"/>
      <c r="O29" s="599"/>
      <c r="P29" s="599"/>
      <c r="Q29" s="599"/>
      <c r="R29" s="599"/>
      <c r="S29" s="599"/>
      <c r="T29" s="599"/>
      <c r="U29" s="599"/>
      <c r="V29" s="599"/>
      <c r="W29" s="599"/>
      <c r="X29" s="599"/>
    </row>
    <row r="30" spans="1:24">
      <c r="A30" s="599"/>
      <c r="B30" s="599"/>
      <c r="C30" s="599"/>
      <c r="D30" s="599"/>
      <c r="E30" s="599"/>
      <c r="F30" s="599"/>
      <c r="G30" s="599"/>
      <c r="H30" s="599"/>
      <c r="I30" s="599"/>
      <c r="J30" s="704"/>
      <c r="K30" s="599"/>
      <c r="L30" s="599"/>
      <c r="M30" s="599"/>
      <c r="N30" s="599"/>
      <c r="O30" s="599"/>
      <c r="P30" s="599"/>
      <c r="Q30" s="599"/>
      <c r="R30" s="599"/>
      <c r="S30" s="599"/>
      <c r="T30" s="599"/>
      <c r="U30" s="599"/>
      <c r="V30" s="599"/>
      <c r="W30" s="599"/>
      <c r="X30" s="599"/>
    </row>
    <row r="31" spans="1:24">
      <c r="A31" s="599"/>
      <c r="B31" s="599"/>
      <c r="C31" s="599"/>
      <c r="D31" s="599"/>
      <c r="E31" s="599"/>
      <c r="F31" s="599"/>
      <c r="G31" s="599"/>
      <c r="H31" s="599"/>
      <c r="I31" s="599"/>
      <c r="J31" s="599"/>
      <c r="K31" s="599"/>
      <c r="L31" s="599"/>
      <c r="M31" s="599"/>
      <c r="N31" s="599"/>
      <c r="O31" s="599"/>
      <c r="P31" s="599"/>
      <c r="Q31" s="599"/>
      <c r="R31" s="599"/>
      <c r="S31" s="599"/>
      <c r="T31" s="599"/>
      <c r="U31" s="599"/>
      <c r="V31" s="599"/>
      <c r="W31" s="599"/>
      <c r="X31" s="599"/>
    </row>
    <row r="32" spans="1:24">
      <c r="A32" s="599"/>
      <c r="B32" s="599"/>
      <c r="C32" s="599"/>
      <c r="D32" s="599"/>
      <c r="E32" s="599"/>
      <c r="F32" s="599"/>
      <c r="G32" s="599"/>
      <c r="H32" s="599"/>
      <c r="I32" s="599"/>
      <c r="J32" s="599"/>
      <c r="K32" s="599"/>
      <c r="L32" s="599"/>
      <c r="M32" s="599"/>
      <c r="N32" s="599"/>
      <c r="O32" s="599"/>
      <c r="P32" s="599"/>
      <c r="Q32" s="599"/>
      <c r="R32" s="599"/>
      <c r="S32" s="599"/>
      <c r="T32" s="599"/>
      <c r="U32" s="599"/>
      <c r="V32" s="599"/>
      <c r="W32" s="599"/>
      <c r="X32" s="599"/>
    </row>
    <row r="33" spans="1:24">
      <c r="A33" s="598" t="s">
        <v>1864</v>
      </c>
      <c r="B33" s="599"/>
      <c r="C33" s="599"/>
      <c r="D33" s="966" t="s">
        <v>428</v>
      </c>
      <c r="E33" s="599"/>
      <c r="F33" s="599"/>
      <c r="G33" s="599"/>
      <c r="H33" s="599"/>
      <c r="I33" s="599"/>
      <c r="J33" s="599"/>
      <c r="K33" s="599"/>
      <c r="L33" s="599"/>
      <c r="M33" s="599"/>
      <c r="N33" s="599"/>
      <c r="O33" s="599"/>
      <c r="P33" s="599"/>
      <c r="Q33" s="599"/>
      <c r="R33" s="599"/>
      <c r="S33" s="599"/>
      <c r="T33" s="599"/>
      <c r="U33" s="599"/>
      <c r="V33" s="599"/>
      <c r="W33" s="599"/>
      <c r="X33" s="599"/>
    </row>
    <row r="34" spans="1:24">
      <c r="A34" s="598"/>
      <c r="B34" s="599"/>
      <c r="C34" s="599"/>
      <c r="D34" s="599"/>
      <c r="E34" s="599"/>
      <c r="F34" s="599"/>
      <c r="G34" s="599"/>
      <c r="H34" s="599"/>
      <c r="I34" s="599"/>
      <c r="J34" s="599"/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  <c r="W34" s="599"/>
      <c r="X34" s="599"/>
    </row>
    <row r="35" spans="1:24">
      <c r="A35" s="599"/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599"/>
      <c r="O35" s="599"/>
      <c r="P35" s="599"/>
      <c r="Q35" s="599"/>
      <c r="R35" s="599"/>
      <c r="S35" s="599"/>
      <c r="T35" s="599"/>
      <c r="U35" s="599"/>
      <c r="V35" s="599"/>
      <c r="W35" s="599"/>
      <c r="X35" s="599"/>
    </row>
    <row r="36" spans="1:24">
      <c r="A36" s="599"/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599"/>
      <c r="O36" s="599"/>
      <c r="P36" s="599"/>
      <c r="Q36" s="599"/>
      <c r="R36" s="599"/>
      <c r="S36" s="599"/>
      <c r="T36" s="599"/>
      <c r="U36" s="599"/>
      <c r="V36" s="599"/>
      <c r="W36" s="599"/>
      <c r="X36" s="599"/>
    </row>
    <row r="37" spans="1:24">
      <c r="A37" s="599"/>
      <c r="B37" s="599"/>
      <c r="C37" s="599"/>
      <c r="D37" s="599"/>
      <c r="E37" s="599"/>
      <c r="F37" s="599"/>
      <c r="G37" s="599"/>
      <c r="H37" s="599"/>
      <c r="I37" s="599"/>
      <c r="J37" s="599"/>
      <c r="K37" s="599"/>
      <c r="L37" s="599"/>
      <c r="M37" s="599"/>
      <c r="N37" s="599"/>
      <c r="O37" s="599"/>
      <c r="P37" s="599"/>
      <c r="Q37" s="599"/>
      <c r="R37" s="599"/>
      <c r="S37" s="599"/>
      <c r="T37" s="599"/>
      <c r="U37" s="599"/>
      <c r="V37" s="599"/>
      <c r="W37" s="599"/>
      <c r="X37" s="599"/>
    </row>
    <row r="38" spans="1:24">
      <c r="A38" s="599"/>
      <c r="B38" s="599"/>
      <c r="C38" s="599"/>
      <c r="D38" s="599"/>
      <c r="E38" s="599"/>
      <c r="F38" s="599"/>
      <c r="G38" s="599"/>
      <c r="H38" s="599"/>
      <c r="I38" s="599"/>
      <c r="J38" s="59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  <c r="V38" s="599"/>
      <c r="W38" s="599"/>
      <c r="X38" s="599"/>
    </row>
    <row r="39" spans="1:24">
      <c r="A39" s="599"/>
      <c r="B39" s="599"/>
      <c r="C39" s="599"/>
      <c r="D39" s="599"/>
      <c r="E39" s="599"/>
      <c r="F39" s="599"/>
      <c r="G39" s="599"/>
      <c r="H39" s="599"/>
      <c r="I39" s="599"/>
      <c r="J39" s="599"/>
      <c r="K39" s="599"/>
      <c r="L39" s="599"/>
      <c r="M39" s="599"/>
      <c r="N39" s="599"/>
      <c r="O39" s="599"/>
      <c r="P39" s="599"/>
      <c r="Q39" s="599"/>
      <c r="R39" s="599"/>
      <c r="S39" s="599"/>
      <c r="T39" s="599"/>
      <c r="U39" s="599"/>
      <c r="V39" s="599"/>
      <c r="W39" s="599"/>
      <c r="X39" s="599"/>
    </row>
    <row r="40" spans="1:24">
      <c r="A40" s="599"/>
      <c r="B40" s="599"/>
      <c r="C40" s="599"/>
      <c r="D40" s="599"/>
      <c r="E40" s="599"/>
      <c r="F40" s="599"/>
      <c r="G40" s="599"/>
      <c r="H40" s="599"/>
      <c r="I40" s="599"/>
      <c r="J40" s="599"/>
      <c r="K40" s="599"/>
      <c r="L40" s="599"/>
      <c r="M40" s="599"/>
      <c r="N40" s="599"/>
      <c r="O40" s="599"/>
      <c r="P40" s="599"/>
      <c r="Q40" s="599"/>
      <c r="R40" s="599"/>
      <c r="S40" s="599"/>
      <c r="T40" s="599"/>
      <c r="U40" s="599"/>
      <c r="V40" s="599"/>
      <c r="W40" s="599"/>
      <c r="X40" s="599"/>
    </row>
    <row r="41" spans="1:24">
      <c r="A41" s="599"/>
      <c r="B41" s="599"/>
      <c r="C41" s="599"/>
      <c r="D41" s="599"/>
      <c r="E41" s="599"/>
      <c r="F41" s="599"/>
      <c r="G41" s="599"/>
      <c r="H41" s="599"/>
      <c r="I41" s="599"/>
      <c r="J41" s="599"/>
      <c r="K41" s="599"/>
      <c r="L41" s="599"/>
      <c r="M41" s="599"/>
      <c r="N41" s="599"/>
      <c r="O41" s="599"/>
      <c r="P41" s="599"/>
      <c r="Q41" s="599"/>
      <c r="R41" s="599"/>
      <c r="S41" s="599"/>
      <c r="T41" s="599"/>
      <c r="U41" s="599"/>
      <c r="V41" s="599"/>
      <c r="W41" s="599"/>
      <c r="X41" s="599"/>
    </row>
    <row r="42" spans="1:24">
      <c r="A42" s="599"/>
      <c r="B42" s="599"/>
      <c r="C42" s="599"/>
      <c r="D42" s="599"/>
      <c r="E42" s="599"/>
      <c r="F42" s="599"/>
      <c r="G42" s="599"/>
      <c r="H42" s="599"/>
      <c r="I42" s="599"/>
      <c r="J42" s="599"/>
      <c r="K42" s="599"/>
      <c r="L42" s="599"/>
      <c r="M42" s="599"/>
      <c r="N42" s="599"/>
      <c r="O42" s="599"/>
      <c r="P42" s="599"/>
      <c r="Q42" s="599"/>
      <c r="R42" s="599"/>
      <c r="S42" s="599"/>
      <c r="T42" s="599"/>
      <c r="U42" s="599"/>
      <c r="V42" s="599"/>
      <c r="W42" s="599"/>
      <c r="X42" s="599"/>
    </row>
    <row r="43" spans="1:24">
      <c r="A43" s="599"/>
      <c r="B43" s="599"/>
      <c r="C43" s="599"/>
      <c r="D43" s="599"/>
      <c r="E43" s="599"/>
      <c r="F43" s="599"/>
      <c r="G43" s="599"/>
      <c r="H43" s="599"/>
      <c r="I43" s="599"/>
      <c r="J43" s="599"/>
      <c r="K43" s="599"/>
      <c r="L43" s="779" t="str">
        <f>COMPANY</f>
        <v>DUKE ENERGY KENTUCKY, INC.</v>
      </c>
      <c r="M43" s="253"/>
      <c r="N43" s="253"/>
      <c r="O43" s="253"/>
      <c r="P43" s="253"/>
      <c r="Q43" s="253"/>
      <c r="S43" s="779" t="s">
        <v>1931</v>
      </c>
      <c r="T43" s="597"/>
      <c r="U43" s="599"/>
      <c r="V43" s="599"/>
      <c r="W43" s="599"/>
      <c r="X43" s="599"/>
    </row>
    <row r="44" spans="1:24">
      <c r="A44" s="599"/>
      <c r="B44" s="599"/>
      <c r="C44" s="599"/>
      <c r="D44" s="599"/>
      <c r="E44" s="599"/>
      <c r="F44" s="599"/>
      <c r="G44" s="599"/>
      <c r="H44" s="599"/>
      <c r="I44" s="599"/>
      <c r="J44" s="599"/>
      <c r="K44" s="599"/>
      <c r="L44" s="779" t="str">
        <f>DEPT</f>
        <v>ELECTRIC DEPARTMENT</v>
      </c>
      <c r="M44" s="253"/>
      <c r="N44" s="253"/>
      <c r="O44" s="253"/>
      <c r="P44" s="253"/>
      <c r="Q44" s="253"/>
      <c r="S44" s="779" t="s">
        <v>1866</v>
      </c>
      <c r="T44" s="597"/>
      <c r="U44" s="599"/>
      <c r="V44" s="599"/>
      <c r="W44" s="599"/>
      <c r="X44" s="599"/>
    </row>
    <row r="45" spans="1:24">
      <c r="A45" s="599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779" t="str">
        <f>CASE</f>
        <v>CASE NO. 2024-00354</v>
      </c>
      <c r="M45" s="253"/>
      <c r="N45" s="253"/>
      <c r="O45" s="253"/>
      <c r="P45" s="253"/>
      <c r="Q45" s="253"/>
      <c r="S45" s="253" t="str">
        <f>_WIT10</f>
        <v>G. S. CARPENTER</v>
      </c>
      <c r="T45" s="597"/>
      <c r="U45" s="599"/>
      <c r="V45" s="599"/>
      <c r="W45" s="599"/>
      <c r="X45" s="599"/>
    </row>
    <row r="46" spans="1:24">
      <c r="A46" s="599"/>
      <c r="B46" s="599"/>
      <c r="C46" s="599"/>
      <c r="D46" s="599"/>
      <c r="E46" s="599"/>
      <c r="F46" s="599"/>
      <c r="G46" s="599"/>
      <c r="H46" s="599"/>
      <c r="I46" s="599"/>
      <c r="J46" s="599"/>
      <c r="K46" s="599"/>
      <c r="L46" s="779" t="s">
        <v>1932</v>
      </c>
      <c r="M46" s="253"/>
      <c r="N46" s="253"/>
      <c r="O46" s="253"/>
      <c r="P46" s="253"/>
      <c r="Q46" s="253"/>
      <c r="R46" s="961"/>
      <c r="S46" s="253"/>
      <c r="T46" s="597"/>
      <c r="U46" s="599"/>
      <c r="V46" s="599"/>
      <c r="W46" s="599"/>
      <c r="X46" s="599"/>
    </row>
    <row r="47" spans="1:24">
      <c r="A47" s="599"/>
      <c r="B47" s="599"/>
      <c r="C47" s="599"/>
      <c r="D47" s="599"/>
      <c r="E47" s="599"/>
      <c r="F47" s="599"/>
      <c r="G47" s="599"/>
      <c r="H47" s="599"/>
      <c r="I47" s="599"/>
      <c r="J47" s="599"/>
      <c r="K47" s="599"/>
      <c r="L47" s="779"/>
      <c r="M47" s="253"/>
      <c r="N47" s="253"/>
      <c r="O47" s="253"/>
      <c r="P47" s="253"/>
      <c r="Q47" s="253"/>
      <c r="R47" s="253"/>
      <c r="S47" s="253"/>
      <c r="T47" s="597"/>
      <c r="U47" s="599"/>
      <c r="V47" s="599"/>
      <c r="W47" s="599"/>
      <c r="X47" s="599"/>
    </row>
    <row r="48" spans="1:24">
      <c r="A48" s="599"/>
      <c r="B48" s="599"/>
      <c r="C48" s="599"/>
      <c r="D48" s="599"/>
      <c r="E48" s="599"/>
      <c r="F48" s="599"/>
      <c r="G48" s="599"/>
      <c r="H48" s="599"/>
      <c r="I48" s="599"/>
      <c r="J48" s="599"/>
      <c r="K48" s="599"/>
      <c r="L48" s="597"/>
      <c r="M48" s="597"/>
      <c r="N48" s="597"/>
      <c r="O48" s="597"/>
      <c r="P48" s="597"/>
      <c r="Q48" s="597"/>
      <c r="R48" s="597"/>
      <c r="S48" s="597"/>
      <c r="T48" s="597"/>
      <c r="U48" s="599"/>
      <c r="V48" s="599"/>
      <c r="W48" s="599"/>
      <c r="X48" s="599"/>
    </row>
    <row r="49" spans="1:24">
      <c r="A49" s="599"/>
      <c r="B49" s="599"/>
      <c r="C49" s="599"/>
      <c r="D49" s="599"/>
      <c r="E49" s="599"/>
      <c r="F49" s="599"/>
      <c r="G49" s="599"/>
      <c r="H49" s="599"/>
      <c r="I49" s="599"/>
      <c r="J49" s="599"/>
      <c r="K49" s="599"/>
      <c r="L49" s="597"/>
      <c r="M49" s="597"/>
      <c r="N49" s="597"/>
      <c r="O49" s="597"/>
      <c r="P49" s="597"/>
      <c r="Q49" s="597"/>
      <c r="R49" s="597"/>
      <c r="S49" s="597"/>
      <c r="T49" s="597"/>
      <c r="U49" s="599"/>
      <c r="V49" s="599"/>
      <c r="W49" s="599"/>
      <c r="X49" s="599"/>
    </row>
    <row r="50" spans="1:24">
      <c r="A50" s="599"/>
      <c r="B50" s="599"/>
      <c r="C50" s="599"/>
      <c r="D50" s="599"/>
      <c r="E50" s="599"/>
      <c r="F50" s="599"/>
      <c r="G50" s="599"/>
      <c r="H50" s="599"/>
      <c r="I50" s="599"/>
      <c r="J50" s="599"/>
      <c r="K50" s="599"/>
      <c r="L50" s="701" t="s">
        <v>573</v>
      </c>
      <c r="M50" s="701"/>
      <c r="N50" s="701"/>
      <c r="O50" s="701"/>
      <c r="P50" s="701" t="s">
        <v>13</v>
      </c>
      <c r="Q50" s="701"/>
      <c r="R50" s="701" t="s">
        <v>417</v>
      </c>
      <c r="S50" s="701"/>
      <c r="T50" s="701"/>
      <c r="U50" s="599"/>
      <c r="V50" s="599"/>
      <c r="W50" s="599"/>
      <c r="X50" s="599"/>
    </row>
    <row r="51" spans="1:24">
      <c r="A51" s="599"/>
      <c r="B51" s="599"/>
      <c r="C51" s="599"/>
      <c r="D51" s="599"/>
      <c r="E51" s="599"/>
      <c r="F51" s="599"/>
      <c r="G51" s="599"/>
      <c r="H51" s="599"/>
      <c r="I51" s="599"/>
      <c r="J51" s="599"/>
      <c r="K51" s="599"/>
      <c r="L51" s="702" t="s">
        <v>576</v>
      </c>
      <c r="M51" s="702"/>
      <c r="N51" s="702" t="s">
        <v>2</v>
      </c>
      <c r="O51" s="702"/>
      <c r="P51" s="702" t="s">
        <v>418</v>
      </c>
      <c r="Q51" s="702"/>
      <c r="R51" s="702" t="s">
        <v>418</v>
      </c>
      <c r="S51" s="702"/>
      <c r="T51" s="702" t="s">
        <v>698</v>
      </c>
      <c r="U51" s="599"/>
      <c r="V51" s="599"/>
      <c r="W51" s="599"/>
      <c r="X51" s="599"/>
    </row>
    <row r="52" spans="1:24">
      <c r="A52" s="599"/>
      <c r="B52" s="599"/>
      <c r="C52" s="599"/>
      <c r="D52" s="599"/>
      <c r="E52" s="599"/>
      <c r="F52" s="599"/>
      <c r="G52" s="599"/>
      <c r="H52" s="599"/>
      <c r="I52" s="599"/>
      <c r="J52" s="599"/>
      <c r="K52" s="599"/>
      <c r="L52" s="597"/>
      <c r="M52" s="597"/>
      <c r="N52" s="597"/>
      <c r="O52" s="597"/>
      <c r="P52" s="597"/>
      <c r="Q52" s="597"/>
      <c r="R52" s="597"/>
      <c r="S52" s="597"/>
      <c r="T52" s="597"/>
      <c r="U52" s="599"/>
      <c r="V52" s="599"/>
      <c r="W52" s="599"/>
      <c r="X52" s="599"/>
    </row>
    <row r="53" spans="1:24" ht="13.8" thickBot="1">
      <c r="A53" s="599"/>
      <c r="B53" s="599"/>
      <c r="C53" s="599"/>
      <c r="D53" s="599"/>
      <c r="E53" s="599"/>
      <c r="F53" s="599"/>
      <c r="G53" s="599"/>
      <c r="H53" s="599"/>
      <c r="I53" s="599"/>
      <c r="J53" s="599"/>
      <c r="K53" s="599"/>
      <c r="L53" s="701">
        <v>1</v>
      </c>
      <c r="M53" s="597"/>
      <c r="N53" s="598" t="s">
        <v>342</v>
      </c>
      <c r="O53" s="597"/>
      <c r="P53" s="1954">
        <f>SCH_C2!E34</f>
        <v>152176</v>
      </c>
      <c r="Q53" s="597"/>
      <c r="R53" s="1954">
        <f>SCH_C2!H34</f>
        <v>256159</v>
      </c>
      <c r="S53" s="597"/>
      <c r="T53" s="1954">
        <f>R53-P53</f>
        <v>103983</v>
      </c>
      <c r="U53" s="599"/>
      <c r="V53" s="599"/>
      <c r="W53" s="599"/>
      <c r="X53" s="599"/>
    </row>
    <row r="54" spans="1:24" ht="13.8" thickTop="1">
      <c r="A54" s="599"/>
      <c r="B54" s="599"/>
      <c r="C54" s="599"/>
      <c r="D54" s="599"/>
      <c r="E54" s="599"/>
      <c r="F54" s="599"/>
      <c r="G54" s="599"/>
      <c r="H54" s="599"/>
      <c r="I54" s="599"/>
      <c r="J54" s="599"/>
      <c r="K54" s="599"/>
      <c r="L54" s="701"/>
      <c r="M54" s="597"/>
      <c r="N54" s="597"/>
      <c r="O54" s="597"/>
      <c r="P54" s="597"/>
      <c r="Q54" s="597"/>
      <c r="R54" s="597"/>
      <c r="S54" s="597"/>
      <c r="T54" s="597"/>
      <c r="U54" s="599"/>
      <c r="V54" s="599"/>
      <c r="W54" s="599"/>
      <c r="X54" s="599"/>
    </row>
    <row r="55" spans="1:24">
      <c r="A55" s="599"/>
      <c r="B55" s="599"/>
      <c r="C55" s="599"/>
      <c r="D55" s="599"/>
      <c r="E55" s="599"/>
      <c r="F55" s="599"/>
      <c r="G55" s="599"/>
      <c r="H55" s="599"/>
      <c r="I55" s="599"/>
      <c r="J55" s="599"/>
      <c r="K55" s="599"/>
      <c r="L55" s="597"/>
      <c r="M55" s="597"/>
      <c r="N55" s="597"/>
      <c r="O55" s="597"/>
      <c r="P55" s="597"/>
      <c r="Q55" s="597"/>
      <c r="R55" s="597"/>
      <c r="S55" s="597"/>
      <c r="T55" s="597"/>
      <c r="U55" s="599"/>
      <c r="V55" s="599"/>
      <c r="W55" s="599"/>
      <c r="X55" s="599"/>
    </row>
    <row r="56" spans="1:24">
      <c r="A56" s="599"/>
      <c r="B56" s="599"/>
      <c r="C56" s="599"/>
      <c r="D56" s="599"/>
      <c r="E56" s="599"/>
      <c r="F56" s="599"/>
      <c r="G56" s="599"/>
      <c r="H56" s="599"/>
      <c r="I56" s="599"/>
      <c r="J56" s="599"/>
      <c r="K56" s="599"/>
      <c r="L56" s="597"/>
      <c r="M56" s="597"/>
      <c r="N56" s="597"/>
      <c r="O56" s="597"/>
      <c r="P56" s="597"/>
      <c r="Q56" s="597"/>
      <c r="R56" s="597"/>
      <c r="S56" s="597"/>
      <c r="T56" s="597"/>
      <c r="U56" s="599"/>
      <c r="V56" s="599"/>
      <c r="W56" s="599"/>
      <c r="X56" s="599"/>
    </row>
    <row r="57" spans="1:24">
      <c r="A57" s="599"/>
      <c r="B57" s="599"/>
      <c r="C57" s="599"/>
      <c r="D57" s="599"/>
      <c r="E57" s="599"/>
      <c r="F57" s="599"/>
      <c r="G57" s="599"/>
      <c r="H57" s="599"/>
      <c r="I57" s="599"/>
      <c r="J57" s="599"/>
      <c r="K57" s="599"/>
      <c r="L57" s="597"/>
      <c r="M57" s="597"/>
      <c r="N57" s="597"/>
      <c r="O57" s="597"/>
      <c r="P57" s="597"/>
      <c r="Q57" s="597"/>
      <c r="R57" s="597"/>
      <c r="S57" s="597"/>
      <c r="T57" s="701" t="s">
        <v>1869</v>
      </c>
      <c r="U57" s="599"/>
      <c r="V57" s="599"/>
      <c r="W57" s="599"/>
      <c r="X57" s="599"/>
    </row>
    <row r="58" spans="1:24">
      <c r="A58" s="599"/>
      <c r="B58" s="599"/>
      <c r="C58" s="599"/>
      <c r="D58" s="599"/>
      <c r="E58" s="599"/>
      <c r="F58" s="599"/>
      <c r="G58" s="599"/>
      <c r="H58" s="599"/>
      <c r="I58" s="599"/>
      <c r="J58" s="599"/>
      <c r="K58" s="599"/>
      <c r="L58" s="599"/>
      <c r="M58" s="599"/>
      <c r="N58" s="599"/>
      <c r="O58" s="599"/>
      <c r="P58" s="599"/>
      <c r="Q58" s="599"/>
      <c r="R58" s="599"/>
      <c r="S58" s="599"/>
      <c r="T58" s="599"/>
      <c r="U58" s="599"/>
      <c r="V58" s="599"/>
      <c r="W58" s="599"/>
      <c r="X58" s="599"/>
    </row>
    <row r="59" spans="1:24">
      <c r="A59" s="599"/>
      <c r="B59" s="599"/>
      <c r="C59" s="599"/>
      <c r="D59" s="599"/>
      <c r="E59" s="599"/>
      <c r="F59" s="599"/>
      <c r="G59" s="599"/>
      <c r="H59" s="599"/>
      <c r="I59" s="599"/>
      <c r="J59" s="599"/>
      <c r="K59" s="599"/>
      <c r="L59" s="599"/>
      <c r="M59" s="599"/>
      <c r="N59" s="599"/>
      <c r="O59" s="599"/>
      <c r="P59" s="599"/>
      <c r="Q59" s="599"/>
      <c r="R59" s="599"/>
      <c r="S59" s="599"/>
      <c r="T59" s="599"/>
      <c r="U59" s="599"/>
      <c r="V59" s="599"/>
      <c r="W59" s="599"/>
      <c r="X59" s="599"/>
    </row>
    <row r="60" spans="1:24">
      <c r="A60" s="599"/>
      <c r="B60" s="599"/>
      <c r="C60" s="599"/>
      <c r="D60" s="599"/>
      <c r="E60" s="599"/>
      <c r="F60" s="599"/>
      <c r="G60" s="599"/>
      <c r="H60" s="599"/>
      <c r="I60" s="599"/>
      <c r="J60" s="599"/>
      <c r="K60" s="599"/>
      <c r="L60" s="599"/>
      <c r="M60" s="599"/>
      <c r="N60" s="599"/>
      <c r="O60" s="599"/>
      <c r="P60" s="599"/>
      <c r="Q60" s="599"/>
      <c r="R60" s="1051"/>
      <c r="S60" s="599"/>
      <c r="T60" s="599"/>
      <c r="U60" s="599"/>
      <c r="V60" s="599"/>
      <c r="W60" s="599"/>
      <c r="X60" s="599"/>
    </row>
    <row r="61" spans="1:24">
      <c r="A61" s="599"/>
      <c r="B61" s="599"/>
      <c r="C61" s="599"/>
      <c r="D61" s="599"/>
      <c r="E61" s="599"/>
      <c r="F61" s="599"/>
      <c r="G61" s="599"/>
      <c r="H61" s="599"/>
      <c r="I61" s="599"/>
      <c r="J61" s="599"/>
      <c r="K61" s="599"/>
      <c r="L61" s="599"/>
      <c r="M61" s="599"/>
      <c r="N61" s="599"/>
      <c r="O61" s="599"/>
      <c r="P61" s="599"/>
      <c r="Q61" s="599"/>
      <c r="R61" s="599"/>
      <c r="S61" s="599"/>
      <c r="T61" s="599"/>
      <c r="U61" s="599"/>
      <c r="V61" s="599"/>
      <c r="W61" s="599"/>
      <c r="X61" s="599"/>
    </row>
    <row r="62" spans="1:24">
      <c r="A62" s="599"/>
      <c r="B62" s="599"/>
      <c r="C62" s="599"/>
      <c r="D62" s="599"/>
      <c r="E62" s="599"/>
      <c r="F62" s="599"/>
      <c r="G62" s="599"/>
      <c r="H62" s="599"/>
      <c r="I62" s="599"/>
      <c r="J62" s="599"/>
      <c r="K62" s="599"/>
      <c r="L62" s="599"/>
      <c r="M62" s="599"/>
      <c r="N62" s="599"/>
      <c r="O62" s="599"/>
      <c r="P62" s="599"/>
      <c r="Q62" s="599"/>
      <c r="R62" s="599"/>
      <c r="S62" s="599"/>
      <c r="T62" s="599"/>
      <c r="U62" s="599"/>
      <c r="V62" s="599"/>
      <c r="W62" s="599"/>
      <c r="X62" s="599"/>
    </row>
    <row r="63" spans="1:24">
      <c r="A63" s="599"/>
      <c r="B63" s="599"/>
      <c r="C63" s="599"/>
      <c r="D63" s="599"/>
      <c r="E63" s="599"/>
      <c r="F63" s="599"/>
      <c r="G63" s="599"/>
      <c r="H63" s="599"/>
      <c r="I63" s="599"/>
      <c r="J63" s="599"/>
      <c r="K63" s="599"/>
      <c r="L63" s="599"/>
      <c r="M63" s="599"/>
      <c r="N63" s="599"/>
      <c r="O63" s="599"/>
      <c r="P63" s="599"/>
      <c r="Q63" s="599"/>
      <c r="R63" s="599"/>
      <c r="S63" s="599"/>
      <c r="T63" s="599"/>
      <c r="U63" s="599"/>
      <c r="V63" s="599"/>
      <c r="W63" s="599"/>
      <c r="X63" s="599"/>
    </row>
    <row r="64" spans="1:24">
      <c r="A64" s="599"/>
      <c r="B64" s="599"/>
      <c r="C64" s="599"/>
      <c r="D64" s="599"/>
      <c r="E64" s="599"/>
      <c r="F64" s="599"/>
      <c r="G64" s="599"/>
      <c r="H64" s="599"/>
      <c r="I64" s="599"/>
      <c r="J64" s="599"/>
      <c r="K64" s="599"/>
      <c r="L64" s="599"/>
      <c r="M64" s="599"/>
      <c r="N64" s="599"/>
      <c r="O64" s="599"/>
      <c r="P64" s="599"/>
      <c r="Q64" s="599"/>
      <c r="R64" s="599"/>
      <c r="S64" s="599"/>
      <c r="T64" s="599"/>
      <c r="U64" s="599"/>
      <c r="V64" s="599"/>
      <c r="W64" s="599"/>
      <c r="X64" s="599"/>
    </row>
    <row r="65" spans="1:24">
      <c r="A65" s="599"/>
      <c r="B65" s="599"/>
      <c r="C65" s="599"/>
      <c r="D65" s="599"/>
      <c r="E65" s="599"/>
      <c r="F65" s="599"/>
      <c r="G65" s="599"/>
      <c r="H65" s="599"/>
      <c r="I65" s="599"/>
      <c r="J65" s="599"/>
      <c r="K65" s="599"/>
      <c r="L65" s="599"/>
      <c r="M65" s="599"/>
      <c r="N65" s="599"/>
      <c r="O65" s="599"/>
      <c r="P65" s="599"/>
      <c r="Q65" s="599"/>
      <c r="R65" s="599"/>
      <c r="S65" s="599"/>
      <c r="T65" s="599"/>
      <c r="U65" s="599"/>
      <c r="V65" s="599"/>
      <c r="W65" s="599"/>
      <c r="X65" s="599"/>
    </row>
    <row r="66" spans="1:24">
      <c r="A66" s="599"/>
      <c r="B66" s="599"/>
      <c r="C66" s="599"/>
      <c r="D66" s="599"/>
      <c r="E66" s="599"/>
      <c r="F66" s="599"/>
      <c r="G66" s="599"/>
      <c r="H66" s="599"/>
      <c r="I66" s="599"/>
      <c r="J66" s="599"/>
      <c r="K66" s="599"/>
      <c r="L66" s="599"/>
      <c r="M66" s="599"/>
      <c r="N66" s="599"/>
      <c r="O66" s="599"/>
      <c r="P66" s="599"/>
      <c r="Q66" s="599"/>
      <c r="R66" s="599"/>
      <c r="S66" s="599"/>
      <c r="T66" s="599"/>
      <c r="U66" s="599"/>
      <c r="V66" s="599"/>
      <c r="W66" s="599"/>
      <c r="X66" s="599"/>
    </row>
    <row r="67" spans="1:24">
      <c r="A67" s="599"/>
      <c r="B67" s="599"/>
      <c r="C67" s="599"/>
      <c r="D67" s="599"/>
      <c r="E67" s="599"/>
      <c r="F67" s="599"/>
      <c r="G67" s="599"/>
      <c r="H67" s="599"/>
      <c r="I67" s="599"/>
      <c r="J67" s="599"/>
      <c r="K67" s="599"/>
      <c r="L67" s="599"/>
      <c r="M67" s="599"/>
      <c r="N67" s="599"/>
      <c r="O67" s="599"/>
      <c r="P67" s="599"/>
      <c r="Q67" s="599"/>
      <c r="R67" s="599"/>
      <c r="S67" s="599"/>
      <c r="T67" s="599"/>
      <c r="U67" s="599"/>
      <c r="V67" s="599"/>
      <c r="W67" s="599"/>
      <c r="X67" s="599"/>
    </row>
    <row r="68" spans="1:24">
      <c r="A68" s="599"/>
      <c r="B68" s="599"/>
      <c r="C68" s="599"/>
      <c r="D68" s="599"/>
      <c r="E68" s="599"/>
      <c r="F68" s="599"/>
      <c r="G68" s="599"/>
      <c r="H68" s="599"/>
      <c r="I68" s="599"/>
      <c r="J68" s="599"/>
      <c r="K68" s="599"/>
      <c r="L68" s="599"/>
      <c r="M68" s="599"/>
      <c r="N68" s="599"/>
      <c r="O68" s="599"/>
      <c r="P68" s="599"/>
      <c r="Q68" s="599"/>
      <c r="R68" s="599"/>
      <c r="S68" s="599"/>
      <c r="T68" s="599"/>
      <c r="U68" s="599"/>
      <c r="V68" s="599"/>
      <c r="W68" s="599"/>
      <c r="X68" s="599"/>
    </row>
    <row r="69" spans="1:24">
      <c r="A69" s="599"/>
      <c r="B69" s="599"/>
      <c r="C69" s="599"/>
      <c r="D69" s="599"/>
      <c r="E69" s="599"/>
      <c r="F69" s="599"/>
      <c r="G69" s="599"/>
      <c r="H69" s="599"/>
      <c r="I69" s="599"/>
      <c r="J69" s="599"/>
      <c r="K69" s="599"/>
      <c r="L69" s="599"/>
      <c r="M69" s="599"/>
      <c r="N69" s="599"/>
      <c r="O69" s="599"/>
      <c r="P69" s="599"/>
      <c r="Q69" s="599"/>
      <c r="R69" s="599"/>
      <c r="S69" s="599"/>
      <c r="T69" s="599"/>
      <c r="U69" s="599"/>
      <c r="V69" s="599"/>
      <c r="W69" s="599"/>
      <c r="X69" s="599"/>
    </row>
  </sheetData>
  <phoneticPr fontId="19" type="noConversion"/>
  <pageMargins left="1" right="0.75" top="1" bottom="0" header="0" footer="0"/>
  <pageSetup scale="91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32">
    <tabColor theme="7" tint="-0.249977111117893"/>
    <pageSetUpPr fitToPage="1"/>
  </sheetPr>
  <dimension ref="A1:X69"/>
  <sheetViews>
    <sheetView workbookViewId="0"/>
  </sheetViews>
  <sheetFormatPr defaultColWidth="8" defaultRowHeight="13.2"/>
  <cols>
    <col min="1" max="1" width="8" customWidth="1"/>
    <col min="2" max="2" width="25.44140625" customWidth="1"/>
    <col min="3" max="3" width="8" customWidth="1"/>
    <col min="4" max="4" width="10.44140625" customWidth="1"/>
    <col min="5" max="7" width="8" customWidth="1"/>
    <col min="8" max="8" width="12.44140625" customWidth="1"/>
    <col min="9" max="9" width="10" customWidth="1"/>
    <col min="10" max="10" width="18.44140625" customWidth="1"/>
    <col min="11" max="12" width="8" customWidth="1"/>
    <col min="13" max="13" width="2.44140625" customWidth="1"/>
    <col min="14" max="14" width="21.5546875" customWidth="1"/>
    <col min="15" max="15" width="3.5546875" customWidth="1"/>
    <col min="16" max="16" width="16" customWidth="1"/>
    <col min="17" max="17" width="1.5546875" customWidth="1"/>
    <col min="18" max="18" width="18.44140625" customWidth="1"/>
    <col min="19" max="19" width="2.44140625" customWidth="1"/>
    <col min="20" max="20" width="21.5546875" customWidth="1"/>
  </cols>
  <sheetData>
    <row r="1" spans="1:24">
      <c r="A1" s="951" t="str">
        <f>LOGO!B5</f>
        <v>DUKE ENERGY KENTUCKY, INC.</v>
      </c>
      <c r="B1" s="951"/>
      <c r="C1" s="951"/>
      <c r="D1" s="951"/>
      <c r="E1" s="951"/>
      <c r="F1" s="951"/>
      <c r="G1" s="951"/>
      <c r="H1" s="951"/>
      <c r="I1" s="951"/>
      <c r="J1" s="951"/>
      <c r="K1" s="599"/>
      <c r="L1" s="599"/>
      <c r="M1" s="599"/>
      <c r="N1" s="599"/>
      <c r="O1" s="599"/>
      <c r="P1" s="599"/>
      <c r="Q1" s="599"/>
      <c r="R1" s="599"/>
      <c r="S1" s="599"/>
      <c r="T1" s="599"/>
      <c r="U1" s="599"/>
      <c r="V1" s="599"/>
      <c r="W1" s="599"/>
      <c r="X1" s="599"/>
    </row>
    <row r="2" spans="1:24">
      <c r="A2" s="951" t="str">
        <f>LOGO!B6</f>
        <v>CASE NO. 2024-00354</v>
      </c>
      <c r="B2" s="951"/>
      <c r="C2" s="951"/>
      <c r="D2" s="951"/>
      <c r="E2" s="951"/>
      <c r="F2" s="951"/>
      <c r="G2" s="951"/>
      <c r="H2" s="951"/>
      <c r="I2" s="951"/>
      <c r="J2" s="951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</row>
    <row r="3" spans="1:24">
      <c r="A3" s="968" t="s">
        <v>1933</v>
      </c>
      <c r="B3" s="951"/>
      <c r="C3" s="951"/>
      <c r="D3" s="951"/>
      <c r="E3" s="951"/>
      <c r="F3" s="951"/>
      <c r="G3" s="951"/>
      <c r="H3" s="951"/>
      <c r="I3" s="951"/>
      <c r="J3" s="951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</row>
    <row r="4" spans="1:24">
      <c r="A4" s="951" t="str">
        <f>LOGO!B8</f>
        <v>FOR THE TWELVE MONTHS ENDED JUNE 30, 2026</v>
      </c>
      <c r="B4" s="951"/>
      <c r="C4" s="951"/>
      <c r="D4" s="951"/>
      <c r="E4" s="951"/>
      <c r="F4" s="951"/>
      <c r="G4" s="951"/>
      <c r="H4" s="951"/>
      <c r="I4" s="951"/>
      <c r="J4" s="951"/>
      <c r="K4" s="599"/>
      <c r="L4" s="599"/>
      <c r="M4" s="599"/>
      <c r="N4" s="599"/>
      <c r="O4" s="599"/>
      <c r="P4" s="599"/>
      <c r="Q4" s="599"/>
      <c r="R4" s="599"/>
      <c r="S4" s="599"/>
      <c r="T4" s="599"/>
      <c r="U4" s="599"/>
      <c r="V4" s="599"/>
      <c r="W4" s="599"/>
      <c r="X4" s="599"/>
    </row>
    <row r="5" spans="1:24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  <c r="V5" s="599"/>
      <c r="W5" s="599"/>
      <c r="X5" s="599"/>
    </row>
    <row r="6" spans="1:24">
      <c r="A6" s="599" t="str">
        <f>DataB</f>
        <v>DATA: "X" BASE PERIOD  "X" FORECASTED PERIOD</v>
      </c>
      <c r="B6" s="599"/>
      <c r="C6" s="599"/>
      <c r="D6" s="599"/>
      <c r="E6" s="599"/>
      <c r="F6" s="599"/>
      <c r="G6" s="599"/>
      <c r="H6" s="599"/>
      <c r="I6" s="973" t="s">
        <v>1934</v>
      </c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599"/>
      <c r="V6" s="599"/>
      <c r="W6" s="599"/>
      <c r="X6" s="599"/>
    </row>
    <row r="7" spans="1:24">
      <c r="A7" s="599" t="str">
        <f>LOGO!B15</f>
        <v xml:space="preserve">TYPE OF FILING:  "X" ORIGINAL   UPDATED    REVISED  </v>
      </c>
      <c r="B7" s="599"/>
      <c r="C7" s="599"/>
      <c r="D7" s="599"/>
      <c r="E7" s="599"/>
      <c r="F7" s="599"/>
      <c r="G7" s="599"/>
      <c r="H7" s="599"/>
      <c r="I7" s="598" t="s">
        <v>466</v>
      </c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  <c r="U7" s="599"/>
      <c r="V7" s="599"/>
      <c r="W7" s="599"/>
      <c r="X7" s="599"/>
    </row>
    <row r="8" spans="1:24">
      <c r="A8" s="598" t="s">
        <v>1935</v>
      </c>
      <c r="B8" s="599"/>
      <c r="C8" s="599"/>
      <c r="D8" s="599"/>
      <c r="E8" s="599"/>
      <c r="F8" s="599"/>
      <c r="G8" s="599"/>
      <c r="H8" s="599"/>
      <c r="I8" s="598" t="s">
        <v>468</v>
      </c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  <c r="U8" s="599"/>
      <c r="V8" s="599"/>
      <c r="W8" s="599"/>
      <c r="X8" s="599"/>
    </row>
    <row r="9" spans="1:24">
      <c r="A9" s="599"/>
      <c r="B9" s="599"/>
      <c r="C9" s="599"/>
      <c r="D9" s="599"/>
      <c r="E9" s="599"/>
      <c r="F9" s="599"/>
      <c r="G9" s="599"/>
      <c r="H9" s="599"/>
      <c r="I9" s="598" t="str">
        <f>_WIT10</f>
        <v>G. S. CARPENTER</v>
      </c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  <c r="U9" s="599"/>
      <c r="V9" s="599"/>
      <c r="W9" s="599"/>
      <c r="X9" s="599"/>
    </row>
    <row r="10" spans="1:24">
      <c r="A10" s="1372"/>
      <c r="B10" s="1372"/>
      <c r="C10" s="1372"/>
      <c r="D10" s="1372"/>
      <c r="E10" s="1372"/>
      <c r="F10" s="1372"/>
      <c r="G10" s="1372"/>
      <c r="H10" s="1372"/>
      <c r="I10" s="1372"/>
      <c r="J10" s="1372"/>
      <c r="K10" s="598"/>
      <c r="L10" s="599"/>
      <c r="M10" s="599"/>
      <c r="N10" s="599"/>
      <c r="O10" s="599"/>
      <c r="P10" s="599"/>
      <c r="Q10" s="599"/>
      <c r="R10" s="599"/>
      <c r="S10" s="599"/>
      <c r="T10" s="599"/>
      <c r="U10" s="599"/>
      <c r="V10" s="599"/>
      <c r="W10" s="599"/>
      <c r="X10" s="599"/>
    </row>
    <row r="11" spans="1:24">
      <c r="A11" s="599"/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  <c r="U11" s="599"/>
      <c r="V11" s="599"/>
      <c r="W11" s="599"/>
      <c r="X11" s="599"/>
    </row>
    <row r="12" spans="1:24">
      <c r="A12" s="598" t="s">
        <v>1857</v>
      </c>
      <c r="B12" s="599"/>
      <c r="C12" s="599"/>
      <c r="D12" s="599"/>
      <c r="E12" s="599"/>
      <c r="F12" s="599"/>
      <c r="G12" s="599"/>
      <c r="H12" s="599"/>
      <c r="I12" s="599"/>
      <c r="J12" s="974" t="s">
        <v>975</v>
      </c>
      <c r="K12" s="599"/>
      <c r="L12" s="599"/>
      <c r="M12" s="599"/>
      <c r="N12" s="599"/>
      <c r="O12" s="599"/>
      <c r="P12" s="599"/>
      <c r="Q12" s="599"/>
      <c r="R12" s="599"/>
      <c r="S12" s="599"/>
      <c r="T12" s="599"/>
      <c r="U12" s="599"/>
      <c r="V12" s="599"/>
      <c r="W12" s="599"/>
      <c r="X12" s="599"/>
    </row>
    <row r="13" spans="1:24">
      <c r="A13" s="1372"/>
      <c r="B13" s="1372"/>
      <c r="C13" s="1372"/>
      <c r="D13" s="1372"/>
      <c r="E13" s="1372"/>
      <c r="F13" s="1372"/>
      <c r="G13" s="1372"/>
      <c r="H13" s="1372"/>
      <c r="I13" s="1372"/>
      <c r="J13" s="1372"/>
      <c r="K13" s="598"/>
      <c r="L13" s="599"/>
      <c r="M13" s="599"/>
      <c r="N13" s="599"/>
      <c r="O13" s="599"/>
      <c r="P13" s="599"/>
      <c r="Q13" s="599"/>
      <c r="R13" s="599"/>
      <c r="S13" s="599"/>
      <c r="T13" s="599"/>
      <c r="U13" s="599"/>
      <c r="V13" s="599"/>
      <c r="W13" s="599"/>
      <c r="X13" s="599"/>
    </row>
    <row r="14" spans="1:24">
      <c r="A14" s="599"/>
      <c r="B14" s="599"/>
      <c r="C14" s="599"/>
      <c r="D14" s="599"/>
      <c r="E14" s="599"/>
      <c r="F14" s="599"/>
      <c r="G14" s="599"/>
      <c r="H14" s="599"/>
      <c r="I14" s="599"/>
      <c r="J14" s="974"/>
      <c r="K14" s="599"/>
      <c r="L14" s="599"/>
      <c r="M14" s="599"/>
      <c r="N14" s="599"/>
      <c r="O14" s="599"/>
      <c r="P14" s="599"/>
      <c r="Q14" s="599"/>
      <c r="R14" s="599"/>
      <c r="S14" s="599"/>
      <c r="T14" s="599"/>
      <c r="U14" s="599"/>
      <c r="V14" s="599"/>
      <c r="W14" s="599"/>
      <c r="X14" s="599"/>
    </row>
    <row r="15" spans="1:24">
      <c r="A15" s="169" t="s">
        <v>1936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  <c r="V15" s="599"/>
      <c r="W15" s="599"/>
      <c r="X15" s="599"/>
    </row>
    <row r="16" spans="1:24">
      <c r="A16" s="169" t="s">
        <v>1874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</row>
    <row r="17" spans="1:24">
      <c r="A17" s="598"/>
      <c r="B17" s="599"/>
      <c r="C17" s="599"/>
      <c r="D17" s="599"/>
      <c r="E17" s="599"/>
      <c r="F17" s="599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  <c r="U17" s="599"/>
      <c r="V17" s="599"/>
      <c r="W17" s="599"/>
      <c r="X17" s="599"/>
    </row>
    <row r="18" spans="1:24">
      <c r="A18" s="598"/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  <c r="X18" s="599"/>
    </row>
    <row r="19" spans="1:24">
      <c r="A19" s="598"/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</row>
    <row r="20" spans="1:24">
      <c r="A20" s="598"/>
      <c r="B20" s="599"/>
      <c r="C20" s="599"/>
      <c r="D20" s="599"/>
      <c r="E20" s="599"/>
      <c r="F20" s="599"/>
      <c r="G20" s="599"/>
      <c r="H20" s="974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  <c r="U20" s="599"/>
      <c r="V20" s="599"/>
      <c r="W20" s="599"/>
      <c r="X20" s="599"/>
    </row>
    <row r="21" spans="1:24">
      <c r="A21" s="734"/>
      <c r="B21" s="599"/>
      <c r="C21" s="599"/>
      <c r="D21" s="599"/>
      <c r="E21" s="599"/>
      <c r="F21" s="599"/>
      <c r="G21" s="599"/>
      <c r="H21" s="96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  <c r="U21" s="599"/>
      <c r="V21" s="599"/>
      <c r="W21" s="599"/>
      <c r="X21" s="599"/>
    </row>
    <row r="22" spans="1:24">
      <c r="A22" s="599"/>
      <c r="B22" s="599"/>
      <c r="C22" s="599"/>
      <c r="D22" s="599"/>
      <c r="E22" s="599"/>
      <c r="F22" s="599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  <c r="U22" s="599"/>
      <c r="V22" s="599"/>
      <c r="W22" s="599"/>
      <c r="X22" s="599"/>
    </row>
    <row r="23" spans="1:24">
      <c r="A23" s="598" t="s">
        <v>1937</v>
      </c>
      <c r="B23" s="599"/>
      <c r="C23" s="599"/>
      <c r="D23" s="599"/>
      <c r="E23" s="599"/>
      <c r="F23" s="599"/>
      <c r="G23" s="599"/>
      <c r="H23" s="599"/>
      <c r="I23" s="704"/>
      <c r="J23" s="682">
        <f>T53</f>
        <v>2996380</v>
      </c>
      <c r="K23" s="599"/>
      <c r="L23" s="599"/>
      <c r="M23" s="599"/>
      <c r="N23" s="599"/>
      <c r="O23" s="599"/>
      <c r="P23" s="599"/>
      <c r="Q23" s="599"/>
      <c r="R23" s="599"/>
      <c r="S23" s="599"/>
      <c r="T23" s="599"/>
      <c r="U23" s="599"/>
      <c r="V23" s="599"/>
      <c r="W23" s="599"/>
      <c r="X23" s="599"/>
    </row>
    <row r="24" spans="1:24">
      <c r="A24" s="599"/>
      <c r="B24" s="599"/>
      <c r="C24" s="599"/>
      <c r="D24" s="599"/>
      <c r="E24" s="599"/>
      <c r="F24" s="599"/>
      <c r="G24" s="599"/>
      <c r="H24" s="599"/>
      <c r="I24" s="599"/>
      <c r="J24" s="704"/>
      <c r="K24" s="599"/>
      <c r="L24" s="599"/>
      <c r="M24" s="599"/>
      <c r="N24" s="599"/>
      <c r="O24" s="599"/>
      <c r="P24" s="599"/>
      <c r="Q24" s="599"/>
      <c r="R24" s="599"/>
      <c r="S24" s="599"/>
      <c r="T24" s="599"/>
      <c r="U24" s="599"/>
      <c r="V24" s="599"/>
      <c r="W24" s="599"/>
      <c r="X24" s="599"/>
    </row>
    <row r="25" spans="1:24">
      <c r="A25" s="599"/>
      <c r="B25" s="599"/>
      <c r="C25" s="599"/>
      <c r="D25" s="599"/>
      <c r="E25" s="599"/>
      <c r="F25" s="599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  <c r="U25" s="599"/>
      <c r="V25" s="599"/>
      <c r="W25" s="599"/>
      <c r="X25" s="599"/>
    </row>
    <row r="26" spans="1:24">
      <c r="A26" s="598" t="s">
        <v>1862</v>
      </c>
      <c r="B26" s="599"/>
      <c r="C26" s="599"/>
      <c r="D26" s="599"/>
      <c r="E26" s="599"/>
      <c r="F26" s="599"/>
      <c r="G26" s="599"/>
      <c r="H26" s="599"/>
      <c r="I26" s="599"/>
      <c r="J26" s="703">
        <f>VLOOKUP(D33,ALLOCTABLE,2)/100</f>
        <v>1</v>
      </c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  <c r="X26" s="599"/>
    </row>
    <row r="27" spans="1:24">
      <c r="A27" s="599"/>
      <c r="B27" s="599"/>
      <c r="C27" s="599"/>
      <c r="D27" s="599"/>
      <c r="E27" s="599"/>
      <c r="F27" s="599"/>
      <c r="G27" s="599"/>
      <c r="H27" s="599"/>
      <c r="I27" s="599"/>
      <c r="J27" s="704"/>
      <c r="K27" s="599"/>
      <c r="L27" s="599"/>
      <c r="M27" s="599"/>
      <c r="N27" s="599"/>
      <c r="O27" s="599"/>
      <c r="P27" s="599"/>
      <c r="Q27" s="599"/>
      <c r="R27" s="599"/>
      <c r="S27" s="599"/>
      <c r="T27" s="599"/>
      <c r="U27" s="599"/>
      <c r="V27" s="599"/>
      <c r="W27" s="599"/>
      <c r="X27" s="599"/>
    </row>
    <row r="28" spans="1:24">
      <c r="A28" s="599"/>
      <c r="B28" s="599"/>
      <c r="C28" s="599"/>
      <c r="D28" s="599"/>
      <c r="E28" s="599"/>
      <c r="F28" s="599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  <c r="V28" s="599"/>
      <c r="W28" s="599"/>
      <c r="X28" s="599"/>
    </row>
    <row r="29" spans="1:24" ht="15">
      <c r="A29" s="598" t="s">
        <v>1863</v>
      </c>
      <c r="B29" s="599"/>
      <c r="C29" s="599"/>
      <c r="D29" s="599"/>
      <c r="E29" s="599"/>
      <c r="F29" s="598" t="s">
        <v>1876</v>
      </c>
      <c r="G29" s="599"/>
      <c r="H29" s="599"/>
      <c r="I29" s="704"/>
      <c r="J29" s="705">
        <f>ROUND(J23*J26,0)</f>
        <v>2996380</v>
      </c>
      <c r="K29" s="599"/>
      <c r="L29" s="599"/>
      <c r="M29" s="599"/>
      <c r="N29" s="599"/>
      <c r="O29" s="599"/>
      <c r="P29" s="599"/>
      <c r="Q29" s="599"/>
      <c r="R29" s="599"/>
      <c r="S29" s="599"/>
      <c r="T29" s="599"/>
      <c r="U29" s="599"/>
      <c r="V29" s="599"/>
      <c r="W29" s="599"/>
      <c r="X29" s="599"/>
    </row>
    <row r="30" spans="1:24">
      <c r="A30" s="599"/>
      <c r="B30" s="599"/>
      <c r="C30" s="599"/>
      <c r="D30" s="599"/>
      <c r="E30" s="599"/>
      <c r="F30" s="599"/>
      <c r="G30" s="599"/>
      <c r="H30" s="599"/>
      <c r="I30" s="599"/>
      <c r="J30" s="704"/>
      <c r="K30" s="599"/>
      <c r="L30" s="599"/>
      <c r="M30" s="599"/>
      <c r="N30" s="599"/>
      <c r="O30" s="599"/>
      <c r="P30" s="599"/>
      <c r="Q30" s="599"/>
      <c r="R30" s="599"/>
      <c r="S30" s="599"/>
      <c r="T30" s="599"/>
      <c r="U30" s="599"/>
      <c r="V30" s="599"/>
      <c r="W30" s="599"/>
      <c r="X30" s="599"/>
    </row>
    <row r="31" spans="1:24">
      <c r="A31" s="599"/>
      <c r="B31" s="599"/>
      <c r="C31" s="599"/>
      <c r="D31" s="599"/>
      <c r="E31" s="599"/>
      <c r="F31" s="599"/>
      <c r="G31" s="599"/>
      <c r="H31" s="599"/>
      <c r="I31" s="599"/>
      <c r="J31" s="599"/>
      <c r="K31" s="599"/>
      <c r="L31" s="599"/>
      <c r="M31" s="599"/>
      <c r="N31" s="599"/>
      <c r="O31" s="599"/>
      <c r="P31" s="599"/>
      <c r="Q31" s="599"/>
      <c r="R31" s="599"/>
      <c r="S31" s="599"/>
      <c r="T31" s="599"/>
      <c r="U31" s="599"/>
      <c r="V31" s="599"/>
      <c r="W31" s="599"/>
      <c r="X31" s="599"/>
    </row>
    <row r="32" spans="1:24">
      <c r="A32" s="599"/>
      <c r="B32" s="599"/>
      <c r="C32" s="599"/>
      <c r="D32" s="599"/>
      <c r="E32" s="599"/>
      <c r="F32" s="599"/>
      <c r="G32" s="599"/>
      <c r="H32" s="599"/>
      <c r="I32" s="599"/>
      <c r="J32" s="599"/>
      <c r="K32" s="599"/>
      <c r="L32" s="599"/>
      <c r="M32" s="599"/>
      <c r="N32" s="599"/>
      <c r="O32" s="599"/>
      <c r="P32" s="599"/>
      <c r="Q32" s="599"/>
      <c r="R32" s="599"/>
      <c r="S32" s="599"/>
      <c r="T32" s="599"/>
      <c r="U32" s="599"/>
      <c r="V32" s="599"/>
      <c r="W32" s="599"/>
      <c r="X32" s="599"/>
    </row>
    <row r="33" spans="1:24">
      <c r="A33" s="598" t="s">
        <v>1864</v>
      </c>
      <c r="B33" s="599"/>
      <c r="C33" s="599"/>
      <c r="D33" s="966" t="s">
        <v>428</v>
      </c>
      <c r="E33" s="599"/>
      <c r="F33" s="599"/>
      <c r="G33" s="599"/>
      <c r="H33" s="599"/>
      <c r="I33" s="599"/>
      <c r="J33" s="599"/>
      <c r="K33" s="599"/>
      <c r="L33" s="599"/>
      <c r="M33" s="599"/>
      <c r="N33" s="599"/>
      <c r="O33" s="599"/>
      <c r="P33" s="599"/>
      <c r="Q33" s="599"/>
      <c r="R33" s="599"/>
      <c r="S33" s="599"/>
      <c r="T33" s="599"/>
      <c r="U33" s="599"/>
      <c r="V33" s="599"/>
      <c r="W33" s="599"/>
      <c r="X33" s="599"/>
    </row>
    <row r="34" spans="1:24">
      <c r="A34" s="598"/>
      <c r="B34" s="599"/>
      <c r="C34" s="599"/>
      <c r="D34" s="599"/>
      <c r="E34" s="599"/>
      <c r="F34" s="599"/>
      <c r="G34" s="599"/>
      <c r="H34" s="599"/>
      <c r="I34" s="599"/>
      <c r="J34" s="599"/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  <c r="W34" s="599"/>
      <c r="X34" s="599"/>
    </row>
    <row r="35" spans="1:24">
      <c r="A35" s="599"/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599"/>
      <c r="O35" s="599"/>
      <c r="P35" s="599"/>
      <c r="Q35" s="599"/>
      <c r="R35" s="599"/>
      <c r="S35" s="599"/>
      <c r="T35" s="599"/>
      <c r="U35" s="599"/>
      <c r="V35" s="599"/>
      <c r="W35" s="599"/>
      <c r="X35" s="599"/>
    </row>
    <row r="36" spans="1:24">
      <c r="A36" s="599"/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599"/>
      <c r="O36" s="599"/>
      <c r="P36" s="599"/>
      <c r="Q36" s="599"/>
      <c r="R36" s="599"/>
      <c r="S36" s="599"/>
      <c r="T36" s="599"/>
      <c r="U36" s="599"/>
      <c r="V36" s="599"/>
      <c r="W36" s="599"/>
      <c r="X36" s="599"/>
    </row>
    <row r="37" spans="1:24">
      <c r="A37" s="599"/>
      <c r="B37" s="599"/>
      <c r="C37" s="599"/>
      <c r="D37" s="599"/>
      <c r="E37" s="599"/>
      <c r="F37" s="599"/>
      <c r="G37" s="599"/>
      <c r="H37" s="599"/>
      <c r="I37" s="599"/>
      <c r="J37" s="599"/>
      <c r="K37" s="599"/>
      <c r="L37" s="599"/>
      <c r="M37" s="599"/>
      <c r="N37" s="599"/>
      <c r="O37" s="599"/>
      <c r="P37" s="599"/>
      <c r="Q37" s="599"/>
      <c r="R37" s="599"/>
      <c r="S37" s="599"/>
      <c r="T37" s="599"/>
      <c r="U37" s="599"/>
      <c r="V37" s="599"/>
      <c r="W37" s="599"/>
      <c r="X37" s="599"/>
    </row>
    <row r="38" spans="1:24">
      <c r="A38" s="599"/>
      <c r="B38" s="599"/>
      <c r="C38" s="599"/>
      <c r="D38" s="599"/>
      <c r="E38" s="599"/>
      <c r="F38" s="599"/>
      <c r="G38" s="599"/>
      <c r="H38" s="599"/>
      <c r="I38" s="599"/>
      <c r="J38" s="59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  <c r="V38" s="599"/>
      <c r="W38" s="599"/>
      <c r="X38" s="599"/>
    </row>
    <row r="39" spans="1:24">
      <c r="A39" s="599"/>
      <c r="B39" s="599"/>
      <c r="C39" s="599"/>
      <c r="D39" s="599"/>
      <c r="E39" s="599"/>
      <c r="F39" s="599"/>
      <c r="G39" s="599"/>
      <c r="H39" s="599"/>
      <c r="I39" s="599"/>
      <c r="J39" s="599"/>
      <c r="K39" s="599"/>
      <c r="L39" s="599"/>
      <c r="M39" s="599"/>
      <c r="N39" s="599"/>
      <c r="O39" s="599"/>
      <c r="P39" s="599"/>
      <c r="Q39" s="599"/>
      <c r="R39" s="599"/>
      <c r="S39" s="599"/>
      <c r="T39" s="599"/>
      <c r="U39" s="599"/>
      <c r="V39" s="599"/>
      <c r="W39" s="599"/>
      <c r="X39" s="599"/>
    </row>
    <row r="40" spans="1:24">
      <c r="A40" s="599"/>
      <c r="B40" s="599"/>
      <c r="C40" s="599"/>
      <c r="D40" s="599"/>
      <c r="E40" s="599"/>
      <c r="F40" s="599"/>
      <c r="G40" s="599"/>
      <c r="H40" s="599"/>
      <c r="I40" s="599"/>
      <c r="J40" s="599"/>
      <c r="K40" s="599"/>
      <c r="L40" s="599"/>
      <c r="M40" s="599"/>
      <c r="N40" s="599"/>
      <c r="O40" s="599"/>
      <c r="P40" s="599"/>
      <c r="Q40" s="599"/>
      <c r="R40" s="599"/>
      <c r="S40" s="599"/>
      <c r="T40" s="599"/>
      <c r="U40" s="599"/>
      <c r="V40" s="599"/>
      <c r="W40" s="599"/>
      <c r="X40" s="599"/>
    </row>
    <row r="41" spans="1:24">
      <c r="A41" s="599"/>
      <c r="B41" s="599"/>
      <c r="C41" s="599"/>
      <c r="D41" s="599"/>
      <c r="E41" s="599"/>
      <c r="F41" s="599"/>
      <c r="G41" s="599"/>
      <c r="H41" s="599"/>
      <c r="I41" s="599"/>
      <c r="J41" s="599"/>
      <c r="K41" s="599"/>
      <c r="L41" s="599"/>
      <c r="M41" s="599"/>
      <c r="N41" s="599"/>
      <c r="O41" s="599"/>
      <c r="P41" s="599"/>
      <c r="Q41" s="599"/>
      <c r="R41" s="599"/>
      <c r="S41" s="599"/>
      <c r="T41" s="599"/>
      <c r="U41" s="599"/>
      <c r="V41" s="599"/>
      <c r="W41" s="599"/>
      <c r="X41" s="599"/>
    </row>
    <row r="42" spans="1:24">
      <c r="A42" s="599"/>
      <c r="B42" s="599"/>
      <c r="C42" s="599"/>
      <c r="D42" s="599"/>
      <c r="E42" s="599"/>
      <c r="F42" s="599"/>
      <c r="G42" s="599"/>
      <c r="H42" s="599"/>
      <c r="I42" s="599"/>
      <c r="J42" s="599"/>
      <c r="K42" s="599"/>
      <c r="L42" s="599"/>
      <c r="M42" s="599"/>
      <c r="N42" s="599"/>
      <c r="O42" s="599"/>
      <c r="P42" s="599"/>
      <c r="Q42" s="599"/>
      <c r="R42" s="599"/>
      <c r="S42" s="599"/>
      <c r="T42" s="599"/>
      <c r="U42" s="599"/>
      <c r="V42" s="599"/>
      <c r="W42" s="599"/>
      <c r="X42" s="599"/>
    </row>
    <row r="43" spans="1:24">
      <c r="A43" s="599"/>
      <c r="B43" s="599"/>
      <c r="C43" s="599"/>
      <c r="D43" s="599"/>
      <c r="E43" s="599"/>
      <c r="F43" s="599"/>
      <c r="G43" s="599"/>
      <c r="H43" s="599"/>
      <c r="I43" s="599"/>
      <c r="J43" s="599"/>
      <c r="K43" s="599"/>
      <c r="L43" s="779" t="str">
        <f>COMPANY</f>
        <v>DUKE ENERGY KENTUCKY, INC.</v>
      </c>
      <c r="M43" s="253"/>
      <c r="N43" s="253"/>
      <c r="O43" s="253"/>
      <c r="P43" s="253"/>
      <c r="Q43" s="253"/>
      <c r="S43" s="779" t="s">
        <v>1938</v>
      </c>
      <c r="T43" s="597"/>
      <c r="U43" s="599"/>
      <c r="V43" s="599"/>
      <c r="W43" s="599"/>
      <c r="X43" s="599"/>
    </row>
    <row r="44" spans="1:24">
      <c r="A44" s="599"/>
      <c r="B44" s="599"/>
      <c r="C44" s="599"/>
      <c r="D44" s="599"/>
      <c r="E44" s="599"/>
      <c r="F44" s="599"/>
      <c r="G44" s="599"/>
      <c r="H44" s="599"/>
      <c r="I44" s="599"/>
      <c r="J44" s="599"/>
      <c r="K44" s="599"/>
      <c r="L44" s="779" t="str">
        <f>DEPT</f>
        <v>ELECTRIC DEPARTMENT</v>
      </c>
      <c r="M44" s="253"/>
      <c r="N44" s="253"/>
      <c r="O44" s="253"/>
      <c r="P44" s="253"/>
      <c r="Q44" s="253"/>
      <c r="S44" s="779" t="s">
        <v>1866</v>
      </c>
      <c r="T44" s="597"/>
      <c r="U44" s="599"/>
      <c r="V44" s="599"/>
      <c r="W44" s="599"/>
      <c r="X44" s="599"/>
    </row>
    <row r="45" spans="1:24">
      <c r="A45" s="599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779" t="str">
        <f>CASE</f>
        <v>CASE NO. 2024-00354</v>
      </c>
      <c r="M45" s="253"/>
      <c r="N45" s="253"/>
      <c r="O45" s="253"/>
      <c r="P45" s="253"/>
      <c r="Q45" s="253"/>
      <c r="S45" s="253" t="str">
        <f>_WIT10</f>
        <v>G. S. CARPENTER</v>
      </c>
      <c r="T45" s="597"/>
      <c r="U45" s="599"/>
      <c r="V45" s="599"/>
      <c r="W45" s="599"/>
      <c r="X45" s="599"/>
    </row>
    <row r="46" spans="1:24">
      <c r="A46" s="599"/>
      <c r="B46" s="599"/>
      <c r="C46" s="599"/>
      <c r="D46" s="599"/>
      <c r="E46" s="599"/>
      <c r="F46" s="599"/>
      <c r="G46" s="599"/>
      <c r="H46" s="599"/>
      <c r="I46" s="599"/>
      <c r="J46" s="599"/>
      <c r="K46" s="599"/>
      <c r="L46" s="779" t="s">
        <v>1939</v>
      </c>
      <c r="M46" s="253"/>
      <c r="N46" s="253"/>
      <c r="O46" s="253"/>
      <c r="P46" s="253"/>
      <c r="Q46" s="253"/>
      <c r="R46" s="961"/>
      <c r="S46" s="253"/>
      <c r="T46" s="597"/>
      <c r="U46" s="599"/>
      <c r="V46" s="599"/>
      <c r="W46" s="599"/>
      <c r="X46" s="599"/>
    </row>
    <row r="47" spans="1:24">
      <c r="A47" s="599"/>
      <c r="B47" s="599"/>
      <c r="C47" s="599"/>
      <c r="D47" s="599"/>
      <c r="E47" s="599"/>
      <c r="F47" s="599"/>
      <c r="G47" s="599"/>
      <c r="H47" s="599"/>
      <c r="I47" s="599"/>
      <c r="J47" s="599"/>
      <c r="K47" s="599"/>
      <c r="L47" s="779"/>
      <c r="M47" s="253"/>
      <c r="N47" s="253"/>
      <c r="O47" s="253"/>
      <c r="P47" s="253"/>
      <c r="Q47" s="253"/>
      <c r="R47" s="253"/>
      <c r="S47" s="253"/>
      <c r="T47" s="597"/>
      <c r="U47" s="599"/>
      <c r="V47" s="599"/>
      <c r="W47" s="599"/>
      <c r="X47" s="599"/>
    </row>
    <row r="48" spans="1:24">
      <c r="A48" s="599"/>
      <c r="B48" s="599"/>
      <c r="C48" s="599"/>
      <c r="D48" s="599"/>
      <c r="E48" s="599"/>
      <c r="F48" s="599"/>
      <c r="G48" s="599"/>
      <c r="H48" s="599"/>
      <c r="I48" s="599"/>
      <c r="J48" s="599"/>
      <c r="K48" s="599"/>
      <c r="L48" s="597"/>
      <c r="M48" s="597"/>
      <c r="N48" s="597"/>
      <c r="O48" s="597"/>
      <c r="P48" s="597"/>
      <c r="Q48" s="597"/>
      <c r="R48" s="597"/>
      <c r="S48" s="597"/>
      <c r="T48" s="597"/>
      <c r="U48" s="599"/>
      <c r="V48" s="599"/>
      <c r="W48" s="599"/>
      <c r="X48" s="599"/>
    </row>
    <row r="49" spans="1:24">
      <c r="A49" s="599"/>
      <c r="B49" s="599"/>
      <c r="C49" s="599"/>
      <c r="D49" s="599"/>
      <c r="E49" s="599"/>
      <c r="F49" s="599"/>
      <c r="G49" s="599"/>
      <c r="H49" s="599"/>
      <c r="I49" s="599"/>
      <c r="J49" s="599"/>
      <c r="K49" s="599"/>
      <c r="L49" s="597"/>
      <c r="M49" s="597"/>
      <c r="N49" s="597"/>
      <c r="O49" s="597"/>
      <c r="P49" s="597"/>
      <c r="Q49" s="597"/>
      <c r="R49" s="597"/>
      <c r="S49" s="597"/>
      <c r="T49" s="597"/>
      <c r="U49" s="599"/>
      <c r="V49" s="599"/>
      <c r="W49" s="599"/>
      <c r="X49" s="599"/>
    </row>
    <row r="50" spans="1:24">
      <c r="A50" s="599"/>
      <c r="B50" s="599"/>
      <c r="C50" s="599"/>
      <c r="D50" s="599"/>
      <c r="E50" s="599"/>
      <c r="F50" s="599"/>
      <c r="G50" s="599"/>
      <c r="H50" s="599"/>
      <c r="I50" s="599"/>
      <c r="J50" s="599"/>
      <c r="K50" s="599"/>
      <c r="L50" s="701" t="s">
        <v>573</v>
      </c>
      <c r="M50" s="701"/>
      <c r="N50" s="701"/>
      <c r="O50" s="701"/>
      <c r="P50" s="701" t="s">
        <v>13</v>
      </c>
      <c r="Q50" s="701"/>
      <c r="R50" s="701" t="s">
        <v>417</v>
      </c>
      <c r="S50" s="701"/>
      <c r="T50" s="701"/>
      <c r="U50" s="599"/>
      <c r="V50" s="599"/>
      <c r="W50" s="599"/>
      <c r="X50" s="599"/>
    </row>
    <row r="51" spans="1:24">
      <c r="A51" s="599"/>
      <c r="B51" s="599"/>
      <c r="C51" s="599"/>
      <c r="D51" s="599"/>
      <c r="E51" s="599"/>
      <c r="F51" s="599"/>
      <c r="G51" s="599"/>
      <c r="H51" s="599"/>
      <c r="I51" s="599"/>
      <c r="J51" s="599"/>
      <c r="K51" s="599"/>
      <c r="L51" s="702" t="s">
        <v>576</v>
      </c>
      <c r="M51" s="702"/>
      <c r="N51" s="702" t="s">
        <v>2</v>
      </c>
      <c r="O51" s="702"/>
      <c r="P51" s="702" t="s">
        <v>418</v>
      </c>
      <c r="Q51" s="702"/>
      <c r="R51" s="702" t="s">
        <v>418</v>
      </c>
      <c r="S51" s="702"/>
      <c r="T51" s="702" t="s">
        <v>698</v>
      </c>
      <c r="U51" s="599"/>
      <c r="V51" s="599"/>
      <c r="W51" s="599"/>
      <c r="X51" s="599"/>
    </row>
    <row r="52" spans="1:24">
      <c r="A52" s="599"/>
      <c r="B52" s="599"/>
      <c r="C52" s="599"/>
      <c r="D52" s="599"/>
      <c r="E52" s="599"/>
      <c r="F52" s="599"/>
      <c r="G52" s="599"/>
      <c r="H52" s="599"/>
      <c r="I52" s="599"/>
      <c r="J52" s="599"/>
      <c r="K52" s="599"/>
      <c r="L52" s="597"/>
      <c r="M52" s="597"/>
      <c r="N52" s="597"/>
      <c r="O52" s="597"/>
      <c r="P52" s="597"/>
      <c r="Q52" s="597"/>
      <c r="R52" s="597"/>
      <c r="S52" s="597"/>
      <c r="T52" s="597"/>
      <c r="U52" s="599"/>
      <c r="V52" s="599"/>
      <c r="W52" s="599"/>
      <c r="X52" s="599"/>
    </row>
    <row r="53" spans="1:24" ht="13.8" thickBot="1">
      <c r="A53" s="599"/>
      <c r="B53" s="599"/>
      <c r="C53" s="599"/>
      <c r="D53" s="599"/>
      <c r="E53" s="599"/>
      <c r="F53" s="599"/>
      <c r="G53" s="599"/>
      <c r="H53" s="599"/>
      <c r="I53" s="599"/>
      <c r="J53" s="599"/>
      <c r="K53" s="599"/>
      <c r="L53" s="701">
        <v>1</v>
      </c>
      <c r="M53" s="597"/>
      <c r="N53" s="598" t="s">
        <v>1940</v>
      </c>
      <c r="O53" s="597"/>
      <c r="P53" s="1954">
        <f>SCH_C2!E35</f>
        <v>24228892</v>
      </c>
      <c r="Q53" s="597"/>
      <c r="R53" s="1954">
        <f>SCH_C2!H35</f>
        <v>27225272</v>
      </c>
      <c r="S53" s="597"/>
      <c r="T53" s="1954">
        <f>R53-P53</f>
        <v>2996380</v>
      </c>
      <c r="U53" s="599"/>
      <c r="V53" s="599"/>
      <c r="W53" s="599"/>
      <c r="X53" s="599"/>
    </row>
    <row r="54" spans="1:24" ht="13.8" thickTop="1">
      <c r="A54" s="599"/>
      <c r="B54" s="599"/>
      <c r="C54" s="599"/>
      <c r="D54" s="599"/>
      <c r="E54" s="599"/>
      <c r="F54" s="599"/>
      <c r="G54" s="599"/>
      <c r="H54" s="599"/>
      <c r="I54" s="599"/>
      <c r="J54" s="599"/>
      <c r="K54" s="599"/>
      <c r="L54" s="701"/>
      <c r="M54" s="597"/>
      <c r="N54" s="597"/>
      <c r="O54" s="597"/>
      <c r="P54" s="597"/>
      <c r="Q54" s="597"/>
      <c r="R54" s="597"/>
      <c r="S54" s="597"/>
      <c r="T54" s="597"/>
      <c r="U54" s="599"/>
      <c r="V54" s="599"/>
      <c r="W54" s="599"/>
      <c r="X54" s="599"/>
    </row>
    <row r="55" spans="1:24">
      <c r="A55" s="599"/>
      <c r="B55" s="599"/>
      <c r="C55" s="599"/>
      <c r="D55" s="599"/>
      <c r="E55" s="599"/>
      <c r="F55" s="599"/>
      <c r="G55" s="599"/>
      <c r="H55" s="599"/>
      <c r="I55" s="599"/>
      <c r="J55" s="599"/>
      <c r="K55" s="599"/>
      <c r="L55" s="597"/>
      <c r="M55" s="597"/>
      <c r="N55" s="597"/>
      <c r="O55" s="597"/>
      <c r="P55" s="597"/>
      <c r="Q55" s="597"/>
      <c r="R55" s="597"/>
      <c r="S55" s="597"/>
      <c r="T55" s="597"/>
      <c r="U55" s="599"/>
      <c r="V55" s="599"/>
      <c r="W55" s="599"/>
      <c r="X55" s="599"/>
    </row>
    <row r="56" spans="1:24">
      <c r="A56" s="599"/>
      <c r="B56" s="599"/>
      <c r="C56" s="599"/>
      <c r="D56" s="599"/>
      <c r="E56" s="599"/>
      <c r="F56" s="599"/>
      <c r="G56" s="599"/>
      <c r="H56" s="599"/>
      <c r="I56" s="599"/>
      <c r="J56" s="599"/>
      <c r="K56" s="599"/>
      <c r="L56" s="597"/>
      <c r="M56" s="597"/>
      <c r="N56" s="597"/>
      <c r="O56" s="597"/>
      <c r="P56" s="597"/>
      <c r="Q56" s="597"/>
      <c r="R56" s="597"/>
      <c r="S56" s="597"/>
      <c r="T56" s="597"/>
      <c r="U56" s="599"/>
      <c r="V56" s="599"/>
      <c r="W56" s="599"/>
      <c r="X56" s="599"/>
    </row>
    <row r="57" spans="1:24">
      <c r="A57" s="599"/>
      <c r="B57" s="599"/>
      <c r="C57" s="599"/>
      <c r="D57" s="599"/>
      <c r="E57" s="599"/>
      <c r="F57" s="599"/>
      <c r="G57" s="599"/>
      <c r="H57" s="599"/>
      <c r="I57" s="599"/>
      <c r="J57" s="599"/>
      <c r="K57" s="599"/>
      <c r="L57" s="597"/>
      <c r="M57" s="597"/>
      <c r="N57" s="597"/>
      <c r="O57" s="597"/>
      <c r="P57" s="597"/>
      <c r="Q57" s="597"/>
      <c r="R57" s="597"/>
      <c r="S57" s="597"/>
      <c r="T57" s="701" t="s">
        <v>1869</v>
      </c>
      <c r="U57" s="599"/>
      <c r="V57" s="599"/>
      <c r="W57" s="599"/>
      <c r="X57" s="599"/>
    </row>
    <row r="58" spans="1:24">
      <c r="A58" s="599"/>
      <c r="B58" s="599"/>
      <c r="C58" s="599"/>
      <c r="D58" s="599"/>
      <c r="E58" s="599"/>
      <c r="F58" s="599"/>
      <c r="G58" s="599"/>
      <c r="H58" s="599"/>
      <c r="I58" s="599"/>
      <c r="J58" s="599"/>
      <c r="K58" s="599"/>
      <c r="L58" s="599"/>
      <c r="M58" s="599"/>
      <c r="N58" s="599"/>
      <c r="O58" s="599"/>
      <c r="P58" s="599"/>
      <c r="Q58" s="599"/>
      <c r="R58" s="599"/>
      <c r="S58" s="599"/>
      <c r="T58" s="599"/>
      <c r="U58" s="599"/>
      <c r="V58" s="599"/>
      <c r="W58" s="599"/>
      <c r="X58" s="599"/>
    </row>
    <row r="59" spans="1:24">
      <c r="A59" s="599"/>
      <c r="B59" s="599"/>
      <c r="C59" s="599"/>
      <c r="D59" s="599"/>
      <c r="E59" s="599"/>
      <c r="F59" s="599"/>
      <c r="G59" s="599"/>
      <c r="H59" s="599"/>
      <c r="I59" s="599"/>
      <c r="J59" s="599"/>
      <c r="K59" s="599"/>
      <c r="L59" s="599"/>
      <c r="M59" s="599"/>
      <c r="N59" s="599"/>
      <c r="O59" s="599"/>
      <c r="P59" s="599"/>
      <c r="Q59" s="599"/>
      <c r="R59" s="599"/>
      <c r="S59" s="599"/>
      <c r="T59" s="599"/>
      <c r="U59" s="599"/>
      <c r="V59" s="599"/>
      <c r="W59" s="599"/>
      <c r="X59" s="599"/>
    </row>
    <row r="60" spans="1:24">
      <c r="A60" s="599"/>
      <c r="B60" s="599"/>
      <c r="C60" s="599"/>
      <c r="D60" s="599"/>
      <c r="E60" s="599"/>
      <c r="F60" s="599"/>
      <c r="G60" s="599"/>
      <c r="H60" s="599"/>
      <c r="I60" s="599"/>
      <c r="J60" s="599"/>
      <c r="K60" s="599"/>
      <c r="L60" s="599"/>
      <c r="M60" s="599"/>
      <c r="N60" s="599"/>
      <c r="O60" s="599"/>
      <c r="P60" s="599"/>
      <c r="Q60" s="599"/>
      <c r="R60" s="1051"/>
      <c r="S60" s="599"/>
      <c r="T60" s="599"/>
      <c r="U60" s="599"/>
      <c r="V60" s="599"/>
      <c r="W60" s="599"/>
      <c r="X60" s="599"/>
    </row>
    <row r="61" spans="1:24">
      <c r="A61" s="599"/>
      <c r="B61" s="599"/>
      <c r="C61" s="599"/>
      <c r="D61" s="599"/>
      <c r="E61" s="599"/>
      <c r="F61" s="599"/>
      <c r="G61" s="599"/>
      <c r="H61" s="599"/>
      <c r="I61" s="599"/>
      <c r="J61" s="599"/>
      <c r="K61" s="599"/>
      <c r="L61" s="599"/>
      <c r="M61" s="599"/>
      <c r="N61" s="599"/>
      <c r="O61" s="599"/>
      <c r="P61" s="599"/>
      <c r="Q61" s="599"/>
      <c r="R61" s="599"/>
      <c r="S61" s="599"/>
      <c r="T61" s="599"/>
      <c r="U61" s="599"/>
      <c r="V61" s="599"/>
      <c r="W61" s="599"/>
      <c r="X61" s="599"/>
    </row>
    <row r="62" spans="1:24">
      <c r="A62" s="599"/>
      <c r="B62" s="599"/>
      <c r="C62" s="599"/>
      <c r="D62" s="599"/>
      <c r="E62" s="599"/>
      <c r="F62" s="599"/>
      <c r="G62" s="599"/>
      <c r="H62" s="599"/>
      <c r="I62" s="599"/>
      <c r="J62" s="599"/>
      <c r="K62" s="599"/>
      <c r="L62" s="599"/>
      <c r="M62" s="599"/>
      <c r="N62" s="599"/>
      <c r="O62" s="599"/>
      <c r="P62" s="599"/>
      <c r="Q62" s="599"/>
      <c r="R62" s="599"/>
      <c r="S62" s="599"/>
      <c r="T62" s="599"/>
      <c r="U62" s="599"/>
      <c r="V62" s="599"/>
      <c r="W62" s="599"/>
      <c r="X62" s="599"/>
    </row>
    <row r="63" spans="1:24">
      <c r="A63" s="599"/>
      <c r="B63" s="599"/>
      <c r="C63" s="599"/>
      <c r="D63" s="599"/>
      <c r="E63" s="599"/>
      <c r="F63" s="599"/>
      <c r="G63" s="599"/>
      <c r="H63" s="599"/>
      <c r="I63" s="599"/>
      <c r="J63" s="599"/>
      <c r="K63" s="599"/>
      <c r="L63" s="599"/>
      <c r="M63" s="599"/>
      <c r="N63" s="599"/>
      <c r="O63" s="599"/>
      <c r="P63" s="599"/>
      <c r="Q63" s="599"/>
      <c r="R63" s="599"/>
      <c r="S63" s="599"/>
      <c r="T63" s="599"/>
      <c r="U63" s="599"/>
      <c r="V63" s="599"/>
      <c r="W63" s="599"/>
      <c r="X63" s="599"/>
    </row>
    <row r="64" spans="1:24">
      <c r="A64" s="599"/>
      <c r="B64" s="599"/>
      <c r="C64" s="599"/>
      <c r="D64" s="599"/>
      <c r="E64" s="599"/>
      <c r="F64" s="599"/>
      <c r="G64" s="599"/>
      <c r="H64" s="599"/>
      <c r="I64" s="599"/>
      <c r="J64" s="599"/>
      <c r="K64" s="599"/>
      <c r="L64" s="599"/>
      <c r="M64" s="599"/>
      <c r="N64" s="599"/>
      <c r="O64" s="599"/>
      <c r="P64" s="599"/>
      <c r="Q64" s="599"/>
      <c r="R64" s="599"/>
      <c r="S64" s="599"/>
      <c r="T64" s="599"/>
      <c r="U64" s="599"/>
      <c r="V64" s="599"/>
      <c r="W64" s="599"/>
      <c r="X64" s="599"/>
    </row>
    <row r="65" spans="1:24">
      <c r="A65" s="599"/>
      <c r="B65" s="599"/>
      <c r="C65" s="599"/>
      <c r="D65" s="599"/>
      <c r="E65" s="599"/>
      <c r="F65" s="599"/>
      <c r="G65" s="599"/>
      <c r="H65" s="599"/>
      <c r="I65" s="599"/>
      <c r="J65" s="599"/>
      <c r="K65" s="599"/>
      <c r="L65" s="599"/>
      <c r="M65" s="599"/>
      <c r="N65" s="599"/>
      <c r="O65" s="599"/>
      <c r="P65" s="599"/>
      <c r="Q65" s="599"/>
      <c r="R65" s="599"/>
      <c r="S65" s="599"/>
      <c r="T65" s="599"/>
      <c r="U65" s="599"/>
      <c r="V65" s="599"/>
      <c r="W65" s="599"/>
      <c r="X65" s="599"/>
    </row>
    <row r="66" spans="1:24">
      <c r="A66" s="599"/>
      <c r="B66" s="599"/>
      <c r="C66" s="599"/>
      <c r="D66" s="599"/>
      <c r="E66" s="599"/>
      <c r="F66" s="599"/>
      <c r="G66" s="599"/>
      <c r="H66" s="599"/>
      <c r="I66" s="599"/>
      <c r="J66" s="599"/>
      <c r="K66" s="599"/>
      <c r="L66" s="599"/>
      <c r="M66" s="599"/>
      <c r="N66" s="599"/>
      <c r="O66" s="599"/>
      <c r="P66" s="599"/>
      <c r="Q66" s="599"/>
      <c r="R66" s="599"/>
      <c r="S66" s="599"/>
      <c r="T66" s="599"/>
      <c r="U66" s="599"/>
      <c r="V66" s="599"/>
      <c r="W66" s="599"/>
      <c r="X66" s="599"/>
    </row>
    <row r="67" spans="1:24">
      <c r="A67" s="599"/>
      <c r="B67" s="599"/>
      <c r="C67" s="599"/>
      <c r="D67" s="599"/>
      <c r="E67" s="599"/>
      <c r="F67" s="599"/>
      <c r="G67" s="599"/>
      <c r="H67" s="599"/>
      <c r="I67" s="599"/>
      <c r="J67" s="599"/>
      <c r="K67" s="599"/>
      <c r="L67" s="599"/>
      <c r="M67" s="599"/>
      <c r="N67" s="599"/>
      <c r="O67" s="599"/>
      <c r="P67" s="599"/>
      <c r="Q67" s="599"/>
      <c r="R67" s="599"/>
      <c r="S67" s="599"/>
      <c r="T67" s="599"/>
      <c r="U67" s="599"/>
      <c r="V67" s="599"/>
      <c r="W67" s="599"/>
      <c r="X67" s="599"/>
    </row>
    <row r="68" spans="1:24">
      <c r="A68" s="599"/>
      <c r="B68" s="599"/>
      <c r="C68" s="599"/>
      <c r="D68" s="599"/>
      <c r="E68" s="599"/>
      <c r="F68" s="599"/>
      <c r="G68" s="599"/>
      <c r="H68" s="599"/>
      <c r="I68" s="599"/>
      <c r="J68" s="599"/>
      <c r="K68" s="599"/>
      <c r="L68" s="599"/>
      <c r="M68" s="599"/>
      <c r="N68" s="599"/>
      <c r="O68" s="599"/>
      <c r="P68" s="599"/>
      <c r="Q68" s="599"/>
      <c r="R68" s="599"/>
      <c r="S68" s="599"/>
      <c r="T68" s="599"/>
      <c r="U68" s="599"/>
      <c r="V68" s="599"/>
      <c r="W68" s="599"/>
      <c r="X68" s="599"/>
    </row>
    <row r="69" spans="1:24">
      <c r="A69" s="599"/>
      <c r="B69" s="599"/>
      <c r="C69" s="599"/>
      <c r="D69" s="599"/>
      <c r="E69" s="599"/>
      <c r="F69" s="599"/>
      <c r="G69" s="599"/>
      <c r="H69" s="599"/>
      <c r="I69" s="599"/>
      <c r="J69" s="599"/>
      <c r="K69" s="599"/>
      <c r="L69" s="599"/>
      <c r="M69" s="599"/>
      <c r="N69" s="599"/>
      <c r="O69" s="599"/>
      <c r="P69" s="599"/>
      <c r="Q69" s="599"/>
      <c r="R69" s="599"/>
      <c r="S69" s="599"/>
      <c r="T69" s="599"/>
      <c r="U69" s="599"/>
      <c r="V69" s="599"/>
      <c r="W69" s="599"/>
      <c r="X69" s="599"/>
    </row>
  </sheetData>
  <phoneticPr fontId="19" type="noConversion"/>
  <pageMargins left="1" right="0.75" top="1" bottom="0" header="0" footer="0"/>
  <pageSetup scale="91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76">
    <tabColor theme="7" tint="-0.249977111117893"/>
    <pageSetUpPr fitToPage="1"/>
  </sheetPr>
  <dimension ref="A1:X69"/>
  <sheetViews>
    <sheetView workbookViewId="0"/>
  </sheetViews>
  <sheetFormatPr defaultColWidth="8" defaultRowHeight="13.2"/>
  <cols>
    <col min="1" max="1" width="8" customWidth="1"/>
    <col min="2" max="2" width="25.44140625" customWidth="1"/>
    <col min="3" max="3" width="8" customWidth="1"/>
    <col min="4" max="4" width="10.44140625" customWidth="1"/>
    <col min="5" max="7" width="8" customWidth="1"/>
    <col min="8" max="8" width="12.44140625" customWidth="1"/>
    <col min="9" max="9" width="10" customWidth="1"/>
    <col min="10" max="10" width="18.44140625" customWidth="1"/>
    <col min="11" max="12" width="8" customWidth="1"/>
    <col min="13" max="13" width="2.44140625" customWidth="1"/>
    <col min="14" max="14" width="23.5546875" customWidth="1"/>
    <col min="15" max="15" width="3.5546875" customWidth="1"/>
    <col min="16" max="16" width="16" customWidth="1"/>
    <col min="17" max="17" width="1.5546875" customWidth="1"/>
    <col min="18" max="18" width="18.44140625" customWidth="1"/>
    <col min="19" max="19" width="2.44140625" customWidth="1"/>
    <col min="20" max="20" width="21.5546875" customWidth="1"/>
  </cols>
  <sheetData>
    <row r="1" spans="1:24">
      <c r="A1" s="951" t="str">
        <f>LOGO!B5</f>
        <v>DUKE ENERGY KENTUCKY, INC.</v>
      </c>
      <c r="B1" s="951"/>
      <c r="C1" s="951"/>
      <c r="D1" s="951"/>
      <c r="E1" s="951"/>
      <c r="F1" s="951"/>
      <c r="G1" s="951"/>
      <c r="H1" s="951"/>
      <c r="I1" s="951"/>
      <c r="J1" s="951"/>
      <c r="K1" s="599"/>
      <c r="L1" s="599"/>
      <c r="M1" s="599"/>
      <c r="N1" s="599"/>
      <c r="O1" s="599"/>
      <c r="P1" s="599"/>
      <c r="Q1" s="599"/>
      <c r="R1" s="599"/>
      <c r="S1" s="599"/>
      <c r="T1" s="599"/>
      <c r="U1" s="599"/>
      <c r="V1" s="599"/>
      <c r="W1" s="599"/>
      <c r="X1" s="599"/>
    </row>
    <row r="2" spans="1:24">
      <c r="A2" s="951" t="str">
        <f>LOGO!B6</f>
        <v>CASE NO. 2024-00354</v>
      </c>
      <c r="B2" s="951"/>
      <c r="C2" s="951"/>
      <c r="D2" s="951"/>
      <c r="E2" s="951"/>
      <c r="F2" s="951"/>
      <c r="G2" s="951"/>
      <c r="H2" s="951"/>
      <c r="I2" s="951"/>
      <c r="J2" s="951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</row>
    <row r="3" spans="1:24">
      <c r="A3" s="968" t="s">
        <v>1941</v>
      </c>
      <c r="B3" s="951"/>
      <c r="C3" s="951"/>
      <c r="D3" s="951"/>
      <c r="E3" s="951"/>
      <c r="F3" s="951"/>
      <c r="G3" s="951"/>
      <c r="H3" s="951"/>
      <c r="I3" s="951"/>
      <c r="J3" s="951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</row>
    <row r="4" spans="1:24">
      <c r="A4" s="951" t="str">
        <f>LOGO!B8</f>
        <v>FOR THE TWELVE MONTHS ENDED JUNE 30, 2026</v>
      </c>
      <c r="B4" s="951"/>
      <c r="C4" s="951"/>
      <c r="D4" s="951"/>
      <c r="E4" s="951"/>
      <c r="F4" s="951"/>
      <c r="G4" s="951"/>
      <c r="H4" s="951"/>
      <c r="I4" s="951"/>
      <c r="J4" s="951"/>
      <c r="K4" s="599"/>
      <c r="L4" s="599"/>
      <c r="M4" s="599"/>
      <c r="N4" s="599"/>
      <c r="O4" s="599"/>
      <c r="P4" s="599"/>
      <c r="Q4" s="599"/>
      <c r="R4" s="599"/>
      <c r="S4" s="599"/>
      <c r="T4" s="599"/>
      <c r="U4" s="599"/>
      <c r="V4" s="599"/>
      <c r="W4" s="599"/>
      <c r="X4" s="599"/>
    </row>
    <row r="5" spans="1:24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  <c r="V5" s="599"/>
      <c r="W5" s="599"/>
      <c r="X5" s="599"/>
    </row>
    <row r="6" spans="1:24">
      <c r="A6" s="599" t="str">
        <f>DataB</f>
        <v>DATA: "X" BASE PERIOD  "X" FORECASTED PERIOD</v>
      </c>
      <c r="B6" s="599"/>
      <c r="C6" s="599"/>
      <c r="D6" s="599"/>
      <c r="E6" s="599"/>
      <c r="F6" s="599"/>
      <c r="G6" s="599"/>
      <c r="H6" s="599"/>
      <c r="I6" s="973" t="s">
        <v>1942</v>
      </c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599"/>
      <c r="V6" s="599"/>
      <c r="W6" s="599"/>
      <c r="X6" s="599"/>
    </row>
    <row r="7" spans="1:24">
      <c r="A7" s="599" t="str">
        <f>LOGO!B15</f>
        <v xml:space="preserve">TYPE OF FILING:  "X" ORIGINAL   UPDATED    REVISED  </v>
      </c>
      <c r="B7" s="599"/>
      <c r="C7" s="599"/>
      <c r="D7" s="599"/>
      <c r="E7" s="599"/>
      <c r="F7" s="599"/>
      <c r="G7" s="599"/>
      <c r="H7" s="599"/>
      <c r="I7" s="598" t="s">
        <v>466</v>
      </c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  <c r="U7" s="599"/>
      <c r="V7" s="599"/>
      <c r="W7" s="599"/>
      <c r="X7" s="599"/>
    </row>
    <row r="8" spans="1:24">
      <c r="A8" s="598" t="s">
        <v>1943</v>
      </c>
      <c r="B8" s="599"/>
      <c r="C8" s="599"/>
      <c r="D8" s="599"/>
      <c r="E8" s="599"/>
      <c r="F8" s="599"/>
      <c r="G8" s="599"/>
      <c r="H8" s="599"/>
      <c r="I8" s="598" t="s">
        <v>468</v>
      </c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  <c r="U8" s="599"/>
      <c r="V8" s="599"/>
      <c r="W8" s="599"/>
      <c r="X8" s="599"/>
    </row>
    <row r="9" spans="1:24">
      <c r="A9" s="599"/>
      <c r="B9" s="599"/>
      <c r="C9" s="599"/>
      <c r="D9" s="599"/>
      <c r="E9" s="599"/>
      <c r="F9" s="599"/>
      <c r="G9" s="599"/>
      <c r="H9" s="599"/>
      <c r="I9" s="598" t="str">
        <f>_WIT10</f>
        <v>G. S. CARPENTER</v>
      </c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  <c r="U9" s="599"/>
      <c r="V9" s="599"/>
      <c r="W9" s="599"/>
      <c r="X9" s="599"/>
    </row>
    <row r="10" spans="1:24">
      <c r="A10" s="1372"/>
      <c r="B10" s="1372"/>
      <c r="C10" s="1372"/>
      <c r="D10" s="1372"/>
      <c r="E10" s="1372"/>
      <c r="F10" s="1372"/>
      <c r="G10" s="1372"/>
      <c r="H10" s="1372"/>
      <c r="I10" s="1372"/>
      <c r="J10" s="1372"/>
      <c r="K10" s="598"/>
      <c r="L10" s="599"/>
      <c r="M10" s="599"/>
      <c r="N10" s="599"/>
      <c r="O10" s="599"/>
      <c r="P10" s="599"/>
      <c r="Q10" s="599"/>
      <c r="R10" s="599"/>
      <c r="S10" s="599"/>
      <c r="T10" s="599"/>
      <c r="U10" s="599"/>
      <c r="V10" s="599"/>
      <c r="W10" s="599"/>
      <c r="X10" s="599"/>
    </row>
    <row r="11" spans="1:24">
      <c r="A11" s="599"/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  <c r="U11" s="599"/>
      <c r="V11" s="599"/>
      <c r="W11" s="599"/>
      <c r="X11" s="599"/>
    </row>
    <row r="12" spans="1:24">
      <c r="A12" s="598" t="s">
        <v>1857</v>
      </c>
      <c r="B12" s="599"/>
      <c r="C12" s="599"/>
      <c r="D12" s="599"/>
      <c r="E12" s="599"/>
      <c r="F12" s="599"/>
      <c r="G12" s="599"/>
      <c r="H12" s="599"/>
      <c r="I12" s="599"/>
      <c r="J12" s="974" t="s">
        <v>975</v>
      </c>
      <c r="K12" s="599"/>
      <c r="L12" s="599"/>
      <c r="M12" s="599"/>
      <c r="N12" s="599"/>
      <c r="O12" s="599"/>
      <c r="P12" s="599"/>
      <c r="Q12" s="599"/>
      <c r="R12" s="599"/>
      <c r="S12" s="599"/>
      <c r="T12" s="599"/>
      <c r="U12" s="599"/>
      <c r="V12" s="599"/>
      <c r="W12" s="599"/>
      <c r="X12" s="599"/>
    </row>
    <row r="13" spans="1:24">
      <c r="A13" s="1372"/>
      <c r="B13" s="1372"/>
      <c r="C13" s="1372"/>
      <c r="D13" s="1372"/>
      <c r="E13" s="1372"/>
      <c r="F13" s="1372"/>
      <c r="G13" s="1372"/>
      <c r="H13" s="1372"/>
      <c r="I13" s="1372"/>
      <c r="J13" s="1372"/>
      <c r="K13" s="598"/>
      <c r="L13" s="599"/>
      <c r="M13" s="599"/>
      <c r="N13" s="599"/>
      <c r="O13" s="599"/>
      <c r="P13" s="599"/>
      <c r="Q13" s="599"/>
      <c r="R13" s="599"/>
      <c r="S13" s="599"/>
      <c r="T13" s="599"/>
      <c r="U13" s="599"/>
      <c r="V13" s="599"/>
      <c r="W13" s="599"/>
      <c r="X13" s="599"/>
    </row>
    <row r="14" spans="1:24">
      <c r="A14" s="599"/>
      <c r="B14" s="599"/>
      <c r="C14" s="599"/>
      <c r="D14" s="599"/>
      <c r="E14" s="599"/>
      <c r="F14" s="599"/>
      <c r="G14" s="599"/>
      <c r="H14" s="599"/>
      <c r="I14" s="599"/>
      <c r="J14" s="974"/>
      <c r="K14" s="599"/>
      <c r="L14" s="599"/>
      <c r="M14" s="599"/>
      <c r="N14" s="599"/>
      <c r="O14" s="599"/>
      <c r="P14" s="599"/>
      <c r="Q14" s="599"/>
      <c r="R14" s="599"/>
      <c r="S14" s="599"/>
      <c r="T14" s="599"/>
      <c r="U14" s="599"/>
      <c r="V14" s="599"/>
      <c r="W14" s="599"/>
      <c r="X14" s="599"/>
    </row>
    <row r="15" spans="1:24">
      <c r="A15" s="169" t="s">
        <v>1944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  <c r="V15" s="599"/>
      <c r="W15" s="599"/>
      <c r="X15" s="599"/>
    </row>
    <row r="16" spans="1:24">
      <c r="A16" s="169" t="s">
        <v>1874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</row>
    <row r="17" spans="1:24">
      <c r="A17" s="598"/>
      <c r="B17" s="599"/>
      <c r="C17" s="599"/>
      <c r="D17" s="599"/>
      <c r="E17" s="599"/>
      <c r="F17" s="599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  <c r="U17" s="599"/>
      <c r="V17" s="599"/>
      <c r="W17" s="599"/>
      <c r="X17" s="599"/>
    </row>
    <row r="18" spans="1:24">
      <c r="A18" s="598"/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  <c r="X18" s="599"/>
    </row>
    <row r="19" spans="1:24">
      <c r="A19" s="598"/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</row>
    <row r="20" spans="1:24">
      <c r="A20" s="598"/>
      <c r="B20" s="599"/>
      <c r="C20" s="599"/>
      <c r="D20" s="599"/>
      <c r="E20" s="599"/>
      <c r="F20" s="599"/>
      <c r="G20" s="599"/>
      <c r="H20" s="974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  <c r="U20" s="599"/>
      <c r="V20" s="599"/>
      <c r="W20" s="599"/>
      <c r="X20" s="599"/>
    </row>
    <row r="21" spans="1:24">
      <c r="A21" s="734"/>
      <c r="B21" s="599"/>
      <c r="C21" s="599"/>
      <c r="D21" s="599"/>
      <c r="E21" s="599"/>
      <c r="F21" s="599"/>
      <c r="G21" s="599"/>
      <c r="H21" s="96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  <c r="U21" s="599"/>
      <c r="V21" s="599"/>
      <c r="W21" s="599"/>
      <c r="X21" s="599"/>
    </row>
    <row r="22" spans="1:24">
      <c r="A22" s="599"/>
      <c r="B22" s="599"/>
      <c r="C22" s="599"/>
      <c r="D22" s="599"/>
      <c r="E22" s="599"/>
      <c r="F22" s="599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  <c r="U22" s="599"/>
      <c r="V22" s="599"/>
      <c r="W22" s="599"/>
      <c r="X22" s="599"/>
    </row>
    <row r="23" spans="1:24">
      <c r="A23" s="598" t="s">
        <v>1945</v>
      </c>
      <c r="B23" s="599"/>
      <c r="C23" s="599"/>
      <c r="D23" s="599"/>
      <c r="E23" s="599"/>
      <c r="F23" s="599"/>
      <c r="G23" s="599"/>
      <c r="H23" s="599"/>
      <c r="I23" s="704"/>
      <c r="J23" s="682">
        <f>T53</f>
        <v>-3748440</v>
      </c>
      <c r="K23" s="599"/>
      <c r="L23" s="599"/>
      <c r="M23" s="599"/>
      <c r="N23" s="599"/>
      <c r="O23" s="599"/>
      <c r="P23" s="599"/>
      <c r="Q23" s="599"/>
      <c r="R23" s="599"/>
      <c r="S23" s="599"/>
      <c r="T23" s="599"/>
      <c r="U23" s="599"/>
      <c r="V23" s="599"/>
      <c r="W23" s="599"/>
      <c r="X23" s="599"/>
    </row>
    <row r="24" spans="1:24">
      <c r="A24" s="599"/>
      <c r="B24" s="599"/>
      <c r="C24" s="599"/>
      <c r="D24" s="599"/>
      <c r="E24" s="599"/>
      <c r="F24" s="599"/>
      <c r="G24" s="599"/>
      <c r="H24" s="599"/>
      <c r="I24" s="599"/>
      <c r="J24" s="704"/>
      <c r="K24" s="599"/>
      <c r="L24" s="599"/>
      <c r="M24" s="599"/>
      <c r="N24" s="599"/>
      <c r="O24" s="599"/>
      <c r="P24" s="599"/>
      <c r="Q24" s="599"/>
      <c r="R24" s="599"/>
      <c r="S24" s="599"/>
      <c r="T24" s="599"/>
      <c r="U24" s="599"/>
      <c r="V24" s="599"/>
      <c r="W24" s="599"/>
      <c r="X24" s="599"/>
    </row>
    <row r="25" spans="1:24">
      <c r="A25" s="599"/>
      <c r="B25" s="599"/>
      <c r="C25" s="599"/>
      <c r="D25" s="599"/>
      <c r="E25" s="599"/>
      <c r="F25" s="599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  <c r="U25" s="599"/>
      <c r="V25" s="599"/>
      <c r="W25" s="599"/>
      <c r="X25" s="599"/>
    </row>
    <row r="26" spans="1:24">
      <c r="A26" s="598" t="s">
        <v>1862</v>
      </c>
      <c r="B26" s="599"/>
      <c r="C26" s="599"/>
      <c r="D26" s="599"/>
      <c r="E26" s="599"/>
      <c r="F26" s="599"/>
      <c r="G26" s="599"/>
      <c r="H26" s="599"/>
      <c r="I26" s="599"/>
      <c r="J26" s="703">
        <f>VLOOKUP(D33,ALLOCTABLE,2)/100</f>
        <v>1</v>
      </c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  <c r="X26" s="599"/>
    </row>
    <row r="27" spans="1:24">
      <c r="A27" s="599"/>
      <c r="B27" s="599"/>
      <c r="C27" s="599"/>
      <c r="D27" s="599"/>
      <c r="E27" s="599"/>
      <c r="F27" s="599"/>
      <c r="G27" s="599"/>
      <c r="H27" s="599"/>
      <c r="I27" s="599"/>
      <c r="J27" s="704"/>
      <c r="K27" s="599"/>
      <c r="L27" s="599"/>
      <c r="M27" s="599"/>
      <c r="N27" s="599"/>
      <c r="O27" s="599"/>
      <c r="P27" s="599"/>
      <c r="Q27" s="599"/>
      <c r="R27" s="599"/>
      <c r="S27" s="599"/>
      <c r="T27" s="599"/>
      <c r="U27" s="599"/>
      <c r="V27" s="599"/>
      <c r="W27" s="599"/>
      <c r="X27" s="599"/>
    </row>
    <row r="28" spans="1:24">
      <c r="A28" s="599"/>
      <c r="B28" s="599"/>
      <c r="C28" s="599"/>
      <c r="D28" s="599"/>
      <c r="E28" s="599"/>
      <c r="F28" s="599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  <c r="V28" s="599"/>
      <c r="W28" s="599"/>
      <c r="X28" s="599"/>
    </row>
    <row r="29" spans="1:24" ht="15">
      <c r="A29" s="598" t="s">
        <v>1863</v>
      </c>
      <c r="B29" s="599"/>
      <c r="C29" s="599"/>
      <c r="D29" s="599"/>
      <c r="E29" s="599"/>
      <c r="F29" s="598" t="s">
        <v>1876</v>
      </c>
      <c r="G29" s="599"/>
      <c r="H29" s="599"/>
      <c r="I29" s="704"/>
      <c r="J29" s="705">
        <f>ROUND(J23*J26,0)</f>
        <v>-3748440</v>
      </c>
      <c r="K29" s="599"/>
      <c r="L29" s="599"/>
      <c r="M29" s="599"/>
      <c r="N29" s="599"/>
      <c r="O29" s="599"/>
      <c r="P29" s="599"/>
      <c r="Q29" s="599"/>
      <c r="R29" s="599"/>
      <c r="S29" s="599"/>
      <c r="T29" s="599"/>
      <c r="U29" s="599"/>
      <c r="V29" s="599"/>
      <c r="W29" s="599"/>
      <c r="X29" s="599"/>
    </row>
    <row r="30" spans="1:24">
      <c r="A30" s="599"/>
      <c r="B30" s="599"/>
      <c r="C30" s="599"/>
      <c r="D30" s="599"/>
      <c r="E30" s="599"/>
      <c r="F30" s="599"/>
      <c r="G30" s="599"/>
      <c r="H30" s="599"/>
      <c r="I30" s="599"/>
      <c r="J30" s="704"/>
      <c r="K30" s="599"/>
      <c r="L30" s="599"/>
      <c r="M30" s="599"/>
      <c r="N30" s="599"/>
      <c r="O30" s="599"/>
      <c r="P30" s="599"/>
      <c r="Q30" s="599"/>
      <c r="R30" s="599"/>
      <c r="S30" s="599"/>
      <c r="T30" s="599"/>
      <c r="U30" s="599"/>
      <c r="V30" s="599"/>
      <c r="W30" s="599"/>
      <c r="X30" s="599"/>
    </row>
    <row r="31" spans="1:24">
      <c r="A31" s="599"/>
      <c r="B31" s="599"/>
      <c r="C31" s="599"/>
      <c r="D31" s="599"/>
      <c r="E31" s="599"/>
      <c r="F31" s="599"/>
      <c r="G31" s="599"/>
      <c r="H31" s="599"/>
      <c r="I31" s="599"/>
      <c r="J31" s="599"/>
      <c r="K31" s="599"/>
      <c r="L31" s="599"/>
      <c r="M31" s="599"/>
      <c r="N31" s="599"/>
      <c r="O31" s="599"/>
      <c r="P31" s="599"/>
      <c r="Q31" s="599"/>
      <c r="R31" s="599"/>
      <c r="S31" s="599"/>
      <c r="T31" s="599"/>
      <c r="U31" s="599"/>
      <c r="V31" s="599"/>
      <c r="W31" s="599"/>
      <c r="X31" s="599"/>
    </row>
    <row r="32" spans="1:24">
      <c r="A32" s="599"/>
      <c r="B32" s="599"/>
      <c r="C32" s="599"/>
      <c r="D32" s="599"/>
      <c r="E32" s="599"/>
      <c r="F32" s="599"/>
      <c r="G32" s="599"/>
      <c r="H32" s="599"/>
      <c r="I32" s="599"/>
      <c r="J32" s="599"/>
      <c r="K32" s="599"/>
      <c r="L32" s="599"/>
      <c r="M32" s="599"/>
      <c r="N32" s="599"/>
      <c r="O32" s="599"/>
      <c r="P32" s="599"/>
      <c r="Q32" s="599"/>
      <c r="R32" s="599"/>
      <c r="S32" s="599"/>
      <c r="T32" s="599"/>
      <c r="U32" s="599"/>
      <c r="V32" s="599"/>
      <c r="W32" s="599"/>
      <c r="X32" s="599"/>
    </row>
    <row r="33" spans="1:24">
      <c r="A33" s="598" t="s">
        <v>1864</v>
      </c>
      <c r="B33" s="599"/>
      <c r="C33" s="599"/>
      <c r="D33" s="966" t="s">
        <v>428</v>
      </c>
      <c r="E33" s="599"/>
      <c r="F33" s="599"/>
      <c r="G33" s="599"/>
      <c r="H33" s="599"/>
      <c r="I33" s="599"/>
      <c r="J33" s="599"/>
      <c r="K33" s="599"/>
      <c r="L33" s="599"/>
      <c r="M33" s="599"/>
      <c r="N33" s="599"/>
      <c r="O33" s="599"/>
      <c r="P33" s="599"/>
      <c r="Q33" s="599"/>
      <c r="R33" s="599"/>
      <c r="S33" s="599"/>
      <c r="T33" s="599"/>
      <c r="U33" s="599"/>
      <c r="V33" s="599"/>
      <c r="W33" s="599"/>
      <c r="X33" s="599"/>
    </row>
    <row r="34" spans="1:24">
      <c r="A34" s="598"/>
      <c r="B34" s="599"/>
      <c r="C34" s="599"/>
      <c r="D34" s="599"/>
      <c r="E34" s="599"/>
      <c r="F34" s="599"/>
      <c r="G34" s="599"/>
      <c r="H34" s="599"/>
      <c r="I34" s="599"/>
      <c r="J34" s="599"/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  <c r="W34" s="599"/>
      <c r="X34" s="599"/>
    </row>
    <row r="35" spans="1:24">
      <c r="A35" s="599"/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599"/>
      <c r="O35" s="599"/>
      <c r="P35" s="599"/>
      <c r="Q35" s="599"/>
      <c r="R35" s="599"/>
      <c r="S35" s="599"/>
      <c r="T35" s="599"/>
      <c r="U35" s="599"/>
      <c r="V35" s="599"/>
      <c r="W35" s="599"/>
      <c r="X35" s="599"/>
    </row>
    <row r="36" spans="1:24">
      <c r="A36" s="599"/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599"/>
      <c r="O36" s="599"/>
      <c r="P36" s="599"/>
      <c r="Q36" s="599"/>
      <c r="R36" s="599"/>
      <c r="S36" s="599"/>
      <c r="T36" s="599"/>
      <c r="U36" s="599"/>
      <c r="V36" s="599"/>
      <c r="W36" s="599"/>
      <c r="X36" s="599"/>
    </row>
    <row r="37" spans="1:24">
      <c r="A37" s="599"/>
      <c r="B37" s="599"/>
      <c r="C37" s="599"/>
      <c r="D37" s="599"/>
      <c r="E37" s="599"/>
      <c r="F37" s="599"/>
      <c r="G37" s="599"/>
      <c r="H37" s="599"/>
      <c r="I37" s="599"/>
      <c r="J37" s="599"/>
      <c r="K37" s="599"/>
      <c r="L37" s="599"/>
      <c r="M37" s="599"/>
      <c r="N37" s="599"/>
      <c r="O37" s="599"/>
      <c r="P37" s="599"/>
      <c r="Q37" s="599"/>
      <c r="R37" s="599"/>
      <c r="S37" s="599"/>
      <c r="T37" s="599"/>
      <c r="U37" s="599"/>
      <c r="V37" s="599"/>
      <c r="W37" s="599"/>
      <c r="X37" s="599"/>
    </row>
    <row r="38" spans="1:24">
      <c r="A38" s="599"/>
      <c r="B38" s="599"/>
      <c r="C38" s="599"/>
      <c r="D38" s="599"/>
      <c r="E38" s="599"/>
      <c r="F38" s="599"/>
      <c r="G38" s="599"/>
      <c r="H38" s="599"/>
      <c r="I38" s="599"/>
      <c r="J38" s="59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  <c r="V38" s="599"/>
      <c r="W38" s="599"/>
      <c r="X38" s="599"/>
    </row>
    <row r="39" spans="1:24">
      <c r="A39" s="599"/>
      <c r="B39" s="599"/>
      <c r="C39" s="599"/>
      <c r="D39" s="599"/>
      <c r="E39" s="599"/>
      <c r="F39" s="599"/>
      <c r="G39" s="599"/>
      <c r="H39" s="599"/>
      <c r="I39" s="599"/>
      <c r="J39" s="599"/>
      <c r="K39" s="599"/>
      <c r="L39" s="599"/>
      <c r="M39" s="599"/>
      <c r="N39" s="599"/>
      <c r="O39" s="599"/>
      <c r="P39" s="599"/>
      <c r="Q39" s="599"/>
      <c r="R39" s="599"/>
      <c r="S39" s="599"/>
      <c r="T39" s="599"/>
      <c r="U39" s="599"/>
      <c r="V39" s="599"/>
      <c r="W39" s="599"/>
      <c r="X39" s="599"/>
    </row>
    <row r="40" spans="1:24">
      <c r="A40" s="599"/>
      <c r="B40" s="599"/>
      <c r="C40" s="599"/>
      <c r="D40" s="599"/>
      <c r="E40" s="599"/>
      <c r="F40" s="599"/>
      <c r="G40" s="599"/>
      <c r="H40" s="599"/>
      <c r="I40" s="599"/>
      <c r="J40" s="599"/>
      <c r="K40" s="599"/>
      <c r="L40" s="599"/>
      <c r="M40" s="599"/>
      <c r="N40" s="599"/>
      <c r="O40" s="599"/>
      <c r="P40" s="599"/>
      <c r="Q40" s="599"/>
      <c r="R40" s="599"/>
      <c r="S40" s="599"/>
      <c r="T40" s="599"/>
      <c r="U40" s="599"/>
      <c r="V40" s="599"/>
      <c r="W40" s="599"/>
      <c r="X40" s="599"/>
    </row>
    <row r="41" spans="1:24">
      <c r="A41" s="599"/>
      <c r="B41" s="599"/>
      <c r="C41" s="599"/>
      <c r="D41" s="599"/>
      <c r="E41" s="599"/>
      <c r="F41" s="599"/>
      <c r="G41" s="599"/>
      <c r="H41" s="599"/>
      <c r="I41" s="599"/>
      <c r="J41" s="599"/>
      <c r="K41" s="599"/>
      <c r="L41" s="599"/>
      <c r="M41" s="599"/>
      <c r="N41" s="599"/>
      <c r="O41" s="599"/>
      <c r="P41" s="599"/>
      <c r="Q41" s="599"/>
      <c r="R41" s="599"/>
      <c r="S41" s="599"/>
      <c r="T41" s="599"/>
      <c r="U41" s="599"/>
      <c r="V41" s="599"/>
      <c r="W41" s="599"/>
      <c r="X41" s="599"/>
    </row>
    <row r="42" spans="1:24">
      <c r="A42" s="599"/>
      <c r="B42" s="599"/>
      <c r="C42" s="599"/>
      <c r="D42" s="599"/>
      <c r="E42" s="599"/>
      <c r="F42" s="599"/>
      <c r="G42" s="599"/>
      <c r="H42" s="599"/>
      <c r="I42" s="599"/>
      <c r="J42" s="599"/>
      <c r="K42" s="599"/>
      <c r="L42" s="599"/>
      <c r="M42" s="599"/>
      <c r="N42" s="599"/>
      <c r="O42" s="599"/>
      <c r="P42" s="599"/>
      <c r="Q42" s="599"/>
      <c r="R42" s="599"/>
      <c r="S42" s="599"/>
      <c r="T42" s="599"/>
      <c r="U42" s="599"/>
      <c r="V42" s="599"/>
      <c r="W42" s="599"/>
      <c r="X42" s="599"/>
    </row>
    <row r="43" spans="1:24">
      <c r="A43" s="599"/>
      <c r="B43" s="599"/>
      <c r="C43" s="599"/>
      <c r="D43" s="599"/>
      <c r="E43" s="599"/>
      <c r="F43" s="599"/>
      <c r="G43" s="599"/>
      <c r="H43" s="599"/>
      <c r="I43" s="599"/>
      <c r="J43" s="599"/>
      <c r="K43" s="599"/>
      <c r="L43" s="779" t="str">
        <f>COMPANY</f>
        <v>DUKE ENERGY KENTUCKY, INC.</v>
      </c>
      <c r="M43" s="253"/>
      <c r="N43" s="253"/>
      <c r="O43" s="253"/>
      <c r="P43" s="253"/>
      <c r="Q43" s="253"/>
      <c r="S43" s="779" t="s">
        <v>1946</v>
      </c>
      <c r="T43" s="597"/>
      <c r="U43" s="599"/>
      <c r="V43" s="599"/>
      <c r="W43" s="599"/>
      <c r="X43" s="599"/>
    </row>
    <row r="44" spans="1:24">
      <c r="A44" s="599"/>
      <c r="B44" s="599"/>
      <c r="C44" s="599"/>
      <c r="D44" s="599"/>
      <c r="E44" s="599"/>
      <c r="F44" s="599"/>
      <c r="G44" s="599"/>
      <c r="H44" s="599"/>
      <c r="I44" s="599"/>
      <c r="J44" s="599"/>
      <c r="K44" s="599"/>
      <c r="L44" s="779" t="str">
        <f>DEPT</f>
        <v>ELECTRIC DEPARTMENT</v>
      </c>
      <c r="M44" s="253"/>
      <c r="N44" s="253"/>
      <c r="O44" s="253"/>
      <c r="P44" s="253"/>
      <c r="Q44" s="253"/>
      <c r="S44" s="779" t="s">
        <v>1866</v>
      </c>
      <c r="T44" s="597"/>
      <c r="U44" s="599"/>
      <c r="V44" s="599"/>
      <c r="W44" s="599"/>
      <c r="X44" s="599"/>
    </row>
    <row r="45" spans="1:24">
      <c r="A45" s="599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779" t="str">
        <f>CASE</f>
        <v>CASE NO. 2024-00354</v>
      </c>
      <c r="M45" s="253"/>
      <c r="N45" s="253"/>
      <c r="O45" s="253"/>
      <c r="P45" s="253"/>
      <c r="Q45" s="253"/>
      <c r="S45" s="253" t="str">
        <f>_WIT10</f>
        <v>G. S. CARPENTER</v>
      </c>
      <c r="T45" s="597"/>
      <c r="U45" s="599"/>
      <c r="V45" s="599"/>
      <c r="W45" s="599"/>
      <c r="X45" s="599"/>
    </row>
    <row r="46" spans="1:24">
      <c r="A46" s="599"/>
      <c r="B46" s="599"/>
      <c r="C46" s="599"/>
      <c r="D46" s="599"/>
      <c r="E46" s="599"/>
      <c r="F46" s="599"/>
      <c r="G46" s="599"/>
      <c r="H46" s="599"/>
      <c r="I46" s="599"/>
      <c r="J46" s="599"/>
      <c r="K46" s="599"/>
      <c r="L46" s="779" t="s">
        <v>1947</v>
      </c>
      <c r="M46" s="253"/>
      <c r="N46" s="253"/>
      <c r="O46" s="253"/>
      <c r="P46" s="253"/>
      <c r="Q46" s="253"/>
      <c r="R46" s="961"/>
      <c r="S46" s="253"/>
      <c r="T46" s="597"/>
      <c r="U46" s="599"/>
      <c r="V46" s="599"/>
      <c r="W46" s="599"/>
      <c r="X46" s="599"/>
    </row>
    <row r="47" spans="1:24">
      <c r="A47" s="599"/>
      <c r="B47" s="599"/>
      <c r="C47" s="599"/>
      <c r="D47" s="599"/>
      <c r="E47" s="599"/>
      <c r="F47" s="599"/>
      <c r="G47" s="599"/>
      <c r="H47" s="599"/>
      <c r="I47" s="599"/>
      <c r="J47" s="599"/>
      <c r="K47" s="599"/>
      <c r="L47" s="779"/>
      <c r="M47" s="253"/>
      <c r="N47" s="253"/>
      <c r="O47" s="253"/>
      <c r="P47" s="253"/>
      <c r="Q47" s="253"/>
      <c r="R47" s="253"/>
      <c r="S47" s="253"/>
      <c r="T47" s="597"/>
      <c r="U47" s="599"/>
      <c r="V47" s="599"/>
      <c r="W47" s="599"/>
      <c r="X47" s="599"/>
    </row>
    <row r="48" spans="1:24">
      <c r="A48" s="599"/>
      <c r="B48" s="599"/>
      <c r="C48" s="599"/>
      <c r="D48" s="599"/>
      <c r="E48" s="599"/>
      <c r="F48" s="599"/>
      <c r="G48" s="599"/>
      <c r="H48" s="599"/>
      <c r="I48" s="599"/>
      <c r="J48" s="599"/>
      <c r="K48" s="599"/>
      <c r="L48" s="597"/>
      <c r="M48" s="597"/>
      <c r="N48" s="597"/>
      <c r="O48" s="597"/>
      <c r="P48" s="597"/>
      <c r="Q48" s="597"/>
      <c r="R48" s="597"/>
      <c r="S48" s="597"/>
      <c r="T48" s="597"/>
      <c r="U48" s="599"/>
      <c r="V48" s="599"/>
      <c r="W48" s="599"/>
      <c r="X48" s="599"/>
    </row>
    <row r="49" spans="1:24">
      <c r="A49" s="599"/>
      <c r="B49" s="599"/>
      <c r="C49" s="599"/>
      <c r="D49" s="599"/>
      <c r="E49" s="599"/>
      <c r="F49" s="599"/>
      <c r="G49" s="599"/>
      <c r="H49" s="599"/>
      <c r="I49" s="599"/>
      <c r="J49" s="599"/>
      <c r="K49" s="599"/>
      <c r="L49" s="597"/>
      <c r="M49" s="597"/>
      <c r="N49" s="597"/>
      <c r="O49" s="597"/>
      <c r="P49" s="597"/>
      <c r="Q49" s="597"/>
      <c r="R49" s="597"/>
      <c r="S49" s="597"/>
      <c r="T49" s="597"/>
      <c r="U49" s="599"/>
      <c r="V49" s="599"/>
      <c r="W49" s="599"/>
      <c r="X49" s="599"/>
    </row>
    <row r="50" spans="1:24">
      <c r="A50" s="599"/>
      <c r="B50" s="599"/>
      <c r="C50" s="599"/>
      <c r="D50" s="599"/>
      <c r="E50" s="599"/>
      <c r="F50" s="599"/>
      <c r="G50" s="599"/>
      <c r="H50" s="599"/>
      <c r="I50" s="599"/>
      <c r="J50" s="599"/>
      <c r="K50" s="599"/>
      <c r="L50" s="701" t="s">
        <v>573</v>
      </c>
      <c r="M50" s="701"/>
      <c r="N50" s="701"/>
      <c r="O50" s="701"/>
      <c r="P50" s="701" t="s">
        <v>13</v>
      </c>
      <c r="Q50" s="701"/>
      <c r="R50" s="701" t="s">
        <v>417</v>
      </c>
      <c r="S50" s="701"/>
      <c r="T50" s="701"/>
      <c r="U50" s="599"/>
      <c r="V50" s="599"/>
      <c r="W50" s="599"/>
      <c r="X50" s="599"/>
    </row>
    <row r="51" spans="1:24">
      <c r="A51" s="599"/>
      <c r="B51" s="599"/>
      <c r="C51" s="599"/>
      <c r="D51" s="599"/>
      <c r="E51" s="599"/>
      <c r="F51" s="599"/>
      <c r="G51" s="599"/>
      <c r="H51" s="599"/>
      <c r="I51" s="599"/>
      <c r="J51" s="599"/>
      <c r="K51" s="599"/>
      <c r="L51" s="702" t="s">
        <v>576</v>
      </c>
      <c r="M51" s="702"/>
      <c r="N51" s="702" t="s">
        <v>2</v>
      </c>
      <c r="O51" s="702"/>
      <c r="P51" s="702" t="s">
        <v>418</v>
      </c>
      <c r="Q51" s="702"/>
      <c r="R51" s="702" t="s">
        <v>418</v>
      </c>
      <c r="S51" s="702"/>
      <c r="T51" s="702" t="s">
        <v>698</v>
      </c>
      <c r="U51" s="599"/>
      <c r="V51" s="599"/>
      <c r="W51" s="599"/>
      <c r="X51" s="599"/>
    </row>
    <row r="52" spans="1:24">
      <c r="A52" s="599"/>
      <c r="B52" s="599"/>
      <c r="C52" s="599"/>
      <c r="D52" s="599"/>
      <c r="E52" s="599"/>
      <c r="F52" s="599"/>
      <c r="G52" s="599"/>
      <c r="H52" s="599"/>
      <c r="I52" s="599"/>
      <c r="J52" s="599"/>
      <c r="K52" s="599"/>
      <c r="L52" s="597"/>
      <c r="M52" s="597"/>
      <c r="N52" s="597"/>
      <c r="O52" s="597"/>
      <c r="P52" s="597"/>
      <c r="Q52" s="597"/>
      <c r="R52" s="597"/>
      <c r="S52" s="597"/>
      <c r="T52" s="597"/>
      <c r="U52" s="599"/>
      <c r="V52" s="599"/>
      <c r="W52" s="599"/>
      <c r="X52" s="599"/>
    </row>
    <row r="53" spans="1:24" ht="13.8" thickBot="1">
      <c r="A53" s="599"/>
      <c r="B53" s="599"/>
      <c r="C53" s="599"/>
      <c r="D53" s="599"/>
      <c r="E53" s="599"/>
      <c r="F53" s="599"/>
      <c r="G53" s="599"/>
      <c r="H53" s="599"/>
      <c r="I53" s="599"/>
      <c r="J53" s="599"/>
      <c r="K53" s="599"/>
      <c r="L53" s="701">
        <v>1</v>
      </c>
      <c r="M53" s="597"/>
      <c r="N53" s="598" t="s">
        <v>1945</v>
      </c>
      <c r="O53" s="597"/>
      <c r="P53" s="1954">
        <f>SCH_C2!E36</f>
        <v>16609542</v>
      </c>
      <c r="Q53" s="597"/>
      <c r="R53" s="1954">
        <f>SCH_C2!H36</f>
        <v>12861102</v>
      </c>
      <c r="S53" s="597"/>
      <c r="T53" s="1954">
        <f>R53-P53</f>
        <v>-3748440</v>
      </c>
      <c r="U53" s="599"/>
      <c r="V53" s="599"/>
      <c r="W53" s="599"/>
      <c r="X53" s="599"/>
    </row>
    <row r="54" spans="1:24" ht="13.8" thickTop="1">
      <c r="A54" s="599"/>
      <c r="B54" s="599"/>
      <c r="C54" s="599"/>
      <c r="D54" s="599"/>
      <c r="E54" s="599"/>
      <c r="F54" s="599"/>
      <c r="G54" s="599"/>
      <c r="H54" s="599"/>
      <c r="I54" s="599"/>
      <c r="J54" s="599"/>
      <c r="K54" s="599"/>
      <c r="L54" s="701"/>
      <c r="M54" s="597"/>
      <c r="N54" s="597"/>
      <c r="O54" s="597"/>
      <c r="P54" s="597"/>
      <c r="Q54" s="597"/>
      <c r="R54" s="597"/>
      <c r="S54" s="597"/>
      <c r="T54" s="597"/>
      <c r="U54" s="599"/>
      <c r="V54" s="599"/>
      <c r="W54" s="599"/>
      <c r="X54" s="599"/>
    </row>
    <row r="55" spans="1:24">
      <c r="A55" s="599"/>
      <c r="B55" s="599"/>
      <c r="C55" s="599"/>
      <c r="D55" s="599"/>
      <c r="E55" s="599"/>
      <c r="F55" s="599"/>
      <c r="G55" s="599"/>
      <c r="H55" s="599"/>
      <c r="I55" s="599"/>
      <c r="J55" s="599"/>
      <c r="K55" s="599"/>
      <c r="L55" s="597"/>
      <c r="M55" s="597"/>
      <c r="N55" s="597"/>
      <c r="O55" s="597"/>
      <c r="P55" s="597"/>
      <c r="Q55" s="597"/>
      <c r="R55" s="597"/>
      <c r="S55" s="597"/>
      <c r="T55" s="597"/>
      <c r="U55" s="599"/>
      <c r="V55" s="599"/>
      <c r="W55" s="599"/>
      <c r="X55" s="599"/>
    </row>
    <row r="56" spans="1:24">
      <c r="A56" s="599"/>
      <c r="B56" s="599"/>
      <c r="C56" s="599"/>
      <c r="D56" s="599"/>
      <c r="E56" s="599"/>
      <c r="F56" s="599"/>
      <c r="G56" s="599"/>
      <c r="H56" s="599"/>
      <c r="I56" s="599"/>
      <c r="J56" s="599"/>
      <c r="K56" s="599"/>
      <c r="L56" s="597"/>
      <c r="M56" s="597"/>
      <c r="N56" s="597"/>
      <c r="O56" s="597"/>
      <c r="P56" s="597"/>
      <c r="Q56" s="597"/>
      <c r="R56" s="597"/>
      <c r="S56" s="597"/>
      <c r="T56" s="597"/>
      <c r="U56" s="599"/>
      <c r="V56" s="599"/>
      <c r="W56" s="599"/>
      <c r="X56" s="599"/>
    </row>
    <row r="57" spans="1:24">
      <c r="A57" s="599"/>
      <c r="B57" s="599"/>
      <c r="C57" s="599"/>
      <c r="D57" s="599"/>
      <c r="E57" s="599"/>
      <c r="F57" s="599"/>
      <c r="G57" s="599"/>
      <c r="H57" s="599"/>
      <c r="I57" s="599"/>
      <c r="J57" s="599"/>
      <c r="K57" s="599"/>
      <c r="L57" s="597"/>
      <c r="M57" s="597"/>
      <c r="N57" s="597"/>
      <c r="O57" s="597"/>
      <c r="P57" s="597"/>
      <c r="Q57" s="597"/>
      <c r="R57" s="597"/>
      <c r="S57" s="597"/>
      <c r="T57" s="701" t="s">
        <v>1869</v>
      </c>
      <c r="U57" s="599"/>
      <c r="V57" s="599"/>
      <c r="W57" s="599"/>
      <c r="X57" s="599"/>
    </row>
    <row r="58" spans="1:24">
      <c r="A58" s="599"/>
      <c r="B58" s="599"/>
      <c r="C58" s="599"/>
      <c r="D58" s="599"/>
      <c r="E58" s="599"/>
      <c r="F58" s="599"/>
      <c r="G58" s="599"/>
      <c r="H58" s="599"/>
      <c r="I58" s="599"/>
      <c r="J58" s="599"/>
      <c r="K58" s="599"/>
      <c r="L58" s="599"/>
      <c r="M58" s="599"/>
      <c r="N58" s="599"/>
      <c r="O58" s="599"/>
      <c r="P58" s="599"/>
      <c r="Q58" s="599"/>
      <c r="R58" s="599"/>
      <c r="S58" s="599"/>
      <c r="T58" s="599"/>
      <c r="U58" s="599"/>
      <c r="V58" s="599"/>
      <c r="W58" s="599"/>
      <c r="X58" s="599"/>
    </row>
    <row r="59" spans="1:24">
      <c r="A59" s="599"/>
      <c r="B59" s="599"/>
      <c r="C59" s="599"/>
      <c r="D59" s="599"/>
      <c r="E59" s="599"/>
      <c r="F59" s="599"/>
      <c r="G59" s="599"/>
      <c r="H59" s="599"/>
      <c r="I59" s="599"/>
      <c r="J59" s="599"/>
      <c r="K59" s="599"/>
      <c r="L59" s="599"/>
      <c r="M59" s="599"/>
      <c r="N59" s="599"/>
      <c r="O59" s="599"/>
      <c r="P59" s="599"/>
      <c r="Q59" s="599"/>
      <c r="R59" s="599"/>
      <c r="S59" s="599"/>
      <c r="T59" s="599"/>
      <c r="U59" s="599"/>
      <c r="V59" s="599"/>
      <c r="W59" s="599"/>
      <c r="X59" s="599"/>
    </row>
    <row r="60" spans="1:24">
      <c r="A60" s="599"/>
      <c r="B60" s="599"/>
      <c r="C60" s="599"/>
      <c r="D60" s="599"/>
      <c r="E60" s="599"/>
      <c r="F60" s="599"/>
      <c r="G60" s="599"/>
      <c r="H60" s="599"/>
      <c r="I60" s="599"/>
      <c r="J60" s="599"/>
      <c r="K60" s="599"/>
      <c r="L60" s="599"/>
      <c r="M60" s="599"/>
      <c r="N60" s="599"/>
      <c r="O60" s="599"/>
      <c r="P60" s="599"/>
      <c r="Q60" s="599"/>
      <c r="R60" s="1051"/>
      <c r="S60" s="599"/>
      <c r="T60" s="599"/>
      <c r="U60" s="599"/>
      <c r="V60" s="599"/>
      <c r="W60" s="599"/>
      <c r="X60" s="599"/>
    </row>
    <row r="61" spans="1:24">
      <c r="A61" s="599"/>
      <c r="B61" s="599"/>
      <c r="C61" s="599"/>
      <c r="D61" s="599"/>
      <c r="E61" s="599"/>
      <c r="F61" s="599"/>
      <c r="G61" s="599"/>
      <c r="H61" s="599"/>
      <c r="I61" s="599"/>
      <c r="J61" s="599"/>
      <c r="K61" s="599"/>
      <c r="L61" s="599"/>
      <c r="M61" s="599"/>
      <c r="N61" s="599"/>
      <c r="O61" s="599"/>
      <c r="P61" s="599"/>
      <c r="Q61" s="599"/>
      <c r="R61" s="599"/>
      <c r="S61" s="599"/>
      <c r="T61" s="599"/>
      <c r="U61" s="599"/>
      <c r="V61" s="599"/>
      <c r="W61" s="599"/>
      <c r="X61" s="599"/>
    </row>
    <row r="62" spans="1:24">
      <c r="A62" s="599"/>
      <c r="B62" s="599"/>
      <c r="C62" s="599"/>
      <c r="D62" s="599"/>
      <c r="E62" s="599"/>
      <c r="F62" s="599"/>
      <c r="G62" s="599"/>
      <c r="H62" s="599"/>
      <c r="I62" s="599"/>
      <c r="J62" s="599"/>
      <c r="K62" s="599"/>
      <c r="L62" s="599"/>
      <c r="M62" s="599"/>
      <c r="N62" s="599"/>
      <c r="O62" s="599"/>
      <c r="P62" s="599"/>
      <c r="Q62" s="599"/>
      <c r="R62" s="599"/>
      <c r="S62" s="599"/>
      <c r="T62" s="599"/>
      <c r="U62" s="599"/>
      <c r="V62" s="599"/>
      <c r="W62" s="599"/>
      <c r="X62" s="599"/>
    </row>
    <row r="63" spans="1:24">
      <c r="A63" s="599"/>
      <c r="B63" s="599"/>
      <c r="C63" s="599"/>
      <c r="D63" s="599"/>
      <c r="E63" s="599"/>
      <c r="F63" s="599"/>
      <c r="G63" s="599"/>
      <c r="H63" s="599"/>
      <c r="I63" s="599"/>
      <c r="J63" s="599"/>
      <c r="K63" s="599"/>
      <c r="L63" s="599"/>
      <c r="M63" s="599"/>
      <c r="N63" s="599"/>
      <c r="O63" s="599"/>
      <c r="P63" s="599"/>
      <c r="Q63" s="599"/>
      <c r="R63" s="599"/>
      <c r="S63" s="599"/>
      <c r="T63" s="599"/>
      <c r="U63" s="599"/>
      <c r="V63" s="599"/>
      <c r="W63" s="599"/>
      <c r="X63" s="599"/>
    </row>
    <row r="64" spans="1:24">
      <c r="A64" s="599"/>
      <c r="B64" s="599"/>
      <c r="C64" s="599"/>
      <c r="D64" s="599"/>
      <c r="E64" s="599"/>
      <c r="F64" s="599"/>
      <c r="G64" s="599"/>
      <c r="H64" s="599"/>
      <c r="I64" s="599"/>
      <c r="J64" s="599"/>
      <c r="K64" s="599"/>
      <c r="L64" s="599"/>
      <c r="M64" s="599"/>
      <c r="N64" s="599"/>
      <c r="O64" s="599"/>
      <c r="P64" s="599"/>
      <c r="Q64" s="599"/>
      <c r="R64" s="599"/>
      <c r="S64" s="599"/>
      <c r="T64" s="599"/>
      <c r="U64" s="599"/>
      <c r="V64" s="599"/>
      <c r="W64" s="599"/>
      <c r="X64" s="599"/>
    </row>
    <row r="65" spans="1:24">
      <c r="A65" s="599"/>
      <c r="B65" s="599"/>
      <c r="C65" s="599"/>
      <c r="D65" s="599"/>
      <c r="E65" s="599"/>
      <c r="F65" s="599"/>
      <c r="G65" s="599"/>
      <c r="H65" s="599"/>
      <c r="I65" s="599"/>
      <c r="J65" s="599"/>
      <c r="K65" s="599"/>
      <c r="L65" s="599"/>
      <c r="M65" s="599"/>
      <c r="N65" s="599"/>
      <c r="O65" s="599"/>
      <c r="P65" s="599"/>
      <c r="Q65" s="599"/>
      <c r="R65" s="599"/>
      <c r="S65" s="599"/>
      <c r="T65" s="599"/>
      <c r="U65" s="599"/>
      <c r="V65" s="599"/>
      <c r="W65" s="599"/>
      <c r="X65" s="599"/>
    </row>
    <row r="66" spans="1:24">
      <c r="A66" s="599"/>
      <c r="B66" s="599"/>
      <c r="C66" s="599"/>
      <c r="D66" s="599"/>
      <c r="E66" s="599"/>
      <c r="F66" s="599"/>
      <c r="G66" s="599"/>
      <c r="H66" s="599"/>
      <c r="I66" s="599"/>
      <c r="J66" s="599"/>
      <c r="K66" s="599"/>
      <c r="L66" s="599"/>
      <c r="M66" s="599"/>
      <c r="N66" s="599"/>
      <c r="O66" s="599"/>
      <c r="P66" s="599"/>
      <c r="Q66" s="599"/>
      <c r="R66" s="599"/>
      <c r="S66" s="599"/>
      <c r="T66" s="599"/>
      <c r="U66" s="599"/>
      <c r="V66" s="599"/>
      <c r="W66" s="599"/>
      <c r="X66" s="599"/>
    </row>
    <row r="67" spans="1:24">
      <c r="A67" s="599"/>
      <c r="B67" s="599"/>
      <c r="C67" s="599"/>
      <c r="D67" s="599"/>
      <c r="E67" s="599"/>
      <c r="F67" s="599"/>
      <c r="G67" s="599"/>
      <c r="H67" s="599"/>
      <c r="I67" s="599"/>
      <c r="J67" s="599"/>
      <c r="K67" s="599"/>
      <c r="L67" s="599"/>
      <c r="M67" s="599"/>
      <c r="N67" s="599"/>
      <c r="O67" s="599"/>
      <c r="P67" s="599"/>
      <c r="Q67" s="599"/>
      <c r="R67" s="599"/>
      <c r="S67" s="599"/>
      <c r="T67" s="599"/>
      <c r="U67" s="599"/>
      <c r="V67" s="599"/>
      <c r="W67" s="599"/>
      <c r="X67" s="599"/>
    </row>
    <row r="68" spans="1:24">
      <c r="A68" s="599"/>
      <c r="B68" s="599"/>
      <c r="C68" s="599"/>
      <c r="D68" s="599"/>
      <c r="E68" s="599"/>
      <c r="F68" s="599"/>
      <c r="G68" s="599"/>
      <c r="H68" s="599"/>
      <c r="I68" s="599"/>
      <c r="J68" s="599"/>
      <c r="K68" s="599"/>
      <c r="L68" s="599"/>
      <c r="M68" s="599"/>
      <c r="N68" s="599"/>
      <c r="O68" s="599"/>
      <c r="P68" s="599"/>
      <c r="Q68" s="599"/>
      <c r="R68" s="599"/>
      <c r="S68" s="599"/>
      <c r="T68" s="599"/>
      <c r="U68" s="599"/>
      <c r="V68" s="599"/>
      <c r="W68" s="599"/>
      <c r="X68" s="599"/>
    </row>
    <row r="69" spans="1:24">
      <c r="A69" s="599"/>
      <c r="B69" s="599"/>
      <c r="C69" s="599"/>
      <c r="D69" s="599"/>
      <c r="E69" s="599"/>
      <c r="F69" s="599"/>
      <c r="G69" s="599"/>
      <c r="H69" s="599"/>
      <c r="I69" s="599"/>
      <c r="J69" s="599"/>
      <c r="K69" s="599"/>
      <c r="L69" s="599"/>
      <c r="M69" s="599"/>
      <c r="N69" s="599"/>
      <c r="O69" s="599"/>
      <c r="P69" s="599"/>
      <c r="Q69" s="599"/>
      <c r="R69" s="599"/>
      <c r="S69" s="599"/>
      <c r="T69" s="599"/>
      <c r="U69" s="599"/>
      <c r="V69" s="599"/>
      <c r="W69" s="599"/>
      <c r="X69" s="599"/>
    </row>
  </sheetData>
  <phoneticPr fontId="19" type="noConversion"/>
  <pageMargins left="1" right="0.75" top="1" bottom="0" header="0" footer="0"/>
  <pageSetup scale="90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34">
    <tabColor theme="7" tint="-0.249977111117893"/>
    <pageSetUpPr fitToPage="1"/>
  </sheetPr>
  <dimension ref="A1:X69"/>
  <sheetViews>
    <sheetView workbookViewId="0"/>
  </sheetViews>
  <sheetFormatPr defaultColWidth="8" defaultRowHeight="13.2"/>
  <cols>
    <col min="1" max="1" width="8" customWidth="1"/>
    <col min="2" max="2" width="25.44140625" customWidth="1"/>
    <col min="3" max="3" width="8" customWidth="1"/>
    <col min="4" max="4" width="10.44140625" customWidth="1"/>
    <col min="5" max="7" width="8" customWidth="1"/>
    <col min="8" max="8" width="12.44140625" customWidth="1"/>
    <col min="9" max="9" width="10" customWidth="1"/>
    <col min="10" max="10" width="18.44140625" customWidth="1"/>
    <col min="11" max="12" width="8" customWidth="1"/>
    <col min="13" max="13" width="2.44140625" customWidth="1"/>
    <col min="14" max="14" width="22.44140625" customWidth="1"/>
    <col min="15" max="15" width="3.5546875" customWidth="1"/>
    <col min="16" max="16" width="16" customWidth="1"/>
    <col min="17" max="17" width="1.5546875" customWidth="1"/>
    <col min="18" max="18" width="18.44140625" customWidth="1"/>
    <col min="19" max="19" width="2.44140625" customWidth="1"/>
    <col min="20" max="20" width="21.44140625" customWidth="1"/>
  </cols>
  <sheetData>
    <row r="1" spans="1:24">
      <c r="A1" s="951" t="str">
        <f>LOGO!B5</f>
        <v>DUKE ENERGY KENTUCKY, INC.</v>
      </c>
      <c r="B1" s="951"/>
      <c r="C1" s="951"/>
      <c r="D1" s="951"/>
      <c r="E1" s="951"/>
      <c r="F1" s="951"/>
      <c r="G1" s="951"/>
      <c r="H1" s="951"/>
      <c r="I1" s="951"/>
      <c r="J1" s="951"/>
      <c r="K1" s="599"/>
      <c r="L1" s="599"/>
      <c r="M1" s="599"/>
      <c r="N1" s="599"/>
      <c r="O1" s="599"/>
      <c r="P1" s="599"/>
      <c r="Q1" s="599"/>
      <c r="R1" s="599"/>
      <c r="S1" s="599"/>
      <c r="T1" s="599"/>
      <c r="U1" s="599"/>
      <c r="V1" s="599"/>
      <c r="W1" s="599"/>
      <c r="X1" s="599"/>
    </row>
    <row r="2" spans="1:24">
      <c r="A2" s="951" t="str">
        <f>LOGO!B6</f>
        <v>CASE NO. 2024-00354</v>
      </c>
      <c r="B2" s="951"/>
      <c r="C2" s="951"/>
      <c r="D2" s="951"/>
      <c r="E2" s="951"/>
      <c r="F2" s="951"/>
      <c r="G2" s="951"/>
      <c r="H2" s="951"/>
      <c r="I2" s="951"/>
      <c r="J2" s="951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</row>
    <row r="3" spans="1:24">
      <c r="A3" s="968" t="s">
        <v>1948</v>
      </c>
      <c r="B3" s="951"/>
      <c r="C3" s="951"/>
      <c r="D3" s="951"/>
      <c r="E3" s="951"/>
      <c r="F3" s="951"/>
      <c r="G3" s="951"/>
      <c r="H3" s="951"/>
      <c r="I3" s="951"/>
      <c r="J3" s="951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</row>
    <row r="4" spans="1:24">
      <c r="A4" s="951" t="str">
        <f>LOGO!B8</f>
        <v>FOR THE TWELVE MONTHS ENDED JUNE 30, 2026</v>
      </c>
      <c r="B4" s="951"/>
      <c r="C4" s="951"/>
      <c r="D4" s="951"/>
      <c r="E4" s="951"/>
      <c r="F4" s="951"/>
      <c r="G4" s="951"/>
      <c r="H4" s="951"/>
      <c r="I4" s="951"/>
      <c r="J4" s="951"/>
      <c r="K4" s="599"/>
      <c r="L4" s="599"/>
      <c r="M4" s="599"/>
      <c r="N4" s="599"/>
      <c r="O4" s="599"/>
      <c r="P4" s="599"/>
      <c r="Q4" s="599"/>
      <c r="R4" s="599"/>
      <c r="S4" s="599"/>
      <c r="T4" s="599"/>
      <c r="U4" s="599"/>
      <c r="V4" s="599"/>
      <c r="W4" s="599"/>
      <c r="X4" s="599"/>
    </row>
    <row r="5" spans="1:24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  <c r="V5" s="599"/>
      <c r="W5" s="599"/>
      <c r="X5" s="599"/>
    </row>
    <row r="6" spans="1:24">
      <c r="A6" s="599" t="str">
        <f>DataB</f>
        <v>DATA: "X" BASE PERIOD  "X" FORECASTED PERIOD</v>
      </c>
      <c r="B6" s="599"/>
      <c r="C6" s="599"/>
      <c r="D6" s="599"/>
      <c r="E6" s="599"/>
      <c r="F6" s="599"/>
      <c r="G6" s="599"/>
      <c r="H6" s="599"/>
      <c r="I6" s="973" t="s">
        <v>1949</v>
      </c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599"/>
      <c r="V6" s="599"/>
      <c r="W6" s="599"/>
      <c r="X6" s="599"/>
    </row>
    <row r="7" spans="1:24">
      <c r="A7" s="599" t="str">
        <f>LOGO!B15</f>
        <v xml:space="preserve">TYPE OF FILING:  "X" ORIGINAL   UPDATED    REVISED  </v>
      </c>
      <c r="B7" s="599"/>
      <c r="C7" s="599"/>
      <c r="D7" s="599"/>
      <c r="E7" s="599"/>
      <c r="F7" s="599"/>
      <c r="G7" s="599"/>
      <c r="H7" s="599"/>
      <c r="I7" s="598" t="s">
        <v>466</v>
      </c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  <c r="U7" s="599"/>
      <c r="V7" s="599"/>
      <c r="W7" s="599"/>
      <c r="X7" s="599"/>
    </row>
    <row r="8" spans="1:24">
      <c r="A8" s="598" t="s">
        <v>1950</v>
      </c>
      <c r="B8" s="599"/>
      <c r="C8" s="599"/>
      <c r="D8" s="599"/>
      <c r="E8" s="599"/>
      <c r="F8" s="599"/>
      <c r="G8" s="599"/>
      <c r="H8" s="599"/>
      <c r="I8" s="598" t="s">
        <v>468</v>
      </c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  <c r="U8" s="599"/>
      <c r="V8" s="599"/>
      <c r="W8" s="599"/>
      <c r="X8" s="599"/>
    </row>
    <row r="9" spans="1:24">
      <c r="A9" s="599"/>
      <c r="B9" s="599"/>
      <c r="C9" s="599"/>
      <c r="D9" s="599"/>
      <c r="E9" s="599"/>
      <c r="F9" s="599"/>
      <c r="G9" s="599"/>
      <c r="H9" s="599"/>
      <c r="I9" s="598" t="str">
        <f>_WIT10</f>
        <v>G. S. CARPENTER</v>
      </c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  <c r="U9" s="599"/>
      <c r="V9" s="599"/>
      <c r="W9" s="599"/>
      <c r="X9" s="599"/>
    </row>
    <row r="10" spans="1:24">
      <c r="A10" s="1372"/>
      <c r="B10" s="1372"/>
      <c r="C10" s="1372"/>
      <c r="D10" s="1372"/>
      <c r="E10" s="1372"/>
      <c r="F10" s="1372"/>
      <c r="G10" s="1372"/>
      <c r="H10" s="1372"/>
      <c r="I10" s="1372"/>
      <c r="J10" s="1372"/>
      <c r="K10" s="598"/>
      <c r="L10" s="599"/>
      <c r="M10" s="599"/>
      <c r="N10" s="599"/>
      <c r="O10" s="599"/>
      <c r="P10" s="599"/>
      <c r="Q10" s="599"/>
      <c r="R10" s="599"/>
      <c r="S10" s="599"/>
      <c r="T10" s="599"/>
      <c r="U10" s="599"/>
      <c r="V10" s="599"/>
      <c r="W10" s="599"/>
      <c r="X10" s="599"/>
    </row>
    <row r="11" spans="1:24">
      <c r="A11" s="599"/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  <c r="U11" s="599"/>
      <c r="V11" s="599"/>
      <c r="W11" s="599"/>
      <c r="X11" s="599"/>
    </row>
    <row r="12" spans="1:24">
      <c r="A12" s="598" t="s">
        <v>1857</v>
      </c>
      <c r="B12" s="599"/>
      <c r="C12" s="599"/>
      <c r="D12" s="599"/>
      <c r="E12" s="599"/>
      <c r="F12" s="599"/>
      <c r="G12" s="599"/>
      <c r="H12" s="599"/>
      <c r="I12" s="599"/>
      <c r="J12" s="974" t="s">
        <v>975</v>
      </c>
      <c r="K12" s="599"/>
      <c r="L12" s="599"/>
      <c r="M12" s="599"/>
      <c r="N12" s="599"/>
      <c r="O12" s="599"/>
      <c r="P12" s="599"/>
      <c r="Q12" s="599"/>
      <c r="R12" s="599"/>
      <c r="S12" s="599"/>
      <c r="T12" s="599"/>
      <c r="U12" s="599"/>
      <c r="V12" s="599"/>
      <c r="W12" s="599"/>
      <c r="X12" s="599"/>
    </row>
    <row r="13" spans="1:24">
      <c r="A13" s="1372"/>
      <c r="B13" s="1372"/>
      <c r="C13" s="1372"/>
      <c r="D13" s="1372"/>
      <c r="E13" s="1372"/>
      <c r="F13" s="1372"/>
      <c r="G13" s="1372"/>
      <c r="H13" s="1372"/>
      <c r="I13" s="1372"/>
      <c r="J13" s="1372"/>
      <c r="K13" s="598"/>
      <c r="L13" s="599"/>
      <c r="M13" s="599"/>
      <c r="N13" s="599"/>
      <c r="O13" s="599"/>
      <c r="P13" s="599"/>
      <c r="Q13" s="599"/>
      <c r="R13" s="599"/>
      <c r="S13" s="599"/>
      <c r="T13" s="599"/>
      <c r="U13" s="599"/>
      <c r="V13" s="599"/>
      <c r="W13" s="599"/>
      <c r="X13" s="599"/>
    </row>
    <row r="14" spans="1:24">
      <c r="A14" s="599"/>
      <c r="B14" s="599"/>
      <c r="C14" s="599"/>
      <c r="D14" s="599"/>
      <c r="E14" s="599"/>
      <c r="F14" s="599"/>
      <c r="G14" s="599"/>
      <c r="H14" s="599"/>
      <c r="I14" s="599"/>
      <c r="J14" s="974"/>
      <c r="K14" s="599"/>
      <c r="L14" s="599"/>
      <c r="M14" s="599"/>
      <c r="N14" s="599"/>
      <c r="O14" s="599"/>
      <c r="P14" s="599"/>
      <c r="Q14" s="599"/>
      <c r="R14" s="599"/>
      <c r="S14" s="599"/>
      <c r="T14" s="599"/>
      <c r="U14" s="599"/>
      <c r="V14" s="599"/>
      <c r="W14" s="599"/>
      <c r="X14" s="599"/>
    </row>
    <row r="15" spans="1:24">
      <c r="A15" s="169" t="s">
        <v>1951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  <c r="V15" s="599"/>
      <c r="W15" s="599"/>
      <c r="X15" s="599"/>
    </row>
    <row r="16" spans="1:24">
      <c r="A16" s="169" t="s">
        <v>1874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</row>
    <row r="17" spans="1:24">
      <c r="A17" s="598"/>
      <c r="B17" s="599"/>
      <c r="C17" s="599"/>
      <c r="D17" s="599"/>
      <c r="E17" s="599"/>
      <c r="F17" s="599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  <c r="U17" s="599"/>
      <c r="V17" s="599"/>
      <c r="W17" s="599"/>
      <c r="X17" s="599"/>
    </row>
    <row r="18" spans="1:24">
      <c r="A18" s="598"/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  <c r="X18" s="599"/>
    </row>
    <row r="19" spans="1:24">
      <c r="A19" s="598"/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</row>
    <row r="20" spans="1:24">
      <c r="A20" s="598"/>
      <c r="B20" s="599"/>
      <c r="C20" s="599"/>
      <c r="D20" s="599"/>
      <c r="E20" s="599"/>
      <c r="F20" s="599"/>
      <c r="G20" s="599"/>
      <c r="H20" s="974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  <c r="U20" s="599"/>
      <c r="V20" s="599"/>
      <c r="W20" s="599"/>
      <c r="X20" s="599"/>
    </row>
    <row r="21" spans="1:24">
      <c r="A21" s="734"/>
      <c r="B21" s="599"/>
      <c r="C21" s="599"/>
      <c r="D21" s="599"/>
      <c r="E21" s="599"/>
      <c r="F21" s="599"/>
      <c r="G21" s="599"/>
      <c r="H21" s="96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  <c r="U21" s="599"/>
      <c r="V21" s="599"/>
      <c r="W21" s="599"/>
      <c r="X21" s="599"/>
    </row>
    <row r="22" spans="1:24">
      <c r="A22" s="599"/>
      <c r="B22" s="599"/>
      <c r="C22" s="599"/>
      <c r="D22" s="599"/>
      <c r="E22" s="599"/>
      <c r="F22" s="599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  <c r="U22" s="599"/>
      <c r="V22" s="599"/>
      <c r="W22" s="599"/>
      <c r="X22" s="599"/>
    </row>
    <row r="23" spans="1:24">
      <c r="A23" s="598" t="s">
        <v>351</v>
      </c>
      <c r="B23" s="599"/>
      <c r="C23" s="599"/>
      <c r="D23" s="599"/>
      <c r="E23" s="599"/>
      <c r="F23" s="599"/>
      <c r="G23" s="599"/>
      <c r="H23" s="599"/>
      <c r="I23" s="704"/>
      <c r="J23" s="682">
        <f>T53</f>
        <v>4396406</v>
      </c>
      <c r="K23" s="599"/>
      <c r="L23" s="599"/>
      <c r="M23" s="599"/>
      <c r="N23" s="599"/>
      <c r="O23" s="599"/>
      <c r="P23" s="599"/>
      <c r="Q23" s="599"/>
      <c r="R23" s="599"/>
      <c r="S23" s="599"/>
      <c r="T23" s="599"/>
      <c r="U23" s="599"/>
      <c r="V23" s="599"/>
      <c r="W23" s="599"/>
      <c r="X23" s="599"/>
    </row>
    <row r="24" spans="1:24">
      <c r="A24" s="599"/>
      <c r="B24" s="599"/>
      <c r="C24" s="599"/>
      <c r="D24" s="599"/>
      <c r="E24" s="599"/>
      <c r="F24" s="599"/>
      <c r="G24" s="599"/>
      <c r="H24" s="599"/>
      <c r="I24" s="599"/>
      <c r="J24" s="704"/>
      <c r="K24" s="599"/>
      <c r="L24" s="599"/>
      <c r="M24" s="599"/>
      <c r="N24" s="599"/>
      <c r="O24" s="599"/>
      <c r="P24" s="599"/>
      <c r="Q24" s="599"/>
      <c r="R24" s="599"/>
      <c r="S24" s="599"/>
      <c r="T24" s="599"/>
      <c r="U24" s="599"/>
      <c r="V24" s="599"/>
      <c r="W24" s="599"/>
      <c r="X24" s="599"/>
    </row>
    <row r="25" spans="1:24">
      <c r="A25" s="599"/>
      <c r="B25" s="599"/>
      <c r="C25" s="599"/>
      <c r="D25" s="599"/>
      <c r="E25" s="599"/>
      <c r="F25" s="599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  <c r="U25" s="599"/>
      <c r="V25" s="599"/>
      <c r="W25" s="599"/>
      <c r="X25" s="599"/>
    </row>
    <row r="26" spans="1:24">
      <c r="A26" s="598" t="s">
        <v>1862</v>
      </c>
      <c r="B26" s="599"/>
      <c r="C26" s="599"/>
      <c r="D26" s="599"/>
      <c r="E26" s="599"/>
      <c r="F26" s="599"/>
      <c r="G26" s="599"/>
      <c r="H26" s="599"/>
      <c r="I26" s="599"/>
      <c r="J26" s="703">
        <f>VLOOKUP(D33,ALLOCTABLE,2)/100</f>
        <v>1</v>
      </c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  <c r="X26" s="599"/>
    </row>
    <row r="27" spans="1:24">
      <c r="A27" s="599"/>
      <c r="B27" s="599"/>
      <c r="C27" s="599"/>
      <c r="D27" s="599"/>
      <c r="E27" s="599"/>
      <c r="F27" s="599"/>
      <c r="G27" s="599"/>
      <c r="H27" s="599"/>
      <c r="I27" s="599"/>
      <c r="J27" s="704"/>
      <c r="K27" s="599"/>
      <c r="L27" s="599"/>
      <c r="M27" s="599"/>
      <c r="N27" s="599"/>
      <c r="O27" s="599"/>
      <c r="P27" s="599"/>
      <c r="Q27" s="599"/>
      <c r="R27" s="599"/>
      <c r="S27" s="599"/>
      <c r="T27" s="599"/>
      <c r="U27" s="599"/>
      <c r="V27" s="599"/>
      <c r="W27" s="599"/>
      <c r="X27" s="599"/>
    </row>
    <row r="28" spans="1:24">
      <c r="A28" s="599"/>
      <c r="B28" s="599"/>
      <c r="C28" s="599"/>
      <c r="D28" s="599"/>
      <c r="E28" s="599"/>
      <c r="F28" s="599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  <c r="V28" s="599"/>
      <c r="W28" s="599"/>
      <c r="X28" s="599"/>
    </row>
    <row r="29" spans="1:24" ht="15">
      <c r="A29" s="598" t="s">
        <v>1863</v>
      </c>
      <c r="B29" s="599"/>
      <c r="C29" s="599"/>
      <c r="D29" s="599"/>
      <c r="E29" s="599"/>
      <c r="F29" s="598" t="s">
        <v>1876</v>
      </c>
      <c r="G29" s="599"/>
      <c r="H29" s="599"/>
      <c r="I29" s="704"/>
      <c r="J29" s="705">
        <f>ROUND(J23*J26,0)</f>
        <v>4396406</v>
      </c>
      <c r="K29" s="599"/>
      <c r="L29" s="599"/>
      <c r="M29" s="599"/>
      <c r="N29" s="599"/>
      <c r="O29" s="599"/>
      <c r="P29" s="599"/>
      <c r="Q29" s="599"/>
      <c r="R29" s="599"/>
      <c r="S29" s="599"/>
      <c r="T29" s="599"/>
      <c r="U29" s="599"/>
      <c r="V29" s="599"/>
      <c r="W29" s="599"/>
      <c r="X29" s="599"/>
    </row>
    <row r="30" spans="1:24">
      <c r="A30" s="599"/>
      <c r="B30" s="599"/>
      <c r="C30" s="599"/>
      <c r="D30" s="599"/>
      <c r="E30" s="599"/>
      <c r="F30" s="599"/>
      <c r="G30" s="599"/>
      <c r="H30" s="599"/>
      <c r="I30" s="599"/>
      <c r="J30" s="704"/>
      <c r="K30" s="599"/>
      <c r="L30" s="599"/>
      <c r="M30" s="599"/>
      <c r="N30" s="599"/>
      <c r="O30" s="599"/>
      <c r="P30" s="599"/>
      <c r="Q30" s="599"/>
      <c r="R30" s="599"/>
      <c r="S30" s="599"/>
      <c r="T30" s="599"/>
      <c r="U30" s="599"/>
      <c r="V30" s="599"/>
      <c r="W30" s="599"/>
      <c r="X30" s="599"/>
    </row>
    <row r="31" spans="1:24">
      <c r="A31" s="599"/>
      <c r="B31" s="599"/>
      <c r="C31" s="599"/>
      <c r="D31" s="599"/>
      <c r="E31" s="599"/>
      <c r="F31" s="599"/>
      <c r="G31" s="599"/>
      <c r="H31" s="599"/>
      <c r="I31" s="599"/>
      <c r="J31" s="599"/>
      <c r="K31" s="599"/>
      <c r="L31" s="599"/>
      <c r="M31" s="599"/>
      <c r="N31" s="599"/>
      <c r="O31" s="599"/>
      <c r="P31" s="599"/>
      <c r="Q31" s="599"/>
      <c r="R31" s="599"/>
      <c r="S31" s="599"/>
      <c r="T31" s="599"/>
      <c r="U31" s="599"/>
      <c r="V31" s="599"/>
      <c r="W31" s="599"/>
      <c r="X31" s="599"/>
    </row>
    <row r="32" spans="1:24">
      <c r="A32" s="599"/>
      <c r="B32" s="599"/>
      <c r="C32" s="599"/>
      <c r="D32" s="599"/>
      <c r="E32" s="599"/>
      <c r="F32" s="599"/>
      <c r="G32" s="599"/>
      <c r="H32" s="599"/>
      <c r="I32" s="599"/>
      <c r="J32" s="599"/>
      <c r="K32" s="599"/>
      <c r="L32" s="599"/>
      <c r="M32" s="599"/>
      <c r="N32" s="599"/>
      <c r="O32" s="599"/>
      <c r="P32" s="599"/>
      <c r="Q32" s="599"/>
      <c r="R32" s="599"/>
      <c r="S32" s="599"/>
      <c r="T32" s="599"/>
      <c r="U32" s="599"/>
      <c r="V32" s="599"/>
      <c r="W32" s="599"/>
      <c r="X32" s="599"/>
    </row>
    <row r="33" spans="1:24">
      <c r="A33" s="598" t="s">
        <v>1864</v>
      </c>
      <c r="B33" s="599"/>
      <c r="C33" s="599"/>
      <c r="D33" s="966" t="s">
        <v>428</v>
      </c>
      <c r="E33" s="599"/>
      <c r="F33" s="599"/>
      <c r="G33" s="599"/>
      <c r="H33" s="599"/>
      <c r="I33" s="599"/>
      <c r="J33" s="599"/>
      <c r="K33" s="599"/>
      <c r="L33" s="599"/>
      <c r="M33" s="599"/>
      <c r="N33" s="599"/>
      <c r="O33" s="599"/>
      <c r="P33" s="599"/>
      <c r="Q33" s="599"/>
      <c r="R33" s="599"/>
      <c r="S33" s="599"/>
      <c r="T33" s="599"/>
      <c r="U33" s="599"/>
      <c r="V33" s="599"/>
      <c r="W33" s="599"/>
      <c r="X33" s="599"/>
    </row>
    <row r="34" spans="1:24">
      <c r="A34" s="598"/>
      <c r="B34" s="599"/>
      <c r="C34" s="599"/>
      <c r="D34" s="599"/>
      <c r="E34" s="599"/>
      <c r="F34" s="599"/>
      <c r="G34" s="599"/>
      <c r="H34" s="599"/>
      <c r="I34" s="599"/>
      <c r="J34" s="599"/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  <c r="W34" s="599"/>
      <c r="X34" s="599"/>
    </row>
    <row r="35" spans="1:24">
      <c r="A35" s="599"/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599"/>
      <c r="O35" s="599"/>
      <c r="P35" s="599"/>
      <c r="Q35" s="599"/>
      <c r="R35" s="599"/>
      <c r="S35" s="599"/>
      <c r="T35" s="599"/>
      <c r="U35" s="599"/>
      <c r="V35" s="599"/>
      <c r="W35" s="599"/>
      <c r="X35" s="599"/>
    </row>
    <row r="36" spans="1:24">
      <c r="A36" s="599"/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599"/>
      <c r="O36" s="599"/>
      <c r="P36" s="599"/>
      <c r="Q36" s="599"/>
      <c r="R36" s="599"/>
      <c r="S36" s="599"/>
      <c r="T36" s="599"/>
      <c r="U36" s="599"/>
      <c r="V36" s="599"/>
      <c r="W36" s="599"/>
      <c r="X36" s="599"/>
    </row>
    <row r="37" spans="1:24">
      <c r="A37" s="599"/>
      <c r="B37" s="599"/>
      <c r="C37" s="599"/>
      <c r="D37" s="599"/>
      <c r="E37" s="599"/>
      <c r="F37" s="599"/>
      <c r="G37" s="599"/>
      <c r="H37" s="599"/>
      <c r="I37" s="599"/>
      <c r="J37" s="599"/>
      <c r="K37" s="599"/>
      <c r="L37" s="599"/>
      <c r="M37" s="599"/>
      <c r="N37" s="599"/>
      <c r="O37" s="599"/>
      <c r="P37" s="599"/>
      <c r="Q37" s="599"/>
      <c r="R37" s="599"/>
      <c r="S37" s="599"/>
      <c r="T37" s="599"/>
      <c r="U37" s="599"/>
      <c r="V37" s="599"/>
      <c r="W37" s="599"/>
      <c r="X37" s="599"/>
    </row>
    <row r="38" spans="1:24">
      <c r="A38" s="599"/>
      <c r="B38" s="599"/>
      <c r="C38" s="599"/>
      <c r="D38" s="599"/>
      <c r="E38" s="599"/>
      <c r="F38" s="599"/>
      <c r="G38" s="599"/>
      <c r="H38" s="599"/>
      <c r="I38" s="599"/>
      <c r="J38" s="59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  <c r="V38" s="599"/>
      <c r="W38" s="599"/>
      <c r="X38" s="599"/>
    </row>
    <row r="39" spans="1:24">
      <c r="A39" s="599"/>
      <c r="B39" s="599"/>
      <c r="C39" s="599"/>
      <c r="D39" s="599"/>
      <c r="E39" s="599"/>
      <c r="F39" s="599"/>
      <c r="G39" s="599"/>
      <c r="H39" s="599"/>
      <c r="I39" s="599"/>
      <c r="J39" s="599"/>
      <c r="K39" s="599"/>
      <c r="L39" s="599"/>
      <c r="M39" s="599"/>
      <c r="N39" s="599"/>
      <c r="O39" s="599"/>
      <c r="P39" s="599"/>
      <c r="Q39" s="599"/>
      <c r="R39" s="599"/>
      <c r="S39" s="599"/>
      <c r="T39" s="599"/>
      <c r="U39" s="599"/>
      <c r="V39" s="599"/>
      <c r="W39" s="599"/>
      <c r="X39" s="599"/>
    </row>
    <row r="40" spans="1:24">
      <c r="A40" s="599"/>
      <c r="B40" s="599"/>
      <c r="C40" s="599"/>
      <c r="D40" s="599"/>
      <c r="E40" s="599"/>
      <c r="F40" s="599"/>
      <c r="G40" s="599"/>
      <c r="H40" s="599"/>
      <c r="I40" s="599"/>
      <c r="J40" s="599"/>
      <c r="K40" s="599"/>
      <c r="L40" s="599"/>
      <c r="M40" s="599"/>
      <c r="N40" s="599"/>
      <c r="O40" s="599"/>
      <c r="P40" s="599"/>
      <c r="Q40" s="599"/>
      <c r="R40" s="599"/>
      <c r="S40" s="599"/>
      <c r="T40" s="599"/>
      <c r="U40" s="599"/>
      <c r="V40" s="599"/>
      <c r="W40" s="599"/>
      <c r="X40" s="599"/>
    </row>
    <row r="41" spans="1:24">
      <c r="A41" s="599"/>
      <c r="B41" s="599"/>
      <c r="C41" s="599"/>
      <c r="D41" s="599"/>
      <c r="E41" s="599"/>
      <c r="F41" s="599"/>
      <c r="G41" s="599"/>
      <c r="H41" s="599"/>
      <c r="I41" s="599"/>
      <c r="J41" s="599"/>
      <c r="K41" s="599"/>
      <c r="L41" s="599"/>
      <c r="M41" s="599"/>
      <c r="N41" s="599"/>
      <c r="O41" s="599"/>
      <c r="P41" s="599"/>
      <c r="Q41" s="599"/>
      <c r="R41" s="599"/>
      <c r="S41" s="599"/>
      <c r="T41" s="599"/>
      <c r="U41" s="599"/>
      <c r="V41" s="599"/>
      <c r="W41" s="599"/>
      <c r="X41" s="599"/>
    </row>
    <row r="42" spans="1:24">
      <c r="A42" s="599"/>
      <c r="B42" s="599"/>
      <c r="C42" s="599"/>
      <c r="D42" s="599"/>
      <c r="E42" s="599"/>
      <c r="F42" s="599"/>
      <c r="G42" s="599"/>
      <c r="H42" s="599"/>
      <c r="I42" s="599"/>
      <c r="J42" s="599"/>
      <c r="K42" s="599"/>
      <c r="L42" s="599"/>
      <c r="M42" s="599"/>
      <c r="N42" s="599"/>
      <c r="O42" s="599"/>
      <c r="P42" s="599"/>
      <c r="Q42" s="599"/>
      <c r="R42" s="599"/>
      <c r="S42" s="599"/>
      <c r="T42" s="599"/>
      <c r="U42" s="599"/>
      <c r="V42" s="599"/>
      <c r="W42" s="599"/>
      <c r="X42" s="599"/>
    </row>
    <row r="43" spans="1:24">
      <c r="A43" s="599"/>
      <c r="B43" s="599"/>
      <c r="C43" s="599"/>
      <c r="D43" s="599"/>
      <c r="E43" s="599"/>
      <c r="F43" s="599"/>
      <c r="G43" s="599"/>
      <c r="H43" s="599"/>
      <c r="I43" s="599"/>
      <c r="J43" s="599"/>
      <c r="K43" s="599"/>
      <c r="L43" s="779" t="str">
        <f>COMPANY</f>
        <v>DUKE ENERGY KENTUCKY, INC.</v>
      </c>
      <c r="M43" s="253"/>
      <c r="N43" s="253"/>
      <c r="O43" s="253"/>
      <c r="P43" s="253"/>
      <c r="Q43" s="253"/>
      <c r="S43" s="779" t="s">
        <v>1952</v>
      </c>
      <c r="T43" s="597"/>
      <c r="U43" s="599"/>
      <c r="V43" s="599"/>
      <c r="W43" s="599"/>
      <c r="X43" s="599"/>
    </row>
    <row r="44" spans="1:24">
      <c r="A44" s="599"/>
      <c r="B44" s="599"/>
      <c r="C44" s="599"/>
      <c r="D44" s="599"/>
      <c r="E44" s="599"/>
      <c r="F44" s="599"/>
      <c r="G44" s="599"/>
      <c r="H44" s="599"/>
      <c r="I44" s="599"/>
      <c r="J44" s="599"/>
      <c r="K44" s="599"/>
      <c r="L44" s="779" t="str">
        <f>DEPT</f>
        <v>ELECTRIC DEPARTMENT</v>
      </c>
      <c r="M44" s="253"/>
      <c r="N44" s="253"/>
      <c r="O44" s="253"/>
      <c r="P44" s="253"/>
      <c r="Q44" s="253"/>
      <c r="S44" s="779" t="s">
        <v>1866</v>
      </c>
      <c r="T44" s="597"/>
      <c r="U44" s="599"/>
      <c r="V44" s="599"/>
      <c r="W44" s="599"/>
      <c r="X44" s="599"/>
    </row>
    <row r="45" spans="1:24">
      <c r="A45" s="599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779" t="str">
        <f>CASE</f>
        <v>CASE NO. 2024-00354</v>
      </c>
      <c r="M45" s="253"/>
      <c r="N45" s="253"/>
      <c r="O45" s="253"/>
      <c r="P45" s="253"/>
      <c r="Q45" s="253"/>
      <c r="S45" s="253" t="str">
        <f>_WIT10</f>
        <v>G. S. CARPENTER</v>
      </c>
      <c r="T45" s="597"/>
      <c r="U45" s="599"/>
      <c r="V45" s="599"/>
      <c r="W45" s="599"/>
      <c r="X45" s="599"/>
    </row>
    <row r="46" spans="1:24">
      <c r="A46" s="599"/>
      <c r="B46" s="599"/>
      <c r="C46" s="599"/>
      <c r="D46" s="599"/>
      <c r="E46" s="599"/>
      <c r="F46" s="599"/>
      <c r="G46" s="599"/>
      <c r="H46" s="599"/>
      <c r="I46" s="599"/>
      <c r="J46" s="599"/>
      <c r="K46" s="599"/>
      <c r="L46" s="779" t="s">
        <v>1953</v>
      </c>
      <c r="M46" s="253"/>
      <c r="N46" s="253"/>
      <c r="O46" s="253"/>
      <c r="P46" s="253"/>
      <c r="Q46" s="253"/>
      <c r="R46" s="961"/>
      <c r="S46" s="253"/>
      <c r="T46" s="597"/>
      <c r="U46" s="599"/>
      <c r="V46" s="599"/>
      <c r="W46" s="599"/>
      <c r="X46" s="599"/>
    </row>
    <row r="47" spans="1:24">
      <c r="A47" s="599"/>
      <c r="B47" s="599"/>
      <c r="C47" s="599"/>
      <c r="D47" s="599"/>
      <c r="E47" s="599"/>
      <c r="F47" s="599"/>
      <c r="G47" s="599"/>
      <c r="H47" s="599"/>
      <c r="I47" s="599"/>
      <c r="J47" s="599"/>
      <c r="K47" s="599"/>
      <c r="L47" s="779"/>
      <c r="M47" s="253"/>
      <c r="N47" s="253"/>
      <c r="O47" s="253"/>
      <c r="P47" s="253"/>
      <c r="Q47" s="253"/>
      <c r="R47" s="253"/>
      <c r="S47" s="253"/>
      <c r="T47" s="597"/>
      <c r="U47" s="599"/>
      <c r="V47" s="599"/>
      <c r="W47" s="599"/>
      <c r="X47" s="599"/>
    </row>
    <row r="48" spans="1:24">
      <c r="A48" s="599"/>
      <c r="B48" s="599"/>
      <c r="C48" s="599"/>
      <c r="D48" s="599"/>
      <c r="E48" s="599"/>
      <c r="F48" s="599"/>
      <c r="G48" s="599"/>
      <c r="H48" s="599"/>
      <c r="I48" s="599"/>
      <c r="J48" s="599"/>
      <c r="K48" s="599"/>
      <c r="L48" s="597"/>
      <c r="M48" s="597"/>
      <c r="N48" s="597"/>
      <c r="O48" s="597"/>
      <c r="P48" s="597"/>
      <c r="Q48" s="597"/>
      <c r="R48" s="597"/>
      <c r="S48" s="597"/>
      <c r="T48" s="597"/>
      <c r="U48" s="599"/>
      <c r="V48" s="599"/>
      <c r="W48" s="599"/>
      <c r="X48" s="599"/>
    </row>
    <row r="49" spans="1:24">
      <c r="A49" s="599"/>
      <c r="B49" s="599"/>
      <c r="C49" s="599"/>
      <c r="D49" s="599"/>
      <c r="E49" s="599"/>
      <c r="F49" s="599"/>
      <c r="G49" s="599"/>
      <c r="H49" s="599"/>
      <c r="I49" s="599"/>
      <c r="J49" s="599"/>
      <c r="K49" s="599"/>
      <c r="L49" s="597"/>
      <c r="M49" s="597"/>
      <c r="N49" s="597"/>
      <c r="O49" s="597"/>
      <c r="P49" s="597"/>
      <c r="Q49" s="597"/>
      <c r="R49" s="597"/>
      <c r="S49" s="597"/>
      <c r="T49" s="597"/>
      <c r="U49" s="599"/>
      <c r="V49" s="599"/>
      <c r="W49" s="599"/>
      <c r="X49" s="599"/>
    </row>
    <row r="50" spans="1:24">
      <c r="A50" s="599"/>
      <c r="B50" s="599"/>
      <c r="C50" s="599"/>
      <c r="D50" s="599"/>
      <c r="E50" s="599"/>
      <c r="F50" s="599"/>
      <c r="G50" s="599"/>
      <c r="H50" s="599"/>
      <c r="I50" s="599"/>
      <c r="J50" s="599"/>
      <c r="K50" s="599"/>
      <c r="L50" s="701" t="s">
        <v>573</v>
      </c>
      <c r="M50" s="701"/>
      <c r="N50" s="701"/>
      <c r="O50" s="701"/>
      <c r="P50" s="701" t="s">
        <v>13</v>
      </c>
      <c r="Q50" s="701"/>
      <c r="R50" s="701" t="s">
        <v>417</v>
      </c>
      <c r="S50" s="701"/>
      <c r="T50" s="701"/>
      <c r="U50" s="599"/>
      <c r="V50" s="599"/>
      <c r="W50" s="599"/>
      <c r="X50" s="599"/>
    </row>
    <row r="51" spans="1:24">
      <c r="A51" s="599"/>
      <c r="B51" s="599"/>
      <c r="C51" s="599"/>
      <c r="D51" s="599"/>
      <c r="E51" s="599"/>
      <c r="F51" s="599"/>
      <c r="G51" s="599"/>
      <c r="H51" s="599"/>
      <c r="I51" s="599"/>
      <c r="J51" s="599"/>
      <c r="K51" s="599"/>
      <c r="L51" s="702" t="s">
        <v>576</v>
      </c>
      <c r="M51" s="702"/>
      <c r="N51" s="702" t="s">
        <v>2</v>
      </c>
      <c r="O51" s="702"/>
      <c r="P51" s="702" t="s">
        <v>418</v>
      </c>
      <c r="Q51" s="702"/>
      <c r="R51" s="702" t="s">
        <v>418</v>
      </c>
      <c r="S51" s="702"/>
      <c r="T51" s="702" t="s">
        <v>698</v>
      </c>
      <c r="U51" s="599"/>
      <c r="V51" s="599"/>
      <c r="W51" s="599"/>
      <c r="X51" s="599"/>
    </row>
    <row r="52" spans="1:24">
      <c r="A52" s="599"/>
      <c r="B52" s="599"/>
      <c r="C52" s="599"/>
      <c r="D52" s="599"/>
      <c r="E52" s="599"/>
      <c r="F52" s="599"/>
      <c r="G52" s="599"/>
      <c r="H52" s="599"/>
      <c r="I52" s="599"/>
      <c r="J52" s="599"/>
      <c r="K52" s="599"/>
      <c r="L52" s="597"/>
      <c r="M52" s="597"/>
      <c r="N52" s="597"/>
      <c r="O52" s="597"/>
      <c r="P52" s="597"/>
      <c r="Q52" s="597"/>
      <c r="R52" s="597"/>
      <c r="S52" s="597"/>
      <c r="T52" s="597"/>
      <c r="U52" s="599"/>
      <c r="V52" s="599"/>
      <c r="W52" s="599"/>
      <c r="X52" s="599"/>
    </row>
    <row r="53" spans="1:24" ht="13.8" thickBot="1">
      <c r="A53" s="599"/>
      <c r="B53" s="599"/>
      <c r="C53" s="599"/>
      <c r="D53" s="599"/>
      <c r="E53" s="599"/>
      <c r="F53" s="599"/>
      <c r="G53" s="599"/>
      <c r="H53" s="599"/>
      <c r="I53" s="599"/>
      <c r="J53" s="599"/>
      <c r="K53" s="599"/>
      <c r="L53" s="701">
        <v>1</v>
      </c>
      <c r="M53" s="597"/>
      <c r="N53" s="598" t="s">
        <v>351</v>
      </c>
      <c r="O53" s="597"/>
      <c r="P53" s="1954">
        <f>SCH_C2!E39</f>
        <v>69049642</v>
      </c>
      <c r="Q53" s="597"/>
      <c r="R53" s="1954">
        <f>SCH_C2!H39</f>
        <v>73446048</v>
      </c>
      <c r="S53" s="597"/>
      <c r="T53" s="1954">
        <f>R53-P53</f>
        <v>4396406</v>
      </c>
      <c r="U53" s="599"/>
      <c r="V53" s="599"/>
      <c r="W53" s="599"/>
      <c r="X53" s="599"/>
    </row>
    <row r="54" spans="1:24" ht="13.8" thickTop="1">
      <c r="A54" s="599"/>
      <c r="B54" s="599"/>
      <c r="C54" s="599"/>
      <c r="D54" s="599"/>
      <c r="E54" s="599"/>
      <c r="F54" s="599"/>
      <c r="G54" s="599"/>
      <c r="H54" s="599"/>
      <c r="I54" s="599"/>
      <c r="J54" s="599"/>
      <c r="K54" s="599"/>
      <c r="L54" s="701"/>
      <c r="M54" s="597"/>
      <c r="N54" s="597"/>
      <c r="O54" s="597"/>
      <c r="P54" s="597"/>
      <c r="Q54" s="597"/>
      <c r="R54" s="597"/>
      <c r="S54" s="597"/>
      <c r="T54" s="597"/>
      <c r="U54" s="599"/>
      <c r="V54" s="599"/>
      <c r="W54" s="599"/>
      <c r="X54" s="599"/>
    </row>
    <row r="55" spans="1:24">
      <c r="A55" s="599"/>
      <c r="B55" s="599"/>
      <c r="C55" s="599"/>
      <c r="D55" s="599"/>
      <c r="E55" s="599"/>
      <c r="F55" s="599"/>
      <c r="G55" s="599"/>
      <c r="H55" s="599"/>
      <c r="I55" s="599"/>
      <c r="J55" s="599"/>
      <c r="K55" s="599"/>
      <c r="L55" s="597"/>
      <c r="M55" s="597"/>
      <c r="N55" s="597"/>
      <c r="O55" s="597"/>
      <c r="P55" s="597"/>
      <c r="Q55" s="597"/>
      <c r="R55" s="597"/>
      <c r="S55" s="597"/>
      <c r="T55" s="597"/>
      <c r="U55" s="599"/>
      <c r="V55" s="599"/>
      <c r="W55" s="599"/>
      <c r="X55" s="599"/>
    </row>
    <row r="56" spans="1:24">
      <c r="A56" s="599"/>
      <c r="B56" s="599"/>
      <c r="C56" s="599"/>
      <c r="D56" s="599"/>
      <c r="E56" s="599"/>
      <c r="F56" s="599"/>
      <c r="G56" s="599"/>
      <c r="H56" s="599"/>
      <c r="I56" s="599"/>
      <c r="J56" s="599"/>
      <c r="K56" s="599"/>
      <c r="L56" s="597"/>
      <c r="M56" s="597"/>
      <c r="N56" s="597"/>
      <c r="O56" s="597"/>
      <c r="P56" s="597"/>
      <c r="Q56" s="597"/>
      <c r="R56" s="597"/>
      <c r="S56" s="597"/>
      <c r="T56" s="597"/>
      <c r="U56" s="599"/>
      <c r="V56" s="599"/>
      <c r="W56" s="599"/>
      <c r="X56" s="599"/>
    </row>
    <row r="57" spans="1:24">
      <c r="A57" s="599"/>
      <c r="B57" s="599"/>
      <c r="C57" s="599"/>
      <c r="D57" s="599"/>
      <c r="E57" s="599"/>
      <c r="F57" s="599"/>
      <c r="G57" s="599"/>
      <c r="H57" s="599"/>
      <c r="I57" s="599"/>
      <c r="J57" s="599"/>
      <c r="K57" s="599"/>
      <c r="L57" s="597"/>
      <c r="M57" s="597"/>
      <c r="N57" s="597"/>
      <c r="O57" s="597"/>
      <c r="P57" s="597"/>
      <c r="Q57" s="597"/>
      <c r="R57" s="597"/>
      <c r="S57" s="597"/>
      <c r="T57" s="701" t="s">
        <v>1869</v>
      </c>
      <c r="U57" s="599"/>
      <c r="V57" s="599"/>
      <c r="W57" s="599"/>
      <c r="X57" s="599"/>
    </row>
    <row r="58" spans="1:24">
      <c r="A58" s="599"/>
      <c r="B58" s="599"/>
      <c r="C58" s="599"/>
      <c r="D58" s="599"/>
      <c r="E58" s="599"/>
      <c r="F58" s="599"/>
      <c r="G58" s="599"/>
      <c r="H58" s="599"/>
      <c r="I58" s="599"/>
      <c r="J58" s="599"/>
      <c r="K58" s="599"/>
      <c r="L58" s="599"/>
      <c r="M58" s="599"/>
      <c r="N58" s="599"/>
      <c r="O58" s="599"/>
      <c r="P58" s="599"/>
      <c r="Q58" s="599"/>
      <c r="R58" s="599"/>
      <c r="S58" s="599"/>
      <c r="T58" s="599"/>
      <c r="U58" s="599"/>
      <c r="V58" s="599"/>
      <c r="W58" s="599"/>
      <c r="X58" s="599"/>
    </row>
    <row r="59" spans="1:24">
      <c r="A59" s="599"/>
      <c r="B59" s="599"/>
      <c r="C59" s="599"/>
      <c r="D59" s="599"/>
      <c r="E59" s="599"/>
      <c r="F59" s="599"/>
      <c r="G59" s="599"/>
      <c r="H59" s="599"/>
      <c r="I59" s="599"/>
      <c r="J59" s="599"/>
      <c r="K59" s="599"/>
      <c r="L59" s="599"/>
      <c r="M59" s="599"/>
      <c r="N59" s="599"/>
      <c r="O59" s="599"/>
      <c r="P59" s="599"/>
      <c r="Q59" s="599"/>
      <c r="R59" s="599"/>
      <c r="S59" s="599"/>
      <c r="T59" s="599"/>
      <c r="U59" s="599"/>
      <c r="V59" s="599"/>
      <c r="W59" s="599"/>
      <c r="X59" s="599"/>
    </row>
    <row r="60" spans="1:24">
      <c r="A60" s="599"/>
      <c r="B60" s="599"/>
      <c r="C60" s="599"/>
      <c r="D60" s="599"/>
      <c r="E60" s="599"/>
      <c r="F60" s="599"/>
      <c r="G60" s="599"/>
      <c r="H60" s="599"/>
      <c r="I60" s="599"/>
      <c r="J60" s="599"/>
      <c r="K60" s="599"/>
      <c r="L60" s="599"/>
      <c r="M60" s="599"/>
      <c r="N60" s="599"/>
      <c r="O60" s="599"/>
      <c r="P60" s="599"/>
      <c r="Q60" s="599"/>
      <c r="R60" s="1051"/>
      <c r="S60" s="599"/>
      <c r="T60" s="599"/>
      <c r="U60" s="599"/>
      <c r="V60" s="599"/>
      <c r="W60" s="599"/>
      <c r="X60" s="599"/>
    </row>
    <row r="61" spans="1:24">
      <c r="A61" s="599"/>
      <c r="B61" s="599"/>
      <c r="C61" s="599"/>
      <c r="D61" s="599"/>
      <c r="E61" s="599"/>
      <c r="F61" s="599"/>
      <c r="G61" s="599"/>
      <c r="H61" s="599"/>
      <c r="I61" s="599"/>
      <c r="J61" s="599"/>
      <c r="K61" s="599"/>
      <c r="L61" s="599"/>
      <c r="M61" s="599"/>
      <c r="N61" s="599"/>
      <c r="O61" s="599"/>
      <c r="P61" s="599"/>
      <c r="Q61" s="599"/>
      <c r="R61" s="599"/>
      <c r="S61" s="599"/>
      <c r="T61" s="599"/>
      <c r="U61" s="599"/>
      <c r="V61" s="599"/>
      <c r="W61" s="599"/>
      <c r="X61" s="599"/>
    </row>
    <row r="62" spans="1:24">
      <c r="A62" s="599"/>
      <c r="B62" s="599"/>
      <c r="C62" s="599"/>
      <c r="D62" s="599"/>
      <c r="E62" s="599"/>
      <c r="F62" s="599"/>
      <c r="G62" s="599"/>
      <c r="H62" s="599"/>
      <c r="I62" s="599"/>
      <c r="J62" s="599"/>
      <c r="K62" s="599"/>
      <c r="L62" s="599"/>
      <c r="M62" s="599"/>
      <c r="N62" s="599"/>
      <c r="O62" s="599"/>
      <c r="P62" s="599"/>
      <c r="Q62" s="599"/>
      <c r="R62" s="599"/>
      <c r="S62" s="599"/>
      <c r="T62" s="599"/>
      <c r="U62" s="599"/>
      <c r="V62" s="599"/>
      <c r="W62" s="599"/>
      <c r="X62" s="599"/>
    </row>
    <row r="63" spans="1:24">
      <c r="A63" s="599"/>
      <c r="B63" s="599"/>
      <c r="C63" s="599"/>
      <c r="D63" s="599"/>
      <c r="E63" s="599"/>
      <c r="F63" s="599"/>
      <c r="G63" s="599"/>
      <c r="H63" s="599"/>
      <c r="I63" s="599"/>
      <c r="J63" s="599"/>
      <c r="K63" s="599"/>
      <c r="L63" s="599"/>
      <c r="M63" s="599"/>
      <c r="N63" s="599"/>
      <c r="O63" s="599"/>
      <c r="P63" s="599"/>
      <c r="Q63" s="599"/>
      <c r="R63" s="599"/>
      <c r="S63" s="599"/>
      <c r="T63" s="599"/>
      <c r="U63" s="599"/>
      <c r="V63" s="599"/>
      <c r="W63" s="599"/>
      <c r="X63" s="599"/>
    </row>
    <row r="64" spans="1:24">
      <c r="A64" s="599"/>
      <c r="B64" s="599"/>
      <c r="C64" s="599"/>
      <c r="D64" s="599"/>
      <c r="E64" s="599"/>
      <c r="F64" s="599"/>
      <c r="G64" s="599"/>
      <c r="H64" s="599"/>
      <c r="I64" s="599"/>
      <c r="J64" s="599"/>
      <c r="K64" s="599"/>
      <c r="L64" s="599"/>
      <c r="M64" s="599"/>
      <c r="N64" s="599"/>
      <c r="O64" s="599"/>
      <c r="P64" s="599"/>
      <c r="Q64" s="599"/>
      <c r="R64" s="599"/>
      <c r="S64" s="599"/>
      <c r="T64" s="599"/>
      <c r="U64" s="599"/>
      <c r="V64" s="599"/>
      <c r="W64" s="599"/>
      <c r="X64" s="599"/>
    </row>
    <row r="65" spans="1:24">
      <c r="A65" s="599"/>
      <c r="B65" s="599"/>
      <c r="C65" s="599"/>
      <c r="D65" s="599"/>
      <c r="E65" s="599"/>
      <c r="F65" s="599"/>
      <c r="G65" s="599"/>
      <c r="H65" s="599"/>
      <c r="I65" s="599"/>
      <c r="J65" s="599"/>
      <c r="K65" s="599"/>
      <c r="L65" s="599"/>
      <c r="M65" s="599"/>
      <c r="N65" s="599"/>
      <c r="O65" s="599"/>
      <c r="P65" s="599"/>
      <c r="Q65" s="599"/>
      <c r="R65" s="599"/>
      <c r="S65" s="599"/>
      <c r="T65" s="599"/>
      <c r="U65" s="599"/>
      <c r="V65" s="599"/>
      <c r="W65" s="599"/>
      <c r="X65" s="599"/>
    </row>
    <row r="66" spans="1:24">
      <c r="A66" s="599"/>
      <c r="B66" s="599"/>
      <c r="C66" s="599"/>
      <c r="D66" s="599"/>
      <c r="E66" s="599"/>
      <c r="F66" s="599"/>
      <c r="G66" s="599"/>
      <c r="H66" s="599"/>
      <c r="I66" s="599"/>
      <c r="J66" s="599"/>
      <c r="K66" s="599"/>
      <c r="L66" s="599"/>
      <c r="M66" s="599"/>
      <c r="N66" s="599"/>
      <c r="O66" s="599"/>
      <c r="P66" s="599"/>
      <c r="Q66" s="599"/>
      <c r="R66" s="599"/>
      <c r="S66" s="599"/>
      <c r="T66" s="599"/>
      <c r="U66" s="599"/>
      <c r="V66" s="599"/>
      <c r="W66" s="599"/>
      <c r="X66" s="599"/>
    </row>
    <row r="67" spans="1:24">
      <c r="A67" s="599"/>
      <c r="B67" s="599"/>
      <c r="C67" s="599"/>
      <c r="D67" s="599"/>
      <c r="E67" s="599"/>
      <c r="F67" s="599"/>
      <c r="G67" s="599"/>
      <c r="H67" s="599"/>
      <c r="I67" s="599"/>
      <c r="J67" s="599"/>
      <c r="K67" s="599"/>
      <c r="L67" s="599"/>
      <c r="M67" s="599"/>
      <c r="N67" s="599"/>
      <c r="O67" s="599"/>
      <c r="P67" s="599"/>
      <c r="Q67" s="599"/>
      <c r="R67" s="599"/>
      <c r="S67" s="599"/>
      <c r="T67" s="599"/>
      <c r="U67" s="599"/>
      <c r="V67" s="599"/>
      <c r="W67" s="599"/>
      <c r="X67" s="599"/>
    </row>
    <row r="68" spans="1:24">
      <c r="A68" s="599"/>
      <c r="B68" s="599"/>
      <c r="C68" s="599"/>
      <c r="D68" s="599"/>
      <c r="E68" s="599"/>
      <c r="F68" s="599"/>
      <c r="G68" s="599"/>
      <c r="H68" s="599"/>
      <c r="I68" s="599"/>
      <c r="J68" s="599"/>
      <c r="K68" s="599"/>
      <c r="L68" s="599"/>
      <c r="M68" s="599"/>
      <c r="N68" s="599"/>
      <c r="O68" s="599"/>
      <c r="P68" s="599"/>
      <c r="Q68" s="599"/>
      <c r="R68" s="599"/>
      <c r="S68" s="599"/>
      <c r="T68" s="599"/>
      <c r="U68" s="599"/>
      <c r="V68" s="599"/>
      <c r="W68" s="599"/>
      <c r="X68" s="599"/>
    </row>
    <row r="69" spans="1:24">
      <c r="A69" s="599"/>
      <c r="B69" s="599"/>
      <c r="C69" s="599"/>
      <c r="D69" s="599"/>
      <c r="E69" s="599"/>
      <c r="F69" s="599"/>
      <c r="G69" s="599"/>
      <c r="H69" s="599"/>
      <c r="I69" s="599"/>
      <c r="J69" s="599"/>
      <c r="K69" s="599"/>
      <c r="L69" s="599"/>
      <c r="M69" s="599"/>
      <c r="N69" s="599"/>
      <c r="O69" s="599"/>
      <c r="P69" s="599"/>
      <c r="Q69" s="599"/>
      <c r="R69" s="599"/>
      <c r="S69" s="599"/>
      <c r="T69" s="599"/>
      <c r="U69" s="599"/>
      <c r="V69" s="599"/>
      <c r="W69" s="599"/>
      <c r="X69" s="599"/>
    </row>
  </sheetData>
  <phoneticPr fontId="19" type="noConversion"/>
  <pageMargins left="1" right="0.75" top="1" bottom="0" header="0" footer="0"/>
  <pageSetup scale="91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theme="2" tint="-0.499984740745262"/>
  </sheetPr>
  <dimension ref="A1:V285"/>
  <sheetViews>
    <sheetView zoomScale="80" zoomScaleNormal="80" workbookViewId="0">
      <pane ySplit="10" topLeftCell="A11" activePane="bottomLeft" state="frozen"/>
      <selection activeCell="E367" sqref="E367"/>
      <selection pane="bottomLeft" activeCell="A11" sqref="A11"/>
    </sheetView>
  </sheetViews>
  <sheetFormatPr defaultColWidth="15.5546875" defaultRowHeight="13.2"/>
  <cols>
    <col min="1" max="1" width="9.5546875" customWidth="1"/>
    <col min="2" max="2" width="36.44140625" customWidth="1"/>
    <col min="3" max="4" width="9.5546875" customWidth="1"/>
    <col min="5" max="5" width="15.5546875" customWidth="1"/>
    <col min="6" max="10" width="15" customWidth="1"/>
    <col min="11" max="18" width="12.5546875" customWidth="1"/>
    <col min="19" max="24" width="14.6640625" customWidth="1"/>
  </cols>
  <sheetData>
    <row r="1" spans="1:20">
      <c r="A1" s="36" t="str">
        <f>COMPANY</f>
        <v>DUKE ENERGY KENTUCKY, INC.</v>
      </c>
      <c r="B1" s="36"/>
      <c r="C1" s="37"/>
      <c r="D1" s="37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</row>
    <row r="2" spans="1:20">
      <c r="A2" s="36" t="str">
        <f>CASE</f>
        <v>CASE NO. 2024-00354</v>
      </c>
      <c r="B2" s="36"/>
      <c r="C2" s="37"/>
      <c r="D2" s="37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</row>
    <row r="3" spans="1:20">
      <c r="A3" s="4" t="s">
        <v>251</v>
      </c>
      <c r="B3" s="4"/>
      <c r="C3" s="37"/>
      <c r="D3" s="37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</row>
    <row r="4" spans="1:20">
      <c r="A4" s="4" t="s">
        <v>252</v>
      </c>
      <c r="B4" s="4"/>
      <c r="C4" s="37"/>
      <c r="D4" s="37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</row>
    <row r="5" spans="1:20" ht="12" customHeight="1">
      <c r="A5" s="36"/>
      <c r="B5" s="36"/>
      <c r="C5" s="37"/>
      <c r="D5" s="37"/>
      <c r="E5" s="38"/>
      <c r="F5" s="38"/>
      <c r="G5" s="38"/>
      <c r="H5" s="38"/>
      <c r="I5" s="38"/>
      <c r="J5" s="38"/>
      <c r="K5" s="38"/>
      <c r="L5" s="671"/>
      <c r="M5" s="38"/>
      <c r="N5" s="38"/>
      <c r="O5" s="38"/>
      <c r="P5" s="38"/>
      <c r="Q5" s="38"/>
      <c r="R5" s="38"/>
    </row>
    <row r="6" spans="1:20">
      <c r="A6" s="36" t="str">
        <f>Data</f>
        <v>DATA: "X" BASE PERIOD   FORECASTED PERIOD</v>
      </c>
      <c r="B6" s="36"/>
      <c r="C6" s="37"/>
      <c r="D6" s="37"/>
      <c r="E6" s="38"/>
      <c r="F6" s="39"/>
      <c r="G6" s="38"/>
      <c r="H6" s="38"/>
      <c r="I6" s="38"/>
      <c r="J6" s="38"/>
      <c r="K6" s="38"/>
      <c r="L6" s="39"/>
      <c r="M6" s="39"/>
      <c r="N6" s="39"/>
      <c r="O6" s="38"/>
      <c r="P6" s="38"/>
      <c r="Q6" s="38"/>
      <c r="R6" s="38"/>
      <c r="T6" s="1837"/>
    </row>
    <row r="7" spans="1:20" ht="12.6" customHeight="1">
      <c r="A7" s="36" t="str">
        <f>Type</f>
        <v xml:space="preserve">TYPE OF FILING:  "X" ORIGINAL   UPDATED    REVISED  </v>
      </c>
      <c r="B7" s="36"/>
      <c r="C7" s="37"/>
      <c r="D7" s="37"/>
      <c r="E7" s="38"/>
      <c r="F7" s="2413"/>
      <c r="G7" s="2413"/>
      <c r="H7" s="2413"/>
      <c r="I7" s="2413"/>
      <c r="J7" s="38"/>
      <c r="K7" s="38"/>
      <c r="L7" s="39"/>
      <c r="M7" s="39"/>
      <c r="N7" s="39"/>
      <c r="O7" s="38"/>
      <c r="P7" s="38"/>
      <c r="Q7" s="38"/>
      <c r="R7" s="38"/>
    </row>
    <row r="8" spans="1:20">
      <c r="A8" s="37"/>
      <c r="B8" s="37"/>
      <c r="C8" s="37"/>
      <c r="D8" s="37"/>
      <c r="E8" s="39"/>
      <c r="F8" s="39"/>
      <c r="G8" s="39"/>
      <c r="H8" s="39"/>
      <c r="I8" s="39"/>
      <c r="J8" s="39"/>
      <c r="K8" s="39"/>
      <c r="L8" s="38"/>
      <c r="M8" s="38"/>
      <c r="N8" s="38"/>
      <c r="O8" s="38"/>
      <c r="P8" s="38"/>
      <c r="Q8" s="38"/>
      <c r="R8" s="38"/>
    </row>
    <row r="9" spans="1:20" ht="13.8" thickBot="1">
      <c r="A9" s="37"/>
      <c r="B9" s="37"/>
      <c r="C9" s="37"/>
      <c r="D9" s="37"/>
      <c r="E9" s="5"/>
      <c r="F9" s="27" t="s">
        <v>253</v>
      </c>
      <c r="G9" s="27" t="s">
        <v>253</v>
      </c>
      <c r="H9" s="27" t="s">
        <v>253</v>
      </c>
      <c r="I9" s="27" t="s">
        <v>253</v>
      </c>
      <c r="J9" s="27" t="s">
        <v>253</v>
      </c>
      <c r="K9" s="27" t="s">
        <v>253</v>
      </c>
      <c r="L9" s="653" t="s">
        <v>254</v>
      </c>
      <c r="M9" s="653" t="s">
        <v>254</v>
      </c>
      <c r="N9" s="653" t="s">
        <v>254</v>
      </c>
      <c r="O9" s="653" t="s">
        <v>254</v>
      </c>
      <c r="P9" s="653" t="s">
        <v>254</v>
      </c>
      <c r="Q9" s="653" t="s">
        <v>254</v>
      </c>
      <c r="R9" s="38"/>
    </row>
    <row r="10" spans="1:20" ht="13.8" thickBot="1">
      <c r="A10" s="34" t="s">
        <v>255</v>
      </c>
      <c r="B10" s="34" t="s">
        <v>2</v>
      </c>
      <c r="C10" s="34" t="s">
        <v>256</v>
      </c>
      <c r="D10" s="34" t="s">
        <v>257</v>
      </c>
      <c r="E10" s="34" t="s">
        <v>258</v>
      </c>
      <c r="F10" s="3">
        <f>LOGO!I7</f>
        <v>45382</v>
      </c>
      <c r="G10" s="3">
        <f>LOGO!I8</f>
        <v>45412</v>
      </c>
      <c r="H10" s="3">
        <f>LOGO!I9</f>
        <v>45443</v>
      </c>
      <c r="I10" s="3">
        <f>LOGO!I10</f>
        <v>45473</v>
      </c>
      <c r="J10" s="3">
        <f>LOGO!I11</f>
        <v>45504</v>
      </c>
      <c r="K10" s="3">
        <f>LOGO!I12</f>
        <v>45535</v>
      </c>
      <c r="L10" s="3">
        <f>LOGO!I13</f>
        <v>45565</v>
      </c>
      <c r="M10" s="3">
        <f>LOGO!I14</f>
        <v>45596</v>
      </c>
      <c r="N10" s="3">
        <f>LOGO!I15</f>
        <v>45626</v>
      </c>
      <c r="O10" s="3">
        <f>LOGO!I16</f>
        <v>45657</v>
      </c>
      <c r="P10" s="3">
        <f>LOGO!I17</f>
        <v>45688</v>
      </c>
      <c r="Q10" s="3">
        <f>LOGO!I18</f>
        <v>45716</v>
      </c>
      <c r="R10" s="38"/>
    </row>
    <row r="11" spans="1:20">
      <c r="A11" s="651">
        <v>403002</v>
      </c>
      <c r="B11" s="650" t="s">
        <v>65</v>
      </c>
      <c r="C11" s="651" t="s">
        <v>259</v>
      </c>
      <c r="D11" s="37">
        <f>VALUE(LEFT(A11,3))</f>
        <v>403</v>
      </c>
      <c r="E11" s="166">
        <f t="shared" ref="E11:E81" si="0">SUM(F11:Q11)</f>
        <v>64733468</v>
      </c>
      <c r="F11" s="41">
        <v>5235582</v>
      </c>
      <c r="G11" s="41">
        <v>5238649</v>
      </c>
      <c r="H11" s="41">
        <v>5244763</v>
      </c>
      <c r="I11" s="41">
        <v>5261712</v>
      </c>
      <c r="J11" s="41">
        <v>5281508</v>
      </c>
      <c r="K11" s="41">
        <v>5298632</v>
      </c>
      <c r="L11" s="41">
        <v>5439667</v>
      </c>
      <c r="M11" s="41">
        <v>5469389</v>
      </c>
      <c r="N11" s="41">
        <v>5496431</v>
      </c>
      <c r="O11" s="41">
        <v>5523132</v>
      </c>
      <c r="P11" s="41">
        <v>5622424</v>
      </c>
      <c r="Q11" s="41">
        <v>5621579</v>
      </c>
      <c r="R11" s="39"/>
      <c r="S11" s="28"/>
    </row>
    <row r="12" spans="1:20">
      <c r="A12" s="651">
        <v>404200</v>
      </c>
      <c r="B12" s="650" t="s">
        <v>260</v>
      </c>
      <c r="C12" s="651" t="s">
        <v>259</v>
      </c>
      <c r="D12" s="37">
        <f t="shared" ref="D12:D99" si="1">VALUE(LEFT(A12,3))</f>
        <v>404</v>
      </c>
      <c r="E12" s="166">
        <f t="shared" si="0"/>
        <v>4316174</v>
      </c>
      <c r="F12" s="41">
        <v>420672</v>
      </c>
      <c r="G12" s="41">
        <v>402210</v>
      </c>
      <c r="H12" s="41">
        <v>406844</v>
      </c>
      <c r="I12" s="41">
        <v>412290</v>
      </c>
      <c r="J12" s="41">
        <v>420999</v>
      </c>
      <c r="K12" s="41">
        <v>406723</v>
      </c>
      <c r="L12" s="41">
        <v>312610</v>
      </c>
      <c r="M12" s="41">
        <v>308010</v>
      </c>
      <c r="N12" s="41">
        <v>307419</v>
      </c>
      <c r="O12" s="41">
        <v>309303</v>
      </c>
      <c r="P12" s="41">
        <v>305620</v>
      </c>
      <c r="Q12" s="41">
        <v>303474</v>
      </c>
      <c r="R12" s="39"/>
      <c r="S12" s="28"/>
    </row>
    <row r="13" spans="1:20">
      <c r="A13" s="651">
        <v>407115</v>
      </c>
      <c r="B13" s="650" t="s">
        <v>66</v>
      </c>
      <c r="C13" s="651" t="s">
        <v>261</v>
      </c>
      <c r="D13" s="37">
        <f t="shared" si="1"/>
        <v>407</v>
      </c>
      <c r="E13" s="166">
        <f t="shared" si="0"/>
        <v>463932</v>
      </c>
      <c r="F13" s="41">
        <v>38661</v>
      </c>
      <c r="G13" s="41">
        <v>38661</v>
      </c>
      <c r="H13" s="41">
        <v>38661</v>
      </c>
      <c r="I13" s="41">
        <v>38661</v>
      </c>
      <c r="J13" s="41">
        <v>38661</v>
      </c>
      <c r="K13" s="41">
        <v>38661</v>
      </c>
      <c r="L13" s="41">
        <v>38661</v>
      </c>
      <c r="M13" s="41">
        <v>38661</v>
      </c>
      <c r="N13" s="41">
        <v>38661</v>
      </c>
      <c r="O13" s="41">
        <v>38661</v>
      </c>
      <c r="P13" s="41">
        <v>38661</v>
      </c>
      <c r="Q13" s="41">
        <v>38661</v>
      </c>
      <c r="R13" s="39"/>
      <c r="S13" s="28"/>
    </row>
    <row r="14" spans="1:20">
      <c r="A14" s="651">
        <v>407305</v>
      </c>
      <c r="B14" s="650" t="s">
        <v>67</v>
      </c>
      <c r="C14" s="651" t="s">
        <v>261</v>
      </c>
      <c r="D14" s="37">
        <f t="shared" si="1"/>
        <v>407</v>
      </c>
      <c r="E14" s="166">
        <f t="shared" si="0"/>
        <v>6716022</v>
      </c>
      <c r="F14" s="41">
        <v>559668</v>
      </c>
      <c r="G14" s="41">
        <v>559668</v>
      </c>
      <c r="H14" s="41">
        <v>559668</v>
      </c>
      <c r="I14" s="41">
        <v>559668</v>
      </c>
      <c r="J14" s="41">
        <v>559668</v>
      </c>
      <c r="K14" s="41">
        <v>559668</v>
      </c>
      <c r="L14" s="41">
        <v>559669</v>
      </c>
      <c r="M14" s="41">
        <v>559669</v>
      </c>
      <c r="N14" s="41">
        <v>559669</v>
      </c>
      <c r="O14" s="41">
        <v>559669</v>
      </c>
      <c r="P14" s="41">
        <v>559669</v>
      </c>
      <c r="Q14" s="41">
        <v>559669</v>
      </c>
      <c r="R14" s="39"/>
      <c r="S14" s="28"/>
    </row>
    <row r="15" spans="1:20">
      <c r="A15" s="651">
        <v>407324</v>
      </c>
      <c r="B15" s="650" t="s">
        <v>68</v>
      </c>
      <c r="C15" s="651" t="s">
        <v>261</v>
      </c>
      <c r="D15" s="37">
        <f t="shared" si="1"/>
        <v>407</v>
      </c>
      <c r="E15" s="166">
        <f t="shared" ref="E15" si="2">SUM(F15:Q15)</f>
        <v>7797214</v>
      </c>
      <c r="F15" s="41">
        <v>862084</v>
      </c>
      <c r="G15" s="41">
        <v>651905</v>
      </c>
      <c r="H15" s="41">
        <v>776881</v>
      </c>
      <c r="I15" s="41">
        <v>631307</v>
      </c>
      <c r="J15" s="41">
        <v>579844</v>
      </c>
      <c r="K15" s="41">
        <v>811537</v>
      </c>
      <c r="L15" s="41">
        <v>593238</v>
      </c>
      <c r="M15" s="41">
        <v>593238</v>
      </c>
      <c r="N15" s="41">
        <v>593238</v>
      </c>
      <c r="O15" s="41">
        <v>593238</v>
      </c>
      <c r="P15" s="41">
        <v>555352</v>
      </c>
      <c r="Q15" s="41">
        <v>555352</v>
      </c>
      <c r="R15" s="39"/>
      <c r="S15" s="28"/>
    </row>
    <row r="16" spans="1:20">
      <c r="A16" s="651">
        <v>407354</v>
      </c>
      <c r="B16" s="650" t="s">
        <v>69</v>
      </c>
      <c r="C16" s="651" t="s">
        <v>262</v>
      </c>
      <c r="D16" s="37">
        <f t="shared" si="1"/>
        <v>407</v>
      </c>
      <c r="E16" s="166">
        <f t="shared" si="0"/>
        <v>2021588</v>
      </c>
      <c r="F16" s="41">
        <v>363495</v>
      </c>
      <c r="G16" s="41">
        <v>286525</v>
      </c>
      <c r="H16" s="41">
        <v>388669</v>
      </c>
      <c r="I16" s="41">
        <v>410734</v>
      </c>
      <c r="J16" s="41">
        <v>484850</v>
      </c>
      <c r="K16" s="41">
        <v>87315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39"/>
      <c r="S16" s="28"/>
    </row>
    <row r="17" spans="1:19">
      <c r="A17" s="651">
        <v>407407</v>
      </c>
      <c r="B17" s="650" t="s">
        <v>70</v>
      </c>
      <c r="C17" s="651" t="s">
        <v>262</v>
      </c>
      <c r="D17" s="37">
        <f t="shared" si="1"/>
        <v>407</v>
      </c>
      <c r="E17" s="166">
        <f t="shared" si="0"/>
        <v>-389214</v>
      </c>
      <c r="F17" s="41">
        <v>-67592</v>
      </c>
      <c r="G17" s="41">
        <v>-66508</v>
      </c>
      <c r="H17" s="41">
        <v>-65420</v>
      </c>
      <c r="I17" s="41">
        <v>-64328</v>
      </c>
      <c r="J17" s="41">
        <v>-63233</v>
      </c>
      <c r="K17" s="41">
        <v>-62133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39"/>
      <c r="S17" s="28"/>
    </row>
    <row r="18" spans="1:19">
      <c r="A18" s="651">
        <v>408040</v>
      </c>
      <c r="B18" s="650" t="s">
        <v>71</v>
      </c>
      <c r="C18" s="651" t="s">
        <v>263</v>
      </c>
      <c r="D18" s="37">
        <f t="shared" si="1"/>
        <v>408</v>
      </c>
      <c r="E18" s="166">
        <f t="shared" si="0"/>
        <v>48196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8033</v>
      </c>
      <c r="M18" s="41">
        <v>8033</v>
      </c>
      <c r="N18" s="41">
        <v>8033</v>
      </c>
      <c r="O18" s="41">
        <v>8033</v>
      </c>
      <c r="P18" s="41">
        <v>8032</v>
      </c>
      <c r="Q18" s="41">
        <v>8032</v>
      </c>
      <c r="R18" s="39"/>
      <c r="S18" s="28"/>
    </row>
    <row r="19" spans="1:19">
      <c r="A19" s="651">
        <v>408120</v>
      </c>
      <c r="B19" s="650" t="s">
        <v>72</v>
      </c>
      <c r="C19" s="651" t="s">
        <v>263</v>
      </c>
      <c r="D19" s="37">
        <f t="shared" si="1"/>
        <v>408</v>
      </c>
      <c r="E19" s="166">
        <f t="shared" si="0"/>
        <v>5</v>
      </c>
      <c r="F19" s="41">
        <v>0</v>
      </c>
      <c r="G19" s="41">
        <v>0</v>
      </c>
      <c r="H19" s="41">
        <v>5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39"/>
      <c r="S19" s="28"/>
    </row>
    <row r="20" spans="1:19">
      <c r="A20" s="651">
        <v>408121</v>
      </c>
      <c r="B20" s="650" t="s">
        <v>73</v>
      </c>
      <c r="C20" s="651" t="s">
        <v>263</v>
      </c>
      <c r="D20" s="37">
        <f t="shared" si="1"/>
        <v>408</v>
      </c>
      <c r="E20" s="166">
        <f t="shared" si="0"/>
        <v>14241432</v>
      </c>
      <c r="F20" s="41">
        <v>62405</v>
      </c>
      <c r="G20" s="41">
        <v>1288025</v>
      </c>
      <c r="H20" s="41">
        <v>1288025</v>
      </c>
      <c r="I20" s="41">
        <v>1288025</v>
      </c>
      <c r="J20" s="41">
        <v>1288025</v>
      </c>
      <c r="K20" s="41">
        <v>1288025</v>
      </c>
      <c r="L20" s="41">
        <v>1288029</v>
      </c>
      <c r="M20" s="41">
        <v>1288029</v>
      </c>
      <c r="N20" s="41">
        <v>1288029</v>
      </c>
      <c r="O20" s="41">
        <v>1288029</v>
      </c>
      <c r="P20" s="41">
        <v>1293393</v>
      </c>
      <c r="Q20" s="41">
        <v>1293393</v>
      </c>
      <c r="R20" s="39"/>
      <c r="S20" s="28"/>
    </row>
    <row r="21" spans="1:19">
      <c r="A21" s="651">
        <v>408150</v>
      </c>
      <c r="B21" s="650" t="s">
        <v>74</v>
      </c>
      <c r="C21" s="651" t="s">
        <v>263</v>
      </c>
      <c r="D21" s="37">
        <f t="shared" si="1"/>
        <v>408</v>
      </c>
      <c r="E21" s="166">
        <f t="shared" si="0"/>
        <v>557</v>
      </c>
      <c r="F21" s="41">
        <v>124</v>
      </c>
      <c r="G21" s="41">
        <v>79</v>
      </c>
      <c r="H21" s="41">
        <v>104</v>
      </c>
      <c r="I21" s="41">
        <v>155</v>
      </c>
      <c r="J21" s="41">
        <v>53</v>
      </c>
      <c r="K21" s="41">
        <v>42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39"/>
      <c r="S21" s="28"/>
    </row>
    <row r="22" spans="1:19">
      <c r="A22" s="651">
        <v>408151</v>
      </c>
      <c r="B22" s="650" t="s">
        <v>75</v>
      </c>
      <c r="C22" s="651" t="s">
        <v>263</v>
      </c>
      <c r="D22" s="37">
        <f t="shared" si="1"/>
        <v>408</v>
      </c>
      <c r="E22" s="166">
        <f t="shared" si="0"/>
        <v>-1342</v>
      </c>
      <c r="F22" s="41">
        <v>1341</v>
      </c>
      <c r="G22" s="41">
        <v>-614</v>
      </c>
      <c r="H22" s="41">
        <v>-555</v>
      </c>
      <c r="I22" s="41">
        <v>-414</v>
      </c>
      <c r="J22" s="41">
        <v>-553</v>
      </c>
      <c r="K22" s="41">
        <v>-547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39"/>
      <c r="S22" s="28"/>
    </row>
    <row r="23" spans="1:19">
      <c r="A23" s="651">
        <v>408152</v>
      </c>
      <c r="B23" s="650" t="s">
        <v>76</v>
      </c>
      <c r="C23" s="651" t="s">
        <v>263</v>
      </c>
      <c r="D23" s="37">
        <f t="shared" si="1"/>
        <v>408</v>
      </c>
      <c r="E23" s="166">
        <f t="shared" si="0"/>
        <v>529596</v>
      </c>
      <c r="F23" s="41">
        <v>94301</v>
      </c>
      <c r="G23" s="41">
        <v>95660</v>
      </c>
      <c r="H23" s="41">
        <v>112497</v>
      </c>
      <c r="I23" s="41">
        <v>73680</v>
      </c>
      <c r="J23" s="41">
        <v>74977</v>
      </c>
      <c r="K23" s="41">
        <v>78481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39"/>
      <c r="S23" s="28"/>
    </row>
    <row r="24" spans="1:19">
      <c r="A24" s="651">
        <v>408205</v>
      </c>
      <c r="B24" s="650" t="s">
        <v>77</v>
      </c>
      <c r="C24" s="651" t="s">
        <v>263</v>
      </c>
      <c r="D24" s="37">
        <f t="shared" si="1"/>
        <v>408</v>
      </c>
      <c r="E24" s="166">
        <f t="shared" si="0"/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39"/>
      <c r="S24" s="28"/>
    </row>
    <row r="25" spans="1:19">
      <c r="A25" s="651">
        <v>408470</v>
      </c>
      <c r="B25" s="650" t="s">
        <v>78</v>
      </c>
      <c r="C25" s="651" t="s">
        <v>263</v>
      </c>
      <c r="D25" s="37">
        <f>VALUE(LEFT(A25,3))</f>
        <v>408</v>
      </c>
      <c r="E25" s="166">
        <f t="shared" si="0"/>
        <v>2580</v>
      </c>
      <c r="F25" s="41">
        <v>430</v>
      </c>
      <c r="G25" s="41">
        <v>430</v>
      </c>
      <c r="H25" s="41">
        <v>430</v>
      </c>
      <c r="I25" s="41">
        <v>430</v>
      </c>
      <c r="J25" s="41">
        <v>430</v>
      </c>
      <c r="K25" s="41">
        <v>430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39"/>
      <c r="S25" s="28"/>
    </row>
    <row r="26" spans="1:19">
      <c r="A26" s="651">
        <v>408700</v>
      </c>
      <c r="B26" s="650" t="s">
        <v>79</v>
      </c>
      <c r="C26" s="651" t="s">
        <v>263</v>
      </c>
      <c r="D26" s="37">
        <f t="shared" si="1"/>
        <v>408</v>
      </c>
      <c r="E26" s="166">
        <f t="shared" si="0"/>
        <v>-1000</v>
      </c>
      <c r="F26" s="41">
        <v>9000</v>
      </c>
      <c r="G26" s="41">
        <v>0</v>
      </c>
      <c r="H26" s="41">
        <v>0</v>
      </c>
      <c r="I26" s="41">
        <v>-10000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39"/>
      <c r="S26" s="28"/>
    </row>
    <row r="27" spans="1:19">
      <c r="A27" s="651">
        <v>408800</v>
      </c>
      <c r="B27" s="650" t="s">
        <v>80</v>
      </c>
      <c r="C27" s="651" t="s">
        <v>263</v>
      </c>
      <c r="D27" s="37">
        <f t="shared" si="1"/>
        <v>408</v>
      </c>
      <c r="E27" s="166">
        <f t="shared" si="0"/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39"/>
      <c r="S27" s="28"/>
    </row>
    <row r="28" spans="1:19">
      <c r="A28" s="651">
        <v>408840</v>
      </c>
      <c r="B28" s="650" t="s">
        <v>81</v>
      </c>
      <c r="C28" s="651" t="s">
        <v>263</v>
      </c>
      <c r="D28" s="37">
        <f t="shared" si="1"/>
        <v>408</v>
      </c>
      <c r="E28" s="166">
        <f t="shared" si="0"/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39"/>
      <c r="S28" s="28"/>
    </row>
    <row r="29" spans="1:19">
      <c r="A29" s="651">
        <v>408851</v>
      </c>
      <c r="B29" s="650" t="s">
        <v>82</v>
      </c>
      <c r="C29" s="651" t="s">
        <v>263</v>
      </c>
      <c r="D29" s="37">
        <f t="shared" si="1"/>
        <v>408</v>
      </c>
      <c r="E29" s="166">
        <f t="shared" si="0"/>
        <v>-1464</v>
      </c>
      <c r="F29" s="41">
        <v>387</v>
      </c>
      <c r="G29" s="41">
        <v>321</v>
      </c>
      <c r="H29" s="41">
        <v>-47</v>
      </c>
      <c r="I29" s="41">
        <v>305</v>
      </c>
      <c r="J29" s="41">
        <v>-2382</v>
      </c>
      <c r="K29" s="41">
        <v>-48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39"/>
      <c r="S29" s="28"/>
    </row>
    <row r="30" spans="1:19">
      <c r="A30" s="651">
        <v>408960</v>
      </c>
      <c r="B30" s="650" t="s">
        <v>83</v>
      </c>
      <c r="C30" s="651" t="s">
        <v>263</v>
      </c>
      <c r="D30" s="37">
        <f t="shared" si="1"/>
        <v>408</v>
      </c>
      <c r="E30" s="166">
        <f t="shared" si="0"/>
        <v>1260581</v>
      </c>
      <c r="F30" s="41">
        <v>45254</v>
      </c>
      <c r="G30" s="41">
        <v>62157</v>
      </c>
      <c r="H30" s="41">
        <v>44743</v>
      </c>
      <c r="I30" s="41">
        <v>43105</v>
      </c>
      <c r="J30" s="41">
        <v>52234</v>
      </c>
      <c r="K30" s="41">
        <v>46615</v>
      </c>
      <c r="L30" s="41">
        <v>154596</v>
      </c>
      <c r="M30" s="41">
        <v>155654</v>
      </c>
      <c r="N30" s="41">
        <v>185184</v>
      </c>
      <c r="O30" s="41">
        <v>153473</v>
      </c>
      <c r="P30" s="41">
        <v>158783</v>
      </c>
      <c r="Q30" s="41">
        <v>158783</v>
      </c>
      <c r="R30" s="39"/>
      <c r="S30" s="28"/>
    </row>
    <row r="31" spans="1:19">
      <c r="A31" s="651">
        <v>409102</v>
      </c>
      <c r="B31" s="650" t="s">
        <v>264</v>
      </c>
      <c r="C31" s="651" t="s">
        <v>265</v>
      </c>
      <c r="D31" s="37">
        <f t="shared" si="1"/>
        <v>409</v>
      </c>
      <c r="E31" s="166">
        <f t="shared" si="0"/>
        <v>1793879</v>
      </c>
      <c r="F31" s="41">
        <v>149490</v>
      </c>
      <c r="G31" s="41">
        <v>149490</v>
      </c>
      <c r="H31" s="41">
        <v>149490</v>
      </c>
      <c r="I31" s="41">
        <v>149490</v>
      </c>
      <c r="J31" s="41">
        <v>149490</v>
      </c>
      <c r="K31" s="41">
        <v>149490</v>
      </c>
      <c r="L31" s="41">
        <v>149490</v>
      </c>
      <c r="M31" s="41">
        <v>149490</v>
      </c>
      <c r="N31" s="41">
        <v>149490</v>
      </c>
      <c r="O31" s="41">
        <v>149490</v>
      </c>
      <c r="P31" s="41">
        <v>149490</v>
      </c>
      <c r="Q31" s="41">
        <v>149489</v>
      </c>
      <c r="R31" s="39"/>
      <c r="S31" s="28"/>
    </row>
    <row r="32" spans="1:19">
      <c r="A32" s="651">
        <v>409104</v>
      </c>
      <c r="B32" s="650" t="s">
        <v>266</v>
      </c>
      <c r="C32" s="651" t="s">
        <v>265</v>
      </c>
      <c r="D32" s="37">
        <f t="shared" si="1"/>
        <v>409</v>
      </c>
      <c r="E32" s="166">
        <f t="shared" si="0"/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39"/>
      <c r="S32" s="28"/>
    </row>
    <row r="33" spans="1:19">
      <c r="A33" s="651">
        <v>409190</v>
      </c>
      <c r="B33" s="650" t="s">
        <v>267</v>
      </c>
      <c r="C33" s="651" t="s">
        <v>265</v>
      </c>
      <c r="D33" s="37">
        <f t="shared" si="1"/>
        <v>409</v>
      </c>
      <c r="E33" s="166">
        <f t="shared" si="0"/>
        <v>16748583</v>
      </c>
      <c r="F33" s="41">
        <v>1395715</v>
      </c>
      <c r="G33" s="41">
        <v>1395715</v>
      </c>
      <c r="H33" s="41">
        <v>1395715</v>
      </c>
      <c r="I33" s="41">
        <v>1395715</v>
      </c>
      <c r="J33" s="41">
        <v>1395715</v>
      </c>
      <c r="K33" s="41">
        <v>1395715</v>
      </c>
      <c r="L33" s="41">
        <v>1395715</v>
      </c>
      <c r="M33" s="41">
        <v>1395715</v>
      </c>
      <c r="N33" s="41">
        <v>1395715</v>
      </c>
      <c r="O33" s="41">
        <v>1395715</v>
      </c>
      <c r="P33" s="41">
        <v>1395715</v>
      </c>
      <c r="Q33" s="41">
        <v>1395718</v>
      </c>
      <c r="R33" s="39"/>
      <c r="S33" s="28"/>
    </row>
    <row r="34" spans="1:19">
      <c r="A34" s="651">
        <v>409191</v>
      </c>
      <c r="B34" s="650" t="s">
        <v>268</v>
      </c>
      <c r="C34" s="651" t="s">
        <v>265</v>
      </c>
      <c r="D34" s="37">
        <f t="shared" si="1"/>
        <v>409</v>
      </c>
      <c r="E34" s="166">
        <f t="shared" si="0"/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39"/>
      <c r="S34" s="28"/>
    </row>
    <row r="35" spans="1:19">
      <c r="A35" s="651">
        <v>409194</v>
      </c>
      <c r="B35" s="650" t="s">
        <v>269</v>
      </c>
      <c r="C35" s="651" t="s">
        <v>265</v>
      </c>
      <c r="D35" s="37">
        <f t="shared" si="1"/>
        <v>409</v>
      </c>
      <c r="E35" s="166">
        <f t="shared" si="0"/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39"/>
      <c r="S35" s="28"/>
    </row>
    <row r="36" spans="1:19">
      <c r="A36" s="651">
        <v>409195</v>
      </c>
      <c r="B36" s="650" t="s">
        <v>270</v>
      </c>
      <c r="C36" s="651" t="s">
        <v>265</v>
      </c>
      <c r="D36" s="37">
        <f t="shared" si="1"/>
        <v>409</v>
      </c>
      <c r="E36" s="166">
        <f t="shared" si="0"/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39"/>
      <c r="S36" s="28"/>
    </row>
    <row r="37" spans="1:19">
      <c r="A37" s="651">
        <v>409197</v>
      </c>
      <c r="B37" s="650" t="s">
        <v>271</v>
      </c>
      <c r="C37" s="651" t="s">
        <v>265</v>
      </c>
      <c r="D37" s="37">
        <f>VALUE(LEFT(A37,3))</f>
        <v>409</v>
      </c>
      <c r="E37" s="166">
        <f t="shared" si="0"/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39"/>
      <c r="S37" s="28"/>
    </row>
    <row r="38" spans="1:19">
      <c r="A38" s="651">
        <v>410100</v>
      </c>
      <c r="B38" s="650" t="s">
        <v>272</v>
      </c>
      <c r="C38" s="651" t="s">
        <v>265</v>
      </c>
      <c r="D38" s="37">
        <f t="shared" si="1"/>
        <v>410</v>
      </c>
      <c r="E38" s="166">
        <f t="shared" si="0"/>
        <v>-7248058</v>
      </c>
      <c r="F38" s="41">
        <v>-604005</v>
      </c>
      <c r="G38" s="41">
        <v>-604005</v>
      </c>
      <c r="H38" s="41">
        <v>-604005</v>
      </c>
      <c r="I38" s="41">
        <v>-604005</v>
      </c>
      <c r="J38" s="41">
        <v>-604005</v>
      </c>
      <c r="K38" s="41">
        <v>-604005</v>
      </c>
      <c r="L38" s="41">
        <v>-604005</v>
      </c>
      <c r="M38" s="41">
        <v>-604005</v>
      </c>
      <c r="N38" s="41">
        <v>-604005</v>
      </c>
      <c r="O38" s="41">
        <v>-604005</v>
      </c>
      <c r="P38" s="41">
        <v>-604005</v>
      </c>
      <c r="Q38" s="41">
        <v>-604003</v>
      </c>
      <c r="R38" s="39"/>
      <c r="S38" s="28"/>
    </row>
    <row r="39" spans="1:19">
      <c r="A39" s="651">
        <v>410102</v>
      </c>
      <c r="B39" s="650" t="s">
        <v>273</v>
      </c>
      <c r="C39" s="651" t="s">
        <v>265</v>
      </c>
      <c r="D39" s="37">
        <f t="shared" si="1"/>
        <v>410</v>
      </c>
      <c r="E39" s="166">
        <f t="shared" si="0"/>
        <v>1420518</v>
      </c>
      <c r="F39" s="41">
        <v>118377</v>
      </c>
      <c r="G39" s="41">
        <v>118377</v>
      </c>
      <c r="H39" s="41">
        <v>118377</v>
      </c>
      <c r="I39" s="41">
        <v>118377</v>
      </c>
      <c r="J39" s="41">
        <v>118377</v>
      </c>
      <c r="K39" s="41">
        <v>118377</v>
      </c>
      <c r="L39" s="41">
        <v>118377</v>
      </c>
      <c r="M39" s="41">
        <v>118377</v>
      </c>
      <c r="N39" s="41">
        <v>118377</v>
      </c>
      <c r="O39" s="41">
        <v>118377</v>
      </c>
      <c r="P39" s="41">
        <v>118377</v>
      </c>
      <c r="Q39" s="41">
        <v>118371</v>
      </c>
      <c r="R39" s="1685"/>
      <c r="S39" s="28"/>
    </row>
    <row r="40" spans="1:19">
      <c r="A40" s="651">
        <v>410105</v>
      </c>
      <c r="B40" s="650" t="s">
        <v>274</v>
      </c>
      <c r="C40" s="651" t="s">
        <v>265</v>
      </c>
      <c r="D40" s="37">
        <f t="shared" si="1"/>
        <v>410</v>
      </c>
      <c r="E40" s="166">
        <f t="shared" si="0"/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39"/>
      <c r="S40" s="28"/>
    </row>
    <row r="41" spans="1:19">
      <c r="A41" s="651">
        <v>410106</v>
      </c>
      <c r="B41" s="650" t="s">
        <v>275</v>
      </c>
      <c r="C41" s="651" t="s">
        <v>265</v>
      </c>
      <c r="D41" s="37">
        <f t="shared" si="1"/>
        <v>410</v>
      </c>
      <c r="E41" s="166">
        <f t="shared" si="0"/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39"/>
      <c r="S41" s="28"/>
    </row>
    <row r="42" spans="1:19">
      <c r="A42" s="651">
        <v>411051</v>
      </c>
      <c r="B42" s="650" t="s">
        <v>84</v>
      </c>
      <c r="C42" s="651" t="s">
        <v>262</v>
      </c>
      <c r="D42" s="37">
        <f t="shared" si="1"/>
        <v>411</v>
      </c>
      <c r="E42" s="166">
        <f t="shared" si="0"/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S42" s="28"/>
    </row>
    <row r="43" spans="1:19">
      <c r="A43" s="651">
        <v>411100</v>
      </c>
      <c r="B43" s="650" t="s">
        <v>276</v>
      </c>
      <c r="C43" s="651" t="s">
        <v>265</v>
      </c>
      <c r="D43" s="37">
        <f t="shared" si="1"/>
        <v>411</v>
      </c>
      <c r="E43" s="166">
        <f t="shared" si="0"/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39"/>
      <c r="S43" s="28"/>
    </row>
    <row r="44" spans="1:19">
      <c r="A44" s="651">
        <v>411101</v>
      </c>
      <c r="B44" s="650" t="s">
        <v>277</v>
      </c>
      <c r="C44" s="651" t="s">
        <v>265</v>
      </c>
      <c r="D44" s="37">
        <f t="shared" si="1"/>
        <v>411</v>
      </c>
      <c r="E44" s="166">
        <f t="shared" si="0"/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S44" s="28"/>
    </row>
    <row r="45" spans="1:19">
      <c r="A45" s="651">
        <v>411102</v>
      </c>
      <c r="B45" s="650" t="s">
        <v>278</v>
      </c>
      <c r="C45" s="651" t="s">
        <v>265</v>
      </c>
      <c r="D45" s="37">
        <f t="shared" si="1"/>
        <v>411</v>
      </c>
      <c r="E45" s="166">
        <f t="shared" si="0"/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39"/>
      <c r="S45" s="28"/>
    </row>
    <row r="46" spans="1:19">
      <c r="A46" s="651">
        <v>411103</v>
      </c>
      <c r="B46" s="650" t="s">
        <v>279</v>
      </c>
      <c r="C46" s="651" t="s">
        <v>265</v>
      </c>
      <c r="D46" s="37">
        <f t="shared" si="1"/>
        <v>411</v>
      </c>
      <c r="E46" s="166">
        <f t="shared" si="0"/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39"/>
      <c r="S46" s="28"/>
    </row>
    <row r="47" spans="1:19">
      <c r="A47" s="651">
        <v>411106</v>
      </c>
      <c r="B47" s="650" t="s">
        <v>280</v>
      </c>
      <c r="C47" s="651" t="s">
        <v>265</v>
      </c>
      <c r="D47" s="37">
        <f t="shared" si="1"/>
        <v>411</v>
      </c>
      <c r="E47" s="166">
        <f t="shared" si="0"/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39"/>
      <c r="S47" s="28"/>
    </row>
    <row r="48" spans="1:19">
      <c r="A48" s="651">
        <v>411410</v>
      </c>
      <c r="B48" s="650" t="s">
        <v>281</v>
      </c>
      <c r="C48" s="651" t="s">
        <v>265</v>
      </c>
      <c r="D48" s="37">
        <f t="shared" si="1"/>
        <v>411</v>
      </c>
      <c r="E48" s="166">
        <f t="shared" si="0"/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39"/>
      <c r="S48" s="28"/>
    </row>
    <row r="49" spans="1:22">
      <c r="A49" s="651">
        <v>411603</v>
      </c>
      <c r="B49" s="650" t="s">
        <v>85</v>
      </c>
      <c r="C49" s="651"/>
      <c r="D49" s="37">
        <f t="shared" si="1"/>
        <v>411</v>
      </c>
      <c r="E49" s="166">
        <f t="shared" si="0"/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39"/>
      <c r="S49" s="28"/>
    </row>
    <row r="50" spans="1:22">
      <c r="A50" s="651">
        <v>411834</v>
      </c>
      <c r="B50" s="650" t="s">
        <v>86</v>
      </c>
      <c r="C50" s="651" t="s">
        <v>282</v>
      </c>
      <c r="D50" s="37">
        <f t="shared" si="1"/>
        <v>411</v>
      </c>
      <c r="E50" s="166">
        <f t="shared" si="0"/>
        <v>-450000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-450000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39"/>
      <c r="S50" s="28"/>
    </row>
    <row r="51" spans="1:22">
      <c r="A51" s="651">
        <v>411835</v>
      </c>
      <c r="B51" s="650" t="s">
        <v>87</v>
      </c>
      <c r="C51" s="651" t="s">
        <v>282</v>
      </c>
      <c r="D51" s="37">
        <f t="shared" si="1"/>
        <v>411</v>
      </c>
      <c r="E51" s="166">
        <f t="shared" si="0"/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39"/>
      <c r="S51" s="28"/>
    </row>
    <row r="52" spans="1:22">
      <c r="A52" s="651">
        <v>426509</v>
      </c>
      <c r="B52" s="650" t="s">
        <v>88</v>
      </c>
      <c r="C52" s="651" t="s">
        <v>283</v>
      </c>
      <c r="D52" s="37">
        <f t="shared" ref="D52:D53" si="3">VALUE(LEFT(A52,3))</f>
        <v>426</v>
      </c>
      <c r="E52" s="166">
        <f t="shared" si="0"/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39"/>
      <c r="S52" s="28"/>
    </row>
    <row r="53" spans="1:22">
      <c r="A53" s="651">
        <v>426591</v>
      </c>
      <c r="B53" s="650" t="s">
        <v>89</v>
      </c>
      <c r="C53" s="651" t="s">
        <v>283</v>
      </c>
      <c r="D53" s="37">
        <f t="shared" si="3"/>
        <v>426</v>
      </c>
      <c r="E53" s="166">
        <f t="shared" si="0"/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28"/>
      <c r="S53" s="28"/>
      <c r="T53" s="28"/>
      <c r="U53" s="28"/>
      <c r="V53" s="28"/>
    </row>
    <row r="54" spans="1:22">
      <c r="A54" s="651">
        <v>426891</v>
      </c>
      <c r="B54" s="650" t="s">
        <v>90</v>
      </c>
      <c r="C54" s="651" t="s">
        <v>283</v>
      </c>
      <c r="D54" s="37">
        <f t="shared" si="1"/>
        <v>426</v>
      </c>
      <c r="E54" s="166">
        <f t="shared" si="0"/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39"/>
      <c r="S54" s="28"/>
    </row>
    <row r="55" spans="1:22">
      <c r="A55" s="651">
        <v>440000</v>
      </c>
      <c r="B55" s="650" t="s">
        <v>91</v>
      </c>
      <c r="C55" s="651" t="s">
        <v>284</v>
      </c>
      <c r="D55" s="37">
        <f t="shared" si="1"/>
        <v>440</v>
      </c>
      <c r="E55" s="166">
        <f t="shared" si="0"/>
        <v>198485755</v>
      </c>
      <c r="F55" s="41">
        <v>14148566</v>
      </c>
      <c r="G55" s="41">
        <v>13090030</v>
      </c>
      <c r="H55" s="41">
        <v>14821026</v>
      </c>
      <c r="I55" s="41">
        <v>15251945</v>
      </c>
      <c r="J55" s="41">
        <v>22160893</v>
      </c>
      <c r="K55" s="41">
        <v>20008034</v>
      </c>
      <c r="L55" s="41">
        <v>17294712</v>
      </c>
      <c r="M55" s="41">
        <v>12682250</v>
      </c>
      <c r="N55" s="41">
        <v>12943651</v>
      </c>
      <c r="O55" s="41">
        <v>18360656</v>
      </c>
      <c r="P55" s="41">
        <v>19519494</v>
      </c>
      <c r="Q55" s="41">
        <v>18204498</v>
      </c>
      <c r="R55" s="39"/>
      <c r="S55" s="28"/>
    </row>
    <row r="56" spans="1:22">
      <c r="A56" s="651">
        <v>440990</v>
      </c>
      <c r="B56" s="650" t="s">
        <v>92</v>
      </c>
      <c r="C56" s="651" t="s">
        <v>284</v>
      </c>
      <c r="D56" s="37">
        <f t="shared" si="1"/>
        <v>440</v>
      </c>
      <c r="E56" s="166">
        <f t="shared" si="0"/>
        <v>1995955</v>
      </c>
      <c r="F56" s="41">
        <v>-1046919</v>
      </c>
      <c r="G56" s="41">
        <v>-922209</v>
      </c>
      <c r="H56" s="41">
        <v>13497</v>
      </c>
      <c r="I56" s="41">
        <v>7754908</v>
      </c>
      <c r="J56" s="41">
        <v>-2620506</v>
      </c>
      <c r="K56" s="41">
        <v>1266224</v>
      </c>
      <c r="L56" s="41">
        <v>-2318473</v>
      </c>
      <c r="M56" s="41">
        <v>-185514</v>
      </c>
      <c r="N56" s="41">
        <v>2255254</v>
      </c>
      <c r="O56" s="41">
        <v>994628</v>
      </c>
      <c r="P56" s="41">
        <v>-2025918</v>
      </c>
      <c r="Q56" s="41">
        <v>-1169017</v>
      </c>
      <c r="R56" s="39"/>
      <c r="S56" s="28"/>
    </row>
    <row r="57" spans="1:22">
      <c r="A57" s="651">
        <v>442100</v>
      </c>
      <c r="B57" s="650" t="s">
        <v>93</v>
      </c>
      <c r="C57" s="651" t="s">
        <v>284</v>
      </c>
      <c r="D57" s="37">
        <f t="shared" si="1"/>
        <v>442</v>
      </c>
      <c r="E57" s="166">
        <f t="shared" si="0"/>
        <v>169557032</v>
      </c>
      <c r="F57" s="41">
        <v>13419492</v>
      </c>
      <c r="G57" s="41">
        <v>13298260</v>
      </c>
      <c r="H57" s="41">
        <v>14398642</v>
      </c>
      <c r="I57" s="41">
        <v>11504281</v>
      </c>
      <c r="J57" s="41">
        <v>19678385</v>
      </c>
      <c r="K57" s="41">
        <v>16861546</v>
      </c>
      <c r="L57" s="41">
        <v>14381200</v>
      </c>
      <c r="M57" s="41">
        <v>13047109</v>
      </c>
      <c r="N57" s="41">
        <v>12967385</v>
      </c>
      <c r="O57" s="41">
        <v>14367654</v>
      </c>
      <c r="P57" s="41">
        <v>13158943</v>
      </c>
      <c r="Q57" s="41">
        <v>12474135</v>
      </c>
      <c r="R57" s="39"/>
      <c r="S57" s="28"/>
    </row>
    <row r="58" spans="1:22">
      <c r="A58" s="651">
        <v>442190</v>
      </c>
      <c r="B58" s="650" t="s">
        <v>94</v>
      </c>
      <c r="C58" s="651" t="s">
        <v>284</v>
      </c>
      <c r="D58" s="37">
        <f t="shared" si="1"/>
        <v>442</v>
      </c>
      <c r="E58" s="166">
        <f t="shared" si="0"/>
        <v>-1928897</v>
      </c>
      <c r="F58" s="41">
        <v>59837</v>
      </c>
      <c r="G58" s="41">
        <v>-667775</v>
      </c>
      <c r="H58" s="41">
        <v>-261568</v>
      </c>
      <c r="I58" s="41">
        <v>8567853</v>
      </c>
      <c r="J58" s="41">
        <v>-5329039</v>
      </c>
      <c r="K58" s="41">
        <v>-1886903</v>
      </c>
      <c r="L58" s="41">
        <v>260168</v>
      </c>
      <c r="M58" s="41">
        <v>-220140</v>
      </c>
      <c r="N58" s="41">
        <v>375617</v>
      </c>
      <c r="O58" s="41">
        <v>-1107266</v>
      </c>
      <c r="P58" s="41">
        <v>-1473183</v>
      </c>
      <c r="Q58" s="41">
        <v>-246498</v>
      </c>
      <c r="R58" s="39"/>
      <c r="S58" s="28"/>
    </row>
    <row r="59" spans="1:22">
      <c r="A59" s="651">
        <v>442200</v>
      </c>
      <c r="B59" s="650" t="s">
        <v>95</v>
      </c>
      <c r="C59" s="651" t="s">
        <v>284</v>
      </c>
      <c r="D59" s="37">
        <f t="shared" si="1"/>
        <v>442</v>
      </c>
      <c r="E59" s="166">
        <f t="shared" si="0"/>
        <v>74039774</v>
      </c>
      <c r="F59" s="41">
        <v>5619599</v>
      </c>
      <c r="G59" s="41">
        <v>5493815</v>
      </c>
      <c r="H59" s="41">
        <v>5428372</v>
      </c>
      <c r="I59" s="41">
        <v>5934263</v>
      </c>
      <c r="J59" s="41">
        <v>6301903</v>
      </c>
      <c r="K59" s="41">
        <v>7489386</v>
      </c>
      <c r="L59" s="41">
        <v>6911233</v>
      </c>
      <c r="M59" s="41">
        <v>6222061</v>
      </c>
      <c r="N59" s="41">
        <v>6558483</v>
      </c>
      <c r="O59" s="41">
        <v>6696014</v>
      </c>
      <c r="P59" s="41">
        <v>5712298</v>
      </c>
      <c r="Q59" s="41">
        <v>5672347</v>
      </c>
      <c r="R59" s="39"/>
      <c r="S59" s="28"/>
    </row>
    <row r="60" spans="1:22">
      <c r="A60" s="651">
        <v>442290</v>
      </c>
      <c r="B60" s="650" t="s">
        <v>96</v>
      </c>
      <c r="C60" s="651" t="s">
        <v>284</v>
      </c>
      <c r="D60" s="37">
        <f t="shared" si="1"/>
        <v>442</v>
      </c>
      <c r="E60" s="166">
        <f t="shared" si="0"/>
        <v>-357147</v>
      </c>
      <c r="F60" s="41">
        <v>74110</v>
      </c>
      <c r="G60" s="41">
        <v>-324268</v>
      </c>
      <c r="H60" s="41">
        <v>456640</v>
      </c>
      <c r="I60" s="41">
        <v>1667048</v>
      </c>
      <c r="J60" s="41">
        <v>125552</v>
      </c>
      <c r="K60" s="41">
        <v>-1086454</v>
      </c>
      <c r="L60" s="41">
        <v>-82410</v>
      </c>
      <c r="M60" s="41">
        <v>128242</v>
      </c>
      <c r="N60" s="41">
        <v>39661</v>
      </c>
      <c r="O60" s="41">
        <v>-483233</v>
      </c>
      <c r="P60" s="41">
        <v>-715484</v>
      </c>
      <c r="Q60" s="41">
        <v>-156551</v>
      </c>
      <c r="R60" s="39"/>
      <c r="S60" s="28"/>
    </row>
    <row r="61" spans="1:22">
      <c r="A61" s="651">
        <v>444000</v>
      </c>
      <c r="B61" s="650" t="s">
        <v>97</v>
      </c>
      <c r="C61" s="651" t="s">
        <v>284</v>
      </c>
      <c r="D61" s="37">
        <f t="shared" si="1"/>
        <v>444</v>
      </c>
      <c r="E61" s="166">
        <f t="shared" si="0"/>
        <v>1298976</v>
      </c>
      <c r="F61" s="41">
        <v>71513</v>
      </c>
      <c r="G61" s="41">
        <v>54991</v>
      </c>
      <c r="H61" s="41">
        <v>66677</v>
      </c>
      <c r="I61" s="41">
        <v>44310</v>
      </c>
      <c r="J61" s="41">
        <v>47903</v>
      </c>
      <c r="K61" s="41">
        <v>51299</v>
      </c>
      <c r="L61" s="41">
        <v>192651</v>
      </c>
      <c r="M61" s="41">
        <v>146263</v>
      </c>
      <c r="N61" s="41">
        <v>167839</v>
      </c>
      <c r="O61" s="41">
        <v>154622</v>
      </c>
      <c r="P61" s="41">
        <v>154454</v>
      </c>
      <c r="Q61" s="41">
        <v>146454</v>
      </c>
      <c r="R61" s="39"/>
      <c r="S61" s="28"/>
    </row>
    <row r="62" spans="1:22">
      <c r="A62" s="651">
        <v>445000</v>
      </c>
      <c r="B62" s="650" t="s">
        <v>98</v>
      </c>
      <c r="C62" s="651" t="s">
        <v>284</v>
      </c>
      <c r="D62" s="37">
        <f t="shared" si="1"/>
        <v>445</v>
      </c>
      <c r="E62" s="166">
        <f t="shared" si="0"/>
        <v>27004134</v>
      </c>
      <c r="F62" s="41">
        <v>2012269</v>
      </c>
      <c r="G62" s="41">
        <v>1622395</v>
      </c>
      <c r="H62" s="41">
        <v>2123230</v>
      </c>
      <c r="I62" s="41">
        <v>1583511</v>
      </c>
      <c r="J62" s="41">
        <v>2694984</v>
      </c>
      <c r="K62" s="41">
        <v>2388792</v>
      </c>
      <c r="L62" s="41">
        <v>2686702</v>
      </c>
      <c r="M62" s="41">
        <v>2393070</v>
      </c>
      <c r="N62" s="41">
        <v>2199517</v>
      </c>
      <c r="O62" s="41">
        <v>2604258</v>
      </c>
      <c r="P62" s="41">
        <v>2301358</v>
      </c>
      <c r="Q62" s="41">
        <v>2394048</v>
      </c>
      <c r="R62" s="39"/>
      <c r="S62" s="28"/>
    </row>
    <row r="63" spans="1:22">
      <c r="A63" s="651">
        <v>445090</v>
      </c>
      <c r="B63" s="650" t="s">
        <v>99</v>
      </c>
      <c r="C63" s="651" t="s">
        <v>284</v>
      </c>
      <c r="D63" s="37">
        <f t="shared" si="1"/>
        <v>445</v>
      </c>
      <c r="E63" s="166">
        <f t="shared" si="0"/>
        <v>-39536</v>
      </c>
      <c r="F63" s="41">
        <v>366906</v>
      </c>
      <c r="G63" s="41">
        <v>-298873</v>
      </c>
      <c r="H63" s="41">
        <v>-141261</v>
      </c>
      <c r="I63" s="41">
        <v>969054</v>
      </c>
      <c r="J63" s="41">
        <v>-512475</v>
      </c>
      <c r="K63" s="41">
        <v>244839</v>
      </c>
      <c r="L63" s="41">
        <v>-118341</v>
      </c>
      <c r="M63" s="41">
        <v>95102</v>
      </c>
      <c r="N63" s="41">
        <v>84384</v>
      </c>
      <c r="O63" s="41">
        <v>-377723</v>
      </c>
      <c r="P63" s="41">
        <v>-293922</v>
      </c>
      <c r="Q63" s="41">
        <v>-57226</v>
      </c>
      <c r="R63" s="39"/>
      <c r="S63" s="28"/>
    </row>
    <row r="64" spans="1:22">
      <c r="A64" s="651">
        <v>447150</v>
      </c>
      <c r="B64" s="650" t="s">
        <v>100</v>
      </c>
      <c r="C64" s="651" t="s">
        <v>284</v>
      </c>
      <c r="D64" s="37">
        <f t="shared" si="1"/>
        <v>447</v>
      </c>
      <c r="E64" s="166">
        <f t="shared" si="0"/>
        <v>25728381</v>
      </c>
      <c r="F64" s="41">
        <v>3972664</v>
      </c>
      <c r="G64" s="41">
        <v>568017</v>
      </c>
      <c r="H64" s="41">
        <v>552945</v>
      </c>
      <c r="I64" s="41">
        <v>4602129</v>
      </c>
      <c r="J64" s="41">
        <v>2608170</v>
      </c>
      <c r="K64" s="41">
        <v>779605</v>
      </c>
      <c r="L64" s="41">
        <v>321694</v>
      </c>
      <c r="M64" s="41">
        <v>7216</v>
      </c>
      <c r="N64" s="41">
        <v>996340</v>
      </c>
      <c r="O64" s="41">
        <v>2433186</v>
      </c>
      <c r="P64" s="41">
        <v>6520607</v>
      </c>
      <c r="Q64" s="41">
        <v>2365808</v>
      </c>
      <c r="R64" s="39"/>
      <c r="S64" s="28"/>
    </row>
    <row r="65" spans="1:19">
      <c r="A65" s="651">
        <v>448000</v>
      </c>
      <c r="B65" s="650" t="s">
        <v>101</v>
      </c>
      <c r="C65" s="651" t="s">
        <v>284</v>
      </c>
      <c r="D65" s="37">
        <f t="shared" si="1"/>
        <v>448</v>
      </c>
      <c r="E65" s="166">
        <f t="shared" si="0"/>
        <v>27980</v>
      </c>
      <c r="F65" s="41">
        <v>3462</v>
      </c>
      <c r="G65" s="41">
        <v>485</v>
      </c>
      <c r="H65" s="41">
        <v>448</v>
      </c>
      <c r="I65" s="41">
        <v>497</v>
      </c>
      <c r="J65" s="41">
        <v>111</v>
      </c>
      <c r="K65" s="41">
        <v>827</v>
      </c>
      <c r="L65" s="41">
        <v>1617</v>
      </c>
      <c r="M65" s="41">
        <v>1654</v>
      </c>
      <c r="N65" s="41">
        <v>1739</v>
      </c>
      <c r="O65" s="41">
        <v>3394</v>
      </c>
      <c r="P65" s="41">
        <v>7650</v>
      </c>
      <c r="Q65" s="41">
        <v>6096</v>
      </c>
      <c r="R65" s="39"/>
      <c r="S65" s="28"/>
    </row>
    <row r="66" spans="1:19">
      <c r="A66" s="651">
        <v>449100</v>
      </c>
      <c r="B66" s="650" t="s">
        <v>102</v>
      </c>
      <c r="C66" s="651" t="s">
        <v>284</v>
      </c>
      <c r="D66" s="37">
        <f t="shared" si="1"/>
        <v>449</v>
      </c>
      <c r="E66" s="166">
        <f t="shared" si="0"/>
        <v>-3740654</v>
      </c>
      <c r="F66" s="41">
        <v>-403443</v>
      </c>
      <c r="G66" s="41">
        <v>540287</v>
      </c>
      <c r="H66" s="41">
        <v>352999</v>
      </c>
      <c r="I66" s="41">
        <v>-4368642</v>
      </c>
      <c r="J66" s="41">
        <v>-15507</v>
      </c>
      <c r="K66" s="41">
        <v>153652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39"/>
      <c r="S66" s="28"/>
    </row>
    <row r="67" spans="1:19">
      <c r="A67" s="651">
        <v>449111</v>
      </c>
      <c r="B67" s="650" t="s">
        <v>285</v>
      </c>
      <c r="C67" s="651" t="s">
        <v>284</v>
      </c>
      <c r="D67" s="37">
        <f t="shared" si="1"/>
        <v>449</v>
      </c>
      <c r="E67" s="166">
        <f t="shared" si="0"/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39"/>
      <c r="S67" s="28"/>
    </row>
    <row r="68" spans="1:19">
      <c r="A68" s="651">
        <v>450100</v>
      </c>
      <c r="B68" s="650" t="s">
        <v>286</v>
      </c>
      <c r="C68" s="651" t="s">
        <v>284</v>
      </c>
      <c r="D68" s="37">
        <f>VALUE(LEFT(A68,3))</f>
        <v>450</v>
      </c>
      <c r="E68" s="166">
        <f t="shared" si="0"/>
        <v>1088121.9999999998</v>
      </c>
      <c r="F68" s="41">
        <v>84039</v>
      </c>
      <c r="G68" s="41">
        <v>73172</v>
      </c>
      <c r="H68" s="41">
        <v>75211</v>
      </c>
      <c r="I68" s="41">
        <v>80165</v>
      </c>
      <c r="J68" s="41">
        <v>88309</v>
      </c>
      <c r="K68" s="41">
        <v>128308</v>
      </c>
      <c r="L68" s="41">
        <v>171159.66666666666</v>
      </c>
      <c r="M68" s="41">
        <v>106099.66666666667</v>
      </c>
      <c r="N68" s="41">
        <v>51859.666666666672</v>
      </c>
      <c r="O68" s="41">
        <v>63669.666666666672</v>
      </c>
      <c r="P68" s="41">
        <v>70459.666666666672</v>
      </c>
      <c r="Q68" s="41">
        <v>95669.666666666672</v>
      </c>
      <c r="R68" s="39"/>
      <c r="S68" s="28"/>
    </row>
    <row r="69" spans="1:19">
      <c r="A69" s="651">
        <v>451100</v>
      </c>
      <c r="B69" s="650" t="s">
        <v>105</v>
      </c>
      <c r="C69" s="651" t="s">
        <v>284</v>
      </c>
      <c r="D69" s="37">
        <f t="shared" si="1"/>
        <v>451</v>
      </c>
      <c r="E69" s="166">
        <f t="shared" si="0"/>
        <v>181631</v>
      </c>
      <c r="F69" s="41">
        <v>14275</v>
      </c>
      <c r="G69" s="41">
        <v>-1272</v>
      </c>
      <c r="H69" s="41">
        <v>28819</v>
      </c>
      <c r="I69" s="41">
        <v>-33597</v>
      </c>
      <c r="J69" s="41">
        <v>24373</v>
      </c>
      <c r="K69" s="41">
        <v>24033</v>
      </c>
      <c r="L69" s="41">
        <v>20833.333333333332</v>
      </c>
      <c r="M69" s="41">
        <v>20833.333333333332</v>
      </c>
      <c r="N69" s="41">
        <v>20833.333333333332</v>
      </c>
      <c r="O69" s="41">
        <v>20833.333333333332</v>
      </c>
      <c r="P69" s="41">
        <v>20833.333333333332</v>
      </c>
      <c r="Q69" s="41">
        <v>20833.333333333332</v>
      </c>
      <c r="R69" s="39"/>
      <c r="S69" s="28"/>
    </row>
    <row r="70" spans="1:19">
      <c r="A70" s="651">
        <v>454004</v>
      </c>
      <c r="B70" s="650" t="s">
        <v>106</v>
      </c>
      <c r="C70" s="651" t="s">
        <v>284</v>
      </c>
      <c r="D70" s="37">
        <f t="shared" si="1"/>
        <v>454</v>
      </c>
      <c r="E70" s="166">
        <f t="shared" si="0"/>
        <v>10580</v>
      </c>
      <c r="F70" s="41">
        <v>1286</v>
      </c>
      <c r="G70" s="41">
        <v>688</v>
      </c>
      <c r="H70" s="41">
        <v>711</v>
      </c>
      <c r="I70" s="41">
        <v>6399</v>
      </c>
      <c r="J70" s="41">
        <v>748</v>
      </c>
      <c r="K70" s="41">
        <v>748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39"/>
      <c r="S70" s="28"/>
    </row>
    <row r="71" spans="1:19">
      <c r="A71" s="651">
        <v>454100</v>
      </c>
      <c r="B71" s="650" t="s">
        <v>107</v>
      </c>
      <c r="C71" s="651" t="s">
        <v>284</v>
      </c>
      <c r="D71" s="37">
        <f t="shared" si="1"/>
        <v>454</v>
      </c>
      <c r="E71" s="166">
        <f t="shared" si="0"/>
        <v>271</v>
      </c>
      <c r="F71" s="41">
        <v>46</v>
      </c>
      <c r="G71" s="41">
        <v>21</v>
      </c>
      <c r="H71" s="41">
        <v>71</v>
      </c>
      <c r="I71" s="41">
        <v>46</v>
      </c>
      <c r="J71" s="41">
        <v>42</v>
      </c>
      <c r="K71" s="41">
        <v>45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39"/>
      <c r="S71" s="28"/>
    </row>
    <row r="72" spans="1:19">
      <c r="A72" s="651">
        <v>454200</v>
      </c>
      <c r="B72" s="650" t="s">
        <v>108</v>
      </c>
      <c r="C72" s="651" t="s">
        <v>284</v>
      </c>
      <c r="D72" s="37">
        <f t="shared" si="1"/>
        <v>454</v>
      </c>
      <c r="E72" s="166">
        <f t="shared" si="0"/>
        <v>316666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50000</v>
      </c>
      <c r="M72" s="41">
        <v>50000</v>
      </c>
      <c r="N72" s="41">
        <v>50000</v>
      </c>
      <c r="O72" s="41">
        <v>50000</v>
      </c>
      <c r="P72" s="41">
        <v>58333</v>
      </c>
      <c r="Q72" s="41">
        <v>58333</v>
      </c>
      <c r="R72" s="39"/>
      <c r="S72" s="28"/>
    </row>
    <row r="73" spans="1:19">
      <c r="A73" s="651">
        <v>454210</v>
      </c>
      <c r="B73" s="650" t="s">
        <v>109</v>
      </c>
      <c r="C73" s="651" t="s">
        <v>284</v>
      </c>
      <c r="D73" s="37">
        <f t="shared" si="1"/>
        <v>454</v>
      </c>
      <c r="E73" s="166">
        <f t="shared" si="0"/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39"/>
      <c r="S73" s="28"/>
    </row>
    <row r="74" spans="1:19">
      <c r="A74" s="651">
        <v>454300</v>
      </c>
      <c r="B74" s="650" t="s">
        <v>110</v>
      </c>
      <c r="C74" s="651" t="s">
        <v>284</v>
      </c>
      <c r="D74" s="37">
        <f t="shared" si="1"/>
        <v>454</v>
      </c>
      <c r="E74" s="166">
        <f t="shared" si="0"/>
        <v>13045</v>
      </c>
      <c r="F74" s="41">
        <v>304</v>
      </c>
      <c r="G74" s="41">
        <v>304</v>
      </c>
      <c r="H74" s="41">
        <v>304</v>
      </c>
      <c r="I74" s="41">
        <v>304</v>
      </c>
      <c r="J74" s="41">
        <v>304</v>
      </c>
      <c r="K74" s="41">
        <v>11525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39"/>
      <c r="S74" s="28"/>
    </row>
    <row r="75" spans="1:19">
      <c r="A75" s="651">
        <v>454400</v>
      </c>
      <c r="B75" s="650" t="s">
        <v>111</v>
      </c>
      <c r="C75" s="651" t="s">
        <v>284</v>
      </c>
      <c r="D75" s="37">
        <f t="shared" si="1"/>
        <v>454</v>
      </c>
      <c r="E75" s="166">
        <f t="shared" si="0"/>
        <v>1216743</v>
      </c>
      <c r="F75" s="41">
        <v>98316</v>
      </c>
      <c r="G75" s="41">
        <v>92522</v>
      </c>
      <c r="H75" s="41">
        <v>92522</v>
      </c>
      <c r="I75" s="41">
        <v>92522</v>
      </c>
      <c r="J75" s="41">
        <v>92522</v>
      </c>
      <c r="K75" s="41">
        <v>98341</v>
      </c>
      <c r="L75" s="41">
        <v>108333</v>
      </c>
      <c r="M75" s="41">
        <v>108333</v>
      </c>
      <c r="N75" s="41">
        <v>108333</v>
      </c>
      <c r="O75" s="41">
        <v>108333</v>
      </c>
      <c r="P75" s="41">
        <v>108333</v>
      </c>
      <c r="Q75" s="41">
        <v>108333</v>
      </c>
      <c r="R75" s="39"/>
      <c r="S75" s="28"/>
    </row>
    <row r="76" spans="1:19">
      <c r="A76" s="651">
        <v>456025</v>
      </c>
      <c r="B76" s="650" t="s">
        <v>112</v>
      </c>
      <c r="C76" s="651" t="s">
        <v>284</v>
      </c>
      <c r="D76" s="37">
        <f t="shared" si="1"/>
        <v>456</v>
      </c>
      <c r="E76" s="166">
        <f t="shared" si="0"/>
        <v>3343177</v>
      </c>
      <c r="F76" s="41">
        <v>461918</v>
      </c>
      <c r="G76" s="41">
        <v>875284</v>
      </c>
      <c r="H76" s="41">
        <v>618159</v>
      </c>
      <c r="I76" s="41">
        <v>623412</v>
      </c>
      <c r="J76" s="41">
        <v>481574</v>
      </c>
      <c r="K76" s="41">
        <v>282830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S76" s="28"/>
    </row>
    <row r="77" spans="1:19">
      <c r="A77" s="651">
        <v>456040</v>
      </c>
      <c r="B77" s="650" t="s">
        <v>113</v>
      </c>
      <c r="C77" s="651" t="s">
        <v>284</v>
      </c>
      <c r="D77" s="37">
        <f t="shared" si="1"/>
        <v>456</v>
      </c>
      <c r="E77" s="166">
        <f t="shared" si="0"/>
        <v>350</v>
      </c>
      <c r="F77" s="41">
        <v>50</v>
      </c>
      <c r="G77" s="41">
        <v>100</v>
      </c>
      <c r="H77" s="41">
        <v>50</v>
      </c>
      <c r="I77" s="41">
        <v>50</v>
      </c>
      <c r="J77" s="41">
        <v>50</v>
      </c>
      <c r="K77" s="41">
        <v>50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39"/>
      <c r="S77" s="28"/>
    </row>
    <row r="78" spans="1:19">
      <c r="A78" s="651">
        <v>456075</v>
      </c>
      <c r="B78" s="650" t="s">
        <v>114</v>
      </c>
      <c r="C78" s="651" t="s">
        <v>284</v>
      </c>
      <c r="D78" s="37">
        <f t="shared" si="1"/>
        <v>456</v>
      </c>
      <c r="E78" s="166">
        <f t="shared" si="0"/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39"/>
      <c r="S78" s="28"/>
    </row>
    <row r="79" spans="1:19">
      <c r="A79" s="651">
        <v>456110</v>
      </c>
      <c r="B79" s="650" t="s">
        <v>115</v>
      </c>
      <c r="C79" s="651" t="s">
        <v>284</v>
      </c>
      <c r="D79" s="37">
        <f t="shared" si="1"/>
        <v>456</v>
      </c>
      <c r="E79" s="166">
        <f t="shared" si="0"/>
        <v>172002</v>
      </c>
      <c r="F79" s="41">
        <v>13968</v>
      </c>
      <c r="G79" s="41">
        <v>13496</v>
      </c>
      <c r="H79" s="41">
        <v>12967</v>
      </c>
      <c r="I79" s="41">
        <v>14509</v>
      </c>
      <c r="J79" s="41">
        <v>22536</v>
      </c>
      <c r="K79" s="41">
        <v>22028</v>
      </c>
      <c r="L79" s="41">
        <v>12083</v>
      </c>
      <c r="M79" s="41">
        <v>12083</v>
      </c>
      <c r="N79" s="41">
        <v>12083</v>
      </c>
      <c r="O79" s="41">
        <v>12083</v>
      </c>
      <c r="P79" s="41">
        <v>12083</v>
      </c>
      <c r="Q79" s="41">
        <v>12083</v>
      </c>
      <c r="R79" s="39"/>
      <c r="S79" s="28"/>
    </row>
    <row r="80" spans="1:19">
      <c r="A80" s="651">
        <v>456111</v>
      </c>
      <c r="B80" s="650" t="s">
        <v>116</v>
      </c>
      <c r="C80" s="651" t="s">
        <v>284</v>
      </c>
      <c r="D80" s="37">
        <f t="shared" si="1"/>
        <v>456</v>
      </c>
      <c r="E80" s="166">
        <f t="shared" si="0"/>
        <v>2570647</v>
      </c>
      <c r="F80" s="41">
        <v>179445</v>
      </c>
      <c r="G80" s="41">
        <v>322640</v>
      </c>
      <c r="H80" s="41">
        <v>775400</v>
      </c>
      <c r="I80" s="41">
        <v>419012</v>
      </c>
      <c r="J80" s="41">
        <v>611434</v>
      </c>
      <c r="K80" s="41">
        <v>262716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39"/>
      <c r="S80" s="28"/>
    </row>
    <row r="81" spans="1:19">
      <c r="A81" s="651">
        <v>456610</v>
      </c>
      <c r="B81" s="650" t="s">
        <v>287</v>
      </c>
      <c r="C81" s="651" t="s">
        <v>284</v>
      </c>
      <c r="D81" s="37">
        <f t="shared" si="1"/>
        <v>456</v>
      </c>
      <c r="E81" s="166">
        <f t="shared" si="0"/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39"/>
      <c r="S81" s="28"/>
    </row>
    <row r="82" spans="1:19">
      <c r="A82" s="651">
        <v>456970</v>
      </c>
      <c r="B82" s="650" t="s">
        <v>117</v>
      </c>
      <c r="C82" s="651" t="s">
        <v>284</v>
      </c>
      <c r="D82" s="37">
        <f t="shared" si="1"/>
        <v>456</v>
      </c>
      <c r="E82" s="166">
        <f t="shared" ref="E82:E151" si="4">SUM(F82:Q82)</f>
        <v>40390</v>
      </c>
      <c r="F82" s="41">
        <v>6269</v>
      </c>
      <c r="G82" s="41">
        <v>4005</v>
      </c>
      <c r="H82" s="41">
        <v>3667</v>
      </c>
      <c r="I82" s="41">
        <v>4131</v>
      </c>
      <c r="J82" s="41">
        <v>5082</v>
      </c>
      <c r="K82" s="41">
        <v>4984</v>
      </c>
      <c r="L82" s="41">
        <v>2042</v>
      </c>
      <c r="M82" s="41">
        <v>2042</v>
      </c>
      <c r="N82" s="41">
        <v>2042</v>
      </c>
      <c r="O82" s="41">
        <v>2042</v>
      </c>
      <c r="P82" s="41">
        <v>2042</v>
      </c>
      <c r="Q82" s="41">
        <v>2042</v>
      </c>
      <c r="R82" s="39"/>
      <c r="S82" s="28"/>
    </row>
    <row r="83" spans="1:19">
      <c r="A83" s="651">
        <v>457100</v>
      </c>
      <c r="B83" s="650" t="s">
        <v>288</v>
      </c>
      <c r="C83" s="651" t="s">
        <v>284</v>
      </c>
      <c r="D83" s="37">
        <f>VALUE(LEFT(A83,3))</f>
        <v>457</v>
      </c>
      <c r="E83" s="166">
        <f t="shared" si="4"/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39"/>
      <c r="S83" s="28"/>
    </row>
    <row r="84" spans="1:19">
      <c r="A84" s="651">
        <v>457105</v>
      </c>
      <c r="B84" s="650" t="s">
        <v>118</v>
      </c>
      <c r="C84" s="651" t="s">
        <v>284</v>
      </c>
      <c r="D84" s="37">
        <f>VALUE(LEFT(A84,3))</f>
        <v>457</v>
      </c>
      <c r="E84" s="166">
        <f t="shared" si="4"/>
        <v>123475</v>
      </c>
      <c r="F84" s="41">
        <v>17271</v>
      </c>
      <c r="G84" s="41">
        <v>17206</v>
      </c>
      <c r="H84" s="41">
        <v>16259</v>
      </c>
      <c r="I84" s="41">
        <v>18222</v>
      </c>
      <c r="J84" s="41">
        <v>28510</v>
      </c>
      <c r="K84" s="41">
        <v>26007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39"/>
      <c r="S84" s="28"/>
    </row>
    <row r="85" spans="1:19">
      <c r="A85" s="651">
        <v>457204</v>
      </c>
      <c r="B85" s="650" t="s">
        <v>119</v>
      </c>
      <c r="C85" s="651" t="s">
        <v>284</v>
      </c>
      <c r="D85" s="37">
        <f>VALUE(LEFT(A85,3))</f>
        <v>457</v>
      </c>
      <c r="E85" s="166">
        <f t="shared" si="4"/>
        <v>2616295</v>
      </c>
      <c r="F85" s="41">
        <v>279564</v>
      </c>
      <c r="G85" s="41">
        <v>281282</v>
      </c>
      <c r="H85" s="41">
        <v>279245</v>
      </c>
      <c r="I85" s="41">
        <v>279863</v>
      </c>
      <c r="J85" s="41">
        <v>262572</v>
      </c>
      <c r="K85" s="41">
        <v>293269</v>
      </c>
      <c r="L85" s="41">
        <v>156750</v>
      </c>
      <c r="M85" s="41">
        <v>156750</v>
      </c>
      <c r="N85" s="41">
        <v>156750</v>
      </c>
      <c r="O85" s="41">
        <v>156750</v>
      </c>
      <c r="P85" s="41">
        <v>156750</v>
      </c>
      <c r="Q85" s="41">
        <v>156750</v>
      </c>
      <c r="R85" s="39"/>
      <c r="S85" s="28"/>
    </row>
    <row r="86" spans="1:19">
      <c r="A86" s="651">
        <v>500000</v>
      </c>
      <c r="B86" s="650" t="s">
        <v>120</v>
      </c>
      <c r="C86" s="651" t="s">
        <v>289</v>
      </c>
      <c r="D86" s="37">
        <f t="shared" si="1"/>
        <v>500</v>
      </c>
      <c r="E86" s="166">
        <f t="shared" si="4"/>
        <v>468545</v>
      </c>
      <c r="F86" s="41">
        <v>158339</v>
      </c>
      <c r="G86" s="41">
        <v>170648</v>
      </c>
      <c r="H86" s="41">
        <v>281101</v>
      </c>
      <c r="I86" s="41">
        <v>83846</v>
      </c>
      <c r="J86" s="41">
        <v>183302</v>
      </c>
      <c r="K86" s="41">
        <v>177099</v>
      </c>
      <c r="L86" s="41">
        <v>-167015</v>
      </c>
      <c r="M86" s="41">
        <v>-166948</v>
      </c>
      <c r="N86" s="41">
        <v>-164126</v>
      </c>
      <c r="O86" s="41">
        <v>-166890</v>
      </c>
      <c r="P86" s="41">
        <v>40000</v>
      </c>
      <c r="Q86" s="41">
        <v>39189</v>
      </c>
      <c r="R86" s="39"/>
      <c r="S86" s="28"/>
    </row>
    <row r="87" spans="1:19">
      <c r="A87" s="651">
        <v>501110</v>
      </c>
      <c r="B87" s="650" t="s">
        <v>121</v>
      </c>
      <c r="C87" s="651" t="s">
        <v>282</v>
      </c>
      <c r="D87" s="37">
        <f t="shared" si="1"/>
        <v>501</v>
      </c>
      <c r="E87" s="166">
        <f t="shared" si="4"/>
        <v>76450496</v>
      </c>
      <c r="F87" s="41">
        <v>9070524</v>
      </c>
      <c r="G87" s="41">
        <v>3008987</v>
      </c>
      <c r="H87" s="41">
        <v>3985324</v>
      </c>
      <c r="I87" s="41">
        <v>9265347</v>
      </c>
      <c r="J87" s="41">
        <v>10508300</v>
      </c>
      <c r="K87" s="41">
        <v>10206449</v>
      </c>
      <c r="L87" s="41">
        <v>1679362</v>
      </c>
      <c r="M87" s="41">
        <v>744830</v>
      </c>
      <c r="N87" s="41">
        <v>2813320</v>
      </c>
      <c r="O87" s="41">
        <v>9254654</v>
      </c>
      <c r="P87" s="41">
        <v>8957973</v>
      </c>
      <c r="Q87" s="41">
        <v>6955426</v>
      </c>
      <c r="R87" s="39"/>
      <c r="S87" s="28"/>
    </row>
    <row r="88" spans="1:19">
      <c r="A88" s="651">
        <v>501150</v>
      </c>
      <c r="B88" s="650" t="s">
        <v>122</v>
      </c>
      <c r="C88" s="651" t="s">
        <v>289</v>
      </c>
      <c r="D88" s="37">
        <f t="shared" si="1"/>
        <v>501</v>
      </c>
      <c r="E88" s="166">
        <f t="shared" si="4"/>
        <v>977101</v>
      </c>
      <c r="F88" s="41">
        <v>76705</v>
      </c>
      <c r="G88" s="41">
        <v>71938</v>
      </c>
      <c r="H88" s="41">
        <v>97295</v>
      </c>
      <c r="I88" s="41">
        <v>72120</v>
      </c>
      <c r="J88" s="41">
        <v>76588</v>
      </c>
      <c r="K88" s="41">
        <v>71392</v>
      </c>
      <c r="L88" s="41">
        <v>81505</v>
      </c>
      <c r="M88" s="41">
        <v>81519</v>
      </c>
      <c r="N88" s="41">
        <v>104089</v>
      </c>
      <c r="O88" s="41">
        <v>81650</v>
      </c>
      <c r="P88" s="41">
        <v>81330</v>
      </c>
      <c r="Q88" s="41">
        <v>80970</v>
      </c>
      <c r="R88" s="39"/>
      <c r="S88" s="28"/>
    </row>
    <row r="89" spans="1:19">
      <c r="A89" s="651">
        <v>501160</v>
      </c>
      <c r="B89" s="650" t="s">
        <v>290</v>
      </c>
      <c r="C89" s="651" t="s">
        <v>289</v>
      </c>
      <c r="D89" s="37">
        <f t="shared" si="1"/>
        <v>501</v>
      </c>
      <c r="E89" s="166">
        <f t="shared" si="4"/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39"/>
      <c r="S89" s="28"/>
    </row>
    <row r="90" spans="1:19">
      <c r="A90" s="651">
        <v>501180</v>
      </c>
      <c r="B90" s="650" t="s">
        <v>291</v>
      </c>
      <c r="C90" s="651" t="s">
        <v>289</v>
      </c>
      <c r="D90" s="37">
        <f t="shared" si="1"/>
        <v>501</v>
      </c>
      <c r="E90" s="166">
        <f t="shared" si="4"/>
        <v>1890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945</v>
      </c>
      <c r="M90" s="41">
        <v>0</v>
      </c>
      <c r="N90" s="41">
        <v>0</v>
      </c>
      <c r="O90" s="41">
        <v>945</v>
      </c>
      <c r="P90" s="41">
        <v>0</v>
      </c>
      <c r="Q90" s="41">
        <v>0</v>
      </c>
      <c r="R90" s="39"/>
      <c r="S90" s="28"/>
    </row>
    <row r="91" spans="1:19">
      <c r="A91" s="651">
        <v>501190</v>
      </c>
      <c r="B91" s="650" t="s">
        <v>292</v>
      </c>
      <c r="C91" s="651" t="s">
        <v>289</v>
      </c>
      <c r="D91" s="37">
        <f t="shared" si="1"/>
        <v>501</v>
      </c>
      <c r="E91" s="166">
        <f t="shared" si="4"/>
        <v>81586</v>
      </c>
      <c r="F91" s="41">
        <v>-59462</v>
      </c>
      <c r="G91" s="41">
        <v>87545</v>
      </c>
      <c r="H91" s="41">
        <v>0</v>
      </c>
      <c r="I91" s="41">
        <v>0</v>
      </c>
      <c r="J91" s="41">
        <v>-87545</v>
      </c>
      <c r="K91" s="41">
        <v>0</v>
      </c>
      <c r="L91" s="41">
        <v>23508</v>
      </c>
      <c r="M91" s="41">
        <v>23508</v>
      </c>
      <c r="N91" s="41">
        <v>23508</v>
      </c>
      <c r="O91" s="41">
        <v>23508</v>
      </c>
      <c r="P91" s="41">
        <v>23508</v>
      </c>
      <c r="Q91" s="41">
        <v>23508</v>
      </c>
      <c r="R91" s="39"/>
      <c r="S91" s="28"/>
    </row>
    <row r="92" spans="1:19">
      <c r="A92" s="651">
        <v>501310</v>
      </c>
      <c r="B92" s="650" t="s">
        <v>123</v>
      </c>
      <c r="C92" s="651" t="s">
        <v>282</v>
      </c>
      <c r="D92" s="37">
        <f t="shared" si="1"/>
        <v>501</v>
      </c>
      <c r="E92" s="166">
        <f t="shared" si="4"/>
        <v>1338952</v>
      </c>
      <c r="F92" s="41">
        <v>200210</v>
      </c>
      <c r="G92" s="41">
        <v>113447</v>
      </c>
      <c r="H92" s="41">
        <v>679028</v>
      </c>
      <c r="I92" s="41">
        <v>121022</v>
      </c>
      <c r="J92" s="41">
        <v>90938</v>
      </c>
      <c r="K92" s="41">
        <v>134307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39"/>
      <c r="S92" s="28"/>
    </row>
    <row r="93" spans="1:19">
      <c r="A93" s="651">
        <v>501350</v>
      </c>
      <c r="B93" s="650" t="s">
        <v>293</v>
      </c>
      <c r="C93" s="651" t="s">
        <v>289</v>
      </c>
      <c r="D93" s="37">
        <f t="shared" si="1"/>
        <v>501</v>
      </c>
      <c r="E93" s="166">
        <f t="shared" si="4"/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39"/>
      <c r="S93" s="28"/>
    </row>
    <row r="94" spans="1:19">
      <c r="A94" s="651">
        <v>501996</v>
      </c>
      <c r="B94" s="650" t="s">
        <v>124</v>
      </c>
      <c r="C94" s="651" t="s">
        <v>282</v>
      </c>
      <c r="D94" s="37">
        <f t="shared" si="1"/>
        <v>501</v>
      </c>
      <c r="E94" s="166">
        <f t="shared" si="4"/>
        <v>7742000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208000</v>
      </c>
      <c r="M94" s="41">
        <v>6000</v>
      </c>
      <c r="N94" s="41">
        <v>661000</v>
      </c>
      <c r="O94" s="41">
        <v>1668000</v>
      </c>
      <c r="P94" s="41">
        <v>3931000</v>
      </c>
      <c r="Q94" s="41">
        <v>1268000</v>
      </c>
      <c r="R94" s="39"/>
      <c r="S94" s="28"/>
    </row>
    <row r="95" spans="1:19">
      <c r="A95" s="651">
        <v>502020</v>
      </c>
      <c r="B95" s="650" t="s">
        <v>294</v>
      </c>
      <c r="C95" s="651" t="s">
        <v>289</v>
      </c>
      <c r="D95" s="37">
        <f t="shared" ref="D95" si="5">VALUE(LEFT(A95,3))</f>
        <v>502</v>
      </c>
      <c r="E95" s="166">
        <f t="shared" ref="E95" si="6">SUM(F95:Q95)</f>
        <v>482036</v>
      </c>
      <c r="F95" s="41">
        <v>984</v>
      </c>
      <c r="G95" s="41">
        <v>0</v>
      </c>
      <c r="H95" s="41">
        <v>12032</v>
      </c>
      <c r="I95" s="41">
        <v>81333</v>
      </c>
      <c r="J95" s="41">
        <v>85246</v>
      </c>
      <c r="K95" s="41">
        <v>99841</v>
      </c>
      <c r="L95" s="41">
        <v>0</v>
      </c>
      <c r="M95" s="41">
        <v>0</v>
      </c>
      <c r="N95" s="41">
        <v>2600</v>
      </c>
      <c r="O95" s="41">
        <v>57000</v>
      </c>
      <c r="P95" s="41">
        <v>72800</v>
      </c>
      <c r="Q95" s="41">
        <v>70200</v>
      </c>
      <c r="R95" s="39"/>
      <c r="S95" s="28"/>
    </row>
    <row r="96" spans="1:19">
      <c r="A96" s="651">
        <v>502040</v>
      </c>
      <c r="B96" s="650" t="s">
        <v>295</v>
      </c>
      <c r="C96" s="651" t="s">
        <v>289</v>
      </c>
      <c r="D96" s="37">
        <f t="shared" si="1"/>
        <v>502</v>
      </c>
      <c r="E96" s="166">
        <f t="shared" si="4"/>
        <v>23451582</v>
      </c>
      <c r="F96" s="41">
        <v>2559628</v>
      </c>
      <c r="G96" s="41">
        <v>1596675</v>
      </c>
      <c r="H96" s="41">
        <v>852988</v>
      </c>
      <c r="I96" s="41">
        <v>3394709</v>
      </c>
      <c r="J96" s="41">
        <v>2767686</v>
      </c>
      <c r="K96" s="41">
        <v>2958196</v>
      </c>
      <c r="L96" s="41">
        <v>0</v>
      </c>
      <c r="M96" s="41">
        <v>0</v>
      </c>
      <c r="N96" s="41">
        <v>120400</v>
      </c>
      <c r="O96" s="41">
        <v>2623500</v>
      </c>
      <c r="P96" s="41">
        <v>3347700</v>
      </c>
      <c r="Q96" s="41">
        <v>3230100</v>
      </c>
      <c r="R96" s="39"/>
      <c r="S96" s="28"/>
    </row>
    <row r="97" spans="1:19">
      <c r="A97" s="651">
        <v>502070</v>
      </c>
      <c r="B97" s="650" t="s">
        <v>296</v>
      </c>
      <c r="C97" s="651" t="s">
        <v>289</v>
      </c>
      <c r="D97" s="37">
        <f>VALUE(LEFT(A97,3))</f>
        <v>502</v>
      </c>
      <c r="E97" s="166">
        <f t="shared" si="4"/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39"/>
      <c r="S97" s="28"/>
    </row>
    <row r="98" spans="1:19">
      <c r="A98" s="651">
        <v>502100</v>
      </c>
      <c r="B98" s="650" t="s">
        <v>126</v>
      </c>
      <c r="C98" s="651" t="s">
        <v>289</v>
      </c>
      <c r="D98" s="37">
        <f t="shared" si="1"/>
        <v>502</v>
      </c>
      <c r="E98" s="166">
        <f t="shared" si="4"/>
        <v>4437047</v>
      </c>
      <c r="F98" s="41">
        <v>306819</v>
      </c>
      <c r="G98" s="41">
        <v>304931</v>
      </c>
      <c r="H98" s="41">
        <v>458363</v>
      </c>
      <c r="I98" s="41">
        <v>650819</v>
      </c>
      <c r="J98" s="41">
        <v>273602</v>
      </c>
      <c r="K98" s="41">
        <v>307055</v>
      </c>
      <c r="L98" s="41">
        <v>333149</v>
      </c>
      <c r="M98" s="41">
        <v>332840</v>
      </c>
      <c r="N98" s="41">
        <v>469492</v>
      </c>
      <c r="O98" s="41">
        <v>333783</v>
      </c>
      <c r="P98" s="41">
        <v>333339</v>
      </c>
      <c r="Q98" s="41">
        <v>332855</v>
      </c>
      <c r="R98" s="39"/>
      <c r="S98" s="28"/>
    </row>
    <row r="99" spans="1:19">
      <c r="A99" s="651">
        <v>502410</v>
      </c>
      <c r="B99" s="650" t="s">
        <v>127</v>
      </c>
      <c r="C99" s="651" t="s">
        <v>289</v>
      </c>
      <c r="D99" s="37">
        <f t="shared" si="1"/>
        <v>502</v>
      </c>
      <c r="E99" s="166">
        <f t="shared" si="4"/>
        <v>1456</v>
      </c>
      <c r="F99" s="41">
        <v>3</v>
      </c>
      <c r="G99" s="41">
        <v>0</v>
      </c>
      <c r="H99" s="41">
        <v>0</v>
      </c>
      <c r="I99" s="41">
        <v>1289</v>
      </c>
      <c r="J99" s="41">
        <v>164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39"/>
      <c r="S99" s="28"/>
    </row>
    <row r="100" spans="1:19">
      <c r="A100" s="651">
        <v>505000</v>
      </c>
      <c r="B100" s="650" t="s">
        <v>128</v>
      </c>
      <c r="C100" s="651" t="s">
        <v>289</v>
      </c>
      <c r="D100" s="37">
        <f t="shared" ref="D100:D171" si="7">VALUE(LEFT(A100,3))</f>
        <v>505</v>
      </c>
      <c r="E100" s="166">
        <f t="shared" si="4"/>
        <v>1003554</v>
      </c>
      <c r="F100" s="41">
        <v>64295</v>
      </c>
      <c r="G100" s="41">
        <v>58370</v>
      </c>
      <c r="H100" s="41">
        <v>91679</v>
      </c>
      <c r="I100" s="41">
        <v>61824</v>
      </c>
      <c r="J100" s="41">
        <v>57561</v>
      </c>
      <c r="K100" s="41">
        <v>49823</v>
      </c>
      <c r="L100" s="41">
        <v>95496</v>
      </c>
      <c r="M100" s="41">
        <v>95481</v>
      </c>
      <c r="N100" s="41">
        <v>142215</v>
      </c>
      <c r="O100" s="41">
        <v>95736</v>
      </c>
      <c r="P100" s="41">
        <v>95681</v>
      </c>
      <c r="Q100" s="41">
        <v>95393</v>
      </c>
      <c r="R100" s="39"/>
      <c r="S100" s="28"/>
    </row>
    <row r="101" spans="1:19">
      <c r="A101" s="651">
        <v>506000</v>
      </c>
      <c r="B101" s="650" t="s">
        <v>129</v>
      </c>
      <c r="C101" s="651" t="s">
        <v>289</v>
      </c>
      <c r="D101" s="37">
        <f t="shared" si="7"/>
        <v>506</v>
      </c>
      <c r="E101" s="166">
        <f t="shared" si="4"/>
        <v>2154429</v>
      </c>
      <c r="F101" s="41">
        <v>103761</v>
      </c>
      <c r="G101" s="41">
        <v>137512</v>
      </c>
      <c r="H101" s="41">
        <v>170064</v>
      </c>
      <c r="I101" s="41">
        <v>141429</v>
      </c>
      <c r="J101" s="41">
        <v>128586</v>
      </c>
      <c r="K101" s="41">
        <v>379876</v>
      </c>
      <c r="L101" s="41">
        <v>107546</v>
      </c>
      <c r="M101" s="41">
        <v>65687</v>
      </c>
      <c r="N101" s="41">
        <v>66192</v>
      </c>
      <c r="O101" s="41">
        <v>720365</v>
      </c>
      <c r="P101" s="41">
        <v>66527</v>
      </c>
      <c r="Q101" s="41">
        <v>66884</v>
      </c>
      <c r="R101" s="39"/>
      <c r="S101" s="28"/>
    </row>
    <row r="102" spans="1:19">
      <c r="A102" s="651">
        <v>507000</v>
      </c>
      <c r="B102" s="650" t="s">
        <v>297</v>
      </c>
      <c r="C102" s="651" t="s">
        <v>289</v>
      </c>
      <c r="D102" s="37">
        <f t="shared" ref="D102" si="8">VALUE(LEFT(A102,3))</f>
        <v>507</v>
      </c>
      <c r="E102" s="166">
        <f t="shared" si="4"/>
        <v>0</v>
      </c>
      <c r="F102" s="41">
        <v>0</v>
      </c>
      <c r="G102" s="41">
        <v>0</v>
      </c>
      <c r="H102" s="41">
        <v>0</v>
      </c>
      <c r="I102" s="41">
        <v>0</v>
      </c>
      <c r="J102" s="41">
        <v>0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>
        <v>0</v>
      </c>
      <c r="R102" s="39"/>
      <c r="S102" s="28"/>
    </row>
    <row r="103" spans="1:19">
      <c r="A103" s="651">
        <v>509030</v>
      </c>
      <c r="B103" s="650" t="s">
        <v>130</v>
      </c>
      <c r="C103" s="651" t="s">
        <v>298</v>
      </c>
      <c r="D103" s="37">
        <f t="shared" si="7"/>
        <v>509</v>
      </c>
      <c r="E103" s="166">
        <f t="shared" si="4"/>
        <v>0</v>
      </c>
      <c r="F103" s="41">
        <v>0</v>
      </c>
      <c r="G103" s="41">
        <v>0</v>
      </c>
      <c r="H103" s="41">
        <v>0</v>
      </c>
      <c r="I103" s="41">
        <v>0</v>
      </c>
      <c r="J103" s="41">
        <v>0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>
        <v>0</v>
      </c>
      <c r="R103" s="39"/>
      <c r="S103" s="28"/>
    </row>
    <row r="104" spans="1:19">
      <c r="A104" s="651">
        <v>509212</v>
      </c>
      <c r="B104" s="650" t="s">
        <v>131</v>
      </c>
      <c r="C104" s="651" t="s">
        <v>298</v>
      </c>
      <c r="D104" s="37">
        <f t="shared" si="7"/>
        <v>509</v>
      </c>
      <c r="E104" s="166">
        <f t="shared" si="4"/>
        <v>0</v>
      </c>
      <c r="F104" s="41">
        <v>0</v>
      </c>
      <c r="G104" s="41">
        <v>0</v>
      </c>
      <c r="H104" s="41">
        <v>0</v>
      </c>
      <c r="I104" s="41">
        <v>0</v>
      </c>
      <c r="J104" s="41">
        <v>0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>
        <v>0</v>
      </c>
      <c r="R104" s="39"/>
      <c r="S104" s="28"/>
    </row>
    <row r="105" spans="1:19">
      <c r="A105" s="651">
        <v>510000</v>
      </c>
      <c r="B105" s="650" t="s">
        <v>132</v>
      </c>
      <c r="C105" s="651" t="s">
        <v>299</v>
      </c>
      <c r="D105" s="37">
        <f t="shared" si="7"/>
        <v>510</v>
      </c>
      <c r="E105" s="166">
        <f t="shared" si="4"/>
        <v>2830773</v>
      </c>
      <c r="F105" s="41">
        <v>131447</v>
      </c>
      <c r="G105" s="41">
        <v>132057</v>
      </c>
      <c r="H105" s="41">
        <v>118483</v>
      </c>
      <c r="I105" s="41">
        <v>121447</v>
      </c>
      <c r="J105" s="41">
        <v>118622</v>
      </c>
      <c r="K105" s="41">
        <v>108323</v>
      </c>
      <c r="L105" s="41">
        <v>349952</v>
      </c>
      <c r="M105" s="41">
        <v>349936</v>
      </c>
      <c r="N105" s="41">
        <v>349292</v>
      </c>
      <c r="O105" s="41">
        <v>350681</v>
      </c>
      <c r="P105" s="41">
        <v>350747</v>
      </c>
      <c r="Q105" s="41">
        <v>349786</v>
      </c>
      <c r="R105" s="39"/>
      <c r="S105" s="28"/>
    </row>
    <row r="106" spans="1:19">
      <c r="A106" s="651">
        <v>510100</v>
      </c>
      <c r="B106" s="650" t="s">
        <v>133</v>
      </c>
      <c r="C106" s="651" t="s">
        <v>299</v>
      </c>
      <c r="D106" s="37">
        <f t="shared" si="7"/>
        <v>510</v>
      </c>
      <c r="E106" s="166">
        <f t="shared" si="4"/>
        <v>252808</v>
      </c>
      <c r="F106" s="41">
        <v>3804</v>
      </c>
      <c r="G106" s="41">
        <v>4626</v>
      </c>
      <c r="H106" s="41">
        <v>2496</v>
      </c>
      <c r="I106" s="41">
        <v>3468</v>
      </c>
      <c r="J106" s="41">
        <v>3722</v>
      </c>
      <c r="K106" s="41">
        <v>4725</v>
      </c>
      <c r="L106" s="41">
        <v>38410</v>
      </c>
      <c r="M106" s="41">
        <v>38410</v>
      </c>
      <c r="N106" s="41">
        <v>38513</v>
      </c>
      <c r="O106" s="41">
        <v>38410</v>
      </c>
      <c r="P106" s="41">
        <v>38112</v>
      </c>
      <c r="Q106" s="41">
        <v>38112</v>
      </c>
      <c r="R106" s="39"/>
      <c r="S106" s="28"/>
    </row>
    <row r="107" spans="1:19">
      <c r="A107" s="651">
        <v>511000</v>
      </c>
      <c r="B107" s="650" t="s">
        <v>300</v>
      </c>
      <c r="C107" s="651" t="s">
        <v>299</v>
      </c>
      <c r="D107" s="37">
        <f t="shared" si="7"/>
        <v>511</v>
      </c>
      <c r="E107" s="166">
        <f t="shared" si="4"/>
        <v>1885881</v>
      </c>
      <c r="F107" s="41">
        <v>-10766</v>
      </c>
      <c r="G107" s="41">
        <v>177096</v>
      </c>
      <c r="H107" s="41">
        <v>165893</v>
      </c>
      <c r="I107" s="41">
        <v>94447</v>
      </c>
      <c r="J107" s="41">
        <v>166322</v>
      </c>
      <c r="K107" s="41">
        <v>171698</v>
      </c>
      <c r="L107" s="41">
        <v>187575</v>
      </c>
      <c r="M107" s="41">
        <v>184064</v>
      </c>
      <c r="N107" s="41">
        <v>183632</v>
      </c>
      <c r="O107" s="41">
        <v>187606</v>
      </c>
      <c r="P107" s="41">
        <v>189273</v>
      </c>
      <c r="Q107" s="41">
        <v>189041</v>
      </c>
      <c r="R107" s="39"/>
      <c r="S107" s="28"/>
    </row>
    <row r="108" spans="1:19">
      <c r="A108" s="651">
        <v>512100</v>
      </c>
      <c r="B108" s="650" t="s">
        <v>301</v>
      </c>
      <c r="C108" s="651" t="s">
        <v>299</v>
      </c>
      <c r="D108" s="37">
        <f t="shared" si="7"/>
        <v>512</v>
      </c>
      <c r="E108" s="166">
        <f t="shared" si="4"/>
        <v>8041780</v>
      </c>
      <c r="F108" s="41">
        <v>590536</v>
      </c>
      <c r="G108" s="41">
        <v>242713</v>
      </c>
      <c r="H108" s="41">
        <v>373355</v>
      </c>
      <c r="I108" s="41">
        <v>-405</v>
      </c>
      <c r="J108" s="41">
        <v>1028872</v>
      </c>
      <c r="K108" s="41">
        <v>201805</v>
      </c>
      <c r="L108" s="41">
        <v>855152</v>
      </c>
      <c r="M108" s="41">
        <v>1565939</v>
      </c>
      <c r="N108" s="41">
        <v>1786075</v>
      </c>
      <c r="O108" s="41">
        <v>405703</v>
      </c>
      <c r="P108" s="41">
        <v>377967</v>
      </c>
      <c r="Q108" s="41">
        <v>614068</v>
      </c>
      <c r="R108" s="39"/>
      <c r="S108" s="28"/>
    </row>
    <row r="109" spans="1:19">
      <c r="A109" s="651">
        <v>513100</v>
      </c>
      <c r="B109" s="650" t="s">
        <v>302</v>
      </c>
      <c r="C109" s="651" t="s">
        <v>299</v>
      </c>
      <c r="D109" s="37">
        <f t="shared" si="7"/>
        <v>513</v>
      </c>
      <c r="E109" s="166">
        <f t="shared" si="4"/>
        <v>1774333</v>
      </c>
      <c r="F109" s="41">
        <v>114772</v>
      </c>
      <c r="G109" s="41">
        <v>70048</v>
      </c>
      <c r="H109" s="41">
        <v>-199634</v>
      </c>
      <c r="I109" s="41">
        <v>339104</v>
      </c>
      <c r="J109" s="41">
        <v>71091</v>
      </c>
      <c r="K109" s="41">
        <v>99008</v>
      </c>
      <c r="L109" s="41">
        <v>406161</v>
      </c>
      <c r="M109" s="41">
        <v>306158</v>
      </c>
      <c r="N109" s="41">
        <v>195786</v>
      </c>
      <c r="O109" s="41">
        <v>95954</v>
      </c>
      <c r="P109" s="41">
        <v>173539</v>
      </c>
      <c r="Q109" s="41">
        <v>102346</v>
      </c>
      <c r="R109" s="39"/>
      <c r="S109" s="28"/>
    </row>
    <row r="110" spans="1:19">
      <c r="A110" s="651">
        <v>514000</v>
      </c>
      <c r="B110" s="650" t="s">
        <v>134</v>
      </c>
      <c r="C110" s="651" t="s">
        <v>299</v>
      </c>
      <c r="D110" s="37">
        <f t="shared" si="7"/>
        <v>514</v>
      </c>
      <c r="E110" s="166">
        <f t="shared" si="4"/>
        <v>558916</v>
      </c>
      <c r="F110" s="41">
        <v>98618</v>
      </c>
      <c r="G110" s="41">
        <v>89516</v>
      </c>
      <c r="H110" s="41">
        <v>62678</v>
      </c>
      <c r="I110" s="41">
        <v>64280</v>
      </c>
      <c r="J110" s="41">
        <v>95486</v>
      </c>
      <c r="K110" s="41">
        <v>-132231</v>
      </c>
      <c r="L110" s="41">
        <v>46763</v>
      </c>
      <c r="M110" s="41">
        <v>46762</v>
      </c>
      <c r="N110" s="41">
        <v>46716</v>
      </c>
      <c r="O110" s="41">
        <v>46779</v>
      </c>
      <c r="P110" s="41">
        <v>46786</v>
      </c>
      <c r="Q110" s="41">
        <v>46763</v>
      </c>
      <c r="R110" s="39"/>
      <c r="S110" s="28"/>
    </row>
    <row r="111" spans="1:19">
      <c r="A111" s="651">
        <v>514300</v>
      </c>
      <c r="B111" s="650" t="s">
        <v>134</v>
      </c>
      <c r="C111" s="651" t="s">
        <v>299</v>
      </c>
      <c r="D111" s="37">
        <f t="shared" si="7"/>
        <v>514</v>
      </c>
      <c r="E111" s="166">
        <f t="shared" si="4"/>
        <v>13</v>
      </c>
      <c r="F111" s="41">
        <v>0</v>
      </c>
      <c r="G111" s="41">
        <v>4</v>
      </c>
      <c r="H111" s="41">
        <v>0</v>
      </c>
      <c r="I111" s="41">
        <v>4</v>
      </c>
      <c r="J111" s="41">
        <v>4</v>
      </c>
      <c r="K111" s="41">
        <v>1</v>
      </c>
      <c r="L111" s="41">
        <v>0</v>
      </c>
      <c r="M111" s="41">
        <v>0</v>
      </c>
      <c r="N111" s="41">
        <v>0</v>
      </c>
      <c r="O111" s="41">
        <v>0</v>
      </c>
      <c r="P111" s="41">
        <v>0</v>
      </c>
      <c r="Q111" s="41">
        <v>0</v>
      </c>
      <c r="R111" s="39"/>
      <c r="S111" s="28"/>
    </row>
    <row r="112" spans="1:19">
      <c r="A112" s="651">
        <v>546000</v>
      </c>
      <c r="B112" s="650" t="s">
        <v>135</v>
      </c>
      <c r="C112" s="651" t="s">
        <v>289</v>
      </c>
      <c r="D112" s="37">
        <f t="shared" si="7"/>
        <v>546</v>
      </c>
      <c r="E112" s="166">
        <f t="shared" si="4"/>
        <v>193179</v>
      </c>
      <c r="F112" s="41">
        <v>23732</v>
      </c>
      <c r="G112" s="41">
        <v>13903</v>
      </c>
      <c r="H112" s="41">
        <v>17580</v>
      </c>
      <c r="I112" s="41">
        <v>15506</v>
      </c>
      <c r="J112" s="41">
        <v>15226</v>
      </c>
      <c r="K112" s="41">
        <v>18759</v>
      </c>
      <c r="L112" s="41">
        <v>-6936</v>
      </c>
      <c r="M112" s="41">
        <v>-6932</v>
      </c>
      <c r="N112" s="41">
        <v>-6996</v>
      </c>
      <c r="O112" s="41">
        <v>-6907</v>
      </c>
      <c r="P112" s="41">
        <v>58165</v>
      </c>
      <c r="Q112" s="41">
        <v>58079</v>
      </c>
      <c r="R112" s="39"/>
      <c r="S112" s="28"/>
    </row>
    <row r="113" spans="1:19">
      <c r="A113" s="651">
        <v>547100</v>
      </c>
      <c r="B113" s="650" t="s">
        <v>136</v>
      </c>
      <c r="C113" s="651" t="s">
        <v>282</v>
      </c>
      <c r="D113" s="37">
        <f t="shared" si="7"/>
        <v>547</v>
      </c>
      <c r="E113" s="166">
        <f t="shared" si="4"/>
        <v>5737512</v>
      </c>
      <c r="F113" s="41">
        <v>418650</v>
      </c>
      <c r="G113" s="41">
        <v>967120</v>
      </c>
      <c r="H113" s="41">
        <v>936764</v>
      </c>
      <c r="I113" s="41">
        <v>1195919</v>
      </c>
      <c r="J113" s="41">
        <v>1184790</v>
      </c>
      <c r="K113" s="41">
        <v>1034269</v>
      </c>
      <c r="L113" s="41">
        <v>0</v>
      </c>
      <c r="M113" s="41">
        <v>0</v>
      </c>
      <c r="N113" s="41">
        <v>0</v>
      </c>
      <c r="O113" s="41">
        <v>0</v>
      </c>
      <c r="P113" s="41">
        <v>0</v>
      </c>
      <c r="Q113" s="41">
        <v>0</v>
      </c>
      <c r="R113" s="39"/>
      <c r="S113" s="28"/>
    </row>
    <row r="114" spans="1:19">
      <c r="A114" s="651">
        <v>547150</v>
      </c>
      <c r="B114" s="650" t="s">
        <v>137</v>
      </c>
      <c r="C114" s="651" t="s">
        <v>289</v>
      </c>
      <c r="D114" s="37">
        <f t="shared" si="7"/>
        <v>547</v>
      </c>
      <c r="E114" s="166">
        <f t="shared" si="4"/>
        <v>39060</v>
      </c>
      <c r="F114" s="41">
        <v>2603</v>
      </c>
      <c r="G114" s="41">
        <v>4083</v>
      </c>
      <c r="H114" s="41">
        <v>4357</v>
      </c>
      <c r="I114" s="41">
        <v>3998</v>
      </c>
      <c r="J114" s="41">
        <v>4053</v>
      </c>
      <c r="K114" s="41">
        <v>3567</v>
      </c>
      <c r="L114" s="41">
        <v>2745</v>
      </c>
      <c r="M114" s="41">
        <v>2746</v>
      </c>
      <c r="N114" s="41">
        <v>2745</v>
      </c>
      <c r="O114" s="41">
        <v>2747</v>
      </c>
      <c r="P114" s="41">
        <v>2715</v>
      </c>
      <c r="Q114" s="41">
        <v>2701</v>
      </c>
      <c r="R114" s="39"/>
      <c r="S114" s="28"/>
    </row>
    <row r="115" spans="1:19">
      <c r="A115" s="651">
        <v>547200</v>
      </c>
      <c r="B115" s="650" t="s">
        <v>138</v>
      </c>
      <c r="C115" s="651" t="s">
        <v>282</v>
      </c>
      <c r="D115" s="37">
        <f t="shared" si="7"/>
        <v>547</v>
      </c>
      <c r="E115" s="166">
        <f t="shared" si="4"/>
        <v>135352</v>
      </c>
      <c r="F115" s="41">
        <v>0</v>
      </c>
      <c r="G115" s="41">
        <v>135352</v>
      </c>
      <c r="H115" s="41">
        <v>0</v>
      </c>
      <c r="I115" s="41">
        <v>0</v>
      </c>
      <c r="J115" s="41">
        <v>0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>
        <v>0</v>
      </c>
      <c r="R115" s="39"/>
      <c r="S115" s="28"/>
    </row>
    <row r="116" spans="1:19">
      <c r="A116" s="651">
        <v>548100</v>
      </c>
      <c r="B116" s="650" t="s">
        <v>139</v>
      </c>
      <c r="C116" s="651" t="s">
        <v>289</v>
      </c>
      <c r="D116" s="37">
        <f t="shared" si="7"/>
        <v>548</v>
      </c>
      <c r="E116" s="166">
        <f t="shared" si="4"/>
        <v>37342</v>
      </c>
      <c r="F116" s="41">
        <v>1653</v>
      </c>
      <c r="G116" s="41">
        <v>1573</v>
      </c>
      <c r="H116" s="41">
        <v>7681</v>
      </c>
      <c r="I116" s="41">
        <v>2289</v>
      </c>
      <c r="J116" s="41">
        <v>1341</v>
      </c>
      <c r="K116" s="41">
        <v>1044</v>
      </c>
      <c r="L116" s="41">
        <v>3612</v>
      </c>
      <c r="M116" s="41">
        <v>3599</v>
      </c>
      <c r="N116" s="41">
        <v>3678</v>
      </c>
      <c r="O116" s="41">
        <v>3612</v>
      </c>
      <c r="P116" s="41">
        <v>3591</v>
      </c>
      <c r="Q116" s="41">
        <v>3669</v>
      </c>
      <c r="R116" s="39"/>
      <c r="S116" s="28"/>
    </row>
    <row r="117" spans="1:19">
      <c r="A117" s="651">
        <v>548200</v>
      </c>
      <c r="B117" s="650" t="s">
        <v>140</v>
      </c>
      <c r="C117" s="651" t="s">
        <v>289</v>
      </c>
      <c r="D117" s="37">
        <f t="shared" si="7"/>
        <v>548</v>
      </c>
      <c r="E117" s="166">
        <f t="shared" si="4"/>
        <v>371232</v>
      </c>
      <c r="F117" s="41">
        <v>10947</v>
      </c>
      <c r="G117" s="41">
        <v>44589</v>
      </c>
      <c r="H117" s="41">
        <v>69453</v>
      </c>
      <c r="I117" s="41">
        <v>30116</v>
      </c>
      <c r="J117" s="41">
        <v>30096</v>
      </c>
      <c r="K117" s="41">
        <v>36283</v>
      </c>
      <c r="L117" s="41">
        <v>23070</v>
      </c>
      <c r="M117" s="41">
        <v>23067</v>
      </c>
      <c r="N117" s="41">
        <v>34323</v>
      </c>
      <c r="O117" s="41">
        <v>23128</v>
      </c>
      <c r="P117" s="41">
        <v>23115</v>
      </c>
      <c r="Q117" s="41">
        <v>23045</v>
      </c>
      <c r="R117" s="39"/>
      <c r="S117" s="28"/>
    </row>
    <row r="118" spans="1:19">
      <c r="A118" s="651">
        <v>549000</v>
      </c>
      <c r="B118" s="650" t="s">
        <v>141</v>
      </c>
      <c r="C118" s="651" t="s">
        <v>289</v>
      </c>
      <c r="D118" s="37">
        <f t="shared" si="7"/>
        <v>549</v>
      </c>
      <c r="E118" s="166">
        <f t="shared" si="4"/>
        <v>900009</v>
      </c>
      <c r="F118" s="41">
        <v>114377</v>
      </c>
      <c r="G118" s="41">
        <v>68069</v>
      </c>
      <c r="H118" s="41">
        <v>68183</v>
      </c>
      <c r="I118" s="41">
        <v>87829</v>
      </c>
      <c r="J118" s="41">
        <v>100078</v>
      </c>
      <c r="K118" s="41">
        <v>85282</v>
      </c>
      <c r="L118" s="41">
        <v>58922</v>
      </c>
      <c r="M118" s="41">
        <v>58892</v>
      </c>
      <c r="N118" s="41">
        <v>72212</v>
      </c>
      <c r="O118" s="41">
        <v>59022</v>
      </c>
      <c r="P118" s="41">
        <v>58944</v>
      </c>
      <c r="Q118" s="41">
        <v>68199</v>
      </c>
      <c r="R118" s="39"/>
      <c r="S118" s="28"/>
    </row>
    <row r="119" spans="1:19">
      <c r="A119" s="651">
        <v>550001</v>
      </c>
      <c r="B119" s="650" t="s">
        <v>142</v>
      </c>
      <c r="C119" s="651" t="s">
        <v>299</v>
      </c>
      <c r="D119" s="37">
        <f t="shared" ref="D119" si="9">VALUE(LEFT(A119,3))</f>
        <v>550</v>
      </c>
      <c r="E119" s="166">
        <f t="shared" ref="E119" si="10">SUM(F119:Q119)</f>
        <v>-3</v>
      </c>
      <c r="F119" s="41">
        <v>0</v>
      </c>
      <c r="G119" s="41">
        <v>0</v>
      </c>
      <c r="H119" s="41">
        <v>-3</v>
      </c>
      <c r="I119" s="41">
        <v>0</v>
      </c>
      <c r="J119" s="41">
        <v>0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>
        <v>0</v>
      </c>
      <c r="R119" s="39"/>
      <c r="S119" s="28"/>
    </row>
    <row r="120" spans="1:19">
      <c r="A120" s="651">
        <v>551000</v>
      </c>
      <c r="B120" s="650" t="s">
        <v>143</v>
      </c>
      <c r="C120" s="651" t="s">
        <v>299</v>
      </c>
      <c r="D120" s="37">
        <f t="shared" si="7"/>
        <v>551</v>
      </c>
      <c r="E120" s="166">
        <f t="shared" si="4"/>
        <v>129300</v>
      </c>
      <c r="F120" s="41">
        <v>10617</v>
      </c>
      <c r="G120" s="41">
        <v>9736</v>
      </c>
      <c r="H120" s="41">
        <v>15168</v>
      </c>
      <c r="I120" s="41">
        <v>8828</v>
      </c>
      <c r="J120" s="41">
        <v>9333</v>
      </c>
      <c r="K120" s="41">
        <v>8697</v>
      </c>
      <c r="L120" s="41">
        <v>11158</v>
      </c>
      <c r="M120" s="41">
        <v>11157</v>
      </c>
      <c r="N120" s="41">
        <v>11097</v>
      </c>
      <c r="O120" s="41">
        <v>11180</v>
      </c>
      <c r="P120" s="41">
        <v>11178</v>
      </c>
      <c r="Q120" s="41">
        <v>11151</v>
      </c>
      <c r="R120" s="39"/>
      <c r="S120" s="28"/>
    </row>
    <row r="121" spans="1:19">
      <c r="A121" s="651">
        <v>552000</v>
      </c>
      <c r="B121" s="650" t="s">
        <v>303</v>
      </c>
      <c r="C121" s="651" t="s">
        <v>299</v>
      </c>
      <c r="D121" s="37">
        <f t="shared" si="7"/>
        <v>552</v>
      </c>
      <c r="E121" s="166">
        <f t="shared" si="4"/>
        <v>279227</v>
      </c>
      <c r="F121" s="41">
        <v>20903</v>
      </c>
      <c r="G121" s="41">
        <v>15706</v>
      </c>
      <c r="H121" s="41">
        <v>8691</v>
      </c>
      <c r="I121" s="41">
        <v>14360</v>
      </c>
      <c r="J121" s="41">
        <v>23216</v>
      </c>
      <c r="K121" s="41">
        <v>9051</v>
      </c>
      <c r="L121" s="41">
        <v>31218</v>
      </c>
      <c r="M121" s="41">
        <v>31218</v>
      </c>
      <c r="N121" s="41">
        <v>31218</v>
      </c>
      <c r="O121" s="41">
        <v>31218</v>
      </c>
      <c r="P121" s="41">
        <v>31210</v>
      </c>
      <c r="Q121" s="41">
        <v>31218</v>
      </c>
      <c r="R121" s="39"/>
      <c r="S121" s="28"/>
    </row>
    <row r="122" spans="1:19">
      <c r="A122" s="651">
        <v>552220</v>
      </c>
      <c r="B122" s="650" t="s">
        <v>144</v>
      </c>
      <c r="C122" s="651" t="s">
        <v>299</v>
      </c>
      <c r="D122" s="37">
        <f t="shared" si="7"/>
        <v>552</v>
      </c>
      <c r="E122" s="166">
        <f t="shared" si="4"/>
        <v>0</v>
      </c>
      <c r="F122" s="41">
        <v>0</v>
      </c>
      <c r="G122" s="41">
        <v>0</v>
      </c>
      <c r="H122" s="41">
        <v>0</v>
      </c>
      <c r="I122" s="41">
        <v>0</v>
      </c>
      <c r="J122" s="41">
        <v>0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>
        <v>0</v>
      </c>
      <c r="R122" s="39"/>
      <c r="S122" s="28"/>
    </row>
    <row r="123" spans="1:19">
      <c r="A123" s="651">
        <v>553000</v>
      </c>
      <c r="B123" s="650" t="s">
        <v>145</v>
      </c>
      <c r="C123" s="651" t="s">
        <v>299</v>
      </c>
      <c r="D123" s="37">
        <f t="shared" si="7"/>
        <v>553</v>
      </c>
      <c r="E123" s="166">
        <f t="shared" si="4"/>
        <v>426697</v>
      </c>
      <c r="F123" s="41">
        <v>4768</v>
      </c>
      <c r="G123" s="41">
        <v>18665</v>
      </c>
      <c r="H123" s="41">
        <v>18115</v>
      </c>
      <c r="I123" s="41">
        <v>9239</v>
      </c>
      <c r="J123" s="41">
        <v>16159</v>
      </c>
      <c r="K123" s="41">
        <v>5762</v>
      </c>
      <c r="L123" s="41">
        <v>117325</v>
      </c>
      <c r="M123" s="41">
        <v>78162</v>
      </c>
      <c r="N123" s="41">
        <v>42325</v>
      </c>
      <c r="O123" s="41">
        <v>42345</v>
      </c>
      <c r="P123" s="41">
        <v>36923</v>
      </c>
      <c r="Q123" s="41">
        <v>36909</v>
      </c>
      <c r="R123" s="39"/>
      <c r="S123" s="28"/>
    </row>
    <row r="124" spans="1:19">
      <c r="A124" s="651">
        <v>554000</v>
      </c>
      <c r="B124" s="650" t="s">
        <v>146</v>
      </c>
      <c r="C124" s="651" t="s">
        <v>299</v>
      </c>
      <c r="D124" s="37">
        <f t="shared" si="7"/>
        <v>554</v>
      </c>
      <c r="E124" s="166">
        <f t="shared" si="4"/>
        <v>248727</v>
      </c>
      <c r="F124" s="41">
        <v>1537</v>
      </c>
      <c r="G124" s="41">
        <v>29858</v>
      </c>
      <c r="H124" s="41">
        <v>18013</v>
      </c>
      <c r="I124" s="41">
        <v>17807</v>
      </c>
      <c r="J124" s="41">
        <v>102648</v>
      </c>
      <c r="K124" s="41">
        <v>13821</v>
      </c>
      <c r="L124" s="41">
        <v>10839</v>
      </c>
      <c r="M124" s="41">
        <v>10839</v>
      </c>
      <c r="N124" s="41">
        <v>10839</v>
      </c>
      <c r="O124" s="41">
        <v>10839</v>
      </c>
      <c r="P124" s="41">
        <v>10848</v>
      </c>
      <c r="Q124" s="41">
        <v>10839</v>
      </c>
      <c r="R124" s="39"/>
      <c r="S124" s="28"/>
    </row>
    <row r="125" spans="1:19">
      <c r="A125" s="651">
        <v>555028</v>
      </c>
      <c r="B125" s="650" t="s">
        <v>147</v>
      </c>
      <c r="C125" s="651" t="s">
        <v>304</v>
      </c>
      <c r="D125" s="37">
        <f t="shared" si="7"/>
        <v>555</v>
      </c>
      <c r="E125" s="166">
        <f t="shared" si="4"/>
        <v>-299230</v>
      </c>
      <c r="F125" s="41">
        <v>-175045</v>
      </c>
      <c r="G125" s="41">
        <v>0</v>
      </c>
      <c r="H125" s="41">
        <v>0</v>
      </c>
      <c r="I125" s="41">
        <v>-124185</v>
      </c>
      <c r="J125" s="41">
        <v>0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>
        <v>0</v>
      </c>
      <c r="R125" s="39"/>
      <c r="S125" s="28"/>
    </row>
    <row r="126" spans="1:19">
      <c r="A126" s="651">
        <v>555190</v>
      </c>
      <c r="B126" s="650" t="s">
        <v>305</v>
      </c>
      <c r="C126" s="651" t="s">
        <v>304</v>
      </c>
      <c r="D126" s="37">
        <f t="shared" si="7"/>
        <v>555</v>
      </c>
      <c r="E126" s="166">
        <f t="shared" si="4"/>
        <v>0</v>
      </c>
      <c r="F126" s="41">
        <v>0</v>
      </c>
      <c r="G126" s="41">
        <v>0</v>
      </c>
      <c r="H126" s="41">
        <v>0</v>
      </c>
      <c r="I126" s="41">
        <v>0</v>
      </c>
      <c r="J126" s="41">
        <v>0</v>
      </c>
      <c r="K126" s="41">
        <v>0</v>
      </c>
      <c r="L126" s="41">
        <v>0</v>
      </c>
      <c r="M126" s="41">
        <v>0</v>
      </c>
      <c r="N126" s="41">
        <v>0</v>
      </c>
      <c r="O126" s="41">
        <v>0</v>
      </c>
      <c r="P126" s="41">
        <v>0</v>
      </c>
      <c r="Q126" s="41">
        <v>0</v>
      </c>
      <c r="R126" s="39"/>
      <c r="S126" s="28"/>
    </row>
    <row r="127" spans="1:19">
      <c r="A127" s="651">
        <v>555202</v>
      </c>
      <c r="B127" s="650" t="s">
        <v>148</v>
      </c>
      <c r="C127" s="651" t="s">
        <v>304</v>
      </c>
      <c r="D127" s="37">
        <f t="shared" si="7"/>
        <v>555</v>
      </c>
      <c r="E127" s="166">
        <f t="shared" si="4"/>
        <v>75545688</v>
      </c>
      <c r="F127" s="41">
        <v>4597980</v>
      </c>
      <c r="G127" s="41">
        <v>3637374</v>
      </c>
      <c r="H127" s="41">
        <v>8348284</v>
      </c>
      <c r="I127" s="41">
        <v>5849874</v>
      </c>
      <c r="J127" s="41">
        <v>3467654</v>
      </c>
      <c r="K127" s="41">
        <v>3438115</v>
      </c>
      <c r="L127" s="41">
        <v>12467937</v>
      </c>
      <c r="M127" s="41">
        <v>11844677</v>
      </c>
      <c r="N127" s="41">
        <v>9630625</v>
      </c>
      <c r="O127" s="41">
        <v>4304111</v>
      </c>
      <c r="P127" s="41">
        <v>3748471</v>
      </c>
      <c r="Q127" s="41">
        <v>4210586</v>
      </c>
      <c r="R127" s="39"/>
      <c r="S127" s="28"/>
    </row>
    <row r="128" spans="1:19">
      <c r="A128" s="651">
        <v>556000</v>
      </c>
      <c r="B128" s="650" t="s">
        <v>149</v>
      </c>
      <c r="C128" s="651" t="s">
        <v>306</v>
      </c>
      <c r="D128" s="37">
        <f t="shared" si="7"/>
        <v>556</v>
      </c>
      <c r="E128" s="166">
        <f t="shared" si="4"/>
        <v>420</v>
      </c>
      <c r="F128" s="41">
        <v>0</v>
      </c>
      <c r="G128" s="41">
        <v>0</v>
      </c>
      <c r="H128" s="41">
        <v>0</v>
      </c>
      <c r="I128" s="41">
        <v>0</v>
      </c>
      <c r="J128" s="41">
        <v>0</v>
      </c>
      <c r="K128" s="41">
        <v>0</v>
      </c>
      <c r="L128" s="41">
        <v>70</v>
      </c>
      <c r="M128" s="41">
        <v>70</v>
      </c>
      <c r="N128" s="41">
        <v>70</v>
      </c>
      <c r="O128" s="41">
        <v>70</v>
      </c>
      <c r="P128" s="41">
        <v>70</v>
      </c>
      <c r="Q128" s="41">
        <v>70</v>
      </c>
      <c r="R128" s="39"/>
      <c r="S128" s="28"/>
    </row>
    <row r="129" spans="1:19">
      <c r="A129" s="651">
        <v>557000</v>
      </c>
      <c r="B129" s="650" t="s">
        <v>150</v>
      </c>
      <c r="C129" s="651" t="s">
        <v>306</v>
      </c>
      <c r="D129" s="37">
        <f t="shared" si="7"/>
        <v>557</v>
      </c>
      <c r="E129" s="166">
        <f t="shared" si="4"/>
        <v>4567847</v>
      </c>
      <c r="F129" s="41">
        <v>-1858634</v>
      </c>
      <c r="G129" s="41">
        <v>748707</v>
      </c>
      <c r="H129" s="41">
        <v>1815398</v>
      </c>
      <c r="I129" s="41">
        <v>-1614362</v>
      </c>
      <c r="J129" s="41">
        <v>-437454</v>
      </c>
      <c r="K129" s="41">
        <v>2087449</v>
      </c>
      <c r="L129" s="41">
        <v>623618</v>
      </c>
      <c r="M129" s="41">
        <v>639397</v>
      </c>
      <c r="N129" s="41">
        <v>566176</v>
      </c>
      <c r="O129" s="41">
        <v>740145</v>
      </c>
      <c r="P129" s="41">
        <v>566421</v>
      </c>
      <c r="Q129" s="41">
        <v>690986</v>
      </c>
      <c r="R129" s="39"/>
      <c r="S129" s="28"/>
    </row>
    <row r="130" spans="1:19">
      <c r="A130" s="651">
        <v>557450</v>
      </c>
      <c r="B130" s="650" t="s">
        <v>151</v>
      </c>
      <c r="C130" s="651" t="s">
        <v>306</v>
      </c>
      <c r="D130" s="37">
        <f t="shared" si="7"/>
        <v>557</v>
      </c>
      <c r="E130" s="166">
        <f t="shared" si="4"/>
        <v>12151</v>
      </c>
      <c r="F130" s="41">
        <v>705</v>
      </c>
      <c r="G130" s="41">
        <v>2262</v>
      </c>
      <c r="H130" s="41">
        <v>538</v>
      </c>
      <c r="I130" s="41">
        <v>719</v>
      </c>
      <c r="J130" s="41">
        <v>696</v>
      </c>
      <c r="K130" s="41">
        <v>1615</v>
      </c>
      <c r="L130" s="41">
        <v>936</v>
      </c>
      <c r="M130" s="41">
        <v>936</v>
      </c>
      <c r="N130" s="41">
        <v>936</v>
      </c>
      <c r="O130" s="41">
        <v>936</v>
      </c>
      <c r="P130" s="41">
        <v>936</v>
      </c>
      <c r="Q130" s="41">
        <v>936</v>
      </c>
      <c r="R130" s="39"/>
      <c r="S130" s="28"/>
    </row>
    <row r="131" spans="1:19">
      <c r="A131" s="651">
        <v>557451</v>
      </c>
      <c r="B131" s="650" t="s">
        <v>152</v>
      </c>
      <c r="C131" s="651" t="s">
        <v>306</v>
      </c>
      <c r="D131" s="37">
        <f t="shared" si="7"/>
        <v>557</v>
      </c>
      <c r="E131" s="166">
        <f t="shared" si="4"/>
        <v>6368</v>
      </c>
      <c r="F131" s="41">
        <v>97</v>
      </c>
      <c r="G131" s="41">
        <v>0</v>
      </c>
      <c r="H131" s="41">
        <v>0</v>
      </c>
      <c r="I131" s="41">
        <v>0</v>
      </c>
      <c r="J131" s="41">
        <v>21</v>
      </c>
      <c r="K131" s="41">
        <v>6250</v>
      </c>
      <c r="L131" s="41">
        <v>0</v>
      </c>
      <c r="M131" s="41">
        <v>0</v>
      </c>
      <c r="N131" s="41">
        <v>0</v>
      </c>
      <c r="O131" s="41">
        <v>0</v>
      </c>
      <c r="P131" s="41">
        <v>0</v>
      </c>
      <c r="Q131" s="41">
        <v>0</v>
      </c>
      <c r="R131" s="39"/>
      <c r="S131" s="28"/>
    </row>
    <row r="132" spans="1:19">
      <c r="A132" s="651">
        <v>557980</v>
      </c>
      <c r="B132" s="650" t="s">
        <v>153</v>
      </c>
      <c r="C132" s="651" t="s">
        <v>282</v>
      </c>
      <c r="D132" s="37">
        <f t="shared" si="7"/>
        <v>557</v>
      </c>
      <c r="E132" s="166">
        <f t="shared" si="4"/>
        <v>6131084</v>
      </c>
      <c r="F132" s="41">
        <v>-218739</v>
      </c>
      <c r="G132" s="41">
        <v>2703639</v>
      </c>
      <c r="H132" s="41">
        <v>-3122073</v>
      </c>
      <c r="I132" s="41">
        <v>3971865</v>
      </c>
      <c r="J132" s="41">
        <v>682065</v>
      </c>
      <c r="K132" s="41">
        <v>-716659</v>
      </c>
      <c r="L132" s="41">
        <v>-872443</v>
      </c>
      <c r="M132" s="41">
        <v>-1162767</v>
      </c>
      <c r="N132" s="41">
        <v>1037613</v>
      </c>
      <c r="O132" s="41">
        <v>1415248</v>
      </c>
      <c r="P132" s="41">
        <v>1492337</v>
      </c>
      <c r="Q132" s="41">
        <v>920998</v>
      </c>
      <c r="R132" s="39"/>
      <c r="S132" s="28"/>
    </row>
    <row r="133" spans="1:19">
      <c r="A133" s="651">
        <v>560000</v>
      </c>
      <c r="B133" s="650" t="s">
        <v>154</v>
      </c>
      <c r="C133" s="651" t="s">
        <v>307</v>
      </c>
      <c r="D133" s="37">
        <f t="shared" si="7"/>
        <v>560</v>
      </c>
      <c r="E133" s="166">
        <f t="shared" si="4"/>
        <v>494</v>
      </c>
      <c r="F133" s="41">
        <v>60</v>
      </c>
      <c r="G133" s="41">
        <v>83</v>
      </c>
      <c r="H133" s="41">
        <v>82</v>
      </c>
      <c r="I133" s="41">
        <v>74</v>
      </c>
      <c r="J133" s="41">
        <v>56</v>
      </c>
      <c r="K133" s="41">
        <v>139</v>
      </c>
      <c r="L133" s="41">
        <v>0</v>
      </c>
      <c r="M133" s="41">
        <v>0</v>
      </c>
      <c r="N133" s="41">
        <v>0</v>
      </c>
      <c r="O133" s="41">
        <v>0</v>
      </c>
      <c r="P133" s="41">
        <v>0</v>
      </c>
      <c r="Q133" s="41">
        <v>0</v>
      </c>
      <c r="R133" s="39"/>
      <c r="S133" s="28"/>
    </row>
    <row r="134" spans="1:19">
      <c r="A134" s="651">
        <v>561100</v>
      </c>
      <c r="B134" s="650" t="s">
        <v>155</v>
      </c>
      <c r="C134" s="651" t="s">
        <v>307</v>
      </c>
      <c r="D134" s="37">
        <f t="shared" si="7"/>
        <v>561</v>
      </c>
      <c r="E134" s="166">
        <f t="shared" si="4"/>
        <v>75695</v>
      </c>
      <c r="F134" s="41">
        <v>6793</v>
      </c>
      <c r="G134" s="41">
        <v>6978</v>
      </c>
      <c r="H134" s="41">
        <v>7135</v>
      </c>
      <c r="I134" s="41">
        <v>6151</v>
      </c>
      <c r="J134" s="41">
        <v>5987</v>
      </c>
      <c r="K134" s="41">
        <v>6547</v>
      </c>
      <c r="L134" s="41">
        <v>6391</v>
      </c>
      <c r="M134" s="41">
        <v>6247</v>
      </c>
      <c r="N134" s="41">
        <v>6020</v>
      </c>
      <c r="O134" s="41">
        <v>5581</v>
      </c>
      <c r="P134" s="41">
        <v>5675</v>
      </c>
      <c r="Q134" s="41">
        <v>6190</v>
      </c>
      <c r="R134" s="39"/>
      <c r="S134" s="28"/>
    </row>
    <row r="135" spans="1:19">
      <c r="A135" s="651">
        <v>561200</v>
      </c>
      <c r="B135" s="650" t="s">
        <v>156</v>
      </c>
      <c r="C135" s="651" t="s">
        <v>307</v>
      </c>
      <c r="D135" s="37">
        <f t="shared" si="7"/>
        <v>561</v>
      </c>
      <c r="E135" s="166">
        <f t="shared" si="4"/>
        <v>333129</v>
      </c>
      <c r="F135" s="41">
        <v>31073</v>
      </c>
      <c r="G135" s="41">
        <v>32257</v>
      </c>
      <c r="H135" s="41">
        <v>33220</v>
      </c>
      <c r="I135" s="41">
        <v>28759</v>
      </c>
      <c r="J135" s="41">
        <v>28007</v>
      </c>
      <c r="K135" s="41">
        <v>30763</v>
      </c>
      <c r="L135" s="41">
        <v>29772</v>
      </c>
      <c r="M135" s="41">
        <v>7362</v>
      </c>
      <c r="N135" s="41">
        <v>28478</v>
      </c>
      <c r="O135" s="41">
        <v>26946</v>
      </c>
      <c r="P135" s="41">
        <v>27421</v>
      </c>
      <c r="Q135" s="41">
        <v>29071</v>
      </c>
      <c r="R135" s="39"/>
      <c r="S135" s="28"/>
    </row>
    <row r="136" spans="1:19">
      <c r="A136" s="651">
        <v>561300</v>
      </c>
      <c r="B136" s="650" t="s">
        <v>157</v>
      </c>
      <c r="C136" s="651" t="s">
        <v>307</v>
      </c>
      <c r="D136" s="37">
        <f t="shared" si="7"/>
        <v>561</v>
      </c>
      <c r="E136" s="166">
        <f t="shared" si="4"/>
        <v>47940</v>
      </c>
      <c r="F136" s="41">
        <v>4195</v>
      </c>
      <c r="G136" s="41">
        <v>4345</v>
      </c>
      <c r="H136" s="41">
        <v>4471</v>
      </c>
      <c r="I136" s="41">
        <v>3861</v>
      </c>
      <c r="J136" s="41">
        <v>3765</v>
      </c>
      <c r="K136" s="41">
        <v>4134</v>
      </c>
      <c r="L136" s="41">
        <v>4045</v>
      </c>
      <c r="M136" s="41">
        <v>3974</v>
      </c>
      <c r="N136" s="41">
        <v>3860</v>
      </c>
      <c r="O136" s="41">
        <v>3641</v>
      </c>
      <c r="P136" s="41">
        <v>3704</v>
      </c>
      <c r="Q136" s="41">
        <v>3945</v>
      </c>
      <c r="R136" s="39"/>
    </row>
    <row r="137" spans="1:19">
      <c r="A137" s="651">
        <v>561400</v>
      </c>
      <c r="B137" s="650" t="s">
        <v>158</v>
      </c>
      <c r="C137" s="651" t="s">
        <v>307</v>
      </c>
      <c r="D137" s="37">
        <f t="shared" si="7"/>
        <v>561</v>
      </c>
      <c r="E137" s="166">
        <f t="shared" si="4"/>
        <v>2405148</v>
      </c>
      <c r="F137" s="41">
        <v>293424</v>
      </c>
      <c r="G137" s="41">
        <v>341434</v>
      </c>
      <c r="H137" s="41">
        <v>365052</v>
      </c>
      <c r="I137" s="41">
        <v>303396</v>
      </c>
      <c r="J137" s="41">
        <v>259611</v>
      </c>
      <c r="K137" s="41">
        <v>242231</v>
      </c>
      <c r="L137" s="41">
        <v>100000</v>
      </c>
      <c r="M137" s="41">
        <v>100000</v>
      </c>
      <c r="N137" s="41">
        <v>100000</v>
      </c>
      <c r="O137" s="41">
        <v>100000</v>
      </c>
      <c r="P137" s="41">
        <v>100000</v>
      </c>
      <c r="Q137" s="41">
        <v>100000</v>
      </c>
      <c r="R137" s="39"/>
    </row>
    <row r="138" spans="1:19">
      <c r="A138" s="651">
        <v>561500</v>
      </c>
      <c r="B138" s="650" t="s">
        <v>159</v>
      </c>
      <c r="C138" s="651" t="s">
        <v>307</v>
      </c>
      <c r="D138" s="37">
        <f t="shared" si="7"/>
        <v>561</v>
      </c>
      <c r="E138" s="166">
        <f t="shared" ref="E138" si="11">SUM(F138:Q138)</f>
        <v>675</v>
      </c>
      <c r="F138" s="41">
        <v>675</v>
      </c>
      <c r="G138" s="41">
        <v>0</v>
      </c>
      <c r="H138" s="41">
        <v>0</v>
      </c>
      <c r="I138" s="41">
        <v>0</v>
      </c>
      <c r="J138" s="41">
        <v>0</v>
      </c>
      <c r="K138" s="41">
        <v>0</v>
      </c>
      <c r="L138" s="41">
        <v>0</v>
      </c>
      <c r="M138" s="41">
        <v>0</v>
      </c>
      <c r="N138" s="41">
        <v>0</v>
      </c>
      <c r="O138" s="41">
        <v>0</v>
      </c>
      <c r="P138" s="41">
        <v>0</v>
      </c>
      <c r="Q138" s="41">
        <v>0</v>
      </c>
      <c r="R138" s="39"/>
    </row>
    <row r="139" spans="1:19">
      <c r="A139" s="651">
        <v>561800</v>
      </c>
      <c r="B139" s="650" t="s">
        <v>308</v>
      </c>
      <c r="C139" s="651" t="s">
        <v>307</v>
      </c>
      <c r="D139" s="37">
        <f t="shared" si="7"/>
        <v>561</v>
      </c>
      <c r="E139" s="166">
        <f t="shared" si="4"/>
        <v>2072831</v>
      </c>
      <c r="F139" s="41">
        <v>186731</v>
      </c>
      <c r="G139" s="41">
        <v>138645</v>
      </c>
      <c r="H139" s="41">
        <v>126433</v>
      </c>
      <c r="I139" s="41">
        <v>183977</v>
      </c>
      <c r="J139" s="41">
        <v>184140</v>
      </c>
      <c r="K139" s="41">
        <v>184033</v>
      </c>
      <c r="L139" s="41">
        <v>172500</v>
      </c>
      <c r="M139" s="41">
        <v>172500</v>
      </c>
      <c r="N139" s="41">
        <v>172500</v>
      </c>
      <c r="O139" s="41">
        <v>172500</v>
      </c>
      <c r="P139" s="41">
        <v>189436</v>
      </c>
      <c r="Q139" s="41">
        <v>189436</v>
      </c>
      <c r="R139" s="39"/>
    </row>
    <row r="140" spans="1:19">
      <c r="A140" s="651">
        <v>562000</v>
      </c>
      <c r="B140" s="650" t="s">
        <v>160</v>
      </c>
      <c r="C140" s="651" t="s">
        <v>307</v>
      </c>
      <c r="D140" s="37">
        <f t="shared" si="7"/>
        <v>562</v>
      </c>
      <c r="E140" s="166">
        <f t="shared" si="4"/>
        <v>57325</v>
      </c>
      <c r="F140" s="41">
        <v>2569</v>
      </c>
      <c r="G140" s="41">
        <v>8456</v>
      </c>
      <c r="H140" s="41">
        <v>4768</v>
      </c>
      <c r="I140" s="41">
        <v>808</v>
      </c>
      <c r="J140" s="41">
        <v>1042</v>
      </c>
      <c r="K140" s="41">
        <v>2370</v>
      </c>
      <c r="L140" s="41">
        <v>12445</v>
      </c>
      <c r="M140" s="41">
        <v>15670</v>
      </c>
      <c r="N140" s="41">
        <v>4321</v>
      </c>
      <c r="O140" s="41">
        <v>1662</v>
      </c>
      <c r="P140" s="41">
        <v>1562</v>
      </c>
      <c r="Q140" s="41">
        <v>1652</v>
      </c>
      <c r="R140" s="39"/>
    </row>
    <row r="141" spans="1:19">
      <c r="A141" s="651">
        <v>563000</v>
      </c>
      <c r="B141" s="650" t="s">
        <v>161</v>
      </c>
      <c r="C141" s="651" t="s">
        <v>307</v>
      </c>
      <c r="D141" s="37">
        <f t="shared" si="7"/>
        <v>563</v>
      </c>
      <c r="E141" s="166">
        <f t="shared" si="4"/>
        <v>52117</v>
      </c>
      <c r="F141" s="41">
        <v>155</v>
      </c>
      <c r="G141" s="41">
        <v>48506</v>
      </c>
      <c r="H141" s="41">
        <v>93</v>
      </c>
      <c r="I141" s="41">
        <v>107</v>
      </c>
      <c r="J141" s="41">
        <v>21</v>
      </c>
      <c r="K141" s="41">
        <v>322</v>
      </c>
      <c r="L141" s="41">
        <v>0</v>
      </c>
      <c r="M141" s="41">
        <v>0</v>
      </c>
      <c r="N141" s="41">
        <v>0</v>
      </c>
      <c r="O141" s="41">
        <v>0</v>
      </c>
      <c r="P141" s="41">
        <v>2913</v>
      </c>
      <c r="Q141" s="41">
        <v>0</v>
      </c>
      <c r="R141" s="39"/>
    </row>
    <row r="142" spans="1:19">
      <c r="A142" s="651">
        <v>565000</v>
      </c>
      <c r="B142" s="650" t="s">
        <v>309</v>
      </c>
      <c r="C142" s="651" t="s">
        <v>307</v>
      </c>
      <c r="D142" s="37">
        <f t="shared" si="7"/>
        <v>565</v>
      </c>
      <c r="E142" s="166">
        <f t="shared" si="4"/>
        <v>24452046</v>
      </c>
      <c r="F142" s="41">
        <v>2208979</v>
      </c>
      <c r="G142" s="41">
        <v>1976319</v>
      </c>
      <c r="H142" s="41">
        <v>1863233</v>
      </c>
      <c r="I142" s="41">
        <v>2367016</v>
      </c>
      <c r="J142" s="41">
        <v>1648801</v>
      </c>
      <c r="K142" s="41">
        <v>2116339</v>
      </c>
      <c r="L142" s="41">
        <v>2031278</v>
      </c>
      <c r="M142" s="41">
        <v>1782473</v>
      </c>
      <c r="N142" s="41">
        <v>1892028</v>
      </c>
      <c r="O142" s="41">
        <v>2031278</v>
      </c>
      <c r="P142" s="41">
        <v>2267151</v>
      </c>
      <c r="Q142" s="41">
        <v>2267151</v>
      </c>
      <c r="R142" s="39"/>
    </row>
    <row r="143" spans="1:19">
      <c r="A143" s="651">
        <v>566000</v>
      </c>
      <c r="B143" s="650" t="s">
        <v>162</v>
      </c>
      <c r="C143" s="651" t="s">
        <v>307</v>
      </c>
      <c r="D143" s="37">
        <f t="shared" si="7"/>
        <v>566</v>
      </c>
      <c r="E143" s="166">
        <f t="shared" si="4"/>
        <v>124102</v>
      </c>
      <c r="F143" s="41">
        <v>4202</v>
      </c>
      <c r="G143" s="41">
        <v>5973</v>
      </c>
      <c r="H143" s="41">
        <v>7389</v>
      </c>
      <c r="I143" s="41">
        <v>7330</v>
      </c>
      <c r="J143" s="41">
        <v>6513</v>
      </c>
      <c r="K143" s="41">
        <v>30560</v>
      </c>
      <c r="L143" s="41">
        <v>9880</v>
      </c>
      <c r="M143" s="41">
        <v>11399</v>
      </c>
      <c r="N143" s="41">
        <v>10546</v>
      </c>
      <c r="O143" s="41">
        <v>9537</v>
      </c>
      <c r="P143" s="41">
        <v>11134</v>
      </c>
      <c r="Q143" s="41">
        <v>9639</v>
      </c>
      <c r="R143" s="39"/>
    </row>
    <row r="144" spans="1:19">
      <c r="A144" s="651">
        <v>566100</v>
      </c>
      <c r="B144" s="650" t="s">
        <v>163</v>
      </c>
      <c r="C144" s="651" t="s">
        <v>307</v>
      </c>
      <c r="D144" s="37">
        <f t="shared" si="7"/>
        <v>566</v>
      </c>
      <c r="E144" s="166">
        <f t="shared" si="4"/>
        <v>7936</v>
      </c>
      <c r="F144" s="41">
        <v>322</v>
      </c>
      <c r="G144" s="41">
        <v>272</v>
      </c>
      <c r="H144" s="41">
        <v>4749</v>
      </c>
      <c r="I144" s="41">
        <v>291</v>
      </c>
      <c r="J144" s="41">
        <v>249</v>
      </c>
      <c r="K144" s="41">
        <v>301</v>
      </c>
      <c r="L144" s="41">
        <v>292</v>
      </c>
      <c r="M144" s="41">
        <v>292</v>
      </c>
      <c r="N144" s="41">
        <v>292</v>
      </c>
      <c r="O144" s="41">
        <v>292</v>
      </c>
      <c r="P144" s="41">
        <v>292</v>
      </c>
      <c r="Q144" s="41">
        <v>292</v>
      </c>
      <c r="R144" s="39"/>
    </row>
    <row r="145" spans="1:19">
      <c r="A145" s="651">
        <v>567000</v>
      </c>
      <c r="B145" s="650" t="s">
        <v>164</v>
      </c>
      <c r="C145" s="651" t="s">
        <v>307</v>
      </c>
      <c r="D145" s="37">
        <f>VALUE(LEFT(A145,3))</f>
        <v>567</v>
      </c>
      <c r="E145" s="166">
        <f>SUM(F145:Q145)</f>
        <v>3750</v>
      </c>
      <c r="F145" s="41">
        <v>0</v>
      </c>
      <c r="G145" s="41">
        <v>0</v>
      </c>
      <c r="H145" s="41">
        <v>0</v>
      </c>
      <c r="I145" s="41">
        <v>0</v>
      </c>
      <c r="J145" s="41">
        <v>0</v>
      </c>
      <c r="K145" s="41">
        <v>0</v>
      </c>
      <c r="L145" s="41">
        <v>625</v>
      </c>
      <c r="M145" s="41">
        <v>625</v>
      </c>
      <c r="N145" s="41">
        <v>625</v>
      </c>
      <c r="O145" s="41">
        <v>625</v>
      </c>
      <c r="P145" s="41">
        <v>625</v>
      </c>
      <c r="Q145" s="41">
        <v>625</v>
      </c>
      <c r="R145" s="39"/>
    </row>
    <row r="146" spans="1:19">
      <c r="A146" s="651">
        <v>569000</v>
      </c>
      <c r="B146" s="650" t="s">
        <v>310</v>
      </c>
      <c r="C146" s="651" t="s">
        <v>311</v>
      </c>
      <c r="D146" s="37">
        <f t="shared" si="7"/>
        <v>569</v>
      </c>
      <c r="E146" s="166">
        <f>SUM(F146:Q146)</f>
        <v>23885</v>
      </c>
      <c r="F146" s="41">
        <v>10</v>
      </c>
      <c r="G146" s="41">
        <v>1620</v>
      </c>
      <c r="H146" s="41">
        <v>13</v>
      </c>
      <c r="I146" s="41">
        <v>0</v>
      </c>
      <c r="J146" s="41">
        <v>3279</v>
      </c>
      <c r="K146" s="41">
        <v>3925</v>
      </c>
      <c r="L146" s="41">
        <v>1954</v>
      </c>
      <c r="M146" s="41">
        <v>3496</v>
      </c>
      <c r="N146" s="41">
        <v>3080</v>
      </c>
      <c r="O146" s="41">
        <v>2130</v>
      </c>
      <c r="P146" s="41">
        <v>2230</v>
      </c>
      <c r="Q146" s="41">
        <v>2148</v>
      </c>
      <c r="R146" s="39"/>
    </row>
    <row r="147" spans="1:19">
      <c r="A147" s="651">
        <v>569100</v>
      </c>
      <c r="B147" s="650" t="s">
        <v>165</v>
      </c>
      <c r="C147" s="651" t="s">
        <v>311</v>
      </c>
      <c r="D147" s="37">
        <f t="shared" si="7"/>
        <v>569</v>
      </c>
      <c r="E147" s="166">
        <f t="shared" ref="E147" si="12">SUM(F147:Q147)</f>
        <v>432</v>
      </c>
      <c r="F147" s="41">
        <v>210</v>
      </c>
      <c r="G147" s="41">
        <v>222</v>
      </c>
      <c r="H147" s="41">
        <v>0</v>
      </c>
      <c r="I147" s="41">
        <v>0</v>
      </c>
      <c r="J147" s="41">
        <v>0</v>
      </c>
      <c r="K147" s="41">
        <v>0</v>
      </c>
      <c r="L147" s="41">
        <v>0</v>
      </c>
      <c r="M147" s="41">
        <v>0</v>
      </c>
      <c r="N147" s="41">
        <v>0</v>
      </c>
      <c r="O147" s="41">
        <v>0</v>
      </c>
      <c r="P147" s="41">
        <v>0</v>
      </c>
      <c r="Q147" s="41">
        <v>0</v>
      </c>
      <c r="R147" s="39"/>
    </row>
    <row r="148" spans="1:19">
      <c r="A148" s="651">
        <v>569200</v>
      </c>
      <c r="B148" s="650" t="s">
        <v>312</v>
      </c>
      <c r="C148" s="651" t="s">
        <v>311</v>
      </c>
      <c r="D148" s="37">
        <f t="shared" si="7"/>
        <v>569</v>
      </c>
      <c r="E148" s="166">
        <f t="shared" si="4"/>
        <v>71707</v>
      </c>
      <c r="F148" s="41">
        <v>5220</v>
      </c>
      <c r="G148" s="41">
        <v>5320</v>
      </c>
      <c r="H148" s="41">
        <v>5214</v>
      </c>
      <c r="I148" s="41">
        <v>6080</v>
      </c>
      <c r="J148" s="41">
        <v>5158</v>
      </c>
      <c r="K148" s="41">
        <v>5537</v>
      </c>
      <c r="L148" s="41">
        <v>5412</v>
      </c>
      <c r="M148" s="41">
        <v>5412</v>
      </c>
      <c r="N148" s="41">
        <v>5413</v>
      </c>
      <c r="O148" s="41">
        <v>5413</v>
      </c>
      <c r="P148" s="41">
        <v>5401</v>
      </c>
      <c r="Q148" s="41">
        <v>12127</v>
      </c>
      <c r="R148" s="39"/>
    </row>
    <row r="149" spans="1:19">
      <c r="A149" s="651">
        <v>570100</v>
      </c>
      <c r="B149" s="650" t="s">
        <v>166</v>
      </c>
      <c r="C149" s="651" t="s">
        <v>311</v>
      </c>
      <c r="D149" s="37">
        <f t="shared" si="7"/>
        <v>570</v>
      </c>
      <c r="E149" s="166">
        <f t="shared" si="4"/>
        <v>25965</v>
      </c>
      <c r="F149" s="41">
        <v>2224</v>
      </c>
      <c r="G149" s="41">
        <v>2175</v>
      </c>
      <c r="H149" s="41">
        <v>1624</v>
      </c>
      <c r="I149" s="41">
        <v>3743</v>
      </c>
      <c r="J149" s="41">
        <v>1987</v>
      </c>
      <c r="K149" s="41">
        <v>3450</v>
      </c>
      <c r="L149" s="41">
        <v>1529</v>
      </c>
      <c r="M149" s="41">
        <v>1715</v>
      </c>
      <c r="N149" s="41">
        <v>2595</v>
      </c>
      <c r="O149" s="41">
        <v>534</v>
      </c>
      <c r="P149" s="41">
        <v>2802</v>
      </c>
      <c r="Q149" s="41">
        <v>1587</v>
      </c>
      <c r="R149" s="39"/>
    </row>
    <row r="150" spans="1:19">
      <c r="A150" s="651">
        <v>570200</v>
      </c>
      <c r="B150" s="650" t="s">
        <v>167</v>
      </c>
      <c r="C150" s="651" t="s">
        <v>311</v>
      </c>
      <c r="D150" s="37">
        <f t="shared" si="7"/>
        <v>570</v>
      </c>
      <c r="E150" s="166">
        <f t="shared" si="4"/>
        <v>137515</v>
      </c>
      <c r="F150" s="41">
        <v>6561</v>
      </c>
      <c r="G150" s="41">
        <v>23806</v>
      </c>
      <c r="H150" s="41">
        <v>34537</v>
      </c>
      <c r="I150" s="41">
        <v>12058</v>
      </c>
      <c r="J150" s="41">
        <v>9694</v>
      </c>
      <c r="K150" s="41">
        <v>6765</v>
      </c>
      <c r="L150" s="41">
        <v>8879</v>
      </c>
      <c r="M150" s="41">
        <v>9308</v>
      </c>
      <c r="N150" s="41">
        <v>8299</v>
      </c>
      <c r="O150" s="41">
        <v>5841</v>
      </c>
      <c r="P150" s="41">
        <v>6016</v>
      </c>
      <c r="Q150" s="41">
        <v>5751</v>
      </c>
      <c r="R150" s="39"/>
    </row>
    <row r="151" spans="1:19">
      <c r="A151" s="651">
        <v>571000</v>
      </c>
      <c r="B151" s="650" t="s">
        <v>313</v>
      </c>
      <c r="C151" s="651" t="s">
        <v>311</v>
      </c>
      <c r="D151" s="37">
        <f t="shared" si="7"/>
        <v>571</v>
      </c>
      <c r="E151" s="166">
        <f t="shared" si="4"/>
        <v>624583</v>
      </c>
      <c r="F151" s="41">
        <v>37507</v>
      </c>
      <c r="G151" s="41">
        <v>46845</v>
      </c>
      <c r="H151" s="41">
        <v>125781</v>
      </c>
      <c r="I151" s="41">
        <v>64397</v>
      </c>
      <c r="J151" s="41">
        <v>-19879</v>
      </c>
      <c r="K151" s="41">
        <v>50115</v>
      </c>
      <c r="L151" s="41">
        <v>53826</v>
      </c>
      <c r="M151" s="41">
        <v>-381</v>
      </c>
      <c r="N151" s="41">
        <v>76596</v>
      </c>
      <c r="O151" s="41">
        <v>63190</v>
      </c>
      <c r="P151" s="41">
        <v>83948</v>
      </c>
      <c r="Q151" s="41">
        <v>42638</v>
      </c>
      <c r="R151" s="39"/>
      <c r="S151" s="28"/>
    </row>
    <row r="152" spans="1:19">
      <c r="A152" s="651">
        <v>575700</v>
      </c>
      <c r="B152" s="650" t="s">
        <v>168</v>
      </c>
      <c r="C152" s="651" t="s">
        <v>314</v>
      </c>
      <c r="D152" s="37">
        <f t="shared" si="7"/>
        <v>575</v>
      </c>
      <c r="E152" s="166">
        <f t="shared" ref="E152:E223" si="13">SUM(F152:Q152)</f>
        <v>2770253</v>
      </c>
      <c r="F152" s="41">
        <v>176593</v>
      </c>
      <c r="G152" s="41">
        <v>213582</v>
      </c>
      <c r="H152" s="41">
        <v>184791</v>
      </c>
      <c r="I152" s="41">
        <v>212043</v>
      </c>
      <c r="J152" s="41">
        <v>198394</v>
      </c>
      <c r="K152" s="41">
        <v>211928</v>
      </c>
      <c r="L152" s="41">
        <v>249888</v>
      </c>
      <c r="M152" s="41">
        <v>249888</v>
      </c>
      <c r="N152" s="41">
        <v>249888</v>
      </c>
      <c r="O152" s="41">
        <v>249888</v>
      </c>
      <c r="P152" s="41">
        <v>286685</v>
      </c>
      <c r="Q152" s="41">
        <v>286685</v>
      </c>
      <c r="R152" s="39"/>
      <c r="S152" s="28"/>
    </row>
    <row r="153" spans="1:19">
      <c r="A153" s="651">
        <v>580000</v>
      </c>
      <c r="B153" s="650" t="s">
        <v>169</v>
      </c>
      <c r="C153" s="651" t="s">
        <v>315</v>
      </c>
      <c r="D153" s="37">
        <f t="shared" si="7"/>
        <v>580</v>
      </c>
      <c r="E153" s="166">
        <f t="shared" si="13"/>
        <v>34615</v>
      </c>
      <c r="F153" s="41">
        <v>4942</v>
      </c>
      <c r="G153" s="41">
        <v>2419</v>
      </c>
      <c r="H153" s="41">
        <v>3024</v>
      </c>
      <c r="I153" s="41">
        <v>5820</v>
      </c>
      <c r="J153" s="41">
        <v>5547</v>
      </c>
      <c r="K153" s="41">
        <v>1523</v>
      </c>
      <c r="L153" s="41">
        <v>1890</v>
      </c>
      <c r="M153" s="41">
        <v>1890</v>
      </c>
      <c r="N153" s="41">
        <v>1890</v>
      </c>
      <c r="O153" s="41">
        <v>1890</v>
      </c>
      <c r="P153" s="41">
        <v>1890</v>
      </c>
      <c r="Q153" s="41">
        <v>1890</v>
      </c>
      <c r="R153" s="39"/>
      <c r="S153" s="28"/>
    </row>
    <row r="154" spans="1:19">
      <c r="A154" s="651">
        <v>581004</v>
      </c>
      <c r="B154" s="650" t="s">
        <v>170</v>
      </c>
      <c r="C154" s="651" t="s">
        <v>315</v>
      </c>
      <c r="D154" s="37">
        <f t="shared" si="7"/>
        <v>581</v>
      </c>
      <c r="E154" s="166">
        <f t="shared" si="13"/>
        <v>428994</v>
      </c>
      <c r="F154" s="41">
        <v>27414</v>
      </c>
      <c r="G154" s="41">
        <v>33790</v>
      </c>
      <c r="H154" s="41">
        <v>50002</v>
      </c>
      <c r="I154" s="41">
        <v>24263</v>
      </c>
      <c r="J154" s="41">
        <v>29098</v>
      </c>
      <c r="K154" s="41">
        <v>31586</v>
      </c>
      <c r="L154" s="41">
        <v>32657</v>
      </c>
      <c r="M154" s="41">
        <v>32657</v>
      </c>
      <c r="N154" s="41">
        <v>45549</v>
      </c>
      <c r="O154" s="41">
        <v>32657</v>
      </c>
      <c r="P154" s="41">
        <v>56664</v>
      </c>
      <c r="Q154" s="41">
        <v>32657</v>
      </c>
      <c r="R154" s="39"/>
      <c r="S154" s="28"/>
    </row>
    <row r="155" spans="1:19">
      <c r="A155" s="651">
        <v>582100</v>
      </c>
      <c r="B155" s="650" t="s">
        <v>171</v>
      </c>
      <c r="C155" s="651" t="s">
        <v>315</v>
      </c>
      <c r="D155" s="37">
        <f t="shared" si="7"/>
        <v>582</v>
      </c>
      <c r="E155" s="166">
        <f t="shared" si="13"/>
        <v>60411</v>
      </c>
      <c r="F155" s="41">
        <v>4221</v>
      </c>
      <c r="G155" s="41">
        <v>1279</v>
      </c>
      <c r="H155" s="41">
        <v>2005</v>
      </c>
      <c r="I155" s="41">
        <v>9151</v>
      </c>
      <c r="J155" s="41">
        <v>3376</v>
      </c>
      <c r="K155" s="41">
        <v>4695</v>
      </c>
      <c r="L155" s="41">
        <v>4552</v>
      </c>
      <c r="M155" s="41">
        <v>13748</v>
      </c>
      <c r="N155" s="41">
        <v>5546</v>
      </c>
      <c r="O155" s="41">
        <v>4166</v>
      </c>
      <c r="P155" s="41">
        <v>4045</v>
      </c>
      <c r="Q155" s="41">
        <v>3627</v>
      </c>
      <c r="R155" s="39"/>
      <c r="S155" s="28"/>
    </row>
    <row r="156" spans="1:19">
      <c r="A156" s="651">
        <v>583100</v>
      </c>
      <c r="B156" s="650" t="s">
        <v>172</v>
      </c>
      <c r="C156" s="651" t="s">
        <v>315</v>
      </c>
      <c r="D156" s="37">
        <f t="shared" si="7"/>
        <v>583</v>
      </c>
      <c r="E156" s="166">
        <f t="shared" si="13"/>
        <v>181052</v>
      </c>
      <c r="F156" s="41">
        <v>0</v>
      </c>
      <c r="G156" s="41">
        <v>72079</v>
      </c>
      <c r="H156" s="41">
        <v>17703</v>
      </c>
      <c r="I156" s="41">
        <v>42924</v>
      </c>
      <c r="J156" s="41">
        <v>0</v>
      </c>
      <c r="K156" s="41">
        <v>8625</v>
      </c>
      <c r="L156" s="41">
        <v>5803</v>
      </c>
      <c r="M156" s="41">
        <v>7465</v>
      </c>
      <c r="N156" s="41">
        <v>7527</v>
      </c>
      <c r="O156" s="41">
        <v>5955</v>
      </c>
      <c r="P156" s="41">
        <v>6469</v>
      </c>
      <c r="Q156" s="41">
        <v>6502</v>
      </c>
      <c r="R156" s="39"/>
      <c r="S156" s="28"/>
    </row>
    <row r="157" spans="1:19">
      <c r="A157" s="651">
        <v>583200</v>
      </c>
      <c r="B157" s="650" t="s">
        <v>173</v>
      </c>
      <c r="C157" s="651" t="s">
        <v>315</v>
      </c>
      <c r="D157" s="37">
        <f t="shared" si="7"/>
        <v>583</v>
      </c>
      <c r="E157" s="166">
        <f t="shared" si="13"/>
        <v>192239</v>
      </c>
      <c r="F157" s="41">
        <v>5515</v>
      </c>
      <c r="G157" s="41">
        <v>5542</v>
      </c>
      <c r="H157" s="41">
        <v>7419</v>
      </c>
      <c r="I157" s="41">
        <v>5572</v>
      </c>
      <c r="J157" s="41">
        <v>5947</v>
      </c>
      <c r="K157" s="41">
        <v>5961</v>
      </c>
      <c r="L157" s="41">
        <v>22856</v>
      </c>
      <c r="M157" s="41">
        <v>23018</v>
      </c>
      <c r="N157" s="41">
        <v>40415</v>
      </c>
      <c r="O157" s="41">
        <v>38018</v>
      </c>
      <c r="P157" s="41">
        <v>8988</v>
      </c>
      <c r="Q157" s="41">
        <v>22988</v>
      </c>
      <c r="R157" s="39"/>
      <c r="S157" s="28"/>
    </row>
    <row r="158" spans="1:19">
      <c r="A158" s="651">
        <v>584000</v>
      </c>
      <c r="B158" s="650" t="s">
        <v>174</v>
      </c>
      <c r="C158" s="651" t="s">
        <v>315</v>
      </c>
      <c r="D158" s="37">
        <f t="shared" si="7"/>
        <v>584</v>
      </c>
      <c r="E158" s="166">
        <f t="shared" si="13"/>
        <v>674629</v>
      </c>
      <c r="F158" s="41">
        <v>29237</v>
      </c>
      <c r="G158" s="41">
        <v>110214</v>
      </c>
      <c r="H158" s="41">
        <v>77885</v>
      </c>
      <c r="I158" s="41">
        <v>152291</v>
      </c>
      <c r="J158" s="41">
        <v>32505</v>
      </c>
      <c r="K158" s="41">
        <v>46975</v>
      </c>
      <c r="L158" s="41">
        <v>31045</v>
      </c>
      <c r="M158" s="41">
        <v>59619</v>
      </c>
      <c r="N158" s="41">
        <v>38796</v>
      </c>
      <c r="O158" s="41">
        <v>30559</v>
      </c>
      <c r="P158" s="41">
        <v>33482</v>
      </c>
      <c r="Q158" s="41">
        <v>32021</v>
      </c>
      <c r="R158" s="39"/>
      <c r="S158" s="28"/>
    </row>
    <row r="159" spans="1:19">
      <c r="A159" s="651">
        <v>586000</v>
      </c>
      <c r="B159" s="650" t="s">
        <v>175</v>
      </c>
      <c r="C159" s="651" t="s">
        <v>315</v>
      </c>
      <c r="D159" s="37">
        <f t="shared" si="7"/>
        <v>586</v>
      </c>
      <c r="E159" s="166">
        <f t="shared" si="13"/>
        <v>490202</v>
      </c>
      <c r="F159" s="41">
        <v>26819</v>
      </c>
      <c r="G159" s="41">
        <v>30598</v>
      </c>
      <c r="H159" s="41">
        <v>44353</v>
      </c>
      <c r="I159" s="41">
        <v>35130</v>
      </c>
      <c r="J159" s="41">
        <v>30985</v>
      </c>
      <c r="K159" s="41">
        <v>30052</v>
      </c>
      <c r="L159" s="41">
        <v>46857</v>
      </c>
      <c r="M159" s="41">
        <v>38792</v>
      </c>
      <c r="N159" s="41">
        <v>61176</v>
      </c>
      <c r="O159" s="41">
        <v>44850</v>
      </c>
      <c r="P159" s="41">
        <v>51025</v>
      </c>
      <c r="Q159" s="41">
        <v>49565</v>
      </c>
      <c r="R159" s="39"/>
      <c r="S159" s="28"/>
    </row>
    <row r="160" spans="1:19">
      <c r="A160" s="651">
        <v>587000</v>
      </c>
      <c r="B160" s="650" t="s">
        <v>176</v>
      </c>
      <c r="C160" s="651" t="s">
        <v>315</v>
      </c>
      <c r="D160" s="37">
        <f t="shared" si="7"/>
        <v>587</v>
      </c>
      <c r="E160" s="166">
        <f t="shared" si="13"/>
        <v>613586</v>
      </c>
      <c r="F160" s="41">
        <v>34950</v>
      </c>
      <c r="G160" s="41">
        <v>40218</v>
      </c>
      <c r="H160" s="41">
        <v>57659</v>
      </c>
      <c r="I160" s="41">
        <v>39588</v>
      </c>
      <c r="J160" s="41">
        <v>50900</v>
      </c>
      <c r="K160" s="41">
        <v>56062</v>
      </c>
      <c r="L160" s="41">
        <v>55065</v>
      </c>
      <c r="M160" s="41">
        <v>58829</v>
      </c>
      <c r="N160" s="41">
        <v>64077</v>
      </c>
      <c r="O160" s="41">
        <v>51025</v>
      </c>
      <c r="P160" s="41">
        <v>51667</v>
      </c>
      <c r="Q160" s="41">
        <v>53546</v>
      </c>
      <c r="R160" s="39"/>
      <c r="S160" s="28"/>
    </row>
    <row r="161" spans="1:19">
      <c r="A161" s="651">
        <v>588100</v>
      </c>
      <c r="B161" s="650" t="s">
        <v>177</v>
      </c>
      <c r="C161" s="651" t="s">
        <v>315</v>
      </c>
      <c r="D161" s="37">
        <f t="shared" si="7"/>
        <v>588</v>
      </c>
      <c r="E161" s="166">
        <f t="shared" si="13"/>
        <v>1600034</v>
      </c>
      <c r="F161" s="41">
        <v>109480</v>
      </c>
      <c r="G161" s="41">
        <v>131151</v>
      </c>
      <c r="H161" s="41">
        <v>92009</v>
      </c>
      <c r="I161" s="41">
        <v>97277</v>
      </c>
      <c r="J161" s="41">
        <v>80378</v>
      </c>
      <c r="K161" s="41">
        <v>90528</v>
      </c>
      <c r="L161" s="41">
        <v>158102</v>
      </c>
      <c r="M161" s="41">
        <v>180735</v>
      </c>
      <c r="N161" s="41">
        <v>189494</v>
      </c>
      <c r="O161" s="41">
        <v>197574</v>
      </c>
      <c r="P161" s="41">
        <v>135383</v>
      </c>
      <c r="Q161" s="41">
        <v>137923</v>
      </c>
      <c r="R161" s="39"/>
      <c r="S161" s="28"/>
    </row>
    <row r="162" spans="1:19">
      <c r="A162" s="651">
        <v>588300</v>
      </c>
      <c r="B162" s="650" t="s">
        <v>178</v>
      </c>
      <c r="C162" s="651" t="s">
        <v>315</v>
      </c>
      <c r="D162" s="37">
        <f t="shared" si="7"/>
        <v>588</v>
      </c>
      <c r="E162" s="166">
        <f t="shared" si="13"/>
        <v>0</v>
      </c>
      <c r="F162" s="41">
        <v>0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39"/>
      <c r="S162" s="28"/>
    </row>
    <row r="163" spans="1:19">
      <c r="A163" s="651">
        <v>588700</v>
      </c>
      <c r="B163" s="650" t="s">
        <v>179</v>
      </c>
      <c r="C163" s="651" t="s">
        <v>315</v>
      </c>
      <c r="D163" s="37">
        <f t="shared" si="7"/>
        <v>588</v>
      </c>
      <c r="E163" s="166">
        <f t="shared" si="13"/>
        <v>0</v>
      </c>
      <c r="F163" s="41">
        <v>0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39"/>
      <c r="S163" s="28"/>
    </row>
    <row r="164" spans="1:19">
      <c r="A164" s="651">
        <v>589000</v>
      </c>
      <c r="B164" s="650" t="s">
        <v>180</v>
      </c>
      <c r="C164" s="651" t="s">
        <v>315</v>
      </c>
      <c r="D164" s="37">
        <f t="shared" si="7"/>
        <v>589</v>
      </c>
      <c r="E164" s="166">
        <f t="shared" si="13"/>
        <v>11371</v>
      </c>
      <c r="F164" s="41">
        <v>3955</v>
      </c>
      <c r="G164" s="41">
        <v>5409</v>
      </c>
      <c r="H164" s="41">
        <v>427</v>
      </c>
      <c r="I164" s="41">
        <v>0</v>
      </c>
      <c r="J164" s="41">
        <v>1327</v>
      </c>
      <c r="K164" s="41">
        <v>253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39"/>
      <c r="S164" s="28"/>
    </row>
    <row r="165" spans="1:19">
      <c r="A165" s="651">
        <v>590000</v>
      </c>
      <c r="B165" s="650" t="s">
        <v>181</v>
      </c>
      <c r="C165" s="651" t="s">
        <v>316</v>
      </c>
      <c r="D165" s="37">
        <f t="shared" si="7"/>
        <v>590</v>
      </c>
      <c r="E165" s="166">
        <f t="shared" si="13"/>
        <v>50110</v>
      </c>
      <c r="F165" s="41">
        <v>10255</v>
      </c>
      <c r="G165" s="41">
        <v>6736</v>
      </c>
      <c r="H165" s="41">
        <v>7453</v>
      </c>
      <c r="I165" s="41">
        <v>6847</v>
      </c>
      <c r="J165" s="41">
        <v>6257</v>
      </c>
      <c r="K165" s="41">
        <v>6802</v>
      </c>
      <c r="L165" s="41">
        <v>960</v>
      </c>
      <c r="M165" s="41">
        <v>960</v>
      </c>
      <c r="N165" s="41">
        <v>960</v>
      </c>
      <c r="O165" s="41">
        <v>960</v>
      </c>
      <c r="P165" s="41">
        <v>960</v>
      </c>
      <c r="Q165" s="41">
        <v>960</v>
      </c>
      <c r="R165" s="39"/>
      <c r="S165" s="28"/>
    </row>
    <row r="166" spans="1:19">
      <c r="A166" s="651">
        <v>591000</v>
      </c>
      <c r="B166" s="650" t="s">
        <v>317</v>
      </c>
      <c r="C166" s="651" t="s">
        <v>316</v>
      </c>
      <c r="D166" s="37">
        <f t="shared" si="7"/>
        <v>591</v>
      </c>
      <c r="E166" s="166">
        <f t="shared" si="13"/>
        <v>6108</v>
      </c>
      <c r="F166" s="41">
        <v>0</v>
      </c>
      <c r="G166" s="41"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141</v>
      </c>
      <c r="M166" s="41">
        <v>3365</v>
      </c>
      <c r="N166" s="41">
        <v>1055</v>
      </c>
      <c r="O166" s="41">
        <v>564</v>
      </c>
      <c r="P166" s="41">
        <v>400</v>
      </c>
      <c r="Q166" s="41">
        <v>583</v>
      </c>
      <c r="R166" s="39"/>
      <c r="S166" s="28"/>
    </row>
    <row r="167" spans="1:19">
      <c r="A167" s="651">
        <v>592100</v>
      </c>
      <c r="B167" s="650" t="s">
        <v>182</v>
      </c>
      <c r="C167" s="651" t="s">
        <v>316</v>
      </c>
      <c r="D167" s="37">
        <f t="shared" si="7"/>
        <v>592</v>
      </c>
      <c r="E167" s="166">
        <f t="shared" si="13"/>
        <v>58781</v>
      </c>
      <c r="F167" s="41">
        <v>4138</v>
      </c>
      <c r="G167" s="41">
        <v>3403</v>
      </c>
      <c r="H167" s="41">
        <v>2437</v>
      </c>
      <c r="I167" s="41">
        <v>3639</v>
      </c>
      <c r="J167" s="41">
        <v>2993</v>
      </c>
      <c r="K167" s="41">
        <v>6382</v>
      </c>
      <c r="L167" s="41">
        <v>8946</v>
      </c>
      <c r="M167" s="41">
        <v>-2586</v>
      </c>
      <c r="N167" s="41">
        <v>9746</v>
      </c>
      <c r="O167" s="41">
        <v>4249</v>
      </c>
      <c r="P167" s="41">
        <v>8064</v>
      </c>
      <c r="Q167" s="41">
        <v>7370</v>
      </c>
      <c r="R167" s="39"/>
      <c r="S167" s="28"/>
    </row>
    <row r="168" spans="1:19">
      <c r="A168" s="651">
        <v>592200</v>
      </c>
      <c r="B168" s="650" t="s">
        <v>183</v>
      </c>
      <c r="C168" s="651" t="s">
        <v>316</v>
      </c>
      <c r="D168" s="37">
        <f>VALUE(LEFT(A168,3))</f>
        <v>592</v>
      </c>
      <c r="E168" s="166">
        <f t="shared" si="13"/>
        <v>244717</v>
      </c>
      <c r="F168" s="41">
        <v>18714</v>
      </c>
      <c r="G168" s="41">
        <v>13632</v>
      </c>
      <c r="H168" s="41">
        <v>20217</v>
      </c>
      <c r="I168" s="41">
        <v>25584</v>
      </c>
      <c r="J168" s="41">
        <v>15438</v>
      </c>
      <c r="K168" s="41">
        <v>39781</v>
      </c>
      <c r="L168" s="41">
        <v>16295</v>
      </c>
      <c r="M168" s="41">
        <v>20484</v>
      </c>
      <c r="N168" s="41">
        <v>23161</v>
      </c>
      <c r="O168" s="41">
        <v>16445</v>
      </c>
      <c r="P168" s="41">
        <v>18401</v>
      </c>
      <c r="Q168" s="41">
        <v>16565</v>
      </c>
      <c r="R168" s="39"/>
      <c r="S168" s="28"/>
    </row>
    <row r="169" spans="1:19">
      <c r="A169" s="651">
        <v>593000</v>
      </c>
      <c r="B169" s="650" t="s">
        <v>184</v>
      </c>
      <c r="C169" s="651" t="s">
        <v>316</v>
      </c>
      <c r="D169" s="37">
        <f t="shared" si="7"/>
        <v>593</v>
      </c>
      <c r="E169" s="166">
        <f t="shared" si="13"/>
        <v>1982666</v>
      </c>
      <c r="F169" s="41">
        <v>137906</v>
      </c>
      <c r="G169" s="41">
        <v>113178</v>
      </c>
      <c r="H169" s="41">
        <v>254658</v>
      </c>
      <c r="I169" s="41">
        <v>75001</v>
      </c>
      <c r="J169" s="41">
        <v>128842</v>
      </c>
      <c r="K169" s="41">
        <v>160436</v>
      </c>
      <c r="L169" s="41">
        <v>300878</v>
      </c>
      <c r="M169" s="41">
        <v>28109</v>
      </c>
      <c r="N169" s="41">
        <v>234038</v>
      </c>
      <c r="O169" s="41">
        <v>183202</v>
      </c>
      <c r="P169" s="41">
        <v>157811</v>
      </c>
      <c r="Q169" s="41">
        <v>208607</v>
      </c>
      <c r="R169" s="39"/>
      <c r="S169" s="28"/>
    </row>
    <row r="170" spans="1:19">
      <c r="A170" s="651">
        <v>593100</v>
      </c>
      <c r="B170" s="650" t="s">
        <v>318</v>
      </c>
      <c r="C170" s="651" t="s">
        <v>316</v>
      </c>
      <c r="D170" s="37">
        <f t="shared" si="7"/>
        <v>593</v>
      </c>
      <c r="E170" s="166">
        <f t="shared" si="13"/>
        <v>4686913</v>
      </c>
      <c r="F170" s="41">
        <v>326308</v>
      </c>
      <c r="G170" s="41">
        <v>347761</v>
      </c>
      <c r="H170" s="41">
        <v>279085</v>
      </c>
      <c r="I170" s="41">
        <v>400446</v>
      </c>
      <c r="J170" s="41">
        <v>478698</v>
      </c>
      <c r="K170" s="41">
        <v>350042</v>
      </c>
      <c r="L170" s="41">
        <v>430469</v>
      </c>
      <c r="M170" s="41">
        <v>403172</v>
      </c>
      <c r="N170" s="41">
        <v>403172</v>
      </c>
      <c r="O170" s="41">
        <v>403172</v>
      </c>
      <c r="P170" s="41">
        <v>424314</v>
      </c>
      <c r="Q170" s="41">
        <v>440274</v>
      </c>
      <c r="R170" s="39"/>
      <c r="S170" s="28"/>
    </row>
    <row r="171" spans="1:19">
      <c r="A171" s="651">
        <v>594000</v>
      </c>
      <c r="B171" s="650" t="s">
        <v>185</v>
      </c>
      <c r="C171" s="651" t="s">
        <v>316</v>
      </c>
      <c r="D171" s="37">
        <f t="shared" si="7"/>
        <v>594</v>
      </c>
      <c r="E171" s="166">
        <f t="shared" si="13"/>
        <v>244092</v>
      </c>
      <c r="F171" s="41">
        <v>16930</v>
      </c>
      <c r="G171" s="41">
        <v>20216</v>
      </c>
      <c r="H171" s="41">
        <v>27737</v>
      </c>
      <c r="I171" s="41">
        <v>38931</v>
      </c>
      <c r="J171" s="41">
        <v>50617</v>
      </c>
      <c r="K171" s="41">
        <v>40771</v>
      </c>
      <c r="L171" s="41">
        <v>6783</v>
      </c>
      <c r="M171" s="41">
        <v>10299</v>
      </c>
      <c r="N171" s="41">
        <v>8072</v>
      </c>
      <c r="O171" s="41">
        <v>5910</v>
      </c>
      <c r="P171" s="41">
        <v>11248</v>
      </c>
      <c r="Q171" s="41">
        <v>6578</v>
      </c>
      <c r="R171" s="39"/>
      <c r="S171" s="28"/>
    </row>
    <row r="172" spans="1:19">
      <c r="A172" s="651">
        <v>595100</v>
      </c>
      <c r="B172" s="650" t="s">
        <v>186</v>
      </c>
      <c r="C172" s="651" t="s">
        <v>316</v>
      </c>
      <c r="D172" s="37">
        <f t="shared" ref="D172:D240" si="14">VALUE(LEFT(A172,3))</f>
        <v>595</v>
      </c>
      <c r="E172" s="166">
        <f t="shared" si="13"/>
        <v>1003</v>
      </c>
      <c r="F172" s="41">
        <v>0</v>
      </c>
      <c r="G172" s="41">
        <v>35</v>
      </c>
      <c r="H172" s="41">
        <v>0</v>
      </c>
      <c r="I172" s="41">
        <v>349</v>
      </c>
      <c r="J172" s="41">
        <v>619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0</v>
      </c>
      <c r="Q172" s="41">
        <v>0</v>
      </c>
      <c r="R172" s="39"/>
      <c r="S172" s="28"/>
    </row>
    <row r="173" spans="1:19">
      <c r="A173" s="651">
        <v>596000</v>
      </c>
      <c r="B173" s="650" t="s">
        <v>187</v>
      </c>
      <c r="C173" s="651" t="s">
        <v>316</v>
      </c>
      <c r="D173" s="37">
        <f t="shared" si="14"/>
        <v>596</v>
      </c>
      <c r="E173" s="166">
        <f t="shared" si="13"/>
        <v>306578</v>
      </c>
      <c r="F173" s="41">
        <v>15254</v>
      </c>
      <c r="G173" s="41">
        <v>18524</v>
      </c>
      <c r="H173" s="41">
        <v>19834</v>
      </c>
      <c r="I173" s="41">
        <v>4831</v>
      </c>
      <c r="J173" s="41">
        <v>44179</v>
      </c>
      <c r="K173" s="41">
        <v>24856</v>
      </c>
      <c r="L173" s="41">
        <v>16965</v>
      </c>
      <c r="M173" s="41">
        <v>25282</v>
      </c>
      <c r="N173" s="41">
        <v>43224</v>
      </c>
      <c r="O173" s="41">
        <v>47918</v>
      </c>
      <c r="P173" s="41">
        <v>26359</v>
      </c>
      <c r="Q173" s="41">
        <v>19352</v>
      </c>
      <c r="R173" s="39"/>
      <c r="S173" s="28"/>
    </row>
    <row r="174" spans="1:19">
      <c r="A174" s="651">
        <v>597000</v>
      </c>
      <c r="B174" s="650" t="s">
        <v>319</v>
      </c>
      <c r="C174" s="651" t="s">
        <v>316</v>
      </c>
      <c r="D174" s="37">
        <f t="shared" si="14"/>
        <v>597</v>
      </c>
      <c r="E174" s="166">
        <f t="shared" si="13"/>
        <v>380779</v>
      </c>
      <c r="F174" s="41">
        <v>32267</v>
      </c>
      <c r="G174" s="41">
        <v>26575</v>
      </c>
      <c r="H174" s="41">
        <v>36059</v>
      </c>
      <c r="I174" s="41">
        <v>26964</v>
      </c>
      <c r="J174" s="41">
        <v>25706</v>
      </c>
      <c r="K174" s="41">
        <v>24545</v>
      </c>
      <c r="L174" s="41">
        <v>33523</v>
      </c>
      <c r="M174" s="41">
        <v>33523</v>
      </c>
      <c r="N174" s="41">
        <v>41684</v>
      </c>
      <c r="O174" s="41">
        <v>33523</v>
      </c>
      <c r="P174" s="41">
        <v>33205</v>
      </c>
      <c r="Q174" s="41">
        <v>33205</v>
      </c>
      <c r="R174" s="39"/>
      <c r="S174" s="28"/>
    </row>
    <row r="175" spans="1:19">
      <c r="A175" s="651">
        <v>598100</v>
      </c>
      <c r="B175" s="650" t="s">
        <v>188</v>
      </c>
      <c r="C175" s="651" t="s">
        <v>316</v>
      </c>
      <c r="D175" s="37">
        <f t="shared" si="14"/>
        <v>598</v>
      </c>
      <c r="E175" s="166">
        <f t="shared" ref="E175" si="15">SUM(F175:Q175)</f>
        <v>168051</v>
      </c>
      <c r="F175" s="41">
        <v>0</v>
      </c>
      <c r="G175" s="41">
        <v>0</v>
      </c>
      <c r="H175" s="41">
        <v>0</v>
      </c>
      <c r="I175" s="41">
        <v>0</v>
      </c>
      <c r="J175" s="41">
        <v>0</v>
      </c>
      <c r="K175" s="41">
        <v>158508</v>
      </c>
      <c r="L175" s="41">
        <v>1539</v>
      </c>
      <c r="M175" s="41">
        <v>1539</v>
      </c>
      <c r="N175" s="41">
        <v>1848</v>
      </c>
      <c r="O175" s="41">
        <v>1539</v>
      </c>
      <c r="P175" s="41">
        <v>1539</v>
      </c>
      <c r="Q175" s="41">
        <v>1539</v>
      </c>
      <c r="R175" s="39"/>
      <c r="S175" s="28"/>
    </row>
    <row r="176" spans="1:19">
      <c r="A176" s="651">
        <v>901000</v>
      </c>
      <c r="B176" s="650" t="s">
        <v>189</v>
      </c>
      <c r="C176" s="651" t="s">
        <v>283</v>
      </c>
      <c r="D176" s="37">
        <f t="shared" si="14"/>
        <v>901</v>
      </c>
      <c r="E176" s="166">
        <f t="shared" si="13"/>
        <v>81476</v>
      </c>
      <c r="F176" s="41">
        <v>7297</v>
      </c>
      <c r="G176" s="41">
        <v>6663</v>
      </c>
      <c r="H176" s="41">
        <v>6443</v>
      </c>
      <c r="I176" s="41">
        <v>7837</v>
      </c>
      <c r="J176" s="41">
        <v>6633</v>
      </c>
      <c r="K176" s="41">
        <v>6064</v>
      </c>
      <c r="L176" s="41">
        <v>6612</v>
      </c>
      <c r="M176" s="41">
        <v>6612</v>
      </c>
      <c r="N176" s="41">
        <v>7615</v>
      </c>
      <c r="O176" s="41">
        <v>6612</v>
      </c>
      <c r="P176" s="41">
        <v>6544</v>
      </c>
      <c r="Q176" s="41">
        <v>6544</v>
      </c>
      <c r="R176" s="39"/>
      <c r="S176" s="28"/>
    </row>
    <row r="177" spans="1:19">
      <c r="A177" s="651">
        <v>902000</v>
      </c>
      <c r="B177" s="650" t="s">
        <v>190</v>
      </c>
      <c r="C177" s="651" t="s">
        <v>283</v>
      </c>
      <c r="D177" s="37">
        <f t="shared" si="14"/>
        <v>902</v>
      </c>
      <c r="E177" s="166">
        <f t="shared" si="13"/>
        <v>154925</v>
      </c>
      <c r="F177" s="41">
        <v>14770</v>
      </c>
      <c r="G177" s="41">
        <v>13405</v>
      </c>
      <c r="H177" s="41">
        <v>18370</v>
      </c>
      <c r="I177" s="41">
        <v>11160</v>
      </c>
      <c r="J177" s="41">
        <v>12981</v>
      </c>
      <c r="K177" s="41">
        <v>13386</v>
      </c>
      <c r="L177" s="41">
        <v>10983</v>
      </c>
      <c r="M177" s="41">
        <v>10983</v>
      </c>
      <c r="N177" s="41">
        <v>16030</v>
      </c>
      <c r="O177" s="41">
        <v>10983</v>
      </c>
      <c r="P177" s="41">
        <v>10937</v>
      </c>
      <c r="Q177" s="41">
        <v>10937</v>
      </c>
      <c r="R177" s="39"/>
      <c r="S177" s="28"/>
    </row>
    <row r="178" spans="1:19">
      <c r="A178" s="651">
        <v>903000</v>
      </c>
      <c r="B178" s="650" t="s">
        <v>191</v>
      </c>
      <c r="C178" s="651" t="s">
        <v>283</v>
      </c>
      <c r="D178" s="37">
        <f t="shared" si="14"/>
        <v>903</v>
      </c>
      <c r="E178" s="166">
        <f t="shared" si="13"/>
        <v>1425864</v>
      </c>
      <c r="F178" s="41">
        <v>165621</v>
      </c>
      <c r="G178" s="41">
        <v>126325</v>
      </c>
      <c r="H178" s="41">
        <v>173597</v>
      </c>
      <c r="I178" s="41">
        <v>77060</v>
      </c>
      <c r="J178" s="41">
        <v>91206</v>
      </c>
      <c r="K178" s="41">
        <v>108238</v>
      </c>
      <c r="L178" s="41">
        <v>104060</v>
      </c>
      <c r="M178" s="41">
        <v>74443</v>
      </c>
      <c r="N178" s="41">
        <v>72362</v>
      </c>
      <c r="O178" s="41">
        <v>115733</v>
      </c>
      <c r="P178" s="41">
        <v>204593</v>
      </c>
      <c r="Q178" s="41">
        <v>112626</v>
      </c>
      <c r="R178" s="39"/>
      <c r="S178" s="28"/>
    </row>
    <row r="179" spans="1:19">
      <c r="A179" s="651">
        <v>903100</v>
      </c>
      <c r="B179" s="650" t="s">
        <v>192</v>
      </c>
      <c r="C179" s="651" t="s">
        <v>283</v>
      </c>
      <c r="D179" s="37">
        <f t="shared" si="14"/>
        <v>903</v>
      </c>
      <c r="E179" s="166">
        <f t="shared" si="13"/>
        <v>689529</v>
      </c>
      <c r="F179" s="41">
        <v>33524</v>
      </c>
      <c r="G179" s="41">
        <v>45925</v>
      </c>
      <c r="H179" s="41">
        <v>36657</v>
      </c>
      <c r="I179" s="41">
        <v>48517</v>
      </c>
      <c r="J179" s="41">
        <v>139900</v>
      </c>
      <c r="K179" s="41">
        <v>51437</v>
      </c>
      <c r="L179" s="41">
        <v>55429</v>
      </c>
      <c r="M179" s="41">
        <v>45087</v>
      </c>
      <c r="N179" s="41">
        <v>53446</v>
      </c>
      <c r="O179" s="41">
        <v>55847</v>
      </c>
      <c r="P179" s="41">
        <v>61209</v>
      </c>
      <c r="Q179" s="41">
        <v>62551</v>
      </c>
      <c r="R179" s="39"/>
      <c r="S179" s="28"/>
    </row>
    <row r="180" spans="1:19">
      <c r="A180" s="651">
        <v>903200</v>
      </c>
      <c r="B180" s="650" t="s">
        <v>193</v>
      </c>
      <c r="C180" s="651" t="s">
        <v>283</v>
      </c>
      <c r="D180" s="37">
        <f t="shared" si="14"/>
        <v>903</v>
      </c>
      <c r="E180" s="166">
        <f t="shared" si="13"/>
        <v>1009394</v>
      </c>
      <c r="F180" s="41">
        <v>83481</v>
      </c>
      <c r="G180" s="41">
        <v>81871</v>
      </c>
      <c r="H180" s="41">
        <v>83124</v>
      </c>
      <c r="I180" s="41">
        <v>90559</v>
      </c>
      <c r="J180" s="41">
        <v>174196</v>
      </c>
      <c r="K180" s="41">
        <v>99353</v>
      </c>
      <c r="L180" s="41">
        <v>66098</v>
      </c>
      <c r="M180" s="41">
        <v>53208</v>
      </c>
      <c r="N180" s="41">
        <v>66741</v>
      </c>
      <c r="O180" s="41">
        <v>66490</v>
      </c>
      <c r="P180" s="41">
        <v>71502</v>
      </c>
      <c r="Q180" s="41">
        <v>72771</v>
      </c>
      <c r="R180" s="39"/>
      <c r="S180" s="28"/>
    </row>
    <row r="181" spans="1:19">
      <c r="A181" s="651">
        <v>903300</v>
      </c>
      <c r="B181" s="650" t="s">
        <v>194</v>
      </c>
      <c r="C181" s="651" t="s">
        <v>283</v>
      </c>
      <c r="D181" s="37">
        <f t="shared" si="14"/>
        <v>903</v>
      </c>
      <c r="E181" s="166">
        <f t="shared" si="13"/>
        <v>601709</v>
      </c>
      <c r="F181" s="41">
        <v>29579</v>
      </c>
      <c r="G181" s="41">
        <v>33442</v>
      </c>
      <c r="H181" s="41">
        <v>32077</v>
      </c>
      <c r="I181" s="41">
        <v>40089</v>
      </c>
      <c r="J181" s="41">
        <v>112613</v>
      </c>
      <c r="K181" s="41">
        <v>41765</v>
      </c>
      <c r="L181" s="41">
        <v>48328</v>
      </c>
      <c r="M181" s="41">
        <v>38372</v>
      </c>
      <c r="N181" s="41">
        <v>47814</v>
      </c>
      <c r="O181" s="41">
        <v>48585</v>
      </c>
      <c r="P181" s="41">
        <v>63868</v>
      </c>
      <c r="Q181" s="41">
        <v>65177</v>
      </c>
      <c r="R181" s="39"/>
      <c r="S181" s="28"/>
    </row>
    <row r="182" spans="1:19">
      <c r="A182" s="651">
        <v>903400</v>
      </c>
      <c r="B182" s="650" t="s">
        <v>195</v>
      </c>
      <c r="C182" s="651" t="s">
        <v>283</v>
      </c>
      <c r="D182" s="37">
        <f t="shared" si="14"/>
        <v>903</v>
      </c>
      <c r="E182" s="166">
        <f t="shared" si="13"/>
        <v>56200</v>
      </c>
      <c r="F182" s="41">
        <v>2452</v>
      </c>
      <c r="G182" s="41">
        <v>3094</v>
      </c>
      <c r="H182" s="41">
        <v>2993</v>
      </c>
      <c r="I182" s="41">
        <v>2812</v>
      </c>
      <c r="J182" s="41">
        <v>2796</v>
      </c>
      <c r="K182" s="41">
        <v>3450</v>
      </c>
      <c r="L182" s="41">
        <v>6523</v>
      </c>
      <c r="M182" s="41">
        <v>6523</v>
      </c>
      <c r="N182" s="41">
        <v>6526</v>
      </c>
      <c r="O182" s="41">
        <v>6523</v>
      </c>
      <c r="P182" s="41">
        <v>6254</v>
      </c>
      <c r="Q182" s="41">
        <v>6254</v>
      </c>
      <c r="R182" s="39"/>
      <c r="S182" s="28"/>
    </row>
    <row r="183" spans="1:19">
      <c r="A183" s="651">
        <v>903891</v>
      </c>
      <c r="B183" s="650" t="s">
        <v>196</v>
      </c>
      <c r="C183" s="651" t="s">
        <v>283</v>
      </c>
      <c r="D183" s="37">
        <f t="shared" si="14"/>
        <v>903</v>
      </c>
      <c r="E183" s="166">
        <f t="shared" si="13"/>
        <v>0</v>
      </c>
      <c r="F183" s="41">
        <v>0</v>
      </c>
      <c r="G183" s="41">
        <v>0</v>
      </c>
      <c r="H183" s="41">
        <v>0</v>
      </c>
      <c r="I183" s="41">
        <v>0</v>
      </c>
      <c r="J183" s="41">
        <v>0</v>
      </c>
      <c r="K183" s="41">
        <v>0</v>
      </c>
      <c r="L183" s="41">
        <v>0</v>
      </c>
      <c r="M183" s="41">
        <v>0</v>
      </c>
      <c r="N183" s="41">
        <v>0</v>
      </c>
      <c r="O183" s="41">
        <v>0</v>
      </c>
      <c r="P183" s="41">
        <v>0</v>
      </c>
      <c r="Q183" s="41">
        <v>0</v>
      </c>
      <c r="R183" s="39"/>
      <c r="S183" s="28"/>
    </row>
    <row r="184" spans="1:19">
      <c r="A184" s="651">
        <v>904000</v>
      </c>
      <c r="B184" s="650" t="s">
        <v>197</v>
      </c>
      <c r="C184" s="651" t="s">
        <v>283</v>
      </c>
      <c r="D184" s="37">
        <f t="shared" si="14"/>
        <v>904</v>
      </c>
      <c r="E184" s="166">
        <f t="shared" si="13"/>
        <v>2174889</v>
      </c>
      <c r="F184" s="41">
        <v>74085</v>
      </c>
      <c r="G184" s="41">
        <v>174646</v>
      </c>
      <c r="H184" s="41">
        <v>223732</v>
      </c>
      <c r="I184" s="41">
        <v>96206</v>
      </c>
      <c r="J184" s="41">
        <v>118242</v>
      </c>
      <c r="K184" s="41">
        <v>131656</v>
      </c>
      <c r="L184" s="41">
        <v>168155</v>
      </c>
      <c r="M184" s="41">
        <v>333224</v>
      </c>
      <c r="N184" s="41">
        <v>254546</v>
      </c>
      <c r="O184" s="41">
        <v>265345</v>
      </c>
      <c r="P184" s="41">
        <v>192050</v>
      </c>
      <c r="Q184" s="41">
        <v>143002</v>
      </c>
      <c r="R184" s="39"/>
      <c r="S184" s="28"/>
    </row>
    <row r="185" spans="1:19">
      <c r="A185" s="651">
        <v>904001</v>
      </c>
      <c r="B185" s="650" t="s">
        <v>320</v>
      </c>
      <c r="C185" s="651" t="s">
        <v>283</v>
      </c>
      <c r="D185" s="37">
        <f t="shared" si="14"/>
        <v>904</v>
      </c>
      <c r="E185" s="166">
        <f t="shared" si="13"/>
        <v>71566</v>
      </c>
      <c r="F185" s="41">
        <v>87991</v>
      </c>
      <c r="G185" s="41">
        <v>-1017</v>
      </c>
      <c r="H185" s="41">
        <v>-11369</v>
      </c>
      <c r="I185" s="41">
        <v>1972</v>
      </c>
      <c r="J185" s="41">
        <v>-3485</v>
      </c>
      <c r="K185" s="41">
        <v>-2526</v>
      </c>
      <c r="L185" s="41">
        <v>0</v>
      </c>
      <c r="M185" s="41">
        <v>0</v>
      </c>
      <c r="N185" s="41">
        <v>0</v>
      </c>
      <c r="O185" s="41">
        <v>0</v>
      </c>
      <c r="P185" s="41">
        <v>0</v>
      </c>
      <c r="Q185" s="41">
        <v>0</v>
      </c>
      <c r="R185" s="39"/>
      <c r="S185" s="28"/>
    </row>
    <row r="186" spans="1:19">
      <c r="A186" s="651">
        <v>904003</v>
      </c>
      <c r="B186" s="650" t="s">
        <v>198</v>
      </c>
      <c r="C186" s="651" t="s">
        <v>283</v>
      </c>
      <c r="D186" s="37">
        <f t="shared" si="14"/>
        <v>904</v>
      </c>
      <c r="E186" s="166">
        <f t="shared" si="13"/>
        <v>0</v>
      </c>
      <c r="F186" s="41">
        <v>0</v>
      </c>
      <c r="G186" s="41">
        <v>0</v>
      </c>
      <c r="H186" s="41">
        <v>0</v>
      </c>
      <c r="I186" s="41">
        <v>0</v>
      </c>
      <c r="J186" s="41">
        <v>0</v>
      </c>
      <c r="K186" s="41">
        <v>0</v>
      </c>
      <c r="L186" s="41">
        <v>0</v>
      </c>
      <c r="M186" s="41">
        <v>0</v>
      </c>
      <c r="N186" s="41">
        <v>0</v>
      </c>
      <c r="O186" s="41">
        <v>0</v>
      </c>
      <c r="P186" s="41">
        <v>0</v>
      </c>
      <c r="Q186" s="41">
        <v>0</v>
      </c>
      <c r="R186" s="1685"/>
      <c r="S186" s="28"/>
    </row>
    <row r="187" spans="1:19">
      <c r="A187" s="651">
        <v>904891</v>
      </c>
      <c r="B187" s="650" t="s">
        <v>199</v>
      </c>
      <c r="C187" s="651" t="s">
        <v>283</v>
      </c>
      <c r="D187" s="37">
        <f t="shared" si="14"/>
        <v>904</v>
      </c>
      <c r="E187" s="166">
        <f t="shared" si="13"/>
        <v>0</v>
      </c>
      <c r="F187" s="41">
        <v>0</v>
      </c>
      <c r="G187" s="41">
        <v>0</v>
      </c>
      <c r="H187" s="41">
        <v>0</v>
      </c>
      <c r="I187" s="41">
        <v>0</v>
      </c>
      <c r="J187" s="41">
        <v>0</v>
      </c>
      <c r="K187" s="41">
        <v>0</v>
      </c>
      <c r="L187" s="41">
        <v>0</v>
      </c>
      <c r="M187" s="41">
        <v>0</v>
      </c>
      <c r="N187" s="41">
        <v>0</v>
      </c>
      <c r="O187" s="41">
        <v>0</v>
      </c>
      <c r="P187" s="41">
        <v>0</v>
      </c>
      <c r="Q187" s="41">
        <v>0</v>
      </c>
      <c r="R187" s="39"/>
      <c r="S187" s="28"/>
    </row>
    <row r="188" spans="1:19">
      <c r="A188" s="651">
        <v>905000</v>
      </c>
      <c r="B188" s="650" t="s">
        <v>200</v>
      </c>
      <c r="C188" s="651" t="s">
        <v>283</v>
      </c>
      <c r="D188" s="37">
        <f t="shared" si="14"/>
        <v>905</v>
      </c>
      <c r="E188" s="166">
        <f t="shared" si="13"/>
        <v>35</v>
      </c>
      <c r="F188" s="41">
        <v>0</v>
      </c>
      <c r="G188" s="41">
        <v>22</v>
      </c>
      <c r="H188" s="41">
        <v>10</v>
      </c>
      <c r="I188" s="41">
        <v>0</v>
      </c>
      <c r="J188" s="41">
        <v>3</v>
      </c>
      <c r="K188" s="41">
        <v>0</v>
      </c>
      <c r="L188" s="41">
        <v>0</v>
      </c>
      <c r="M188" s="41">
        <v>0</v>
      </c>
      <c r="N188" s="41">
        <v>0</v>
      </c>
      <c r="O188" s="41">
        <v>0</v>
      </c>
      <c r="P188" s="41">
        <v>0</v>
      </c>
      <c r="Q188" s="41">
        <v>0</v>
      </c>
      <c r="R188" s="39"/>
      <c r="S188" s="28"/>
    </row>
    <row r="189" spans="1:19">
      <c r="A189" s="651">
        <v>908000</v>
      </c>
      <c r="B189" s="650" t="s">
        <v>201</v>
      </c>
      <c r="C189" s="651" t="s">
        <v>321</v>
      </c>
      <c r="D189" s="37">
        <f t="shared" si="14"/>
        <v>908</v>
      </c>
      <c r="E189" s="166">
        <f t="shared" si="13"/>
        <v>100</v>
      </c>
      <c r="F189" s="41">
        <v>6</v>
      </c>
      <c r="G189" s="41">
        <v>0</v>
      </c>
      <c r="H189" s="41">
        <v>13</v>
      </c>
      <c r="I189" s="41">
        <v>0</v>
      </c>
      <c r="J189" s="41">
        <v>68</v>
      </c>
      <c r="K189" s="41">
        <v>13</v>
      </c>
      <c r="L189" s="41">
        <v>0</v>
      </c>
      <c r="M189" s="41">
        <v>0</v>
      </c>
      <c r="N189" s="41">
        <v>0</v>
      </c>
      <c r="O189" s="41">
        <v>0</v>
      </c>
      <c r="P189" s="41">
        <v>0</v>
      </c>
      <c r="Q189" s="41">
        <v>0</v>
      </c>
      <c r="R189" s="39"/>
      <c r="S189" s="28"/>
    </row>
    <row r="190" spans="1:19">
      <c r="A190" s="651">
        <v>909650</v>
      </c>
      <c r="B190" s="650" t="s">
        <v>202</v>
      </c>
      <c r="C190" s="651" t="s">
        <v>321</v>
      </c>
      <c r="D190" s="37">
        <f t="shared" si="14"/>
        <v>909</v>
      </c>
      <c r="E190" s="166">
        <f t="shared" si="13"/>
        <v>6719</v>
      </c>
      <c r="F190" s="41">
        <v>1533</v>
      </c>
      <c r="G190" s="41">
        <v>736</v>
      </c>
      <c r="H190" s="41">
        <v>2176</v>
      </c>
      <c r="I190" s="41">
        <v>1137</v>
      </c>
      <c r="J190" s="41">
        <v>271</v>
      </c>
      <c r="K190" s="41">
        <v>866</v>
      </c>
      <c r="L190" s="41">
        <v>0</v>
      </c>
      <c r="M190" s="41">
        <v>0</v>
      </c>
      <c r="N190" s="41">
        <v>0</v>
      </c>
      <c r="O190" s="41">
        <v>0</v>
      </c>
      <c r="P190" s="41">
        <v>0</v>
      </c>
      <c r="Q190" s="41">
        <v>0</v>
      </c>
      <c r="R190" s="39"/>
      <c r="S190" s="28"/>
    </row>
    <row r="191" spans="1:19">
      <c r="A191" s="651">
        <v>910000</v>
      </c>
      <c r="B191" s="650" t="s">
        <v>203</v>
      </c>
      <c r="C191" s="651" t="s">
        <v>321</v>
      </c>
      <c r="D191" s="37">
        <f t="shared" si="14"/>
        <v>910</v>
      </c>
      <c r="E191" s="166">
        <f t="shared" si="13"/>
        <v>1062707</v>
      </c>
      <c r="F191" s="41">
        <v>107121</v>
      </c>
      <c r="G191" s="41">
        <v>110097</v>
      </c>
      <c r="H191" s="41">
        <v>105843</v>
      </c>
      <c r="I191" s="41">
        <v>103077</v>
      </c>
      <c r="J191" s="41">
        <v>-157946</v>
      </c>
      <c r="K191" s="41">
        <v>99728</v>
      </c>
      <c r="L191" s="41">
        <v>118457</v>
      </c>
      <c r="M191" s="41">
        <v>103760</v>
      </c>
      <c r="N191" s="41">
        <v>118353</v>
      </c>
      <c r="O191" s="41">
        <v>119250</v>
      </c>
      <c r="P191" s="41">
        <v>117451</v>
      </c>
      <c r="Q191" s="41">
        <v>117516</v>
      </c>
      <c r="R191" s="39"/>
      <c r="S191" s="28"/>
    </row>
    <row r="192" spans="1:19">
      <c r="A192" s="651">
        <v>910100</v>
      </c>
      <c r="B192" s="650" t="s">
        <v>204</v>
      </c>
      <c r="C192" s="651" t="s">
        <v>321</v>
      </c>
      <c r="D192" s="37">
        <f t="shared" si="14"/>
        <v>910</v>
      </c>
      <c r="E192" s="166">
        <f t="shared" si="13"/>
        <v>106001</v>
      </c>
      <c r="F192" s="41">
        <v>20313</v>
      </c>
      <c r="G192" s="41">
        <v>14287</v>
      </c>
      <c r="H192" s="41">
        <v>8439</v>
      </c>
      <c r="I192" s="41">
        <v>14909</v>
      </c>
      <c r="J192" s="41">
        <v>5450</v>
      </c>
      <c r="K192" s="41">
        <v>11913</v>
      </c>
      <c r="L192" s="41">
        <v>-2517</v>
      </c>
      <c r="M192" s="41">
        <v>1224</v>
      </c>
      <c r="N192" s="41">
        <v>23524</v>
      </c>
      <c r="O192" s="41">
        <v>1398</v>
      </c>
      <c r="P192" s="41">
        <v>10412</v>
      </c>
      <c r="Q192" s="41">
        <v>-3351</v>
      </c>
      <c r="R192" s="39"/>
      <c r="S192" s="28"/>
    </row>
    <row r="193" spans="1:19">
      <c r="A193" s="651">
        <v>911000</v>
      </c>
      <c r="B193" s="650" t="s">
        <v>205</v>
      </c>
      <c r="C193" s="651" t="s">
        <v>321</v>
      </c>
      <c r="D193" s="37">
        <f t="shared" si="14"/>
        <v>911</v>
      </c>
      <c r="E193" s="166">
        <f t="shared" si="13"/>
        <v>0</v>
      </c>
      <c r="F193" s="41">
        <v>0</v>
      </c>
      <c r="G193" s="41">
        <v>0</v>
      </c>
      <c r="H193" s="41">
        <v>0</v>
      </c>
      <c r="I193" s="41">
        <v>0</v>
      </c>
      <c r="J193" s="41">
        <v>0</v>
      </c>
      <c r="K193" s="41">
        <v>0</v>
      </c>
      <c r="L193" s="41">
        <v>0</v>
      </c>
      <c r="M193" s="41">
        <v>0</v>
      </c>
      <c r="N193" s="41">
        <v>0</v>
      </c>
      <c r="O193" s="41">
        <v>0</v>
      </c>
      <c r="P193" s="41">
        <v>0</v>
      </c>
      <c r="Q193" s="41">
        <v>0</v>
      </c>
      <c r="R193" s="39"/>
      <c r="S193" s="28"/>
    </row>
    <row r="194" spans="1:19">
      <c r="A194" s="651">
        <v>912000</v>
      </c>
      <c r="B194" s="650" t="s">
        <v>206</v>
      </c>
      <c r="C194" s="651" t="s">
        <v>322</v>
      </c>
      <c r="D194" s="37">
        <f t="shared" si="14"/>
        <v>912</v>
      </c>
      <c r="E194" s="166">
        <f t="shared" si="13"/>
        <v>74183</v>
      </c>
      <c r="F194" s="41">
        <v>6530</v>
      </c>
      <c r="G194" s="41">
        <v>-6421</v>
      </c>
      <c r="H194" s="41">
        <v>1856</v>
      </c>
      <c r="I194" s="41">
        <v>8837</v>
      </c>
      <c r="J194" s="41">
        <v>4513</v>
      </c>
      <c r="K194" s="41">
        <v>4531</v>
      </c>
      <c r="L194" s="41">
        <v>10341</v>
      </c>
      <c r="M194" s="41">
        <v>10344</v>
      </c>
      <c r="N194" s="41">
        <v>10342</v>
      </c>
      <c r="O194" s="41">
        <v>10345</v>
      </c>
      <c r="P194" s="41">
        <v>6499</v>
      </c>
      <c r="Q194" s="41">
        <v>6466</v>
      </c>
      <c r="R194" s="39"/>
      <c r="S194" s="28"/>
    </row>
    <row r="195" spans="1:19">
      <c r="A195" s="651">
        <v>913001</v>
      </c>
      <c r="B195" s="650" t="s">
        <v>207</v>
      </c>
      <c r="C195" s="651" t="s">
        <v>322</v>
      </c>
      <c r="D195" s="37">
        <f t="shared" si="14"/>
        <v>913</v>
      </c>
      <c r="E195" s="166">
        <f t="shared" si="13"/>
        <v>77993</v>
      </c>
      <c r="F195" s="41">
        <v>25</v>
      </c>
      <c r="G195" s="41">
        <v>924</v>
      </c>
      <c r="H195" s="41">
        <v>160</v>
      </c>
      <c r="I195" s="41">
        <v>138</v>
      </c>
      <c r="J195" s="41">
        <v>45</v>
      </c>
      <c r="K195" s="41">
        <v>25</v>
      </c>
      <c r="L195" s="41">
        <v>12938</v>
      </c>
      <c r="M195" s="41">
        <v>12700</v>
      </c>
      <c r="N195" s="41">
        <v>12700</v>
      </c>
      <c r="O195" s="41">
        <v>12938</v>
      </c>
      <c r="P195" s="41">
        <v>12700</v>
      </c>
      <c r="Q195" s="41">
        <v>12700</v>
      </c>
      <c r="R195" s="39"/>
      <c r="S195" s="28"/>
    </row>
    <row r="196" spans="1:19">
      <c r="A196" s="651">
        <v>920000</v>
      </c>
      <c r="B196" s="650" t="s">
        <v>208</v>
      </c>
      <c r="C196" s="651" t="s">
        <v>323</v>
      </c>
      <c r="D196" s="37">
        <f t="shared" si="14"/>
        <v>920</v>
      </c>
      <c r="E196" s="166">
        <f t="shared" si="13"/>
        <v>7497809</v>
      </c>
      <c r="F196" s="41">
        <v>671718</v>
      </c>
      <c r="G196" s="41">
        <v>527733</v>
      </c>
      <c r="H196" s="41">
        <v>541924</v>
      </c>
      <c r="I196" s="41">
        <v>553067</v>
      </c>
      <c r="J196" s="41">
        <v>531522</v>
      </c>
      <c r="K196" s="41">
        <v>566453</v>
      </c>
      <c r="L196" s="41">
        <v>867661</v>
      </c>
      <c r="M196" s="41">
        <v>669138</v>
      </c>
      <c r="N196" s="41">
        <v>686404</v>
      </c>
      <c r="O196" s="41">
        <v>548083</v>
      </c>
      <c r="P196" s="41">
        <v>668287</v>
      </c>
      <c r="Q196" s="41">
        <v>665819</v>
      </c>
      <c r="R196" s="39"/>
      <c r="S196" s="28"/>
    </row>
    <row r="197" spans="1:19">
      <c r="A197" s="651">
        <v>920100</v>
      </c>
      <c r="B197" s="650" t="s">
        <v>324</v>
      </c>
      <c r="C197" s="651" t="s">
        <v>323</v>
      </c>
      <c r="D197" s="37">
        <f>VALUE(LEFT(A197,3))</f>
        <v>920</v>
      </c>
      <c r="E197" s="166">
        <f>SUM(F197:Q197)</f>
        <v>332</v>
      </c>
      <c r="F197" s="41">
        <v>133</v>
      </c>
      <c r="G197" s="41">
        <v>124</v>
      </c>
      <c r="H197" s="41">
        <v>23</v>
      </c>
      <c r="I197" s="41">
        <v>27</v>
      </c>
      <c r="J197" s="41">
        <v>11</v>
      </c>
      <c r="K197" s="41">
        <v>14</v>
      </c>
      <c r="L197" s="41">
        <v>0</v>
      </c>
      <c r="M197" s="41">
        <v>0</v>
      </c>
      <c r="N197" s="41">
        <v>0</v>
      </c>
      <c r="O197" s="41">
        <v>0</v>
      </c>
      <c r="P197" s="41">
        <v>0</v>
      </c>
      <c r="Q197" s="41">
        <v>0</v>
      </c>
      <c r="R197" s="39"/>
      <c r="S197" s="28"/>
    </row>
    <row r="198" spans="1:19">
      <c r="A198" s="651">
        <v>920300</v>
      </c>
      <c r="B198" s="650" t="s">
        <v>209</v>
      </c>
      <c r="C198" s="651" t="s">
        <v>323</v>
      </c>
      <c r="D198" s="37">
        <f t="shared" si="14"/>
        <v>920</v>
      </c>
      <c r="E198" s="166">
        <f t="shared" si="13"/>
        <v>0</v>
      </c>
      <c r="F198" s="41">
        <v>0</v>
      </c>
      <c r="G198" s="41">
        <v>0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1">
        <v>0</v>
      </c>
      <c r="N198" s="41">
        <v>0</v>
      </c>
      <c r="O198" s="41">
        <v>0</v>
      </c>
      <c r="P198" s="41">
        <v>0</v>
      </c>
      <c r="Q198" s="41">
        <v>0</v>
      </c>
      <c r="R198" s="39"/>
      <c r="S198" s="28"/>
    </row>
    <row r="199" spans="1:19">
      <c r="A199" s="651">
        <v>921100</v>
      </c>
      <c r="B199" s="650" t="s">
        <v>210</v>
      </c>
      <c r="C199" s="651" t="s">
        <v>323</v>
      </c>
      <c r="D199" s="37">
        <f t="shared" si="14"/>
        <v>921</v>
      </c>
      <c r="E199" s="166">
        <f t="shared" si="13"/>
        <v>-675284</v>
      </c>
      <c r="F199" s="41">
        <v>17266</v>
      </c>
      <c r="G199" s="41">
        <v>1074</v>
      </c>
      <c r="H199" s="41">
        <v>8186</v>
      </c>
      <c r="I199" s="41">
        <v>15384</v>
      </c>
      <c r="J199" s="41">
        <v>-874</v>
      </c>
      <c r="K199" s="41">
        <v>35702</v>
      </c>
      <c r="L199" s="41">
        <v>21713</v>
      </c>
      <c r="M199" s="41">
        <v>21083</v>
      </c>
      <c r="N199" s="41">
        <v>21215</v>
      </c>
      <c r="O199" s="41">
        <v>-862573</v>
      </c>
      <c r="P199" s="41">
        <v>23105</v>
      </c>
      <c r="Q199" s="41">
        <v>23435</v>
      </c>
      <c r="R199" s="39"/>
      <c r="S199" s="28"/>
    </row>
    <row r="200" spans="1:19">
      <c r="A200" s="651">
        <v>921101</v>
      </c>
      <c r="B200" s="650" t="s">
        <v>211</v>
      </c>
      <c r="C200" s="651" t="s">
        <v>323</v>
      </c>
      <c r="D200" s="37">
        <f t="shared" si="14"/>
        <v>921</v>
      </c>
      <c r="E200" s="166">
        <f t="shared" si="13"/>
        <v>0</v>
      </c>
      <c r="F200" s="41">
        <v>0</v>
      </c>
      <c r="G200" s="41">
        <v>0</v>
      </c>
      <c r="H200" s="41">
        <v>0</v>
      </c>
      <c r="I200" s="41">
        <v>0</v>
      </c>
      <c r="J200" s="41">
        <v>0</v>
      </c>
      <c r="K200" s="41">
        <v>0</v>
      </c>
      <c r="L200" s="41">
        <v>0</v>
      </c>
      <c r="M200" s="41">
        <v>0</v>
      </c>
      <c r="N200" s="41">
        <v>0</v>
      </c>
      <c r="O200" s="41">
        <v>0</v>
      </c>
      <c r="P200" s="41">
        <v>0</v>
      </c>
      <c r="Q200" s="41">
        <v>0</v>
      </c>
      <c r="R200" s="39"/>
      <c r="S200" s="28"/>
    </row>
    <row r="201" spans="1:19">
      <c r="A201" s="651">
        <v>921110</v>
      </c>
      <c r="B201" s="650" t="s">
        <v>212</v>
      </c>
      <c r="C201" s="651" t="s">
        <v>323</v>
      </c>
      <c r="D201" s="37">
        <f t="shared" si="14"/>
        <v>921</v>
      </c>
      <c r="E201" s="166">
        <f t="shared" si="13"/>
        <v>0</v>
      </c>
      <c r="F201" s="41">
        <v>0</v>
      </c>
      <c r="G201" s="41">
        <v>0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0</v>
      </c>
      <c r="N201" s="41">
        <v>0</v>
      </c>
      <c r="O201" s="41">
        <v>0</v>
      </c>
      <c r="P201" s="41">
        <v>0</v>
      </c>
      <c r="Q201" s="41">
        <v>0</v>
      </c>
      <c r="R201" s="39"/>
      <c r="S201" s="28"/>
    </row>
    <row r="202" spans="1:19">
      <c r="A202" s="651">
        <v>921200</v>
      </c>
      <c r="B202" s="650" t="s">
        <v>213</v>
      </c>
      <c r="C202" s="651" t="s">
        <v>323</v>
      </c>
      <c r="D202" s="37">
        <f t="shared" si="14"/>
        <v>921</v>
      </c>
      <c r="E202" s="166">
        <f t="shared" si="13"/>
        <v>435443</v>
      </c>
      <c r="F202" s="41">
        <v>39594</v>
      </c>
      <c r="G202" s="41">
        <v>24251</v>
      </c>
      <c r="H202" s="41">
        <v>69112</v>
      </c>
      <c r="I202" s="41">
        <v>19643</v>
      </c>
      <c r="J202" s="41">
        <v>66251</v>
      </c>
      <c r="K202" s="41">
        <v>16702</v>
      </c>
      <c r="L202" s="41">
        <v>52659</v>
      </c>
      <c r="M202" s="41">
        <v>30601</v>
      </c>
      <c r="N202" s="41">
        <v>32086</v>
      </c>
      <c r="O202" s="41">
        <v>51581</v>
      </c>
      <c r="P202" s="41">
        <v>18971</v>
      </c>
      <c r="Q202" s="41">
        <v>13992</v>
      </c>
      <c r="R202" s="39"/>
      <c r="S202" s="28"/>
    </row>
    <row r="203" spans="1:19">
      <c r="A203" s="651">
        <v>921300</v>
      </c>
      <c r="B203" s="650" t="s">
        <v>214</v>
      </c>
      <c r="C203" s="651" t="s">
        <v>323</v>
      </c>
      <c r="D203" s="37">
        <f t="shared" si="14"/>
        <v>921</v>
      </c>
      <c r="E203" s="166">
        <f t="shared" si="13"/>
        <v>0</v>
      </c>
      <c r="F203" s="41">
        <v>0</v>
      </c>
      <c r="G203" s="41">
        <v>0</v>
      </c>
      <c r="H203" s="41">
        <v>0</v>
      </c>
      <c r="I203" s="41">
        <v>0</v>
      </c>
      <c r="J203" s="41">
        <v>0</v>
      </c>
      <c r="K203" s="41">
        <v>0</v>
      </c>
      <c r="L203" s="41">
        <v>0</v>
      </c>
      <c r="M203" s="41">
        <v>0</v>
      </c>
      <c r="N203" s="41">
        <v>0</v>
      </c>
      <c r="O203" s="41">
        <v>0</v>
      </c>
      <c r="P203" s="41">
        <v>0</v>
      </c>
      <c r="Q203" s="41">
        <v>0</v>
      </c>
      <c r="R203" s="39"/>
      <c r="S203" s="28"/>
    </row>
    <row r="204" spans="1:19">
      <c r="A204" s="651">
        <v>921400</v>
      </c>
      <c r="B204" s="650" t="s">
        <v>215</v>
      </c>
      <c r="C204" s="651" t="s">
        <v>323</v>
      </c>
      <c r="D204" s="37">
        <f t="shared" si="14"/>
        <v>921</v>
      </c>
      <c r="E204" s="166">
        <f t="shared" si="13"/>
        <v>179210</v>
      </c>
      <c r="F204" s="41">
        <v>12385</v>
      </c>
      <c r="G204" s="41">
        <v>2103</v>
      </c>
      <c r="H204" s="41">
        <v>7762</v>
      </c>
      <c r="I204" s="41">
        <v>6591</v>
      </c>
      <c r="J204" s="41">
        <v>43458</v>
      </c>
      <c r="K204" s="41">
        <v>2176</v>
      </c>
      <c r="L204" s="41">
        <v>12696</v>
      </c>
      <c r="M204" s="41">
        <v>29138</v>
      </c>
      <c r="N204" s="41">
        <v>16128</v>
      </c>
      <c r="O204" s="41">
        <v>13321</v>
      </c>
      <c r="P204" s="41">
        <v>23561</v>
      </c>
      <c r="Q204" s="41">
        <v>9891</v>
      </c>
      <c r="R204" s="39"/>
      <c r="S204" s="28"/>
    </row>
    <row r="205" spans="1:19">
      <c r="A205" s="651">
        <v>921540</v>
      </c>
      <c r="B205" s="650" t="s">
        <v>216</v>
      </c>
      <c r="C205" s="651" t="s">
        <v>323</v>
      </c>
      <c r="D205" s="37">
        <f t="shared" si="14"/>
        <v>921</v>
      </c>
      <c r="E205" s="166">
        <f t="shared" si="13"/>
        <v>142769</v>
      </c>
      <c r="F205" s="41">
        <v>12411</v>
      </c>
      <c r="G205" s="41">
        <v>16515</v>
      </c>
      <c r="H205" s="41">
        <v>17002</v>
      </c>
      <c r="I205" s="41">
        <v>33271</v>
      </c>
      <c r="J205" s="41">
        <v>4350</v>
      </c>
      <c r="K205" s="41">
        <v>21098</v>
      </c>
      <c r="L205" s="41">
        <v>4391</v>
      </c>
      <c r="M205" s="41">
        <v>6295</v>
      </c>
      <c r="N205" s="41">
        <v>7272</v>
      </c>
      <c r="O205" s="41">
        <v>5336</v>
      </c>
      <c r="P205" s="41">
        <v>7947</v>
      </c>
      <c r="Q205" s="41">
        <v>6881</v>
      </c>
      <c r="R205" s="39"/>
      <c r="S205" s="28"/>
    </row>
    <row r="206" spans="1:19">
      <c r="A206" s="651">
        <v>921600</v>
      </c>
      <c r="B206" s="650" t="s">
        <v>217</v>
      </c>
      <c r="C206" s="651" t="s">
        <v>323</v>
      </c>
      <c r="D206" s="37">
        <f t="shared" si="14"/>
        <v>921</v>
      </c>
      <c r="E206" s="166">
        <f t="shared" si="13"/>
        <v>-7</v>
      </c>
      <c r="F206" s="41">
        <v>22</v>
      </c>
      <c r="G206" s="41">
        <v>32</v>
      </c>
      <c r="H206" s="41">
        <v>-105</v>
      </c>
      <c r="I206" s="41">
        <v>37</v>
      </c>
      <c r="J206" s="41">
        <v>4</v>
      </c>
      <c r="K206" s="41">
        <v>5</v>
      </c>
      <c r="L206" s="41">
        <v>-1</v>
      </c>
      <c r="M206" s="41">
        <v>0</v>
      </c>
      <c r="N206" s="41">
        <v>0</v>
      </c>
      <c r="O206" s="41">
        <v>-1</v>
      </c>
      <c r="P206" s="41">
        <v>0</v>
      </c>
      <c r="Q206" s="41">
        <v>0</v>
      </c>
      <c r="R206" s="39"/>
      <c r="S206" s="28"/>
    </row>
    <row r="207" spans="1:19">
      <c r="A207" s="651">
        <v>921980</v>
      </c>
      <c r="B207" s="650" t="s">
        <v>218</v>
      </c>
      <c r="C207" s="651" t="s">
        <v>323</v>
      </c>
      <c r="D207" s="37">
        <f t="shared" si="14"/>
        <v>921</v>
      </c>
      <c r="E207" s="166">
        <f t="shared" si="13"/>
        <v>2944660</v>
      </c>
      <c r="F207" s="41">
        <v>248991</v>
      </c>
      <c r="G207" s="41">
        <v>276487</v>
      </c>
      <c r="H207" s="41">
        <v>241997</v>
      </c>
      <c r="I207" s="41">
        <v>256935</v>
      </c>
      <c r="J207" s="41">
        <v>263480</v>
      </c>
      <c r="K207" s="41">
        <v>241349</v>
      </c>
      <c r="L207" s="41">
        <v>231430</v>
      </c>
      <c r="M207" s="41">
        <v>231283</v>
      </c>
      <c r="N207" s="41">
        <v>229650</v>
      </c>
      <c r="O207" s="41">
        <v>231586</v>
      </c>
      <c r="P207" s="41">
        <v>245736</v>
      </c>
      <c r="Q207" s="41">
        <v>245736</v>
      </c>
      <c r="R207" s="39"/>
      <c r="S207" s="28"/>
    </row>
    <row r="208" spans="1:19">
      <c r="A208" s="651">
        <v>922000</v>
      </c>
      <c r="B208" s="650" t="s">
        <v>325</v>
      </c>
      <c r="C208" s="651" t="s">
        <v>323</v>
      </c>
      <c r="D208" s="37">
        <f t="shared" si="14"/>
        <v>922</v>
      </c>
      <c r="E208" s="166">
        <f t="shared" si="13"/>
        <v>0</v>
      </c>
      <c r="F208" s="41">
        <v>0</v>
      </c>
      <c r="G208" s="41">
        <v>0</v>
      </c>
      <c r="H208" s="41">
        <v>0</v>
      </c>
      <c r="I208" s="41">
        <v>0</v>
      </c>
      <c r="J208" s="41">
        <v>0</v>
      </c>
      <c r="K208" s="41">
        <v>0</v>
      </c>
      <c r="L208" s="41">
        <v>0</v>
      </c>
      <c r="M208" s="41">
        <v>0</v>
      </c>
      <c r="N208" s="41">
        <v>0</v>
      </c>
      <c r="O208" s="41">
        <v>0</v>
      </c>
      <c r="P208" s="41">
        <v>0</v>
      </c>
      <c r="Q208" s="41">
        <v>0</v>
      </c>
      <c r="R208" s="39"/>
      <c r="S208" s="28"/>
    </row>
    <row r="209" spans="1:19">
      <c r="A209" s="651">
        <v>923000</v>
      </c>
      <c r="B209" s="650" t="s">
        <v>219</v>
      </c>
      <c r="C209" s="651" t="s">
        <v>323</v>
      </c>
      <c r="D209" s="37">
        <f t="shared" si="14"/>
        <v>923</v>
      </c>
      <c r="E209" s="166">
        <f t="shared" si="13"/>
        <v>2903295</v>
      </c>
      <c r="F209" s="41">
        <v>164687</v>
      </c>
      <c r="G209" s="41">
        <v>215846</v>
      </c>
      <c r="H209" s="41">
        <v>193976</v>
      </c>
      <c r="I209" s="41">
        <v>165192</v>
      </c>
      <c r="J209" s="41">
        <v>241719</v>
      </c>
      <c r="K209" s="41">
        <v>859736</v>
      </c>
      <c r="L209" s="41">
        <v>189126</v>
      </c>
      <c r="M209" s="41">
        <v>168006</v>
      </c>
      <c r="N209" s="41">
        <v>186597</v>
      </c>
      <c r="O209" s="41">
        <v>163682</v>
      </c>
      <c r="P209" s="41">
        <v>170516</v>
      </c>
      <c r="Q209" s="41">
        <v>184212</v>
      </c>
      <c r="R209" s="39"/>
      <c r="S209" s="28"/>
    </row>
    <row r="210" spans="1:19">
      <c r="A210" s="651">
        <v>923980</v>
      </c>
      <c r="B210" s="650" t="s">
        <v>220</v>
      </c>
      <c r="C210" s="651" t="s">
        <v>323</v>
      </c>
      <c r="D210" s="37">
        <f t="shared" si="14"/>
        <v>923</v>
      </c>
      <c r="E210" s="166">
        <f t="shared" si="13"/>
        <v>37834</v>
      </c>
      <c r="F210" s="41">
        <v>13873</v>
      </c>
      <c r="G210" s="41">
        <v>5770</v>
      </c>
      <c r="H210" s="41">
        <v>1072</v>
      </c>
      <c r="I210" s="41">
        <v>1082</v>
      </c>
      <c r="J210" s="41">
        <v>4602</v>
      </c>
      <c r="K210" s="41">
        <v>11435</v>
      </c>
      <c r="L210" s="41">
        <v>0</v>
      </c>
      <c r="M210" s="41">
        <v>0</v>
      </c>
      <c r="N210" s="41">
        <v>0</v>
      </c>
      <c r="O210" s="41">
        <v>0</v>
      </c>
      <c r="P210" s="41">
        <v>0</v>
      </c>
      <c r="Q210" s="41">
        <v>0</v>
      </c>
      <c r="R210" s="39"/>
      <c r="S210" s="28"/>
    </row>
    <row r="211" spans="1:19">
      <c r="A211" s="651">
        <v>924000</v>
      </c>
      <c r="B211" s="650" t="s">
        <v>221</v>
      </c>
      <c r="C211" s="651" t="s">
        <v>323</v>
      </c>
      <c r="D211" s="37">
        <f t="shared" si="14"/>
        <v>924</v>
      </c>
      <c r="E211" s="166">
        <f t="shared" si="13"/>
        <v>10878</v>
      </c>
      <c r="F211" s="41">
        <v>-2263</v>
      </c>
      <c r="G211" s="41">
        <v>712</v>
      </c>
      <c r="H211" s="41">
        <v>712</v>
      </c>
      <c r="I211" s="41">
        <v>-2263</v>
      </c>
      <c r="J211" s="41">
        <v>4112</v>
      </c>
      <c r="K211" s="41">
        <v>712</v>
      </c>
      <c r="L211" s="41">
        <v>1526</v>
      </c>
      <c r="M211" s="41">
        <v>1526</v>
      </c>
      <c r="N211" s="41">
        <v>1526</v>
      </c>
      <c r="O211" s="41">
        <v>1526</v>
      </c>
      <c r="P211" s="41">
        <v>1526</v>
      </c>
      <c r="Q211" s="41">
        <v>1526</v>
      </c>
      <c r="R211" s="39"/>
      <c r="S211" s="28"/>
    </row>
    <row r="212" spans="1:19">
      <c r="A212" s="651">
        <v>924050</v>
      </c>
      <c r="B212" s="650" t="s">
        <v>222</v>
      </c>
      <c r="C212" s="651" t="s">
        <v>323</v>
      </c>
      <c r="D212" s="37">
        <f t="shared" si="14"/>
        <v>924</v>
      </c>
      <c r="E212" s="166">
        <f t="shared" si="13"/>
        <v>1412430</v>
      </c>
      <c r="F212" s="41">
        <v>119932</v>
      </c>
      <c r="G212" s="41">
        <v>119932</v>
      </c>
      <c r="H212" s="41">
        <v>119932</v>
      </c>
      <c r="I212" s="41">
        <v>119932</v>
      </c>
      <c r="J212" s="41">
        <v>119932</v>
      </c>
      <c r="K212" s="41">
        <v>119932</v>
      </c>
      <c r="L212" s="41">
        <v>115473</v>
      </c>
      <c r="M212" s="41">
        <v>115473</v>
      </c>
      <c r="N212" s="41">
        <v>115473</v>
      </c>
      <c r="O212" s="41">
        <v>115473</v>
      </c>
      <c r="P212" s="41">
        <v>115473</v>
      </c>
      <c r="Q212" s="41">
        <v>115473</v>
      </c>
      <c r="R212" s="39"/>
      <c r="S212" s="28"/>
    </row>
    <row r="213" spans="1:19">
      <c r="A213" s="651">
        <v>924110</v>
      </c>
      <c r="B213" s="650" t="s">
        <v>223</v>
      </c>
      <c r="C213" s="651" t="s">
        <v>323</v>
      </c>
      <c r="D213" s="37">
        <f>VALUE(LEFT(A213,3))</f>
        <v>924</v>
      </c>
      <c r="E213" s="166">
        <f>SUM(F213:Q213)</f>
        <v>-4950</v>
      </c>
      <c r="F213" s="41">
        <v>0</v>
      </c>
      <c r="G213" s="41">
        <v>0</v>
      </c>
      <c r="H213" s="41">
        <v>0</v>
      </c>
      <c r="I213" s="41">
        <v>0</v>
      </c>
      <c r="J213" s="41">
        <v>0</v>
      </c>
      <c r="K213" s="41">
        <v>0</v>
      </c>
      <c r="L213" s="41">
        <v>-825</v>
      </c>
      <c r="M213" s="41">
        <v>-825</v>
      </c>
      <c r="N213" s="41">
        <v>-825</v>
      </c>
      <c r="O213" s="41">
        <v>-825</v>
      </c>
      <c r="P213" s="41">
        <v>-825</v>
      </c>
      <c r="Q213" s="41">
        <v>-825</v>
      </c>
      <c r="R213" s="39"/>
      <c r="S213" s="28"/>
    </row>
    <row r="214" spans="1:19">
      <c r="A214" s="651">
        <v>924980</v>
      </c>
      <c r="B214" s="650" t="s">
        <v>224</v>
      </c>
      <c r="C214" s="651" t="s">
        <v>323</v>
      </c>
      <c r="D214" s="37">
        <f t="shared" si="14"/>
        <v>924</v>
      </c>
      <c r="E214" s="166">
        <f t="shared" si="13"/>
        <v>94817</v>
      </c>
      <c r="F214" s="41">
        <v>3155</v>
      </c>
      <c r="G214" s="41">
        <v>0</v>
      </c>
      <c r="H214" s="41">
        <v>0</v>
      </c>
      <c r="I214" s="41">
        <v>0</v>
      </c>
      <c r="J214" s="41">
        <v>0</v>
      </c>
      <c r="K214" s="41">
        <v>0</v>
      </c>
      <c r="L214" s="41">
        <v>15277</v>
      </c>
      <c r="M214" s="41">
        <v>15277</v>
      </c>
      <c r="N214" s="41">
        <v>15277</v>
      </c>
      <c r="O214" s="41">
        <v>15277</v>
      </c>
      <c r="P214" s="41">
        <v>15277</v>
      </c>
      <c r="Q214" s="41">
        <v>15277</v>
      </c>
      <c r="R214" s="39"/>
      <c r="S214" s="28"/>
    </row>
    <row r="215" spans="1:19">
      <c r="A215" s="651">
        <v>925000</v>
      </c>
      <c r="B215" s="650" t="s">
        <v>225</v>
      </c>
      <c r="C215" s="651" t="s">
        <v>323</v>
      </c>
      <c r="D215" s="37">
        <f t="shared" si="14"/>
        <v>925</v>
      </c>
      <c r="E215" s="166">
        <f t="shared" si="13"/>
        <v>88998</v>
      </c>
      <c r="F215" s="41">
        <v>553</v>
      </c>
      <c r="G215" s="41">
        <v>52673</v>
      </c>
      <c r="H215" s="41">
        <v>5379</v>
      </c>
      <c r="I215" s="41">
        <v>4779</v>
      </c>
      <c r="J215" s="41">
        <v>622</v>
      </c>
      <c r="K215" s="41">
        <v>1330</v>
      </c>
      <c r="L215" s="41">
        <v>5553</v>
      </c>
      <c r="M215" s="41">
        <v>3123</v>
      </c>
      <c r="N215" s="41">
        <v>3187</v>
      </c>
      <c r="O215" s="41">
        <v>7443</v>
      </c>
      <c r="P215" s="41">
        <v>2043</v>
      </c>
      <c r="Q215" s="41">
        <v>2313</v>
      </c>
      <c r="R215" s="39"/>
      <c r="S215" s="28"/>
    </row>
    <row r="216" spans="1:19">
      <c r="A216" s="651">
        <v>925050</v>
      </c>
      <c r="B216" s="650" t="s">
        <v>326</v>
      </c>
      <c r="C216" s="651" t="s">
        <v>323</v>
      </c>
      <c r="D216" s="37">
        <f>VALUE(LEFT(A216,3))</f>
        <v>925</v>
      </c>
      <c r="E216" s="166">
        <f t="shared" si="13"/>
        <v>0</v>
      </c>
      <c r="F216" s="41">
        <v>0</v>
      </c>
      <c r="G216" s="41"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>
        <v>0</v>
      </c>
      <c r="N216" s="41">
        <v>0</v>
      </c>
      <c r="O216" s="41">
        <v>0</v>
      </c>
      <c r="P216" s="41">
        <v>0</v>
      </c>
      <c r="Q216" s="41">
        <v>0</v>
      </c>
      <c r="R216" s="39"/>
      <c r="S216" s="28"/>
    </row>
    <row r="217" spans="1:19">
      <c r="A217" s="651">
        <v>925051</v>
      </c>
      <c r="B217" s="650" t="s">
        <v>226</v>
      </c>
      <c r="C217" s="651" t="s">
        <v>323</v>
      </c>
      <c r="D217" s="37">
        <f t="shared" si="14"/>
        <v>925</v>
      </c>
      <c r="E217" s="166">
        <f t="shared" si="13"/>
        <v>371970</v>
      </c>
      <c r="F217" s="41">
        <v>32820</v>
      </c>
      <c r="G217" s="41">
        <v>32820</v>
      </c>
      <c r="H217" s="41">
        <v>32820</v>
      </c>
      <c r="I217" s="41">
        <v>32820</v>
      </c>
      <c r="J217" s="41">
        <v>32820</v>
      </c>
      <c r="K217" s="41">
        <v>32820</v>
      </c>
      <c r="L217" s="41">
        <v>29175</v>
      </c>
      <c r="M217" s="41">
        <v>29175</v>
      </c>
      <c r="N217" s="41">
        <v>29175</v>
      </c>
      <c r="O217" s="41">
        <v>29175</v>
      </c>
      <c r="P217" s="41">
        <v>29175</v>
      </c>
      <c r="Q217" s="41">
        <v>29175</v>
      </c>
      <c r="R217" s="39"/>
      <c r="S217" s="28"/>
    </row>
    <row r="218" spans="1:19">
      <c r="A218" s="651">
        <v>925052</v>
      </c>
      <c r="B218" s="650" t="s">
        <v>227</v>
      </c>
      <c r="C218" s="651" t="s">
        <v>323</v>
      </c>
      <c r="D218" s="37">
        <f t="shared" si="14"/>
        <v>925</v>
      </c>
      <c r="E218" s="166">
        <f t="shared" ref="E218" si="16">SUM(F218:Q218)</f>
        <v>60984</v>
      </c>
      <c r="F218" s="41">
        <v>4423</v>
      </c>
      <c r="G218" s="41">
        <v>4423</v>
      </c>
      <c r="H218" s="41">
        <v>4423</v>
      </c>
      <c r="I218" s="41">
        <v>4423</v>
      </c>
      <c r="J218" s="41">
        <v>4423</v>
      </c>
      <c r="K218" s="41">
        <v>4423</v>
      </c>
      <c r="L218" s="41">
        <v>5741</v>
      </c>
      <c r="M218" s="41">
        <v>5741</v>
      </c>
      <c r="N218" s="41">
        <v>5741</v>
      </c>
      <c r="O218" s="41">
        <v>5741</v>
      </c>
      <c r="P218" s="41">
        <v>5741</v>
      </c>
      <c r="Q218" s="41">
        <v>5741</v>
      </c>
      <c r="R218" s="39"/>
      <c r="S218" s="28"/>
    </row>
    <row r="219" spans="1:19">
      <c r="A219" s="651">
        <v>925100</v>
      </c>
      <c r="B219" s="650" t="s">
        <v>327</v>
      </c>
      <c r="C219" s="651" t="s">
        <v>323</v>
      </c>
      <c r="D219" s="37">
        <f t="shared" si="14"/>
        <v>925</v>
      </c>
      <c r="E219" s="166">
        <f t="shared" si="13"/>
        <v>2</v>
      </c>
      <c r="F219" s="41">
        <v>0</v>
      </c>
      <c r="G219" s="41">
        <v>0</v>
      </c>
      <c r="H219" s="41">
        <v>0</v>
      </c>
      <c r="I219" s="41">
        <v>0</v>
      </c>
      <c r="J219" s="41">
        <v>0</v>
      </c>
      <c r="K219" s="41">
        <v>2</v>
      </c>
      <c r="L219" s="41">
        <v>0</v>
      </c>
      <c r="M219" s="41">
        <v>0</v>
      </c>
      <c r="N219" s="41">
        <v>0</v>
      </c>
      <c r="O219" s="41">
        <v>0</v>
      </c>
      <c r="P219" s="41">
        <v>0</v>
      </c>
      <c r="Q219" s="41">
        <v>0</v>
      </c>
      <c r="R219" s="39"/>
      <c r="S219" s="28"/>
    </row>
    <row r="220" spans="1:19">
      <c r="A220" s="651">
        <v>925200</v>
      </c>
      <c r="B220" s="650" t="s">
        <v>228</v>
      </c>
      <c r="C220" s="651" t="s">
        <v>323</v>
      </c>
      <c r="D220" s="37">
        <f t="shared" si="14"/>
        <v>925</v>
      </c>
      <c r="E220" s="166">
        <f t="shared" si="13"/>
        <v>4242</v>
      </c>
      <c r="F220" s="41">
        <v>362</v>
      </c>
      <c r="G220" s="41">
        <v>317</v>
      </c>
      <c r="H220" s="41">
        <v>312</v>
      </c>
      <c r="I220" s="41">
        <v>250</v>
      </c>
      <c r="J220" s="41">
        <v>18</v>
      </c>
      <c r="K220" s="41">
        <v>13</v>
      </c>
      <c r="L220" s="41">
        <v>495</v>
      </c>
      <c r="M220" s="41">
        <v>495</v>
      </c>
      <c r="N220" s="41">
        <v>495</v>
      </c>
      <c r="O220" s="41">
        <v>495</v>
      </c>
      <c r="P220" s="41">
        <v>495</v>
      </c>
      <c r="Q220" s="41">
        <v>495</v>
      </c>
      <c r="R220" s="39"/>
      <c r="S220" s="28"/>
    </row>
    <row r="221" spans="1:19">
      <c r="A221" s="651">
        <v>925980</v>
      </c>
      <c r="B221" s="650" t="s">
        <v>229</v>
      </c>
      <c r="C221" s="651" t="s">
        <v>323</v>
      </c>
      <c r="D221" s="37">
        <f t="shared" si="14"/>
        <v>925</v>
      </c>
      <c r="E221" s="166">
        <f t="shared" si="13"/>
        <v>13038</v>
      </c>
      <c r="F221" s="41">
        <v>1061</v>
      </c>
      <c r="G221" s="41">
        <v>1061</v>
      </c>
      <c r="H221" s="41">
        <v>1061</v>
      </c>
      <c r="I221" s="41">
        <v>1061</v>
      </c>
      <c r="J221" s="41">
        <v>1061</v>
      </c>
      <c r="K221" s="41">
        <v>1061</v>
      </c>
      <c r="L221" s="41">
        <v>1112</v>
      </c>
      <c r="M221" s="41">
        <v>1112</v>
      </c>
      <c r="N221" s="41">
        <v>1112</v>
      </c>
      <c r="O221" s="41">
        <v>1112</v>
      </c>
      <c r="P221" s="41">
        <v>1112</v>
      </c>
      <c r="Q221" s="41">
        <v>1112</v>
      </c>
      <c r="R221" s="39"/>
      <c r="S221" s="28"/>
    </row>
    <row r="222" spans="1:19">
      <c r="A222" s="651">
        <v>926000</v>
      </c>
      <c r="B222" s="650" t="s">
        <v>230</v>
      </c>
      <c r="C222" s="651" t="s">
        <v>323</v>
      </c>
      <c r="D222" s="37">
        <f t="shared" si="14"/>
        <v>926</v>
      </c>
      <c r="E222" s="166">
        <f t="shared" si="13"/>
        <v>3995341</v>
      </c>
      <c r="F222" s="41">
        <v>240113</v>
      </c>
      <c r="G222" s="41">
        <v>215937</v>
      </c>
      <c r="H222" s="41">
        <v>303674</v>
      </c>
      <c r="I222" s="41">
        <v>534370</v>
      </c>
      <c r="J222" s="41">
        <v>223507</v>
      </c>
      <c r="K222" s="41">
        <v>345793</v>
      </c>
      <c r="L222" s="41">
        <v>483281</v>
      </c>
      <c r="M222" s="41">
        <v>298049</v>
      </c>
      <c r="N222" s="41">
        <v>291444</v>
      </c>
      <c r="O222" s="41">
        <v>419882</v>
      </c>
      <c r="P222" s="41">
        <v>416471</v>
      </c>
      <c r="Q222" s="41">
        <v>222820</v>
      </c>
      <c r="R222" s="39"/>
      <c r="S222" s="28"/>
    </row>
    <row r="223" spans="1:19">
      <c r="A223" s="651">
        <v>926430</v>
      </c>
      <c r="B223" s="650" t="s">
        <v>231</v>
      </c>
      <c r="C223" s="651" t="s">
        <v>323</v>
      </c>
      <c r="D223" s="37">
        <f t="shared" si="14"/>
        <v>926</v>
      </c>
      <c r="E223" s="166">
        <f t="shared" si="13"/>
        <v>25</v>
      </c>
      <c r="F223" s="41">
        <v>0</v>
      </c>
      <c r="G223" s="41">
        <v>25</v>
      </c>
      <c r="H223" s="41">
        <v>0</v>
      </c>
      <c r="I223" s="41">
        <v>0</v>
      </c>
      <c r="J223" s="41">
        <v>0</v>
      </c>
      <c r="K223" s="41">
        <v>0</v>
      </c>
      <c r="L223" s="41">
        <v>0</v>
      </c>
      <c r="M223" s="41">
        <v>0</v>
      </c>
      <c r="N223" s="41">
        <v>0</v>
      </c>
      <c r="O223" s="41">
        <v>0</v>
      </c>
      <c r="P223" s="41">
        <v>0</v>
      </c>
      <c r="Q223" s="41">
        <v>0</v>
      </c>
      <c r="R223" s="39"/>
      <c r="S223" s="28"/>
    </row>
    <row r="224" spans="1:19">
      <c r="A224" s="651">
        <v>926600</v>
      </c>
      <c r="B224" s="650" t="s">
        <v>232</v>
      </c>
      <c r="C224" s="651" t="s">
        <v>323</v>
      </c>
      <c r="D224" s="37">
        <f t="shared" si="14"/>
        <v>926</v>
      </c>
      <c r="E224" s="166">
        <f t="shared" ref="E224:E246" si="17">SUM(F224:Q224)</f>
        <v>1805608</v>
      </c>
      <c r="F224" s="41">
        <v>218698</v>
      </c>
      <c r="G224" s="41">
        <v>123553</v>
      </c>
      <c r="H224" s="41">
        <v>2495</v>
      </c>
      <c r="I224" s="41">
        <v>-8929</v>
      </c>
      <c r="J224" s="41">
        <v>156965</v>
      </c>
      <c r="K224" s="41">
        <v>141041</v>
      </c>
      <c r="L224" s="41">
        <v>194711</v>
      </c>
      <c r="M224" s="41">
        <v>201675</v>
      </c>
      <c r="N224" s="41">
        <v>189854</v>
      </c>
      <c r="O224" s="41">
        <v>203198</v>
      </c>
      <c r="P224" s="41">
        <v>185981</v>
      </c>
      <c r="Q224" s="41">
        <v>196366</v>
      </c>
      <c r="R224" s="39"/>
      <c r="S224" s="28"/>
    </row>
    <row r="225" spans="1:19">
      <c r="A225" s="651">
        <v>926999</v>
      </c>
      <c r="B225" s="650" t="s">
        <v>233</v>
      </c>
      <c r="C225" s="651" t="s">
        <v>323</v>
      </c>
      <c r="D225" s="37">
        <f t="shared" si="14"/>
        <v>926</v>
      </c>
      <c r="E225" s="166">
        <f t="shared" si="17"/>
        <v>-1169436</v>
      </c>
      <c r="F225" s="41">
        <v>-110788</v>
      </c>
      <c r="G225" s="41">
        <v>-110788</v>
      </c>
      <c r="H225" s="41">
        <v>-110788</v>
      </c>
      <c r="I225" s="41">
        <v>-110788</v>
      </c>
      <c r="J225" s="41">
        <v>-110788</v>
      </c>
      <c r="K225" s="41">
        <v>-110788</v>
      </c>
      <c r="L225" s="41">
        <v>-94634</v>
      </c>
      <c r="M225" s="41">
        <v>-94634</v>
      </c>
      <c r="N225" s="41">
        <v>-94634</v>
      </c>
      <c r="O225" s="41">
        <v>-94634</v>
      </c>
      <c r="P225" s="41">
        <v>-63086</v>
      </c>
      <c r="Q225" s="41">
        <v>-63086</v>
      </c>
      <c r="R225" s="39"/>
      <c r="S225" s="28"/>
    </row>
    <row r="226" spans="1:19">
      <c r="A226" s="651">
        <v>928000</v>
      </c>
      <c r="B226" s="650" t="s">
        <v>234</v>
      </c>
      <c r="C226" s="651" t="s">
        <v>323</v>
      </c>
      <c r="D226" s="37">
        <f t="shared" si="14"/>
        <v>928</v>
      </c>
      <c r="E226" s="166">
        <f t="shared" si="17"/>
        <v>22862</v>
      </c>
      <c r="F226" s="41">
        <v>464</v>
      </c>
      <c r="G226" s="41">
        <v>407</v>
      </c>
      <c r="H226" s="41">
        <v>480</v>
      </c>
      <c r="I226" s="41">
        <v>0</v>
      </c>
      <c r="J226" s="41">
        <v>561</v>
      </c>
      <c r="K226" s="41">
        <v>20950</v>
      </c>
      <c r="L226" s="41">
        <v>0</v>
      </c>
      <c r="M226" s="41">
        <v>0</v>
      </c>
      <c r="N226" s="41">
        <v>0</v>
      </c>
      <c r="O226" s="41">
        <v>0</v>
      </c>
      <c r="P226" s="41">
        <v>0</v>
      </c>
      <c r="Q226" s="41">
        <v>0</v>
      </c>
      <c r="R226" s="39"/>
      <c r="S226" s="28"/>
    </row>
    <row r="227" spans="1:19">
      <c r="A227" s="651">
        <v>928006</v>
      </c>
      <c r="B227" s="650" t="s">
        <v>235</v>
      </c>
      <c r="C227" s="651" t="s">
        <v>323</v>
      </c>
      <c r="D227" s="37">
        <f t="shared" si="14"/>
        <v>928</v>
      </c>
      <c r="E227" s="166">
        <f t="shared" si="17"/>
        <v>818132</v>
      </c>
      <c r="F227" s="41">
        <v>72516</v>
      </c>
      <c r="G227" s="41">
        <v>72516</v>
      </c>
      <c r="H227" s="41">
        <v>72516</v>
      </c>
      <c r="I227" s="41">
        <v>72516</v>
      </c>
      <c r="J227" s="41">
        <v>76192</v>
      </c>
      <c r="K227" s="41">
        <v>34810</v>
      </c>
      <c r="L227" s="41">
        <v>69511</v>
      </c>
      <c r="M227" s="41">
        <v>69511</v>
      </c>
      <c r="N227" s="41">
        <v>69511</v>
      </c>
      <c r="O227" s="41">
        <v>69511</v>
      </c>
      <c r="P227" s="41">
        <v>69511</v>
      </c>
      <c r="Q227" s="41">
        <v>69511</v>
      </c>
      <c r="R227" s="39"/>
      <c r="S227" s="28"/>
    </row>
    <row r="228" spans="1:19">
      <c r="A228" s="651">
        <v>928053</v>
      </c>
      <c r="B228" s="650" t="s">
        <v>328</v>
      </c>
      <c r="C228" s="651" t="s">
        <v>323</v>
      </c>
      <c r="D228" s="37">
        <f>VALUE(LEFT(A228,3))</f>
        <v>928</v>
      </c>
      <c r="E228" s="166">
        <f t="shared" si="17"/>
        <v>0</v>
      </c>
      <c r="F228" s="41">
        <v>0</v>
      </c>
      <c r="G228" s="41">
        <v>0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41">
        <v>0</v>
      </c>
      <c r="N228" s="41">
        <v>0</v>
      </c>
      <c r="O228" s="41">
        <v>0</v>
      </c>
      <c r="P228" s="41">
        <v>0</v>
      </c>
      <c r="Q228" s="41">
        <v>0</v>
      </c>
      <c r="R228" s="39"/>
      <c r="S228" s="28"/>
    </row>
    <row r="229" spans="1:19">
      <c r="A229" s="651">
        <v>929000</v>
      </c>
      <c r="B229" s="650" t="s">
        <v>236</v>
      </c>
      <c r="C229" s="651" t="s">
        <v>323</v>
      </c>
      <c r="D229" s="37">
        <f t="shared" si="14"/>
        <v>929</v>
      </c>
      <c r="E229" s="166">
        <f t="shared" si="17"/>
        <v>-17159</v>
      </c>
      <c r="F229" s="41">
        <v>-6734</v>
      </c>
      <c r="G229" s="41">
        <v>-1860</v>
      </c>
      <c r="H229" s="41">
        <v>-1813</v>
      </c>
      <c r="I229" s="41">
        <v>-2113</v>
      </c>
      <c r="J229" s="41">
        <v>-1718</v>
      </c>
      <c r="K229" s="41">
        <v>-2921</v>
      </c>
      <c r="L229" s="41">
        <v>0</v>
      </c>
      <c r="M229" s="41">
        <v>0</v>
      </c>
      <c r="N229" s="41">
        <v>0</v>
      </c>
      <c r="O229" s="41">
        <v>0</v>
      </c>
      <c r="P229" s="41">
        <v>0</v>
      </c>
      <c r="Q229" s="41">
        <v>0</v>
      </c>
      <c r="R229" s="39"/>
      <c r="S229" s="28"/>
    </row>
    <row r="230" spans="1:19">
      <c r="A230" s="651">
        <v>929500</v>
      </c>
      <c r="B230" s="650" t="s">
        <v>237</v>
      </c>
      <c r="C230" s="651" t="s">
        <v>323</v>
      </c>
      <c r="D230" s="37">
        <f t="shared" si="14"/>
        <v>929</v>
      </c>
      <c r="E230" s="166">
        <f t="shared" si="17"/>
        <v>-689707</v>
      </c>
      <c r="F230" s="41">
        <v>-55113</v>
      </c>
      <c r="G230" s="41">
        <v>-75083</v>
      </c>
      <c r="H230" s="41">
        <v>-111306</v>
      </c>
      <c r="I230" s="41">
        <v>-52580</v>
      </c>
      <c r="J230" s="41">
        <v>-73681</v>
      </c>
      <c r="K230" s="41">
        <v>-105373</v>
      </c>
      <c r="L230" s="41">
        <v>-33721</v>
      </c>
      <c r="M230" s="41">
        <v>-33721</v>
      </c>
      <c r="N230" s="41">
        <v>-50176</v>
      </c>
      <c r="O230" s="41">
        <v>-33721</v>
      </c>
      <c r="P230" s="41">
        <v>-32616</v>
      </c>
      <c r="Q230" s="41">
        <v>-32616</v>
      </c>
      <c r="R230" s="39"/>
      <c r="S230" s="28"/>
    </row>
    <row r="231" spans="1:19">
      <c r="A231" s="651">
        <v>930150</v>
      </c>
      <c r="B231" s="650" t="s">
        <v>238</v>
      </c>
      <c r="C231" s="651" t="s">
        <v>323</v>
      </c>
      <c r="D231" s="37">
        <f t="shared" si="14"/>
        <v>930</v>
      </c>
      <c r="E231" s="166">
        <f t="shared" si="17"/>
        <v>266115</v>
      </c>
      <c r="F231" s="41">
        <v>2952</v>
      </c>
      <c r="G231" s="41">
        <v>-27</v>
      </c>
      <c r="H231" s="41">
        <v>870</v>
      </c>
      <c r="I231" s="41">
        <v>144877</v>
      </c>
      <c r="J231" s="41">
        <v>-47028</v>
      </c>
      <c r="K231" s="41">
        <v>49005</v>
      </c>
      <c r="L231" s="41">
        <v>20236</v>
      </c>
      <c r="M231" s="41">
        <v>18749</v>
      </c>
      <c r="N231" s="41">
        <v>18749</v>
      </c>
      <c r="O231" s="41">
        <v>20237</v>
      </c>
      <c r="P231" s="41">
        <v>18749</v>
      </c>
      <c r="Q231" s="41">
        <v>18746</v>
      </c>
      <c r="R231" s="39"/>
      <c r="S231" s="28"/>
    </row>
    <row r="232" spans="1:19">
      <c r="A232" s="651">
        <v>930200</v>
      </c>
      <c r="B232" s="650" t="s">
        <v>239</v>
      </c>
      <c r="C232" s="651" t="s">
        <v>323</v>
      </c>
      <c r="D232" s="37">
        <f t="shared" si="14"/>
        <v>930</v>
      </c>
      <c r="E232" s="166">
        <f t="shared" si="17"/>
        <v>729130</v>
      </c>
      <c r="F232" s="41">
        <v>89737</v>
      </c>
      <c r="G232" s="41">
        <v>83570</v>
      </c>
      <c r="H232" s="41">
        <v>123172</v>
      </c>
      <c r="I232" s="41">
        <v>99017</v>
      </c>
      <c r="J232" s="41">
        <v>78437</v>
      </c>
      <c r="K232" s="41">
        <v>94160</v>
      </c>
      <c r="L232" s="41">
        <v>7324</v>
      </c>
      <c r="M232" s="41">
        <v>7966</v>
      </c>
      <c r="N232" s="41">
        <v>14431</v>
      </c>
      <c r="O232" s="41">
        <v>6787</v>
      </c>
      <c r="P232" s="41">
        <v>62232</v>
      </c>
      <c r="Q232" s="41">
        <v>62297</v>
      </c>
      <c r="R232" s="39"/>
      <c r="S232" s="28"/>
    </row>
    <row r="233" spans="1:19">
      <c r="A233" s="651">
        <v>930210</v>
      </c>
      <c r="B233" s="650" t="s">
        <v>240</v>
      </c>
      <c r="C233" s="651" t="s">
        <v>323</v>
      </c>
      <c r="D233" s="37">
        <f t="shared" si="14"/>
        <v>930</v>
      </c>
      <c r="E233" s="166">
        <f t="shared" si="17"/>
        <v>42956</v>
      </c>
      <c r="F233" s="41">
        <v>0</v>
      </c>
      <c r="G233" s="41">
        <v>0</v>
      </c>
      <c r="H233" s="41">
        <v>0</v>
      </c>
      <c r="I233" s="41">
        <v>0</v>
      </c>
      <c r="J233" s="41">
        <v>0</v>
      </c>
      <c r="K233" s="41">
        <v>0</v>
      </c>
      <c r="L233" s="41">
        <v>0</v>
      </c>
      <c r="M233" s="41">
        <v>0</v>
      </c>
      <c r="N233" s="41">
        <v>0</v>
      </c>
      <c r="O233" s="41">
        <v>0</v>
      </c>
      <c r="P233" s="41">
        <v>42956</v>
      </c>
      <c r="Q233" s="41">
        <v>0</v>
      </c>
      <c r="R233" s="39"/>
      <c r="S233" s="28"/>
    </row>
    <row r="234" spans="1:19">
      <c r="A234" s="651">
        <v>930220</v>
      </c>
      <c r="B234" s="650" t="s">
        <v>329</v>
      </c>
      <c r="C234" s="651" t="s">
        <v>323</v>
      </c>
      <c r="D234" s="37">
        <f t="shared" si="14"/>
        <v>930</v>
      </c>
      <c r="E234" s="166">
        <f t="shared" si="17"/>
        <v>50500</v>
      </c>
      <c r="F234" s="41">
        <v>0</v>
      </c>
      <c r="G234" s="41">
        <v>0</v>
      </c>
      <c r="H234" s="41">
        <v>0</v>
      </c>
      <c r="I234" s="41">
        <v>0</v>
      </c>
      <c r="J234" s="41">
        <v>0</v>
      </c>
      <c r="K234" s="41">
        <v>50500</v>
      </c>
      <c r="L234" s="41">
        <v>0</v>
      </c>
      <c r="M234" s="41">
        <v>0</v>
      </c>
      <c r="N234" s="41">
        <v>0</v>
      </c>
      <c r="O234" s="41">
        <v>0</v>
      </c>
      <c r="P234" s="41">
        <v>0</v>
      </c>
      <c r="Q234" s="41">
        <v>0</v>
      </c>
      <c r="R234" s="39"/>
      <c r="S234" s="28"/>
    </row>
    <row r="235" spans="1:19">
      <c r="A235" s="651">
        <v>930230</v>
      </c>
      <c r="B235" s="650" t="s">
        <v>241</v>
      </c>
      <c r="C235" s="651" t="s">
        <v>323</v>
      </c>
      <c r="D235" s="37">
        <f t="shared" si="14"/>
        <v>930</v>
      </c>
      <c r="E235" s="166">
        <f t="shared" si="17"/>
        <v>26027</v>
      </c>
      <c r="F235" s="41">
        <v>417</v>
      </c>
      <c r="G235" s="41">
        <v>8716</v>
      </c>
      <c r="H235" s="41">
        <v>354</v>
      </c>
      <c r="I235" s="41">
        <v>1872</v>
      </c>
      <c r="J235" s="41">
        <v>4218</v>
      </c>
      <c r="K235" s="41">
        <v>0</v>
      </c>
      <c r="L235" s="41">
        <v>1696</v>
      </c>
      <c r="M235" s="41">
        <v>1279</v>
      </c>
      <c r="N235" s="41">
        <v>1630</v>
      </c>
      <c r="O235" s="41">
        <v>3287</v>
      </c>
      <c r="P235" s="41">
        <v>1279</v>
      </c>
      <c r="Q235" s="41">
        <v>1279</v>
      </c>
      <c r="R235" s="39"/>
      <c r="S235" s="28"/>
    </row>
    <row r="236" spans="1:19">
      <c r="A236" s="651">
        <v>930240</v>
      </c>
      <c r="B236" s="650" t="s">
        <v>242</v>
      </c>
      <c r="C236" s="651" t="s">
        <v>323</v>
      </c>
      <c r="D236" s="37">
        <f t="shared" si="14"/>
        <v>930</v>
      </c>
      <c r="E236" s="166">
        <f t="shared" si="17"/>
        <v>50419</v>
      </c>
      <c r="F236" s="41">
        <v>4745</v>
      </c>
      <c r="G236" s="41">
        <v>6</v>
      </c>
      <c r="H236" s="41">
        <v>27608</v>
      </c>
      <c r="I236" s="41">
        <v>536</v>
      </c>
      <c r="J236" s="41">
        <v>5861</v>
      </c>
      <c r="K236" s="41">
        <v>1</v>
      </c>
      <c r="L236" s="41">
        <v>0</v>
      </c>
      <c r="M236" s="41">
        <v>5831</v>
      </c>
      <c r="N236" s="41">
        <v>0</v>
      </c>
      <c r="O236" s="41">
        <v>5831</v>
      </c>
      <c r="P236" s="41">
        <v>0</v>
      </c>
      <c r="Q236" s="41">
        <v>0</v>
      </c>
      <c r="R236" s="39"/>
      <c r="S236" s="28"/>
    </row>
    <row r="237" spans="1:19">
      <c r="A237" s="651">
        <v>930250</v>
      </c>
      <c r="B237" s="650" t="s">
        <v>243</v>
      </c>
      <c r="C237" s="651" t="s">
        <v>323</v>
      </c>
      <c r="D237" s="37">
        <f t="shared" si="14"/>
        <v>930</v>
      </c>
      <c r="E237" s="166">
        <f t="shared" si="17"/>
        <v>764</v>
      </c>
      <c r="F237" s="41">
        <v>0</v>
      </c>
      <c r="G237" s="41">
        <v>0</v>
      </c>
      <c r="H237" s="41">
        <v>764</v>
      </c>
      <c r="I237" s="41">
        <v>0</v>
      </c>
      <c r="J237" s="41">
        <v>0</v>
      </c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39"/>
      <c r="S237" s="28"/>
    </row>
    <row r="238" spans="1:19">
      <c r="A238" s="651">
        <v>930600</v>
      </c>
      <c r="B238" s="650" t="s">
        <v>330</v>
      </c>
      <c r="C238" s="651" t="s">
        <v>323</v>
      </c>
      <c r="D238" s="37">
        <f t="shared" si="14"/>
        <v>930</v>
      </c>
      <c r="E238" s="166">
        <f t="shared" si="17"/>
        <v>39</v>
      </c>
      <c r="F238" s="41">
        <v>0</v>
      </c>
      <c r="G238" s="41">
        <v>0</v>
      </c>
      <c r="H238" s="41">
        <v>0</v>
      </c>
      <c r="I238" s="41">
        <v>2</v>
      </c>
      <c r="J238" s="41">
        <v>37</v>
      </c>
      <c r="K238" s="41">
        <v>0</v>
      </c>
      <c r="L238" s="41">
        <v>0</v>
      </c>
      <c r="M238" s="41">
        <v>0</v>
      </c>
      <c r="N238" s="41">
        <v>0</v>
      </c>
      <c r="O238" s="41">
        <v>0</v>
      </c>
      <c r="P238" s="41">
        <v>0</v>
      </c>
      <c r="Q238" s="41">
        <v>0</v>
      </c>
      <c r="R238" s="39"/>
      <c r="S238" s="28"/>
    </row>
    <row r="239" spans="1:19">
      <c r="A239" s="651">
        <v>930700</v>
      </c>
      <c r="B239" s="650" t="s">
        <v>244</v>
      </c>
      <c r="C239" s="651" t="s">
        <v>323</v>
      </c>
      <c r="D239" s="37">
        <f t="shared" si="14"/>
        <v>930</v>
      </c>
      <c r="E239" s="166">
        <f t="shared" si="17"/>
        <v>0</v>
      </c>
      <c r="F239" s="41">
        <v>0</v>
      </c>
      <c r="G239" s="41">
        <v>0</v>
      </c>
      <c r="H239" s="41">
        <v>0</v>
      </c>
      <c r="I239" s="41">
        <v>0</v>
      </c>
      <c r="J239" s="41">
        <v>0</v>
      </c>
      <c r="K239" s="41">
        <v>0</v>
      </c>
      <c r="L239" s="41">
        <v>0</v>
      </c>
      <c r="M239" s="41">
        <v>0</v>
      </c>
      <c r="N239" s="41">
        <v>0</v>
      </c>
      <c r="O239" s="41">
        <v>0</v>
      </c>
      <c r="P239" s="41">
        <v>0</v>
      </c>
      <c r="Q239" s="41">
        <v>0</v>
      </c>
      <c r="R239" s="39"/>
      <c r="S239" s="28"/>
    </row>
    <row r="240" spans="1:19">
      <c r="A240" s="651">
        <v>930940</v>
      </c>
      <c r="B240" s="650" t="s">
        <v>245</v>
      </c>
      <c r="C240" s="651" t="s">
        <v>323</v>
      </c>
      <c r="D240" s="37">
        <f t="shared" si="14"/>
        <v>930</v>
      </c>
      <c r="E240" s="166">
        <f t="shared" si="17"/>
        <v>75309</v>
      </c>
      <c r="F240" s="41">
        <v>5</v>
      </c>
      <c r="G240" s="41">
        <v>15067</v>
      </c>
      <c r="H240" s="41">
        <v>15059</v>
      </c>
      <c r="I240" s="41">
        <v>15056</v>
      </c>
      <c r="J240" s="41">
        <v>15067</v>
      </c>
      <c r="K240" s="41">
        <v>15055</v>
      </c>
      <c r="L240" s="41">
        <v>0</v>
      </c>
      <c r="M240" s="41">
        <v>0</v>
      </c>
      <c r="N240" s="41">
        <v>0</v>
      </c>
      <c r="O240" s="41">
        <v>0</v>
      </c>
      <c r="P240" s="41">
        <v>0</v>
      </c>
      <c r="Q240" s="41">
        <v>0</v>
      </c>
      <c r="R240" s="39"/>
      <c r="S240" s="28"/>
    </row>
    <row r="241" spans="1:19">
      <c r="A241" s="651">
        <v>931001</v>
      </c>
      <c r="B241" s="650" t="s">
        <v>246</v>
      </c>
      <c r="C241" s="651" t="s">
        <v>323</v>
      </c>
      <c r="D241" s="37">
        <f t="shared" ref="D241:D246" si="18">VALUE(LEFT(A241,3))</f>
        <v>931</v>
      </c>
      <c r="E241" s="166">
        <f t="shared" si="17"/>
        <v>136893</v>
      </c>
      <c r="F241" s="41">
        <v>11508</v>
      </c>
      <c r="G241" s="41">
        <v>11439</v>
      </c>
      <c r="H241" s="41">
        <v>11496</v>
      </c>
      <c r="I241" s="41">
        <v>11881</v>
      </c>
      <c r="J241" s="41">
        <v>11509</v>
      </c>
      <c r="K241" s="41">
        <v>11474</v>
      </c>
      <c r="L241" s="41">
        <v>11320</v>
      </c>
      <c r="M241" s="41">
        <v>11325</v>
      </c>
      <c r="N241" s="41">
        <v>11329</v>
      </c>
      <c r="O241" s="41">
        <v>11323</v>
      </c>
      <c r="P241" s="41">
        <v>10977</v>
      </c>
      <c r="Q241" s="41">
        <v>11312</v>
      </c>
      <c r="R241" s="39"/>
      <c r="S241" s="28"/>
    </row>
    <row r="242" spans="1:19">
      <c r="A242" s="651">
        <v>931003</v>
      </c>
      <c r="B242" s="650" t="s">
        <v>247</v>
      </c>
      <c r="C242" s="651" t="s">
        <v>323</v>
      </c>
      <c r="D242" s="37">
        <f t="shared" si="18"/>
        <v>931</v>
      </c>
      <c r="E242" s="166">
        <f t="shared" si="17"/>
        <v>-39</v>
      </c>
      <c r="F242" s="41">
        <v>0</v>
      </c>
      <c r="G242" s="41">
        <v>-15</v>
      </c>
      <c r="H242" s="41">
        <v>-8</v>
      </c>
      <c r="I242" s="41">
        <v>-8</v>
      </c>
      <c r="J242" s="41">
        <v>-8</v>
      </c>
      <c r="K242" s="41">
        <v>0</v>
      </c>
      <c r="L242" s="41">
        <v>0</v>
      </c>
      <c r="M242" s="41">
        <v>0</v>
      </c>
      <c r="N242" s="41">
        <v>0</v>
      </c>
      <c r="O242" s="41">
        <v>0</v>
      </c>
      <c r="P242" s="41">
        <v>0</v>
      </c>
      <c r="Q242" s="41">
        <v>0</v>
      </c>
      <c r="R242" s="39"/>
      <c r="S242" s="28"/>
    </row>
    <row r="243" spans="1:19">
      <c r="A243" s="651">
        <v>931008</v>
      </c>
      <c r="B243" s="650" t="s">
        <v>248</v>
      </c>
      <c r="C243" s="651" t="s">
        <v>323</v>
      </c>
      <c r="D243" s="37">
        <f t="shared" si="18"/>
        <v>931</v>
      </c>
      <c r="E243" s="166">
        <f t="shared" si="17"/>
        <v>2566105</v>
      </c>
      <c r="F243" s="41">
        <v>224811</v>
      </c>
      <c r="G243" s="41">
        <v>226110</v>
      </c>
      <c r="H243" s="41">
        <v>226908</v>
      </c>
      <c r="I243" s="41">
        <v>235519</v>
      </c>
      <c r="J243" s="41">
        <v>230431</v>
      </c>
      <c r="K243" s="41">
        <v>230468</v>
      </c>
      <c r="L243" s="41">
        <v>198643</v>
      </c>
      <c r="M243" s="41">
        <v>198643</v>
      </c>
      <c r="N243" s="41">
        <v>198643</v>
      </c>
      <c r="O243" s="41">
        <v>198643</v>
      </c>
      <c r="P243" s="41">
        <v>198643</v>
      </c>
      <c r="Q243" s="41">
        <v>198643</v>
      </c>
      <c r="R243" s="39"/>
      <c r="S243" s="28"/>
    </row>
    <row r="244" spans="1:19">
      <c r="A244" s="651">
        <v>932000</v>
      </c>
      <c r="B244" s="650" t="s">
        <v>331</v>
      </c>
      <c r="C244" s="651" t="s">
        <v>332</v>
      </c>
      <c r="D244" s="37">
        <f t="shared" si="18"/>
        <v>932</v>
      </c>
      <c r="E244" s="166">
        <f t="shared" si="17"/>
        <v>0</v>
      </c>
      <c r="F244" s="41">
        <v>0</v>
      </c>
      <c r="G244" s="41">
        <v>0</v>
      </c>
      <c r="H244" s="41">
        <v>0</v>
      </c>
      <c r="I244" s="41">
        <v>-4335</v>
      </c>
      <c r="J244" s="41">
        <v>4335</v>
      </c>
      <c r="K244" s="41">
        <v>0</v>
      </c>
      <c r="L244" s="41">
        <v>0</v>
      </c>
      <c r="M244" s="41">
        <v>0</v>
      </c>
      <c r="N244" s="41">
        <v>0</v>
      </c>
      <c r="O244" s="41">
        <v>0</v>
      </c>
      <c r="P244" s="41">
        <v>0</v>
      </c>
      <c r="Q244" s="41">
        <v>0</v>
      </c>
      <c r="R244" s="39"/>
      <c r="S244" s="28"/>
    </row>
    <row r="245" spans="1:19">
      <c r="A245" s="651">
        <v>935100</v>
      </c>
      <c r="B245" s="650" t="s">
        <v>249</v>
      </c>
      <c r="C245" s="651" t="s">
        <v>332</v>
      </c>
      <c r="D245" s="37">
        <f t="shared" si="18"/>
        <v>935</v>
      </c>
      <c r="E245" s="166">
        <f t="shared" si="17"/>
        <v>499</v>
      </c>
      <c r="F245" s="41">
        <v>-146</v>
      </c>
      <c r="G245" s="41">
        <v>188</v>
      </c>
      <c r="H245" s="41">
        <v>-8</v>
      </c>
      <c r="I245" s="41">
        <v>15</v>
      </c>
      <c r="J245" s="41">
        <v>26</v>
      </c>
      <c r="K245" s="41">
        <v>424</v>
      </c>
      <c r="L245" s="41">
        <v>0</v>
      </c>
      <c r="M245" s="41">
        <v>0</v>
      </c>
      <c r="N245" s="41">
        <v>0</v>
      </c>
      <c r="O245" s="41">
        <v>0</v>
      </c>
      <c r="P245" s="41">
        <v>0</v>
      </c>
      <c r="Q245" s="41">
        <v>0</v>
      </c>
      <c r="R245" s="39"/>
      <c r="S245" s="28"/>
    </row>
    <row r="246" spans="1:19">
      <c r="A246" s="651">
        <v>935200</v>
      </c>
      <c r="B246" s="650" t="s">
        <v>250</v>
      </c>
      <c r="C246" s="651" t="s">
        <v>332</v>
      </c>
      <c r="D246" s="37">
        <f t="shared" si="18"/>
        <v>935</v>
      </c>
      <c r="E246" s="166">
        <f t="shared" si="17"/>
        <v>39</v>
      </c>
      <c r="F246" s="41">
        <v>2</v>
      </c>
      <c r="G246" s="41">
        <v>15</v>
      </c>
      <c r="H246" s="41">
        <v>-1</v>
      </c>
      <c r="I246" s="41">
        <v>-18</v>
      </c>
      <c r="J246" s="41">
        <v>5</v>
      </c>
      <c r="K246" s="41">
        <v>6</v>
      </c>
      <c r="L246" s="41">
        <v>5</v>
      </c>
      <c r="M246" s="41">
        <v>5</v>
      </c>
      <c r="N246" s="41">
        <v>5</v>
      </c>
      <c r="O246" s="41">
        <v>5</v>
      </c>
      <c r="P246" s="41">
        <v>5</v>
      </c>
      <c r="Q246" s="41">
        <v>5</v>
      </c>
      <c r="R246" s="39"/>
      <c r="S246" s="28"/>
    </row>
    <row r="247" spans="1:19">
      <c r="A247" s="37"/>
      <c r="B247" s="1432"/>
      <c r="C247" s="37"/>
      <c r="D247" s="37"/>
      <c r="E247" s="39">
        <f t="shared" ref="E247:Q247" si="19">SUM(E11:E246)</f>
        <v>923692175</v>
      </c>
      <c r="F247" s="39">
        <f t="shared" si="19"/>
        <v>70951010</v>
      </c>
      <c r="G247" s="39">
        <f t="shared" si="19"/>
        <v>64713342</v>
      </c>
      <c r="H247" s="39">
        <f t="shared" si="19"/>
        <v>71186903</v>
      </c>
      <c r="I247" s="39">
        <f t="shared" si="19"/>
        <v>95535117</v>
      </c>
      <c r="J247" s="39">
        <f t="shared" si="19"/>
        <v>83030719</v>
      </c>
      <c r="K247" s="39">
        <f t="shared" si="19"/>
        <v>84706690</v>
      </c>
      <c r="L247" s="39">
        <f t="shared" si="19"/>
        <v>73105637</v>
      </c>
      <c r="M247" s="39">
        <f t="shared" si="19"/>
        <v>65481640</v>
      </c>
      <c r="N247" s="39">
        <f t="shared" si="19"/>
        <v>73280846</v>
      </c>
      <c r="O247" s="39">
        <f t="shared" si="19"/>
        <v>81688158</v>
      </c>
      <c r="P247" s="39">
        <f t="shared" si="19"/>
        <v>84100018</v>
      </c>
      <c r="Q247" s="39">
        <f t="shared" si="19"/>
        <v>75912095</v>
      </c>
      <c r="R247" s="38"/>
    </row>
    <row r="248" spans="1:19">
      <c r="A248" s="37"/>
      <c r="B248" s="1432"/>
      <c r="C248" s="37"/>
      <c r="D248" s="37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8"/>
    </row>
    <row r="249" spans="1:19">
      <c r="A249" s="37"/>
      <c r="B249" s="1433" t="s">
        <v>333</v>
      </c>
      <c r="C249" s="44" t="s">
        <v>284</v>
      </c>
      <c r="D249" s="1434"/>
      <c r="E249" s="166">
        <f>SUM(F249:Q249)</f>
        <v>503765147</v>
      </c>
      <c r="F249" s="39">
        <f>SUMIF(CODE,C249,Base1)</f>
        <v>39454807</v>
      </c>
      <c r="G249" s="39">
        <f>SUMIF(CODE,C249,Base2)</f>
        <v>34134603</v>
      </c>
      <c r="H249" s="39">
        <f>SUMIF(CODE,C249,Base3)</f>
        <v>39715032</v>
      </c>
      <c r="I249" s="39">
        <f>SUMIF(CODE,C249,Base4)</f>
        <v>55016195</v>
      </c>
      <c r="J249" s="39">
        <f>SUMIF(CODE,C249,Base5)</f>
        <v>46758430</v>
      </c>
      <c r="K249" s="39">
        <f>SUMIF(CODE,C249,Base6)</f>
        <v>47425731</v>
      </c>
      <c r="L249" s="39">
        <f>SUMIF(CODE,C249,Base7)</f>
        <v>40051954</v>
      </c>
      <c r="M249" s="39">
        <f>SUMIF(CODE,C249,Base8)</f>
        <v>34773454</v>
      </c>
      <c r="N249" s="39">
        <f>SUMIF(CODE,C249,Base9)</f>
        <v>38991771</v>
      </c>
      <c r="O249" s="39">
        <f>SUMIF(CODE,C249,Base10)</f>
        <v>44059901</v>
      </c>
      <c r="P249" s="39">
        <f>SUMIF(CODE,C249,Base11)</f>
        <v>43295131</v>
      </c>
      <c r="Q249" s="39">
        <f>SUMIF(CODE,C249,Base12)</f>
        <v>40088138</v>
      </c>
      <c r="R249" s="39"/>
    </row>
    <row r="250" spans="1:19">
      <c r="A250" s="37"/>
      <c r="B250" s="2" t="s">
        <v>334</v>
      </c>
      <c r="C250" s="44"/>
      <c r="D250" s="1434"/>
      <c r="E250" s="39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</row>
    <row r="251" spans="1:19">
      <c r="A251" s="37"/>
      <c r="B251" s="43" t="s">
        <v>124</v>
      </c>
      <c r="C251" s="44" t="s">
        <v>282</v>
      </c>
      <c r="D251" s="1434"/>
      <c r="E251" s="166">
        <f>SUM(F251:Q251)</f>
        <v>97085396</v>
      </c>
      <c r="F251" s="39">
        <f>SUMIF(CODE,C251,Base1)</f>
        <v>9470645</v>
      </c>
      <c r="G251" s="39">
        <f>SUMIF(CODE,C251,Base2)</f>
        <v>6928545</v>
      </c>
      <c r="H251" s="39">
        <f>SUMIF(CODE,C251,Base3)</f>
        <v>2479043</v>
      </c>
      <c r="I251" s="39">
        <f>SUMIF(CODE,C251,Base4)</f>
        <v>14554153</v>
      </c>
      <c r="J251" s="39">
        <f>SUMIF(CODE,C251,Base5)</f>
        <v>12466093</v>
      </c>
      <c r="K251" s="39">
        <f>SUMIF(CODE,C251,Base6)</f>
        <v>10208366</v>
      </c>
      <c r="L251" s="39">
        <f>SUMIF(CODE,C251,Base7)</f>
        <v>1014919</v>
      </c>
      <c r="M251" s="39">
        <f>SUMIF(CODE,C251,Base8)</f>
        <v>-411937</v>
      </c>
      <c r="N251" s="39">
        <f>SUMIF(CODE,C251,Base9)</f>
        <v>4511933</v>
      </c>
      <c r="O251" s="39">
        <f>SUMIF(CODE,C251,Base10)</f>
        <v>12337902</v>
      </c>
      <c r="P251" s="39">
        <f>SUMIF(CODE,C251,Base11)</f>
        <v>14381310</v>
      </c>
      <c r="Q251" s="39">
        <f>SUMIF(CODE,C251,Base12)</f>
        <v>9144424</v>
      </c>
      <c r="R251" s="39"/>
    </row>
    <row r="252" spans="1:19">
      <c r="A252" s="37"/>
      <c r="B252" s="43" t="s">
        <v>335</v>
      </c>
      <c r="C252" s="44" t="s">
        <v>304</v>
      </c>
      <c r="D252" s="1434"/>
      <c r="E252" s="166">
        <f>SUM(F252:Q252)</f>
        <v>75246458</v>
      </c>
      <c r="F252" s="39">
        <f>SUMIF(CODE,C252,Base1)</f>
        <v>4422935</v>
      </c>
      <c r="G252" s="39">
        <f>SUMIF(CODE,C252,Base2)</f>
        <v>3637374</v>
      </c>
      <c r="H252" s="39">
        <f>SUMIF(CODE,C252,Base3)</f>
        <v>8348284</v>
      </c>
      <c r="I252" s="39">
        <f>SUMIF(CODE,C252,Base4)</f>
        <v>5725689</v>
      </c>
      <c r="J252" s="39">
        <f>SUMIF(CODE,C252,Base5)</f>
        <v>3467654</v>
      </c>
      <c r="K252" s="39">
        <f>SUMIF(CODE,C252,Base6)</f>
        <v>3438115</v>
      </c>
      <c r="L252" s="39">
        <f>SUMIF(CODE,C252,Base7)</f>
        <v>12467937</v>
      </c>
      <c r="M252" s="39">
        <f>SUMIF(CODE,C252,Base8)</f>
        <v>11844677</v>
      </c>
      <c r="N252" s="39">
        <f>SUMIF(CODE,C252,Base9)</f>
        <v>9630625</v>
      </c>
      <c r="O252" s="39">
        <f>SUMIF(CODE,C252,Base10)</f>
        <v>4304111</v>
      </c>
      <c r="P252" s="39">
        <f>SUMIF(CODE,C252,Base11)</f>
        <v>3748471</v>
      </c>
      <c r="Q252" s="39">
        <f>SUMIF(CODE,C252,Base12)</f>
        <v>4210586</v>
      </c>
      <c r="R252" s="39"/>
    </row>
    <row r="253" spans="1:19">
      <c r="A253" s="37"/>
      <c r="B253" s="43" t="s">
        <v>336</v>
      </c>
      <c r="C253" s="44" t="s">
        <v>306</v>
      </c>
      <c r="D253" s="1434"/>
      <c r="E253" s="166">
        <f>SUM(F253:Q253)</f>
        <v>4586786</v>
      </c>
      <c r="F253" s="39">
        <f>SUMIF(CODE,C253,Base1)</f>
        <v>-1857832</v>
      </c>
      <c r="G253" s="39">
        <f>SUMIF(CODE,C253,Base2)</f>
        <v>750969</v>
      </c>
      <c r="H253" s="39">
        <f>SUMIF(CODE,C253,Base3)</f>
        <v>1815936</v>
      </c>
      <c r="I253" s="39">
        <f>SUMIF(CODE,C253,Base4)</f>
        <v>-1613643</v>
      </c>
      <c r="J253" s="39">
        <f>SUMIF(CODE,C253,Base5)</f>
        <v>-436737</v>
      </c>
      <c r="K253" s="39">
        <f>SUMIF(CODE,C253,Base6)</f>
        <v>2095314</v>
      </c>
      <c r="L253" s="39">
        <f>SUMIF(CODE,C253,Base7)</f>
        <v>624624</v>
      </c>
      <c r="M253" s="39">
        <f>SUMIF(CODE,C253,Base8)</f>
        <v>640403</v>
      </c>
      <c r="N253" s="39">
        <f>SUMIF(CODE,C253,Base9)</f>
        <v>567182</v>
      </c>
      <c r="O253" s="39">
        <f>SUMIF(CODE,C253,Base10)</f>
        <v>741151</v>
      </c>
      <c r="P253" s="39">
        <f>SUMIF(CODE,C253,Base11)</f>
        <v>567427</v>
      </c>
      <c r="Q253" s="39">
        <f>SUMIF(CODE,C253,Base12)</f>
        <v>691992</v>
      </c>
      <c r="R253" s="39"/>
    </row>
    <row r="254" spans="1:19">
      <c r="A254" s="37"/>
      <c r="B254" s="43" t="s">
        <v>337</v>
      </c>
      <c r="C254" s="44" t="s">
        <v>298</v>
      </c>
      <c r="D254" s="1434"/>
      <c r="E254" s="166">
        <f>SUM(F254:Q254)</f>
        <v>0</v>
      </c>
      <c r="F254" s="39">
        <f>SUMIF(CODE,C254,Base1)</f>
        <v>0</v>
      </c>
      <c r="G254" s="39">
        <f>SUMIF(CODE,C254,Base2)</f>
        <v>0</v>
      </c>
      <c r="H254" s="39">
        <f>SUMIF(CODE,C254,Base3)</f>
        <v>0</v>
      </c>
      <c r="I254" s="39">
        <f>SUMIF(CODE,C254,Base4)</f>
        <v>0</v>
      </c>
      <c r="J254" s="39">
        <f>SUMIF(CODE,C254,Base5)</f>
        <v>0</v>
      </c>
      <c r="K254" s="39">
        <f>SUMIF(CODE,C254,Base6)</f>
        <v>0</v>
      </c>
      <c r="L254" s="39">
        <f>SUMIF(CODE,C254,Base7)</f>
        <v>0</v>
      </c>
      <c r="M254" s="39">
        <f>SUMIF(CODE,C254,Base8)</f>
        <v>0</v>
      </c>
      <c r="N254" s="39">
        <f>SUMIF(CODE,C254,Base9)</f>
        <v>0</v>
      </c>
      <c r="O254" s="39">
        <f>SUMIF(CODE,C254,Base10)</f>
        <v>0</v>
      </c>
      <c r="P254" s="39">
        <f>SUMIF(CODE,C254,Base11)</f>
        <v>0</v>
      </c>
      <c r="Q254" s="39">
        <f>SUMIF(CODE,C254,Base12)</f>
        <v>0</v>
      </c>
      <c r="R254" s="39"/>
    </row>
    <row r="255" spans="1:19">
      <c r="A255" s="37"/>
      <c r="B255" s="2" t="s">
        <v>338</v>
      </c>
      <c r="C255" s="44"/>
      <c r="D255" s="143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8"/>
    </row>
    <row r="256" spans="1:19">
      <c r="A256" s="37"/>
      <c r="B256" s="43" t="s">
        <v>339</v>
      </c>
      <c r="C256" s="44" t="s">
        <v>289</v>
      </c>
      <c r="D256" s="1434"/>
      <c r="E256" s="166">
        <f t="shared" ref="E256:E264" si="20">SUM(F256:Q256)</f>
        <v>34600048</v>
      </c>
      <c r="F256" s="39">
        <f t="shared" ref="F256:F263" si="21">SUMIF(CODE,C256,Base1)</f>
        <v>3364384</v>
      </c>
      <c r="G256" s="39">
        <f t="shared" ref="G256:G264" si="22">SUMIF(CODE,C256,Base2)</f>
        <v>2559836</v>
      </c>
      <c r="H256" s="39">
        <f t="shared" ref="H256:H264" si="23">SUMIF(CODE,C256,Base3)</f>
        <v>2130776</v>
      </c>
      <c r="I256" s="39">
        <f t="shared" ref="I256:I264" si="24">SUMIF(CODE,C256,Base4)</f>
        <v>4627107</v>
      </c>
      <c r="J256" s="39">
        <f t="shared" ref="J256:J264" si="25">SUMIF(CODE,C256,Base5)</f>
        <v>3635984</v>
      </c>
      <c r="K256" s="39">
        <f t="shared" ref="K256:K264" si="26">SUMIF(CODE,C256,Base6)</f>
        <v>4188217</v>
      </c>
      <c r="L256" s="39">
        <f t="shared" ref="L256:L264" si="27">SUMIF(CODE,C256,Base7)</f>
        <v>556547</v>
      </c>
      <c r="M256" s="39">
        <f t="shared" ref="M256:M264" si="28">SUMIF(CODE,C256,Base8)</f>
        <v>513459</v>
      </c>
      <c r="N256" s="39">
        <f t="shared" ref="N256:N264" si="29">SUMIF(CODE,C256,Base9)</f>
        <v>870332</v>
      </c>
      <c r="O256" s="39">
        <f t="shared" ref="O256:O264" si="30">SUMIF(CODE,C256,Base10)</f>
        <v>3851199</v>
      </c>
      <c r="P256" s="39">
        <f t="shared" ref="P256:P264" si="31">SUMIF(CODE,C256,Base11)</f>
        <v>4207415</v>
      </c>
      <c r="Q256" s="39">
        <f t="shared" ref="Q256:Q264" si="32">SUMIF(CODE,C256,Base12)</f>
        <v>4094792</v>
      </c>
      <c r="R256" s="38"/>
    </row>
    <row r="257" spans="1:18">
      <c r="A257" s="37"/>
      <c r="B257" s="43" t="s">
        <v>340</v>
      </c>
      <c r="C257" s="44" t="s">
        <v>283</v>
      </c>
      <c r="D257" s="1434"/>
      <c r="E257" s="166">
        <f t="shared" si="20"/>
        <v>6265587</v>
      </c>
      <c r="F257" s="39">
        <f t="shared" si="21"/>
        <v>498800</v>
      </c>
      <c r="G257" s="39">
        <f t="shared" si="22"/>
        <v>484376</v>
      </c>
      <c r="H257" s="39">
        <f t="shared" si="23"/>
        <v>565634</v>
      </c>
      <c r="I257" s="39">
        <f t="shared" si="24"/>
        <v>376212</v>
      </c>
      <c r="J257" s="39">
        <f t="shared" si="25"/>
        <v>655085</v>
      </c>
      <c r="K257" s="39">
        <f t="shared" si="26"/>
        <v>452823</v>
      </c>
      <c r="L257" s="39">
        <f t="shared" si="27"/>
        <v>466188</v>
      </c>
      <c r="M257" s="39">
        <f t="shared" si="28"/>
        <v>568452</v>
      </c>
      <c r="N257" s="39">
        <f t="shared" si="29"/>
        <v>525080</v>
      </c>
      <c r="O257" s="39">
        <f t="shared" si="30"/>
        <v>576118</v>
      </c>
      <c r="P257" s="39">
        <f t="shared" si="31"/>
        <v>616957</v>
      </c>
      <c r="Q257" s="39">
        <f t="shared" si="32"/>
        <v>479862</v>
      </c>
      <c r="R257" s="39"/>
    </row>
    <row r="258" spans="1:18">
      <c r="A258" s="37"/>
      <c r="B258" s="43" t="s">
        <v>341</v>
      </c>
      <c r="C258" s="44" t="s">
        <v>321</v>
      </c>
      <c r="D258" s="1434"/>
      <c r="E258" s="166">
        <f t="shared" si="20"/>
        <v>1175527</v>
      </c>
      <c r="F258" s="39">
        <f t="shared" si="21"/>
        <v>128973</v>
      </c>
      <c r="G258" s="39">
        <f t="shared" si="22"/>
        <v>125120</v>
      </c>
      <c r="H258" s="39">
        <f t="shared" si="23"/>
        <v>116471</v>
      </c>
      <c r="I258" s="39">
        <f t="shared" si="24"/>
        <v>119123</v>
      </c>
      <c r="J258" s="39">
        <f t="shared" si="25"/>
        <v>-152157</v>
      </c>
      <c r="K258" s="39">
        <f t="shared" si="26"/>
        <v>112520</v>
      </c>
      <c r="L258" s="39">
        <f t="shared" si="27"/>
        <v>115940</v>
      </c>
      <c r="M258" s="39">
        <f t="shared" si="28"/>
        <v>104984</v>
      </c>
      <c r="N258" s="39">
        <f t="shared" si="29"/>
        <v>141877</v>
      </c>
      <c r="O258" s="39">
        <f t="shared" si="30"/>
        <v>120648</v>
      </c>
      <c r="P258" s="39">
        <f t="shared" si="31"/>
        <v>127863</v>
      </c>
      <c r="Q258" s="39">
        <f t="shared" si="32"/>
        <v>114165</v>
      </c>
      <c r="R258" s="39"/>
    </row>
    <row r="259" spans="1:18">
      <c r="A259" s="37"/>
      <c r="B259" s="43" t="s">
        <v>342</v>
      </c>
      <c r="C259" s="44" t="s">
        <v>322</v>
      </c>
      <c r="D259" s="1434"/>
      <c r="E259" s="166">
        <f t="shared" si="20"/>
        <v>152176</v>
      </c>
      <c r="F259" s="39">
        <f t="shared" si="21"/>
        <v>6555</v>
      </c>
      <c r="G259" s="39">
        <f t="shared" si="22"/>
        <v>-5497</v>
      </c>
      <c r="H259" s="39">
        <f t="shared" si="23"/>
        <v>2016</v>
      </c>
      <c r="I259" s="39">
        <f t="shared" si="24"/>
        <v>8975</v>
      </c>
      <c r="J259" s="39">
        <f t="shared" si="25"/>
        <v>4558</v>
      </c>
      <c r="K259" s="39">
        <f t="shared" si="26"/>
        <v>4556</v>
      </c>
      <c r="L259" s="39">
        <f t="shared" si="27"/>
        <v>23279</v>
      </c>
      <c r="M259" s="39">
        <f t="shared" si="28"/>
        <v>23044</v>
      </c>
      <c r="N259" s="39">
        <f t="shared" si="29"/>
        <v>23042</v>
      </c>
      <c r="O259" s="39">
        <f t="shared" si="30"/>
        <v>23283</v>
      </c>
      <c r="P259" s="39">
        <f t="shared" si="31"/>
        <v>19199</v>
      </c>
      <c r="Q259" s="39">
        <f t="shared" si="32"/>
        <v>19166</v>
      </c>
      <c r="R259" s="39"/>
    </row>
    <row r="260" spans="1:18">
      <c r="A260" s="37"/>
      <c r="B260" s="43" t="s">
        <v>343</v>
      </c>
      <c r="C260" s="44" t="s">
        <v>307</v>
      </c>
      <c r="D260" s="1434"/>
      <c r="E260" s="166">
        <f t="shared" si="20"/>
        <v>29633188</v>
      </c>
      <c r="F260" s="39">
        <f t="shared" si="21"/>
        <v>2739178</v>
      </c>
      <c r="G260" s="39">
        <f t="shared" si="22"/>
        <v>2563268</v>
      </c>
      <c r="H260" s="39">
        <f t="shared" si="23"/>
        <v>2416625</v>
      </c>
      <c r="I260" s="39">
        <f t="shared" si="24"/>
        <v>2901770</v>
      </c>
      <c r="J260" s="39">
        <f t="shared" si="25"/>
        <v>2138192</v>
      </c>
      <c r="K260" s="39">
        <f t="shared" si="26"/>
        <v>2617739</v>
      </c>
      <c r="L260" s="39">
        <f t="shared" si="27"/>
        <v>2367228</v>
      </c>
      <c r="M260" s="39">
        <f t="shared" si="28"/>
        <v>2100542</v>
      </c>
      <c r="N260" s="39">
        <f t="shared" si="29"/>
        <v>2218670</v>
      </c>
      <c r="O260" s="39">
        <f t="shared" si="30"/>
        <v>2352062</v>
      </c>
      <c r="P260" s="39">
        <f>SUMIF(CODE,C260,Base11)</f>
        <v>2609913</v>
      </c>
      <c r="Q260" s="39">
        <f t="shared" si="32"/>
        <v>2608001</v>
      </c>
      <c r="R260" s="39"/>
    </row>
    <row r="261" spans="1:18">
      <c r="A261" s="37"/>
      <c r="B261" s="43" t="s">
        <v>344</v>
      </c>
      <c r="C261" s="44" t="s">
        <v>314</v>
      </c>
      <c r="D261" s="1434"/>
      <c r="E261" s="166">
        <f t="shared" si="20"/>
        <v>2770253</v>
      </c>
      <c r="F261" s="39">
        <f t="shared" si="21"/>
        <v>176593</v>
      </c>
      <c r="G261" s="39">
        <f t="shared" si="22"/>
        <v>213582</v>
      </c>
      <c r="H261" s="39">
        <f t="shared" si="23"/>
        <v>184791</v>
      </c>
      <c r="I261" s="39">
        <f t="shared" si="24"/>
        <v>212043</v>
      </c>
      <c r="J261" s="39">
        <f t="shared" si="25"/>
        <v>198394</v>
      </c>
      <c r="K261" s="39">
        <f t="shared" si="26"/>
        <v>211928</v>
      </c>
      <c r="L261" s="39">
        <f t="shared" si="27"/>
        <v>249888</v>
      </c>
      <c r="M261" s="39">
        <f t="shared" si="28"/>
        <v>249888</v>
      </c>
      <c r="N261" s="39">
        <f t="shared" si="29"/>
        <v>249888</v>
      </c>
      <c r="O261" s="39">
        <f t="shared" si="30"/>
        <v>249888</v>
      </c>
      <c r="P261" s="39">
        <f t="shared" si="31"/>
        <v>286685</v>
      </c>
      <c r="Q261" s="39">
        <f t="shared" si="32"/>
        <v>286685</v>
      </c>
      <c r="R261" s="39"/>
    </row>
    <row r="262" spans="1:18">
      <c r="A262" s="37"/>
      <c r="B262" s="43" t="s">
        <v>345</v>
      </c>
      <c r="C262" s="44" t="s">
        <v>315</v>
      </c>
      <c r="D262" s="1434"/>
      <c r="E262" s="166">
        <f t="shared" si="20"/>
        <v>4287133</v>
      </c>
      <c r="F262" s="39">
        <f t="shared" si="21"/>
        <v>246533</v>
      </c>
      <c r="G262" s="39">
        <f t="shared" si="22"/>
        <v>432699</v>
      </c>
      <c r="H262" s="39">
        <f t="shared" si="23"/>
        <v>352486</v>
      </c>
      <c r="I262" s="39">
        <f t="shared" si="24"/>
        <v>412016</v>
      </c>
      <c r="J262" s="39">
        <f t="shared" si="25"/>
        <v>240063</v>
      </c>
      <c r="K262" s="39">
        <f t="shared" si="26"/>
        <v>276260</v>
      </c>
      <c r="L262" s="39">
        <f t="shared" si="27"/>
        <v>358827</v>
      </c>
      <c r="M262" s="39">
        <f t="shared" si="28"/>
        <v>416753</v>
      </c>
      <c r="N262" s="39">
        <f t="shared" si="29"/>
        <v>454470</v>
      </c>
      <c r="O262" s="39">
        <f t="shared" si="30"/>
        <v>406694</v>
      </c>
      <c r="P262" s="39">
        <f t="shared" si="31"/>
        <v>349613</v>
      </c>
      <c r="Q262" s="39">
        <f t="shared" si="32"/>
        <v>340719</v>
      </c>
      <c r="R262" s="39"/>
    </row>
    <row r="263" spans="1:18">
      <c r="A263" s="37"/>
      <c r="B263" s="43" t="s">
        <v>346</v>
      </c>
      <c r="C263" s="44" t="s">
        <v>323</v>
      </c>
      <c r="D263" s="1434"/>
      <c r="E263" s="166">
        <f t="shared" si="20"/>
        <v>24228354</v>
      </c>
      <c r="F263" s="39">
        <f t="shared" si="21"/>
        <v>2034454</v>
      </c>
      <c r="G263" s="39">
        <f t="shared" si="22"/>
        <v>1851446</v>
      </c>
      <c r="H263" s="39">
        <f t="shared" si="23"/>
        <v>1807069</v>
      </c>
      <c r="I263" s="39">
        <f t="shared" si="24"/>
        <v>2153459</v>
      </c>
      <c r="J263" s="39">
        <f t="shared" si="25"/>
        <v>1887073</v>
      </c>
      <c r="K263" s="39">
        <f t="shared" si="26"/>
        <v>2689138</v>
      </c>
      <c r="L263" s="39">
        <f t="shared" si="27"/>
        <v>2411569</v>
      </c>
      <c r="M263" s="39">
        <f t="shared" si="28"/>
        <v>2011314</v>
      </c>
      <c r="N263" s="39">
        <f t="shared" si="29"/>
        <v>2001294</v>
      </c>
      <c r="O263" s="39">
        <f t="shared" si="30"/>
        <v>1136776</v>
      </c>
      <c r="P263" s="39">
        <f t="shared" si="31"/>
        <v>2239237</v>
      </c>
      <c r="Q263" s="39">
        <f t="shared" si="32"/>
        <v>2005525</v>
      </c>
      <c r="R263" s="39"/>
    </row>
    <row r="264" spans="1:18">
      <c r="A264" s="37"/>
      <c r="B264" s="43" t="s">
        <v>217</v>
      </c>
      <c r="C264" s="44" t="s">
        <v>262</v>
      </c>
      <c r="D264" s="1434"/>
      <c r="E264" s="166">
        <f t="shared" si="20"/>
        <v>1632374</v>
      </c>
      <c r="F264" s="39">
        <f>SUMIF(CODE,C264,Base1)</f>
        <v>295903</v>
      </c>
      <c r="G264" s="39">
        <f t="shared" si="22"/>
        <v>220017</v>
      </c>
      <c r="H264" s="39">
        <f t="shared" si="23"/>
        <v>323249</v>
      </c>
      <c r="I264" s="39">
        <f t="shared" si="24"/>
        <v>346406</v>
      </c>
      <c r="J264" s="39">
        <f t="shared" si="25"/>
        <v>421617</v>
      </c>
      <c r="K264" s="39">
        <f t="shared" si="26"/>
        <v>25182</v>
      </c>
      <c r="L264" s="39">
        <f t="shared" si="27"/>
        <v>0</v>
      </c>
      <c r="M264" s="39">
        <f t="shared" si="28"/>
        <v>0</v>
      </c>
      <c r="N264" s="39">
        <f t="shared" si="29"/>
        <v>0</v>
      </c>
      <c r="O264" s="39">
        <f t="shared" si="30"/>
        <v>0</v>
      </c>
      <c r="P264" s="39">
        <f t="shared" si="31"/>
        <v>0</v>
      </c>
      <c r="Q264" s="39">
        <f t="shared" si="32"/>
        <v>0</v>
      </c>
      <c r="R264" s="39"/>
    </row>
    <row r="265" spans="1:18">
      <c r="A265" s="37"/>
      <c r="B265" s="2" t="s">
        <v>347</v>
      </c>
      <c r="C265" s="44"/>
      <c r="D265" s="1434"/>
      <c r="E265" s="39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</row>
    <row r="266" spans="1:18">
      <c r="A266" s="37"/>
      <c r="B266" s="43" t="s">
        <v>339</v>
      </c>
      <c r="C266" s="44" t="s">
        <v>299</v>
      </c>
      <c r="D266" s="1434"/>
      <c r="E266" s="166">
        <f>SUM(F266:Q266)</f>
        <v>16428452</v>
      </c>
      <c r="F266" s="39">
        <f>SUMIF(CODE,C266,Base1)</f>
        <v>966236</v>
      </c>
      <c r="G266" s="39">
        <f>SUMIF(CODE,C266,Base2)</f>
        <v>790025</v>
      </c>
      <c r="H266" s="39">
        <f>SUMIF(CODE,C266,Base3)</f>
        <v>583255</v>
      </c>
      <c r="I266" s="39">
        <f>SUMIF(CODE,C266,Base4)</f>
        <v>672579</v>
      </c>
      <c r="J266" s="39">
        <f>SUMIF(CODE,C266,Base5)</f>
        <v>1635475</v>
      </c>
      <c r="K266" s="39">
        <f>SUMIF(CODE,C266,Base6)</f>
        <v>490660</v>
      </c>
      <c r="L266" s="39">
        <f>SUMIF(CODE,C266,Base7)</f>
        <v>2054553</v>
      </c>
      <c r="M266" s="39">
        <f>SUMIF(CODE,C266,Base8)</f>
        <v>2622645</v>
      </c>
      <c r="N266" s="39">
        <f>SUMIF(CODE,C266,Base9)</f>
        <v>2695493</v>
      </c>
      <c r="O266" s="39">
        <f>SUMIF(CODE,C266,Base10)</f>
        <v>1220715</v>
      </c>
      <c r="P266" s="39">
        <f>SUMIF(CODE,C266,Base11)</f>
        <v>1266583</v>
      </c>
      <c r="Q266" s="39">
        <f>SUMIF(CODE,C266,Base12)</f>
        <v>1430233</v>
      </c>
      <c r="R266" s="39"/>
    </row>
    <row r="267" spans="1:18">
      <c r="A267" s="37"/>
      <c r="B267" s="43" t="s">
        <v>343</v>
      </c>
      <c r="C267" s="44" t="s">
        <v>311</v>
      </c>
      <c r="D267" s="1434"/>
      <c r="E267" s="166">
        <f>SUM(F267:Q267)</f>
        <v>884087</v>
      </c>
      <c r="F267" s="39">
        <f>SUMIF(CODE,C267,Base1)</f>
        <v>51732</v>
      </c>
      <c r="G267" s="39">
        <f>SUMIF(CODE,C267,Base2)</f>
        <v>79988</v>
      </c>
      <c r="H267" s="39">
        <f>SUMIF(CODE,C267,Base3)</f>
        <v>167169</v>
      </c>
      <c r="I267" s="39">
        <f>SUMIF(CODE,C267,Base4)</f>
        <v>86278</v>
      </c>
      <c r="J267" s="39">
        <f>SUMIF(CODE,C267,Base5)</f>
        <v>239</v>
      </c>
      <c r="K267" s="39">
        <f>SUMIF(CODE,C267,Base6)</f>
        <v>69792</v>
      </c>
      <c r="L267" s="39">
        <f>SUMIF(CODE,C267,Base7)</f>
        <v>71600</v>
      </c>
      <c r="M267" s="39">
        <f>SUMIF(CODE,C267,Base8)</f>
        <v>19550</v>
      </c>
      <c r="N267" s="39">
        <f>SUMIF(CODE,C267,Base9)</f>
        <v>95983</v>
      </c>
      <c r="O267" s="39">
        <f>SUMIF(CODE,C267,Base10)</f>
        <v>77108</v>
      </c>
      <c r="P267" s="39">
        <f>SUMIF(CODE,C267,Base11)</f>
        <v>100397</v>
      </c>
      <c r="Q267" s="39">
        <f>SUMIF(CODE,C267,Base12)</f>
        <v>64251</v>
      </c>
      <c r="R267" s="39"/>
    </row>
    <row r="268" spans="1:18">
      <c r="A268" s="37"/>
      <c r="B268" s="43" t="s">
        <v>344</v>
      </c>
      <c r="C268" s="44" t="s">
        <v>348</v>
      </c>
      <c r="D268" s="1434"/>
      <c r="E268" s="166">
        <f>SUM(F268:Q268)</f>
        <v>0</v>
      </c>
      <c r="F268" s="39">
        <f>SUMIF(CODE,C268,Base1)</f>
        <v>0</v>
      </c>
      <c r="G268" s="39">
        <f>SUMIF(CODE,C268,Base2)</f>
        <v>0</v>
      </c>
      <c r="H268" s="39">
        <f>SUMIF(CODE,C268,Base3)</f>
        <v>0</v>
      </c>
      <c r="I268" s="39">
        <f>SUMIF(CODE,C268,Base4)</f>
        <v>0</v>
      </c>
      <c r="J268" s="39">
        <f>SUMIF(CODE,C268,Base5)</f>
        <v>0</v>
      </c>
      <c r="K268" s="39">
        <f>SUMIF(CODE,C268,Base6)</f>
        <v>0</v>
      </c>
      <c r="L268" s="39">
        <f>SUMIF(CODE,C268,Base7)</f>
        <v>0</v>
      </c>
      <c r="M268" s="39">
        <f>SUMIF(CODE,C268,Base8)</f>
        <v>0</v>
      </c>
      <c r="N268" s="39">
        <f>SUMIF(CODE,C268,Base9)</f>
        <v>0</v>
      </c>
      <c r="O268" s="39">
        <f>SUMIF(CODE,C268,Base10)</f>
        <v>0</v>
      </c>
      <c r="P268" s="39">
        <f>SUMIF(CODE,C268,Base11)</f>
        <v>0</v>
      </c>
      <c r="Q268" s="39">
        <f>SUMIF(CODE,C268,Base12)</f>
        <v>0</v>
      </c>
      <c r="R268" s="39"/>
    </row>
    <row r="269" spans="1:18">
      <c r="A269" s="37"/>
      <c r="B269" s="43" t="s">
        <v>345</v>
      </c>
      <c r="C269" s="44" t="s">
        <v>316</v>
      </c>
      <c r="D269" s="1434"/>
      <c r="E269" s="166">
        <f>SUM(F269:Q269)</f>
        <v>8129798</v>
      </c>
      <c r="F269" s="39">
        <f>SUMIF(CODE,C269,Base1)</f>
        <v>561772</v>
      </c>
      <c r="G269" s="39">
        <f>SUMIF(CODE,C269,Base2)</f>
        <v>550060</v>
      </c>
      <c r="H269" s="39">
        <f>SUMIF(CODE,C269,Base3)</f>
        <v>647480</v>
      </c>
      <c r="I269" s="39">
        <f>SUMIF(CODE,C269,Base4)</f>
        <v>582592</v>
      </c>
      <c r="J269" s="39">
        <f>SUMIF(CODE,C269,Base5)</f>
        <v>753349</v>
      </c>
      <c r="K269" s="39">
        <f>SUMIF(CODE,C269,Base6)</f>
        <v>812123</v>
      </c>
      <c r="L269" s="39">
        <f>SUMIF(CODE,C269,Base7)</f>
        <v>816499</v>
      </c>
      <c r="M269" s="39">
        <f>SUMIF(CODE,C269,Base8)</f>
        <v>524147</v>
      </c>
      <c r="N269" s="39">
        <f>SUMIF(CODE,C269,Base9)</f>
        <v>766960</v>
      </c>
      <c r="O269" s="39">
        <f>SUMIF(CODE,C269,Base10)</f>
        <v>697482</v>
      </c>
      <c r="P269" s="39">
        <f>SUMIF(CODE,C269,Base11)</f>
        <v>682301</v>
      </c>
      <c r="Q269" s="39">
        <f>SUMIF(CODE,C269,Base12)</f>
        <v>735033</v>
      </c>
      <c r="R269" s="39"/>
    </row>
    <row r="270" spans="1:18">
      <c r="A270" s="37"/>
      <c r="B270" s="43" t="s">
        <v>346</v>
      </c>
      <c r="C270" s="44" t="s">
        <v>332</v>
      </c>
      <c r="D270" s="1434"/>
      <c r="E270" s="166">
        <f>SUM(F270:Q270)</f>
        <v>538</v>
      </c>
      <c r="F270" s="39">
        <f>SUMIF(CODE,C270,Base1)</f>
        <v>-144</v>
      </c>
      <c r="G270" s="39">
        <f>SUMIF(CODE,C270,Base2)</f>
        <v>203</v>
      </c>
      <c r="H270" s="39">
        <f>SUMIF(CODE,C270,Base3)</f>
        <v>-9</v>
      </c>
      <c r="I270" s="39">
        <f>SUMIF(CODE,C270,Base4)</f>
        <v>-4338</v>
      </c>
      <c r="J270" s="39">
        <f>SUMIF(CODE,C270,Base5)</f>
        <v>4366</v>
      </c>
      <c r="K270" s="39">
        <f>SUMIF(CODE,C270,Base6)</f>
        <v>430</v>
      </c>
      <c r="L270" s="39">
        <f>SUMIF(CODE,C270,Base7)</f>
        <v>5</v>
      </c>
      <c r="M270" s="39">
        <f>SUMIF(CODE,C270,Base8)</f>
        <v>5</v>
      </c>
      <c r="N270" s="39">
        <f>SUMIF(CODE,C270,Base9)</f>
        <v>5</v>
      </c>
      <c r="O270" s="39">
        <f>SUMIF(CODE,C270,Base10)</f>
        <v>5</v>
      </c>
      <c r="P270" s="39">
        <f>SUMIF(CODE,C270,Base11)</f>
        <v>5</v>
      </c>
      <c r="Q270" s="39">
        <f>SUMIF(CODE,C270,Base12)</f>
        <v>5</v>
      </c>
      <c r="R270" s="39"/>
    </row>
    <row r="271" spans="1:18">
      <c r="A271" s="37"/>
      <c r="B271" s="1435" t="s">
        <v>349</v>
      </c>
      <c r="C271" s="44"/>
      <c r="D271" s="1434"/>
      <c r="E271" s="39">
        <f t="shared" ref="E271:Q271" si="33">SUM(E256:E264)+SUM(E266:E270)</f>
        <v>130187515</v>
      </c>
      <c r="F271" s="39">
        <f t="shared" si="33"/>
        <v>11070969</v>
      </c>
      <c r="G271" s="39">
        <f t="shared" si="33"/>
        <v>9865123</v>
      </c>
      <c r="H271" s="39">
        <f t="shared" si="33"/>
        <v>9297012</v>
      </c>
      <c r="I271" s="39">
        <f t="shared" si="33"/>
        <v>12494222</v>
      </c>
      <c r="J271" s="39">
        <f t="shared" si="33"/>
        <v>11422238</v>
      </c>
      <c r="K271" s="39">
        <f t="shared" si="33"/>
        <v>11951368</v>
      </c>
      <c r="L271" s="39">
        <f t="shared" si="33"/>
        <v>9492123</v>
      </c>
      <c r="M271" s="39">
        <f t="shared" si="33"/>
        <v>9154783</v>
      </c>
      <c r="N271" s="39">
        <f t="shared" si="33"/>
        <v>10043094</v>
      </c>
      <c r="O271" s="39">
        <f t="shared" si="33"/>
        <v>10711978</v>
      </c>
      <c r="P271" s="39">
        <f>SUM(P256:P264)+SUM(P266:P270)</f>
        <v>12506168</v>
      </c>
      <c r="Q271" s="39">
        <f t="shared" si="33"/>
        <v>12178437</v>
      </c>
      <c r="R271" s="38"/>
    </row>
    <row r="272" spans="1:18">
      <c r="A272" s="37"/>
      <c r="B272" s="1436" t="s">
        <v>350</v>
      </c>
      <c r="C272" s="44"/>
      <c r="D272" s="1434"/>
      <c r="E272" s="39">
        <f t="shared" ref="E272:Q272" si="34">E271+E251+E252+E253+E254</f>
        <v>307106155</v>
      </c>
      <c r="F272" s="39">
        <f t="shared" si="34"/>
        <v>23106717</v>
      </c>
      <c r="G272" s="39">
        <f t="shared" si="34"/>
        <v>21182011</v>
      </c>
      <c r="H272" s="39">
        <f t="shared" si="34"/>
        <v>21940275</v>
      </c>
      <c r="I272" s="39">
        <f t="shared" si="34"/>
        <v>31160421</v>
      </c>
      <c r="J272" s="39">
        <f t="shared" si="34"/>
        <v>26919248</v>
      </c>
      <c r="K272" s="39">
        <f t="shared" si="34"/>
        <v>27693163</v>
      </c>
      <c r="L272" s="39">
        <f t="shared" si="34"/>
        <v>23599603</v>
      </c>
      <c r="M272" s="39">
        <f t="shared" si="34"/>
        <v>21227926</v>
      </c>
      <c r="N272" s="39">
        <f t="shared" si="34"/>
        <v>24752834</v>
      </c>
      <c r="O272" s="39">
        <f t="shared" si="34"/>
        <v>28095142</v>
      </c>
      <c r="P272" s="39">
        <f t="shared" si="34"/>
        <v>31203376</v>
      </c>
      <c r="Q272" s="39">
        <f t="shared" si="34"/>
        <v>26225439</v>
      </c>
      <c r="R272" s="38"/>
    </row>
    <row r="273" spans="1:18">
      <c r="A273" s="37"/>
      <c r="B273" s="1433" t="s">
        <v>351</v>
      </c>
      <c r="C273" s="44" t="s">
        <v>259</v>
      </c>
      <c r="D273" s="1434"/>
      <c r="E273" s="166">
        <f>SUM(F273:Q273)</f>
        <v>69049642</v>
      </c>
      <c r="F273" s="39">
        <f>SUMIF(CODE,C273,Base1)</f>
        <v>5656254</v>
      </c>
      <c r="G273" s="39">
        <f>SUMIF(CODE,C273,Base2)</f>
        <v>5640859</v>
      </c>
      <c r="H273" s="39">
        <f>SUMIF(CODE,C273,Base3)</f>
        <v>5651607</v>
      </c>
      <c r="I273" s="39">
        <f>SUMIF(CODE,C273,Base4)</f>
        <v>5674002</v>
      </c>
      <c r="J273" s="39">
        <f>SUMIF(CODE,C273,Base5)</f>
        <v>5702507</v>
      </c>
      <c r="K273" s="39">
        <f>SUMIF(CODE,C273,Base6)</f>
        <v>5705355</v>
      </c>
      <c r="L273" s="39">
        <f>SUMIF(CODE,C273,Base7)</f>
        <v>5752277</v>
      </c>
      <c r="M273" s="39">
        <f>SUMIF(CODE,C273,Base8)</f>
        <v>5777399</v>
      </c>
      <c r="N273" s="39">
        <f>SUMIF(CODE,C273,Base9)</f>
        <v>5803850</v>
      </c>
      <c r="O273" s="39">
        <f>SUMIF(CODE,C273,Base10)</f>
        <v>5832435</v>
      </c>
      <c r="P273" s="39">
        <f>SUMIF(CODE,C273,Base11)</f>
        <v>5928044</v>
      </c>
      <c r="Q273" s="39">
        <f>SUMIF(CODE,C273,Base12)</f>
        <v>5925053</v>
      </c>
      <c r="R273" s="39"/>
    </row>
    <row r="274" spans="1:18">
      <c r="A274" s="37"/>
      <c r="B274" s="1433" t="s">
        <v>352</v>
      </c>
      <c r="C274" s="44" t="s">
        <v>261</v>
      </c>
      <c r="D274" s="1434"/>
      <c r="E274" s="166">
        <f>SUM(F274:Q274)</f>
        <v>14977168</v>
      </c>
      <c r="F274" s="39">
        <f>SUMIF(CODE,C274,Base1)</f>
        <v>1460413</v>
      </c>
      <c r="G274" s="39">
        <f>SUMIF(CODE,C274,Base2)</f>
        <v>1250234</v>
      </c>
      <c r="H274" s="39">
        <f>SUMIF(CODE,C274,Base3)</f>
        <v>1375210</v>
      </c>
      <c r="I274" s="39">
        <f>SUMIF(CODE,C274,Base4)</f>
        <v>1229636</v>
      </c>
      <c r="J274" s="39">
        <f>SUMIF(CODE,C274,Base5)</f>
        <v>1178173</v>
      </c>
      <c r="K274" s="39">
        <f>SUMIF(CODE,C274,Base6)</f>
        <v>1409866</v>
      </c>
      <c r="L274" s="39">
        <f>SUMIF(CODE,C274,Base7)</f>
        <v>1191568</v>
      </c>
      <c r="M274" s="39">
        <f>SUMIF(CODE,C274,Base8)</f>
        <v>1191568</v>
      </c>
      <c r="N274" s="39">
        <f>SUMIF(CODE,C274,Base9)</f>
        <v>1191568</v>
      </c>
      <c r="O274" s="39">
        <f>SUMIF(CODE,C274,Base10)</f>
        <v>1191568</v>
      </c>
      <c r="P274" s="39">
        <f>SUMIF(CODE,C274,Base11)</f>
        <v>1153682</v>
      </c>
      <c r="Q274" s="39">
        <f>SUMIF(CODE,C274,Base12)</f>
        <v>1153682</v>
      </c>
      <c r="R274" s="38"/>
    </row>
    <row r="275" spans="1:18">
      <c r="A275" s="37"/>
      <c r="B275" s="1433" t="s">
        <v>353</v>
      </c>
      <c r="C275" s="44" t="s">
        <v>263</v>
      </c>
      <c r="D275" s="1434"/>
      <c r="E275" s="166">
        <f>SUM(F275:Q275)</f>
        <v>16079141</v>
      </c>
      <c r="F275" s="39">
        <f>SUMIF(CODE,C275,Base1)</f>
        <v>213242</v>
      </c>
      <c r="G275" s="39">
        <f>SUMIF(CODE,C275,Base2)</f>
        <v>1446058</v>
      </c>
      <c r="H275" s="39">
        <f>SUMIF(CODE,C275,Base3)</f>
        <v>1445202</v>
      </c>
      <c r="I275" s="39">
        <f>SUMIF(CODE,C275,Base4)</f>
        <v>1395286</v>
      </c>
      <c r="J275" s="39">
        <f>SUMIF(CODE,C275,Base5)</f>
        <v>1412784</v>
      </c>
      <c r="K275" s="39">
        <f>SUMIF(CODE,C275,Base6)</f>
        <v>1412998</v>
      </c>
      <c r="L275" s="39">
        <f>SUMIF(CODE,C275,Base7)</f>
        <v>1450658</v>
      </c>
      <c r="M275" s="39">
        <f>SUMIF(CODE,C275,Base8)</f>
        <v>1451716</v>
      </c>
      <c r="N275" s="39">
        <f>SUMIF(CODE,C275,Base9)</f>
        <v>1481246</v>
      </c>
      <c r="O275" s="39">
        <f>SUMIF(CODE,C275,Base10)</f>
        <v>1449535</v>
      </c>
      <c r="P275" s="39">
        <f>SUMIF(CODE,C275,Base11)</f>
        <v>1460208</v>
      </c>
      <c r="Q275" s="39">
        <f>SUMIF(CODE,C275,Base12)</f>
        <v>1460208</v>
      </c>
      <c r="R275" s="39"/>
    </row>
    <row r="276" spans="1:18">
      <c r="A276" s="37"/>
      <c r="B276" s="1433" t="s">
        <v>354</v>
      </c>
      <c r="C276" s="44" t="s">
        <v>265</v>
      </c>
      <c r="D276" s="1434"/>
      <c r="E276" s="166">
        <f>SUM(F276:Q276)</f>
        <v>12714922</v>
      </c>
      <c r="F276" s="39">
        <f>SUMIF(CODE,C276,Base1)</f>
        <v>1059577</v>
      </c>
      <c r="G276" s="39">
        <f>SUMIF(CODE,C276,Base2)</f>
        <v>1059577</v>
      </c>
      <c r="H276" s="39">
        <f>SUMIF(CODE,C276,Base3)</f>
        <v>1059577</v>
      </c>
      <c r="I276" s="39">
        <f>SUMIF(CODE,C276,Base4)</f>
        <v>1059577</v>
      </c>
      <c r="J276" s="39">
        <f>SUMIF(CODE,C276,Base5)</f>
        <v>1059577</v>
      </c>
      <c r="K276" s="39">
        <f>SUMIF(CODE,C276,Base6)</f>
        <v>1059577</v>
      </c>
      <c r="L276" s="39">
        <f>SUMIF(CODE,C276,Base7)</f>
        <v>1059577</v>
      </c>
      <c r="M276" s="39">
        <f>SUMIF(CODE,C276,Base8)</f>
        <v>1059577</v>
      </c>
      <c r="N276" s="39">
        <f>SUMIF(CODE,C276,Base9)</f>
        <v>1059577</v>
      </c>
      <c r="O276" s="39">
        <f>SUMIF(CODE,C276,Base10)</f>
        <v>1059577</v>
      </c>
      <c r="P276" s="39">
        <f>SUMIF(CODE,C276,Base11)</f>
        <v>1059577</v>
      </c>
      <c r="Q276" s="39">
        <f>SUMIF(CODE,C276,Base12)</f>
        <v>1059575</v>
      </c>
      <c r="R276" s="39"/>
    </row>
    <row r="277" spans="1:18">
      <c r="A277" s="37"/>
      <c r="B277" s="1433"/>
      <c r="C277" s="1434"/>
      <c r="D277" s="1434"/>
      <c r="E277" s="39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</row>
    <row r="278" spans="1:18">
      <c r="A278" s="37"/>
      <c r="B278" s="1433" t="s">
        <v>355</v>
      </c>
      <c r="C278" s="1434"/>
      <c r="D278" s="1434"/>
      <c r="E278" s="39">
        <f t="shared" ref="E278:Q278" si="35">E249-E251-E252-E253-E254-E271-E273-E274-E275-E276</f>
        <v>83838119</v>
      </c>
      <c r="F278" s="742">
        <f t="shared" si="35"/>
        <v>7958604</v>
      </c>
      <c r="G278" s="39">
        <f t="shared" si="35"/>
        <v>3555864</v>
      </c>
      <c r="H278" s="39">
        <f t="shared" si="35"/>
        <v>8243161</v>
      </c>
      <c r="I278" s="39">
        <f t="shared" si="35"/>
        <v>14497273</v>
      </c>
      <c r="J278" s="39">
        <f t="shared" si="35"/>
        <v>10486141</v>
      </c>
      <c r="K278" s="39">
        <f t="shared" si="35"/>
        <v>10144772</v>
      </c>
      <c r="L278" s="39">
        <f>L249-L251-L252-L253-L254-L271-L273-L274-L275-L276</f>
        <v>6998271</v>
      </c>
      <c r="M278" s="39">
        <f t="shared" si="35"/>
        <v>4065268</v>
      </c>
      <c r="N278" s="39">
        <f t="shared" si="35"/>
        <v>4702696</v>
      </c>
      <c r="O278" s="39">
        <f t="shared" si="35"/>
        <v>6431644</v>
      </c>
      <c r="P278" s="39">
        <f t="shared" si="35"/>
        <v>2490244</v>
      </c>
      <c r="Q278" s="39">
        <f t="shared" si="35"/>
        <v>4264181</v>
      </c>
      <c r="R278" s="38"/>
    </row>
    <row r="279" spans="1:18">
      <c r="A279" s="37"/>
      <c r="B279" s="1433"/>
      <c r="C279" s="1434"/>
      <c r="D279" s="1434"/>
      <c r="E279" s="39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</row>
    <row r="280" spans="1:18">
      <c r="A280" s="37"/>
      <c r="B280" s="1433" t="s">
        <v>356</v>
      </c>
      <c r="C280" s="1434"/>
      <c r="D280" s="1434"/>
      <c r="E280" s="39">
        <f t="shared" ref="E280" si="36">E278+E276</f>
        <v>96553041</v>
      </c>
      <c r="F280" s="742">
        <f t="shared" ref="F280:Q280" si="37">F249-F251-F252-F253-F254-F271-F273-F274-F275</f>
        <v>9018181</v>
      </c>
      <c r="G280" s="742">
        <f t="shared" si="37"/>
        <v>4615441</v>
      </c>
      <c r="H280" s="742">
        <f t="shared" si="37"/>
        <v>9302738</v>
      </c>
      <c r="I280" s="742">
        <f t="shared" si="37"/>
        <v>15556850</v>
      </c>
      <c r="J280" s="742">
        <f t="shared" si="37"/>
        <v>11545718</v>
      </c>
      <c r="K280" s="742">
        <f t="shared" si="37"/>
        <v>11204349</v>
      </c>
      <c r="L280" s="742">
        <f>L249-L251-L252-L253-L254-L271-L273-L274-L275</f>
        <v>8057848</v>
      </c>
      <c r="M280" s="742">
        <f t="shared" si="37"/>
        <v>5124845</v>
      </c>
      <c r="N280" s="742">
        <f t="shared" si="37"/>
        <v>5762273</v>
      </c>
      <c r="O280" s="742">
        <f t="shared" si="37"/>
        <v>7491221</v>
      </c>
      <c r="P280" s="742">
        <f t="shared" si="37"/>
        <v>3549821</v>
      </c>
      <c r="Q280" s="742">
        <f t="shared" si="37"/>
        <v>5323756</v>
      </c>
      <c r="R280" s="38"/>
    </row>
    <row r="281" spans="1:18">
      <c r="A281" s="37"/>
      <c r="B281" s="1432"/>
      <c r="C281" s="37"/>
      <c r="D281" s="37"/>
      <c r="E281" s="39"/>
      <c r="F281" s="39"/>
      <c r="G281" s="38"/>
      <c r="H281" s="38"/>
      <c r="I281" s="38"/>
      <c r="J281" s="38"/>
      <c r="K281" s="38"/>
      <c r="L281" s="38"/>
      <c r="M281" s="38"/>
      <c r="N281" s="38"/>
      <c r="O281" s="39"/>
      <c r="P281" s="39"/>
      <c r="Q281" s="39"/>
      <c r="R281" s="38"/>
    </row>
    <row r="282" spans="1:18">
      <c r="A282" s="37"/>
      <c r="B282" s="1432"/>
      <c r="C282" s="37"/>
      <c r="D282" s="37"/>
      <c r="E282" s="1437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8"/>
    </row>
    <row r="283" spans="1:18">
      <c r="A283" s="37"/>
      <c r="B283" s="1432"/>
      <c r="C283" s="37"/>
      <c r="D283" s="37"/>
      <c r="E283" s="1437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8"/>
    </row>
    <row r="284" spans="1:18">
      <c r="A284" s="37"/>
      <c r="B284" s="1432"/>
      <c r="C284" s="37"/>
      <c r="D284" s="37"/>
      <c r="E284" s="1437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</row>
    <row r="285" spans="1:18">
      <c r="A285" s="37"/>
      <c r="B285" s="1432"/>
      <c r="C285" s="37"/>
      <c r="D285" s="37"/>
      <c r="E285" s="1437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</row>
  </sheetData>
  <mergeCells count="1">
    <mergeCell ref="F7:I7"/>
  </mergeCells>
  <phoneticPr fontId="19" type="noConversion"/>
  <pageMargins left="0.5" right="0.5" top="1" bottom="0.75" header="1" footer="0.3"/>
  <pageSetup scale="60" fitToHeight="0" orientation="landscape" blackAndWhite="1" r:id="rId1"/>
  <headerFooter alignWithMargins="0">
    <oddHeader>&amp;RWPC-2.1a_BP
WITNESS RESPONSIBLE:
L. D. STEINKUHL
PAGE &amp;P OF &amp;N</oddHeader>
  </headerFooter>
  <rowBreaks count="5" manualBreakCount="5">
    <brk id="61" max="16383" man="1"/>
    <brk id="107" max="16" man="1"/>
    <brk id="155" max="16" man="1"/>
    <brk id="203" max="16" man="1"/>
    <brk id="247" max="16" man="1"/>
  </rowBreaks>
  <colBreaks count="1" manualBreakCount="1">
    <brk id="11" max="10485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5">
    <tabColor theme="7" tint="-0.249977111117893"/>
    <pageSetUpPr fitToPage="1"/>
  </sheetPr>
  <dimension ref="A1:X69"/>
  <sheetViews>
    <sheetView workbookViewId="0"/>
  </sheetViews>
  <sheetFormatPr defaultColWidth="8" defaultRowHeight="13.2"/>
  <cols>
    <col min="1" max="1" width="8" customWidth="1"/>
    <col min="2" max="2" width="20.44140625" customWidth="1"/>
    <col min="3" max="3" width="8" customWidth="1"/>
    <col min="4" max="4" width="10.44140625" customWidth="1"/>
    <col min="5" max="7" width="8" customWidth="1"/>
    <col min="8" max="8" width="12.44140625" customWidth="1"/>
    <col min="9" max="9" width="10" customWidth="1"/>
    <col min="10" max="10" width="18.44140625" customWidth="1"/>
    <col min="11" max="12" width="8" customWidth="1"/>
    <col min="13" max="13" width="2.44140625" customWidth="1"/>
    <col min="14" max="14" width="33.44140625" customWidth="1"/>
    <col min="15" max="15" width="3.5546875" customWidth="1"/>
    <col min="16" max="16" width="16" customWidth="1"/>
    <col min="17" max="17" width="1.5546875" customWidth="1"/>
    <col min="18" max="18" width="18.44140625" customWidth="1"/>
    <col min="19" max="19" width="2.44140625" customWidth="1"/>
    <col min="20" max="20" width="20.44140625" customWidth="1"/>
  </cols>
  <sheetData>
    <row r="1" spans="1:24">
      <c r="A1" s="951" t="str">
        <f>LOGO!B5</f>
        <v>DUKE ENERGY KENTUCKY, INC.</v>
      </c>
      <c r="B1" s="951"/>
      <c r="C1" s="951"/>
      <c r="D1" s="951"/>
      <c r="E1" s="951"/>
      <c r="F1" s="951"/>
      <c r="G1" s="951"/>
      <c r="H1" s="951"/>
      <c r="I1" s="951"/>
      <c r="J1" s="951"/>
      <c r="K1" s="599"/>
      <c r="L1" s="599"/>
      <c r="M1" s="599"/>
      <c r="N1" s="599"/>
      <c r="O1" s="599"/>
      <c r="P1" s="599"/>
      <c r="Q1" s="599"/>
      <c r="R1" s="599"/>
      <c r="S1" s="599"/>
      <c r="T1" s="599"/>
      <c r="U1" s="599"/>
      <c r="V1" s="599"/>
      <c r="W1" s="599"/>
      <c r="X1" s="599"/>
    </row>
    <row r="2" spans="1:24">
      <c r="A2" s="951" t="str">
        <f>LOGO!B6</f>
        <v>CASE NO. 2024-00354</v>
      </c>
      <c r="B2" s="951"/>
      <c r="C2" s="951"/>
      <c r="D2" s="951"/>
      <c r="E2" s="951"/>
      <c r="F2" s="951"/>
      <c r="G2" s="951"/>
      <c r="H2" s="951"/>
      <c r="I2" s="951"/>
      <c r="J2" s="951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</row>
    <row r="3" spans="1:24">
      <c r="A3" s="968" t="s">
        <v>1954</v>
      </c>
      <c r="B3" s="951"/>
      <c r="C3" s="951"/>
      <c r="D3" s="951"/>
      <c r="E3" s="951"/>
      <c r="F3" s="951"/>
      <c r="G3" s="951"/>
      <c r="H3" s="951"/>
      <c r="I3" s="951"/>
      <c r="J3" s="951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</row>
    <row r="4" spans="1:24">
      <c r="A4" s="951" t="str">
        <f>LOGO!B8</f>
        <v>FOR THE TWELVE MONTHS ENDED JUNE 30, 2026</v>
      </c>
      <c r="B4" s="951"/>
      <c r="C4" s="951"/>
      <c r="D4" s="951"/>
      <c r="E4" s="951"/>
      <c r="F4" s="951"/>
      <c r="G4" s="951"/>
      <c r="H4" s="951"/>
      <c r="I4" s="951"/>
      <c r="J4" s="951"/>
      <c r="K4" s="599"/>
      <c r="L4" s="599"/>
      <c r="M4" s="599"/>
      <c r="N4" s="599"/>
      <c r="O4" s="599"/>
      <c r="P4" s="599"/>
      <c r="Q4" s="599"/>
      <c r="R4" s="599"/>
      <c r="S4" s="599"/>
      <c r="T4" s="599"/>
      <c r="U4" s="599"/>
      <c r="V4" s="599"/>
      <c r="W4" s="599"/>
      <c r="X4" s="599"/>
    </row>
    <row r="5" spans="1:24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  <c r="V5" s="599"/>
      <c r="W5" s="599"/>
      <c r="X5" s="599"/>
    </row>
    <row r="6" spans="1:24">
      <c r="A6" s="599" t="str">
        <f>DataB</f>
        <v>DATA: "X" BASE PERIOD  "X" FORECASTED PERIOD</v>
      </c>
      <c r="B6" s="599"/>
      <c r="C6" s="599"/>
      <c r="D6" s="599"/>
      <c r="E6" s="599"/>
      <c r="F6" s="599"/>
      <c r="G6" s="599"/>
      <c r="H6" s="599"/>
      <c r="I6" s="973" t="s">
        <v>1955</v>
      </c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599"/>
      <c r="V6" s="599"/>
      <c r="W6" s="599"/>
      <c r="X6" s="599"/>
    </row>
    <row r="7" spans="1:24">
      <c r="A7" s="599" t="str">
        <f>LOGO!B15</f>
        <v xml:space="preserve">TYPE OF FILING:  "X" ORIGINAL   UPDATED    REVISED  </v>
      </c>
      <c r="B7" s="599"/>
      <c r="C7" s="599"/>
      <c r="D7" s="599"/>
      <c r="E7" s="599"/>
      <c r="F7" s="599"/>
      <c r="G7" s="599"/>
      <c r="H7" s="599"/>
      <c r="I7" s="598" t="s">
        <v>466</v>
      </c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  <c r="U7" s="599"/>
      <c r="V7" s="599"/>
      <c r="W7" s="599"/>
      <c r="X7" s="599"/>
    </row>
    <row r="8" spans="1:24">
      <c r="A8" s="598" t="s">
        <v>1956</v>
      </c>
      <c r="B8" s="599"/>
      <c r="C8" s="599"/>
      <c r="D8" s="599"/>
      <c r="E8" s="599"/>
      <c r="F8" s="599"/>
      <c r="G8" s="599"/>
      <c r="H8" s="599"/>
      <c r="I8" s="598" t="s">
        <v>468</v>
      </c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  <c r="U8" s="599"/>
      <c r="V8" s="599"/>
      <c r="W8" s="599"/>
      <c r="X8" s="599"/>
    </row>
    <row r="9" spans="1:24">
      <c r="A9" s="599"/>
      <c r="B9" s="599"/>
      <c r="C9" s="599"/>
      <c r="D9" s="599"/>
      <c r="E9" s="599"/>
      <c r="F9" s="599"/>
      <c r="G9" s="599"/>
      <c r="H9" s="599"/>
      <c r="I9" s="598" t="str">
        <f>_WIT10</f>
        <v>G. S. CARPENTER</v>
      </c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  <c r="U9" s="599"/>
      <c r="V9" s="599"/>
      <c r="W9" s="599"/>
      <c r="X9" s="599"/>
    </row>
    <row r="10" spans="1:24">
      <c r="A10" s="1372"/>
      <c r="B10" s="1372"/>
      <c r="C10" s="1372"/>
      <c r="D10" s="1372"/>
      <c r="E10" s="1372"/>
      <c r="F10" s="1372"/>
      <c r="G10" s="1372"/>
      <c r="H10" s="1372"/>
      <c r="I10" s="1372"/>
      <c r="J10" s="1372"/>
      <c r="K10" s="598"/>
      <c r="L10" s="599"/>
      <c r="M10" s="599"/>
      <c r="N10" s="599"/>
      <c r="O10" s="599"/>
      <c r="P10" s="599"/>
      <c r="Q10" s="599"/>
      <c r="R10" s="599"/>
      <c r="S10" s="599"/>
      <c r="T10" s="599"/>
      <c r="U10" s="599"/>
      <c r="V10" s="599"/>
      <c r="W10" s="599"/>
      <c r="X10" s="599"/>
    </row>
    <row r="11" spans="1:24">
      <c r="A11" s="599"/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  <c r="U11" s="599"/>
      <c r="V11" s="599"/>
      <c r="W11" s="599"/>
      <c r="X11" s="599"/>
    </row>
    <row r="12" spans="1:24">
      <c r="A12" s="598" t="s">
        <v>1857</v>
      </c>
      <c r="B12" s="599"/>
      <c r="C12" s="599"/>
      <c r="D12" s="599"/>
      <c r="E12" s="599"/>
      <c r="F12" s="599"/>
      <c r="G12" s="599"/>
      <c r="H12" s="599"/>
      <c r="I12" s="599"/>
      <c r="J12" s="974" t="s">
        <v>975</v>
      </c>
      <c r="K12" s="599"/>
      <c r="L12" s="599"/>
      <c r="M12" s="599"/>
      <c r="N12" s="599"/>
      <c r="O12" s="599"/>
      <c r="P12" s="599"/>
      <c r="Q12" s="599"/>
      <c r="R12" s="599"/>
      <c r="S12" s="599"/>
      <c r="T12" s="599"/>
      <c r="U12" s="599"/>
      <c r="V12" s="599"/>
      <c r="W12" s="599"/>
      <c r="X12" s="599"/>
    </row>
    <row r="13" spans="1:24">
      <c r="A13" s="1372"/>
      <c r="B13" s="1372"/>
      <c r="C13" s="1372"/>
      <c r="D13" s="1372"/>
      <c r="E13" s="1372"/>
      <c r="F13" s="1372"/>
      <c r="G13" s="1372"/>
      <c r="H13" s="1372"/>
      <c r="I13" s="1372"/>
      <c r="J13" s="1372"/>
      <c r="K13" s="598"/>
      <c r="L13" s="599"/>
      <c r="M13" s="599"/>
      <c r="N13" s="599"/>
      <c r="O13" s="599"/>
      <c r="P13" s="599"/>
      <c r="Q13" s="599"/>
      <c r="R13" s="599"/>
      <c r="S13" s="599"/>
      <c r="T13" s="599"/>
      <c r="U13" s="599"/>
      <c r="V13" s="599"/>
      <c r="W13" s="599"/>
      <c r="X13" s="599"/>
    </row>
    <row r="14" spans="1:24">
      <c r="A14" s="599"/>
      <c r="B14" s="599"/>
      <c r="C14" s="599"/>
      <c r="D14" s="599"/>
      <c r="E14" s="599"/>
      <c r="F14" s="599"/>
      <c r="G14" s="599"/>
      <c r="H14" s="599"/>
      <c r="I14" s="599"/>
      <c r="J14" s="974"/>
      <c r="K14" s="599"/>
      <c r="L14" s="599"/>
      <c r="M14" s="599"/>
      <c r="N14" s="599"/>
      <c r="O14" s="599"/>
      <c r="P14" s="599"/>
      <c r="Q14" s="599"/>
      <c r="R14" s="599"/>
      <c r="S14" s="599"/>
      <c r="T14" s="599"/>
      <c r="U14" s="599"/>
      <c r="V14" s="599"/>
      <c r="W14" s="599"/>
      <c r="X14" s="599"/>
    </row>
    <row r="15" spans="1:24">
      <c r="A15" s="169" t="s">
        <v>1957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  <c r="V15" s="599"/>
      <c r="W15" s="599"/>
      <c r="X15" s="599"/>
    </row>
    <row r="16" spans="1:24">
      <c r="A16" s="169" t="s">
        <v>1874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</row>
    <row r="17" spans="1:24">
      <c r="A17" s="598"/>
      <c r="B17" s="599"/>
      <c r="C17" s="599"/>
      <c r="D17" s="599"/>
      <c r="E17" s="599"/>
      <c r="F17" s="599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  <c r="U17" s="599"/>
      <c r="V17" s="599"/>
      <c r="W17" s="599"/>
      <c r="X17" s="599"/>
    </row>
    <row r="18" spans="1:24">
      <c r="A18" s="598"/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  <c r="X18" s="599"/>
    </row>
    <row r="19" spans="1:24">
      <c r="A19" s="598"/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</row>
    <row r="20" spans="1:24">
      <c r="A20" s="598"/>
      <c r="B20" s="599"/>
      <c r="C20" s="599"/>
      <c r="D20" s="599"/>
      <c r="E20" s="599"/>
      <c r="F20" s="599"/>
      <c r="G20" s="599"/>
      <c r="H20" s="974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  <c r="U20" s="599"/>
      <c r="V20" s="599"/>
      <c r="W20" s="599"/>
      <c r="X20" s="599"/>
    </row>
    <row r="21" spans="1:24">
      <c r="A21" s="734"/>
      <c r="B21" s="599"/>
      <c r="C21" s="599"/>
      <c r="D21" s="599"/>
      <c r="E21" s="599"/>
      <c r="F21" s="599"/>
      <c r="G21" s="599"/>
      <c r="H21" s="96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  <c r="U21" s="599"/>
      <c r="V21" s="599"/>
      <c r="W21" s="599"/>
      <c r="X21" s="599"/>
    </row>
    <row r="22" spans="1:24">
      <c r="A22" s="598" t="s">
        <v>1638</v>
      </c>
      <c r="B22" s="599"/>
      <c r="C22" s="599"/>
      <c r="D22" s="599"/>
      <c r="E22" s="599"/>
      <c r="F22" s="599"/>
      <c r="G22" s="599"/>
      <c r="H22" s="974"/>
      <c r="I22" s="599"/>
      <c r="J22" s="682">
        <f>T56</f>
        <v>2342</v>
      </c>
      <c r="K22" s="599"/>
      <c r="L22" s="599"/>
      <c r="M22" s="599"/>
      <c r="N22" s="599"/>
      <c r="O22" s="599"/>
      <c r="P22" s="599"/>
      <c r="Q22" s="599"/>
      <c r="R22" s="599"/>
      <c r="S22" s="599"/>
      <c r="T22" s="599"/>
      <c r="U22" s="599"/>
      <c r="V22" s="599"/>
      <c r="W22" s="599"/>
      <c r="X22" s="599"/>
    </row>
    <row r="23" spans="1:24">
      <c r="A23" s="598"/>
      <c r="B23" s="599"/>
      <c r="C23" s="599"/>
      <c r="D23" s="599"/>
      <c r="E23" s="599"/>
      <c r="F23" s="599"/>
      <c r="G23" s="599"/>
      <c r="H23" s="974"/>
      <c r="I23" s="599"/>
      <c r="J23" s="1047"/>
      <c r="K23" s="599"/>
      <c r="L23" s="599"/>
      <c r="M23" s="599"/>
      <c r="N23" s="599"/>
      <c r="O23" s="599"/>
      <c r="P23" s="599"/>
      <c r="Q23" s="599"/>
      <c r="R23" s="599"/>
      <c r="S23" s="599"/>
      <c r="T23" s="599"/>
      <c r="U23" s="599"/>
      <c r="V23" s="599"/>
      <c r="W23" s="599"/>
      <c r="X23" s="599"/>
    </row>
    <row r="24" spans="1:24">
      <c r="A24" s="599" t="s">
        <v>1643</v>
      </c>
      <c r="B24" s="599"/>
      <c r="C24" s="599"/>
      <c r="D24" s="599"/>
      <c r="E24" s="599"/>
      <c r="F24" s="599"/>
      <c r="G24" s="599"/>
      <c r="H24" s="974"/>
      <c r="I24" s="599"/>
      <c r="J24" s="1050">
        <f>T58</f>
        <v>2239283</v>
      </c>
      <c r="K24" s="599"/>
      <c r="L24" s="599"/>
      <c r="M24" s="599"/>
      <c r="N24" s="599"/>
      <c r="O24" s="599"/>
      <c r="P24" s="599"/>
      <c r="Q24" s="599"/>
      <c r="R24" s="599"/>
      <c r="S24" s="599"/>
      <c r="T24" s="599"/>
      <c r="U24" s="599"/>
      <c r="V24" s="599"/>
      <c r="W24" s="599"/>
      <c r="X24" s="599"/>
    </row>
    <row r="25" spans="1:24">
      <c r="A25" s="599"/>
      <c r="B25" s="599"/>
      <c r="C25" s="599"/>
      <c r="D25" s="599"/>
      <c r="E25" s="599"/>
      <c r="F25" s="599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  <c r="U25" s="599"/>
      <c r="V25" s="599"/>
      <c r="W25" s="599"/>
      <c r="X25" s="599"/>
    </row>
    <row r="26" spans="1:24">
      <c r="A26" s="598" t="s">
        <v>1958</v>
      </c>
      <c r="B26" s="599"/>
      <c r="C26" s="599"/>
      <c r="D26" s="599"/>
      <c r="E26" s="599"/>
      <c r="F26" s="599"/>
      <c r="G26" s="599"/>
      <c r="H26" s="599"/>
      <c r="I26" s="704"/>
      <c r="J26" s="682">
        <f>SUM(J22:J24)</f>
        <v>2241625</v>
      </c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  <c r="X26" s="599"/>
    </row>
    <row r="27" spans="1:24">
      <c r="A27" s="599"/>
      <c r="B27" s="599"/>
      <c r="C27" s="599"/>
      <c r="D27" s="599"/>
      <c r="E27" s="599"/>
      <c r="F27" s="599"/>
      <c r="G27" s="599"/>
      <c r="H27" s="599"/>
      <c r="I27" s="599"/>
      <c r="J27" s="704"/>
      <c r="K27" s="599"/>
      <c r="L27" s="599"/>
      <c r="M27" s="599"/>
      <c r="N27" s="599"/>
      <c r="O27" s="599"/>
      <c r="P27" s="599"/>
      <c r="Q27" s="599"/>
      <c r="R27" s="599"/>
      <c r="S27" s="599"/>
      <c r="T27" s="599"/>
      <c r="U27" s="599"/>
      <c r="V27" s="599"/>
      <c r="W27" s="599"/>
      <c r="X27" s="599"/>
    </row>
    <row r="28" spans="1:24">
      <c r="A28" s="599"/>
      <c r="B28" s="599"/>
      <c r="C28" s="599"/>
      <c r="D28" s="599"/>
      <c r="E28" s="599"/>
      <c r="F28" s="599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  <c r="V28" s="599"/>
      <c r="W28" s="599"/>
      <c r="X28" s="599"/>
    </row>
    <row r="29" spans="1:24">
      <c r="A29" s="598" t="s">
        <v>1862</v>
      </c>
      <c r="B29" s="599"/>
      <c r="C29" s="599"/>
      <c r="D29" s="599"/>
      <c r="E29" s="599"/>
      <c r="F29" s="599"/>
      <c r="G29" s="599"/>
      <c r="H29" s="599"/>
      <c r="I29" s="599"/>
      <c r="J29" s="703">
        <f>VLOOKUP(D36,ALLOCTABLE,2)/100</f>
        <v>1</v>
      </c>
      <c r="K29" s="599"/>
      <c r="L29" s="599"/>
      <c r="M29" s="599"/>
      <c r="N29" s="599"/>
      <c r="O29" s="599"/>
      <c r="P29" s="599"/>
      <c r="Q29" s="599"/>
      <c r="R29" s="599"/>
      <c r="S29" s="599"/>
      <c r="T29" s="599"/>
      <c r="U29" s="599"/>
      <c r="V29" s="599"/>
      <c r="W29" s="599"/>
      <c r="X29" s="599"/>
    </row>
    <row r="30" spans="1:24">
      <c r="A30" s="599"/>
      <c r="B30" s="599"/>
      <c r="C30" s="599"/>
      <c r="D30" s="599"/>
      <c r="E30" s="599"/>
      <c r="F30" s="599"/>
      <c r="G30" s="599"/>
      <c r="H30" s="599"/>
      <c r="I30" s="599"/>
      <c r="J30" s="704"/>
      <c r="K30" s="599"/>
      <c r="L30" s="599"/>
      <c r="M30" s="599"/>
      <c r="N30" s="599"/>
      <c r="O30" s="599"/>
      <c r="P30" s="599"/>
      <c r="Q30" s="599"/>
      <c r="R30" s="599"/>
      <c r="S30" s="599"/>
      <c r="T30" s="599"/>
      <c r="U30" s="599"/>
      <c r="V30" s="599"/>
      <c r="W30" s="599"/>
      <c r="X30" s="599"/>
    </row>
    <row r="31" spans="1:24">
      <c r="A31" s="599"/>
      <c r="B31" s="599"/>
      <c r="C31" s="599"/>
      <c r="D31" s="599"/>
      <c r="E31" s="599"/>
      <c r="F31" s="599"/>
      <c r="G31" s="599"/>
      <c r="H31" s="599"/>
      <c r="I31" s="599"/>
      <c r="J31" s="599"/>
      <c r="K31" s="599"/>
      <c r="L31" s="599"/>
      <c r="M31" s="599"/>
      <c r="N31" s="599"/>
      <c r="O31" s="599"/>
      <c r="P31" s="599"/>
      <c r="Q31" s="599"/>
      <c r="R31" s="599"/>
      <c r="S31" s="599"/>
      <c r="T31" s="599"/>
      <c r="U31" s="599"/>
      <c r="V31" s="599"/>
      <c r="W31" s="599"/>
      <c r="X31" s="599"/>
    </row>
    <row r="32" spans="1:24" ht="15">
      <c r="A32" s="598" t="s">
        <v>1863</v>
      </c>
      <c r="B32" s="599"/>
      <c r="C32" s="599"/>
      <c r="D32" s="599"/>
      <c r="E32" s="599"/>
      <c r="F32" s="598" t="s">
        <v>1876</v>
      </c>
      <c r="G32" s="599"/>
      <c r="H32" s="599"/>
      <c r="I32" s="704"/>
      <c r="J32" s="705">
        <f>ROUND(J26*J29,0)</f>
        <v>2241625</v>
      </c>
      <c r="K32" s="599"/>
      <c r="L32" s="599"/>
      <c r="M32" s="599"/>
      <c r="N32" s="599"/>
      <c r="O32" s="599"/>
      <c r="P32" s="599"/>
      <c r="Q32" s="599"/>
      <c r="R32" s="599"/>
      <c r="S32" s="599"/>
      <c r="T32" s="599"/>
      <c r="U32" s="599"/>
      <c r="V32" s="599"/>
      <c r="W32" s="599"/>
      <c r="X32" s="599"/>
    </row>
    <row r="33" spans="1:24">
      <c r="A33" s="599"/>
      <c r="B33" s="599"/>
      <c r="C33" s="599"/>
      <c r="D33" s="599"/>
      <c r="E33" s="599"/>
      <c r="F33" s="599"/>
      <c r="G33" s="599"/>
      <c r="H33" s="599"/>
      <c r="I33" s="599"/>
      <c r="J33" s="704"/>
      <c r="K33" s="599"/>
      <c r="L33" s="599"/>
      <c r="M33" s="599"/>
      <c r="N33" s="599"/>
      <c r="O33" s="599"/>
      <c r="P33" s="599"/>
      <c r="Q33" s="599"/>
      <c r="R33" s="599"/>
      <c r="S33" s="599"/>
      <c r="T33" s="599"/>
      <c r="U33" s="599"/>
      <c r="V33" s="599"/>
      <c r="W33" s="599"/>
      <c r="X33" s="599"/>
    </row>
    <row r="34" spans="1:24">
      <c r="A34" s="599"/>
      <c r="B34" s="599"/>
      <c r="C34" s="599"/>
      <c r="D34" s="599"/>
      <c r="E34" s="599"/>
      <c r="F34" s="599"/>
      <c r="G34" s="599"/>
      <c r="H34" s="599"/>
      <c r="I34" s="599"/>
      <c r="J34" s="599"/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  <c r="W34" s="599"/>
      <c r="X34" s="599"/>
    </row>
    <row r="35" spans="1:24">
      <c r="A35" s="599"/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599"/>
      <c r="O35" s="599"/>
      <c r="P35" s="599"/>
      <c r="Q35" s="599"/>
      <c r="R35" s="599"/>
      <c r="S35" s="599"/>
      <c r="T35" s="599"/>
      <c r="U35" s="599"/>
      <c r="V35" s="599"/>
      <c r="W35" s="599"/>
      <c r="X35" s="599"/>
    </row>
    <row r="36" spans="1:24">
      <c r="A36" s="598" t="s">
        <v>1864</v>
      </c>
      <c r="B36" s="599"/>
      <c r="C36" s="599"/>
      <c r="D36" s="966" t="s">
        <v>428</v>
      </c>
      <c r="E36" s="599"/>
      <c r="F36" s="599"/>
      <c r="G36" s="599"/>
      <c r="H36" s="599"/>
      <c r="I36" s="599"/>
      <c r="J36" s="599"/>
      <c r="K36" s="599"/>
      <c r="L36" s="599"/>
      <c r="M36" s="599"/>
      <c r="N36" s="599"/>
      <c r="O36" s="599"/>
      <c r="P36" s="599"/>
      <c r="Q36" s="599"/>
      <c r="R36" s="599"/>
      <c r="S36" s="599"/>
      <c r="T36" s="599"/>
      <c r="U36" s="599"/>
      <c r="V36" s="599"/>
      <c r="W36" s="599"/>
      <c r="X36" s="599"/>
    </row>
    <row r="37" spans="1:24">
      <c r="A37" s="598"/>
      <c r="B37" s="599"/>
      <c r="C37" s="599"/>
      <c r="D37" s="599"/>
      <c r="E37" s="599"/>
      <c r="F37" s="599"/>
      <c r="G37" s="599"/>
      <c r="H37" s="599"/>
      <c r="I37" s="599"/>
      <c r="J37" s="599"/>
      <c r="K37" s="599"/>
      <c r="L37" s="599"/>
      <c r="M37" s="599"/>
      <c r="N37" s="599"/>
      <c r="O37" s="599"/>
      <c r="P37" s="599"/>
      <c r="Q37" s="599"/>
      <c r="R37" s="599"/>
      <c r="S37" s="599"/>
      <c r="T37" s="599"/>
      <c r="U37" s="599"/>
      <c r="V37" s="599"/>
      <c r="W37" s="599"/>
      <c r="X37" s="599"/>
    </row>
    <row r="38" spans="1:24">
      <c r="A38" s="599"/>
      <c r="B38" s="599"/>
      <c r="C38" s="599"/>
      <c r="D38" s="599"/>
      <c r="E38" s="599"/>
      <c r="F38" s="599"/>
      <c r="G38" s="599"/>
      <c r="H38" s="599"/>
      <c r="I38" s="599"/>
      <c r="J38" s="59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  <c r="V38" s="599"/>
      <c r="W38" s="599"/>
      <c r="X38" s="599"/>
    </row>
    <row r="39" spans="1:24">
      <c r="A39" s="599"/>
      <c r="B39" s="599"/>
      <c r="C39" s="599"/>
      <c r="D39" s="599"/>
      <c r="E39" s="599"/>
      <c r="F39" s="599"/>
      <c r="G39" s="599"/>
      <c r="H39" s="599"/>
      <c r="I39" s="599"/>
      <c r="J39" s="599"/>
      <c r="K39" s="599"/>
      <c r="L39" s="599"/>
      <c r="M39" s="599"/>
      <c r="N39" s="599"/>
      <c r="O39" s="599"/>
      <c r="P39" s="599"/>
      <c r="Q39" s="599"/>
      <c r="R39" s="599"/>
      <c r="S39" s="599"/>
      <c r="T39" s="599"/>
      <c r="U39" s="599"/>
      <c r="V39" s="599"/>
      <c r="W39" s="599"/>
      <c r="X39" s="599"/>
    </row>
    <row r="40" spans="1:24">
      <c r="A40" s="599"/>
      <c r="B40" s="599"/>
      <c r="C40" s="599"/>
      <c r="D40" s="599"/>
      <c r="E40" s="599"/>
      <c r="F40" s="599"/>
      <c r="G40" s="599"/>
      <c r="H40" s="599"/>
      <c r="I40" s="599"/>
      <c r="J40" s="599"/>
      <c r="K40" s="599"/>
      <c r="L40" s="599"/>
      <c r="M40" s="599"/>
      <c r="N40" s="599"/>
      <c r="O40" s="599"/>
      <c r="P40" s="599"/>
      <c r="Q40" s="599"/>
      <c r="R40" s="599"/>
      <c r="S40" s="599"/>
      <c r="T40" s="599"/>
      <c r="U40" s="599"/>
      <c r="V40" s="599"/>
      <c r="W40" s="599"/>
      <c r="X40" s="599"/>
    </row>
    <row r="41" spans="1:24">
      <c r="A41" s="599"/>
      <c r="B41" s="599"/>
      <c r="C41" s="599"/>
      <c r="D41" s="599"/>
      <c r="E41" s="599"/>
      <c r="F41" s="599"/>
      <c r="G41" s="599"/>
      <c r="H41" s="599"/>
      <c r="I41" s="599"/>
      <c r="J41" s="599"/>
      <c r="K41" s="599"/>
      <c r="L41" s="599"/>
      <c r="M41" s="599"/>
      <c r="N41" s="599"/>
      <c r="O41" s="599"/>
      <c r="P41" s="599"/>
      <c r="Q41" s="599"/>
      <c r="R41" s="599"/>
      <c r="S41" s="599"/>
      <c r="T41" s="599"/>
      <c r="U41" s="599"/>
      <c r="V41" s="599"/>
      <c r="W41" s="599"/>
      <c r="X41" s="599"/>
    </row>
    <row r="42" spans="1:24">
      <c r="A42" s="599"/>
      <c r="B42" s="599"/>
      <c r="C42" s="599"/>
      <c r="D42" s="599"/>
      <c r="E42" s="599"/>
      <c r="F42" s="599"/>
      <c r="G42" s="599"/>
      <c r="H42" s="599"/>
      <c r="I42" s="599"/>
      <c r="J42" s="599"/>
      <c r="K42" s="599"/>
      <c r="L42" s="599"/>
      <c r="M42" s="599"/>
      <c r="N42" s="599"/>
      <c r="O42" s="599"/>
      <c r="P42" s="599"/>
      <c r="Q42" s="599"/>
      <c r="R42" s="599"/>
      <c r="S42" s="599"/>
      <c r="T42" s="599"/>
      <c r="U42" s="599"/>
      <c r="V42" s="599"/>
      <c r="W42" s="599"/>
      <c r="X42" s="599"/>
    </row>
    <row r="43" spans="1:24">
      <c r="A43" s="599"/>
      <c r="B43" s="599"/>
      <c r="C43" s="599"/>
      <c r="D43" s="599"/>
      <c r="E43" s="599"/>
      <c r="F43" s="599"/>
      <c r="G43" s="599"/>
      <c r="H43" s="599"/>
      <c r="I43" s="599"/>
      <c r="J43" s="599"/>
      <c r="K43" s="599"/>
      <c r="L43" s="599"/>
      <c r="M43" s="599"/>
      <c r="N43" s="599"/>
      <c r="O43" s="599"/>
      <c r="P43" s="599"/>
      <c r="Q43" s="599"/>
      <c r="R43" s="599"/>
      <c r="S43" s="599"/>
      <c r="T43" s="599"/>
      <c r="U43" s="599"/>
      <c r="V43" s="599"/>
      <c r="W43" s="599"/>
      <c r="X43" s="599"/>
    </row>
    <row r="44" spans="1:24">
      <c r="A44" s="599"/>
      <c r="B44" s="599"/>
      <c r="C44" s="599"/>
      <c r="D44" s="599"/>
      <c r="E44" s="599"/>
      <c r="F44" s="599"/>
      <c r="G44" s="599"/>
      <c r="H44" s="599"/>
      <c r="I44" s="599"/>
      <c r="J44" s="599"/>
      <c r="K44" s="599"/>
      <c r="L44" s="599"/>
      <c r="M44" s="599"/>
      <c r="N44" s="599"/>
      <c r="O44" s="599"/>
      <c r="P44" s="599"/>
      <c r="Q44" s="599"/>
      <c r="R44" s="599"/>
      <c r="S44" s="599"/>
      <c r="T44" s="599"/>
      <c r="U44" s="599"/>
      <c r="V44" s="599"/>
      <c r="W44" s="599"/>
      <c r="X44" s="599"/>
    </row>
    <row r="45" spans="1:24">
      <c r="A45" s="599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599"/>
      <c r="M45" s="599"/>
      <c r="N45" s="599"/>
      <c r="O45" s="599"/>
      <c r="P45" s="599"/>
      <c r="Q45" s="599"/>
      <c r="R45" s="599"/>
      <c r="S45" s="599"/>
      <c r="T45" s="599"/>
      <c r="U45" s="599"/>
      <c r="V45" s="599"/>
      <c r="W45" s="599"/>
      <c r="X45" s="599"/>
    </row>
    <row r="46" spans="1:24">
      <c r="A46" s="599"/>
      <c r="B46" s="599"/>
      <c r="C46" s="599"/>
      <c r="D46" s="599"/>
      <c r="E46" s="599"/>
      <c r="F46" s="599"/>
      <c r="G46" s="599"/>
      <c r="H46" s="599"/>
      <c r="I46" s="599"/>
      <c r="J46" s="599"/>
      <c r="K46" s="599"/>
      <c r="L46" s="779" t="str">
        <f>COMPANY</f>
        <v>DUKE ENERGY KENTUCKY, INC.</v>
      </c>
      <c r="M46" s="253"/>
      <c r="N46" s="253"/>
      <c r="O46" s="253"/>
      <c r="P46" s="253"/>
      <c r="Q46" s="253"/>
      <c r="S46" s="779" t="s">
        <v>1959</v>
      </c>
      <c r="T46" s="597"/>
      <c r="U46" s="599"/>
      <c r="V46" s="599"/>
      <c r="W46" s="599"/>
      <c r="X46" s="599"/>
    </row>
    <row r="47" spans="1:24">
      <c r="A47" s="599"/>
      <c r="B47" s="599"/>
      <c r="C47" s="599"/>
      <c r="D47" s="599"/>
      <c r="E47" s="599"/>
      <c r="F47" s="599"/>
      <c r="G47" s="599"/>
      <c r="H47" s="599"/>
      <c r="I47" s="599"/>
      <c r="J47" s="599"/>
      <c r="K47" s="599"/>
      <c r="L47" s="779" t="str">
        <f>DEPT</f>
        <v>ELECTRIC DEPARTMENT</v>
      </c>
      <c r="M47" s="253"/>
      <c r="N47" s="253"/>
      <c r="O47" s="253"/>
      <c r="P47" s="253"/>
      <c r="Q47" s="253"/>
      <c r="S47" s="779" t="s">
        <v>1866</v>
      </c>
      <c r="T47" s="597"/>
      <c r="U47" s="599"/>
      <c r="V47" s="599"/>
      <c r="W47" s="599"/>
      <c r="X47" s="599"/>
    </row>
    <row r="48" spans="1:24">
      <c r="A48" s="599"/>
      <c r="B48" s="599"/>
      <c r="C48" s="599"/>
      <c r="D48" s="599"/>
      <c r="E48" s="599"/>
      <c r="F48" s="599"/>
      <c r="G48" s="599"/>
      <c r="H48" s="599"/>
      <c r="I48" s="599"/>
      <c r="J48" s="599"/>
      <c r="K48" s="599"/>
      <c r="L48" s="779" t="str">
        <f>CASE</f>
        <v>CASE NO. 2024-00354</v>
      </c>
      <c r="M48" s="253"/>
      <c r="N48" s="253"/>
      <c r="O48" s="253"/>
      <c r="P48" s="253"/>
      <c r="Q48" s="253"/>
      <c r="S48" s="253" t="str">
        <f>_WIT10</f>
        <v>G. S. CARPENTER</v>
      </c>
      <c r="T48" s="597"/>
      <c r="U48" s="599"/>
      <c r="V48" s="599"/>
      <c r="W48" s="599"/>
      <c r="X48" s="599"/>
    </row>
    <row r="49" spans="1:24">
      <c r="A49" s="599"/>
      <c r="B49" s="599"/>
      <c r="C49" s="599"/>
      <c r="D49" s="599"/>
      <c r="E49" s="599"/>
      <c r="F49" s="599"/>
      <c r="G49" s="599"/>
      <c r="H49" s="599"/>
      <c r="I49" s="599"/>
      <c r="J49" s="599"/>
      <c r="K49" s="599"/>
      <c r="L49" s="779" t="s">
        <v>1960</v>
      </c>
      <c r="M49" s="253"/>
      <c r="N49" s="253"/>
      <c r="O49" s="253"/>
      <c r="P49" s="253"/>
      <c r="Q49" s="253"/>
      <c r="R49" s="961"/>
      <c r="S49" s="253"/>
      <c r="T49" s="597"/>
      <c r="U49" s="599"/>
      <c r="V49" s="599"/>
      <c r="W49" s="599"/>
      <c r="X49" s="599"/>
    </row>
    <row r="50" spans="1:24">
      <c r="A50" s="599"/>
      <c r="B50" s="599"/>
      <c r="C50" s="599"/>
      <c r="D50" s="599"/>
      <c r="E50" s="599"/>
      <c r="F50" s="599"/>
      <c r="G50" s="599"/>
      <c r="H50" s="599"/>
      <c r="I50" s="599"/>
      <c r="J50" s="599"/>
      <c r="K50" s="599"/>
      <c r="L50" s="779"/>
      <c r="M50" s="253"/>
      <c r="N50" s="253"/>
      <c r="O50" s="253"/>
      <c r="P50" s="253"/>
      <c r="Q50" s="253"/>
      <c r="R50" s="253"/>
      <c r="S50" s="253"/>
      <c r="T50" s="597"/>
      <c r="U50" s="599"/>
      <c r="V50" s="599"/>
      <c r="W50" s="599"/>
      <c r="X50" s="599"/>
    </row>
    <row r="51" spans="1:24">
      <c r="A51" s="599"/>
      <c r="B51" s="599"/>
      <c r="C51" s="599"/>
      <c r="D51" s="599"/>
      <c r="E51" s="599"/>
      <c r="F51" s="599"/>
      <c r="G51" s="599"/>
      <c r="H51" s="599"/>
      <c r="I51" s="599"/>
      <c r="J51" s="599"/>
      <c r="K51" s="599"/>
      <c r="L51" s="597"/>
      <c r="M51" s="597"/>
      <c r="N51" s="597"/>
      <c r="O51" s="597"/>
      <c r="P51" s="597"/>
      <c r="Q51" s="597"/>
      <c r="R51" s="597"/>
      <c r="S51" s="597"/>
      <c r="T51" s="597"/>
      <c r="U51" s="599"/>
      <c r="V51" s="599"/>
      <c r="W51" s="599"/>
      <c r="X51" s="599"/>
    </row>
    <row r="52" spans="1:24">
      <c r="A52" s="599"/>
      <c r="B52" s="599"/>
      <c r="C52" s="599"/>
      <c r="D52" s="599"/>
      <c r="E52" s="599"/>
      <c r="F52" s="599"/>
      <c r="G52" s="599"/>
      <c r="H52" s="599"/>
      <c r="I52" s="599"/>
      <c r="J52" s="599"/>
      <c r="K52" s="599"/>
      <c r="L52" s="597"/>
      <c r="M52" s="597"/>
      <c r="N52" s="597"/>
      <c r="O52" s="597"/>
      <c r="P52" s="597"/>
      <c r="Q52" s="597"/>
      <c r="R52" s="597"/>
      <c r="S52" s="597"/>
      <c r="T52" s="597"/>
      <c r="U52" s="599"/>
      <c r="V52" s="599"/>
      <c r="W52" s="599"/>
      <c r="X52" s="599"/>
    </row>
    <row r="53" spans="1:24">
      <c r="A53" s="599"/>
      <c r="B53" s="599"/>
      <c r="C53" s="599"/>
      <c r="D53" s="599"/>
      <c r="E53" s="599"/>
      <c r="F53" s="599"/>
      <c r="G53" s="599"/>
      <c r="H53" s="599"/>
      <c r="I53" s="599"/>
      <c r="J53" s="599"/>
      <c r="K53" s="599"/>
      <c r="L53" s="701" t="s">
        <v>573</v>
      </c>
      <c r="M53" s="701"/>
      <c r="N53" s="701"/>
      <c r="O53" s="701"/>
      <c r="P53" s="701" t="s">
        <v>13</v>
      </c>
      <c r="Q53" s="701"/>
      <c r="R53" s="701" t="s">
        <v>417</v>
      </c>
      <c r="S53" s="701"/>
      <c r="T53" s="701"/>
      <c r="U53" s="599"/>
      <c r="V53" s="599"/>
      <c r="W53" s="599"/>
      <c r="X53" s="599"/>
    </row>
    <row r="54" spans="1:24">
      <c r="A54" s="599"/>
      <c r="B54" s="599"/>
      <c r="C54" s="599"/>
      <c r="D54" s="599"/>
      <c r="E54" s="599"/>
      <c r="F54" s="599"/>
      <c r="G54" s="599"/>
      <c r="H54" s="599"/>
      <c r="I54" s="599"/>
      <c r="J54" s="599"/>
      <c r="K54" s="599"/>
      <c r="L54" s="702" t="s">
        <v>576</v>
      </c>
      <c r="M54" s="702"/>
      <c r="N54" s="702" t="s">
        <v>2</v>
      </c>
      <c r="O54" s="702"/>
      <c r="P54" s="702" t="s">
        <v>418</v>
      </c>
      <c r="Q54" s="702"/>
      <c r="R54" s="702" t="s">
        <v>418</v>
      </c>
      <c r="S54" s="702"/>
      <c r="T54" s="702" t="s">
        <v>698</v>
      </c>
      <c r="U54" s="599"/>
      <c r="V54" s="599"/>
      <c r="W54" s="599"/>
      <c r="X54" s="599"/>
    </row>
    <row r="55" spans="1:24">
      <c r="A55" s="599"/>
      <c r="B55" s="599"/>
      <c r="C55" s="599"/>
      <c r="D55" s="599"/>
      <c r="E55" s="599"/>
      <c r="F55" s="599"/>
      <c r="G55" s="599"/>
      <c r="H55" s="599"/>
      <c r="I55" s="599"/>
      <c r="J55" s="599"/>
      <c r="K55" s="599"/>
      <c r="L55" s="597"/>
      <c r="M55" s="597"/>
      <c r="N55" s="597"/>
      <c r="O55" s="597"/>
      <c r="P55" s="597"/>
      <c r="Q55" s="597"/>
      <c r="R55" s="597"/>
      <c r="S55" s="597"/>
      <c r="T55" s="597"/>
      <c r="U55" s="599"/>
      <c r="V55" s="599"/>
      <c r="W55" s="599"/>
      <c r="X55" s="599"/>
    </row>
    <row r="56" spans="1:24">
      <c r="A56" s="599"/>
      <c r="B56" s="599"/>
      <c r="C56" s="599"/>
      <c r="D56" s="599"/>
      <c r="E56" s="599"/>
      <c r="F56" s="599"/>
      <c r="G56" s="599"/>
      <c r="H56" s="599"/>
      <c r="I56" s="599"/>
      <c r="J56" s="599"/>
      <c r="K56" s="599"/>
      <c r="L56" s="701">
        <v>1</v>
      </c>
      <c r="M56" s="597"/>
      <c r="N56" s="598" t="s">
        <v>1638</v>
      </c>
      <c r="O56" s="597"/>
      <c r="P56" s="682">
        <f>SCH_C2!E42</f>
        <v>-2342</v>
      </c>
      <c r="Q56" s="597"/>
      <c r="R56" s="682">
        <f>SCH_C2!H42</f>
        <v>0</v>
      </c>
      <c r="S56" s="597"/>
      <c r="T56" s="682">
        <f>R56-P56</f>
        <v>2342</v>
      </c>
      <c r="U56" s="599"/>
      <c r="V56" s="599"/>
      <c r="W56" s="599"/>
      <c r="X56" s="599"/>
    </row>
    <row r="57" spans="1:24">
      <c r="A57" s="599"/>
      <c r="B57" s="599"/>
      <c r="C57" s="599"/>
      <c r="D57" s="599"/>
      <c r="E57" s="599"/>
      <c r="F57" s="599"/>
      <c r="G57" s="599"/>
      <c r="H57" s="599"/>
      <c r="I57" s="599"/>
      <c r="J57" s="599"/>
      <c r="K57" s="599"/>
      <c r="L57" s="701">
        <v>2</v>
      </c>
      <c r="M57" s="597"/>
      <c r="N57" s="598"/>
      <c r="O57" s="597"/>
      <c r="P57" s="597"/>
      <c r="Q57" s="597"/>
      <c r="R57" s="597"/>
      <c r="S57" s="597"/>
      <c r="T57" s="597"/>
      <c r="U57" s="599"/>
      <c r="V57" s="599"/>
      <c r="W57" s="599"/>
      <c r="X57" s="599"/>
    </row>
    <row r="58" spans="1:24">
      <c r="A58" s="599"/>
      <c r="B58" s="599"/>
      <c r="C58" s="599"/>
      <c r="D58" s="599"/>
      <c r="E58" s="599"/>
      <c r="F58" s="599"/>
      <c r="G58" s="599"/>
      <c r="H58" s="599"/>
      <c r="I58" s="599"/>
      <c r="J58" s="599"/>
      <c r="K58" s="599"/>
      <c r="L58" s="701">
        <v>3</v>
      </c>
      <c r="M58" s="597"/>
      <c r="N58" s="599" t="s">
        <v>1643</v>
      </c>
      <c r="O58" s="597"/>
      <c r="P58" s="1511">
        <f>SCH_C2!E43</f>
        <v>16081483</v>
      </c>
      <c r="Q58" s="597"/>
      <c r="R58" s="1511">
        <f>SCH_C2!H43</f>
        <v>18320766</v>
      </c>
      <c r="S58" s="597"/>
      <c r="T58" s="1511">
        <f>R58-P58</f>
        <v>2239283</v>
      </c>
      <c r="U58" s="599"/>
      <c r="V58" s="599"/>
      <c r="W58" s="599"/>
      <c r="X58" s="599"/>
    </row>
    <row r="59" spans="1:24">
      <c r="A59" s="599"/>
      <c r="B59" s="599"/>
      <c r="C59" s="599"/>
      <c r="D59" s="599"/>
      <c r="E59" s="599"/>
      <c r="F59" s="599"/>
      <c r="G59" s="599"/>
      <c r="H59" s="599"/>
      <c r="I59" s="599"/>
      <c r="J59" s="599"/>
      <c r="K59" s="599"/>
      <c r="L59" s="701">
        <v>4</v>
      </c>
      <c r="M59" s="597"/>
      <c r="N59" s="599"/>
      <c r="O59" s="597"/>
      <c r="P59" s="597"/>
      <c r="Q59" s="597"/>
      <c r="R59" s="597"/>
      <c r="S59" s="597"/>
      <c r="T59" s="597"/>
      <c r="U59" s="599"/>
      <c r="V59" s="599"/>
      <c r="W59" s="599"/>
      <c r="X59" s="599"/>
    </row>
    <row r="60" spans="1:24" ht="13.8" thickBot="1">
      <c r="A60" s="599"/>
      <c r="B60" s="599"/>
      <c r="C60" s="599"/>
      <c r="D60" s="599"/>
      <c r="E60" s="599"/>
      <c r="F60" s="599"/>
      <c r="G60" s="599"/>
      <c r="H60" s="599"/>
      <c r="I60" s="599"/>
      <c r="J60" s="599"/>
      <c r="K60" s="599"/>
      <c r="L60" s="701">
        <v>5</v>
      </c>
      <c r="M60" s="597"/>
      <c r="N60" s="1046" t="s">
        <v>1958</v>
      </c>
      <c r="O60" s="597"/>
      <c r="P60" s="1954">
        <f>SUM(P56:P58)</f>
        <v>16079141</v>
      </c>
      <c r="Q60" s="597"/>
      <c r="R60" s="1954">
        <f>SUM(R56:R58)</f>
        <v>18320766</v>
      </c>
      <c r="S60" s="597"/>
      <c r="T60" s="1954">
        <f>SUM(T56:T58)</f>
        <v>2241625</v>
      </c>
      <c r="U60" s="599"/>
      <c r="V60" s="599"/>
      <c r="W60" s="599"/>
      <c r="X60" s="599"/>
    </row>
    <row r="61" spans="1:24" ht="13.8" thickTop="1">
      <c r="A61" s="599"/>
      <c r="B61" s="599"/>
      <c r="C61" s="599"/>
      <c r="D61" s="599"/>
      <c r="E61" s="599"/>
      <c r="F61" s="599"/>
      <c r="G61" s="599"/>
      <c r="H61" s="599"/>
      <c r="I61" s="599"/>
      <c r="J61" s="599"/>
      <c r="K61" s="599"/>
      <c r="L61" s="701"/>
      <c r="M61" s="597"/>
      <c r="N61" s="597"/>
      <c r="O61" s="597"/>
      <c r="P61" s="597"/>
      <c r="Q61" s="597"/>
      <c r="R61" s="597"/>
      <c r="S61" s="597"/>
      <c r="T61" s="597"/>
      <c r="U61" s="599"/>
      <c r="V61" s="599"/>
      <c r="W61" s="599"/>
      <c r="X61" s="599"/>
    </row>
    <row r="62" spans="1:24">
      <c r="A62" s="599"/>
      <c r="B62" s="599"/>
      <c r="C62" s="599"/>
      <c r="D62" s="599"/>
      <c r="E62" s="599"/>
      <c r="F62" s="599"/>
      <c r="G62" s="599"/>
      <c r="H62" s="599"/>
      <c r="I62" s="599"/>
      <c r="J62" s="599"/>
      <c r="K62" s="599"/>
      <c r="L62" s="597"/>
      <c r="M62" s="597"/>
      <c r="N62" s="597"/>
      <c r="O62" s="597"/>
      <c r="P62" s="597"/>
      <c r="Q62" s="597"/>
      <c r="R62" s="597"/>
      <c r="S62" s="597"/>
      <c r="T62" s="597"/>
      <c r="U62" s="599"/>
      <c r="V62" s="599"/>
      <c r="W62" s="599"/>
      <c r="X62" s="599"/>
    </row>
    <row r="63" spans="1:24">
      <c r="A63" s="599"/>
      <c r="B63" s="599"/>
      <c r="C63" s="599"/>
      <c r="D63" s="599"/>
      <c r="E63" s="599"/>
      <c r="F63" s="599"/>
      <c r="G63" s="599"/>
      <c r="H63" s="599"/>
      <c r="I63" s="599"/>
      <c r="J63" s="599"/>
      <c r="K63" s="599"/>
      <c r="L63" s="597"/>
      <c r="M63" s="597"/>
      <c r="N63" s="597"/>
      <c r="O63" s="597"/>
      <c r="P63" s="597"/>
      <c r="Q63" s="597"/>
      <c r="R63" s="597"/>
      <c r="S63" s="597"/>
      <c r="T63" s="597"/>
      <c r="U63" s="599"/>
      <c r="V63" s="599"/>
      <c r="W63" s="599"/>
      <c r="X63" s="599"/>
    </row>
    <row r="64" spans="1:24">
      <c r="A64" s="599"/>
      <c r="B64" s="599"/>
      <c r="C64" s="599"/>
      <c r="D64" s="599"/>
      <c r="E64" s="599"/>
      <c r="F64" s="599"/>
      <c r="G64" s="599"/>
      <c r="H64" s="599"/>
      <c r="I64" s="599"/>
      <c r="J64" s="599"/>
      <c r="K64" s="599"/>
      <c r="L64" s="597"/>
      <c r="M64" s="597"/>
      <c r="N64" s="597"/>
      <c r="O64" s="597"/>
      <c r="P64" s="597"/>
      <c r="Q64" s="597"/>
      <c r="R64" s="597"/>
      <c r="S64" s="597"/>
      <c r="T64" s="701" t="s">
        <v>1869</v>
      </c>
      <c r="U64" s="599"/>
      <c r="V64" s="599"/>
      <c r="W64" s="599"/>
      <c r="X64" s="599"/>
    </row>
    <row r="65" spans="1:24">
      <c r="A65" s="599"/>
      <c r="B65" s="599"/>
      <c r="C65" s="599"/>
      <c r="D65" s="599"/>
      <c r="E65" s="599"/>
      <c r="F65" s="599"/>
      <c r="G65" s="599"/>
      <c r="H65" s="599"/>
      <c r="I65" s="599"/>
      <c r="J65" s="599"/>
      <c r="K65" s="599"/>
      <c r="L65" s="599"/>
      <c r="M65" s="599"/>
      <c r="N65" s="599"/>
      <c r="O65" s="599"/>
      <c r="P65" s="599"/>
      <c r="Q65" s="599"/>
      <c r="R65" s="599"/>
      <c r="S65" s="599"/>
      <c r="T65" s="599"/>
      <c r="U65" s="599"/>
      <c r="V65" s="599"/>
      <c r="W65" s="599"/>
      <c r="X65" s="599"/>
    </row>
    <row r="66" spans="1:24">
      <c r="A66" s="599"/>
      <c r="B66" s="599"/>
      <c r="C66" s="599"/>
      <c r="D66" s="599"/>
      <c r="E66" s="599"/>
      <c r="F66" s="599"/>
      <c r="G66" s="599"/>
      <c r="H66" s="599"/>
      <c r="I66" s="599"/>
      <c r="J66" s="599"/>
      <c r="K66" s="599"/>
      <c r="L66" s="599"/>
      <c r="M66" s="599"/>
      <c r="N66" s="599"/>
      <c r="O66" s="599"/>
      <c r="P66" s="599"/>
      <c r="Q66" s="599"/>
      <c r="R66" s="599"/>
      <c r="S66" s="599"/>
      <c r="T66" s="599"/>
      <c r="U66" s="599"/>
      <c r="V66" s="599"/>
      <c r="W66" s="599"/>
      <c r="X66" s="599"/>
    </row>
    <row r="67" spans="1:24">
      <c r="A67" s="599"/>
      <c r="B67" s="599"/>
      <c r="C67" s="599"/>
      <c r="D67" s="599"/>
      <c r="E67" s="599"/>
      <c r="F67" s="599"/>
      <c r="G67" s="599"/>
      <c r="H67" s="599"/>
      <c r="I67" s="599"/>
      <c r="J67" s="599"/>
      <c r="K67" s="599"/>
      <c r="L67" s="599"/>
      <c r="M67" s="599"/>
      <c r="N67" s="599"/>
      <c r="O67" s="599"/>
      <c r="P67" s="599"/>
      <c r="Q67" s="599"/>
      <c r="R67" s="1051"/>
      <c r="S67" s="599"/>
      <c r="T67" s="599"/>
      <c r="U67" s="599"/>
      <c r="V67" s="599"/>
      <c r="W67" s="599"/>
      <c r="X67" s="599"/>
    </row>
    <row r="68" spans="1:24">
      <c r="A68" s="599"/>
      <c r="B68" s="599"/>
      <c r="C68" s="599"/>
      <c r="D68" s="599"/>
      <c r="E68" s="599"/>
      <c r="F68" s="599"/>
      <c r="G68" s="599"/>
      <c r="H68" s="599"/>
      <c r="I68" s="599"/>
      <c r="J68" s="599"/>
      <c r="K68" s="599"/>
      <c r="L68" s="599"/>
      <c r="M68" s="599"/>
      <c r="N68" s="599"/>
      <c r="O68" s="599"/>
      <c r="P68" s="599"/>
      <c r="Q68" s="599"/>
      <c r="R68" s="599"/>
      <c r="S68" s="599"/>
      <c r="T68" s="599"/>
      <c r="U68" s="599"/>
      <c r="V68" s="599"/>
      <c r="W68" s="599"/>
      <c r="X68" s="599"/>
    </row>
    <row r="69" spans="1:24">
      <c r="A69" s="599"/>
      <c r="B69" s="599"/>
      <c r="C69" s="599"/>
      <c r="D69" s="599"/>
      <c r="E69" s="599"/>
      <c r="F69" s="599"/>
      <c r="G69" s="599"/>
      <c r="H69" s="599"/>
      <c r="I69" s="599"/>
      <c r="J69" s="599"/>
      <c r="K69" s="599"/>
      <c r="L69" s="599"/>
      <c r="M69" s="599"/>
      <c r="N69" s="599"/>
      <c r="O69" s="599"/>
      <c r="P69" s="599"/>
      <c r="Q69" s="599"/>
      <c r="R69" s="599"/>
      <c r="S69" s="599"/>
      <c r="T69" s="599"/>
      <c r="U69" s="599"/>
      <c r="V69" s="599"/>
      <c r="W69" s="599"/>
      <c r="X69" s="599"/>
    </row>
  </sheetData>
  <phoneticPr fontId="19" type="noConversion"/>
  <pageMargins left="1" right="0.75" top="1" bottom="0" header="0" footer="0"/>
  <pageSetup scale="82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03">
    <tabColor theme="7" tint="-0.249977111117893"/>
    <pageSetUpPr fitToPage="1"/>
  </sheetPr>
  <dimension ref="A1:W88"/>
  <sheetViews>
    <sheetView workbookViewId="0"/>
  </sheetViews>
  <sheetFormatPr defaultColWidth="8" defaultRowHeight="13.2"/>
  <cols>
    <col min="1" max="1" width="8" customWidth="1"/>
    <col min="2" max="2" width="20.44140625" customWidth="1"/>
    <col min="3" max="3" width="8" customWidth="1"/>
    <col min="4" max="4" width="10.44140625" customWidth="1"/>
    <col min="5" max="6" width="8" customWidth="1"/>
    <col min="7" max="7" width="12.44140625" customWidth="1"/>
    <col min="8" max="8" width="5.33203125" customWidth="1"/>
    <col min="9" max="9" width="18.44140625" customWidth="1"/>
    <col min="10" max="10" width="8" customWidth="1"/>
    <col min="11" max="11" width="6.44140625" customWidth="1"/>
    <col min="12" max="12" width="3.5546875" customWidth="1"/>
    <col min="13" max="13" width="15.5546875" customWidth="1"/>
    <col min="14" max="14" width="2" customWidth="1"/>
    <col min="15" max="15" width="14.5546875" customWidth="1"/>
    <col min="16" max="16" width="3.5546875" customWidth="1"/>
    <col min="17" max="17" width="16.44140625" customWidth="1"/>
    <col min="18" max="18" width="2.44140625" customWidth="1"/>
    <col min="19" max="19" width="15.5546875" customWidth="1"/>
  </cols>
  <sheetData>
    <row r="1" spans="1:23">
      <c r="A1" s="951" t="str">
        <f>LOGO!B5</f>
        <v>DUKE ENERGY KENTUCKY, INC.</v>
      </c>
      <c r="B1" s="951"/>
      <c r="C1" s="951"/>
      <c r="D1" s="951"/>
      <c r="E1" s="951"/>
      <c r="F1" s="951"/>
      <c r="G1" s="951"/>
      <c r="H1" s="951"/>
      <c r="I1" s="951"/>
      <c r="J1" s="599"/>
      <c r="K1" s="599"/>
      <c r="L1" s="599"/>
      <c r="M1" s="599"/>
      <c r="N1" s="599"/>
      <c r="O1" s="599"/>
      <c r="P1" s="599"/>
      <c r="Q1" s="599"/>
      <c r="R1" s="599"/>
      <c r="S1" s="599"/>
      <c r="T1" s="599"/>
      <c r="U1" s="599"/>
      <c r="V1" s="599"/>
      <c r="W1" s="599"/>
    </row>
    <row r="2" spans="1:23">
      <c r="A2" s="951" t="str">
        <f>LOGO!B6</f>
        <v>CASE NO. 2024-00354</v>
      </c>
      <c r="B2" s="951"/>
      <c r="C2" s="951"/>
      <c r="D2" s="951"/>
      <c r="E2" s="951"/>
      <c r="F2" s="951"/>
      <c r="G2" s="951"/>
      <c r="H2" s="951"/>
      <c r="I2" s="951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</row>
    <row r="3" spans="1:23">
      <c r="A3" s="968" t="s">
        <v>1961</v>
      </c>
      <c r="B3" s="951"/>
      <c r="C3" s="951"/>
      <c r="D3" s="951"/>
      <c r="E3" s="951"/>
      <c r="F3" s="951"/>
      <c r="G3" s="951"/>
      <c r="H3" s="951"/>
      <c r="I3" s="951"/>
      <c r="J3" s="599"/>
      <c r="K3" s="599"/>
      <c r="L3" s="599"/>
      <c r="M3" s="1686"/>
      <c r="N3" s="1686"/>
      <c r="O3" s="1686"/>
      <c r="P3" s="1686"/>
      <c r="Q3" s="1686"/>
      <c r="R3" s="599"/>
      <c r="S3" s="599"/>
      <c r="T3" s="599"/>
      <c r="U3" s="599"/>
      <c r="V3" s="599"/>
      <c r="W3" s="599"/>
    </row>
    <row r="4" spans="1:23">
      <c r="A4" s="951" t="str">
        <f>LOGO!B8</f>
        <v>FOR THE TWELVE MONTHS ENDED JUNE 30, 2026</v>
      </c>
      <c r="B4" s="951"/>
      <c r="C4" s="951"/>
      <c r="D4" s="951"/>
      <c r="E4" s="951"/>
      <c r="F4" s="951"/>
      <c r="G4" s="951"/>
      <c r="H4" s="951"/>
      <c r="I4" s="951"/>
      <c r="J4" s="599"/>
      <c r="K4" s="599"/>
      <c r="L4" s="599"/>
      <c r="M4" s="599"/>
      <c r="N4" s="599"/>
      <c r="O4" s="599"/>
      <c r="P4" s="599"/>
      <c r="Q4" s="599"/>
      <c r="R4" s="599"/>
      <c r="S4" s="599"/>
      <c r="T4" s="599"/>
      <c r="U4" s="599"/>
      <c r="V4" s="599"/>
      <c r="W4" s="599"/>
    </row>
    <row r="5" spans="1:23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  <c r="V5" s="599"/>
      <c r="W5" s="599"/>
    </row>
    <row r="6" spans="1:23">
      <c r="A6" s="599" t="str">
        <f>DataB</f>
        <v>DATA: "X" BASE PERIOD  "X" FORECASTED PERIOD</v>
      </c>
      <c r="B6" s="599"/>
      <c r="C6" s="599"/>
      <c r="D6" s="599"/>
      <c r="E6" s="599"/>
      <c r="F6" s="599"/>
      <c r="G6" s="599"/>
      <c r="H6" s="973" t="s">
        <v>1962</v>
      </c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599"/>
      <c r="V6" s="599"/>
      <c r="W6" s="599"/>
    </row>
    <row r="7" spans="1:23">
      <c r="A7" s="599" t="str">
        <f>LOGO!B15</f>
        <v xml:space="preserve">TYPE OF FILING:  "X" ORIGINAL   UPDATED    REVISED  </v>
      </c>
      <c r="B7" s="599"/>
      <c r="C7" s="599"/>
      <c r="D7" s="599"/>
      <c r="E7" s="599"/>
      <c r="F7" s="599"/>
      <c r="G7" s="599"/>
      <c r="H7" s="598" t="s">
        <v>466</v>
      </c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  <c r="U7" s="599"/>
      <c r="V7" s="599"/>
      <c r="W7" s="599"/>
    </row>
    <row r="8" spans="1:23">
      <c r="A8" s="598" t="s">
        <v>1963</v>
      </c>
      <c r="B8" s="599"/>
      <c r="C8" s="599"/>
      <c r="D8" s="599"/>
      <c r="E8" s="599"/>
      <c r="F8" s="599"/>
      <c r="G8" s="599"/>
      <c r="H8" s="598" t="s">
        <v>468</v>
      </c>
      <c r="I8" s="599"/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  <c r="U8" s="599"/>
      <c r="V8" s="599"/>
      <c r="W8" s="599"/>
    </row>
    <row r="9" spans="1:23">
      <c r="A9" s="599"/>
      <c r="B9" s="599"/>
      <c r="C9" s="599"/>
      <c r="D9" s="599"/>
      <c r="E9" s="599"/>
      <c r="F9" s="599"/>
      <c r="G9" s="599"/>
      <c r="H9" s="598" t="str">
        <f>_WIT10</f>
        <v>G. S. CARPENTER</v>
      </c>
      <c r="I9" s="599"/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  <c r="U9" s="599"/>
      <c r="V9" s="599"/>
      <c r="W9" s="599"/>
    </row>
    <row r="10" spans="1:23">
      <c r="A10" s="1372"/>
      <c r="B10" s="1372"/>
      <c r="C10" s="1372"/>
      <c r="D10" s="1372"/>
      <c r="E10" s="1372"/>
      <c r="F10" s="1372"/>
      <c r="G10" s="1372"/>
      <c r="H10" s="1372"/>
      <c r="I10" s="1372"/>
      <c r="J10" s="598"/>
      <c r="K10" s="599"/>
      <c r="L10" s="599"/>
      <c r="M10" s="599"/>
      <c r="N10" s="599"/>
      <c r="O10" s="599"/>
      <c r="P10" s="599"/>
      <c r="Q10" s="599"/>
      <c r="R10" s="599"/>
      <c r="S10" s="599"/>
      <c r="T10" s="599"/>
      <c r="U10" s="599"/>
      <c r="V10" s="599"/>
      <c r="W10" s="599"/>
    </row>
    <row r="11" spans="1:23">
      <c r="A11" s="599"/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  <c r="U11" s="599"/>
      <c r="V11" s="599"/>
      <c r="W11" s="599"/>
    </row>
    <row r="12" spans="1:23">
      <c r="A12" s="598" t="s">
        <v>1857</v>
      </c>
      <c r="B12" s="599"/>
      <c r="C12" s="599"/>
      <c r="D12" s="599"/>
      <c r="E12" s="599"/>
      <c r="F12" s="599"/>
      <c r="G12" s="974" t="s">
        <v>1964</v>
      </c>
      <c r="H12" s="599"/>
      <c r="I12" s="974" t="s">
        <v>975</v>
      </c>
      <c r="J12" s="599"/>
      <c r="K12" s="599"/>
      <c r="L12" s="599"/>
      <c r="M12" s="599"/>
      <c r="N12" s="599"/>
      <c r="O12" s="599"/>
      <c r="P12" s="599"/>
      <c r="Q12" s="599"/>
      <c r="R12" s="599"/>
      <c r="S12" s="599"/>
      <c r="T12" s="599"/>
      <c r="U12" s="599"/>
      <c r="V12" s="599"/>
      <c r="W12" s="599"/>
    </row>
    <row r="13" spans="1:23">
      <c r="A13" s="1372"/>
      <c r="B13" s="1372"/>
      <c r="C13" s="1372"/>
      <c r="D13" s="1372"/>
      <c r="E13" s="1372"/>
      <c r="F13" s="1372"/>
      <c r="G13" s="1372"/>
      <c r="H13" s="1372"/>
      <c r="I13" s="1372"/>
      <c r="J13" s="598"/>
      <c r="K13" s="599"/>
      <c r="L13" s="599"/>
      <c r="M13" s="599"/>
      <c r="N13" s="599"/>
      <c r="O13" s="599"/>
      <c r="P13" s="599"/>
      <c r="Q13" s="599"/>
      <c r="R13" s="599"/>
      <c r="S13" s="599"/>
      <c r="T13" s="599"/>
      <c r="U13" s="599"/>
      <c r="V13" s="599"/>
      <c r="W13" s="599"/>
    </row>
    <row r="14" spans="1:23">
      <c r="A14" s="599"/>
      <c r="B14" s="599"/>
      <c r="C14" s="599"/>
      <c r="D14" s="599"/>
      <c r="E14" s="599"/>
      <c r="F14" s="599"/>
      <c r="G14" s="599"/>
      <c r="H14" s="599"/>
      <c r="I14" s="974"/>
      <c r="J14" s="599"/>
      <c r="K14" s="599"/>
      <c r="L14" s="599"/>
      <c r="M14" s="599"/>
      <c r="N14" s="599"/>
      <c r="O14" s="599"/>
      <c r="P14" s="599"/>
      <c r="Q14" s="599"/>
      <c r="R14" s="599"/>
      <c r="S14" s="599"/>
      <c r="T14" s="599"/>
      <c r="U14" s="599"/>
      <c r="V14" s="599"/>
      <c r="W14" s="599"/>
    </row>
    <row r="15" spans="1:23">
      <c r="A15" s="169" t="s">
        <v>1965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  <c r="V15" s="599"/>
      <c r="W15" s="599"/>
    </row>
    <row r="16" spans="1:23">
      <c r="A16" s="169" t="s">
        <v>1874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</row>
    <row r="17" spans="1:23">
      <c r="A17" s="598"/>
      <c r="B17" s="599"/>
      <c r="C17" s="599"/>
      <c r="D17" s="599"/>
      <c r="E17" s="599"/>
      <c r="F17" s="599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  <c r="U17" s="599"/>
      <c r="V17" s="599"/>
      <c r="W17" s="599"/>
    </row>
    <row r="18" spans="1:23">
      <c r="A18" s="598"/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</row>
    <row r="19" spans="1:23">
      <c r="A19" s="598"/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</row>
    <row r="20" spans="1:23">
      <c r="A20" s="598"/>
      <c r="B20" s="599"/>
      <c r="C20" s="599"/>
      <c r="D20" s="599"/>
      <c r="E20" s="599"/>
      <c r="F20" s="599"/>
      <c r="G20" s="974"/>
      <c r="H20" s="599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  <c r="U20" s="599"/>
      <c r="V20" s="599"/>
      <c r="W20" s="599"/>
    </row>
    <row r="21" spans="1:23">
      <c r="A21" s="598" t="s">
        <v>496</v>
      </c>
      <c r="B21" s="599"/>
      <c r="C21" s="599"/>
      <c r="D21" s="599"/>
      <c r="E21" s="599"/>
      <c r="F21" s="599"/>
      <c r="G21" s="969"/>
      <c r="H21" s="59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  <c r="U21" s="599"/>
      <c r="V21" s="599"/>
      <c r="W21" s="599"/>
    </row>
    <row r="22" spans="1:23">
      <c r="A22" s="1046" t="s">
        <v>1966</v>
      </c>
      <c r="B22" s="599"/>
      <c r="C22" s="599"/>
      <c r="D22" s="599"/>
      <c r="E22" s="599"/>
      <c r="F22" s="599"/>
      <c r="G22" s="974" t="s">
        <v>1967</v>
      </c>
      <c r="H22" s="599"/>
      <c r="I22" s="682">
        <f ca="1">S70</f>
        <v>-718320</v>
      </c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  <c r="U22" s="599"/>
      <c r="V22" s="599"/>
      <c r="W22" s="599"/>
    </row>
    <row r="23" spans="1:23">
      <c r="A23" s="1046" t="s">
        <v>1968</v>
      </c>
      <c r="B23" s="599"/>
      <c r="C23" s="599"/>
      <c r="D23" s="599"/>
      <c r="E23" s="599"/>
      <c r="F23" s="599"/>
      <c r="G23" s="974" t="s">
        <v>1969</v>
      </c>
      <c r="H23" s="599"/>
      <c r="I23" s="1047">
        <f>SCH_E1!I114</f>
        <v>149202</v>
      </c>
      <c r="J23" s="599"/>
      <c r="K23" s="599"/>
      <c r="L23" s="599"/>
      <c r="M23" s="599"/>
      <c r="N23" s="599"/>
      <c r="O23" s="599"/>
      <c r="P23" s="599"/>
      <c r="Q23" s="599"/>
      <c r="R23" s="599"/>
      <c r="S23" s="599"/>
      <c r="T23" s="599"/>
      <c r="U23" s="599"/>
      <c r="V23" s="599"/>
      <c r="W23" s="599"/>
    </row>
    <row r="24" spans="1:23">
      <c r="A24" s="598"/>
      <c r="B24" s="599"/>
      <c r="C24" s="599"/>
      <c r="D24" s="599"/>
      <c r="E24" s="599"/>
      <c r="F24" s="599"/>
      <c r="G24" s="974"/>
      <c r="H24" s="599"/>
      <c r="I24" s="1047"/>
      <c r="J24" s="599"/>
      <c r="K24" s="599"/>
      <c r="L24" s="599"/>
      <c r="M24" s="599"/>
      <c r="N24" s="599"/>
      <c r="O24" s="599"/>
      <c r="P24" s="599"/>
      <c r="Q24" s="599"/>
      <c r="R24" s="599"/>
      <c r="S24" s="599"/>
      <c r="T24" s="599"/>
      <c r="U24" s="599"/>
      <c r="V24" s="599"/>
      <c r="W24" s="599"/>
    </row>
    <row r="25" spans="1:23">
      <c r="A25" s="598" t="s">
        <v>495</v>
      </c>
      <c r="B25" s="599"/>
      <c r="C25" s="599"/>
      <c r="D25" s="599"/>
      <c r="E25" s="599"/>
      <c r="F25" s="599"/>
      <c r="G25" s="974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  <c r="U25" s="599"/>
      <c r="V25" s="599"/>
      <c r="W25" s="599"/>
    </row>
    <row r="26" spans="1:23">
      <c r="A26" s="1046" t="s">
        <v>1966</v>
      </c>
      <c r="B26" s="599"/>
      <c r="C26" s="599"/>
      <c r="D26" s="599"/>
      <c r="E26" s="599"/>
      <c r="F26" s="599"/>
      <c r="G26" s="974" t="s">
        <v>1967</v>
      </c>
      <c r="H26" s="599"/>
      <c r="I26" s="682">
        <f ca="1">S71</f>
        <v>-9058377</v>
      </c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</row>
    <row r="27" spans="1:23">
      <c r="A27" s="1046" t="s">
        <v>1968</v>
      </c>
      <c r="B27" s="599"/>
      <c r="C27" s="599"/>
      <c r="D27" s="599"/>
      <c r="E27" s="599"/>
      <c r="F27" s="599"/>
      <c r="G27" s="974" t="s">
        <v>1969</v>
      </c>
      <c r="H27" s="599"/>
      <c r="I27" s="1048">
        <f>SCH_E1!I136</f>
        <v>9421339</v>
      </c>
      <c r="J27" s="599"/>
      <c r="K27" s="599"/>
      <c r="L27" s="599"/>
      <c r="M27" s="599"/>
      <c r="N27" s="599"/>
      <c r="O27" s="599"/>
      <c r="P27" s="599"/>
      <c r="Q27" s="599"/>
      <c r="R27" s="599"/>
      <c r="S27" s="599"/>
      <c r="T27" s="599"/>
      <c r="U27" s="599"/>
      <c r="V27" s="599"/>
      <c r="W27" s="599"/>
    </row>
    <row r="28" spans="1:23">
      <c r="A28" s="1046" t="s">
        <v>1970</v>
      </c>
      <c r="B28" s="599"/>
      <c r="C28" s="599"/>
      <c r="D28" s="599"/>
      <c r="E28" s="599"/>
      <c r="F28" s="599"/>
      <c r="G28" s="974" t="s">
        <v>1969</v>
      </c>
      <c r="H28" s="599"/>
      <c r="I28" s="1512">
        <f>SCH_E1!I138</f>
        <v>0</v>
      </c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  <c r="V28" s="599"/>
      <c r="W28" s="599"/>
    </row>
    <row r="29" spans="1:23">
      <c r="A29" s="599"/>
      <c r="B29" s="599"/>
      <c r="C29" s="599"/>
      <c r="D29" s="599"/>
      <c r="E29" s="599"/>
      <c r="F29" s="599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599"/>
      <c r="U29" s="599"/>
      <c r="V29" s="599"/>
      <c r="W29" s="599"/>
    </row>
    <row r="30" spans="1:23">
      <c r="A30" s="598" t="s">
        <v>1971</v>
      </c>
      <c r="B30" s="599"/>
      <c r="C30" s="599"/>
      <c r="D30" s="599"/>
      <c r="E30" s="599"/>
      <c r="F30" s="599"/>
      <c r="G30" s="599"/>
      <c r="H30" s="704"/>
      <c r="I30" s="682">
        <f ca="1">SUM(I22:I28)</f>
        <v>-206156</v>
      </c>
      <c r="J30" s="599"/>
      <c r="K30" s="599"/>
      <c r="L30" s="599"/>
      <c r="M30" s="599"/>
      <c r="N30" s="599"/>
      <c r="O30" s="599"/>
      <c r="P30" s="599"/>
      <c r="Q30" s="599"/>
      <c r="R30" s="599"/>
      <c r="S30" s="599"/>
      <c r="T30" s="599"/>
      <c r="U30" s="599"/>
      <c r="V30" s="599"/>
      <c r="W30" s="599"/>
    </row>
    <row r="31" spans="1:23">
      <c r="A31" s="599"/>
      <c r="B31" s="599"/>
      <c r="C31" s="599"/>
      <c r="D31" s="599"/>
      <c r="E31" s="599"/>
      <c r="F31" s="599"/>
      <c r="G31" s="599"/>
      <c r="H31" s="599"/>
      <c r="I31" s="704"/>
      <c r="J31" s="599"/>
      <c r="K31" s="599"/>
      <c r="L31" s="599"/>
      <c r="M31" s="599"/>
      <c r="N31" s="599"/>
      <c r="O31" s="599"/>
      <c r="P31" s="599"/>
      <c r="Q31" s="599"/>
      <c r="R31" s="599"/>
      <c r="S31" s="599"/>
      <c r="T31" s="599"/>
      <c r="U31" s="599"/>
      <c r="V31" s="599"/>
      <c r="W31" s="599"/>
    </row>
    <row r="32" spans="1:23">
      <c r="A32" s="599"/>
      <c r="B32" s="599"/>
      <c r="C32" s="599"/>
      <c r="D32" s="599"/>
      <c r="E32" s="599"/>
      <c r="F32" s="599"/>
      <c r="G32" s="599"/>
      <c r="H32" s="599"/>
      <c r="I32" s="599"/>
      <c r="J32" s="599"/>
      <c r="K32" s="599"/>
      <c r="L32" s="599"/>
      <c r="M32" s="599"/>
      <c r="N32" s="599"/>
      <c r="O32" s="599"/>
      <c r="P32" s="599"/>
      <c r="Q32" s="599"/>
      <c r="R32" s="599"/>
      <c r="S32" s="599"/>
      <c r="T32" s="599"/>
      <c r="U32" s="599"/>
      <c r="V32" s="599"/>
      <c r="W32" s="599"/>
    </row>
    <row r="33" spans="1:23">
      <c r="A33" s="598" t="s">
        <v>1862</v>
      </c>
      <c r="B33" s="599"/>
      <c r="C33" s="599"/>
      <c r="D33" s="599"/>
      <c r="E33" s="599"/>
      <c r="F33" s="599"/>
      <c r="G33" s="599"/>
      <c r="H33" s="599"/>
      <c r="I33" s="1513">
        <f>VLOOKUP(D40,ALLOCTABLE,2)/100</f>
        <v>1</v>
      </c>
      <c r="J33" s="599"/>
      <c r="K33" s="599"/>
      <c r="L33" s="599"/>
      <c r="M33" s="599"/>
      <c r="N33" s="599"/>
      <c r="O33" s="599"/>
      <c r="P33" s="599"/>
      <c r="Q33" s="599"/>
      <c r="R33" s="599"/>
      <c r="S33" s="599"/>
      <c r="T33" s="599"/>
      <c r="U33" s="599"/>
      <c r="V33" s="599"/>
      <c r="W33" s="599"/>
    </row>
    <row r="34" spans="1:23">
      <c r="A34" s="599"/>
      <c r="B34" s="599"/>
      <c r="C34" s="599"/>
      <c r="D34" s="599"/>
      <c r="E34" s="599"/>
      <c r="F34" s="599"/>
      <c r="G34" s="599"/>
      <c r="H34" s="599"/>
      <c r="I34" s="704"/>
      <c r="J34" s="599"/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  <c r="W34" s="599"/>
    </row>
    <row r="35" spans="1:23">
      <c r="A35" s="599"/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599"/>
      <c r="O35" s="599"/>
      <c r="P35" s="599"/>
      <c r="Q35" s="599"/>
      <c r="R35" s="599"/>
      <c r="S35" s="599"/>
      <c r="T35" s="599"/>
      <c r="U35" s="599"/>
      <c r="V35" s="599"/>
      <c r="W35" s="599"/>
    </row>
    <row r="36" spans="1:23" ht="13.8" thickBot="1">
      <c r="A36" s="598" t="s">
        <v>1863</v>
      </c>
      <c r="B36" s="599"/>
      <c r="C36" s="599"/>
      <c r="D36" s="599"/>
      <c r="E36" s="598" t="s">
        <v>1876</v>
      </c>
      <c r="F36" s="598"/>
      <c r="G36" s="599"/>
      <c r="H36" s="704"/>
      <c r="I36" s="1955">
        <f ca="1">ROUND(I30*I33,0)</f>
        <v>-206156</v>
      </c>
      <c r="J36" s="599"/>
      <c r="K36" s="599"/>
      <c r="L36" s="599"/>
      <c r="M36" s="599"/>
      <c r="N36" s="599"/>
      <c r="O36" s="599"/>
      <c r="P36" s="599"/>
      <c r="Q36" s="599"/>
      <c r="R36" s="599"/>
      <c r="S36" s="599"/>
      <c r="T36" s="599"/>
      <c r="U36" s="599"/>
      <c r="V36" s="599"/>
      <c r="W36" s="599"/>
    </row>
    <row r="37" spans="1:23" ht="13.8" thickTop="1">
      <c r="A37" s="599"/>
      <c r="B37" s="599"/>
      <c r="C37" s="599"/>
      <c r="D37" s="599"/>
      <c r="E37" s="599"/>
      <c r="F37" s="599"/>
      <c r="G37" s="599"/>
      <c r="H37" s="599"/>
      <c r="I37" s="704"/>
      <c r="J37" s="599"/>
      <c r="K37" s="599"/>
      <c r="L37" s="599"/>
      <c r="M37" s="599"/>
      <c r="N37" s="599"/>
      <c r="O37" s="599"/>
      <c r="P37" s="599"/>
      <c r="Q37" s="599"/>
      <c r="R37" s="599"/>
      <c r="S37" s="599"/>
      <c r="T37" s="599"/>
      <c r="U37" s="599"/>
      <c r="V37" s="599"/>
      <c r="W37" s="599"/>
    </row>
    <row r="38" spans="1:23">
      <c r="A38" s="599"/>
      <c r="B38" s="599"/>
      <c r="C38" s="599"/>
      <c r="D38" s="599"/>
      <c r="E38" s="599"/>
      <c r="F38" s="599"/>
      <c r="G38" s="599"/>
      <c r="H38" s="599"/>
      <c r="I38" s="599"/>
      <c r="J38" s="59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  <c r="V38" s="599"/>
      <c r="W38" s="599"/>
    </row>
    <row r="39" spans="1:23">
      <c r="A39" s="599"/>
      <c r="B39" s="599"/>
      <c r="C39" s="599"/>
      <c r="D39" s="599"/>
      <c r="E39" s="599"/>
      <c r="F39" s="599"/>
      <c r="G39" s="599"/>
      <c r="H39" s="599"/>
      <c r="I39" s="599"/>
      <c r="J39" s="599"/>
      <c r="K39" s="599"/>
      <c r="L39" s="599"/>
      <c r="M39" s="599"/>
      <c r="N39" s="599"/>
      <c r="O39" s="599"/>
      <c r="P39" s="599"/>
      <c r="Q39" s="599"/>
      <c r="R39" s="599"/>
      <c r="S39" s="599"/>
      <c r="T39" s="599"/>
      <c r="U39" s="599"/>
      <c r="V39" s="599"/>
      <c r="W39" s="599"/>
    </row>
    <row r="40" spans="1:23">
      <c r="A40" s="598" t="s">
        <v>1864</v>
      </c>
      <c r="B40" s="599"/>
      <c r="C40" s="599"/>
      <c r="D40" s="966" t="s">
        <v>428</v>
      </c>
      <c r="E40" s="599"/>
      <c r="F40" s="599"/>
      <c r="G40" s="599"/>
      <c r="H40" s="599"/>
      <c r="I40" s="599"/>
      <c r="J40" s="599"/>
      <c r="K40" s="599"/>
      <c r="L40" s="599"/>
      <c r="M40" s="599"/>
      <c r="N40" s="599"/>
      <c r="O40" s="599"/>
      <c r="P40" s="599"/>
      <c r="Q40" s="599"/>
      <c r="R40" s="599"/>
      <c r="S40" s="599"/>
      <c r="T40" s="599"/>
      <c r="U40" s="599"/>
      <c r="V40" s="599"/>
      <c r="W40" s="599"/>
    </row>
    <row r="41" spans="1:23">
      <c r="A41" s="598"/>
      <c r="B41" s="599"/>
      <c r="C41" s="599"/>
      <c r="D41" s="599"/>
      <c r="E41" s="599"/>
      <c r="F41" s="599"/>
      <c r="G41" s="599"/>
      <c r="H41" s="599"/>
      <c r="I41" s="599"/>
      <c r="J41" s="599"/>
      <c r="K41" s="599"/>
      <c r="L41" s="599"/>
      <c r="M41" s="599"/>
      <c r="N41" s="599"/>
      <c r="O41" s="599"/>
      <c r="P41" s="599"/>
      <c r="Q41" s="599"/>
      <c r="R41" s="599"/>
      <c r="S41" s="599"/>
      <c r="T41" s="599"/>
      <c r="U41" s="599"/>
      <c r="V41" s="599"/>
      <c r="W41" s="599"/>
    </row>
    <row r="42" spans="1:23">
      <c r="A42" s="599"/>
      <c r="B42" s="599"/>
      <c r="C42" s="599"/>
      <c r="D42" s="599"/>
      <c r="E42" s="599"/>
      <c r="F42" s="599"/>
      <c r="G42" s="599"/>
      <c r="H42" s="599"/>
      <c r="I42" s="599"/>
      <c r="J42" s="599"/>
      <c r="K42" s="599"/>
      <c r="L42" s="599"/>
      <c r="M42" s="599"/>
      <c r="N42" s="599"/>
      <c r="O42" s="599"/>
      <c r="P42" s="599"/>
      <c r="Q42" s="599"/>
      <c r="R42" s="599"/>
      <c r="S42" s="599"/>
      <c r="T42" s="599"/>
      <c r="U42" s="599"/>
      <c r="V42" s="599"/>
      <c r="W42" s="599"/>
    </row>
    <row r="43" spans="1:23">
      <c r="A43" s="599"/>
      <c r="B43" s="599"/>
      <c r="C43" s="599"/>
      <c r="D43" s="599"/>
      <c r="E43" s="599"/>
      <c r="F43" s="599"/>
      <c r="G43" s="599"/>
      <c r="H43" s="599"/>
      <c r="I43" s="599"/>
      <c r="J43" s="599"/>
      <c r="K43" s="599"/>
      <c r="L43" s="599"/>
      <c r="M43" s="599"/>
      <c r="N43" s="599"/>
      <c r="O43" s="599"/>
      <c r="P43" s="599"/>
      <c r="Q43" s="599"/>
      <c r="R43" s="599"/>
      <c r="S43" s="599"/>
      <c r="T43" s="599"/>
      <c r="U43" s="599"/>
      <c r="V43" s="599"/>
      <c r="W43" s="599"/>
    </row>
    <row r="44" spans="1:23">
      <c r="A44" s="599"/>
      <c r="B44" s="599"/>
      <c r="C44" s="599"/>
      <c r="D44" s="599"/>
      <c r="E44" s="599"/>
      <c r="F44" s="599"/>
      <c r="G44" s="599"/>
      <c r="H44" s="599"/>
      <c r="I44" s="599"/>
      <c r="J44" s="599"/>
      <c r="K44" s="599"/>
      <c r="L44" s="599"/>
      <c r="M44" s="599"/>
      <c r="N44" s="599"/>
      <c r="O44" s="599"/>
      <c r="P44" s="599"/>
      <c r="Q44" s="599"/>
      <c r="R44" s="599"/>
      <c r="S44" s="599"/>
      <c r="T44" s="599"/>
      <c r="U44" s="599"/>
      <c r="V44" s="599"/>
      <c r="W44" s="599"/>
    </row>
    <row r="45" spans="1:23">
      <c r="A45" s="599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599"/>
      <c r="M45" s="599"/>
      <c r="N45" s="599"/>
      <c r="O45" s="599"/>
      <c r="P45" s="599"/>
      <c r="Q45" s="599"/>
      <c r="R45" s="599"/>
      <c r="S45" s="599"/>
      <c r="T45" s="599"/>
      <c r="U45" s="599"/>
      <c r="V45" s="599"/>
      <c r="W45" s="599"/>
    </row>
    <row r="46" spans="1:23">
      <c r="A46" s="599"/>
      <c r="B46" s="599"/>
      <c r="C46" s="599"/>
      <c r="D46" s="599"/>
      <c r="E46" s="599"/>
      <c r="F46" s="599"/>
      <c r="G46" s="599"/>
      <c r="H46" s="599"/>
      <c r="I46" s="599"/>
      <c r="J46" s="599"/>
      <c r="K46" s="599"/>
      <c r="L46" s="599"/>
      <c r="M46" s="599"/>
      <c r="N46" s="599"/>
      <c r="O46" s="599"/>
      <c r="P46" s="599"/>
      <c r="Q46" s="599"/>
      <c r="R46" s="599"/>
      <c r="S46" s="599"/>
      <c r="T46" s="599"/>
      <c r="U46" s="599"/>
      <c r="V46" s="599"/>
      <c r="W46" s="599"/>
    </row>
    <row r="47" spans="1:23">
      <c r="A47" s="599"/>
      <c r="B47" s="599"/>
      <c r="C47" s="599"/>
      <c r="D47" s="599"/>
      <c r="E47" s="599"/>
      <c r="F47" s="599"/>
      <c r="G47" s="599"/>
      <c r="H47" s="599"/>
      <c r="I47" s="599"/>
      <c r="J47" s="599"/>
      <c r="K47" s="599"/>
      <c r="L47" s="599"/>
      <c r="M47" s="599"/>
      <c r="N47" s="599"/>
      <c r="O47" s="599"/>
      <c r="P47" s="599"/>
      <c r="Q47" s="599"/>
      <c r="R47" s="599"/>
      <c r="S47" s="599"/>
      <c r="T47" s="599"/>
      <c r="U47" s="599"/>
      <c r="V47" s="599"/>
      <c r="W47" s="599"/>
    </row>
    <row r="48" spans="1:23">
      <c r="A48" s="599"/>
      <c r="B48" s="599"/>
      <c r="C48" s="599"/>
      <c r="D48" s="599"/>
      <c r="E48" s="599"/>
      <c r="F48" s="599"/>
      <c r="G48" s="599"/>
      <c r="H48" s="599"/>
      <c r="I48" s="599"/>
      <c r="J48" s="599"/>
      <c r="K48" s="599"/>
      <c r="L48" s="599"/>
      <c r="M48" s="599"/>
      <c r="N48" s="599"/>
      <c r="O48" s="599"/>
      <c r="P48" s="599"/>
      <c r="Q48" s="599"/>
      <c r="R48" s="599"/>
      <c r="S48" s="599"/>
      <c r="T48" s="599"/>
      <c r="U48" s="599"/>
      <c r="V48" s="599"/>
      <c r="W48" s="599"/>
    </row>
    <row r="49" spans="1:23">
      <c r="A49" s="599"/>
      <c r="B49" s="599"/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</row>
    <row r="50" spans="1:23">
      <c r="A50" s="599"/>
      <c r="B50" s="599"/>
      <c r="C50" s="599"/>
      <c r="D50" s="599"/>
      <c r="E50" s="599"/>
      <c r="F50" s="599"/>
      <c r="G50" s="599"/>
      <c r="H50" s="599"/>
      <c r="I50" s="599"/>
      <c r="J50" s="599"/>
      <c r="K50" s="779" t="str">
        <f>COMPANY</f>
        <v>DUKE ENERGY KENTUCKY, INC.</v>
      </c>
      <c r="L50" s="253"/>
      <c r="M50" s="253"/>
      <c r="N50" s="253"/>
      <c r="O50" s="253"/>
      <c r="P50" s="253"/>
      <c r="R50" s="779" t="s">
        <v>1967</v>
      </c>
      <c r="S50" s="597"/>
      <c r="T50" s="599"/>
      <c r="U50" s="599"/>
      <c r="V50" s="599"/>
      <c r="W50" s="599"/>
    </row>
    <row r="51" spans="1:23">
      <c r="A51" s="599"/>
      <c r="B51" s="599"/>
      <c r="C51" s="599"/>
      <c r="D51" s="599"/>
      <c r="E51" s="599"/>
      <c r="F51" s="599"/>
      <c r="G51" s="599"/>
      <c r="H51" s="599"/>
      <c r="I51" s="599"/>
      <c r="J51" s="599"/>
      <c r="K51" s="779" t="str">
        <f>DEPT</f>
        <v>ELECTRIC DEPARTMENT</v>
      </c>
      <c r="L51" s="253"/>
      <c r="M51" s="253"/>
      <c r="N51" s="253"/>
      <c r="O51" s="253"/>
      <c r="P51" s="253"/>
      <c r="R51" s="779" t="s">
        <v>1866</v>
      </c>
      <c r="S51" s="597"/>
      <c r="T51" s="599"/>
      <c r="U51" s="599"/>
      <c r="V51" s="599"/>
      <c r="W51" s="599"/>
    </row>
    <row r="52" spans="1:23">
      <c r="A52" s="599"/>
      <c r="B52" s="599"/>
      <c r="C52" s="599"/>
      <c r="D52" s="599"/>
      <c r="E52" s="599"/>
      <c r="F52" s="599"/>
      <c r="G52" s="599"/>
      <c r="H52" s="599"/>
      <c r="I52" s="599"/>
      <c r="J52" s="599"/>
      <c r="K52" s="779" t="str">
        <f>CASE</f>
        <v>CASE NO. 2024-00354</v>
      </c>
      <c r="L52" s="253"/>
      <c r="M52" s="253"/>
      <c r="N52" s="253"/>
      <c r="O52" s="253"/>
      <c r="P52" s="253"/>
      <c r="R52" s="253" t="str">
        <f>_WIT10</f>
        <v>G. S. CARPENTER</v>
      </c>
      <c r="S52" s="597"/>
      <c r="T52" s="599"/>
      <c r="U52" s="599"/>
      <c r="V52" s="599"/>
      <c r="W52" s="599"/>
    </row>
    <row r="53" spans="1:23">
      <c r="A53" s="599"/>
      <c r="B53" s="599"/>
      <c r="C53" s="599"/>
      <c r="D53" s="599"/>
      <c r="E53" s="599"/>
      <c r="F53" s="599"/>
      <c r="G53" s="599"/>
      <c r="H53" s="599"/>
      <c r="I53" s="599"/>
      <c r="J53" s="599"/>
      <c r="K53" s="779" t="s">
        <v>1972</v>
      </c>
      <c r="L53" s="253"/>
      <c r="M53" s="253"/>
      <c r="N53" s="253"/>
      <c r="O53" s="253"/>
      <c r="P53" s="253"/>
      <c r="Q53" s="961"/>
      <c r="R53" s="253"/>
      <c r="S53" s="597"/>
      <c r="T53" s="599"/>
      <c r="U53" s="599"/>
      <c r="V53" s="599"/>
      <c r="W53" s="599"/>
    </row>
    <row r="54" spans="1:23">
      <c r="A54" s="599"/>
      <c r="B54" s="599"/>
      <c r="C54" s="599"/>
      <c r="D54" s="599"/>
      <c r="E54" s="599"/>
      <c r="F54" s="599"/>
      <c r="G54" s="599"/>
      <c r="H54" s="599"/>
      <c r="I54" s="599"/>
      <c r="J54" s="599"/>
      <c r="K54" s="779"/>
      <c r="L54" s="253"/>
      <c r="M54" s="253"/>
      <c r="N54" s="253"/>
      <c r="O54" s="253"/>
      <c r="P54" s="253"/>
      <c r="Q54" s="253"/>
      <c r="R54" s="253"/>
      <c r="S54" s="597"/>
      <c r="T54" s="599"/>
      <c r="U54" s="599"/>
      <c r="V54" s="599"/>
      <c r="W54" s="599"/>
    </row>
    <row r="55" spans="1:23">
      <c r="A55" s="599"/>
      <c r="B55" s="599"/>
      <c r="C55" s="599"/>
      <c r="D55" s="599"/>
      <c r="E55" s="599"/>
      <c r="F55" s="599"/>
      <c r="G55" s="599"/>
      <c r="H55" s="599"/>
      <c r="I55" s="599"/>
      <c r="J55" s="599"/>
      <c r="K55" s="597"/>
      <c r="L55" s="597"/>
      <c r="M55" s="597"/>
      <c r="N55" s="597"/>
      <c r="O55" s="597"/>
      <c r="P55" s="597"/>
      <c r="Q55" s="597"/>
      <c r="R55" s="597"/>
      <c r="S55" s="597"/>
      <c r="T55" s="599"/>
      <c r="U55" s="599"/>
      <c r="V55" s="599"/>
      <c r="W55" s="599"/>
    </row>
    <row r="56" spans="1:23">
      <c r="A56" s="599"/>
      <c r="B56" s="599"/>
      <c r="C56" s="599"/>
      <c r="D56" s="599"/>
      <c r="E56" s="599"/>
      <c r="F56" s="599"/>
      <c r="G56" s="599"/>
      <c r="H56" s="599"/>
      <c r="I56" s="599"/>
      <c r="J56" s="599"/>
      <c r="K56" s="597"/>
      <c r="L56" s="597"/>
      <c r="M56" s="597"/>
      <c r="N56" s="597"/>
      <c r="O56" s="597"/>
      <c r="P56" s="597"/>
      <c r="Q56" s="597"/>
      <c r="R56" s="597"/>
      <c r="S56" s="597"/>
      <c r="T56" s="599"/>
      <c r="U56" s="599"/>
      <c r="V56" s="599"/>
      <c r="W56" s="599"/>
    </row>
    <row r="57" spans="1:23">
      <c r="A57" s="599"/>
      <c r="B57" s="599"/>
      <c r="C57" s="599"/>
      <c r="D57" s="599"/>
      <c r="E57" s="599"/>
      <c r="F57" s="599"/>
      <c r="G57" s="599"/>
      <c r="H57" s="599"/>
      <c r="I57" s="599"/>
      <c r="J57" s="599"/>
      <c r="K57" s="597"/>
      <c r="L57" s="597"/>
      <c r="M57" s="597"/>
      <c r="N57" s="597"/>
      <c r="O57" s="1514" t="s">
        <v>1973</v>
      </c>
      <c r="P57" s="1514"/>
      <c r="Q57" s="1514"/>
      <c r="R57" s="597"/>
      <c r="S57" s="597"/>
      <c r="T57" s="599"/>
      <c r="U57" s="599"/>
      <c r="V57" s="599"/>
      <c r="W57" s="599"/>
    </row>
    <row r="58" spans="1:23">
      <c r="A58" s="599"/>
      <c r="B58" s="599"/>
      <c r="C58" s="599"/>
      <c r="D58" s="599"/>
      <c r="E58" s="599"/>
      <c r="F58" s="599"/>
      <c r="G58" s="599"/>
      <c r="H58" s="599"/>
      <c r="I58" s="599"/>
      <c r="J58" s="599"/>
      <c r="K58" s="701" t="s">
        <v>573</v>
      </c>
      <c r="L58" s="701"/>
      <c r="M58" s="701"/>
      <c r="N58" s="701"/>
      <c r="O58" s="701" t="s">
        <v>13</v>
      </c>
      <c r="P58" s="701"/>
      <c r="Q58" s="701" t="s">
        <v>417</v>
      </c>
      <c r="R58" s="701"/>
      <c r="S58" s="701"/>
      <c r="T58" s="599"/>
      <c r="U58" s="599"/>
      <c r="V58" s="599"/>
      <c r="W58" s="599"/>
    </row>
    <row r="59" spans="1:23">
      <c r="A59" s="599"/>
      <c r="B59" s="599"/>
      <c r="C59" s="599"/>
      <c r="D59" s="599"/>
      <c r="E59" s="599"/>
      <c r="F59" s="599"/>
      <c r="G59" s="599"/>
      <c r="H59" s="599"/>
      <c r="I59" s="599"/>
      <c r="J59" s="599"/>
      <c r="K59" s="702" t="s">
        <v>576</v>
      </c>
      <c r="L59" s="702"/>
      <c r="M59" s="1049" t="s">
        <v>2</v>
      </c>
      <c r="N59" s="702"/>
      <c r="O59" s="702" t="s">
        <v>418</v>
      </c>
      <c r="P59" s="702"/>
      <c r="Q59" s="702" t="s">
        <v>418</v>
      </c>
      <c r="R59" s="702"/>
      <c r="S59" s="702" t="s">
        <v>419</v>
      </c>
      <c r="T59" s="599"/>
      <c r="U59" s="599"/>
      <c r="V59" s="599"/>
      <c r="W59" s="599"/>
    </row>
    <row r="60" spans="1:23">
      <c r="A60" s="599"/>
      <c r="B60" s="599"/>
      <c r="C60" s="599"/>
      <c r="D60" s="599"/>
      <c r="E60" s="599"/>
      <c r="F60" s="599"/>
      <c r="G60" s="599"/>
      <c r="H60" s="599"/>
      <c r="I60" s="599"/>
      <c r="J60" s="599"/>
      <c r="K60" s="701"/>
      <c r="L60" s="597"/>
      <c r="M60" s="734"/>
      <c r="N60" s="597"/>
      <c r="O60" s="599"/>
      <c r="P60" s="599"/>
      <c r="Q60" s="599"/>
      <c r="R60" s="599"/>
      <c r="S60" s="599"/>
      <c r="T60" s="599"/>
      <c r="U60" s="599"/>
      <c r="V60" s="599"/>
      <c r="W60" s="599"/>
    </row>
    <row r="61" spans="1:23">
      <c r="A61" s="599"/>
      <c r="B61" s="599"/>
      <c r="C61" s="599"/>
      <c r="D61" s="599"/>
      <c r="E61" s="599"/>
      <c r="F61" s="599"/>
      <c r="G61" s="599"/>
      <c r="H61" s="599"/>
      <c r="I61" s="599"/>
      <c r="J61" s="599"/>
      <c r="K61" s="701">
        <v>1</v>
      </c>
      <c r="L61" s="597"/>
      <c r="M61" s="734" t="s">
        <v>1974</v>
      </c>
      <c r="N61" s="597"/>
      <c r="O61" s="599"/>
      <c r="P61" s="599"/>
      <c r="Q61" s="599"/>
      <c r="R61" s="599"/>
      <c r="S61" s="599"/>
      <c r="T61" s="599"/>
      <c r="U61" s="599"/>
      <c r="V61" s="599"/>
      <c r="W61" s="599"/>
    </row>
    <row r="62" spans="1:23">
      <c r="A62" s="599"/>
      <c r="B62" s="599"/>
      <c r="C62" s="599"/>
      <c r="D62" s="599"/>
      <c r="E62" s="599"/>
      <c r="F62" s="599"/>
      <c r="G62" s="599"/>
      <c r="H62" s="599"/>
      <c r="I62" s="599"/>
      <c r="J62" s="599"/>
      <c r="K62" s="701">
        <v>2</v>
      </c>
      <c r="L62" s="597"/>
      <c r="M62" s="1046" t="s">
        <v>1690</v>
      </c>
      <c r="N62" s="597"/>
      <c r="O62" s="682">
        <f>SUM(SCH_D1!G48:O48)+SUM(SCH_D1!E110:O110)+SUM(SCH_D1!E172:I172)</f>
        <v>-1512600</v>
      </c>
      <c r="P62" s="1370" t="s">
        <v>506</v>
      </c>
      <c r="Q62" s="682">
        <f ca="1">SCH_D1!U234</f>
        <v>477485</v>
      </c>
      <c r="R62" s="597"/>
      <c r="S62" s="682">
        <f ca="1">Q62+O62</f>
        <v>-1035115</v>
      </c>
      <c r="T62" s="599"/>
      <c r="U62" s="599"/>
      <c r="V62" s="599"/>
      <c r="W62" s="599"/>
    </row>
    <row r="63" spans="1:23">
      <c r="A63" s="599"/>
      <c r="B63" s="599"/>
      <c r="C63" s="599"/>
      <c r="D63" s="599"/>
      <c r="E63" s="599"/>
      <c r="F63" s="599"/>
      <c r="G63" s="599"/>
      <c r="H63" s="599"/>
      <c r="I63" s="599"/>
      <c r="J63" s="599"/>
      <c r="K63" s="701">
        <v>3</v>
      </c>
      <c r="L63" s="597"/>
      <c r="M63" s="1046" t="s">
        <v>1975</v>
      </c>
      <c r="N63" s="597"/>
      <c r="O63" s="998">
        <f>SUM(SCH_D1!G53:O53)+SUM(SCH_D1!E115:O115)+SUM(SCH_D1!E177:I177)</f>
        <v>-6075554</v>
      </c>
      <c r="P63" s="1370" t="s">
        <v>510</v>
      </c>
      <c r="Q63" s="998">
        <f ca="1">SCH_D1!U239</f>
        <v>1917871</v>
      </c>
      <c r="R63" s="597"/>
      <c r="S63" s="998">
        <f ca="1">Q63+O63</f>
        <v>-4157683</v>
      </c>
      <c r="T63" s="599"/>
      <c r="U63" s="599"/>
      <c r="V63" s="599"/>
      <c r="W63" s="599"/>
    </row>
    <row r="64" spans="1:23">
      <c r="A64" s="599"/>
      <c r="B64" s="599"/>
      <c r="C64" s="599"/>
      <c r="D64" s="599"/>
      <c r="E64" s="599"/>
      <c r="F64" s="599"/>
      <c r="G64" s="599"/>
      <c r="H64" s="599"/>
      <c r="I64" s="599"/>
      <c r="J64" s="599"/>
      <c r="K64" s="701">
        <v>4</v>
      </c>
      <c r="L64" s="597"/>
      <c r="M64" s="598"/>
      <c r="N64" s="597"/>
      <c r="O64" s="682"/>
      <c r="P64" s="701"/>
      <c r="Q64" s="682"/>
      <c r="R64" s="597"/>
      <c r="S64" s="682"/>
      <c r="T64" s="599"/>
      <c r="U64" s="599"/>
      <c r="V64" s="599"/>
      <c r="W64" s="599"/>
    </row>
    <row r="65" spans="1:23">
      <c r="A65" s="599"/>
      <c r="B65" s="599"/>
      <c r="C65" s="599"/>
      <c r="D65" s="599"/>
      <c r="E65" s="599"/>
      <c r="F65" s="599"/>
      <c r="G65" s="599"/>
      <c r="H65" s="599"/>
      <c r="I65" s="599"/>
      <c r="J65" s="599"/>
      <c r="K65" s="701">
        <v>5</v>
      </c>
      <c r="L65" s="597"/>
      <c r="M65" s="734" t="s">
        <v>1976</v>
      </c>
      <c r="N65" s="597"/>
      <c r="O65" s="599"/>
      <c r="P65" s="974"/>
      <c r="Q65" s="599"/>
      <c r="R65" s="599"/>
      <c r="S65" s="599"/>
      <c r="T65" s="599"/>
      <c r="U65" s="599"/>
      <c r="V65" s="599"/>
      <c r="W65" s="599"/>
    </row>
    <row r="66" spans="1:23">
      <c r="A66" s="599"/>
      <c r="B66" s="599"/>
      <c r="C66" s="599"/>
      <c r="D66" s="599"/>
      <c r="E66" s="599"/>
      <c r="F66" s="599"/>
      <c r="G66" s="599"/>
      <c r="H66" s="599"/>
      <c r="I66" s="599"/>
      <c r="J66" s="599"/>
      <c r="K66" s="701">
        <v>6</v>
      </c>
      <c r="L66" s="597"/>
      <c r="M66" s="1046" t="s">
        <v>1690</v>
      </c>
      <c r="N66" s="597"/>
      <c r="O66" s="998">
        <f>SCH_E1!I82</f>
        <v>-2230920</v>
      </c>
      <c r="P66" s="1371" t="s">
        <v>519</v>
      </c>
      <c r="Q66" s="998">
        <f ca="1">SCH_E1!L82</f>
        <v>477485</v>
      </c>
      <c r="R66" s="597"/>
      <c r="S66" s="998">
        <f ca="1">Q66+O66</f>
        <v>-1753435</v>
      </c>
      <c r="T66" s="599"/>
      <c r="U66" s="599"/>
      <c r="V66" s="599"/>
      <c r="W66" s="599"/>
    </row>
    <row r="67" spans="1:23">
      <c r="A67" s="599"/>
      <c r="B67" s="599"/>
      <c r="C67" s="599"/>
      <c r="D67" s="599"/>
      <c r="E67" s="599"/>
      <c r="F67" s="599"/>
      <c r="G67" s="599"/>
      <c r="H67" s="599"/>
      <c r="I67" s="599"/>
      <c r="J67" s="599"/>
      <c r="K67" s="701">
        <v>7</v>
      </c>
      <c r="L67" s="597"/>
      <c r="M67" s="1046" t="s">
        <v>1975</v>
      </c>
      <c r="N67" s="597"/>
      <c r="O67" s="998">
        <f>SCH_E1!I129</f>
        <v>-15133931</v>
      </c>
      <c r="P67" s="1371" t="s">
        <v>911</v>
      </c>
      <c r="Q67" s="998">
        <f ca="1">SCH_E1!L129</f>
        <v>1917871</v>
      </c>
      <c r="R67" s="597"/>
      <c r="S67" s="998">
        <f ca="1">Q67+O67</f>
        <v>-13216060</v>
      </c>
      <c r="T67" s="599"/>
      <c r="U67" s="599"/>
      <c r="V67" s="599"/>
      <c r="W67" s="599"/>
    </row>
    <row r="68" spans="1:23">
      <c r="A68" s="599"/>
      <c r="B68" s="599"/>
      <c r="C68" s="599"/>
      <c r="D68" s="599"/>
      <c r="E68" s="599"/>
      <c r="F68" s="599"/>
      <c r="G68" s="599"/>
      <c r="H68" s="599"/>
      <c r="I68" s="599"/>
      <c r="J68" s="599"/>
      <c r="K68" s="701">
        <v>8</v>
      </c>
      <c r="L68" s="597"/>
      <c r="M68" s="1046"/>
      <c r="N68" s="597"/>
      <c r="O68" s="682"/>
      <c r="P68" s="701"/>
      <c r="Q68" s="682"/>
      <c r="R68" s="597"/>
      <c r="S68" s="682"/>
      <c r="T68" s="599"/>
      <c r="U68" s="599"/>
      <c r="V68" s="599"/>
      <c r="W68" s="599"/>
    </row>
    <row r="69" spans="1:23">
      <c r="A69" s="599"/>
      <c r="B69" s="599"/>
      <c r="C69" s="599"/>
      <c r="D69" s="599"/>
      <c r="E69" s="599"/>
      <c r="F69" s="599"/>
      <c r="G69" s="599"/>
      <c r="H69" s="599"/>
      <c r="I69" s="599"/>
      <c r="J69" s="599"/>
      <c r="K69" s="701">
        <v>9</v>
      </c>
      <c r="L69" s="597"/>
      <c r="M69" s="734" t="s">
        <v>1850</v>
      </c>
      <c r="N69" s="597"/>
      <c r="O69" s="597"/>
      <c r="P69" s="701"/>
      <c r="Q69" s="597"/>
      <c r="R69" s="597"/>
      <c r="S69" s="597"/>
      <c r="T69" s="599"/>
      <c r="U69" s="599"/>
      <c r="V69" s="599"/>
      <c r="W69" s="599"/>
    </row>
    <row r="70" spans="1:23">
      <c r="K70" s="701">
        <v>10</v>
      </c>
      <c r="M70" s="1046" t="s">
        <v>1690</v>
      </c>
      <c r="O70" s="998">
        <f>O66-O62</f>
        <v>-718320</v>
      </c>
      <c r="P70" s="790" t="s">
        <v>976</v>
      </c>
      <c r="Q70" s="597">
        <f ca="1">Q66-Q62</f>
        <v>0</v>
      </c>
      <c r="S70" s="998">
        <f ca="1">Q70+O70</f>
        <v>-718320</v>
      </c>
    </row>
    <row r="71" spans="1:23">
      <c r="K71" s="701">
        <v>11</v>
      </c>
      <c r="M71" s="1046" t="s">
        <v>1975</v>
      </c>
      <c r="O71" s="682">
        <f>O67-O63</f>
        <v>-9058377</v>
      </c>
      <c r="P71" s="1370" t="s">
        <v>977</v>
      </c>
      <c r="Q71" s="682">
        <f ca="1">Q67-Q63</f>
        <v>0</v>
      </c>
      <c r="R71" s="597"/>
      <c r="S71" s="682">
        <f ca="1">Q71+O71</f>
        <v>-9058377</v>
      </c>
    </row>
    <row r="75" spans="1:23">
      <c r="S75" s="10" t="s">
        <v>1869</v>
      </c>
    </row>
    <row r="76" spans="1:23">
      <c r="L76" s="812" t="s">
        <v>1479</v>
      </c>
    </row>
    <row r="77" spans="1:23">
      <c r="L77" s="1369" t="s">
        <v>506</v>
      </c>
      <c r="M77" s="29" t="s">
        <v>1977</v>
      </c>
    </row>
    <row r="78" spans="1:23">
      <c r="M78" s="29" t="s">
        <v>1978</v>
      </c>
    </row>
    <row r="79" spans="1:23">
      <c r="L79" s="1370" t="s">
        <v>510</v>
      </c>
      <c r="M79" s="29" t="s">
        <v>1979</v>
      </c>
    </row>
    <row r="80" spans="1:23">
      <c r="M80" s="29" t="s">
        <v>1978</v>
      </c>
    </row>
    <row r="81" spans="12:13">
      <c r="L81" s="1371" t="s">
        <v>519</v>
      </c>
      <c r="M81" s="29" t="s">
        <v>1980</v>
      </c>
    </row>
    <row r="82" spans="12:13">
      <c r="M82" s="29" t="s">
        <v>1981</v>
      </c>
    </row>
    <row r="83" spans="12:13">
      <c r="L83" s="1371" t="s">
        <v>911</v>
      </c>
      <c r="M83" s="29" t="s">
        <v>1982</v>
      </c>
    </row>
    <row r="84" spans="12:13">
      <c r="M84" s="29" t="s">
        <v>1981</v>
      </c>
    </row>
    <row r="85" spans="12:13">
      <c r="L85" s="790" t="s">
        <v>976</v>
      </c>
      <c r="M85" s="29" t="s">
        <v>1983</v>
      </c>
    </row>
    <row r="86" spans="12:13">
      <c r="M86" s="29" t="s">
        <v>1984</v>
      </c>
    </row>
    <row r="87" spans="12:13">
      <c r="L87" s="1370" t="s">
        <v>977</v>
      </c>
      <c r="M87" s="29" t="s">
        <v>1985</v>
      </c>
    </row>
    <row r="88" spans="12:13">
      <c r="M88" s="29" t="s">
        <v>1984</v>
      </c>
    </row>
  </sheetData>
  <phoneticPr fontId="19" type="noConversion"/>
  <pageMargins left="1" right="0.75" top="1" bottom="0" header="0" footer="0"/>
  <pageSetup scale="99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20">
    <tabColor theme="7" tint="-0.249977111117893"/>
    <pageSetUpPr fitToPage="1"/>
  </sheetPr>
  <dimension ref="A1:AA90"/>
  <sheetViews>
    <sheetView workbookViewId="0"/>
  </sheetViews>
  <sheetFormatPr defaultColWidth="8.5546875" defaultRowHeight="13.2"/>
  <cols>
    <col min="1" max="1" width="24.44140625" customWidth="1"/>
    <col min="4" max="4" width="16.44140625" customWidth="1"/>
    <col min="7" max="7" width="14.44140625" customWidth="1"/>
    <col min="9" max="9" width="7.44140625" customWidth="1"/>
    <col min="10" max="10" width="0.5546875" customWidth="1"/>
    <col min="11" max="11" width="27.5546875" customWidth="1"/>
    <col min="12" max="12" width="2.44140625" customWidth="1"/>
    <col min="13" max="13" width="15.44140625" customWidth="1"/>
    <col min="14" max="14" width="3.44140625" customWidth="1"/>
    <col min="15" max="15" width="14.44140625" customWidth="1"/>
    <col min="16" max="16" width="3.5546875" customWidth="1"/>
    <col min="17" max="17" width="13.5546875" customWidth="1"/>
    <col min="18" max="18" width="12.5546875" customWidth="1"/>
    <col min="19" max="19" width="2" customWidth="1"/>
    <col min="20" max="20" width="7.44140625" customWidth="1"/>
    <col min="21" max="21" width="1.5546875" customWidth="1"/>
    <col min="22" max="22" width="41.44140625" customWidth="1"/>
    <col min="23" max="23" width="2.5546875" customWidth="1"/>
    <col min="24" max="24" width="14.44140625" customWidth="1"/>
    <col min="25" max="25" width="4.44140625" customWidth="1"/>
    <col min="26" max="26" width="18.44140625" customWidth="1"/>
  </cols>
  <sheetData>
    <row r="1" spans="1:7">
      <c r="A1" s="125" t="str">
        <f>COMPANY</f>
        <v>DUKE ENERGY KENTUCKY, INC.</v>
      </c>
      <c r="B1" s="125"/>
      <c r="C1" s="125"/>
      <c r="D1" s="125"/>
      <c r="E1" s="125"/>
      <c r="F1" s="125"/>
      <c r="G1" s="125"/>
    </row>
    <row r="2" spans="1:7">
      <c r="A2" s="125" t="str">
        <f>CASE</f>
        <v>CASE NO. 2024-00354</v>
      </c>
      <c r="B2" s="125"/>
      <c r="C2" s="125"/>
      <c r="D2" s="125"/>
      <c r="E2" s="125"/>
      <c r="F2" s="125"/>
      <c r="G2" s="125"/>
    </row>
    <row r="3" spans="1:7">
      <c r="A3" s="805" t="s">
        <v>1986</v>
      </c>
      <c r="B3" s="125"/>
      <c r="C3" s="125"/>
      <c r="D3" s="125"/>
      <c r="E3" s="125"/>
      <c r="F3" s="125"/>
      <c r="G3" s="125"/>
    </row>
    <row r="4" spans="1:7">
      <c r="A4" s="710" t="str">
        <f>PeriodF</f>
        <v>FOR THE TWELVE MONTHS ENDED JUNE 30, 2026</v>
      </c>
      <c r="B4" s="125"/>
      <c r="C4" s="125"/>
      <c r="D4" s="125"/>
      <c r="E4" s="125"/>
      <c r="F4" s="125"/>
      <c r="G4" s="125"/>
    </row>
    <row r="5" spans="1:7">
      <c r="A5" s="252"/>
      <c r="B5" s="94"/>
      <c r="C5" s="94"/>
      <c r="D5" s="94"/>
      <c r="E5" s="94"/>
      <c r="F5" s="94"/>
      <c r="G5" s="94"/>
    </row>
    <row r="6" spans="1:7">
      <c r="A6" s="711" t="str">
        <f>DataF</f>
        <v>DATA:  BASE PERIOD  "X" FORECASTED PERIOD</v>
      </c>
      <c r="B6" s="94"/>
      <c r="C6" s="94"/>
      <c r="D6" s="94"/>
      <c r="E6" s="94"/>
      <c r="F6" s="94" t="s">
        <v>1987</v>
      </c>
      <c r="G6" s="94"/>
    </row>
    <row r="7" spans="1:7">
      <c r="A7" s="711" t="str">
        <f>Type</f>
        <v xml:space="preserve">TYPE OF FILING:  "X" ORIGINAL   UPDATED    REVISED  </v>
      </c>
      <c r="B7" s="94"/>
      <c r="C7" s="94"/>
      <c r="D7" s="94"/>
      <c r="E7" s="94"/>
      <c r="F7" s="94" t="s">
        <v>466</v>
      </c>
      <c r="G7" s="94"/>
    </row>
    <row r="8" spans="1:7">
      <c r="A8" s="220" t="s">
        <v>1988</v>
      </c>
      <c r="B8" s="94"/>
      <c r="C8" s="94"/>
      <c r="D8" s="94"/>
      <c r="E8" s="94"/>
      <c r="F8" s="94" t="s">
        <v>468</v>
      </c>
      <c r="G8" s="94"/>
    </row>
    <row r="9" spans="1:7">
      <c r="A9" s="252"/>
      <c r="B9" s="94"/>
      <c r="C9" s="94"/>
      <c r="D9" s="94"/>
      <c r="E9" s="94"/>
      <c r="F9" s="94" t="str">
        <f>_WIT10</f>
        <v>G. S. CARPENTER</v>
      </c>
      <c r="G9" s="94"/>
    </row>
    <row r="10" spans="1:7">
      <c r="A10" s="712"/>
      <c r="B10" s="98"/>
      <c r="C10" s="98"/>
      <c r="D10" s="98"/>
      <c r="E10" s="98"/>
      <c r="F10" s="98"/>
      <c r="G10" s="98"/>
    </row>
    <row r="11" spans="1:7">
      <c r="A11" s="2145"/>
      <c r="B11" s="2146"/>
      <c r="C11" s="2146"/>
      <c r="D11" s="2146"/>
      <c r="E11" s="2146"/>
      <c r="F11" s="2146"/>
      <c r="G11" s="2146"/>
    </row>
    <row r="12" spans="1:7">
      <c r="A12" s="220" t="s">
        <v>1857</v>
      </c>
      <c r="B12" s="94"/>
      <c r="C12" s="94"/>
      <c r="D12" s="94"/>
      <c r="E12" s="94"/>
      <c r="F12" s="94"/>
      <c r="G12" s="126" t="s">
        <v>975</v>
      </c>
    </row>
    <row r="13" spans="1:7">
      <c r="A13" s="712"/>
      <c r="B13" s="1515"/>
      <c r="C13" s="1515"/>
      <c r="D13" s="1515"/>
      <c r="E13" s="1515"/>
      <c r="F13" s="1515"/>
      <c r="G13" s="1515"/>
    </row>
    <row r="14" spans="1:7">
      <c r="A14" s="2145"/>
      <c r="B14" s="94"/>
      <c r="C14" s="94"/>
      <c r="D14" s="94"/>
      <c r="E14" s="94"/>
      <c r="F14" s="94"/>
      <c r="G14" s="94"/>
    </row>
    <row r="15" spans="1:7">
      <c r="A15" s="683" t="s">
        <v>1989</v>
      </c>
      <c r="B15" s="94"/>
      <c r="C15" s="94"/>
      <c r="D15" s="94"/>
      <c r="E15" s="94"/>
      <c r="F15" s="94"/>
      <c r="G15" s="94"/>
    </row>
    <row r="16" spans="1:7">
      <c r="A16" s="683" t="s">
        <v>1990</v>
      </c>
      <c r="B16" s="94"/>
      <c r="C16" s="94"/>
      <c r="D16" s="94"/>
      <c r="E16" s="94"/>
      <c r="F16" s="94"/>
      <c r="G16" s="94"/>
    </row>
    <row r="17" spans="1:9">
      <c r="A17" s="683"/>
      <c r="B17" s="94"/>
      <c r="C17" s="94"/>
      <c r="D17" s="94"/>
      <c r="E17" s="94"/>
      <c r="F17" s="94"/>
      <c r="G17" s="94"/>
    </row>
    <row r="18" spans="1:9">
      <c r="A18" s="94"/>
      <c r="B18" s="94"/>
      <c r="C18" s="94"/>
      <c r="D18" s="94"/>
      <c r="E18" s="94"/>
      <c r="F18" s="94"/>
      <c r="G18" s="94"/>
    </row>
    <row r="19" spans="1:9">
      <c r="A19" s="252" t="s">
        <v>1487</v>
      </c>
      <c r="B19" s="94"/>
      <c r="C19" s="94"/>
      <c r="D19" s="94"/>
      <c r="E19" s="94"/>
      <c r="F19" s="94"/>
      <c r="G19" s="254">
        <f>M57</f>
        <v>1714280</v>
      </c>
      <c r="H19" s="775"/>
    </row>
    <row r="20" spans="1:9">
      <c r="A20" s="252" t="s">
        <v>1991</v>
      </c>
      <c r="B20" s="94"/>
      <c r="C20" s="94"/>
      <c r="D20" s="94"/>
      <c r="E20" s="94"/>
      <c r="F20" s="94"/>
      <c r="G20" s="166">
        <f>O57</f>
        <v>0</v>
      </c>
    </row>
    <row r="21" spans="1:9">
      <c r="A21" s="252" t="s">
        <v>1414</v>
      </c>
      <c r="B21" s="94"/>
      <c r="C21" s="94"/>
      <c r="D21" s="94"/>
      <c r="E21" s="94"/>
      <c r="F21" s="94"/>
      <c r="G21" s="1404">
        <f>-Z84</f>
        <v>0</v>
      </c>
      <c r="I21" s="679"/>
    </row>
    <row r="22" spans="1:9">
      <c r="A22" s="252" t="s">
        <v>1992</v>
      </c>
      <c r="B22" s="252"/>
      <c r="C22" s="252"/>
      <c r="D22" s="252"/>
      <c r="E22" s="252"/>
      <c r="F22" s="252"/>
      <c r="G22" s="254">
        <f>SUM(G19:G21)</f>
        <v>1714280</v>
      </c>
    </row>
    <row r="23" spans="1:9">
      <c r="A23" s="252"/>
      <c r="B23" s="252"/>
      <c r="C23" s="252"/>
      <c r="D23" s="252"/>
      <c r="E23" s="252"/>
      <c r="F23" s="252"/>
      <c r="G23" s="252"/>
    </row>
    <row r="24" spans="1:9">
      <c r="A24" s="252" t="s">
        <v>1993</v>
      </c>
      <c r="B24" s="252"/>
      <c r="C24" s="252"/>
      <c r="D24" s="252"/>
      <c r="E24" s="252"/>
      <c r="F24" s="252"/>
      <c r="G24" s="713">
        <f>VLOOKUP(B36,ALLOCTABLE,2)/100</f>
        <v>1</v>
      </c>
    </row>
    <row r="25" spans="1:9">
      <c r="A25" s="252"/>
      <c r="B25" s="252"/>
      <c r="C25" s="252"/>
      <c r="D25" s="252"/>
      <c r="E25" s="252"/>
      <c r="F25" s="252"/>
      <c r="G25" s="252"/>
    </row>
    <row r="26" spans="1:9" ht="15">
      <c r="A26" s="252" t="s">
        <v>1994</v>
      </c>
      <c r="B26" s="252"/>
      <c r="C26" s="252"/>
      <c r="D26" s="255" t="s">
        <v>1995</v>
      </c>
      <c r="E26" s="252"/>
      <c r="F26" s="252"/>
      <c r="G26" s="705">
        <f>ROUND(G22*G24,0)</f>
        <v>1714280</v>
      </c>
    </row>
    <row r="27" spans="1:9">
      <c r="A27" s="252"/>
      <c r="B27" s="252"/>
      <c r="C27" s="252"/>
      <c r="D27" s="252"/>
      <c r="E27" s="252"/>
      <c r="F27" s="252"/>
      <c r="G27" s="252"/>
    </row>
    <row r="28" spans="1:9">
      <c r="A28" s="252"/>
      <c r="B28" s="252"/>
      <c r="C28" s="252"/>
      <c r="D28" s="252"/>
      <c r="E28" s="252"/>
      <c r="F28" s="252"/>
      <c r="G28" s="252"/>
    </row>
    <row r="29" spans="1:9">
      <c r="A29" s="252" t="s">
        <v>1996</v>
      </c>
      <c r="B29" s="252"/>
      <c r="C29" s="252"/>
      <c r="D29" s="252"/>
      <c r="E29" s="252"/>
      <c r="F29" s="252"/>
      <c r="G29" s="2344">
        <v>2161285</v>
      </c>
      <c r="H29" s="679"/>
    </row>
    <row r="30" spans="1:9">
      <c r="A30" s="252"/>
      <c r="B30" s="252"/>
      <c r="C30" s="252"/>
      <c r="D30" s="252"/>
      <c r="E30" s="252"/>
      <c r="F30" s="252"/>
      <c r="G30" s="252"/>
    </row>
    <row r="31" spans="1:9">
      <c r="A31" s="252" t="s">
        <v>1993</v>
      </c>
      <c r="B31" s="252"/>
      <c r="C31" s="252"/>
      <c r="D31" s="252"/>
      <c r="E31" s="252"/>
      <c r="F31" s="252"/>
      <c r="G31" s="713">
        <f>VLOOKUP(B36,ALLOCTABLE,2)/100</f>
        <v>1</v>
      </c>
    </row>
    <row r="32" spans="1:9">
      <c r="A32" s="252"/>
      <c r="B32" s="252"/>
      <c r="C32" s="252"/>
      <c r="D32" s="252"/>
      <c r="E32" s="252"/>
      <c r="F32" s="252"/>
      <c r="G32" s="252"/>
    </row>
    <row r="33" spans="1:20" ht="15">
      <c r="A33" s="252" t="s">
        <v>1994</v>
      </c>
      <c r="B33" s="252"/>
      <c r="C33" s="252"/>
      <c r="D33" s="255" t="s">
        <v>1995</v>
      </c>
      <c r="E33" s="252"/>
      <c r="F33" s="252"/>
      <c r="G33" s="705">
        <f>ROUND(G29*G31,0)</f>
        <v>2161285</v>
      </c>
    </row>
    <row r="34" spans="1:20">
      <c r="A34" s="252"/>
      <c r="B34" s="252"/>
      <c r="C34" s="252"/>
      <c r="D34" s="252"/>
      <c r="E34" s="252"/>
      <c r="F34" s="252"/>
      <c r="G34" s="252"/>
      <c r="H34" s="252"/>
    </row>
    <row r="35" spans="1:20">
      <c r="A35" s="252"/>
      <c r="B35" s="252"/>
      <c r="C35" s="252"/>
      <c r="D35" s="252"/>
      <c r="E35" s="252"/>
      <c r="F35" s="252"/>
      <c r="G35" s="252"/>
      <c r="H35" s="252"/>
    </row>
    <row r="36" spans="1:20">
      <c r="A36" s="711" t="s">
        <v>1864</v>
      </c>
      <c r="B36" s="715" t="s">
        <v>428</v>
      </c>
      <c r="C36" s="711"/>
      <c r="D36" s="252"/>
      <c r="E36" s="252"/>
      <c r="F36" s="252"/>
      <c r="G36" s="252"/>
      <c r="H36" s="252"/>
    </row>
    <row r="37" spans="1:20">
      <c r="A37" s="599"/>
      <c r="B37" s="599"/>
      <c r="C37" s="599"/>
      <c r="D37" s="599"/>
      <c r="E37" s="94"/>
      <c r="F37" s="130"/>
      <c r="G37" s="1722"/>
      <c r="K37" s="679"/>
    </row>
    <row r="38" spans="1:20">
      <c r="A38" s="598"/>
      <c r="B38" s="599"/>
      <c r="C38" s="599"/>
      <c r="D38" s="215"/>
      <c r="E38" s="94"/>
      <c r="F38" s="130"/>
      <c r="G38" s="727"/>
    </row>
    <row r="39" spans="1:20">
      <c r="A39" s="599"/>
      <c r="B39" s="599"/>
      <c r="C39" s="599"/>
      <c r="D39" s="599"/>
      <c r="E39" s="94"/>
      <c r="F39" s="94"/>
      <c r="G39" s="599"/>
    </row>
    <row r="40" spans="1:20">
      <c r="A40" s="598"/>
      <c r="B40" s="599"/>
      <c r="C40" s="599"/>
      <c r="D40" s="599"/>
      <c r="E40" s="94"/>
      <c r="F40" s="94"/>
      <c r="G40" s="703"/>
    </row>
    <row r="41" spans="1:20">
      <c r="A41" s="599"/>
      <c r="B41" s="599"/>
      <c r="C41" s="599"/>
      <c r="D41" s="599"/>
      <c r="E41" s="94"/>
      <c r="F41" s="94"/>
      <c r="G41" s="704"/>
      <c r="I41" s="252" t="str">
        <f>COMPANY</f>
        <v>DUKE ENERGY KENTUCKY, INC.</v>
      </c>
      <c r="J41" s="252"/>
      <c r="K41" s="252"/>
      <c r="L41" s="252"/>
      <c r="M41" s="252"/>
      <c r="N41" s="252"/>
      <c r="Q41" s="252" t="s">
        <v>1997</v>
      </c>
      <c r="S41" s="253"/>
      <c r="T41" s="691"/>
    </row>
    <row r="42" spans="1:20">
      <c r="A42" s="599"/>
      <c r="B42" s="599"/>
      <c r="C42" s="599"/>
      <c r="D42" s="599"/>
      <c r="E42" s="94"/>
      <c r="F42" s="94"/>
      <c r="G42" s="599"/>
      <c r="I42" s="252" t="str">
        <f>DEPT</f>
        <v>ELECTRIC DEPARTMENT</v>
      </c>
      <c r="J42" s="252"/>
      <c r="K42" s="252"/>
      <c r="L42" s="252"/>
      <c r="M42" s="252"/>
      <c r="N42" s="252"/>
      <c r="Q42" s="220" t="s">
        <v>468</v>
      </c>
      <c r="S42" s="253"/>
      <c r="T42" s="691"/>
    </row>
    <row r="43" spans="1:20" ht="15">
      <c r="A43" s="598"/>
      <c r="B43" s="599"/>
      <c r="C43" s="599"/>
      <c r="D43" s="598"/>
      <c r="E43" s="94"/>
      <c r="F43" s="94"/>
      <c r="G43" s="705"/>
      <c r="I43" s="252" t="str">
        <f>CASE</f>
        <v>CASE NO. 2024-00354</v>
      </c>
      <c r="J43" s="252"/>
      <c r="K43" s="252"/>
      <c r="L43" s="252"/>
      <c r="M43" s="252"/>
      <c r="N43" s="252"/>
      <c r="Q43" s="220" t="str">
        <f>_WIT10</f>
        <v>G. S. CARPENTER</v>
      </c>
      <c r="S43" s="253"/>
      <c r="T43" s="691"/>
    </row>
    <row r="44" spans="1:20" ht="15">
      <c r="A44" s="598"/>
      <c r="B44" s="599"/>
      <c r="C44" s="599"/>
      <c r="D44" s="598"/>
      <c r="E44" s="94"/>
      <c r="F44" s="94"/>
      <c r="G44" s="705"/>
      <c r="I44" s="1299" t="str">
        <f>A3</f>
        <v>ADJUST FORECASTED REVENUE</v>
      </c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691"/>
    </row>
    <row r="45" spans="1:20">
      <c r="I45" s="252" t="str">
        <f>PeriodF</f>
        <v>FOR THE TWELVE MONTHS ENDED JUNE 30, 2026</v>
      </c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691"/>
    </row>
    <row r="46" spans="1:20">
      <c r="I46" s="252"/>
      <c r="J46" s="252"/>
      <c r="K46" s="252"/>
      <c r="L46" s="252"/>
      <c r="M46" s="252"/>
      <c r="N46" s="256"/>
      <c r="O46" s="252"/>
      <c r="P46" s="252"/>
      <c r="Q46" s="252"/>
      <c r="R46" s="252"/>
      <c r="S46" s="252"/>
      <c r="T46" s="691"/>
    </row>
    <row r="47" spans="1:20">
      <c r="I47" s="252"/>
      <c r="J47" s="252"/>
      <c r="K47" s="252"/>
      <c r="L47" s="252"/>
      <c r="M47" s="767"/>
      <c r="N47" s="256"/>
      <c r="O47" s="252"/>
      <c r="P47" s="252"/>
      <c r="Q47" s="252"/>
      <c r="R47" s="252"/>
      <c r="S47" s="252"/>
      <c r="T47" s="691"/>
    </row>
    <row r="48" spans="1:20">
      <c r="I48" s="252"/>
      <c r="J48" s="252"/>
      <c r="K48" s="252"/>
      <c r="L48" s="252"/>
      <c r="M48" s="767"/>
      <c r="N48" s="256"/>
      <c r="O48" s="252"/>
      <c r="P48" s="252"/>
      <c r="Q48" s="252"/>
      <c r="R48" s="252"/>
      <c r="S48" s="252"/>
      <c r="T48" s="691"/>
    </row>
    <row r="49" spans="1:20">
      <c r="A49" s="721"/>
      <c r="B49" s="722"/>
      <c r="I49" s="252"/>
      <c r="J49" s="252"/>
      <c r="K49" s="255"/>
      <c r="L49" s="252"/>
      <c r="M49" s="1727"/>
      <c r="N49" s="256"/>
      <c r="O49" s="252"/>
      <c r="P49" s="252"/>
      <c r="Q49" s="252"/>
      <c r="R49" s="252"/>
      <c r="S49" s="252"/>
      <c r="T49" s="691"/>
    </row>
    <row r="50" spans="1:20">
      <c r="I50" s="255" t="s">
        <v>1998</v>
      </c>
      <c r="J50" s="252"/>
      <c r="K50" s="255"/>
      <c r="L50" s="255"/>
      <c r="M50" s="255" t="s">
        <v>13</v>
      </c>
      <c r="N50" s="255"/>
      <c r="O50" s="255" t="s">
        <v>282</v>
      </c>
      <c r="P50" s="255"/>
      <c r="Q50" s="255"/>
      <c r="R50" s="252"/>
      <c r="S50" s="252"/>
      <c r="T50" s="691"/>
    </row>
    <row r="51" spans="1:20">
      <c r="I51" s="958" t="s">
        <v>576</v>
      </c>
      <c r="J51" s="252"/>
      <c r="K51" s="958" t="s">
        <v>2</v>
      </c>
      <c r="L51" s="255"/>
      <c r="M51" s="958" t="s">
        <v>359</v>
      </c>
      <c r="N51" s="958"/>
      <c r="O51" s="958" t="s">
        <v>359</v>
      </c>
      <c r="P51" s="958"/>
      <c r="Q51" s="958" t="s">
        <v>258</v>
      </c>
      <c r="R51" s="252"/>
      <c r="S51" s="252"/>
      <c r="T51" s="691"/>
    </row>
    <row r="52" spans="1:20">
      <c r="I52" s="252"/>
      <c r="J52" s="252"/>
      <c r="K52" s="252"/>
      <c r="L52" s="252"/>
      <c r="M52" s="252"/>
      <c r="N52" s="256"/>
      <c r="O52" s="256"/>
      <c r="P52" s="256"/>
      <c r="Q52" s="255"/>
      <c r="R52" s="252"/>
      <c r="S52" s="252"/>
      <c r="T52" s="691"/>
    </row>
    <row r="53" spans="1:20">
      <c r="I53" s="255">
        <v>1</v>
      </c>
      <c r="J53" s="252"/>
      <c r="K53" s="252" t="s">
        <v>1999</v>
      </c>
      <c r="L53" s="252"/>
      <c r="M53" s="719">
        <v>303584876</v>
      </c>
      <c r="N53" s="718"/>
      <c r="O53" s="719">
        <v>147263213</v>
      </c>
      <c r="P53" s="718"/>
      <c r="Q53" s="2342">
        <f>O53+M53</f>
        <v>450848089</v>
      </c>
      <c r="R53" s="252"/>
      <c r="S53" s="252"/>
      <c r="T53" s="691"/>
    </row>
    <row r="54" spans="1:20">
      <c r="I54" s="255">
        <v>2</v>
      </c>
      <c r="J54" s="252"/>
      <c r="K54" s="1300"/>
      <c r="L54" s="255"/>
      <c r="M54" s="1302"/>
      <c r="N54" s="1302"/>
      <c r="O54" s="1302"/>
      <c r="P54" s="1302"/>
      <c r="Q54" s="1303"/>
      <c r="R54" s="252"/>
      <c r="S54" s="252"/>
      <c r="T54" s="691"/>
    </row>
    <row r="55" spans="1:20">
      <c r="I55" s="255">
        <v>3</v>
      </c>
      <c r="J55" s="252"/>
      <c r="K55" s="1300" t="s">
        <v>2000</v>
      </c>
      <c r="L55" s="252"/>
      <c r="M55" s="1304">
        <v>301870596</v>
      </c>
      <c r="N55" s="1305" t="s">
        <v>506</v>
      </c>
      <c r="O55" s="1304">
        <v>147263213</v>
      </c>
      <c r="P55" s="1305" t="s">
        <v>510</v>
      </c>
      <c r="Q55" s="2343">
        <f>O55+M55</f>
        <v>449133809</v>
      </c>
      <c r="R55" s="256"/>
      <c r="S55" s="252"/>
      <c r="T55" s="691"/>
    </row>
    <row r="56" spans="1:20">
      <c r="I56" s="255">
        <v>4</v>
      </c>
      <c r="J56" s="252"/>
      <c r="K56" s="1300"/>
      <c r="L56" s="252"/>
      <c r="M56" s="1303"/>
      <c r="N56" s="1303"/>
      <c r="O56" s="1303"/>
      <c r="P56" s="1303"/>
      <c r="Q56" s="1303"/>
      <c r="R56" s="256"/>
      <c r="S56" s="252"/>
      <c r="T56" s="691"/>
    </row>
    <row r="57" spans="1:20">
      <c r="I57" s="255">
        <v>5</v>
      </c>
      <c r="J57" s="252"/>
      <c r="K57" s="1300" t="s">
        <v>2001</v>
      </c>
      <c r="L57" s="252"/>
      <c r="M57" s="1403">
        <f>M53-M55</f>
        <v>1714280</v>
      </c>
      <c r="N57" s="1306"/>
      <c r="O57" s="1403">
        <f>O53-O55</f>
        <v>0</v>
      </c>
      <c r="P57" s="1306"/>
      <c r="Q57" s="1403">
        <f>O57+M57</f>
        <v>1714280</v>
      </c>
      <c r="R57" s="256"/>
      <c r="S57" s="252"/>
      <c r="T57" s="691"/>
    </row>
    <row r="58" spans="1:20">
      <c r="I58" s="255"/>
      <c r="J58" s="252"/>
      <c r="K58" s="1300"/>
      <c r="L58" s="252"/>
      <c r="M58" s="1303"/>
      <c r="N58" s="1303"/>
      <c r="O58" s="1303"/>
      <c r="P58" s="1303"/>
      <c r="Q58" s="1303"/>
      <c r="R58" s="256"/>
      <c r="S58" s="252"/>
      <c r="T58" s="691"/>
    </row>
    <row r="59" spans="1:20">
      <c r="I59" s="255"/>
      <c r="J59" s="252"/>
      <c r="K59" s="1300"/>
      <c r="L59" s="252"/>
      <c r="M59" s="1303"/>
      <c r="N59" s="1303"/>
      <c r="O59" s="1303"/>
      <c r="P59" s="1303"/>
      <c r="Q59" s="1303"/>
      <c r="R59" s="256"/>
      <c r="S59" s="252"/>
      <c r="T59" s="691"/>
    </row>
    <row r="60" spans="1:20">
      <c r="I60" s="255"/>
      <c r="J60" s="252"/>
      <c r="K60" s="1300"/>
      <c r="L60" s="252"/>
      <c r="M60" s="1303"/>
      <c r="N60" s="1303"/>
      <c r="O60" s="1303"/>
      <c r="P60" s="1303"/>
      <c r="Q60" s="1303"/>
      <c r="R60" s="256"/>
      <c r="S60" s="252"/>
      <c r="T60" s="691"/>
    </row>
    <row r="61" spans="1:20">
      <c r="I61" s="252"/>
      <c r="J61" s="252"/>
      <c r="K61" s="29"/>
      <c r="L61" s="252"/>
      <c r="M61" s="220"/>
      <c r="N61" s="252"/>
      <c r="O61" s="252"/>
      <c r="P61" s="252"/>
      <c r="Q61" s="708"/>
      <c r="R61" s="708"/>
      <c r="S61" s="252"/>
      <c r="T61" s="691"/>
    </row>
    <row r="62" spans="1:20">
      <c r="I62" s="252"/>
      <c r="J62" s="252"/>
      <c r="K62" s="1307" t="s">
        <v>2002</v>
      </c>
      <c r="L62" s="252"/>
      <c r="M62" s="220"/>
      <c r="N62" s="252"/>
      <c r="O62" s="252"/>
      <c r="P62" s="252"/>
      <c r="Q62" s="708"/>
      <c r="R62" s="708"/>
      <c r="S62" s="252"/>
      <c r="T62" s="691"/>
    </row>
    <row r="63" spans="1:20">
      <c r="I63" s="10"/>
      <c r="K63" s="1307" t="s">
        <v>2003</v>
      </c>
      <c r="O63" s="775"/>
      <c r="P63" s="775"/>
    </row>
    <row r="64" spans="1:20">
      <c r="K64" s="1307" t="s">
        <v>2004</v>
      </c>
    </row>
    <row r="66" spans="20:27">
      <c r="T66" s="252"/>
      <c r="U66" s="252"/>
      <c r="V66" s="252"/>
      <c r="W66" s="252"/>
      <c r="X66" s="252"/>
      <c r="Y66" s="252"/>
    </row>
    <row r="67" spans="20:27">
      <c r="T67" s="252"/>
      <c r="U67" s="252"/>
      <c r="V67" s="252"/>
      <c r="W67" s="252"/>
      <c r="X67" s="252"/>
      <c r="Y67" s="220"/>
    </row>
    <row r="68" spans="20:27">
      <c r="T68" s="252"/>
      <c r="U68" s="252"/>
      <c r="V68" s="252"/>
      <c r="W68" s="252"/>
      <c r="X68" s="252"/>
      <c r="Y68" s="220"/>
    </row>
    <row r="69" spans="20:27">
      <c r="T69" s="1299"/>
      <c r="U69" s="252"/>
      <c r="V69" s="252"/>
      <c r="W69" s="252"/>
      <c r="X69" s="252"/>
      <c r="Y69" s="252"/>
      <c r="Z69" s="252"/>
      <c r="AA69" s="252"/>
    </row>
    <row r="70" spans="20:27">
      <c r="T70" s="252"/>
      <c r="U70" s="252"/>
      <c r="V70" s="252"/>
      <c r="W70" s="252"/>
      <c r="X70" s="252"/>
      <c r="Y70" s="252"/>
      <c r="Z70" s="252"/>
      <c r="AA70" s="252"/>
    </row>
    <row r="71" spans="20:27">
      <c r="T71" s="252"/>
      <c r="U71" s="252"/>
      <c r="V71" s="252"/>
      <c r="W71" s="252"/>
      <c r="X71" s="252"/>
      <c r="Y71" s="252"/>
      <c r="Z71" s="252"/>
      <c r="AA71" s="252"/>
    </row>
    <row r="72" spans="20:27">
      <c r="T72" s="252"/>
      <c r="U72" s="252"/>
      <c r="V72" s="252"/>
      <c r="W72" s="252"/>
      <c r="X72" s="252"/>
      <c r="Y72" s="252"/>
      <c r="Z72" s="252"/>
      <c r="AA72" s="252"/>
    </row>
    <row r="73" spans="20:27">
      <c r="T73" s="252"/>
      <c r="U73" s="252"/>
      <c r="V73" s="252"/>
      <c r="W73" s="252"/>
      <c r="X73" s="252"/>
      <c r="Y73" s="252"/>
      <c r="Z73" s="252"/>
      <c r="AA73" s="252"/>
    </row>
    <row r="74" spans="20:27">
      <c r="T74" s="252"/>
      <c r="U74" s="252"/>
      <c r="V74" s="255"/>
      <c r="W74" s="252"/>
      <c r="X74" s="252"/>
      <c r="Y74" s="252"/>
      <c r="Z74" s="252"/>
      <c r="AA74" s="252"/>
    </row>
    <row r="75" spans="20:27">
      <c r="T75" s="255"/>
      <c r="U75" s="252"/>
      <c r="V75" s="255"/>
      <c r="W75" s="255"/>
      <c r="X75" s="255"/>
      <c r="Y75" s="255"/>
      <c r="Z75" s="255"/>
      <c r="AA75" s="252"/>
    </row>
    <row r="76" spans="20:27">
      <c r="T76" s="958"/>
      <c r="U76" s="252"/>
      <c r="V76" s="958"/>
      <c r="W76" s="255"/>
      <c r="Y76" s="958"/>
      <c r="Z76" s="958"/>
      <c r="AA76" s="252"/>
    </row>
    <row r="77" spans="20:27">
      <c r="T77" s="252"/>
      <c r="U77" s="252"/>
      <c r="V77" s="252"/>
      <c r="W77" s="252"/>
      <c r="Y77" s="256"/>
      <c r="Z77" s="252"/>
      <c r="AA77" s="252"/>
    </row>
    <row r="78" spans="20:27">
      <c r="T78" s="255"/>
      <c r="U78" s="252"/>
      <c r="V78" s="959"/>
      <c r="W78" s="252"/>
      <c r="Y78" s="256"/>
      <c r="Z78" s="252"/>
      <c r="AA78" s="252"/>
    </row>
    <row r="79" spans="20:27">
      <c r="T79" s="255"/>
      <c r="U79" s="252"/>
      <c r="AA79" s="252"/>
    </row>
    <row r="80" spans="20:27">
      <c r="T80" s="255"/>
      <c r="U80" s="252"/>
      <c r="V80" s="252"/>
      <c r="W80" s="252"/>
      <c r="Y80" s="718"/>
      <c r="Z80" s="719"/>
      <c r="AA80" s="252"/>
    </row>
    <row r="81" spans="20:27">
      <c r="T81" s="255"/>
      <c r="U81" s="252"/>
      <c r="V81" s="1300"/>
      <c r="W81" s="255"/>
      <c r="Y81" s="1302"/>
      <c r="Z81" s="1302"/>
      <c r="AA81" s="256"/>
    </row>
    <row r="82" spans="20:27">
      <c r="T82" s="255"/>
      <c r="U82" s="252"/>
      <c r="V82" s="1300"/>
      <c r="W82" s="252"/>
      <c r="Y82" s="1305"/>
      <c r="Z82" s="1304"/>
      <c r="AA82" s="256"/>
    </row>
    <row r="83" spans="20:27">
      <c r="T83" s="255"/>
      <c r="U83" s="252"/>
      <c r="V83" s="1300"/>
      <c r="W83" s="252"/>
      <c r="Y83" s="1303"/>
      <c r="Z83" s="1303"/>
      <c r="AA83" s="256"/>
    </row>
    <row r="84" spans="20:27">
      <c r="T84" s="255"/>
      <c r="U84" s="252"/>
      <c r="V84" s="1300"/>
      <c r="W84" s="252"/>
      <c r="Y84" s="1306"/>
      <c r="Z84" s="1403"/>
      <c r="AA84" s="256"/>
    </row>
    <row r="85" spans="20:27">
      <c r="T85" s="255"/>
      <c r="U85" s="252"/>
      <c r="V85" s="1300"/>
      <c r="W85" s="252"/>
      <c r="X85" s="1303"/>
      <c r="Y85" s="1303"/>
      <c r="Z85" s="1303"/>
      <c r="AA85" s="256"/>
    </row>
    <row r="86" spans="20:27">
      <c r="T86" s="255"/>
      <c r="U86" s="252"/>
      <c r="V86" s="1300"/>
      <c r="W86" s="252"/>
      <c r="X86" s="1303"/>
      <c r="Y86" s="1303"/>
      <c r="Z86" s="1303"/>
      <c r="AA86" s="256"/>
    </row>
    <row r="87" spans="20:27">
      <c r="T87" s="252"/>
      <c r="U87" s="252"/>
      <c r="V87" s="29"/>
      <c r="W87" s="252"/>
      <c r="X87" s="220"/>
      <c r="Y87" s="252"/>
      <c r="Z87" s="708"/>
      <c r="AA87" s="708"/>
    </row>
    <row r="88" spans="20:27">
      <c r="T88" s="252"/>
      <c r="U88" s="252"/>
      <c r="V88" s="1307"/>
      <c r="W88" s="252"/>
      <c r="X88" s="220"/>
      <c r="Y88" s="252"/>
      <c r="Z88" s="708"/>
      <c r="AA88" s="708"/>
    </row>
    <row r="89" spans="20:27">
      <c r="T89" s="10"/>
      <c r="V89" s="1307"/>
      <c r="Y89" s="775"/>
    </row>
    <row r="90" spans="20:27">
      <c r="V90" s="1307"/>
    </row>
  </sheetData>
  <pageMargins left="1" right="0.75" top="1" bottom="0.75" header="0.3" footer="0.3"/>
  <pageSetup scale="86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31">
    <tabColor theme="7" tint="-0.249977111117893"/>
    <pageSetUpPr fitToPage="1"/>
  </sheetPr>
  <dimension ref="A1:V61"/>
  <sheetViews>
    <sheetView workbookViewId="0"/>
  </sheetViews>
  <sheetFormatPr defaultColWidth="8" defaultRowHeight="13.2"/>
  <cols>
    <col min="1" max="1" width="6.44140625" customWidth="1"/>
    <col min="2" max="2" width="14.44140625" customWidth="1"/>
    <col min="3" max="3" width="8.5546875" customWidth="1"/>
    <col min="4" max="4" width="13.5546875" customWidth="1"/>
    <col min="5" max="5" width="8" customWidth="1"/>
    <col min="6" max="6" width="12" customWidth="1"/>
    <col min="7" max="8" width="8" customWidth="1"/>
    <col min="9" max="9" width="10.5546875" customWidth="1"/>
    <col min="10" max="10" width="18.5546875" customWidth="1"/>
    <col min="11" max="11" width="8" customWidth="1"/>
    <col min="12" max="12" width="7.44140625" customWidth="1"/>
    <col min="13" max="13" width="2.44140625" customWidth="1"/>
    <col min="14" max="14" width="6.44140625" customWidth="1"/>
    <col min="15" max="15" width="3" customWidth="1"/>
    <col min="16" max="16" width="26.5546875" customWidth="1"/>
    <col min="17" max="17" width="16.5546875" customWidth="1"/>
    <col min="18" max="18" width="2.5546875" customWidth="1"/>
    <col min="19" max="19" width="16.44140625" customWidth="1"/>
    <col min="20" max="20" width="12.44140625" customWidth="1"/>
    <col min="21" max="21" width="13.44140625" customWidth="1"/>
  </cols>
  <sheetData>
    <row r="1" spans="1:22">
      <c r="A1" s="1034" t="str">
        <f>LOGO!B5</f>
        <v>DUKE ENERGY KENTUCKY, INC.</v>
      </c>
      <c r="B1" s="1034"/>
      <c r="C1" s="1034"/>
      <c r="D1" s="1034"/>
      <c r="E1" s="1034"/>
      <c r="F1" s="1034"/>
      <c r="G1" s="1034"/>
      <c r="H1" s="1034"/>
      <c r="I1" s="1034"/>
      <c r="J1" s="1034"/>
      <c r="K1" s="686"/>
      <c r="L1" s="686"/>
      <c r="M1" s="686"/>
      <c r="N1" s="686"/>
      <c r="O1" s="686"/>
      <c r="P1" s="686"/>
      <c r="Q1" s="686"/>
      <c r="R1" s="686"/>
      <c r="S1" s="686"/>
      <c r="T1" s="686"/>
      <c r="U1" s="686"/>
      <c r="V1" s="686"/>
    </row>
    <row r="2" spans="1:22">
      <c r="A2" s="1034" t="str">
        <f>LOGO!B6</f>
        <v>CASE NO. 2024-00354</v>
      </c>
      <c r="B2" s="1034"/>
      <c r="C2" s="1034"/>
      <c r="D2" s="1034"/>
      <c r="E2" s="1034"/>
      <c r="F2" s="1034"/>
      <c r="G2" s="1034"/>
      <c r="H2" s="1034"/>
      <c r="I2" s="1034"/>
      <c r="J2" s="1034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</row>
    <row r="3" spans="1:22">
      <c r="A3" s="1035" t="s">
        <v>2005</v>
      </c>
      <c r="B3" s="1034"/>
      <c r="C3" s="1034"/>
      <c r="D3" s="1034"/>
      <c r="E3" s="1034"/>
      <c r="F3" s="1034"/>
      <c r="G3" s="1034"/>
      <c r="H3" s="1034"/>
      <c r="I3" s="1034"/>
      <c r="J3" s="1034"/>
      <c r="K3" s="686"/>
      <c r="L3" s="686"/>
      <c r="M3" s="686"/>
      <c r="N3" s="686"/>
      <c r="O3" s="686"/>
      <c r="P3" s="686"/>
      <c r="Q3" s="686"/>
      <c r="R3" s="686"/>
      <c r="S3" s="686"/>
      <c r="T3" s="686"/>
      <c r="U3" s="686"/>
      <c r="V3" s="686"/>
    </row>
    <row r="4" spans="1:22">
      <c r="A4" s="1034" t="str">
        <f>LOGO!B8</f>
        <v>FOR THE TWELVE MONTHS ENDED JUNE 30, 2026</v>
      </c>
      <c r="B4" s="1034"/>
      <c r="C4" s="1034"/>
      <c r="D4" s="1034"/>
      <c r="E4" s="1034"/>
      <c r="F4" s="1034"/>
      <c r="G4" s="1034"/>
      <c r="H4" s="1034"/>
      <c r="I4" s="1034"/>
      <c r="J4" s="1034"/>
      <c r="K4" s="686"/>
      <c r="L4" s="686"/>
      <c r="M4" s="686"/>
      <c r="N4" s="686"/>
      <c r="O4" s="686"/>
      <c r="P4" s="686"/>
      <c r="Q4" s="686"/>
      <c r="R4" s="686"/>
      <c r="S4" s="686"/>
      <c r="T4" s="686"/>
      <c r="U4" s="686"/>
      <c r="V4" s="686"/>
    </row>
    <row r="5" spans="1:22">
      <c r="A5" s="686"/>
      <c r="B5" s="686"/>
      <c r="C5" s="686"/>
      <c r="D5" s="686"/>
      <c r="E5" s="686"/>
      <c r="F5" s="686"/>
      <c r="G5" s="686"/>
      <c r="H5" s="686"/>
      <c r="I5" s="686"/>
      <c r="J5" s="686"/>
      <c r="K5" s="686"/>
      <c r="L5" s="686"/>
      <c r="M5" s="686"/>
      <c r="N5" s="686"/>
      <c r="O5" s="686"/>
      <c r="P5" s="686"/>
      <c r="Q5" s="686"/>
      <c r="R5" s="686"/>
      <c r="S5" s="686"/>
      <c r="T5" s="686"/>
      <c r="U5" s="686"/>
      <c r="V5" s="686"/>
    </row>
    <row r="6" spans="1:22">
      <c r="A6" s="686" t="str">
        <f>DataF</f>
        <v>DATA:  BASE PERIOD  "X" FORECASTED PERIOD</v>
      </c>
      <c r="B6" s="686"/>
      <c r="C6" s="686"/>
      <c r="D6" s="686"/>
      <c r="E6" s="686"/>
      <c r="F6" s="686"/>
      <c r="G6" s="686"/>
      <c r="H6" s="686"/>
      <c r="I6" s="1036" t="s">
        <v>2006</v>
      </c>
      <c r="J6" s="686"/>
      <c r="K6" s="686"/>
      <c r="L6" s="686"/>
      <c r="M6" s="686"/>
      <c r="N6" s="686"/>
      <c r="O6" s="686"/>
      <c r="P6" s="686"/>
      <c r="Q6" s="686"/>
      <c r="R6" s="686"/>
      <c r="S6" s="686"/>
      <c r="T6" s="686"/>
      <c r="U6" s="686"/>
      <c r="V6" s="686"/>
    </row>
    <row r="7" spans="1:22">
      <c r="A7" s="686" t="str">
        <f>LOGO!B15</f>
        <v xml:space="preserve">TYPE OF FILING:  "X" ORIGINAL   UPDATED    REVISED  </v>
      </c>
      <c r="B7" s="686"/>
      <c r="C7" s="686"/>
      <c r="D7" s="686"/>
      <c r="E7" s="686"/>
      <c r="F7" s="686"/>
      <c r="G7" s="686"/>
      <c r="H7" s="686"/>
      <c r="I7" s="1036" t="s">
        <v>466</v>
      </c>
      <c r="J7" s="686"/>
      <c r="K7" s="686"/>
      <c r="L7" s="686"/>
      <c r="M7" s="686"/>
      <c r="N7" s="686"/>
      <c r="O7" s="686"/>
      <c r="P7" s="686"/>
      <c r="Q7" s="686"/>
      <c r="R7" s="686"/>
      <c r="S7" s="686"/>
      <c r="T7" s="686"/>
      <c r="U7" s="686"/>
      <c r="V7" s="686"/>
    </row>
    <row r="8" spans="1:22">
      <c r="A8" s="1036" t="s">
        <v>2007</v>
      </c>
      <c r="B8" s="686"/>
      <c r="C8" s="686"/>
      <c r="D8" s="686"/>
      <c r="E8" s="686"/>
      <c r="F8" s="686"/>
      <c r="G8" s="686"/>
      <c r="H8" s="686"/>
      <c r="I8" s="1036" t="s">
        <v>468</v>
      </c>
      <c r="J8" s="686"/>
      <c r="K8" s="686"/>
      <c r="L8" s="686"/>
      <c r="M8" s="686"/>
      <c r="N8" s="686"/>
      <c r="O8" s="686"/>
      <c r="P8" s="686"/>
      <c r="Q8" s="686"/>
      <c r="R8" s="686"/>
      <c r="S8" s="686"/>
      <c r="T8" s="686"/>
      <c r="U8" s="686"/>
      <c r="V8" s="686"/>
    </row>
    <row r="9" spans="1:22">
      <c r="A9" s="686"/>
      <c r="B9" s="686"/>
      <c r="C9" s="686"/>
      <c r="D9" s="686"/>
      <c r="E9" s="686"/>
      <c r="F9" s="686"/>
      <c r="G9" s="686"/>
      <c r="H9" s="686"/>
      <c r="I9" s="1036" t="str">
        <f>_WIT1</f>
        <v>L. D. STEINKUHL</v>
      </c>
      <c r="J9" s="686"/>
      <c r="K9" s="686"/>
      <c r="L9" s="686"/>
      <c r="M9" s="686"/>
      <c r="N9" s="686"/>
      <c r="O9" s="686"/>
      <c r="P9" s="686"/>
      <c r="Q9" s="686"/>
      <c r="R9" s="686"/>
      <c r="S9" s="686"/>
      <c r="T9" s="686"/>
      <c r="U9" s="686"/>
      <c r="V9" s="686"/>
    </row>
    <row r="10" spans="1:22">
      <c r="A10" s="1516"/>
      <c r="B10" s="1516"/>
      <c r="C10" s="1516"/>
      <c r="D10" s="1516"/>
      <c r="E10" s="1516"/>
      <c r="F10" s="1516"/>
      <c r="G10" s="1516"/>
      <c r="H10" s="1516"/>
      <c r="I10" s="1516"/>
      <c r="J10" s="1516"/>
      <c r="K10" s="1036"/>
      <c r="L10" s="686"/>
      <c r="M10" s="686"/>
      <c r="N10" s="686"/>
      <c r="O10" s="686"/>
      <c r="P10" s="686"/>
      <c r="Q10" s="686"/>
      <c r="R10" s="686"/>
      <c r="S10" s="686"/>
      <c r="T10" s="686"/>
      <c r="U10" s="686"/>
      <c r="V10" s="686"/>
    </row>
    <row r="11" spans="1:22">
      <c r="A11" s="686"/>
      <c r="B11" s="686"/>
      <c r="C11" s="686"/>
      <c r="D11" s="686"/>
      <c r="E11" s="686"/>
      <c r="F11" s="686"/>
      <c r="G11" s="686"/>
      <c r="H11" s="686"/>
      <c r="I11" s="686"/>
      <c r="J11" s="686"/>
      <c r="K11" s="686"/>
      <c r="L11" s="686"/>
      <c r="M11" s="686"/>
      <c r="N11" s="686"/>
      <c r="O11" s="686"/>
      <c r="P11" s="686"/>
      <c r="Q11" s="686"/>
      <c r="R11" s="686"/>
      <c r="S11" s="686"/>
      <c r="T11" s="686"/>
      <c r="U11" s="686"/>
      <c r="V11" s="686"/>
    </row>
    <row r="12" spans="1:22">
      <c r="A12" s="1036" t="s">
        <v>1857</v>
      </c>
      <c r="B12" s="686"/>
      <c r="C12" s="686"/>
      <c r="D12" s="686"/>
      <c r="E12" s="686"/>
      <c r="F12" s="686"/>
      <c r="G12" s="686"/>
      <c r="H12" s="686"/>
      <c r="I12" s="686"/>
      <c r="J12" s="1037" t="s">
        <v>975</v>
      </c>
      <c r="K12" s="686"/>
      <c r="L12" s="686"/>
      <c r="M12" s="686"/>
      <c r="N12" s="686"/>
      <c r="O12" s="686"/>
      <c r="P12" s="686"/>
      <c r="Q12" s="686"/>
      <c r="R12" s="686"/>
      <c r="S12" s="686"/>
      <c r="T12" s="686"/>
      <c r="U12" s="686"/>
      <c r="V12" s="686"/>
    </row>
    <row r="13" spans="1:22">
      <c r="A13" s="1516"/>
      <c r="B13" s="1516"/>
      <c r="C13" s="1516"/>
      <c r="D13" s="1516"/>
      <c r="E13" s="1516"/>
      <c r="F13" s="1516"/>
      <c r="G13" s="1516"/>
      <c r="H13" s="1516"/>
      <c r="I13" s="1516"/>
      <c r="J13" s="1516"/>
      <c r="K13" s="1036"/>
      <c r="L13" s="686"/>
      <c r="M13" s="686"/>
      <c r="N13" s="686"/>
      <c r="O13" s="686"/>
      <c r="P13" s="686"/>
      <c r="Q13" s="686"/>
      <c r="R13" s="686"/>
      <c r="S13" s="686"/>
      <c r="T13" s="686"/>
      <c r="U13" s="686"/>
      <c r="V13" s="686"/>
    </row>
    <row r="14" spans="1:22">
      <c r="A14" s="686"/>
      <c r="B14" s="686"/>
      <c r="C14" s="686"/>
      <c r="D14" s="686"/>
      <c r="E14" s="686"/>
      <c r="F14" s="686"/>
      <c r="G14" s="686"/>
      <c r="H14" s="686"/>
      <c r="I14" s="686"/>
      <c r="J14" s="686"/>
      <c r="K14" s="686"/>
      <c r="L14" s="686"/>
      <c r="M14" s="686"/>
      <c r="N14" s="686"/>
      <c r="O14" s="686"/>
      <c r="P14" s="686"/>
      <c r="Q14" s="686"/>
      <c r="R14" s="686"/>
      <c r="S14" s="686"/>
      <c r="T14" s="686"/>
      <c r="U14" s="686"/>
      <c r="V14" s="686"/>
    </row>
    <row r="15" spans="1:22">
      <c r="A15" s="686"/>
      <c r="B15" s="686"/>
      <c r="C15" s="686"/>
      <c r="D15" s="686"/>
      <c r="E15" s="686"/>
      <c r="F15" s="686"/>
      <c r="G15" s="686"/>
      <c r="H15" s="686"/>
      <c r="I15" s="686"/>
      <c r="J15" s="686"/>
      <c r="K15" s="686"/>
      <c r="L15" s="686"/>
      <c r="M15" s="686"/>
      <c r="N15" s="686"/>
      <c r="O15" s="686"/>
      <c r="P15" s="686"/>
      <c r="Q15" s="686"/>
      <c r="R15" s="686"/>
      <c r="S15" s="686"/>
      <c r="T15" s="686"/>
      <c r="U15" s="686"/>
      <c r="V15" s="686"/>
    </row>
    <row r="16" spans="1:22">
      <c r="A16" s="1036" t="s">
        <v>2008</v>
      </c>
      <c r="B16" s="686"/>
      <c r="C16" s="686"/>
      <c r="D16" s="686"/>
      <c r="E16" s="686"/>
      <c r="F16" s="686"/>
      <c r="G16" s="686"/>
      <c r="H16" s="686"/>
      <c r="I16" s="686"/>
      <c r="J16" s="686"/>
      <c r="K16" s="686"/>
      <c r="L16" s="686"/>
      <c r="M16" s="686"/>
      <c r="N16" s="686"/>
      <c r="O16" s="686"/>
      <c r="P16" s="686"/>
      <c r="Q16" s="686"/>
      <c r="R16" s="686"/>
      <c r="S16" s="686"/>
      <c r="T16" s="686"/>
      <c r="U16" s="686"/>
      <c r="V16" s="686"/>
    </row>
    <row r="17" spans="1:22">
      <c r="A17" s="1036" t="s">
        <v>2009</v>
      </c>
      <c r="B17" s="686"/>
      <c r="C17" s="686"/>
      <c r="D17" s="686"/>
      <c r="E17" s="686"/>
      <c r="F17" s="686"/>
      <c r="G17" s="686"/>
      <c r="H17" s="686"/>
      <c r="I17" s="686"/>
      <c r="J17" s="686"/>
      <c r="K17" s="686"/>
      <c r="L17" s="686"/>
      <c r="M17" s="686"/>
      <c r="N17" s="686"/>
      <c r="O17" s="686"/>
      <c r="P17" s="686"/>
      <c r="Q17" s="686"/>
      <c r="R17" s="686"/>
      <c r="S17" s="686"/>
      <c r="T17" s="686"/>
      <c r="U17" s="686"/>
      <c r="V17" s="686"/>
    </row>
    <row r="18" spans="1:22">
      <c r="A18" s="686" t="s">
        <v>2010</v>
      </c>
      <c r="B18" s="686"/>
      <c r="C18" s="686"/>
      <c r="D18" s="686"/>
      <c r="E18" s="686"/>
      <c r="F18" s="686"/>
      <c r="G18" s="686"/>
      <c r="H18" s="686"/>
      <c r="I18" s="686"/>
      <c r="J18" s="686"/>
      <c r="K18" s="686"/>
      <c r="L18" s="686"/>
      <c r="M18" s="686"/>
      <c r="N18" s="686"/>
      <c r="O18" s="686"/>
      <c r="P18" s="686"/>
      <c r="Q18" s="686"/>
      <c r="R18" s="686"/>
      <c r="S18" s="686"/>
      <c r="T18" s="686"/>
      <c r="U18" s="686"/>
      <c r="V18" s="686"/>
    </row>
    <row r="19" spans="1:22">
      <c r="A19" s="686"/>
      <c r="B19" s="686"/>
      <c r="C19" s="686"/>
      <c r="D19" s="686"/>
      <c r="E19" s="686"/>
      <c r="F19" s="686"/>
      <c r="G19" s="686"/>
      <c r="H19" s="686"/>
      <c r="I19" s="686"/>
      <c r="J19" s="686"/>
      <c r="K19" s="686"/>
      <c r="L19" s="686"/>
      <c r="M19" s="686"/>
      <c r="N19" s="686"/>
      <c r="O19" s="686"/>
      <c r="P19" s="686"/>
      <c r="Q19" s="686"/>
      <c r="R19" s="686"/>
      <c r="S19" s="686"/>
      <c r="T19" s="686"/>
      <c r="U19" s="686"/>
      <c r="V19" s="686"/>
    </row>
    <row r="20" spans="1:22">
      <c r="A20" s="1036" t="s">
        <v>258</v>
      </c>
      <c r="B20" s="686"/>
      <c r="C20" s="686"/>
      <c r="D20" s="686"/>
      <c r="E20" s="686"/>
      <c r="F20" s="686"/>
      <c r="G20" s="686"/>
      <c r="H20" s="686"/>
      <c r="I20" s="685"/>
      <c r="J20" s="682">
        <f>U52</f>
        <v>176067</v>
      </c>
      <c r="K20" s="686"/>
      <c r="L20" s="686"/>
      <c r="M20" s="686"/>
      <c r="N20" s="686"/>
      <c r="O20" s="686"/>
      <c r="P20" s="686"/>
      <c r="Q20" s="686"/>
      <c r="R20" s="686"/>
      <c r="S20" s="686"/>
      <c r="T20" s="686"/>
      <c r="U20" s="686"/>
      <c r="V20" s="686"/>
    </row>
    <row r="21" spans="1:22">
      <c r="A21" s="686"/>
      <c r="B21" s="686"/>
      <c r="C21" s="686"/>
      <c r="D21" s="686"/>
      <c r="E21" s="686"/>
      <c r="F21" s="686"/>
      <c r="G21" s="686"/>
      <c r="H21" s="686"/>
      <c r="I21" s="686"/>
      <c r="J21" s="685"/>
      <c r="K21" s="686"/>
      <c r="L21" s="686"/>
      <c r="M21" s="686"/>
      <c r="N21" s="686"/>
      <c r="O21" s="686"/>
      <c r="P21" s="686"/>
      <c r="Q21" s="686"/>
      <c r="R21" s="686"/>
      <c r="S21" s="686"/>
      <c r="T21" s="686"/>
      <c r="U21" s="686"/>
      <c r="V21" s="686"/>
    </row>
    <row r="22" spans="1:22">
      <c r="A22" s="686"/>
      <c r="B22" s="686"/>
      <c r="C22" s="686"/>
      <c r="D22" s="686"/>
      <c r="E22" s="686"/>
      <c r="F22" s="686"/>
      <c r="G22" s="686"/>
      <c r="H22" s="686"/>
      <c r="I22" s="686"/>
      <c r="J22" s="686"/>
      <c r="K22" s="686"/>
      <c r="L22" s="686"/>
      <c r="M22" s="686"/>
      <c r="N22" s="686"/>
      <c r="O22" s="686"/>
      <c r="P22" s="686"/>
      <c r="Q22" s="686"/>
      <c r="R22" s="686"/>
      <c r="S22" s="686"/>
      <c r="T22" s="686"/>
      <c r="U22" s="686"/>
      <c r="V22" s="686"/>
    </row>
    <row r="23" spans="1:22">
      <c r="A23" s="1036" t="s">
        <v>1862</v>
      </c>
      <c r="B23" s="686"/>
      <c r="C23" s="686"/>
      <c r="D23" s="686"/>
      <c r="E23" s="686"/>
      <c r="F23" s="686"/>
      <c r="G23" s="686"/>
      <c r="H23" s="686"/>
      <c r="I23" s="686"/>
      <c r="J23" s="703">
        <f>VLOOKUP(D30,ALLOCTABLE,2)/100</f>
        <v>1</v>
      </c>
      <c r="K23" s="686"/>
      <c r="L23" s="686"/>
      <c r="M23" s="686"/>
      <c r="N23" s="686"/>
      <c r="O23" s="686"/>
      <c r="P23" s="686"/>
      <c r="Q23" s="686"/>
      <c r="R23" s="686"/>
      <c r="S23" s="686"/>
      <c r="T23" s="686"/>
      <c r="U23" s="686"/>
      <c r="V23" s="686"/>
    </row>
    <row r="24" spans="1:22">
      <c r="A24" s="686"/>
      <c r="B24" s="686"/>
      <c r="C24" s="686"/>
      <c r="D24" s="686"/>
      <c r="E24" s="686"/>
      <c r="F24" s="686"/>
      <c r="G24" s="686"/>
      <c r="H24" s="686"/>
      <c r="I24" s="686"/>
      <c r="J24" s="685"/>
      <c r="K24" s="686"/>
      <c r="L24" s="686"/>
      <c r="M24" s="686"/>
      <c r="N24" s="686"/>
      <c r="O24" s="686"/>
      <c r="P24" s="686"/>
      <c r="Q24" s="686"/>
      <c r="R24" s="686"/>
      <c r="S24" s="686"/>
      <c r="T24" s="686"/>
      <c r="U24" s="686"/>
      <c r="V24" s="686"/>
    </row>
    <row r="25" spans="1:22">
      <c r="A25" s="686"/>
      <c r="B25" s="686"/>
      <c r="C25" s="686"/>
      <c r="D25" s="686"/>
      <c r="E25" s="686"/>
      <c r="F25" s="686"/>
      <c r="G25" s="686"/>
      <c r="H25" s="686"/>
      <c r="I25" s="686"/>
      <c r="J25" s="686"/>
      <c r="K25" s="686"/>
      <c r="L25" s="686"/>
      <c r="M25" s="686"/>
      <c r="N25" s="686"/>
      <c r="O25" s="686"/>
      <c r="P25" s="686"/>
      <c r="Q25" s="686"/>
      <c r="R25" s="686"/>
      <c r="S25" s="686"/>
      <c r="T25" s="686"/>
      <c r="U25" s="686"/>
      <c r="V25" s="686"/>
    </row>
    <row r="26" spans="1:22" ht="15">
      <c r="A26" s="1036" t="s">
        <v>1863</v>
      </c>
      <c r="B26" s="686"/>
      <c r="C26" s="686"/>
      <c r="D26" s="686"/>
      <c r="E26" s="686"/>
      <c r="F26" s="1036" t="s">
        <v>2011</v>
      </c>
      <c r="G26" s="686"/>
      <c r="H26" s="686"/>
      <c r="I26" s="685"/>
      <c r="J26" s="705">
        <f>ROUND(J20*J23,0)</f>
        <v>176067</v>
      </c>
      <c r="K26" s="686"/>
      <c r="L26" s="686"/>
      <c r="M26" s="686"/>
      <c r="N26" s="686"/>
      <c r="O26" s="686"/>
      <c r="P26" s="686"/>
      <c r="Q26" s="686"/>
      <c r="R26" s="686"/>
      <c r="S26" s="686"/>
      <c r="T26" s="686"/>
      <c r="U26" s="686"/>
      <c r="V26" s="686"/>
    </row>
    <row r="27" spans="1:22">
      <c r="A27" s="686"/>
      <c r="B27" s="686"/>
      <c r="C27" s="686"/>
      <c r="D27" s="686"/>
      <c r="E27" s="686"/>
      <c r="F27" s="686"/>
      <c r="G27" s="686"/>
      <c r="H27" s="686"/>
      <c r="I27" s="686"/>
      <c r="J27" s="685"/>
      <c r="K27" s="686"/>
      <c r="L27" s="686"/>
      <c r="M27" s="686"/>
      <c r="N27" s="686"/>
      <c r="O27" s="686"/>
      <c r="P27" s="686"/>
      <c r="Q27" s="686"/>
      <c r="R27" s="686"/>
      <c r="S27" s="686"/>
      <c r="T27" s="686"/>
      <c r="U27" s="686"/>
      <c r="V27" s="686"/>
    </row>
    <row r="28" spans="1:22">
      <c r="A28" s="686"/>
      <c r="B28" s="686"/>
      <c r="C28" s="686"/>
      <c r="D28" s="686"/>
      <c r="E28" s="686"/>
      <c r="F28" s="686"/>
      <c r="G28" s="686"/>
      <c r="H28" s="686"/>
      <c r="I28" s="686"/>
      <c r="J28" s="686"/>
      <c r="K28" s="686"/>
      <c r="L28" s="686"/>
      <c r="M28" s="686"/>
      <c r="N28" s="686"/>
      <c r="O28" s="686"/>
      <c r="P28" s="686"/>
      <c r="Q28" s="686"/>
      <c r="R28" s="686"/>
      <c r="S28" s="686"/>
      <c r="T28" s="686"/>
      <c r="U28" s="686"/>
      <c r="V28" s="686"/>
    </row>
    <row r="29" spans="1:22">
      <c r="A29" s="686"/>
      <c r="B29" s="686"/>
      <c r="C29" s="686"/>
      <c r="D29" s="686"/>
      <c r="E29" s="686"/>
      <c r="F29" s="686"/>
      <c r="G29" s="686"/>
      <c r="H29" s="686"/>
      <c r="I29" s="686"/>
      <c r="J29" s="686"/>
      <c r="K29" s="686"/>
      <c r="L29" s="686"/>
      <c r="M29" s="686"/>
      <c r="N29" s="686"/>
      <c r="O29" s="686"/>
      <c r="P29" s="686"/>
      <c r="Q29" s="686"/>
      <c r="R29" s="1036"/>
      <c r="S29" s="1036"/>
      <c r="T29" s="686"/>
      <c r="U29" s="686"/>
      <c r="V29" s="686"/>
    </row>
    <row r="30" spans="1:22">
      <c r="A30" s="598" t="s">
        <v>1864</v>
      </c>
      <c r="B30" s="599"/>
      <c r="C30" s="599"/>
      <c r="D30" s="966" t="s">
        <v>428</v>
      </c>
      <c r="E30" s="686"/>
      <c r="F30" s="686"/>
      <c r="G30" s="686"/>
      <c r="H30" s="686"/>
      <c r="I30" s="686"/>
      <c r="J30" s="686"/>
      <c r="K30" s="686"/>
      <c r="L30" s="686"/>
      <c r="M30" s="686"/>
      <c r="N30" s="686"/>
      <c r="O30" s="686"/>
      <c r="P30" s="686"/>
      <c r="Q30" s="686"/>
      <c r="R30" s="686"/>
      <c r="S30" s="686"/>
      <c r="T30" s="686"/>
      <c r="U30" s="686"/>
      <c r="V30" s="686"/>
    </row>
    <row r="31" spans="1:22">
      <c r="A31" s="686"/>
      <c r="B31" s="686"/>
      <c r="C31" s="686"/>
      <c r="D31" s="686"/>
      <c r="E31" s="686"/>
      <c r="F31" s="686"/>
      <c r="G31" s="686"/>
      <c r="H31" s="686"/>
      <c r="I31" s="686"/>
      <c r="J31" s="686"/>
      <c r="K31" s="686"/>
      <c r="L31" s="686"/>
      <c r="M31" s="686"/>
      <c r="N31" s="686"/>
      <c r="O31" s="686"/>
      <c r="P31" s="686"/>
      <c r="Q31" s="686"/>
      <c r="R31" s="1036"/>
      <c r="S31" s="686"/>
      <c r="T31" s="686"/>
      <c r="U31" s="686"/>
      <c r="V31" s="686"/>
    </row>
    <row r="32" spans="1:22">
      <c r="A32" s="686"/>
      <c r="B32" s="686"/>
      <c r="C32" s="686"/>
      <c r="D32" s="686"/>
      <c r="E32" s="686"/>
      <c r="F32" s="686"/>
      <c r="G32" s="686"/>
      <c r="H32" s="686"/>
      <c r="I32" s="686"/>
      <c r="J32" s="686"/>
      <c r="K32" s="686"/>
      <c r="L32" s="1036"/>
      <c r="M32" s="686"/>
      <c r="N32" s="686"/>
      <c r="O32" s="686"/>
      <c r="P32" s="686"/>
      <c r="Q32" s="686"/>
      <c r="R32" s="686"/>
      <c r="S32" s="686"/>
      <c r="T32" s="686"/>
      <c r="U32" s="686"/>
      <c r="V32" s="686"/>
    </row>
    <row r="33" spans="1:22">
      <c r="A33" s="686"/>
      <c r="B33" s="686"/>
      <c r="C33" s="686"/>
      <c r="D33" s="686"/>
      <c r="E33" s="686"/>
      <c r="F33" s="686"/>
      <c r="G33" s="686"/>
      <c r="H33" s="686"/>
      <c r="I33" s="686"/>
      <c r="J33" s="686"/>
      <c r="K33" s="686"/>
      <c r="L33" s="686"/>
      <c r="M33" s="686"/>
      <c r="N33" s="686"/>
      <c r="O33" s="686"/>
      <c r="P33" s="686"/>
      <c r="Q33" s="686"/>
      <c r="R33" s="686"/>
      <c r="S33" s="1038"/>
      <c r="T33" s="686"/>
      <c r="U33" s="686"/>
      <c r="V33" s="686"/>
    </row>
    <row r="34" spans="1:22">
      <c r="A34" s="686"/>
      <c r="B34" s="686"/>
      <c r="C34" s="686"/>
      <c r="D34" s="686"/>
      <c r="E34" s="686"/>
      <c r="F34" s="686"/>
      <c r="G34" s="686"/>
      <c r="H34" s="686"/>
      <c r="I34" s="686"/>
      <c r="J34" s="686"/>
      <c r="K34" s="686"/>
      <c r="L34" s="686"/>
      <c r="M34" s="686"/>
      <c r="N34" s="686"/>
      <c r="O34" s="686"/>
      <c r="P34" s="686"/>
      <c r="Q34" s="686"/>
      <c r="R34" s="686"/>
      <c r="S34" s="686"/>
      <c r="T34" s="686"/>
      <c r="U34" s="686"/>
      <c r="V34" s="686"/>
    </row>
    <row r="35" spans="1:22">
      <c r="A35" s="686"/>
      <c r="B35" s="686"/>
      <c r="C35" s="686"/>
      <c r="D35" s="686"/>
      <c r="E35" s="686"/>
      <c r="F35" s="686"/>
      <c r="G35" s="686"/>
      <c r="H35" s="686"/>
      <c r="I35" s="686"/>
      <c r="J35" s="686"/>
      <c r="K35" s="686"/>
      <c r="L35" s="686"/>
      <c r="M35" s="686"/>
      <c r="N35" s="723" t="str">
        <f>COMPANY</f>
        <v>DUKE ENERGY KENTUCKY, INC.</v>
      </c>
      <c r="O35" s="723"/>
      <c r="P35" s="723"/>
      <c r="Q35" s="723"/>
      <c r="R35" s="723"/>
      <c r="S35" s="723"/>
      <c r="T35" s="721" t="s">
        <v>2012</v>
      </c>
      <c r="U35" s="686"/>
      <c r="V35" s="686"/>
    </row>
    <row r="36" spans="1:22">
      <c r="A36" s="686"/>
      <c r="B36" s="686"/>
      <c r="C36" s="686"/>
      <c r="D36" s="686"/>
      <c r="E36" s="686"/>
      <c r="F36" s="686"/>
      <c r="G36" s="686"/>
      <c r="H36" s="686"/>
      <c r="I36" s="686"/>
      <c r="J36" s="686"/>
      <c r="K36" s="686"/>
      <c r="L36" s="1037"/>
      <c r="M36" s="686"/>
      <c r="N36" s="723" t="str">
        <f>DEPT</f>
        <v>ELECTRIC DEPARTMENT</v>
      </c>
      <c r="O36" s="723"/>
      <c r="P36" s="723"/>
      <c r="Q36" s="723"/>
      <c r="R36" s="723"/>
      <c r="S36" s="723"/>
      <c r="T36" s="721" t="s">
        <v>1866</v>
      </c>
      <c r="U36" s="686"/>
      <c r="V36" s="686"/>
    </row>
    <row r="37" spans="1:22">
      <c r="A37" s="686"/>
      <c r="B37" s="686"/>
      <c r="C37" s="686"/>
      <c r="D37" s="686"/>
      <c r="E37" s="686"/>
      <c r="F37" s="686"/>
      <c r="G37" s="686"/>
      <c r="H37" s="686"/>
      <c r="I37" s="686"/>
      <c r="J37" s="686"/>
      <c r="K37" s="686"/>
      <c r="L37" s="1039"/>
      <c r="M37" s="686"/>
      <c r="N37" s="723" t="str">
        <f>CASE</f>
        <v>CASE NO. 2024-00354</v>
      </c>
      <c r="O37" s="723"/>
      <c r="P37" s="723"/>
      <c r="Q37" s="723"/>
      <c r="R37" s="723"/>
      <c r="S37" s="723"/>
      <c r="T37" s="723" t="str">
        <f>LOGO!G6</f>
        <v>L. D. STEINKUHL</v>
      </c>
      <c r="U37" s="686"/>
      <c r="V37" s="686"/>
    </row>
    <row r="38" spans="1:22">
      <c r="A38" s="686"/>
      <c r="B38" s="686"/>
      <c r="C38" s="686"/>
      <c r="D38" s="686"/>
      <c r="E38" s="686"/>
      <c r="F38" s="686"/>
      <c r="G38" s="686"/>
      <c r="H38" s="686"/>
      <c r="I38" s="686"/>
      <c r="J38" s="686"/>
      <c r="K38" s="686"/>
      <c r="L38" s="1037"/>
      <c r="M38" s="686"/>
      <c r="N38" s="723" t="s">
        <v>2013</v>
      </c>
      <c r="O38" s="723"/>
      <c r="P38" s="723"/>
      <c r="Q38" s="723"/>
      <c r="R38" s="723"/>
      <c r="S38" s="723"/>
      <c r="T38" s="723"/>
      <c r="U38" s="686"/>
      <c r="V38" s="686"/>
    </row>
    <row r="39" spans="1:22">
      <c r="A39" s="686"/>
      <c r="B39" s="686"/>
      <c r="C39" s="686"/>
      <c r="D39" s="686"/>
      <c r="E39" s="686"/>
      <c r="F39" s="686"/>
      <c r="G39" s="686"/>
      <c r="H39" s="686"/>
      <c r="I39" s="686"/>
      <c r="J39" s="686"/>
      <c r="K39" s="686"/>
      <c r="L39" s="603"/>
      <c r="M39" s="686"/>
      <c r="N39" s="723"/>
      <c r="O39" s="723"/>
      <c r="P39" s="723"/>
      <c r="Q39" s="723"/>
      <c r="R39" s="723"/>
      <c r="S39" s="723"/>
      <c r="T39" s="723"/>
      <c r="U39" s="1040"/>
      <c r="V39" s="686"/>
    </row>
    <row r="40" spans="1:22">
      <c r="A40" s="686"/>
      <c r="B40" s="686"/>
      <c r="C40" s="686"/>
      <c r="D40" s="686"/>
      <c r="E40" s="686"/>
      <c r="F40" s="686"/>
      <c r="G40" s="686"/>
      <c r="H40" s="686"/>
      <c r="I40" s="686"/>
      <c r="J40" s="686"/>
      <c r="K40" s="686"/>
      <c r="L40" s="603"/>
      <c r="M40" s="686"/>
      <c r="N40" s="723"/>
      <c r="O40" s="723"/>
      <c r="P40" s="723"/>
      <c r="Q40" s="723"/>
      <c r="R40" s="723"/>
      <c r="S40" s="723"/>
      <c r="T40" s="723"/>
      <c r="U40" s="1040"/>
      <c r="V40" s="686"/>
    </row>
    <row r="41" spans="1:22">
      <c r="A41" s="686"/>
      <c r="B41" s="686"/>
      <c r="C41" s="686"/>
      <c r="D41" s="686"/>
      <c r="E41" s="686"/>
      <c r="F41" s="686"/>
      <c r="G41" s="686"/>
      <c r="H41" s="686"/>
      <c r="I41" s="686"/>
      <c r="J41" s="686"/>
      <c r="K41" s="686"/>
      <c r="L41" s="603"/>
      <c r="M41" s="686"/>
      <c r="N41" s="723"/>
      <c r="O41" s="723"/>
      <c r="P41" s="723"/>
      <c r="Q41" s="723"/>
      <c r="R41" s="723"/>
      <c r="S41" s="723"/>
      <c r="T41" s="723"/>
      <c r="U41" s="723"/>
      <c r="V41" s="686"/>
    </row>
    <row r="42" spans="1:22">
      <c r="A42" s="686"/>
      <c r="B42" s="686"/>
      <c r="C42" s="686"/>
      <c r="D42" s="686"/>
      <c r="E42" s="686"/>
      <c r="F42" s="686"/>
      <c r="G42" s="686"/>
      <c r="H42" s="686"/>
      <c r="I42" s="686"/>
      <c r="J42" s="686"/>
      <c r="K42" s="686"/>
      <c r="L42" s="603"/>
      <c r="M42" s="686"/>
      <c r="N42" s="1041" t="s">
        <v>573</v>
      </c>
      <c r="O42" s="723"/>
      <c r="P42" s="723"/>
      <c r="Q42" s="723"/>
      <c r="R42" s="723"/>
      <c r="S42" s="723"/>
      <c r="T42" s="723"/>
      <c r="U42" s="686"/>
      <c r="V42" s="686"/>
    </row>
    <row r="43" spans="1:22">
      <c r="A43" s="686"/>
      <c r="B43" s="686"/>
      <c r="C43" s="686"/>
      <c r="D43" s="686"/>
      <c r="E43" s="686"/>
      <c r="F43" s="686"/>
      <c r="G43" s="686"/>
      <c r="H43" s="686"/>
      <c r="I43" s="686"/>
      <c r="J43" s="686"/>
      <c r="K43" s="686"/>
      <c r="L43" s="603"/>
      <c r="M43" s="686"/>
      <c r="N43" s="1042" t="s">
        <v>576</v>
      </c>
      <c r="O43" s="1043"/>
      <c r="P43" s="1316" t="s">
        <v>2</v>
      </c>
      <c r="Q43" s="1042"/>
      <c r="R43" s="1043"/>
      <c r="S43" s="1043"/>
      <c r="T43" s="1043"/>
      <c r="U43" s="1042" t="s">
        <v>419</v>
      </c>
      <c r="V43" s="686"/>
    </row>
    <row r="44" spans="1:22">
      <c r="A44" s="686"/>
      <c r="B44" s="686"/>
      <c r="C44" s="686"/>
      <c r="D44" s="686"/>
      <c r="E44" s="686"/>
      <c r="F44" s="686"/>
      <c r="G44" s="686"/>
      <c r="H44" s="686"/>
      <c r="I44" s="686"/>
      <c r="J44" s="686"/>
      <c r="K44" s="686"/>
      <c r="L44" s="603"/>
      <c r="M44" s="686"/>
      <c r="N44" s="686"/>
      <c r="O44" s="723"/>
      <c r="P44" s="721"/>
      <c r="Q44" s="721"/>
      <c r="R44" s="723"/>
      <c r="S44" s="723"/>
      <c r="T44" s="723"/>
      <c r="U44" s="1041"/>
      <c r="V44" s="686"/>
    </row>
    <row r="45" spans="1:22">
      <c r="A45" s="686"/>
      <c r="B45" s="686"/>
      <c r="C45" s="686"/>
      <c r="D45" s="686"/>
      <c r="E45" s="686"/>
      <c r="F45" s="686"/>
      <c r="G45" s="686"/>
      <c r="H45" s="686"/>
      <c r="I45" s="686"/>
      <c r="J45" s="686"/>
      <c r="K45" s="686"/>
      <c r="L45" s="603"/>
      <c r="M45" s="686"/>
      <c r="N45" s="1041">
        <v>1</v>
      </c>
      <c r="O45" s="723"/>
      <c r="P45" s="1044" t="str">
        <f>PROPER(N37)</f>
        <v>Case No. 2024-00354</v>
      </c>
      <c r="Q45" s="721"/>
      <c r="R45" s="723"/>
      <c r="S45" s="723"/>
      <c r="T45" s="723"/>
      <c r="U45" s="723"/>
      <c r="V45" s="686"/>
    </row>
    <row r="46" spans="1:22">
      <c r="A46" s="686"/>
      <c r="B46" s="686"/>
      <c r="C46" s="686"/>
      <c r="D46" s="686"/>
      <c r="E46" s="686"/>
      <c r="F46" s="686"/>
      <c r="G46" s="686"/>
      <c r="H46" s="686"/>
      <c r="I46" s="686"/>
      <c r="J46" s="686"/>
      <c r="K46" s="686"/>
      <c r="L46" s="603"/>
      <c r="M46" s="686"/>
      <c r="N46" s="1041">
        <v>2</v>
      </c>
      <c r="O46" s="723"/>
      <c r="P46" s="721" t="s">
        <v>2014</v>
      </c>
      <c r="Q46" s="721"/>
      <c r="R46" s="723"/>
      <c r="S46" s="721" t="s">
        <v>2015</v>
      </c>
      <c r="T46" s="723"/>
      <c r="U46" s="1314">
        <f>SCH_F6!C39</f>
        <v>880333</v>
      </c>
      <c r="V46" s="686"/>
    </row>
    <row r="47" spans="1:22">
      <c r="A47" s="686"/>
      <c r="B47" s="686"/>
      <c r="C47" s="686"/>
      <c r="D47" s="686"/>
      <c r="E47" s="686"/>
      <c r="F47" s="686"/>
      <c r="G47" s="686"/>
      <c r="H47" s="686"/>
      <c r="I47" s="686"/>
      <c r="J47" s="686"/>
      <c r="K47" s="686"/>
      <c r="L47" s="603"/>
      <c r="M47" s="686"/>
      <c r="N47" s="1041">
        <v>3</v>
      </c>
      <c r="O47" s="723"/>
      <c r="P47" s="721"/>
      <c r="Q47" s="721"/>
      <c r="R47" s="723"/>
      <c r="S47" s="723"/>
      <c r="T47" s="723"/>
      <c r="U47" s="1045"/>
      <c r="V47" s="686"/>
    </row>
    <row r="48" spans="1:22" ht="15">
      <c r="A48" s="686"/>
      <c r="B48" s="686"/>
      <c r="C48" s="686"/>
      <c r="D48" s="686"/>
      <c r="E48" s="686"/>
      <c r="F48" s="686"/>
      <c r="G48" s="686"/>
      <c r="H48" s="686"/>
      <c r="I48" s="686"/>
      <c r="J48" s="686"/>
      <c r="K48" s="686"/>
      <c r="L48" s="603"/>
      <c r="M48" s="686"/>
      <c r="N48" s="1041">
        <v>4</v>
      </c>
      <c r="O48" s="723"/>
      <c r="P48" s="721" t="s">
        <v>2016</v>
      </c>
      <c r="Q48" s="721"/>
      <c r="R48" s="723"/>
      <c r="S48" s="723"/>
      <c r="T48" s="723"/>
      <c r="U48" s="1396">
        <v>5</v>
      </c>
      <c r="V48" s="686"/>
    </row>
    <row r="49" spans="1:22">
      <c r="A49" s="686"/>
      <c r="B49" s="686"/>
      <c r="C49" s="686"/>
      <c r="D49" s="686"/>
      <c r="E49" s="686"/>
      <c r="F49" s="686"/>
      <c r="G49" s="686"/>
      <c r="H49" s="686"/>
      <c r="I49" s="686"/>
      <c r="J49" s="686"/>
      <c r="K49" s="686"/>
      <c r="L49" s="603"/>
      <c r="M49" s="686"/>
      <c r="N49" s="1041">
        <v>5</v>
      </c>
      <c r="O49" s="723"/>
      <c r="P49" s="721"/>
      <c r="Q49" s="721"/>
      <c r="R49" s="723"/>
      <c r="S49" s="723"/>
      <c r="T49" s="723"/>
      <c r="U49" s="1045"/>
      <c r="V49" s="686"/>
    </row>
    <row r="50" spans="1:22">
      <c r="A50" s="686"/>
      <c r="B50" s="686"/>
      <c r="C50" s="686"/>
      <c r="D50" s="686"/>
      <c r="E50" s="686"/>
      <c r="F50" s="686"/>
      <c r="G50" s="686"/>
      <c r="H50" s="686"/>
      <c r="I50" s="686"/>
      <c r="J50" s="686"/>
      <c r="K50" s="686"/>
      <c r="L50" s="603"/>
      <c r="M50" s="686"/>
      <c r="N50" s="1041">
        <v>6</v>
      </c>
      <c r="O50" s="723"/>
      <c r="P50" s="721" t="str">
        <f>"Test Period Amortization ( Line 2 / "&amp;U48&amp;" yrs )"</f>
        <v>Test Period Amortization ( Line 2 / 5 yrs )</v>
      </c>
      <c r="Q50" s="721"/>
      <c r="R50" s="723"/>
      <c r="S50" s="723"/>
      <c r="T50" s="723"/>
      <c r="U50" s="1315">
        <f>ROUND(U46/U48,0)</f>
        <v>176067</v>
      </c>
      <c r="V50" s="686"/>
    </row>
    <row r="51" spans="1:22">
      <c r="A51" s="686"/>
      <c r="B51" s="686"/>
      <c r="C51" s="686"/>
      <c r="D51" s="686"/>
      <c r="E51" s="686"/>
      <c r="F51" s="686"/>
      <c r="G51" s="686"/>
      <c r="H51" s="686"/>
      <c r="I51" s="686"/>
      <c r="J51" s="686"/>
      <c r="K51" s="686"/>
      <c r="L51" s="603"/>
      <c r="M51" s="686"/>
      <c r="N51" s="1041">
        <v>7</v>
      </c>
      <c r="O51" s="723"/>
      <c r="P51" s="721"/>
      <c r="Q51" s="721"/>
      <c r="R51" s="723"/>
      <c r="S51" s="723"/>
      <c r="T51" s="723"/>
      <c r="U51" s="723"/>
      <c r="V51" s="686"/>
    </row>
    <row r="52" spans="1:22" ht="15">
      <c r="A52" s="686"/>
      <c r="B52" s="686"/>
      <c r="C52" s="686"/>
      <c r="D52" s="686"/>
      <c r="E52" s="686"/>
      <c r="F52" s="686"/>
      <c r="G52" s="686"/>
      <c r="H52" s="686"/>
      <c r="I52" s="686"/>
      <c r="J52" s="686"/>
      <c r="K52" s="686"/>
      <c r="L52" s="603"/>
      <c r="M52" s="686"/>
      <c r="N52" s="1041">
        <v>8</v>
      </c>
      <c r="O52" s="723"/>
      <c r="P52" s="721" t="str">
        <f>"Annual Rate Case Expense - "&amp;PROPER(CASE)</f>
        <v>Annual Rate Case Expense - Case No. 2024-00354</v>
      </c>
      <c r="Q52" s="721"/>
      <c r="R52" s="686"/>
      <c r="S52" s="721" t="s">
        <v>2017</v>
      </c>
      <c r="T52" s="686"/>
      <c r="U52" s="1395">
        <f>U50</f>
        <v>176067</v>
      </c>
      <c r="V52" s="686"/>
    </row>
    <row r="53" spans="1:22">
      <c r="A53" s="686"/>
      <c r="B53" s="686"/>
      <c r="C53" s="686"/>
      <c r="D53" s="686"/>
      <c r="E53" s="686"/>
      <c r="F53" s="686"/>
      <c r="G53" s="686"/>
      <c r="H53" s="686"/>
      <c r="I53" s="686"/>
      <c r="J53" s="686"/>
      <c r="K53" s="686"/>
      <c r="L53" s="686"/>
      <c r="M53" s="686"/>
      <c r="N53" s="686"/>
      <c r="O53" s="686"/>
      <c r="P53" s="686"/>
      <c r="Q53" s="686"/>
      <c r="R53" s="686"/>
      <c r="S53" s="686"/>
      <c r="T53" s="686"/>
      <c r="U53" s="686"/>
      <c r="V53" s="686"/>
    </row>
    <row r="54" spans="1:22">
      <c r="A54" s="686"/>
      <c r="B54" s="686"/>
      <c r="C54" s="686"/>
      <c r="D54" s="686"/>
      <c r="E54" s="686"/>
      <c r="F54" s="686"/>
      <c r="G54" s="686"/>
      <c r="H54" s="686"/>
      <c r="I54" s="686"/>
      <c r="J54" s="686"/>
      <c r="K54" s="686"/>
      <c r="L54" s="686"/>
      <c r="M54" s="686"/>
      <c r="N54" s="686"/>
      <c r="O54" s="686"/>
      <c r="P54" s="686"/>
      <c r="Q54" s="686"/>
      <c r="R54" s="686"/>
      <c r="S54" s="686"/>
      <c r="T54" s="686"/>
      <c r="U54" s="686"/>
      <c r="V54" s="686"/>
    </row>
    <row r="55" spans="1:22">
      <c r="A55" s="686"/>
      <c r="B55" s="686"/>
      <c r="C55" s="686"/>
      <c r="D55" s="686"/>
      <c r="E55" s="686"/>
      <c r="F55" s="686"/>
      <c r="G55" s="686"/>
      <c r="H55" s="686"/>
      <c r="I55" s="686"/>
      <c r="J55" s="686"/>
      <c r="K55" s="686"/>
      <c r="L55" s="686"/>
      <c r="M55" s="686"/>
      <c r="N55" s="686"/>
      <c r="O55" s="686"/>
      <c r="P55" s="686"/>
      <c r="Q55" s="686"/>
      <c r="R55" s="686"/>
      <c r="S55" s="686"/>
      <c r="T55" s="686"/>
      <c r="U55" s="686"/>
      <c r="V55" s="686"/>
    </row>
    <row r="56" spans="1:22">
      <c r="A56" s="686"/>
      <c r="B56" s="686"/>
      <c r="C56" s="686"/>
      <c r="D56" s="686"/>
      <c r="E56" s="686"/>
      <c r="F56" s="686"/>
      <c r="G56" s="686"/>
      <c r="H56" s="686"/>
      <c r="I56" s="686"/>
      <c r="J56" s="686"/>
      <c r="K56" s="686"/>
      <c r="L56" s="686"/>
      <c r="M56" s="686"/>
      <c r="N56" s="686"/>
      <c r="O56" s="686"/>
      <c r="P56" s="686"/>
      <c r="Q56" s="686"/>
      <c r="R56" s="686"/>
      <c r="S56" s="686"/>
      <c r="T56" s="686"/>
      <c r="U56" s="686"/>
      <c r="V56" s="686"/>
    </row>
    <row r="57" spans="1:22">
      <c r="A57" s="686"/>
      <c r="B57" s="686"/>
      <c r="C57" s="686"/>
      <c r="D57" s="686"/>
      <c r="E57" s="686"/>
      <c r="F57" s="686"/>
      <c r="G57" s="686"/>
      <c r="H57" s="686"/>
      <c r="I57" s="686"/>
      <c r="J57" s="686"/>
      <c r="K57" s="686"/>
      <c r="L57" s="686"/>
      <c r="M57" s="686"/>
      <c r="N57" s="686"/>
      <c r="O57" s="686"/>
      <c r="P57" s="686"/>
      <c r="Q57" s="686"/>
      <c r="R57" s="686"/>
      <c r="S57" s="686"/>
      <c r="T57" s="686"/>
      <c r="U57" s="686"/>
      <c r="V57" s="686"/>
    </row>
    <row r="58" spans="1:22">
      <c r="A58" s="686"/>
      <c r="B58" s="686"/>
      <c r="C58" s="686"/>
      <c r="D58" s="686"/>
      <c r="E58" s="686"/>
      <c r="F58" s="686"/>
      <c r="G58" s="686"/>
      <c r="H58" s="686"/>
      <c r="I58" s="686"/>
      <c r="J58" s="686"/>
      <c r="K58" s="686"/>
      <c r="L58" s="686"/>
      <c r="M58" s="686"/>
      <c r="N58" s="686"/>
      <c r="O58" s="686"/>
      <c r="P58" s="686"/>
      <c r="Q58" s="686"/>
      <c r="R58" s="686"/>
      <c r="S58" s="686"/>
      <c r="T58" s="686"/>
      <c r="U58" s="686"/>
      <c r="V58" s="686"/>
    </row>
    <row r="59" spans="1:22">
      <c r="A59" s="686"/>
      <c r="B59" s="686"/>
      <c r="C59" s="686"/>
      <c r="D59" s="686"/>
      <c r="E59" s="686"/>
      <c r="F59" s="686"/>
      <c r="G59" s="686"/>
      <c r="H59" s="686"/>
      <c r="I59" s="686"/>
      <c r="J59" s="686"/>
      <c r="K59" s="686"/>
      <c r="L59" s="686"/>
      <c r="M59" s="686"/>
      <c r="N59" s="686"/>
      <c r="O59" s="686"/>
      <c r="P59" s="686"/>
      <c r="Q59" s="686"/>
      <c r="R59" s="686"/>
      <c r="S59" s="686"/>
      <c r="T59" s="686"/>
      <c r="U59" s="686"/>
      <c r="V59" s="686"/>
    </row>
    <row r="60" spans="1:22">
      <c r="A60" s="686"/>
      <c r="B60" s="686"/>
      <c r="C60" s="686"/>
      <c r="D60" s="686"/>
      <c r="E60" s="686"/>
      <c r="F60" s="686"/>
      <c r="G60" s="686"/>
      <c r="H60" s="686"/>
      <c r="I60" s="686"/>
      <c r="J60" s="686"/>
      <c r="K60" s="686"/>
      <c r="L60" s="686"/>
      <c r="M60" s="686"/>
      <c r="N60" s="686"/>
      <c r="O60" s="686"/>
      <c r="P60" s="686"/>
      <c r="Q60" s="686"/>
      <c r="R60" s="686"/>
      <c r="S60" s="686"/>
      <c r="T60" s="686"/>
      <c r="U60" s="686"/>
      <c r="V60" s="686"/>
    </row>
    <row r="61" spans="1:22">
      <c r="A61" s="686"/>
      <c r="B61" s="686"/>
      <c r="C61" s="686"/>
      <c r="D61" s="686"/>
      <c r="E61" s="686"/>
      <c r="F61" s="686"/>
      <c r="G61" s="686"/>
      <c r="H61" s="686"/>
      <c r="I61" s="686"/>
      <c r="J61" s="686"/>
      <c r="K61" s="686"/>
      <c r="L61" s="686"/>
      <c r="M61" s="686"/>
      <c r="N61" s="686"/>
      <c r="O61" s="686"/>
      <c r="P61" s="686"/>
      <c r="Q61" s="686"/>
      <c r="R61" s="686"/>
      <c r="S61" s="686"/>
      <c r="T61" s="686"/>
      <c r="U61" s="686"/>
      <c r="V61" s="686"/>
    </row>
  </sheetData>
  <phoneticPr fontId="19" type="noConversion"/>
  <pageMargins left="1" right="0.75" top="1" bottom="0" header="0" footer="0"/>
  <pageSetup scale="9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37">
    <tabColor theme="7" tint="-0.249977111117893"/>
    <pageSetUpPr fitToPage="1"/>
  </sheetPr>
  <dimension ref="A1:S112"/>
  <sheetViews>
    <sheetView zoomScale="96" zoomScaleNormal="96" workbookViewId="0"/>
  </sheetViews>
  <sheetFormatPr defaultColWidth="8" defaultRowHeight="13.2"/>
  <cols>
    <col min="1" max="1" width="21.44140625" customWidth="1"/>
    <col min="2" max="2" width="7.5546875" customWidth="1"/>
    <col min="3" max="3" width="14.5546875" customWidth="1"/>
    <col min="4" max="4" width="12.5546875" customWidth="1"/>
    <col min="5" max="5" width="11.88671875" customWidth="1"/>
    <col min="6" max="6" width="15.5546875" customWidth="1"/>
    <col min="8" max="8" width="16.44140625" customWidth="1"/>
    <col min="9" max="9" width="9.44140625" customWidth="1"/>
    <col min="10" max="10" width="6.5546875" customWidth="1"/>
    <col min="11" max="11" width="1.5546875" customWidth="1"/>
    <col min="12" max="12" width="22.5546875" customWidth="1"/>
    <col min="13" max="13" width="9.5546875" customWidth="1"/>
    <col min="14" max="14" width="14.44140625" customWidth="1"/>
    <col min="15" max="15" width="2.44140625" customWidth="1"/>
    <col min="16" max="16" width="21.5546875" customWidth="1"/>
    <col min="17" max="17" width="17" bestFit="1" customWidth="1"/>
    <col min="18" max="18" width="3.44140625" customWidth="1"/>
    <col min="19" max="19" width="12.33203125" bestFit="1" customWidth="1"/>
    <col min="20" max="20" width="2" customWidth="1"/>
    <col min="21" max="21" width="11.5546875" customWidth="1"/>
    <col min="22" max="22" width="8.5546875" customWidth="1"/>
    <col min="23" max="23" width="14.5546875" customWidth="1"/>
    <col min="24" max="24" width="9.5546875" customWidth="1"/>
    <col min="25" max="25" width="17.5546875" customWidth="1"/>
  </cols>
  <sheetData>
    <row r="1" spans="1:8">
      <c r="A1" s="709" t="str">
        <f>COMPANY</f>
        <v>DUKE ENERGY KENTUCKY, INC.</v>
      </c>
      <c r="B1" s="709"/>
      <c r="C1" s="709"/>
      <c r="D1" s="709"/>
      <c r="E1" s="709"/>
      <c r="F1" s="709"/>
      <c r="G1" s="709"/>
      <c r="H1" s="709"/>
    </row>
    <row r="2" spans="1:8">
      <c r="A2" s="709" t="str">
        <f>CASE</f>
        <v>CASE NO. 2024-00354</v>
      </c>
      <c r="B2" s="709"/>
      <c r="C2" s="709"/>
      <c r="D2" s="709"/>
      <c r="E2" s="709"/>
      <c r="F2" s="709"/>
      <c r="G2" s="709"/>
      <c r="H2" s="709"/>
    </row>
    <row r="3" spans="1:8">
      <c r="A3" s="709" t="s">
        <v>2018</v>
      </c>
      <c r="B3" s="709"/>
      <c r="C3" s="709"/>
      <c r="D3" s="709"/>
      <c r="E3" s="709"/>
      <c r="F3" s="709"/>
      <c r="G3" s="709"/>
      <c r="H3" s="709"/>
    </row>
    <row r="4" spans="1:8">
      <c r="A4" s="710" t="str">
        <f>PeriodF</f>
        <v>FOR THE TWELVE MONTHS ENDED JUNE 30, 2026</v>
      </c>
      <c r="B4" s="710"/>
      <c r="C4" s="710"/>
      <c r="D4" s="709"/>
      <c r="E4" s="709"/>
      <c r="F4" s="709"/>
      <c r="G4" s="709"/>
      <c r="H4" s="709"/>
    </row>
    <row r="5" spans="1:8">
      <c r="A5" s="252"/>
      <c r="B5" s="252"/>
      <c r="C5" s="252"/>
      <c r="D5" s="252"/>
      <c r="E5" s="252"/>
      <c r="F5" s="252"/>
      <c r="G5" s="252"/>
      <c r="H5" s="252"/>
    </row>
    <row r="6" spans="1:8">
      <c r="A6" s="711" t="str">
        <f>DataF</f>
        <v>DATA:  BASE PERIOD  "X" FORECASTED PERIOD</v>
      </c>
      <c r="B6" s="711"/>
      <c r="C6" s="711"/>
      <c r="D6" s="252"/>
      <c r="E6" s="252"/>
      <c r="G6" s="220" t="s">
        <v>2019</v>
      </c>
      <c r="H6" s="252"/>
    </row>
    <row r="7" spans="1:8">
      <c r="A7" s="711" t="str">
        <f>Type</f>
        <v xml:space="preserve">TYPE OF FILING:  "X" ORIGINAL   UPDATED    REVISED  </v>
      </c>
      <c r="B7" s="711"/>
      <c r="C7" s="711"/>
      <c r="D7" s="252"/>
      <c r="E7" s="252"/>
      <c r="G7" s="220" t="s">
        <v>466</v>
      </c>
      <c r="H7" s="252"/>
    </row>
    <row r="8" spans="1:8">
      <c r="A8" s="220" t="s">
        <v>2020</v>
      </c>
      <c r="B8" s="220"/>
      <c r="C8" s="220"/>
      <c r="D8" s="252"/>
      <c r="E8" s="252"/>
      <c r="G8" s="220" t="s">
        <v>468</v>
      </c>
      <c r="H8" s="252"/>
    </row>
    <row r="9" spans="1:8">
      <c r="A9" s="252"/>
      <c r="B9" s="252"/>
      <c r="C9" s="252"/>
      <c r="D9" s="252"/>
      <c r="E9" s="252"/>
      <c r="G9" s="220" t="str">
        <f>_WIT1</f>
        <v>L. D. STEINKUHL</v>
      </c>
      <c r="H9" s="252"/>
    </row>
    <row r="10" spans="1:8">
      <c r="A10" s="712"/>
      <c r="B10" s="712"/>
      <c r="C10" s="712"/>
      <c r="D10" s="712"/>
      <c r="E10" s="712"/>
      <c r="F10" s="712"/>
      <c r="G10" s="712"/>
      <c r="H10" s="712"/>
    </row>
    <row r="11" spans="1:8">
      <c r="A11" s="2145"/>
      <c r="B11" s="2145"/>
      <c r="C11" s="2145"/>
      <c r="D11" s="2145"/>
      <c r="E11" s="2145"/>
      <c r="F11" s="2145"/>
      <c r="G11" s="2145"/>
      <c r="H11" s="2145"/>
    </row>
    <row r="12" spans="1:8">
      <c r="A12" s="255" t="s">
        <v>1857</v>
      </c>
      <c r="B12" s="255"/>
      <c r="C12" s="255"/>
      <c r="D12" s="252"/>
      <c r="E12" s="252"/>
      <c r="F12" s="252"/>
      <c r="G12" s="252"/>
      <c r="H12" s="255" t="s">
        <v>975</v>
      </c>
    </row>
    <row r="13" spans="1:8">
      <c r="A13" s="712"/>
      <c r="B13" s="712"/>
      <c r="C13" s="712"/>
      <c r="D13" s="712"/>
      <c r="E13" s="712"/>
      <c r="F13" s="712"/>
      <c r="G13" s="712"/>
      <c r="H13" s="712"/>
    </row>
    <row r="14" spans="1:8">
      <c r="A14" s="2145"/>
      <c r="B14" s="2145"/>
      <c r="C14" s="2145"/>
      <c r="D14" s="2145"/>
      <c r="E14" s="2145"/>
      <c r="F14" s="2145"/>
      <c r="G14" s="2145"/>
      <c r="H14" s="2147"/>
    </row>
    <row r="15" spans="1:8">
      <c r="A15" s="252" t="s">
        <v>2021</v>
      </c>
      <c r="B15" s="252"/>
      <c r="C15" s="252"/>
      <c r="D15" s="252"/>
      <c r="E15" s="252"/>
      <c r="F15" s="252"/>
      <c r="G15" s="252"/>
      <c r="H15" s="252"/>
    </row>
    <row r="16" spans="1:8">
      <c r="A16" s="252"/>
      <c r="B16" s="252"/>
      <c r="C16" s="252"/>
      <c r="D16" s="252"/>
      <c r="E16" s="252"/>
      <c r="F16" s="252"/>
      <c r="G16" s="252"/>
      <c r="H16" s="252"/>
    </row>
    <row r="17" spans="1:8">
      <c r="A17" s="252"/>
      <c r="B17" s="252"/>
      <c r="C17" s="252"/>
      <c r="D17" s="252"/>
      <c r="E17" s="252"/>
      <c r="F17" s="252"/>
      <c r="G17" s="252"/>
      <c r="H17" s="1205"/>
    </row>
    <row r="18" spans="1:8">
      <c r="A18" s="252"/>
      <c r="B18" s="252"/>
      <c r="C18" s="252"/>
      <c r="D18" s="252"/>
      <c r="E18" s="252"/>
      <c r="F18" s="252"/>
      <c r="G18" s="252"/>
      <c r="H18" s="1727"/>
    </row>
    <row r="19" spans="1:8">
      <c r="A19" s="252"/>
      <c r="B19" s="252"/>
      <c r="C19" s="252"/>
      <c r="D19" s="252"/>
      <c r="E19" s="252"/>
      <c r="F19" s="252"/>
      <c r="G19" s="252"/>
      <c r="H19" s="256"/>
    </row>
    <row r="20" spans="1:8">
      <c r="A20" s="252"/>
      <c r="B20" s="252"/>
      <c r="C20" s="252"/>
      <c r="D20" s="252"/>
      <c r="E20" s="252"/>
      <c r="F20" s="252"/>
      <c r="G20" s="252"/>
      <c r="H20" s="256"/>
    </row>
    <row r="21" spans="1:8">
      <c r="A21" s="598" t="s">
        <v>2022</v>
      </c>
      <c r="B21" s="599"/>
      <c r="C21" s="599"/>
      <c r="D21" s="599"/>
      <c r="E21" s="94"/>
      <c r="F21" s="130"/>
      <c r="H21" s="682">
        <f>S63</f>
        <v>-1999924</v>
      </c>
    </row>
    <row r="22" spans="1:8">
      <c r="A22" s="599"/>
      <c r="B22" s="599"/>
      <c r="C22" s="599"/>
      <c r="D22" s="599"/>
      <c r="E22" s="94"/>
      <c r="F22" s="94"/>
      <c r="H22" s="599"/>
    </row>
    <row r="23" spans="1:8">
      <c r="A23" s="598" t="s">
        <v>1862</v>
      </c>
      <c r="B23" s="599"/>
      <c r="C23" s="599"/>
      <c r="D23" s="599"/>
      <c r="E23" s="94"/>
      <c r="F23" s="94"/>
      <c r="H23" s="703">
        <f>VLOOKUP(B49,ALLOCTABLE,2)/100</f>
        <v>1</v>
      </c>
    </row>
    <row r="24" spans="1:8">
      <c r="A24" s="599"/>
      <c r="B24" s="599"/>
      <c r="C24" s="599"/>
      <c r="D24" s="599"/>
      <c r="E24" s="94"/>
      <c r="F24" s="94"/>
      <c r="H24" s="704"/>
    </row>
    <row r="25" spans="1:8" ht="15">
      <c r="A25" s="598" t="s">
        <v>1863</v>
      </c>
      <c r="B25" s="599"/>
      <c r="C25" s="599"/>
      <c r="D25" s="598" t="s">
        <v>1876</v>
      </c>
      <c r="E25" s="94"/>
      <c r="F25" s="94"/>
      <c r="H25" s="705">
        <f>ROUND(H21*H23,0)</f>
        <v>-1999924</v>
      </c>
    </row>
    <row r="26" spans="1:8">
      <c r="A26" s="252"/>
      <c r="B26" s="252"/>
      <c r="C26" s="252"/>
      <c r="D26" s="252"/>
      <c r="E26" s="252"/>
      <c r="F26" s="252"/>
      <c r="G26" s="252"/>
      <c r="H26" s="256"/>
    </row>
    <row r="28" spans="1:8">
      <c r="A28" s="252" t="s">
        <v>1186</v>
      </c>
      <c r="B28" s="252"/>
      <c r="C28" s="252"/>
      <c r="D28" s="252"/>
      <c r="E28" s="252"/>
      <c r="F28" s="252"/>
      <c r="G28" s="714"/>
      <c r="H28" s="1988">
        <f>S72</f>
        <v>663</v>
      </c>
    </row>
    <row r="29" spans="1:8">
      <c r="A29" s="252" t="s">
        <v>2023</v>
      </c>
      <c r="B29" s="252"/>
      <c r="C29" s="252"/>
      <c r="D29" s="252"/>
      <c r="E29" s="252"/>
      <c r="F29" s="252"/>
      <c r="G29" s="714"/>
      <c r="H29" s="735">
        <f>S79</f>
        <v>-1800699</v>
      </c>
    </row>
    <row r="30" spans="1:8">
      <c r="A30" s="252" t="s">
        <v>2024</v>
      </c>
      <c r="B30" s="252"/>
      <c r="C30" s="252"/>
      <c r="D30" s="252"/>
      <c r="E30" s="252"/>
      <c r="F30" s="252"/>
      <c r="G30" s="714"/>
      <c r="H30" s="735">
        <f>S82</f>
        <v>-1931374</v>
      </c>
    </row>
    <row r="31" spans="1:8">
      <c r="A31" s="252" t="s">
        <v>2025</v>
      </c>
      <c r="B31" s="252"/>
      <c r="C31" s="252"/>
      <c r="D31" s="252"/>
      <c r="E31" s="252"/>
      <c r="F31" s="252"/>
      <c r="G31" s="714"/>
      <c r="H31" s="2148">
        <f>SUM(H28:H30)</f>
        <v>-3731410</v>
      </c>
    </row>
    <row r="32" spans="1:8">
      <c r="A32" s="252"/>
      <c r="B32" s="252"/>
      <c r="C32" s="252"/>
      <c r="D32" s="252"/>
      <c r="E32" s="252"/>
      <c r="F32" s="252"/>
      <c r="G32" s="252"/>
      <c r="H32" s="252"/>
    </row>
    <row r="33" spans="1:8">
      <c r="A33" s="252" t="s">
        <v>1862</v>
      </c>
      <c r="B33" s="252"/>
      <c r="C33" s="252"/>
      <c r="D33" s="252"/>
      <c r="E33" s="252"/>
      <c r="F33" s="252"/>
      <c r="G33" s="252"/>
      <c r="H33" s="713">
        <f>VLOOKUP(B49,ALLOCTABLE,2,FALSE)/100</f>
        <v>1</v>
      </c>
    </row>
    <row r="34" spans="1:8">
      <c r="A34" s="252"/>
      <c r="B34" s="252"/>
      <c r="C34" s="252"/>
      <c r="D34" s="252"/>
      <c r="E34" s="252"/>
      <c r="F34" s="252"/>
      <c r="G34" s="252"/>
      <c r="H34" s="252"/>
    </row>
    <row r="35" spans="1:8" ht="15">
      <c r="A35" s="252" t="s">
        <v>1863</v>
      </c>
      <c r="B35" s="252"/>
      <c r="C35" s="252"/>
      <c r="D35" s="252"/>
      <c r="E35" s="255" t="s">
        <v>1995</v>
      </c>
      <c r="F35" s="252"/>
      <c r="G35" s="714"/>
      <c r="H35" s="705">
        <f>ROUND(H31*H33,0)</f>
        <v>-3731410</v>
      </c>
    </row>
    <row r="36" spans="1:8" ht="15">
      <c r="A36" s="252"/>
      <c r="B36" s="252"/>
      <c r="C36" s="252"/>
      <c r="D36" s="252"/>
      <c r="E36" s="255"/>
      <c r="F36" s="252"/>
      <c r="G36" s="714"/>
      <c r="H36" s="705"/>
    </row>
    <row r="37" spans="1:8">
      <c r="A37" s="252" t="s">
        <v>351</v>
      </c>
      <c r="B37" s="252"/>
      <c r="C37" s="252"/>
      <c r="D37" s="252"/>
      <c r="E37" s="252"/>
      <c r="F37" s="252"/>
      <c r="G37" s="252"/>
      <c r="H37" s="1990">
        <f>S65</f>
        <v>1665492</v>
      </c>
    </row>
    <row r="38" spans="1:8">
      <c r="A38" s="252"/>
      <c r="B38" s="252"/>
      <c r="C38" s="252"/>
      <c r="D38" s="252"/>
      <c r="E38" s="252"/>
      <c r="F38" s="252"/>
      <c r="G38" s="252"/>
      <c r="H38" s="1990"/>
    </row>
    <row r="39" spans="1:8">
      <c r="A39" s="1976" t="s">
        <v>1862</v>
      </c>
      <c r="B39" s="1644"/>
      <c r="C39" s="1644"/>
      <c r="D39" s="1644"/>
      <c r="E39" s="1256"/>
      <c r="F39" s="1256"/>
      <c r="H39" s="703">
        <f>VLOOKUP(B49,ALLOCTABLE,2)/100</f>
        <v>1</v>
      </c>
    </row>
    <row r="40" spans="1:8">
      <c r="A40" s="1644"/>
      <c r="B40" s="1644"/>
      <c r="C40" s="1644"/>
      <c r="D40" s="1644"/>
      <c r="E40" s="1256"/>
      <c r="F40" s="1256"/>
      <c r="H40" s="1991"/>
    </row>
    <row r="41" spans="1:8" ht="15">
      <c r="A41" s="1976" t="s">
        <v>1863</v>
      </c>
      <c r="B41" s="1644"/>
      <c r="C41" s="1644"/>
      <c r="D41" s="1976" t="s">
        <v>1876</v>
      </c>
      <c r="E41" s="1256"/>
      <c r="F41" s="1256"/>
      <c r="H41" s="705">
        <f>ROUND(H37*H39,0)</f>
        <v>1665492</v>
      </c>
    </row>
    <row r="42" spans="1:8" ht="15">
      <c r="A42" s="1976"/>
      <c r="B42" s="1644"/>
      <c r="C42" s="1644"/>
      <c r="D42" s="1976"/>
      <c r="E42" s="1256"/>
      <c r="F42" s="1256"/>
      <c r="H42" s="705"/>
    </row>
    <row r="43" spans="1:8">
      <c r="A43" s="252" t="s">
        <v>2026</v>
      </c>
      <c r="B43" s="252"/>
      <c r="C43" s="252"/>
      <c r="D43" s="252"/>
      <c r="E43" s="252"/>
      <c r="F43" s="252"/>
      <c r="G43" s="252"/>
      <c r="H43" s="256">
        <f>S67</f>
        <v>163314</v>
      </c>
    </row>
    <row r="44" spans="1:8" ht="15">
      <c r="A44" s="252"/>
      <c r="B44" s="252"/>
      <c r="C44" s="252"/>
      <c r="D44" s="252"/>
      <c r="E44" s="255"/>
      <c r="F44" s="252"/>
      <c r="G44" s="714"/>
      <c r="H44" s="705"/>
    </row>
    <row r="45" spans="1:8">
      <c r="A45" s="1976" t="s">
        <v>1862</v>
      </c>
      <c r="B45" s="1644"/>
      <c r="C45" s="1644"/>
      <c r="D45" s="1644"/>
      <c r="E45" s="1256"/>
      <c r="F45" s="1256"/>
      <c r="H45" s="703">
        <f>VLOOKUP(B49,ALLOCTABLE,2)/100</f>
        <v>1</v>
      </c>
    </row>
    <row r="46" spans="1:8">
      <c r="A46" s="1644"/>
      <c r="B46" s="1644"/>
      <c r="C46" s="1644"/>
      <c r="D46" s="1644"/>
      <c r="E46" s="1256"/>
      <c r="F46" s="1256"/>
      <c r="H46" s="1991"/>
    </row>
    <row r="47" spans="1:8" ht="15">
      <c r="A47" s="1976" t="s">
        <v>1863</v>
      </c>
      <c r="B47" s="1644"/>
      <c r="C47" s="1644"/>
      <c r="D47" s="1976" t="s">
        <v>1876</v>
      </c>
      <c r="E47" s="1256"/>
      <c r="F47" s="1256"/>
      <c r="H47" s="705">
        <f>ROUND(H43*H45,0)</f>
        <v>163314</v>
      </c>
    </row>
    <row r="48" spans="1:8">
      <c r="A48" s="252"/>
      <c r="B48" s="252"/>
      <c r="C48" s="252"/>
      <c r="D48" s="252"/>
      <c r="E48" s="252"/>
      <c r="F48" s="252"/>
      <c r="G48" s="252"/>
      <c r="H48" s="252"/>
    </row>
    <row r="49" spans="1:19">
      <c r="A49" s="721" t="s">
        <v>1864</v>
      </c>
      <c r="B49" s="722" t="s">
        <v>428</v>
      </c>
      <c r="C49" s="721"/>
      <c r="D49" s="723"/>
      <c r="E49" s="252"/>
      <c r="F49" s="252"/>
      <c r="G49" s="252"/>
      <c r="H49" s="252"/>
    </row>
    <row r="50" spans="1:19">
      <c r="A50" s="597"/>
      <c r="B50" s="597"/>
      <c r="C50" s="597"/>
      <c r="D50" s="597"/>
    </row>
    <row r="51" spans="1:19">
      <c r="A51" s="597"/>
      <c r="B51" s="597"/>
      <c r="C51" s="597"/>
      <c r="D51" s="597"/>
    </row>
    <row r="52" spans="1:19">
      <c r="A52" s="597"/>
      <c r="B52" s="597"/>
      <c r="C52" s="597"/>
      <c r="D52" s="597"/>
    </row>
    <row r="53" spans="1:19">
      <c r="A53" s="597"/>
      <c r="B53" s="597"/>
      <c r="C53" s="597"/>
      <c r="D53" s="597"/>
      <c r="J53" s="779" t="s">
        <v>2027</v>
      </c>
      <c r="K53" s="253"/>
      <c r="L53" s="253"/>
      <c r="M53" s="253"/>
      <c r="O53" s="960"/>
      <c r="Q53" s="960" t="s">
        <v>2028</v>
      </c>
    </row>
    <row r="54" spans="1:19">
      <c r="A54" s="597"/>
      <c r="B54" s="597"/>
      <c r="C54" s="597"/>
      <c r="D54" s="597"/>
      <c r="J54" s="779" t="s">
        <v>22</v>
      </c>
      <c r="K54" s="253"/>
      <c r="L54" s="253"/>
      <c r="M54" s="253"/>
      <c r="O54" s="779"/>
      <c r="Q54" s="779" t="s">
        <v>1866</v>
      </c>
    </row>
    <row r="55" spans="1:19">
      <c r="A55" s="597"/>
      <c r="B55" s="597"/>
      <c r="C55" s="597" t="s">
        <v>382</v>
      </c>
      <c r="D55" s="597"/>
      <c r="J55" s="779" t="str">
        <f>CASE</f>
        <v>CASE NO. 2024-00354</v>
      </c>
      <c r="K55" s="253"/>
      <c r="L55" s="253"/>
      <c r="M55" s="253"/>
      <c r="O55" s="253"/>
      <c r="Q55" s="253" t="str">
        <f>_WIT1</f>
        <v>L. D. STEINKUHL</v>
      </c>
    </row>
    <row r="56" spans="1:19">
      <c r="A56" s="597"/>
      <c r="B56" s="597"/>
      <c r="C56" s="597"/>
      <c r="D56" s="597"/>
      <c r="J56" s="779" t="str">
        <f>A3</f>
        <v>ELIMINATE ESM REVENUE &amp; EXPENSE</v>
      </c>
      <c r="K56" s="253"/>
      <c r="L56" s="253"/>
      <c r="M56" s="253"/>
      <c r="N56" s="253"/>
      <c r="O56" s="253"/>
      <c r="P56" s="253"/>
      <c r="Q56" s="961"/>
    </row>
    <row r="57" spans="1:19">
      <c r="A57" s="597"/>
      <c r="B57" s="597"/>
      <c r="C57" s="597"/>
      <c r="D57" s="597"/>
      <c r="J57" s="779"/>
      <c r="K57" s="253"/>
      <c r="L57" s="253"/>
      <c r="M57" s="253"/>
      <c r="N57" s="253"/>
      <c r="O57" s="253"/>
      <c r="P57" s="253"/>
      <c r="Q57" s="961"/>
    </row>
    <row r="58" spans="1:19">
      <c r="A58" s="597"/>
      <c r="B58" s="597"/>
      <c r="C58" s="597"/>
      <c r="D58" s="597"/>
      <c r="J58" s="779"/>
      <c r="K58" s="253"/>
      <c r="L58" s="253"/>
      <c r="M58" s="253"/>
      <c r="N58" s="253"/>
      <c r="O58" s="253"/>
      <c r="P58" s="962"/>
      <c r="Q58" s="961"/>
    </row>
    <row r="59" spans="1:19">
      <c r="A59" s="597"/>
      <c r="B59" s="597"/>
      <c r="C59" s="597"/>
      <c r="D59" s="597"/>
      <c r="J59" s="1978" t="s">
        <v>573</v>
      </c>
      <c r="K59" s="1979"/>
      <c r="L59" s="1979"/>
      <c r="M59" s="1979"/>
      <c r="N59" s="1979"/>
      <c r="O59" s="1979"/>
      <c r="P59" s="1980" t="s">
        <v>2029</v>
      </c>
      <c r="Q59" s="1981" t="s">
        <v>2029</v>
      </c>
      <c r="R59" s="1977"/>
      <c r="S59" s="1977"/>
    </row>
    <row r="60" spans="1:19" ht="15.6">
      <c r="A60" s="597"/>
      <c r="B60" s="597"/>
      <c r="C60" s="597"/>
      <c r="D60" s="597"/>
      <c r="J60" s="958" t="s">
        <v>576</v>
      </c>
      <c r="K60" s="1890"/>
      <c r="L60" s="959" t="s">
        <v>2</v>
      </c>
      <c r="M60" s="1977"/>
      <c r="N60" s="1977"/>
      <c r="O60" s="958"/>
      <c r="P60" s="958" t="s">
        <v>2030</v>
      </c>
      <c r="Q60" s="958" t="s">
        <v>2031</v>
      </c>
      <c r="R60" s="1977"/>
      <c r="S60" s="1982" t="s">
        <v>698</v>
      </c>
    </row>
    <row r="61" spans="1:19">
      <c r="A61" s="597"/>
      <c r="B61" s="597"/>
      <c r="C61" s="597"/>
      <c r="D61" s="597"/>
      <c r="J61" s="958"/>
      <c r="K61" s="1890"/>
      <c r="L61" s="959"/>
      <c r="M61" s="1977"/>
      <c r="N61" s="1977"/>
      <c r="O61" s="958"/>
      <c r="P61" s="958"/>
      <c r="Q61" s="958"/>
      <c r="R61" s="1977"/>
      <c r="S61" s="1977"/>
    </row>
    <row r="62" spans="1:19">
      <c r="A62" s="597"/>
      <c r="B62" s="597"/>
      <c r="C62" s="597"/>
      <c r="D62" s="597"/>
      <c r="J62" s="958"/>
      <c r="K62" s="1890"/>
      <c r="L62" s="959"/>
      <c r="M62" s="1977"/>
      <c r="N62" s="1977"/>
      <c r="O62" s="958"/>
      <c r="P62" s="958"/>
      <c r="Q62" s="958"/>
      <c r="R62" s="1977"/>
      <c r="S62" s="1977"/>
    </row>
    <row r="63" spans="1:19">
      <c r="A63" s="597"/>
      <c r="B63" s="597"/>
      <c r="C63" s="597"/>
      <c r="D63" s="597"/>
      <c r="J63" s="1983">
        <v>1</v>
      </c>
      <c r="K63" s="1890"/>
      <c r="L63" s="1890" t="s">
        <v>2022</v>
      </c>
      <c r="M63" s="1977"/>
      <c r="N63" s="1977"/>
      <c r="O63" s="958"/>
      <c r="P63" s="1984">
        <f>SUM(WPC_2!AK224:AK228)</f>
        <v>24535556</v>
      </c>
      <c r="Q63" s="1284">
        <v>22535632</v>
      </c>
      <c r="R63" s="1977"/>
      <c r="S63" s="1989">
        <f>Q63-P63</f>
        <v>-1999924</v>
      </c>
    </row>
    <row r="64" spans="1:19">
      <c r="A64" s="597"/>
      <c r="B64" s="597"/>
      <c r="C64" s="597"/>
      <c r="D64" s="597"/>
      <c r="J64" s="1983">
        <f t="shared" ref="J64:J82" si="0">J63+1</f>
        <v>2</v>
      </c>
      <c r="K64" s="1890"/>
      <c r="L64" s="1890"/>
      <c r="M64" s="1977"/>
      <c r="N64" s="1977"/>
      <c r="O64" s="958"/>
      <c r="P64" s="1984"/>
      <c r="Q64" s="1984"/>
      <c r="R64" s="1977"/>
      <c r="S64" s="1985"/>
    </row>
    <row r="65" spans="1:19" ht="15.6">
      <c r="A65" s="597"/>
      <c r="B65" s="597"/>
      <c r="C65" s="597"/>
      <c r="D65" s="597"/>
      <c r="J65" s="1983">
        <f t="shared" si="0"/>
        <v>3</v>
      </c>
      <c r="K65" s="1890"/>
      <c r="L65" s="1890" t="s">
        <v>2032</v>
      </c>
      <c r="M65" s="1977"/>
      <c r="N65" s="1977"/>
      <c r="O65" s="958"/>
      <c r="P65" s="1984"/>
      <c r="Q65" s="1284">
        <v>1665492</v>
      </c>
      <c r="R65" s="1977"/>
      <c r="S65" s="1989">
        <f>Q65-P65</f>
        <v>1665492</v>
      </c>
    </row>
    <row r="66" spans="1:19">
      <c r="A66" s="597"/>
      <c r="B66" s="597"/>
      <c r="C66" s="597"/>
      <c r="D66" s="597"/>
      <c r="J66" s="1983">
        <f t="shared" si="0"/>
        <v>4</v>
      </c>
      <c r="K66" s="1890"/>
      <c r="L66" s="1890"/>
      <c r="M66" s="1977"/>
      <c r="N66" s="1977"/>
      <c r="O66" s="958"/>
      <c r="P66" s="1984"/>
      <c r="Q66" s="1984"/>
      <c r="R66" s="1977"/>
      <c r="S66" s="1985"/>
    </row>
    <row r="67" spans="1:19">
      <c r="A67" s="597"/>
      <c r="B67" s="597"/>
      <c r="C67" s="597"/>
      <c r="D67" s="597"/>
      <c r="J67" s="1983">
        <f t="shared" si="0"/>
        <v>5</v>
      </c>
      <c r="K67" s="1890"/>
      <c r="L67" s="1890" t="s">
        <v>2033</v>
      </c>
      <c r="M67" s="1977"/>
      <c r="N67" s="1977"/>
      <c r="O67" s="958"/>
      <c r="P67" s="1984">
        <v>691947</v>
      </c>
      <c r="Q67" s="1284">
        <v>855261</v>
      </c>
      <c r="R67" s="1977"/>
      <c r="S67" s="1989">
        <f>Q67-P67</f>
        <v>163314</v>
      </c>
    </row>
    <row r="68" spans="1:19">
      <c r="A68" s="597"/>
      <c r="B68" s="597"/>
      <c r="C68" s="597"/>
      <c r="D68" s="597"/>
      <c r="J68" s="1983">
        <f t="shared" si="0"/>
        <v>6</v>
      </c>
      <c r="K68" s="1890"/>
      <c r="L68" s="1890"/>
      <c r="M68" s="1977"/>
      <c r="N68" s="1977"/>
      <c r="O68" s="958"/>
      <c r="P68" s="1984"/>
      <c r="Q68" s="1984"/>
      <c r="R68" s="1977"/>
      <c r="S68" s="1985"/>
    </row>
    <row r="69" spans="1:19">
      <c r="A69" s="597"/>
      <c r="B69" s="597"/>
      <c r="C69" s="597"/>
      <c r="D69" s="597"/>
      <c r="J69" s="1983">
        <f t="shared" si="0"/>
        <v>7</v>
      </c>
      <c r="K69" s="1890"/>
      <c r="L69" s="1032" t="s">
        <v>1186</v>
      </c>
      <c r="M69" s="1977"/>
      <c r="N69" s="1977"/>
      <c r="O69" s="1984"/>
      <c r="P69" s="1984"/>
      <c r="Q69" s="1984"/>
      <c r="R69" s="1977"/>
      <c r="S69" s="1985"/>
    </row>
    <row r="70" spans="1:19">
      <c r="A70" s="597"/>
      <c r="B70" s="597"/>
      <c r="C70" s="597"/>
      <c r="D70" s="597"/>
      <c r="J70" s="1983">
        <f t="shared" si="0"/>
        <v>8</v>
      </c>
      <c r="K70" s="1890"/>
      <c r="L70" s="1986" t="s">
        <v>2034</v>
      </c>
      <c r="M70" s="1977"/>
      <c r="N70" s="1977"/>
      <c r="O70" s="1984"/>
      <c r="P70" s="1284">
        <v>0</v>
      </c>
      <c r="Q70" s="1284">
        <v>0</v>
      </c>
      <c r="R70" s="1977"/>
      <c r="S70" s="1989">
        <f>Q70-P70</f>
        <v>0</v>
      </c>
    </row>
    <row r="71" spans="1:19">
      <c r="A71" s="597"/>
      <c r="B71" s="597"/>
      <c r="C71" s="597"/>
      <c r="D71" s="597"/>
      <c r="J71" s="1983">
        <f t="shared" si="0"/>
        <v>9</v>
      </c>
      <c r="K71" s="1890"/>
      <c r="L71" s="1986" t="s">
        <v>2035</v>
      </c>
      <c r="M71" s="1977"/>
      <c r="N71" s="1977"/>
      <c r="O71" s="1984"/>
      <c r="P71" s="718">
        <v>0</v>
      </c>
      <c r="Q71" s="718">
        <v>0</v>
      </c>
      <c r="R71" s="1977"/>
      <c r="S71" s="1992">
        <f>Q71-P71</f>
        <v>0</v>
      </c>
    </row>
    <row r="72" spans="1:19">
      <c r="A72" s="597"/>
      <c r="B72" s="597"/>
      <c r="C72" s="597"/>
      <c r="D72" s="597"/>
      <c r="J72" s="1983">
        <f t="shared" si="0"/>
        <v>10</v>
      </c>
      <c r="K72" s="1890"/>
      <c r="L72" s="1986" t="s">
        <v>2036</v>
      </c>
      <c r="M72" s="1977"/>
      <c r="N72" s="1977"/>
      <c r="O72" s="1984"/>
      <c r="P72" s="2149">
        <v>0</v>
      </c>
      <c r="Q72" s="2150">
        <v>663</v>
      </c>
      <c r="R72" s="1977"/>
      <c r="S72" s="1989">
        <f>Q72-P72</f>
        <v>663</v>
      </c>
    </row>
    <row r="73" spans="1:19">
      <c r="A73" s="597"/>
      <c r="B73" s="597"/>
      <c r="C73" s="597"/>
      <c r="D73" s="597"/>
      <c r="J73" s="1983">
        <f t="shared" si="0"/>
        <v>11</v>
      </c>
      <c r="K73" s="252"/>
      <c r="L73" s="252"/>
      <c r="O73" s="719"/>
      <c r="P73" s="719"/>
      <c r="Q73" s="682"/>
    </row>
    <row r="74" spans="1:19">
      <c r="A74" s="597"/>
      <c r="B74" s="597"/>
      <c r="C74" s="597"/>
      <c r="D74" s="597"/>
      <c r="J74" s="1983">
        <f t="shared" si="0"/>
        <v>12</v>
      </c>
      <c r="K74" s="252"/>
      <c r="L74" s="959" t="s">
        <v>2023</v>
      </c>
      <c r="O74" s="719"/>
      <c r="P74" s="719"/>
      <c r="Q74" s="682"/>
    </row>
    <row r="75" spans="1:19">
      <c r="A75" s="597"/>
      <c r="B75" s="597"/>
      <c r="C75" s="597"/>
      <c r="D75" s="597"/>
      <c r="I75" s="646">
        <v>502020</v>
      </c>
      <c r="J75" s="1983">
        <f t="shared" si="0"/>
        <v>13</v>
      </c>
      <c r="K75" s="701"/>
      <c r="L75" s="252" t="s">
        <v>2037</v>
      </c>
      <c r="O75" s="718"/>
      <c r="P75" s="810">
        <f>VLOOKUP(I75,FPERIOD,5,FALSE)</f>
        <v>285500</v>
      </c>
      <c r="Q75" s="256"/>
    </row>
    <row r="76" spans="1:19">
      <c r="A76" s="597"/>
      <c r="B76" s="597"/>
      <c r="C76" s="597"/>
      <c r="D76" s="597"/>
      <c r="I76" s="646">
        <v>502040</v>
      </c>
      <c r="J76" s="1983">
        <f t="shared" si="0"/>
        <v>14</v>
      </c>
      <c r="K76" s="252"/>
      <c r="L76" s="252" t="s">
        <v>1089</v>
      </c>
      <c r="O76" s="718"/>
      <c r="P76" s="256">
        <f>VLOOKUP(I76,FPERIOD,5,FALSE)</f>
        <v>13133400</v>
      </c>
      <c r="Q76" s="256"/>
    </row>
    <row r="77" spans="1:19">
      <c r="A77" s="1889"/>
      <c r="B77" s="1889"/>
      <c r="C77" s="1889"/>
      <c r="D77" s="1889"/>
      <c r="I77" s="646">
        <v>502100</v>
      </c>
      <c r="J77" s="1983">
        <f t="shared" si="0"/>
        <v>15</v>
      </c>
      <c r="K77" s="1890"/>
      <c r="L77" s="1890" t="s">
        <v>2038</v>
      </c>
      <c r="O77" s="718"/>
      <c r="P77" s="718">
        <v>0</v>
      </c>
      <c r="Q77" s="256"/>
    </row>
    <row r="78" spans="1:19">
      <c r="A78" s="597"/>
      <c r="B78" s="597"/>
      <c r="C78" s="597"/>
      <c r="D78" s="597"/>
      <c r="I78" s="646">
        <v>502100</v>
      </c>
      <c r="J78" s="1983">
        <f t="shared" si="0"/>
        <v>16</v>
      </c>
      <c r="K78" s="252"/>
      <c r="L78" s="252" t="s">
        <v>2039</v>
      </c>
      <c r="O78" s="718"/>
      <c r="P78" s="718">
        <v>0</v>
      </c>
      <c r="Q78" s="1524"/>
      <c r="S78" s="1818"/>
    </row>
    <row r="79" spans="1:19">
      <c r="A79" s="597"/>
      <c r="B79" s="597"/>
      <c r="C79" s="597"/>
      <c r="D79" s="597"/>
      <c r="J79" s="1983">
        <f t="shared" si="0"/>
        <v>17</v>
      </c>
      <c r="K79" s="795"/>
      <c r="L79" s="220" t="s">
        <v>2040</v>
      </c>
      <c r="O79" s="810"/>
      <c r="P79" s="2151">
        <f>SUM(P75:P78)</f>
        <v>13418900</v>
      </c>
      <c r="Q79" s="718">
        <v>11618201</v>
      </c>
      <c r="S79" s="1989">
        <f>Q79-P79</f>
        <v>-1800699</v>
      </c>
    </row>
    <row r="80" spans="1:19">
      <c r="A80" s="597"/>
      <c r="B80" s="597"/>
      <c r="C80" s="597"/>
      <c r="D80" s="597"/>
      <c r="J80" s="1983">
        <f t="shared" si="0"/>
        <v>18</v>
      </c>
      <c r="K80" s="795"/>
      <c r="L80" s="220"/>
      <c r="O80" s="810"/>
      <c r="P80" s="810"/>
      <c r="Q80" s="256"/>
    </row>
    <row r="81" spans="1:19">
      <c r="A81" s="597"/>
      <c r="B81" s="597"/>
      <c r="C81" s="597"/>
      <c r="D81" s="597"/>
      <c r="J81" s="1983">
        <f t="shared" si="0"/>
        <v>19</v>
      </c>
      <c r="K81" s="795"/>
      <c r="L81" s="1032" t="s">
        <v>2024</v>
      </c>
      <c r="O81" s="810"/>
      <c r="P81" s="810"/>
      <c r="Q81" s="256"/>
    </row>
    <row r="82" spans="1:19">
      <c r="A82" s="597"/>
      <c r="B82" s="597"/>
      <c r="C82" s="597"/>
      <c r="D82" s="597"/>
      <c r="I82" s="646">
        <v>407324</v>
      </c>
      <c r="J82" s="1983">
        <f t="shared" si="0"/>
        <v>20</v>
      </c>
      <c r="K82" s="795"/>
      <c r="L82" s="220" t="s">
        <v>2041</v>
      </c>
      <c r="O82" s="810"/>
      <c r="P82" s="1285">
        <f>VLOOKUP(I82,FPERIOD,5,FALSE)</f>
        <v>5681148</v>
      </c>
      <c r="Q82" s="718">
        <v>3749774</v>
      </c>
      <c r="S82" s="1989">
        <f>Q82-P82</f>
        <v>-1931374</v>
      </c>
    </row>
    <row r="83" spans="1:19">
      <c r="A83" s="702"/>
      <c r="B83" s="1033"/>
      <c r="C83" s="1033"/>
      <c r="D83" s="1033"/>
      <c r="H83" s="255"/>
      <c r="I83" s="29"/>
      <c r="J83" s="255"/>
      <c r="K83" s="29"/>
      <c r="L83" s="963"/>
      <c r="M83" s="30"/>
      <c r="N83" s="30"/>
      <c r="O83" s="30"/>
      <c r="P83" s="30"/>
      <c r="Q83" s="256"/>
    </row>
    <row r="84" spans="1:19">
      <c r="A84" s="597"/>
      <c r="B84" s="597"/>
      <c r="C84" s="597"/>
      <c r="D84" s="597"/>
      <c r="H84" s="255"/>
      <c r="I84" s="29"/>
      <c r="J84" s="255"/>
      <c r="K84" s="29"/>
      <c r="M84" s="30"/>
      <c r="N84" s="30"/>
      <c r="O84" s="30"/>
      <c r="P84" s="30"/>
      <c r="Q84" s="256"/>
    </row>
    <row r="85" spans="1:19">
      <c r="A85" s="597"/>
      <c r="B85" s="597"/>
      <c r="C85" s="597"/>
      <c r="D85" s="597"/>
      <c r="L85" s="1987" t="s">
        <v>2042</v>
      </c>
      <c r="Q85" s="256"/>
    </row>
    <row r="86" spans="1:19">
      <c r="A86" s="597"/>
      <c r="B86" s="597"/>
      <c r="C86" s="597"/>
      <c r="D86" s="597"/>
      <c r="L86" s="1987" t="s">
        <v>2043</v>
      </c>
    </row>
    <row r="87" spans="1:19">
      <c r="A87" s="597"/>
      <c r="B87" s="597"/>
      <c r="C87" s="597"/>
      <c r="D87" s="597"/>
    </row>
    <row r="88" spans="1:19">
      <c r="A88" s="597"/>
      <c r="B88" s="597"/>
      <c r="C88" s="597"/>
      <c r="D88" s="597"/>
    </row>
    <row r="89" spans="1:19">
      <c r="A89" s="597"/>
      <c r="B89" s="597"/>
      <c r="C89" s="597"/>
      <c r="D89" s="597"/>
    </row>
    <row r="90" spans="1:19">
      <c r="A90" s="597"/>
      <c r="B90" s="597"/>
      <c r="C90" s="597"/>
      <c r="D90" s="597"/>
    </row>
    <row r="91" spans="1:19">
      <c r="A91" s="597"/>
      <c r="B91" s="597"/>
      <c r="C91" s="597"/>
      <c r="D91" s="597"/>
    </row>
    <row r="92" spans="1:19">
      <c r="A92" s="597"/>
      <c r="B92" s="597"/>
      <c r="C92" s="597"/>
      <c r="D92" s="597"/>
    </row>
    <row r="93" spans="1:19">
      <c r="A93" s="597"/>
      <c r="B93" s="597"/>
      <c r="C93" s="597"/>
      <c r="D93" s="597"/>
    </row>
    <row r="94" spans="1:19">
      <c r="A94" s="597"/>
      <c r="B94" s="597"/>
      <c r="C94" s="597"/>
      <c r="D94" s="597"/>
    </row>
    <row r="95" spans="1:19">
      <c r="A95" s="597"/>
      <c r="B95" s="597"/>
      <c r="C95" s="597"/>
      <c r="D95" s="597"/>
    </row>
    <row r="96" spans="1:19">
      <c r="A96" s="597"/>
      <c r="B96" s="597"/>
      <c r="C96" s="597"/>
      <c r="D96" s="597"/>
    </row>
    <row r="97" spans="1:4">
      <c r="A97" s="597"/>
      <c r="B97" s="597"/>
      <c r="C97" s="597"/>
      <c r="D97" s="597"/>
    </row>
    <row r="98" spans="1:4">
      <c r="A98" s="597"/>
      <c r="B98" s="597"/>
      <c r="C98" s="597"/>
      <c r="D98" s="597"/>
    </row>
    <row r="99" spans="1:4">
      <c r="A99" s="597"/>
      <c r="B99" s="597"/>
      <c r="C99" s="597"/>
      <c r="D99" s="597"/>
    </row>
    <row r="100" spans="1:4">
      <c r="A100" s="597"/>
      <c r="B100" s="597"/>
      <c r="C100" s="597"/>
      <c r="D100" s="597"/>
    </row>
    <row r="101" spans="1:4">
      <c r="A101" s="597"/>
      <c r="B101" s="597"/>
      <c r="C101" s="597"/>
      <c r="D101" s="597"/>
    </row>
    <row r="102" spans="1:4">
      <c r="A102" s="597"/>
      <c r="B102" s="597"/>
      <c r="C102" s="597"/>
      <c r="D102" s="597"/>
    </row>
    <row r="103" spans="1:4">
      <c r="A103" s="597"/>
      <c r="B103" s="597"/>
      <c r="C103" s="597"/>
      <c r="D103" s="597"/>
    </row>
    <row r="104" spans="1:4">
      <c r="A104" s="597"/>
      <c r="B104" s="597"/>
      <c r="C104" s="597"/>
      <c r="D104" s="597"/>
    </row>
    <row r="105" spans="1:4">
      <c r="A105" s="597"/>
      <c r="B105" s="597"/>
      <c r="C105" s="597"/>
      <c r="D105" s="597"/>
    </row>
    <row r="106" spans="1:4">
      <c r="A106" s="597"/>
      <c r="B106" s="597"/>
      <c r="C106" s="597"/>
      <c r="D106" s="597"/>
    </row>
    <row r="107" spans="1:4">
      <c r="A107" s="597"/>
      <c r="B107" s="597"/>
      <c r="C107" s="597"/>
      <c r="D107" s="597"/>
    </row>
    <row r="108" spans="1:4">
      <c r="A108" s="597"/>
      <c r="B108" s="597"/>
      <c r="C108" s="597"/>
      <c r="D108" s="597"/>
    </row>
    <row r="109" spans="1:4">
      <c r="A109" s="597"/>
      <c r="B109" s="597"/>
      <c r="C109" s="597"/>
      <c r="D109" s="597"/>
    </row>
    <row r="110" spans="1:4">
      <c r="A110" s="597"/>
      <c r="B110" s="597"/>
      <c r="C110" s="597"/>
      <c r="D110" s="597"/>
    </row>
    <row r="111" spans="1:4">
      <c r="A111" s="597"/>
      <c r="B111" s="597"/>
      <c r="C111" s="597"/>
      <c r="D111" s="597"/>
    </row>
    <row r="112" spans="1:4">
      <c r="A112" s="597"/>
      <c r="B112" s="597"/>
      <c r="C112" s="597"/>
      <c r="D112" s="597"/>
    </row>
  </sheetData>
  <phoneticPr fontId="19" type="noConversion"/>
  <pageMargins left="1" right="0.75" top="1" bottom="0" header="0" footer="0"/>
  <pageSetup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05">
    <tabColor theme="7" tint="-0.249977111117893"/>
    <pageSetUpPr fitToPage="1"/>
  </sheetPr>
  <dimension ref="A1:AF178"/>
  <sheetViews>
    <sheetView workbookViewId="0"/>
  </sheetViews>
  <sheetFormatPr defaultColWidth="8" defaultRowHeight="13.2"/>
  <cols>
    <col min="1" max="5" width="10.5546875" customWidth="1"/>
    <col min="6" max="6" width="14.5546875" customWidth="1"/>
    <col min="7" max="7" width="17.5546875" customWidth="1"/>
    <col min="8" max="8" width="17" customWidth="1"/>
    <col min="9" max="9" width="3.5546875" customWidth="1"/>
    <col min="10" max="10" width="11" customWidth="1"/>
    <col min="11" max="16" width="11.44140625" customWidth="1"/>
    <col min="17" max="17" width="17.5546875" customWidth="1"/>
    <col min="18" max="18" width="17.44140625" customWidth="1"/>
    <col min="19" max="19" width="6.5546875" customWidth="1"/>
    <col min="20" max="20" width="18.5546875" customWidth="1"/>
    <col min="21" max="21" width="6" customWidth="1"/>
    <col min="22" max="22" width="1.5546875" customWidth="1"/>
    <col min="23" max="23" width="41.44140625" customWidth="1"/>
    <col min="24" max="24" width="1.5546875" customWidth="1"/>
    <col min="25" max="25" width="21.44140625" customWidth="1"/>
    <col min="26" max="26" width="15.44140625" customWidth="1"/>
    <col min="27" max="27" width="16.5546875" customWidth="1"/>
    <col min="28" max="28" width="1.5546875" customWidth="1"/>
    <col min="29" max="29" width="17.44140625" customWidth="1"/>
    <col min="30" max="30" width="8" customWidth="1"/>
    <col min="31" max="31" width="12.5546875" bestFit="1" customWidth="1"/>
    <col min="32" max="32" width="14.44140625" customWidth="1"/>
    <col min="33" max="38" width="12.44140625" customWidth="1"/>
  </cols>
  <sheetData>
    <row r="1" spans="1:32">
      <c r="A1" s="591" t="str">
        <f>COMPANY</f>
        <v>DUKE ENERGY KENTUCKY, INC.</v>
      </c>
      <c r="B1" s="591"/>
      <c r="C1" s="591"/>
      <c r="D1" s="591"/>
      <c r="E1" s="591"/>
      <c r="F1" s="591"/>
      <c r="G1" s="591"/>
      <c r="H1" s="591"/>
      <c r="I1" s="591"/>
      <c r="J1" s="589"/>
      <c r="K1" s="589"/>
      <c r="L1" s="589"/>
      <c r="M1" s="589"/>
      <c r="N1" s="589"/>
      <c r="O1" s="589"/>
      <c r="P1" s="589"/>
      <c r="Q1" s="589"/>
      <c r="R1" s="589"/>
      <c r="S1" s="589"/>
      <c r="T1" s="589"/>
      <c r="U1" s="589"/>
      <c r="V1" s="589"/>
      <c r="W1" s="589"/>
      <c r="X1" s="589"/>
      <c r="Y1" s="589"/>
      <c r="Z1" s="589"/>
      <c r="AA1" s="589"/>
      <c r="AB1" s="589"/>
      <c r="AC1" s="589"/>
      <c r="AD1" s="589"/>
      <c r="AE1" s="589"/>
      <c r="AF1" s="589"/>
    </row>
    <row r="2" spans="1:32">
      <c r="A2" s="591" t="str">
        <f>CASE</f>
        <v>CASE NO. 2024-00354</v>
      </c>
      <c r="B2" s="591"/>
      <c r="C2" s="591"/>
      <c r="D2" s="591"/>
      <c r="E2" s="591"/>
      <c r="F2" s="591"/>
      <c r="G2" s="591"/>
      <c r="H2" s="591"/>
      <c r="I2" s="591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  <c r="X2" s="589"/>
      <c r="Y2" s="589"/>
      <c r="Z2" s="589"/>
      <c r="AA2" s="589"/>
      <c r="AB2" s="589"/>
      <c r="AC2" s="589"/>
      <c r="AD2" s="589"/>
      <c r="AE2" s="589"/>
      <c r="AF2" s="589"/>
    </row>
    <row r="3" spans="1:32">
      <c r="A3" s="1024" t="s">
        <v>2044</v>
      </c>
      <c r="B3" s="591"/>
      <c r="C3" s="591"/>
      <c r="D3" s="591"/>
      <c r="E3" s="591"/>
      <c r="F3" s="591"/>
      <c r="G3" s="591"/>
      <c r="H3" s="591"/>
      <c r="I3" s="591"/>
      <c r="J3" s="589"/>
      <c r="K3" s="589"/>
      <c r="L3" s="589"/>
      <c r="M3" s="589"/>
      <c r="N3" s="589"/>
      <c r="O3" s="589"/>
      <c r="P3" s="589"/>
      <c r="Q3" s="589"/>
      <c r="R3" s="589"/>
      <c r="S3" s="589"/>
      <c r="T3" s="589"/>
      <c r="U3" s="589"/>
      <c r="V3" s="589"/>
      <c r="W3" s="589"/>
      <c r="X3" s="589"/>
      <c r="Y3" s="589"/>
      <c r="Z3" s="589"/>
      <c r="AA3" s="589"/>
      <c r="AB3" s="589"/>
      <c r="AC3" s="589"/>
      <c r="AD3" s="589"/>
      <c r="AE3" s="589"/>
      <c r="AF3" s="589"/>
    </row>
    <row r="4" spans="1:32">
      <c r="A4" s="591" t="str">
        <f>PeriodF</f>
        <v>FOR THE TWELVE MONTHS ENDED JUNE 30, 2026</v>
      </c>
      <c r="B4" s="591"/>
      <c r="C4" s="591"/>
      <c r="D4" s="591"/>
      <c r="E4" s="591"/>
      <c r="F4" s="591"/>
      <c r="G4" s="591"/>
      <c r="H4" s="591"/>
      <c r="I4" s="591"/>
      <c r="J4" s="589"/>
      <c r="K4" s="589"/>
      <c r="L4" s="589"/>
      <c r="M4" s="589"/>
      <c r="N4" s="589"/>
      <c r="O4" s="589"/>
      <c r="P4" s="589"/>
      <c r="Q4" s="589"/>
      <c r="R4" s="589"/>
      <c r="S4" s="589"/>
      <c r="T4" s="589"/>
      <c r="U4" s="589"/>
      <c r="V4" s="589"/>
      <c r="W4" s="589"/>
      <c r="X4" s="589"/>
      <c r="Y4" s="589"/>
      <c r="Z4" s="589"/>
      <c r="AA4" s="589"/>
      <c r="AB4" s="589"/>
      <c r="AC4" s="589"/>
      <c r="AD4" s="589"/>
      <c r="AE4" s="589"/>
      <c r="AF4" s="589"/>
    </row>
    <row r="5" spans="1:32">
      <c r="A5" s="589"/>
      <c r="B5" s="589"/>
      <c r="C5" s="589"/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89"/>
      <c r="R5" s="589"/>
      <c r="S5" s="589"/>
      <c r="T5" s="589"/>
      <c r="U5" s="589"/>
      <c r="V5" s="589"/>
      <c r="W5" s="589"/>
      <c r="X5" s="589"/>
      <c r="Y5" s="589"/>
      <c r="Z5" s="589"/>
      <c r="AA5" s="589"/>
      <c r="AB5" s="589"/>
      <c r="AC5" s="589"/>
      <c r="AD5" s="589"/>
      <c r="AE5" s="589"/>
      <c r="AF5" s="589"/>
    </row>
    <row r="6" spans="1:32">
      <c r="A6" s="589" t="str">
        <f>DataF</f>
        <v>DATA:  BASE PERIOD  "X" FORECASTED PERIOD</v>
      </c>
      <c r="B6" s="589"/>
      <c r="C6" s="589"/>
      <c r="D6" s="589"/>
      <c r="E6" s="589"/>
      <c r="F6" s="589"/>
      <c r="G6" s="1025" t="s">
        <v>2045</v>
      </c>
      <c r="H6" s="589"/>
      <c r="I6" s="589"/>
      <c r="J6" s="589"/>
      <c r="K6" s="589"/>
      <c r="L6" s="589"/>
      <c r="M6" s="589"/>
      <c r="N6" s="589"/>
      <c r="O6" s="589"/>
      <c r="P6" s="589"/>
      <c r="Q6" s="589"/>
      <c r="R6" s="589"/>
      <c r="S6" s="589"/>
      <c r="T6" s="589"/>
      <c r="U6" s="589"/>
      <c r="V6" s="589"/>
      <c r="W6" s="589"/>
      <c r="X6" s="589"/>
      <c r="Y6" s="589"/>
      <c r="Z6" s="589"/>
      <c r="AA6" s="589"/>
      <c r="AB6" s="589"/>
      <c r="AC6" s="589"/>
      <c r="AD6" s="589"/>
      <c r="AE6" s="589"/>
      <c r="AF6" s="589"/>
    </row>
    <row r="7" spans="1:32">
      <c r="A7" s="589" t="str">
        <f>Type</f>
        <v xml:space="preserve">TYPE OF FILING:  "X" ORIGINAL   UPDATED    REVISED  </v>
      </c>
      <c r="B7" s="589"/>
      <c r="C7" s="589"/>
      <c r="D7" s="589"/>
      <c r="E7" s="589"/>
      <c r="F7" s="589"/>
      <c r="G7" s="1025" t="s">
        <v>2046</v>
      </c>
      <c r="H7" s="589"/>
      <c r="I7" s="589"/>
      <c r="J7" s="589"/>
      <c r="K7" s="589"/>
      <c r="L7" s="589"/>
      <c r="M7" s="589"/>
      <c r="N7" s="589"/>
      <c r="O7" s="589"/>
      <c r="P7" s="589"/>
      <c r="Q7" s="589"/>
      <c r="R7" s="589"/>
      <c r="S7" s="589"/>
      <c r="T7" s="589"/>
      <c r="U7" s="589"/>
      <c r="V7" s="589"/>
      <c r="W7" s="589"/>
      <c r="X7" s="589"/>
      <c r="Y7" s="589"/>
      <c r="Z7" s="589"/>
      <c r="AA7" s="589"/>
      <c r="AB7" s="589"/>
      <c r="AC7" s="589"/>
      <c r="AD7" s="589"/>
      <c r="AE7" s="589"/>
      <c r="AF7" s="589"/>
    </row>
    <row r="8" spans="1:32">
      <c r="A8" s="590" t="s">
        <v>2047</v>
      </c>
      <c r="B8" s="589"/>
      <c r="C8" s="589"/>
      <c r="D8" s="589"/>
      <c r="E8" s="589"/>
      <c r="F8" s="589"/>
      <c r="G8" s="1025" t="s">
        <v>1727</v>
      </c>
      <c r="H8" s="589"/>
      <c r="I8" s="589"/>
      <c r="J8" s="589"/>
      <c r="K8" s="589"/>
      <c r="L8" s="589"/>
      <c r="M8" s="589"/>
      <c r="N8" s="589"/>
      <c r="O8" s="589"/>
      <c r="P8" s="589"/>
      <c r="Q8" s="589"/>
      <c r="R8" s="589"/>
      <c r="S8" s="589"/>
      <c r="T8" s="589"/>
      <c r="U8" s="589"/>
      <c r="V8" s="589"/>
      <c r="W8" s="589"/>
      <c r="X8" s="589"/>
      <c r="Y8" s="589"/>
      <c r="Z8" s="589"/>
      <c r="AA8" s="589"/>
      <c r="AB8" s="589"/>
      <c r="AC8" s="589"/>
      <c r="AD8" s="589"/>
      <c r="AE8" s="589"/>
      <c r="AF8" s="589"/>
    </row>
    <row r="9" spans="1:32">
      <c r="A9" s="589"/>
      <c r="B9" s="589"/>
      <c r="C9" s="589"/>
      <c r="D9" s="589"/>
      <c r="E9" s="589"/>
      <c r="F9" s="589"/>
      <c r="G9" s="589" t="str">
        <f>"          "&amp;_WIT1</f>
        <v xml:space="preserve">          L. D. STEINKUHL</v>
      </c>
      <c r="H9" s="589"/>
      <c r="I9" s="589"/>
      <c r="J9" s="589"/>
      <c r="K9" s="589"/>
      <c r="L9" s="589"/>
      <c r="M9" s="589"/>
      <c r="N9" s="589"/>
      <c r="O9" s="589"/>
      <c r="P9" s="589"/>
      <c r="Q9" s="589"/>
      <c r="R9" s="589"/>
      <c r="S9" s="589"/>
      <c r="T9" s="589"/>
      <c r="U9" s="589"/>
      <c r="V9" s="589"/>
      <c r="W9" s="589"/>
      <c r="X9" s="589"/>
      <c r="Y9" s="589"/>
      <c r="Z9" s="589"/>
      <c r="AA9" s="589"/>
      <c r="AB9" s="589"/>
      <c r="AC9" s="589"/>
      <c r="AD9" s="589"/>
      <c r="AE9" s="589"/>
      <c r="AF9" s="589"/>
    </row>
    <row r="10" spans="1:32">
      <c r="A10" s="1517"/>
      <c r="B10" s="1517"/>
      <c r="C10" s="1517"/>
      <c r="D10" s="1517"/>
      <c r="E10" s="1517"/>
      <c r="F10" s="1517"/>
      <c r="G10" s="1517"/>
      <c r="H10" s="1517"/>
      <c r="I10" s="590"/>
      <c r="J10" s="589"/>
      <c r="K10" s="589"/>
      <c r="L10" s="589"/>
      <c r="M10" s="589"/>
      <c r="N10" s="589"/>
      <c r="O10" s="589"/>
      <c r="P10" s="589"/>
      <c r="Q10" s="589"/>
      <c r="R10" s="589"/>
      <c r="S10" s="589"/>
      <c r="T10" s="589"/>
      <c r="U10" s="589"/>
      <c r="V10" s="589"/>
      <c r="W10" s="589"/>
      <c r="X10" s="589"/>
      <c r="Y10" s="589"/>
      <c r="Z10" s="589"/>
      <c r="AA10" s="589"/>
      <c r="AB10" s="589"/>
      <c r="AC10" s="589"/>
      <c r="AD10" s="589"/>
      <c r="AE10" s="589"/>
      <c r="AF10" s="589"/>
    </row>
    <row r="11" spans="1:32">
      <c r="A11" s="589"/>
      <c r="B11" s="589"/>
      <c r="C11" s="589"/>
      <c r="D11" s="589"/>
      <c r="E11" s="589"/>
      <c r="F11" s="589"/>
      <c r="G11" s="589"/>
      <c r="H11" s="589"/>
      <c r="I11" s="589"/>
      <c r="J11" s="589"/>
      <c r="K11" s="589"/>
      <c r="L11" s="589"/>
      <c r="M11" s="589"/>
      <c r="N11" s="589"/>
      <c r="O11" s="589"/>
      <c r="P11" s="589"/>
      <c r="Q11" s="589"/>
      <c r="R11" s="589"/>
      <c r="S11" s="589"/>
      <c r="T11" s="589"/>
      <c r="U11" s="589"/>
      <c r="V11" s="589"/>
      <c r="W11" s="589"/>
      <c r="X11" s="589"/>
      <c r="Y11" s="589"/>
      <c r="Z11" s="589"/>
      <c r="AA11" s="589"/>
      <c r="AB11" s="589"/>
      <c r="AC11" s="589"/>
      <c r="AD11" s="589"/>
      <c r="AE11" s="589"/>
      <c r="AF11" s="589"/>
    </row>
    <row r="12" spans="1:32">
      <c r="A12" s="590" t="s">
        <v>1857</v>
      </c>
      <c r="B12" s="589"/>
      <c r="C12" s="589"/>
      <c r="D12" s="589"/>
      <c r="E12" s="589"/>
      <c r="F12" s="589"/>
      <c r="G12" s="589"/>
      <c r="H12" s="592" t="s">
        <v>975</v>
      </c>
      <c r="I12" s="589"/>
      <c r="J12" s="589"/>
      <c r="K12" s="589"/>
      <c r="L12" s="589"/>
      <c r="M12" s="589"/>
      <c r="N12" s="589"/>
      <c r="O12" s="589"/>
      <c r="P12" s="589"/>
      <c r="Q12" s="589"/>
      <c r="R12" s="589"/>
      <c r="S12" s="589"/>
      <c r="T12" s="589"/>
      <c r="U12" s="589"/>
      <c r="V12" s="589"/>
      <c r="W12" s="589"/>
      <c r="X12" s="589"/>
      <c r="Y12" s="589"/>
      <c r="Z12" s="589"/>
      <c r="AA12" s="589"/>
      <c r="AB12" s="589"/>
      <c r="AC12" s="589"/>
      <c r="AD12" s="589"/>
      <c r="AE12" s="589"/>
      <c r="AF12" s="589"/>
    </row>
    <row r="13" spans="1:32">
      <c r="A13" s="1517"/>
      <c r="B13" s="1517"/>
      <c r="C13" s="1517"/>
      <c r="D13" s="1517"/>
      <c r="E13" s="1517"/>
      <c r="F13" s="1517"/>
      <c r="G13" s="1517"/>
      <c r="H13" s="1517"/>
      <c r="I13" s="590"/>
      <c r="J13" s="589"/>
      <c r="K13" s="589"/>
      <c r="L13" s="589"/>
      <c r="M13" s="589"/>
      <c r="N13" s="589"/>
      <c r="O13" s="589"/>
      <c r="P13" s="589"/>
      <c r="Q13" s="589"/>
      <c r="R13" s="589"/>
      <c r="S13" s="589"/>
      <c r="T13" s="589"/>
      <c r="U13" s="589"/>
      <c r="V13" s="589"/>
      <c r="W13" s="589"/>
      <c r="X13" s="589"/>
      <c r="Y13" s="589"/>
      <c r="Z13" s="589"/>
      <c r="AA13" s="589"/>
      <c r="AB13" s="589"/>
      <c r="AC13" s="589"/>
      <c r="AD13" s="589"/>
      <c r="AE13" s="589"/>
      <c r="AF13" s="589"/>
    </row>
    <row r="14" spans="1:32">
      <c r="A14" s="589"/>
      <c r="B14" s="589"/>
      <c r="C14" s="589"/>
      <c r="D14" s="589"/>
      <c r="E14" s="589"/>
      <c r="F14" s="589"/>
      <c r="G14" s="589"/>
      <c r="H14" s="592"/>
      <c r="I14" s="589"/>
      <c r="J14" s="1025"/>
      <c r="K14" s="589"/>
      <c r="L14" s="589"/>
      <c r="M14" s="589"/>
      <c r="N14" s="589"/>
      <c r="O14" s="589"/>
      <c r="P14" s="589"/>
      <c r="Q14" s="589"/>
      <c r="R14" s="589"/>
      <c r="S14" s="589"/>
      <c r="T14" s="589"/>
      <c r="U14" s="589"/>
      <c r="V14" s="589"/>
      <c r="W14" s="589"/>
      <c r="X14" s="589"/>
      <c r="Y14" s="589"/>
      <c r="Z14" s="589"/>
      <c r="AA14" s="589"/>
      <c r="AB14" s="589"/>
      <c r="AC14" s="589"/>
      <c r="AD14" s="589"/>
      <c r="AE14" s="589"/>
      <c r="AF14" s="589"/>
    </row>
    <row r="15" spans="1:32">
      <c r="A15" s="590" t="s">
        <v>2048</v>
      </c>
      <c r="B15" s="589"/>
      <c r="C15" s="589"/>
      <c r="D15" s="589"/>
      <c r="E15" s="589"/>
      <c r="F15" s="589"/>
      <c r="G15" s="589"/>
      <c r="H15" s="589"/>
      <c r="I15" s="589"/>
      <c r="J15" s="589"/>
      <c r="K15" s="589"/>
      <c r="L15" s="589"/>
      <c r="M15" s="589"/>
      <c r="N15" s="589"/>
      <c r="O15" s="589"/>
      <c r="P15" s="589"/>
      <c r="Q15" s="589"/>
      <c r="R15" s="589"/>
      <c r="S15" s="589"/>
      <c r="T15" s="589"/>
      <c r="U15" s="589"/>
      <c r="V15" s="589"/>
      <c r="W15" s="589"/>
      <c r="X15" s="589"/>
      <c r="Y15" s="589"/>
      <c r="Z15" s="589"/>
      <c r="AA15" s="589"/>
      <c r="AB15" s="589"/>
      <c r="AC15" s="589"/>
      <c r="AD15" s="589"/>
      <c r="AE15" s="589"/>
      <c r="AF15" s="589"/>
    </row>
    <row r="16" spans="1:32">
      <c r="A16" s="602" t="s">
        <v>2049</v>
      </c>
      <c r="B16" s="589"/>
      <c r="C16" s="589"/>
      <c r="D16" s="589"/>
      <c r="E16" s="589"/>
      <c r="F16" s="589"/>
      <c r="G16" s="589"/>
      <c r="H16" s="589"/>
      <c r="I16" s="589"/>
      <c r="J16" s="589"/>
      <c r="K16" s="589"/>
      <c r="L16" s="589"/>
      <c r="M16" s="589"/>
      <c r="N16" s="589"/>
      <c r="O16" s="589"/>
      <c r="P16" s="589"/>
      <c r="Q16" s="589"/>
      <c r="R16" s="589"/>
      <c r="S16" s="589"/>
      <c r="T16" s="589"/>
      <c r="U16" s="589"/>
      <c r="V16" s="589"/>
      <c r="W16" s="589"/>
      <c r="X16" s="589"/>
      <c r="Y16" s="589"/>
      <c r="Z16" s="589"/>
      <c r="AA16" s="589"/>
      <c r="AB16" s="589"/>
      <c r="AC16" s="589"/>
      <c r="AD16" s="589"/>
      <c r="AE16" s="589"/>
      <c r="AF16" s="589"/>
    </row>
    <row r="17" spans="1:32">
      <c r="A17" s="589" t="str">
        <f>"of the 13 month average rate base as of "&amp;PROPER(Testyear)&amp;", as shown on"</f>
        <v>of the 13 month average rate base as of June 30, 2026, as shown on</v>
      </c>
      <c r="B17" s="589"/>
      <c r="C17" s="589"/>
      <c r="D17" s="589"/>
      <c r="E17" s="589"/>
      <c r="F17" s="589"/>
      <c r="G17" s="589"/>
      <c r="H17" s="589"/>
      <c r="I17" s="589"/>
      <c r="J17" s="589"/>
      <c r="K17" s="589"/>
      <c r="L17" s="589"/>
      <c r="M17" s="589"/>
      <c r="N17" s="589"/>
      <c r="O17" s="589"/>
      <c r="P17" s="589"/>
      <c r="Q17" s="589"/>
      <c r="R17" s="589"/>
      <c r="S17" s="589"/>
      <c r="T17" s="589"/>
      <c r="U17" s="589"/>
      <c r="V17" s="589"/>
      <c r="W17" s="589"/>
      <c r="X17" s="589"/>
      <c r="Y17" s="589"/>
      <c r="Z17" s="589"/>
      <c r="AA17" s="589"/>
      <c r="AB17" s="589"/>
      <c r="AC17" s="589"/>
      <c r="AD17" s="589"/>
      <c r="AE17" s="589"/>
      <c r="AF17" s="589"/>
    </row>
    <row r="18" spans="1:32">
      <c r="A18" s="589" t="s">
        <v>2050</v>
      </c>
      <c r="B18" s="589"/>
      <c r="C18" s="589"/>
      <c r="D18" s="1026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</row>
    <row r="19" spans="1:32">
      <c r="A19" s="589"/>
      <c r="B19" s="589"/>
      <c r="C19" s="589"/>
      <c r="D19" s="589"/>
      <c r="E19" s="589"/>
      <c r="F19" s="589"/>
      <c r="G19" s="589"/>
      <c r="H19" s="589"/>
      <c r="I19" s="589"/>
      <c r="J19" s="589"/>
      <c r="K19" s="589"/>
      <c r="L19" s="589"/>
      <c r="M19" s="589"/>
      <c r="N19" s="589"/>
      <c r="O19" s="589"/>
      <c r="P19" s="589"/>
      <c r="Q19" s="589"/>
      <c r="R19" s="589"/>
      <c r="S19" s="589"/>
      <c r="T19" s="589"/>
      <c r="U19" s="589"/>
      <c r="V19" s="589"/>
      <c r="W19" s="589"/>
      <c r="X19" s="589"/>
      <c r="Y19" s="589"/>
      <c r="Z19" s="589"/>
      <c r="AA19" s="589"/>
      <c r="AB19" s="589"/>
      <c r="AC19" s="589"/>
      <c r="AD19" s="589"/>
      <c r="AE19" s="589"/>
      <c r="AF19" s="589"/>
    </row>
    <row r="20" spans="1:32">
      <c r="A20" s="589"/>
      <c r="B20" s="589"/>
      <c r="C20" s="589"/>
      <c r="D20" s="589"/>
      <c r="E20" s="589"/>
      <c r="F20" s="589"/>
      <c r="G20" s="589"/>
      <c r="H20" s="589"/>
      <c r="I20" s="589"/>
      <c r="J20" s="589"/>
      <c r="K20" s="589"/>
      <c r="L20" s="589"/>
      <c r="M20" s="589"/>
      <c r="N20" s="589"/>
      <c r="O20" s="589"/>
      <c r="P20" s="589"/>
      <c r="Q20" s="589"/>
      <c r="R20" s="589"/>
      <c r="S20" s="589"/>
      <c r="T20" s="589"/>
      <c r="U20" s="589"/>
      <c r="V20" s="589"/>
      <c r="W20" s="589"/>
      <c r="X20" s="589"/>
      <c r="Y20" s="589"/>
      <c r="Z20" s="589"/>
      <c r="AA20" s="589"/>
      <c r="AB20" s="589"/>
      <c r="AC20" s="589"/>
      <c r="AD20" s="589"/>
      <c r="AE20" s="589"/>
      <c r="AF20" s="589"/>
    </row>
    <row r="21" spans="1:32">
      <c r="A21" s="589"/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  <c r="AD21" s="589"/>
      <c r="AE21" s="589"/>
      <c r="AF21" s="589"/>
    </row>
    <row r="22" spans="1:32">
      <c r="A22" s="590" t="s">
        <v>258</v>
      </c>
      <c r="B22" s="589"/>
      <c r="C22" s="589"/>
      <c r="D22" s="589"/>
      <c r="E22" s="589"/>
      <c r="F22" s="589"/>
      <c r="G22" s="1027"/>
      <c r="H22" s="682">
        <f>AC98</f>
        <v>1854665</v>
      </c>
      <c r="I22" s="589"/>
      <c r="J22" s="589"/>
      <c r="K22" s="589"/>
      <c r="L22" s="589"/>
      <c r="M22" s="589"/>
      <c r="N22" s="589"/>
      <c r="O22" s="589"/>
      <c r="P22" s="589"/>
      <c r="Q22" s="589"/>
      <c r="R22" s="589"/>
      <c r="S22" s="589"/>
      <c r="T22" s="589"/>
      <c r="U22" s="589"/>
      <c r="V22" s="589"/>
      <c r="W22" s="589"/>
      <c r="X22" s="589"/>
      <c r="Y22" s="589"/>
      <c r="Z22" s="589"/>
      <c r="AA22" s="589"/>
      <c r="AB22" s="589"/>
      <c r="AC22" s="589"/>
      <c r="AD22" s="589"/>
      <c r="AE22" s="589"/>
      <c r="AF22" s="589"/>
    </row>
    <row r="23" spans="1:32">
      <c r="A23" s="589"/>
      <c r="B23" s="589"/>
      <c r="C23" s="589"/>
      <c r="D23" s="589"/>
      <c r="E23" s="589"/>
      <c r="F23" s="589"/>
      <c r="G23" s="589"/>
      <c r="H23" s="1027"/>
      <c r="I23" s="589"/>
      <c r="J23" s="589"/>
      <c r="K23" s="589"/>
      <c r="L23" s="589"/>
      <c r="M23" s="589"/>
      <c r="N23" s="589"/>
      <c r="O23" s="589"/>
      <c r="P23" s="589"/>
      <c r="Q23" s="589"/>
      <c r="R23" s="589"/>
      <c r="S23" s="589"/>
      <c r="T23" s="589"/>
      <c r="U23" s="589"/>
      <c r="V23" s="589"/>
      <c r="W23" s="589"/>
      <c r="X23" s="589"/>
      <c r="Y23" s="589"/>
      <c r="Z23" s="589"/>
      <c r="AA23" s="589"/>
      <c r="AB23" s="589"/>
      <c r="AC23" s="589"/>
      <c r="AD23" s="589"/>
      <c r="AE23" s="589"/>
      <c r="AF23" s="589"/>
    </row>
    <row r="24" spans="1:32">
      <c r="A24" s="589"/>
      <c r="B24" s="589"/>
      <c r="C24" s="589"/>
      <c r="D24" s="589"/>
      <c r="E24" s="589"/>
      <c r="F24" s="589"/>
      <c r="G24" s="589"/>
      <c r="H24" s="589"/>
      <c r="I24" s="589"/>
      <c r="J24" s="589"/>
      <c r="K24" s="589"/>
      <c r="L24" s="589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589"/>
      <c r="X24" s="589"/>
      <c r="Y24" s="589"/>
      <c r="Z24" s="589"/>
      <c r="AA24" s="589"/>
      <c r="AB24" s="589"/>
      <c r="AC24" s="589"/>
      <c r="AD24" s="589"/>
      <c r="AE24" s="589"/>
      <c r="AF24" s="589"/>
    </row>
    <row r="25" spans="1:32">
      <c r="A25" s="590" t="s">
        <v>1862</v>
      </c>
      <c r="B25" s="589"/>
      <c r="C25" s="589"/>
      <c r="D25" s="589"/>
      <c r="E25" s="589"/>
      <c r="F25" s="589"/>
      <c r="G25" s="589"/>
      <c r="H25" s="1028">
        <f>VLOOKUP(D31,ALLOCTABLE,2)/100</f>
        <v>1</v>
      </c>
      <c r="I25" s="589"/>
      <c r="J25" s="589"/>
      <c r="K25" s="589"/>
      <c r="L25" s="589"/>
      <c r="M25" s="589"/>
      <c r="N25" s="589"/>
      <c r="O25" s="589"/>
      <c r="P25" s="589"/>
      <c r="Q25" s="589"/>
      <c r="R25" s="589"/>
      <c r="S25" s="589"/>
      <c r="T25" s="589"/>
      <c r="U25" s="589"/>
      <c r="V25" s="589"/>
      <c r="W25" s="589"/>
      <c r="X25" s="589"/>
      <c r="Y25" s="589"/>
      <c r="Z25" s="589"/>
      <c r="AA25" s="589"/>
      <c r="AB25" s="589"/>
      <c r="AC25" s="589"/>
      <c r="AD25" s="589"/>
      <c r="AE25" s="589"/>
      <c r="AF25" s="589"/>
    </row>
    <row r="26" spans="1:32">
      <c r="A26" s="589"/>
      <c r="B26" s="589"/>
      <c r="C26" s="589"/>
      <c r="D26" s="589"/>
      <c r="E26" s="589"/>
      <c r="F26" s="589"/>
      <c r="G26" s="589"/>
      <c r="H26" s="1027"/>
      <c r="I26" s="589"/>
      <c r="J26" s="589"/>
      <c r="K26" s="589"/>
      <c r="L26" s="589"/>
      <c r="M26" s="589"/>
      <c r="N26" s="589"/>
      <c r="O26" s="589"/>
      <c r="P26" s="589"/>
      <c r="Q26" s="589"/>
      <c r="R26" s="589"/>
      <c r="S26" s="589"/>
      <c r="T26" s="589"/>
      <c r="U26" s="589"/>
      <c r="V26" s="589"/>
      <c r="W26" s="589"/>
      <c r="X26" s="589"/>
      <c r="Y26" s="589"/>
      <c r="Z26" s="589"/>
      <c r="AA26" s="589"/>
      <c r="AB26" s="589"/>
      <c r="AC26" s="589"/>
      <c r="AD26" s="589"/>
      <c r="AE26" s="589"/>
      <c r="AF26" s="589"/>
    </row>
    <row r="27" spans="1:32">
      <c r="A27" s="589"/>
      <c r="B27" s="589"/>
      <c r="C27" s="589"/>
      <c r="D27" s="589"/>
      <c r="E27" s="589"/>
      <c r="F27" s="589"/>
      <c r="G27" s="589"/>
      <c r="H27" s="589"/>
      <c r="I27" s="589"/>
      <c r="J27" s="589"/>
      <c r="K27" s="589"/>
      <c r="L27" s="589"/>
      <c r="M27" s="589"/>
      <c r="N27" s="589"/>
      <c r="O27" s="589"/>
      <c r="P27" s="589"/>
      <c r="Q27" s="589"/>
      <c r="R27" s="589"/>
      <c r="S27" s="589"/>
      <c r="T27" s="589"/>
      <c r="U27" s="589"/>
      <c r="V27" s="589"/>
      <c r="W27" s="589"/>
      <c r="X27" s="589"/>
      <c r="Y27" s="589"/>
      <c r="Z27" s="589"/>
      <c r="AA27" s="589"/>
      <c r="AB27" s="589"/>
      <c r="AC27" s="589"/>
      <c r="AD27" s="589"/>
      <c r="AE27" s="589"/>
      <c r="AF27" s="589"/>
    </row>
    <row r="28" spans="1:32" ht="15">
      <c r="A28" s="590" t="s">
        <v>1863</v>
      </c>
      <c r="B28" s="589"/>
      <c r="C28" s="589"/>
      <c r="D28" s="589"/>
      <c r="E28" s="589"/>
      <c r="F28" s="590" t="s">
        <v>1876</v>
      </c>
      <c r="G28" s="1027"/>
      <c r="H28" s="705">
        <f>ROUND(H22*H25,0)</f>
        <v>1854665</v>
      </c>
      <c r="I28" s="589"/>
      <c r="J28" s="589"/>
      <c r="K28" s="589"/>
      <c r="L28" s="589"/>
      <c r="M28" s="589"/>
      <c r="N28" s="589"/>
      <c r="O28" s="589"/>
      <c r="P28" s="589"/>
      <c r="Q28" s="589"/>
      <c r="R28" s="589"/>
      <c r="S28" s="589"/>
      <c r="T28" s="589"/>
      <c r="U28" s="589"/>
      <c r="V28" s="589"/>
      <c r="W28" s="589"/>
      <c r="X28" s="589"/>
      <c r="Y28" s="589"/>
      <c r="Z28" s="589"/>
      <c r="AA28" s="589"/>
      <c r="AB28" s="589"/>
      <c r="AC28" s="589"/>
      <c r="AD28" s="589"/>
      <c r="AE28" s="589"/>
      <c r="AF28" s="589"/>
    </row>
    <row r="29" spans="1:32">
      <c r="A29" s="589"/>
      <c r="B29" s="589"/>
      <c r="C29" s="589"/>
      <c r="D29" s="589"/>
      <c r="E29" s="589"/>
      <c r="F29" s="589"/>
      <c r="G29" s="589"/>
      <c r="H29" s="1027"/>
      <c r="I29" s="589"/>
      <c r="J29" s="589"/>
      <c r="K29" s="589"/>
      <c r="L29" s="589"/>
      <c r="M29" s="589"/>
      <c r="N29" s="589"/>
      <c r="O29" s="589"/>
      <c r="P29" s="589"/>
      <c r="Q29" s="589"/>
      <c r="R29" s="589"/>
      <c r="S29" s="589"/>
      <c r="T29" s="589"/>
      <c r="U29" s="589"/>
      <c r="V29" s="589"/>
      <c r="W29" s="589"/>
      <c r="X29" s="589"/>
      <c r="Y29" s="589"/>
      <c r="Z29" s="589"/>
      <c r="AA29" s="589"/>
      <c r="AB29" s="589"/>
      <c r="AC29" s="589"/>
      <c r="AD29" s="589"/>
      <c r="AE29" s="589"/>
      <c r="AF29" s="589"/>
    </row>
    <row r="30" spans="1:32">
      <c r="A30" s="589"/>
      <c r="B30" s="589"/>
      <c r="C30" s="589"/>
      <c r="D30" s="589"/>
      <c r="E30" s="589"/>
      <c r="F30" s="589"/>
      <c r="G30" s="589"/>
      <c r="H30" s="1027"/>
      <c r="I30" s="589"/>
      <c r="J30" s="589"/>
      <c r="K30" s="589"/>
      <c r="L30" s="589"/>
      <c r="M30" s="589"/>
      <c r="N30" s="589"/>
      <c r="O30" s="589"/>
      <c r="P30" s="589"/>
      <c r="Q30" s="589"/>
      <c r="R30" s="589"/>
      <c r="S30" s="589"/>
      <c r="T30" s="589"/>
      <c r="U30" s="589"/>
      <c r="V30" s="589"/>
      <c r="W30" s="589"/>
      <c r="X30" s="589"/>
      <c r="Y30" s="589"/>
      <c r="Z30" s="589"/>
      <c r="AA30" s="589"/>
      <c r="AB30" s="589"/>
      <c r="AC30" s="589"/>
      <c r="AD30" s="589"/>
      <c r="AE30" s="589"/>
      <c r="AF30" s="589"/>
    </row>
    <row r="31" spans="1:32">
      <c r="A31" s="589" t="s">
        <v>1864</v>
      </c>
      <c r="B31" s="589"/>
      <c r="C31" s="589"/>
      <c r="D31" s="1029" t="s">
        <v>428</v>
      </c>
      <c r="E31" s="589"/>
      <c r="F31" s="589"/>
      <c r="G31" s="589"/>
      <c r="H31" s="1027"/>
      <c r="I31" s="589"/>
      <c r="J31" s="589"/>
      <c r="K31" s="589"/>
      <c r="L31" s="589"/>
      <c r="M31" s="589"/>
      <c r="N31" s="589"/>
      <c r="O31" s="589"/>
      <c r="P31" s="589"/>
      <c r="Q31" s="589"/>
      <c r="R31" s="589"/>
      <c r="S31" s="589"/>
      <c r="T31" s="589"/>
      <c r="U31" s="589"/>
      <c r="V31" s="589"/>
      <c r="W31" s="589"/>
      <c r="X31" s="589"/>
      <c r="Y31" s="589"/>
      <c r="Z31" s="589"/>
      <c r="AA31" s="589"/>
      <c r="AB31" s="589"/>
      <c r="AC31" s="589"/>
      <c r="AD31" s="589"/>
      <c r="AE31" s="589"/>
      <c r="AF31" s="589"/>
    </row>
    <row r="32" spans="1:32">
      <c r="A32" s="589"/>
      <c r="B32" s="589"/>
      <c r="C32" s="589"/>
      <c r="D32" s="589"/>
      <c r="E32" s="589"/>
      <c r="F32" s="589"/>
      <c r="G32" s="589"/>
      <c r="H32" s="1027"/>
      <c r="I32" s="589"/>
      <c r="J32" s="589"/>
      <c r="K32" s="589"/>
      <c r="L32" s="589"/>
      <c r="M32" s="589"/>
      <c r="N32" s="589"/>
      <c r="O32" s="589"/>
      <c r="P32" s="589"/>
      <c r="Q32" s="589"/>
      <c r="R32" s="589"/>
      <c r="S32" s="589"/>
      <c r="T32" s="589"/>
      <c r="U32" s="589"/>
      <c r="V32" s="589"/>
      <c r="W32" s="589"/>
      <c r="X32" s="589"/>
      <c r="Y32" s="589"/>
      <c r="Z32" s="589"/>
      <c r="AA32" s="589"/>
      <c r="AB32" s="589"/>
      <c r="AC32" s="589"/>
      <c r="AD32" s="589"/>
      <c r="AE32" s="589"/>
      <c r="AF32" s="589"/>
    </row>
    <row r="33" spans="1:32">
      <c r="A33" s="590"/>
      <c r="B33" s="589"/>
      <c r="C33" s="589"/>
      <c r="D33" s="589"/>
      <c r="E33" s="589"/>
      <c r="F33" s="589"/>
      <c r="G33" s="589"/>
      <c r="H33" s="589"/>
      <c r="I33" s="589"/>
      <c r="J33" s="589"/>
      <c r="K33" s="589"/>
      <c r="L33" s="589"/>
      <c r="M33" s="589"/>
      <c r="N33" s="589"/>
      <c r="O33" s="589"/>
      <c r="P33" s="589"/>
      <c r="Q33" s="589"/>
      <c r="R33" s="589"/>
      <c r="S33" s="589"/>
      <c r="T33" s="589"/>
      <c r="U33" s="589"/>
      <c r="V33" s="589"/>
      <c r="W33" s="589"/>
      <c r="X33" s="589"/>
      <c r="Y33" s="589"/>
      <c r="Z33" s="589"/>
      <c r="AA33" s="589"/>
      <c r="AB33" s="589"/>
      <c r="AC33" s="589"/>
      <c r="AD33" s="589"/>
      <c r="AE33" s="589"/>
      <c r="AF33" s="589"/>
    </row>
    <row r="34" spans="1:32">
      <c r="A34" s="589"/>
      <c r="B34" s="589"/>
      <c r="C34" s="589"/>
      <c r="D34" s="589"/>
      <c r="E34" s="589"/>
      <c r="F34" s="589"/>
      <c r="G34" s="589"/>
      <c r="H34" s="589"/>
      <c r="I34" s="589"/>
      <c r="J34" s="591" t="str">
        <f>COMPANY</f>
        <v>DUKE ENERGY KENTUCKY, INC.</v>
      </c>
      <c r="K34" s="591"/>
      <c r="L34" s="591"/>
      <c r="M34" s="591"/>
      <c r="N34" s="591"/>
      <c r="O34" s="591"/>
      <c r="P34" s="591"/>
      <c r="Q34" s="591"/>
      <c r="R34" s="591"/>
      <c r="S34" s="589"/>
      <c r="T34" s="589"/>
      <c r="U34" s="589"/>
      <c r="V34" s="589"/>
      <c r="W34" s="589"/>
      <c r="X34" s="589"/>
      <c r="Y34" s="589"/>
      <c r="Z34" s="589"/>
      <c r="AA34" s="589"/>
      <c r="AB34" s="589"/>
      <c r="AC34" s="589"/>
      <c r="AD34" s="589"/>
      <c r="AE34" s="589"/>
      <c r="AF34" s="589"/>
    </row>
    <row r="35" spans="1:32">
      <c r="A35" s="589"/>
      <c r="B35" s="589"/>
      <c r="C35" s="589"/>
      <c r="D35" s="589"/>
      <c r="E35" s="589"/>
      <c r="F35" s="589"/>
      <c r="G35" s="589"/>
      <c r="H35" s="589"/>
      <c r="I35" s="589"/>
      <c r="J35" s="591" t="str">
        <f>CASE</f>
        <v>CASE NO. 2024-00354</v>
      </c>
      <c r="K35" s="591"/>
      <c r="L35" s="591"/>
      <c r="M35" s="591"/>
      <c r="N35" s="591"/>
      <c r="O35" s="591"/>
      <c r="P35" s="591"/>
      <c r="Q35" s="591"/>
      <c r="R35" s="591"/>
      <c r="S35" s="589"/>
      <c r="T35" s="589"/>
      <c r="U35" s="589"/>
      <c r="V35" s="589"/>
      <c r="W35" s="589"/>
      <c r="X35" s="589"/>
      <c r="Y35" s="589"/>
      <c r="Z35" s="589"/>
      <c r="AA35" s="589"/>
      <c r="AB35" s="589"/>
      <c r="AC35" s="589"/>
      <c r="AD35" s="589"/>
      <c r="AE35" s="589"/>
      <c r="AF35" s="589"/>
    </row>
    <row r="36" spans="1:32">
      <c r="A36" s="589"/>
      <c r="B36" s="589"/>
      <c r="C36" s="589"/>
      <c r="D36" s="589"/>
      <c r="E36" s="589"/>
      <c r="F36" s="589"/>
      <c r="G36" s="589"/>
      <c r="H36" s="589"/>
      <c r="I36" s="589"/>
      <c r="J36" s="1024" t="s">
        <v>2044</v>
      </c>
      <c r="K36" s="591"/>
      <c r="L36" s="591"/>
      <c r="M36" s="591"/>
      <c r="N36" s="591"/>
      <c r="O36" s="591"/>
      <c r="P36" s="591"/>
      <c r="Q36" s="591"/>
      <c r="R36" s="591"/>
      <c r="S36" s="589"/>
      <c r="T36" s="589"/>
      <c r="U36" s="589"/>
      <c r="V36" s="589"/>
      <c r="W36" s="589"/>
      <c r="X36" s="589"/>
      <c r="Y36" s="589"/>
      <c r="Z36" s="589"/>
      <c r="AA36" s="589"/>
      <c r="AB36" s="589"/>
      <c r="AC36" s="589"/>
      <c r="AD36" s="589"/>
      <c r="AE36" s="589"/>
      <c r="AF36" s="589"/>
    </row>
    <row r="37" spans="1:32">
      <c r="A37" s="589"/>
      <c r="B37" s="589"/>
      <c r="C37" s="589"/>
      <c r="D37" s="589"/>
      <c r="E37" s="589"/>
      <c r="F37" s="589"/>
      <c r="G37" s="589"/>
      <c r="H37" s="589"/>
      <c r="I37" s="589"/>
      <c r="J37" s="591" t="str">
        <f>PeriodF</f>
        <v>FOR THE TWELVE MONTHS ENDED JUNE 30, 2026</v>
      </c>
      <c r="K37" s="591"/>
      <c r="L37" s="591"/>
      <c r="M37" s="591"/>
      <c r="N37" s="591"/>
      <c r="O37" s="591"/>
      <c r="P37" s="591"/>
      <c r="Q37" s="591"/>
      <c r="R37" s="591"/>
      <c r="S37" s="589"/>
      <c r="T37" s="589"/>
      <c r="U37" s="589"/>
      <c r="V37" s="589"/>
      <c r="W37" s="589"/>
      <c r="X37" s="589"/>
      <c r="Y37" s="589"/>
      <c r="Z37" s="589"/>
      <c r="AA37" s="589"/>
      <c r="AB37" s="589"/>
      <c r="AC37" s="589"/>
      <c r="AD37" s="589"/>
      <c r="AE37" s="589"/>
      <c r="AF37" s="589"/>
    </row>
    <row r="38" spans="1:32">
      <c r="A38" s="589"/>
      <c r="B38" s="589"/>
      <c r="C38" s="589"/>
      <c r="D38" s="589"/>
      <c r="E38" s="589"/>
      <c r="F38" s="589"/>
      <c r="G38" s="589"/>
      <c r="H38" s="589"/>
      <c r="I38" s="589"/>
      <c r="J38" s="589"/>
      <c r="K38" s="589"/>
      <c r="L38" s="589"/>
      <c r="M38" s="589"/>
      <c r="N38" s="589"/>
      <c r="O38" s="589"/>
      <c r="P38" s="589"/>
      <c r="Q38" s="589"/>
      <c r="R38" s="589"/>
      <c r="S38" s="589"/>
      <c r="T38" s="589"/>
      <c r="U38" s="589"/>
      <c r="V38" s="589"/>
      <c r="W38" s="589"/>
      <c r="X38" s="589"/>
      <c r="Y38" s="589"/>
      <c r="Z38" s="589"/>
      <c r="AA38" s="589"/>
      <c r="AB38" s="589"/>
      <c r="AC38" s="589"/>
      <c r="AD38" s="589"/>
      <c r="AE38" s="589"/>
      <c r="AF38" s="589"/>
    </row>
    <row r="39" spans="1:32">
      <c r="A39" s="589"/>
      <c r="B39" s="589"/>
      <c r="C39" s="589"/>
      <c r="D39" s="589"/>
      <c r="E39" s="589"/>
      <c r="F39" s="589"/>
      <c r="G39" s="589"/>
      <c r="H39" s="589"/>
      <c r="I39" s="589"/>
      <c r="J39" s="589" t="str">
        <f>DataF</f>
        <v>DATA:  BASE PERIOD  "X" FORECASTED PERIOD</v>
      </c>
      <c r="K39" s="589"/>
      <c r="L39" s="589"/>
      <c r="M39" s="589"/>
      <c r="N39" s="589"/>
      <c r="O39" s="589"/>
      <c r="P39" s="589"/>
      <c r="Q39" s="1025" t="s">
        <v>2045</v>
      </c>
      <c r="R39" s="589"/>
      <c r="S39" s="589"/>
      <c r="T39" s="589"/>
      <c r="U39" s="589"/>
      <c r="V39" s="589"/>
      <c r="W39" s="589"/>
      <c r="X39" s="589"/>
      <c r="Y39" s="589"/>
      <c r="Z39" s="589"/>
      <c r="AA39" s="589"/>
      <c r="AB39" s="589"/>
      <c r="AC39" s="589"/>
      <c r="AD39" s="589"/>
      <c r="AE39" s="589"/>
      <c r="AF39" s="589"/>
    </row>
    <row r="40" spans="1:32">
      <c r="A40" s="589"/>
      <c r="B40" s="589"/>
      <c r="C40" s="589"/>
      <c r="D40" s="589"/>
      <c r="E40" s="589"/>
      <c r="F40" s="589"/>
      <c r="G40" s="589"/>
      <c r="H40" s="589"/>
      <c r="I40" s="589"/>
      <c r="J40" s="589" t="str">
        <f>Type</f>
        <v xml:space="preserve">TYPE OF FILING:  "X" ORIGINAL   UPDATED    REVISED  </v>
      </c>
      <c r="K40" s="589"/>
      <c r="L40" s="589"/>
      <c r="M40" s="589"/>
      <c r="N40" s="589"/>
      <c r="O40" s="589"/>
      <c r="P40" s="589"/>
      <c r="Q40" s="1025" t="s">
        <v>2051</v>
      </c>
      <c r="R40" s="589"/>
      <c r="S40" s="589"/>
      <c r="T40" s="589"/>
      <c r="U40" s="589"/>
      <c r="V40" s="589"/>
      <c r="W40" s="589"/>
      <c r="X40" s="589"/>
      <c r="Y40" s="589"/>
      <c r="Z40" s="589"/>
      <c r="AA40" s="589"/>
      <c r="AB40" s="589"/>
      <c r="AC40" s="589"/>
      <c r="AD40" s="589"/>
      <c r="AE40" s="589"/>
      <c r="AF40" s="589"/>
    </row>
    <row r="41" spans="1:32">
      <c r="A41" s="589"/>
      <c r="B41" s="589"/>
      <c r="C41" s="589"/>
      <c r="D41" s="589"/>
      <c r="E41" s="589"/>
      <c r="F41" s="589"/>
      <c r="G41" s="589"/>
      <c r="H41" s="589"/>
      <c r="I41" s="589"/>
      <c r="J41" s="590" t="str">
        <f>A8</f>
        <v>WORK PAPER REFERENCE NO(S).: WPD-2.19a</v>
      </c>
      <c r="K41" s="589"/>
      <c r="L41" s="589"/>
      <c r="M41" s="589"/>
      <c r="N41" s="589"/>
      <c r="O41" s="589"/>
      <c r="P41" s="589"/>
      <c r="Q41" s="1025" t="s">
        <v>1727</v>
      </c>
      <c r="R41" s="589"/>
      <c r="S41" s="589"/>
      <c r="T41" s="589"/>
      <c r="U41" s="589"/>
      <c r="V41" s="589"/>
      <c r="W41" s="589"/>
      <c r="X41" s="589"/>
      <c r="Y41" s="589"/>
      <c r="Z41" s="589"/>
      <c r="AA41" s="589"/>
      <c r="AB41" s="589"/>
      <c r="AC41" s="589"/>
      <c r="AD41" s="589"/>
      <c r="AE41" s="589"/>
      <c r="AF41" s="589"/>
    </row>
    <row r="42" spans="1:32">
      <c r="A42" s="589"/>
      <c r="B42" s="589"/>
      <c r="C42" s="589"/>
      <c r="D42" s="589"/>
      <c r="E42" s="589"/>
      <c r="F42" s="589"/>
      <c r="G42" s="589"/>
      <c r="H42" s="589"/>
      <c r="I42" s="589"/>
      <c r="J42" s="589"/>
      <c r="K42" s="589"/>
      <c r="L42" s="589"/>
      <c r="M42" s="589"/>
      <c r="N42" s="589"/>
      <c r="O42" s="589"/>
      <c r="P42" s="589"/>
      <c r="Q42" s="589" t="str">
        <f>"          "&amp;_WIT1</f>
        <v xml:space="preserve">          L. D. STEINKUHL</v>
      </c>
      <c r="R42" s="589"/>
      <c r="S42" s="589"/>
      <c r="T42" s="589"/>
      <c r="U42" s="589"/>
      <c r="V42" s="589"/>
      <c r="W42" s="589"/>
      <c r="X42" s="589"/>
      <c r="Y42" s="589"/>
      <c r="Z42" s="589"/>
      <c r="AA42" s="589"/>
      <c r="AB42" s="589"/>
      <c r="AC42" s="589"/>
      <c r="AD42" s="589"/>
      <c r="AE42" s="589"/>
      <c r="AF42" s="589"/>
    </row>
    <row r="43" spans="1:32">
      <c r="A43" s="589"/>
      <c r="B43" s="589"/>
      <c r="C43" s="589"/>
      <c r="D43" s="589"/>
      <c r="E43" s="589"/>
      <c r="F43" s="589"/>
      <c r="G43" s="589"/>
      <c r="H43" s="589"/>
      <c r="I43" s="589"/>
      <c r="J43" s="1517"/>
      <c r="K43" s="1517"/>
      <c r="L43" s="1517"/>
      <c r="M43" s="1517"/>
      <c r="N43" s="1517"/>
      <c r="O43" s="1517"/>
      <c r="P43" s="1517"/>
      <c r="Q43" s="1517"/>
      <c r="R43" s="1517"/>
      <c r="S43" s="589"/>
      <c r="T43" s="589"/>
      <c r="U43" s="589"/>
      <c r="V43" s="589"/>
      <c r="W43" s="589"/>
      <c r="X43" s="589"/>
      <c r="Y43" s="589"/>
      <c r="Z43" s="589"/>
      <c r="AA43" s="589"/>
      <c r="AB43" s="589"/>
      <c r="AC43" s="589"/>
      <c r="AD43" s="589"/>
      <c r="AE43" s="589"/>
      <c r="AF43" s="589"/>
    </row>
    <row r="44" spans="1:32">
      <c r="A44" s="589"/>
      <c r="B44" s="589"/>
      <c r="C44" s="589"/>
      <c r="D44" s="589"/>
      <c r="E44" s="589"/>
      <c r="F44" s="589"/>
      <c r="G44" s="589"/>
      <c r="H44" s="589"/>
      <c r="I44" s="589"/>
      <c r="J44" s="589"/>
      <c r="K44" s="589"/>
      <c r="L44" s="589"/>
      <c r="M44" s="589"/>
      <c r="N44" s="589"/>
      <c r="O44" s="589"/>
      <c r="P44" s="589"/>
      <c r="Q44" s="589"/>
      <c r="R44" s="589"/>
      <c r="S44" s="589"/>
      <c r="T44" s="589"/>
      <c r="U44" s="589"/>
      <c r="V44" s="589"/>
      <c r="W44" s="589"/>
      <c r="X44" s="589"/>
      <c r="Y44" s="589"/>
      <c r="Z44" s="589"/>
      <c r="AA44" s="589"/>
      <c r="AB44" s="589"/>
      <c r="AC44" s="589"/>
      <c r="AD44" s="589"/>
      <c r="AE44" s="589"/>
      <c r="AF44" s="589"/>
    </row>
    <row r="45" spans="1:32">
      <c r="A45" s="589"/>
      <c r="B45" s="589"/>
      <c r="C45" s="589"/>
      <c r="D45" s="589"/>
      <c r="E45" s="589"/>
      <c r="F45" s="589"/>
      <c r="G45" s="589"/>
      <c r="H45" s="589"/>
      <c r="I45" s="589"/>
      <c r="J45" s="590" t="s">
        <v>1857</v>
      </c>
      <c r="K45" s="589"/>
      <c r="L45" s="589"/>
      <c r="M45" s="589"/>
      <c r="N45" s="589"/>
      <c r="O45" s="589"/>
      <c r="P45" s="589"/>
      <c r="Q45" s="589"/>
      <c r="R45" s="592" t="s">
        <v>975</v>
      </c>
      <c r="S45" s="589"/>
      <c r="T45" s="589"/>
      <c r="U45" s="589"/>
      <c r="V45" s="589"/>
      <c r="W45" s="589"/>
      <c r="X45" s="589"/>
      <c r="Y45" s="589"/>
      <c r="Z45" s="589"/>
      <c r="AA45" s="589"/>
      <c r="AB45" s="589"/>
      <c r="AC45" s="589"/>
      <c r="AD45" s="589"/>
      <c r="AE45" s="589"/>
      <c r="AF45" s="589"/>
    </row>
    <row r="46" spans="1:32">
      <c r="A46" s="589"/>
      <c r="B46" s="589"/>
      <c r="C46" s="589"/>
      <c r="D46" s="589"/>
      <c r="E46" s="589"/>
      <c r="F46" s="589"/>
      <c r="G46" s="589"/>
      <c r="H46" s="589"/>
      <c r="I46" s="589"/>
      <c r="J46" s="1517"/>
      <c r="K46" s="1517"/>
      <c r="L46" s="1517"/>
      <c r="M46" s="1517"/>
      <c r="N46" s="1517"/>
      <c r="O46" s="1517"/>
      <c r="P46" s="1517"/>
      <c r="Q46" s="1517"/>
      <c r="R46" s="1517"/>
      <c r="S46" s="589"/>
      <c r="T46" s="589"/>
      <c r="U46" s="589"/>
      <c r="V46" s="589"/>
      <c r="W46" s="589"/>
      <c r="X46" s="589"/>
      <c r="Y46" s="589"/>
      <c r="Z46" s="589"/>
      <c r="AA46" s="589"/>
      <c r="AB46" s="589"/>
      <c r="AC46" s="589"/>
      <c r="AD46" s="589"/>
      <c r="AE46" s="589"/>
      <c r="AF46" s="589"/>
    </row>
    <row r="47" spans="1:32">
      <c r="A47" s="589"/>
      <c r="B47" s="589"/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89"/>
      <c r="N47" s="589"/>
      <c r="O47" s="589"/>
      <c r="P47" s="589"/>
      <c r="Q47" s="589"/>
      <c r="R47" s="592"/>
      <c r="S47" s="589"/>
      <c r="T47" s="589"/>
      <c r="U47" s="589"/>
      <c r="V47" s="589"/>
      <c r="W47" s="589"/>
      <c r="X47" s="589"/>
      <c r="Y47" s="589"/>
      <c r="Z47" s="589"/>
      <c r="AA47" s="589"/>
      <c r="AB47" s="589"/>
      <c r="AC47" s="589"/>
      <c r="AD47" s="589"/>
      <c r="AE47" s="589"/>
      <c r="AF47" s="589"/>
    </row>
    <row r="48" spans="1:32">
      <c r="A48" s="589"/>
      <c r="B48" s="589"/>
      <c r="C48" s="589"/>
      <c r="D48" s="589"/>
      <c r="E48" s="589"/>
      <c r="F48" s="589"/>
      <c r="G48" s="589"/>
      <c r="H48" s="589"/>
      <c r="I48" s="589"/>
      <c r="J48" s="590" t="str">
        <f>"PURPOSE AND DESCRIPTION: To reflect state income taxes at "&amp;TEXT(SIT,"#0.0#%")</f>
        <v>PURPOSE AND DESCRIPTION: To reflect state income taxes at 5.0%</v>
      </c>
      <c r="K48" s="589"/>
      <c r="L48" s="589"/>
      <c r="M48" s="589"/>
      <c r="N48" s="589"/>
      <c r="O48" s="589"/>
      <c r="P48" s="589"/>
      <c r="Q48" s="589"/>
      <c r="R48" s="589"/>
      <c r="S48" s="589"/>
      <c r="T48" s="589"/>
      <c r="U48" s="589"/>
      <c r="V48" s="589"/>
      <c r="W48" s="589"/>
      <c r="X48" s="589"/>
      <c r="Y48" s="589"/>
      <c r="Z48" s="589"/>
      <c r="AA48" s="589"/>
      <c r="AB48" s="589"/>
      <c r="AC48" s="589"/>
      <c r="AD48" s="589"/>
      <c r="AE48" s="589"/>
      <c r="AF48" s="589"/>
    </row>
    <row r="49" spans="1:32">
      <c r="A49" s="589"/>
      <c r="B49" s="589"/>
      <c r="C49" s="589"/>
      <c r="D49" s="589"/>
      <c r="E49" s="589"/>
      <c r="F49" s="589"/>
      <c r="G49" s="589"/>
      <c r="H49" s="589"/>
      <c r="I49" s="589"/>
      <c r="J49" s="602" t="s">
        <v>2049</v>
      </c>
      <c r="K49" s="589"/>
      <c r="L49" s="589"/>
      <c r="M49" s="589"/>
      <c r="N49" s="589"/>
      <c r="O49" s="589"/>
      <c r="P49" s="589"/>
      <c r="Q49" s="589"/>
      <c r="R49" s="589"/>
      <c r="S49" s="589"/>
      <c r="T49" s="589"/>
      <c r="U49" s="589"/>
      <c r="V49" s="589"/>
      <c r="W49" s="589"/>
      <c r="X49" s="589"/>
      <c r="Y49" s="589"/>
      <c r="Z49" s="589"/>
      <c r="AA49" s="589"/>
      <c r="AB49" s="589"/>
      <c r="AC49" s="589"/>
      <c r="AD49" s="589"/>
      <c r="AE49" s="589"/>
      <c r="AF49" s="589"/>
    </row>
    <row r="50" spans="1:32">
      <c r="A50" s="589"/>
      <c r="B50" s="589"/>
      <c r="C50" s="589"/>
      <c r="D50" s="589"/>
      <c r="E50" s="589"/>
      <c r="F50" s="589"/>
      <c r="G50" s="589"/>
      <c r="H50" s="589"/>
      <c r="I50" s="589"/>
      <c r="J50" s="589" t="str">
        <f>"of the 13 month average rate base as of "&amp;PROPER(Testyear)&amp;", as shown on"</f>
        <v>of the 13 month average rate base as of June 30, 2026, as shown on</v>
      </c>
      <c r="K50" s="589"/>
      <c r="L50" s="589"/>
      <c r="M50" s="589"/>
      <c r="N50" s="589"/>
      <c r="O50" s="589"/>
      <c r="P50" s="589"/>
      <c r="Q50" s="589"/>
      <c r="R50" s="589"/>
      <c r="S50" s="589"/>
      <c r="T50" s="589"/>
      <c r="U50" s="589"/>
      <c r="V50" s="589"/>
      <c r="W50" s="589"/>
      <c r="X50" s="589"/>
      <c r="Y50" s="589"/>
      <c r="Z50" s="589"/>
      <c r="AA50" s="589"/>
      <c r="AB50" s="589"/>
      <c r="AC50" s="589"/>
      <c r="AD50" s="589"/>
      <c r="AE50" s="589"/>
      <c r="AF50" s="589"/>
    </row>
    <row r="51" spans="1:32">
      <c r="A51" s="589"/>
      <c r="B51" s="589"/>
      <c r="C51" s="589"/>
      <c r="D51" s="589"/>
      <c r="E51" s="589"/>
      <c r="F51" s="589"/>
      <c r="G51" s="589"/>
      <c r="H51" s="589"/>
      <c r="I51" s="589"/>
      <c r="J51" s="589" t="s">
        <v>2050</v>
      </c>
      <c r="K51" s="589"/>
      <c r="L51" s="589"/>
      <c r="M51" s="1026"/>
      <c r="N51" s="1026"/>
      <c r="O51" s="1026"/>
      <c r="P51" s="589"/>
      <c r="Q51" s="589"/>
      <c r="R51" s="589"/>
      <c r="S51" s="589"/>
      <c r="T51" s="589"/>
      <c r="U51" s="589"/>
      <c r="V51" s="589"/>
      <c r="W51" s="589"/>
      <c r="X51" s="589"/>
      <c r="Y51" s="589"/>
      <c r="Z51" s="589"/>
      <c r="AA51" s="589"/>
      <c r="AB51" s="589"/>
      <c r="AC51" s="589"/>
      <c r="AD51" s="589"/>
      <c r="AE51" s="589"/>
      <c r="AF51" s="589"/>
    </row>
    <row r="52" spans="1:32">
      <c r="A52" s="589"/>
      <c r="B52" s="589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</row>
    <row r="53" spans="1:32">
      <c r="A53" s="589"/>
      <c r="B53" s="589"/>
      <c r="C53" s="589"/>
      <c r="D53" s="589"/>
      <c r="E53" s="589"/>
      <c r="F53" s="589"/>
      <c r="G53" s="589"/>
      <c r="H53" s="589"/>
      <c r="I53" s="589"/>
      <c r="J53" s="589"/>
      <c r="K53" s="589"/>
      <c r="L53" s="589"/>
      <c r="M53" s="589"/>
      <c r="N53" s="589"/>
      <c r="O53" s="589"/>
      <c r="P53" s="589"/>
      <c r="Q53" s="589"/>
      <c r="R53" s="589"/>
      <c r="S53" s="589"/>
      <c r="T53" s="589"/>
      <c r="U53" s="589"/>
      <c r="V53" s="589"/>
      <c r="W53" s="589"/>
      <c r="X53" s="589"/>
      <c r="Y53" s="589"/>
      <c r="Z53" s="589"/>
      <c r="AA53" s="589"/>
      <c r="AB53" s="589"/>
      <c r="AC53" s="589"/>
      <c r="AD53" s="589"/>
      <c r="AE53" s="589"/>
      <c r="AF53" s="589"/>
    </row>
    <row r="54" spans="1:32">
      <c r="A54" s="589"/>
      <c r="B54" s="589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</row>
    <row r="55" spans="1:32">
      <c r="A55" s="589"/>
      <c r="B55" s="589"/>
      <c r="C55" s="589"/>
      <c r="D55" s="589"/>
      <c r="E55" s="589"/>
      <c r="F55" s="589"/>
      <c r="G55" s="589"/>
      <c r="H55" s="589"/>
      <c r="I55" s="589"/>
      <c r="J55" s="590" t="s">
        <v>258</v>
      </c>
      <c r="K55" s="589"/>
      <c r="L55" s="589"/>
      <c r="M55" s="589"/>
      <c r="N55" s="589"/>
      <c r="O55" s="589"/>
      <c r="P55" s="589"/>
      <c r="Q55" s="589"/>
      <c r="R55" s="682">
        <f>AC96</f>
        <v>461747</v>
      </c>
      <c r="S55" s="1027"/>
      <c r="T55" s="589"/>
      <c r="U55" s="589"/>
      <c r="V55" s="589"/>
      <c r="W55" s="589"/>
      <c r="X55" s="589"/>
      <c r="Y55" s="589"/>
      <c r="Z55" s="589"/>
      <c r="AA55" s="589"/>
      <c r="AB55" s="589"/>
      <c r="AC55" s="589"/>
      <c r="AD55" s="589"/>
      <c r="AE55" s="589"/>
      <c r="AF55" s="589"/>
    </row>
    <row r="56" spans="1:32">
      <c r="A56" s="589"/>
      <c r="B56" s="589"/>
      <c r="C56" s="589"/>
      <c r="D56" s="589"/>
      <c r="E56" s="589"/>
      <c r="F56" s="589"/>
      <c r="G56" s="589"/>
      <c r="H56" s="589"/>
      <c r="I56" s="589"/>
      <c r="J56" s="589"/>
      <c r="K56" s="589"/>
      <c r="L56" s="589"/>
      <c r="M56" s="589"/>
      <c r="N56" s="589"/>
      <c r="O56" s="589"/>
      <c r="P56" s="589"/>
      <c r="Q56" s="589"/>
      <c r="R56" s="1027"/>
      <c r="S56" s="589"/>
      <c r="T56" s="589"/>
      <c r="U56" s="589"/>
      <c r="V56" s="589"/>
      <c r="W56" s="589"/>
      <c r="X56" s="589"/>
      <c r="Y56" s="589"/>
      <c r="Z56" s="589"/>
      <c r="AA56" s="589"/>
      <c r="AB56" s="589"/>
      <c r="AC56" s="589"/>
      <c r="AD56" s="589"/>
      <c r="AE56" s="589"/>
      <c r="AF56" s="589"/>
    </row>
    <row r="57" spans="1:32">
      <c r="A57" s="589"/>
      <c r="B57" s="589"/>
      <c r="C57" s="589"/>
      <c r="D57" s="589"/>
      <c r="E57" s="589"/>
      <c r="F57" s="589"/>
      <c r="G57" s="589"/>
      <c r="H57" s="589"/>
      <c r="I57" s="589"/>
      <c r="J57" s="589"/>
      <c r="K57" s="589"/>
      <c r="L57" s="589"/>
      <c r="M57" s="589"/>
      <c r="N57" s="589"/>
      <c r="O57" s="589"/>
      <c r="P57" s="589"/>
      <c r="Q57" s="589"/>
      <c r="R57" s="589"/>
      <c r="S57" s="589"/>
      <c r="T57" s="589"/>
      <c r="U57" s="589"/>
      <c r="V57" s="589"/>
      <c r="W57" s="589"/>
      <c r="X57" s="589"/>
      <c r="Y57" s="589"/>
      <c r="Z57" s="589"/>
      <c r="AA57" s="589"/>
      <c r="AB57" s="589"/>
      <c r="AC57" s="589"/>
      <c r="AD57" s="589"/>
      <c r="AE57" s="589"/>
      <c r="AF57" s="589"/>
    </row>
    <row r="58" spans="1:32">
      <c r="A58" s="589"/>
      <c r="B58" s="589"/>
      <c r="C58" s="589"/>
      <c r="D58" s="589"/>
      <c r="E58" s="589"/>
      <c r="F58" s="589"/>
      <c r="G58" s="589"/>
      <c r="H58" s="589"/>
      <c r="I58" s="589"/>
      <c r="J58" s="590" t="s">
        <v>1862</v>
      </c>
      <c r="K58" s="589"/>
      <c r="L58" s="589"/>
      <c r="M58" s="589"/>
      <c r="N58" s="589"/>
      <c r="O58" s="589"/>
      <c r="P58" s="589"/>
      <c r="Q58" s="589"/>
      <c r="R58" s="1028">
        <v>1</v>
      </c>
      <c r="S58" s="589"/>
      <c r="T58" s="589"/>
      <c r="U58" s="589"/>
      <c r="V58" s="589"/>
      <c r="W58" s="589"/>
      <c r="X58" s="589"/>
      <c r="Y58" s="589"/>
      <c r="Z58" s="589"/>
      <c r="AA58" s="589"/>
      <c r="AB58" s="589"/>
      <c r="AC58" s="589"/>
      <c r="AD58" s="589"/>
      <c r="AE58" s="589"/>
      <c r="AF58" s="589"/>
    </row>
    <row r="59" spans="1:32">
      <c r="A59" s="589"/>
      <c r="B59" s="589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1027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</row>
    <row r="60" spans="1:32">
      <c r="A60" s="589"/>
      <c r="B60" s="589"/>
      <c r="C60" s="589"/>
      <c r="D60" s="589"/>
      <c r="E60" s="589"/>
      <c r="F60" s="589"/>
      <c r="G60" s="589"/>
      <c r="H60" s="589"/>
      <c r="I60" s="589"/>
      <c r="J60" s="589"/>
      <c r="K60" s="589"/>
      <c r="L60" s="589"/>
      <c r="M60" s="589"/>
      <c r="N60" s="589"/>
      <c r="O60" s="589"/>
      <c r="P60" s="589"/>
      <c r="Q60" s="589"/>
      <c r="R60" s="589"/>
      <c r="S60" s="589"/>
      <c r="T60" s="589"/>
      <c r="U60" s="589"/>
      <c r="V60" s="589"/>
      <c r="W60" s="589"/>
      <c r="X60" s="589"/>
      <c r="Y60" s="589"/>
      <c r="Z60" s="589"/>
      <c r="AA60" s="589"/>
      <c r="AB60" s="589"/>
      <c r="AC60" s="589"/>
      <c r="AD60" s="589"/>
      <c r="AE60" s="589"/>
      <c r="AF60" s="589"/>
    </row>
    <row r="61" spans="1:32" ht="15">
      <c r="A61" s="589"/>
      <c r="B61" s="589"/>
      <c r="C61" s="589"/>
      <c r="D61" s="589"/>
      <c r="E61" s="589"/>
      <c r="F61" s="589"/>
      <c r="G61" s="589"/>
      <c r="H61" s="589"/>
      <c r="I61" s="589"/>
      <c r="J61" s="590" t="s">
        <v>1863</v>
      </c>
      <c r="K61" s="589"/>
      <c r="L61" s="589"/>
      <c r="M61" s="589"/>
      <c r="N61" s="589"/>
      <c r="O61" s="589"/>
      <c r="P61" s="590" t="s">
        <v>1876</v>
      </c>
      <c r="Q61" s="589"/>
      <c r="R61" s="705">
        <f>ROUND(R55*R58,0)</f>
        <v>461747</v>
      </c>
      <c r="S61" s="1027"/>
      <c r="T61" s="589"/>
      <c r="U61" s="589"/>
      <c r="V61" s="589"/>
      <c r="W61" s="589"/>
      <c r="X61" s="589"/>
      <c r="Y61" s="589"/>
      <c r="Z61" s="589"/>
      <c r="AA61" s="589"/>
      <c r="AB61" s="589"/>
      <c r="AC61" s="589"/>
      <c r="AD61" s="589"/>
      <c r="AE61" s="589"/>
      <c r="AF61" s="589"/>
    </row>
    <row r="62" spans="1:32">
      <c r="A62" s="589"/>
      <c r="B62" s="589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1027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</row>
    <row r="63" spans="1:32">
      <c r="A63" s="589"/>
      <c r="B63" s="589"/>
      <c r="C63" s="589"/>
      <c r="D63" s="589"/>
      <c r="E63" s="589"/>
      <c r="F63" s="589"/>
      <c r="G63" s="589"/>
      <c r="H63" s="589"/>
      <c r="I63" s="589"/>
      <c r="J63" s="589"/>
      <c r="K63" s="589"/>
      <c r="L63" s="589"/>
      <c r="M63" s="589"/>
      <c r="N63" s="589"/>
      <c r="O63" s="589"/>
      <c r="P63" s="589"/>
      <c r="Q63" s="589"/>
      <c r="R63" s="589"/>
      <c r="S63" s="589"/>
      <c r="T63" s="589"/>
      <c r="U63" s="589"/>
      <c r="V63" s="589"/>
      <c r="W63" s="589"/>
      <c r="X63" s="589"/>
      <c r="Y63" s="589"/>
      <c r="Z63" s="589"/>
      <c r="AA63" s="589"/>
      <c r="AB63" s="589"/>
      <c r="AC63" s="589"/>
      <c r="AD63" s="589"/>
      <c r="AE63" s="589"/>
      <c r="AF63" s="589"/>
    </row>
    <row r="64" spans="1:32">
      <c r="A64" s="589"/>
      <c r="B64" s="589"/>
      <c r="C64" s="589"/>
      <c r="D64" s="589"/>
      <c r="E64" s="589"/>
      <c r="F64" s="589"/>
      <c r="G64" s="589"/>
      <c r="H64" s="589"/>
      <c r="I64" s="589"/>
      <c r="J64" s="589" t="s">
        <v>1864</v>
      </c>
      <c r="K64" s="589"/>
      <c r="L64" s="589"/>
      <c r="M64" s="1029" t="s">
        <v>428</v>
      </c>
      <c r="N64" s="1029"/>
      <c r="O64" s="1029"/>
      <c r="P64" s="589"/>
      <c r="Q64" s="589"/>
      <c r="R64" s="589"/>
      <c r="S64" s="589"/>
      <c r="T64" s="589"/>
      <c r="U64" s="589"/>
      <c r="V64" s="589"/>
      <c r="W64" s="589"/>
      <c r="X64" s="589"/>
      <c r="Y64" s="589"/>
      <c r="Z64" s="589"/>
      <c r="AA64" s="589"/>
      <c r="AB64" s="589"/>
      <c r="AC64" s="589"/>
      <c r="AD64" s="589"/>
      <c r="AE64" s="589"/>
      <c r="AF64" s="589"/>
    </row>
    <row r="65" spans="1:32">
      <c r="A65" s="589"/>
      <c r="B65" s="589"/>
      <c r="C65" s="589"/>
      <c r="D65" s="589"/>
      <c r="E65" s="589"/>
      <c r="F65" s="589"/>
      <c r="G65" s="589"/>
      <c r="H65" s="589"/>
      <c r="I65" s="589"/>
      <c r="J65" s="589"/>
      <c r="K65" s="589"/>
      <c r="L65" s="589"/>
      <c r="M65" s="589"/>
      <c r="N65" s="589"/>
      <c r="O65" s="589"/>
      <c r="P65" s="589"/>
      <c r="Q65" s="589"/>
      <c r="R65" s="589"/>
      <c r="S65" s="589"/>
      <c r="T65" s="589"/>
      <c r="U65" s="589"/>
      <c r="V65" s="589"/>
      <c r="W65" s="589"/>
      <c r="X65" s="589"/>
      <c r="Y65" s="589"/>
      <c r="Z65" s="589"/>
      <c r="AA65" s="589"/>
      <c r="AB65" s="589"/>
      <c r="AC65" s="589"/>
      <c r="AD65" s="589"/>
      <c r="AE65" s="589"/>
      <c r="AF65" s="589"/>
    </row>
    <row r="66" spans="1:32">
      <c r="A66" s="589"/>
      <c r="B66" s="589"/>
      <c r="C66" s="589"/>
      <c r="D66" s="589"/>
      <c r="E66" s="589"/>
      <c r="F66" s="589"/>
      <c r="G66" s="589"/>
      <c r="H66" s="589"/>
      <c r="I66" s="589"/>
      <c r="J66" s="590"/>
      <c r="K66" s="589"/>
      <c r="L66" s="589"/>
      <c r="M66" s="589"/>
      <c r="N66" s="589"/>
      <c r="O66" s="589"/>
      <c r="P66" s="589"/>
      <c r="Q66" s="589"/>
      <c r="R66" s="589"/>
      <c r="S66" s="589"/>
      <c r="T66" s="589"/>
      <c r="U66" s="589"/>
      <c r="V66" s="589"/>
      <c r="W66" s="589"/>
      <c r="X66" s="589"/>
      <c r="Y66" s="589"/>
      <c r="Z66" s="589"/>
      <c r="AA66" s="589"/>
      <c r="AB66" s="589"/>
      <c r="AC66" s="589"/>
      <c r="AD66" s="589"/>
      <c r="AE66" s="589"/>
      <c r="AF66" s="589"/>
    </row>
    <row r="67" spans="1:32">
      <c r="A67" s="589"/>
      <c r="B67" s="589"/>
      <c r="C67" s="589"/>
      <c r="D67" s="589"/>
      <c r="E67" s="589"/>
      <c r="F67" s="589"/>
      <c r="G67" s="589"/>
      <c r="H67" s="589"/>
      <c r="I67" s="589"/>
      <c r="J67" s="589"/>
      <c r="K67" s="589"/>
      <c r="L67" s="589"/>
      <c r="M67" s="589"/>
      <c r="N67" s="589"/>
      <c r="O67" s="589"/>
      <c r="P67" s="589"/>
      <c r="Q67" s="589"/>
      <c r="R67" s="589"/>
      <c r="S67" s="589"/>
      <c r="T67" s="589"/>
      <c r="U67" s="589"/>
      <c r="V67" s="589"/>
      <c r="W67" s="589"/>
      <c r="X67" s="589"/>
      <c r="Y67" s="589"/>
      <c r="Z67" s="589"/>
      <c r="AA67" s="589"/>
      <c r="AB67" s="589"/>
      <c r="AC67" s="589"/>
      <c r="AD67" s="589"/>
      <c r="AE67" s="589"/>
      <c r="AF67" s="589"/>
    </row>
    <row r="68" spans="1:32">
      <c r="A68" s="589"/>
      <c r="B68" s="589"/>
      <c r="C68" s="589"/>
      <c r="D68" s="589"/>
      <c r="E68" s="589"/>
      <c r="F68" s="589"/>
      <c r="G68" s="589"/>
      <c r="H68" s="589"/>
      <c r="I68" s="589"/>
      <c r="J68" s="589"/>
      <c r="K68" s="589"/>
      <c r="L68" s="589"/>
      <c r="M68" s="589"/>
      <c r="N68" s="589"/>
      <c r="O68" s="589"/>
      <c r="P68" s="589"/>
      <c r="Q68" s="589"/>
      <c r="R68" s="589"/>
      <c r="S68" s="589"/>
      <c r="T68" s="589"/>
      <c r="U68" s="589"/>
      <c r="V68" s="589"/>
      <c r="W68" s="589"/>
      <c r="X68" s="589"/>
      <c r="Y68" s="589"/>
      <c r="Z68" s="589"/>
      <c r="AA68" s="589"/>
      <c r="AB68" s="589"/>
      <c r="AC68" s="589"/>
      <c r="AD68" s="589"/>
      <c r="AE68" s="589"/>
      <c r="AF68" s="589"/>
    </row>
    <row r="69" spans="1:32">
      <c r="A69" s="589"/>
      <c r="B69" s="589"/>
      <c r="C69" s="589"/>
      <c r="D69" s="589"/>
      <c r="E69" s="589"/>
      <c r="F69" s="589"/>
      <c r="G69" s="589"/>
      <c r="H69" s="589"/>
      <c r="I69" s="589"/>
      <c r="J69" s="589"/>
      <c r="K69" s="589"/>
      <c r="L69" s="589"/>
      <c r="M69" s="589"/>
      <c r="N69" s="589"/>
      <c r="O69" s="589"/>
      <c r="P69" s="589"/>
      <c r="Q69" s="589"/>
      <c r="R69" s="589"/>
      <c r="S69" s="589"/>
      <c r="T69" s="589"/>
      <c r="U69" s="589"/>
      <c r="V69" s="589"/>
      <c r="W69" s="589"/>
      <c r="X69" s="589"/>
      <c r="Y69" s="589"/>
      <c r="Z69" s="589"/>
      <c r="AA69" s="589"/>
      <c r="AB69" s="589"/>
      <c r="AC69" s="589"/>
      <c r="AD69" s="589"/>
      <c r="AE69" s="589"/>
      <c r="AF69" s="589"/>
    </row>
    <row r="70" spans="1:32">
      <c r="A70" s="589"/>
      <c r="B70" s="589"/>
      <c r="C70" s="589"/>
      <c r="D70" s="589"/>
      <c r="E70" s="589"/>
      <c r="F70" s="589"/>
      <c r="G70" s="589"/>
      <c r="H70" s="589"/>
      <c r="I70" s="589"/>
      <c r="J70" s="589"/>
      <c r="K70" s="589"/>
      <c r="L70" s="589"/>
      <c r="M70" s="589"/>
      <c r="N70" s="589"/>
      <c r="O70" s="589"/>
      <c r="P70" s="589"/>
      <c r="Q70" s="589"/>
      <c r="R70" s="589"/>
      <c r="S70" s="589"/>
      <c r="T70" s="589"/>
      <c r="U70" s="589"/>
      <c r="V70" s="589"/>
      <c r="W70" s="589"/>
      <c r="X70" s="589"/>
      <c r="Y70" s="589"/>
      <c r="Z70" s="589"/>
      <c r="AA70" s="589"/>
      <c r="AB70" s="589"/>
      <c r="AC70" s="589"/>
      <c r="AD70" s="589"/>
      <c r="AE70" s="589"/>
      <c r="AF70" s="589"/>
    </row>
    <row r="71" spans="1:32">
      <c r="A71" s="589"/>
      <c r="B71" s="589"/>
      <c r="C71" s="589"/>
      <c r="D71" s="589"/>
      <c r="E71" s="589"/>
      <c r="F71" s="589"/>
      <c r="G71" s="589"/>
      <c r="H71" s="589"/>
      <c r="I71" s="589"/>
      <c r="J71" s="589"/>
      <c r="K71" s="589"/>
      <c r="L71" s="589"/>
      <c r="M71" s="589"/>
      <c r="N71" s="589"/>
      <c r="O71" s="589"/>
      <c r="P71" s="589"/>
      <c r="Q71" s="589"/>
      <c r="R71" s="589"/>
      <c r="S71" s="589"/>
      <c r="T71" s="589"/>
      <c r="U71" s="589" t="str">
        <f>COMPANY</f>
        <v>DUKE ENERGY KENTUCKY, INC.</v>
      </c>
      <c r="V71" s="589"/>
      <c r="W71" s="589"/>
      <c r="X71" s="589"/>
      <c r="Y71" s="589"/>
      <c r="Z71" s="589"/>
      <c r="AA71" s="1025" t="s">
        <v>2052</v>
      </c>
      <c r="AB71" s="589"/>
      <c r="AC71" s="589"/>
      <c r="AD71" s="589"/>
      <c r="AE71" s="589"/>
      <c r="AF71" s="589"/>
    </row>
    <row r="72" spans="1:32">
      <c r="A72" s="589"/>
      <c r="B72" s="589"/>
      <c r="C72" s="589"/>
      <c r="D72" s="589"/>
      <c r="E72" s="589"/>
      <c r="F72" s="589"/>
      <c r="G72" s="589"/>
      <c r="H72" s="589"/>
      <c r="I72" s="589"/>
      <c r="J72" s="589"/>
      <c r="K72" s="589"/>
      <c r="L72" s="589"/>
      <c r="M72" s="589"/>
      <c r="N72" s="589"/>
      <c r="O72" s="589"/>
      <c r="P72" s="589"/>
      <c r="Q72" s="589"/>
      <c r="R72" s="589"/>
      <c r="S72" s="589"/>
      <c r="T72" s="589"/>
      <c r="U72" s="589" t="str">
        <f>DEPT</f>
        <v>ELECTRIC DEPARTMENT</v>
      </c>
      <c r="V72" s="589"/>
      <c r="W72" s="589"/>
      <c r="X72" s="589"/>
      <c r="Y72" s="589"/>
      <c r="Z72" s="589"/>
      <c r="AA72" s="1025" t="s">
        <v>1399</v>
      </c>
      <c r="AB72" s="589"/>
      <c r="AC72" s="589"/>
      <c r="AD72" s="589"/>
      <c r="AE72" s="589"/>
      <c r="AF72" s="589"/>
    </row>
    <row r="73" spans="1:32">
      <c r="A73" s="589"/>
      <c r="B73" s="589"/>
      <c r="C73" s="589"/>
      <c r="D73" s="589"/>
      <c r="E73" s="589"/>
      <c r="F73" s="589"/>
      <c r="G73" s="589"/>
      <c r="H73" s="589"/>
      <c r="I73" s="589"/>
      <c r="J73" s="589"/>
      <c r="K73" s="589"/>
      <c r="L73" s="589"/>
      <c r="M73" s="589"/>
      <c r="N73" s="589"/>
      <c r="O73" s="589"/>
      <c r="P73" s="589"/>
      <c r="Q73" s="589"/>
      <c r="R73" s="589"/>
      <c r="S73" s="589"/>
      <c r="T73" s="589"/>
      <c r="U73" s="589" t="str">
        <f>CASE</f>
        <v>CASE NO. 2024-00354</v>
      </c>
      <c r="V73" s="589"/>
      <c r="W73" s="589"/>
      <c r="X73" s="589"/>
      <c r="Y73" s="589"/>
      <c r="Z73" s="589"/>
      <c r="AA73" s="172" t="str">
        <f>"              "&amp;_WIT1</f>
        <v xml:space="preserve">              L. D. STEINKUHL</v>
      </c>
      <c r="AB73" s="589"/>
      <c r="AC73" s="589"/>
      <c r="AD73" s="589"/>
      <c r="AE73" s="589"/>
      <c r="AF73" s="589"/>
    </row>
    <row r="74" spans="1:32">
      <c r="A74" s="589"/>
      <c r="B74" s="589"/>
      <c r="C74" s="589"/>
      <c r="D74" s="589"/>
      <c r="E74" s="589"/>
      <c r="F74" s="589"/>
      <c r="G74" s="589"/>
      <c r="H74" s="589"/>
      <c r="I74" s="589"/>
      <c r="J74" s="589"/>
      <c r="K74" s="589"/>
      <c r="L74" s="589"/>
      <c r="M74" s="589"/>
      <c r="N74" s="589"/>
      <c r="O74" s="589"/>
      <c r="P74" s="589"/>
      <c r="Q74" s="589"/>
      <c r="R74" s="589"/>
      <c r="S74" s="589"/>
      <c r="T74" s="589"/>
      <c r="U74" s="589" t="str">
        <f>DataF</f>
        <v>DATA:  BASE PERIOD  "X" FORECASTED PERIOD</v>
      </c>
      <c r="V74" s="589"/>
      <c r="W74" s="589"/>
      <c r="X74" s="589"/>
      <c r="Y74" s="589"/>
      <c r="Z74" s="589"/>
      <c r="AA74" s="589"/>
      <c r="AB74" s="589"/>
      <c r="AC74" s="589"/>
      <c r="AD74" s="589"/>
      <c r="AE74" s="589"/>
      <c r="AF74" s="589"/>
    </row>
    <row r="75" spans="1:32">
      <c r="A75" s="589"/>
      <c r="B75" s="589"/>
      <c r="C75" s="589"/>
      <c r="D75" s="589"/>
      <c r="E75" s="589"/>
      <c r="F75" s="589"/>
      <c r="G75" s="589"/>
      <c r="H75" s="589"/>
      <c r="I75" s="589"/>
      <c r="J75" s="589"/>
      <c r="K75" s="589"/>
      <c r="L75" s="589"/>
      <c r="M75" s="589"/>
      <c r="N75" s="589"/>
      <c r="O75" s="589"/>
      <c r="P75" s="589"/>
      <c r="Q75" s="589"/>
      <c r="R75" s="589"/>
      <c r="S75" s="589"/>
      <c r="T75" s="589"/>
      <c r="U75" s="590" t="s">
        <v>2053</v>
      </c>
      <c r="V75" s="589"/>
      <c r="W75" s="589"/>
      <c r="X75" s="589"/>
      <c r="Y75" s="589"/>
      <c r="Z75" s="589"/>
      <c r="AA75" s="589"/>
      <c r="AB75" s="589"/>
      <c r="AC75" s="589"/>
      <c r="AD75" s="589"/>
      <c r="AE75" s="589"/>
      <c r="AF75" s="589"/>
    </row>
    <row r="76" spans="1:32">
      <c r="A76" s="589"/>
      <c r="B76" s="589"/>
      <c r="C76" s="589"/>
      <c r="D76" s="589"/>
      <c r="E76" s="589"/>
      <c r="F76" s="589"/>
      <c r="G76" s="589"/>
      <c r="H76" s="589"/>
      <c r="I76" s="589"/>
      <c r="J76" s="589"/>
      <c r="K76" s="589"/>
      <c r="L76" s="589"/>
      <c r="M76" s="589"/>
      <c r="N76" s="589"/>
      <c r="O76" s="589"/>
      <c r="P76" s="589"/>
      <c r="Q76" s="589"/>
      <c r="R76" s="589"/>
      <c r="S76" s="589"/>
      <c r="T76" s="589"/>
      <c r="U76" s="589"/>
      <c r="V76" s="589"/>
      <c r="W76" s="589"/>
      <c r="X76" s="589"/>
      <c r="Y76" s="589"/>
      <c r="Z76" s="589"/>
      <c r="AA76" s="589"/>
      <c r="AB76" s="589"/>
      <c r="AC76" s="589"/>
      <c r="AD76" s="589"/>
      <c r="AE76" s="589"/>
      <c r="AF76" s="589"/>
    </row>
    <row r="77" spans="1:32">
      <c r="A77" s="589"/>
      <c r="B77" s="589"/>
      <c r="C77" s="589"/>
      <c r="D77" s="589"/>
      <c r="E77" s="589"/>
      <c r="F77" s="589"/>
      <c r="G77" s="589"/>
      <c r="H77" s="589"/>
      <c r="I77" s="589"/>
      <c r="J77" s="589"/>
      <c r="K77" s="589"/>
      <c r="L77" s="589"/>
      <c r="M77" s="589"/>
      <c r="N77" s="589"/>
      <c r="O77" s="589"/>
      <c r="P77" s="589"/>
      <c r="Q77" s="589"/>
      <c r="R77" s="589"/>
      <c r="S77" s="589"/>
      <c r="T77" s="589"/>
      <c r="U77" s="589"/>
      <c r="V77" s="589"/>
      <c r="W77" s="589"/>
      <c r="X77" s="589"/>
      <c r="Y77" s="589"/>
      <c r="Z77" s="589"/>
      <c r="AA77" s="589"/>
      <c r="AB77" s="589"/>
      <c r="AC77" s="589"/>
      <c r="AD77" s="589"/>
      <c r="AE77" s="589"/>
      <c r="AF77" s="589"/>
    </row>
    <row r="78" spans="1:32">
      <c r="A78" s="589"/>
      <c r="B78" s="589"/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89"/>
      <c r="T78" s="589"/>
      <c r="U78" s="592" t="s">
        <v>573</v>
      </c>
      <c r="V78" s="589"/>
      <c r="W78" s="589"/>
      <c r="X78" s="589"/>
      <c r="Y78" s="589"/>
      <c r="Z78" s="592" t="s">
        <v>2054</v>
      </c>
      <c r="AA78" s="592" t="s">
        <v>2055</v>
      </c>
      <c r="AB78" s="589"/>
      <c r="AC78" s="592" t="s">
        <v>2056</v>
      </c>
      <c r="AD78" s="589"/>
      <c r="AE78" s="589"/>
      <c r="AF78" s="589"/>
    </row>
    <row r="79" spans="1:32">
      <c r="A79" s="589"/>
      <c r="B79" s="589"/>
      <c r="C79" s="589"/>
      <c r="D79" s="589"/>
      <c r="E79" s="589"/>
      <c r="F79" s="589"/>
      <c r="G79" s="589"/>
      <c r="H79" s="589"/>
      <c r="I79" s="589"/>
      <c r="J79" s="589"/>
      <c r="K79" s="589"/>
      <c r="L79" s="589"/>
      <c r="M79" s="589"/>
      <c r="N79" s="589"/>
      <c r="O79" s="589"/>
      <c r="P79" s="589"/>
      <c r="Q79" s="589"/>
      <c r="R79" s="589"/>
      <c r="S79" s="589"/>
      <c r="T79" s="589"/>
      <c r="U79" s="593" t="s">
        <v>2057</v>
      </c>
      <c r="V79" s="589"/>
      <c r="W79" s="593" t="s">
        <v>2</v>
      </c>
      <c r="X79" s="589"/>
      <c r="Y79" s="589"/>
      <c r="Z79" s="593" t="s">
        <v>2058</v>
      </c>
      <c r="AA79" s="593" t="s">
        <v>2059</v>
      </c>
      <c r="AB79" s="589"/>
      <c r="AC79" s="593" t="s">
        <v>2059</v>
      </c>
      <c r="AD79" s="589"/>
      <c r="AE79" s="589"/>
      <c r="AF79" s="589"/>
    </row>
    <row r="80" spans="1:32">
      <c r="A80" s="589"/>
      <c r="B80" s="589"/>
      <c r="C80" s="589"/>
      <c r="D80" s="589"/>
      <c r="E80" s="589"/>
      <c r="F80" s="589"/>
      <c r="G80" s="589"/>
      <c r="H80" s="589"/>
      <c r="I80" s="589"/>
      <c r="J80" s="589"/>
      <c r="K80" s="589"/>
      <c r="L80" s="589"/>
      <c r="M80" s="589"/>
      <c r="N80" s="589"/>
      <c r="O80" s="589"/>
      <c r="P80" s="589"/>
      <c r="Q80" s="589"/>
      <c r="R80" s="589"/>
      <c r="S80" s="589"/>
      <c r="T80" s="589"/>
      <c r="U80" s="589"/>
      <c r="V80" s="589"/>
      <c r="W80" s="589"/>
      <c r="X80" s="589"/>
      <c r="Y80" s="589"/>
      <c r="Z80" s="589"/>
      <c r="AA80" s="589"/>
      <c r="AB80" s="589"/>
      <c r="AC80" s="589"/>
      <c r="AD80" s="589"/>
      <c r="AE80" s="589"/>
      <c r="AF80" s="589"/>
    </row>
    <row r="81" spans="1:32">
      <c r="A81" s="589"/>
      <c r="B81" s="589"/>
      <c r="C81" s="589"/>
      <c r="D81" s="589"/>
      <c r="E81" s="589"/>
      <c r="F81" s="589"/>
      <c r="G81" s="589"/>
      <c r="H81" s="589"/>
      <c r="I81" s="589"/>
      <c r="J81" s="589"/>
      <c r="K81" s="589"/>
      <c r="L81" s="589"/>
      <c r="M81" s="589"/>
      <c r="N81" s="589"/>
      <c r="O81" s="589"/>
      <c r="P81" s="589"/>
      <c r="Q81" s="589"/>
      <c r="R81" s="589"/>
      <c r="S81" s="589"/>
      <c r="T81" s="589"/>
      <c r="U81" s="592">
        <v>1</v>
      </c>
      <c r="V81" s="589"/>
      <c r="W81" s="589" t="s">
        <v>2060</v>
      </c>
      <c r="X81" s="589"/>
      <c r="Y81" s="589"/>
      <c r="Z81" s="592" t="s">
        <v>2061</v>
      </c>
      <c r="AA81" s="595">
        <f>'SCH_J1 - Forecast'!I18</f>
        <v>0.42482999999999999</v>
      </c>
      <c r="AB81" s="589"/>
      <c r="AC81" s="595">
        <f>'SCH_J1 - Forecast'!I19</f>
        <v>4.7890000000000002E-2</v>
      </c>
      <c r="AD81" s="589"/>
      <c r="AE81" s="1274"/>
      <c r="AF81" s="595"/>
    </row>
    <row r="82" spans="1:32">
      <c r="A82" s="589"/>
      <c r="B82" s="589"/>
      <c r="C82" s="589"/>
      <c r="D82" s="589"/>
      <c r="E82" s="589"/>
      <c r="F82" s="589"/>
      <c r="G82" s="589"/>
      <c r="H82" s="589"/>
      <c r="I82" s="589"/>
      <c r="J82" s="589"/>
      <c r="K82" s="589"/>
      <c r="L82" s="589"/>
      <c r="M82" s="589"/>
      <c r="N82" s="589"/>
      <c r="O82" s="589"/>
      <c r="P82" s="589"/>
      <c r="Q82" s="589"/>
      <c r="R82" s="589"/>
      <c r="S82" s="589"/>
      <c r="T82" s="589"/>
      <c r="U82" s="592">
        <f>U81+1</f>
        <v>2</v>
      </c>
      <c r="V82" s="589"/>
      <c r="W82" s="589"/>
      <c r="X82" s="589"/>
      <c r="Y82" s="589"/>
      <c r="Z82" s="589"/>
      <c r="AA82" s="589"/>
      <c r="AB82" s="589"/>
      <c r="AC82" s="589"/>
      <c r="AD82" s="589"/>
      <c r="AE82" s="1275"/>
      <c r="AF82" s="589"/>
    </row>
    <row r="83" spans="1:32">
      <c r="A83" s="589"/>
      <c r="B83" s="589"/>
      <c r="C83" s="589"/>
      <c r="D83" s="589"/>
      <c r="E83" s="589"/>
      <c r="F83" s="589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  <c r="R83" s="589"/>
      <c r="S83" s="589"/>
      <c r="T83" s="589"/>
      <c r="U83" s="592">
        <f t="shared" ref="U83:U98" si="0">U82+1</f>
        <v>3</v>
      </c>
      <c r="V83" s="589"/>
      <c r="W83" s="589" t="str">
        <f>"Debt Portion of "&amp;TEXT('SCH A Rate Base'!$I$17,"$##,###,###") &amp;" Electric Rate Base"</f>
        <v>Debt Portion of $1,273,791,539 Electric Rate Base</v>
      </c>
      <c r="X83" s="589"/>
      <c r="Y83" s="589"/>
      <c r="Z83" s="592" t="s">
        <v>2062</v>
      </c>
      <c r="AA83" s="594">
        <f>ROUND('SCH A Rate Base'!$I$17*AA81,0)</f>
        <v>541144860</v>
      </c>
      <c r="AB83" s="589"/>
      <c r="AC83" s="594">
        <f>ROUND('SCH A Rate Base'!$I$17*AC81,0)</f>
        <v>61001877</v>
      </c>
      <c r="AD83" s="589"/>
      <c r="AE83" s="1276"/>
      <c r="AF83" s="594"/>
    </row>
    <row r="84" spans="1:32">
      <c r="A84" s="589"/>
      <c r="B84" s="589"/>
      <c r="C84" s="589"/>
      <c r="D84" s="589"/>
      <c r="E84" s="589"/>
      <c r="F84" s="589"/>
      <c r="G84" s="589"/>
      <c r="H84" s="589"/>
      <c r="I84" s="589"/>
      <c r="J84" s="589"/>
      <c r="K84" s="589"/>
      <c r="L84" s="589"/>
      <c r="M84" s="589"/>
      <c r="N84" s="589"/>
      <c r="O84" s="589"/>
      <c r="P84" s="589"/>
      <c r="Q84" s="589"/>
      <c r="R84" s="589"/>
      <c r="S84" s="589"/>
      <c r="T84" s="589"/>
      <c r="U84" s="592">
        <f t="shared" si="0"/>
        <v>4</v>
      </c>
      <c r="V84" s="589"/>
      <c r="W84" s="589"/>
      <c r="X84" s="589"/>
      <c r="Y84" s="589"/>
      <c r="Z84" s="589"/>
      <c r="AA84" s="589"/>
      <c r="AB84" s="589"/>
      <c r="AC84" s="589"/>
      <c r="AD84" s="589"/>
      <c r="AE84" s="1275"/>
      <c r="AF84" s="589"/>
    </row>
    <row r="85" spans="1:32">
      <c r="A85" s="589"/>
      <c r="B85" s="589"/>
      <c r="C85" s="589"/>
      <c r="D85" s="589"/>
      <c r="E85" s="589"/>
      <c r="F85" s="589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  <c r="R85" s="589"/>
      <c r="S85" s="589"/>
      <c r="T85" s="589"/>
      <c r="U85" s="592">
        <f t="shared" si="0"/>
        <v>5</v>
      </c>
      <c r="V85" s="589"/>
      <c r="W85" s="589" t="s">
        <v>2063</v>
      </c>
      <c r="X85" s="589"/>
      <c r="Y85" s="589"/>
      <c r="Z85" s="592" t="s">
        <v>2061</v>
      </c>
      <c r="AA85" s="1518">
        <f>'SCH_J1 - Forecast'!K18</f>
        <v>4.929E-2</v>
      </c>
      <c r="AB85" s="589"/>
      <c r="AC85" s="1518">
        <f>'SCH_J1 - Forecast'!K19</f>
        <v>3.1969999999999998E-2</v>
      </c>
      <c r="AD85" s="589"/>
      <c r="AE85" s="1277"/>
      <c r="AF85" s="1278"/>
    </row>
    <row r="86" spans="1:32">
      <c r="A86" s="589"/>
      <c r="B86" s="589"/>
      <c r="C86" s="589"/>
      <c r="D86" s="589"/>
      <c r="E86" s="589"/>
      <c r="F86" s="589"/>
      <c r="G86" s="589"/>
      <c r="H86" s="589"/>
      <c r="I86" s="589"/>
      <c r="J86" s="589"/>
      <c r="K86" s="589"/>
      <c r="L86" s="589"/>
      <c r="M86" s="589"/>
      <c r="N86" s="589"/>
      <c r="O86" s="589"/>
      <c r="P86" s="589"/>
      <c r="Q86" s="589"/>
      <c r="R86" s="589"/>
      <c r="S86" s="589"/>
      <c r="T86" s="589"/>
      <c r="U86" s="592">
        <f t="shared" si="0"/>
        <v>6</v>
      </c>
      <c r="V86" s="589"/>
      <c r="W86" s="589"/>
      <c r="X86" s="589"/>
      <c r="Y86" s="589"/>
      <c r="Z86" s="589"/>
      <c r="AA86" s="589"/>
      <c r="AB86" s="589"/>
      <c r="AC86" s="589"/>
      <c r="AD86" s="589"/>
      <c r="AE86" s="1275"/>
      <c r="AF86" s="589"/>
    </row>
    <row r="87" spans="1:32">
      <c r="A87" s="589"/>
      <c r="B87" s="589"/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  <c r="Q87" s="589"/>
      <c r="R87" s="589"/>
      <c r="S87" s="589"/>
      <c r="T87" s="589"/>
      <c r="U87" s="592">
        <f t="shared" si="0"/>
        <v>7</v>
      </c>
      <c r="V87" s="589"/>
      <c r="W87" s="589" t="s">
        <v>2064</v>
      </c>
      <c r="X87" s="589"/>
      <c r="Y87" s="589"/>
      <c r="Z87" s="589"/>
      <c r="AA87" s="589"/>
      <c r="AB87" s="589"/>
      <c r="AC87" s="589"/>
      <c r="AD87" s="589"/>
      <c r="AE87" s="1275"/>
      <c r="AF87" s="589"/>
    </row>
    <row r="88" spans="1:32" ht="13.8" thickBot="1">
      <c r="A88" s="589"/>
      <c r="B88" s="589"/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  <c r="Q88" s="589"/>
      <c r="R88" s="589"/>
      <c r="S88" s="589"/>
      <c r="T88" s="589"/>
      <c r="U88" s="592">
        <f t="shared" si="0"/>
        <v>8</v>
      </c>
      <c r="V88" s="589"/>
      <c r="W88" s="589" t="s">
        <v>2065</v>
      </c>
      <c r="X88" s="589"/>
      <c r="Y88" s="589"/>
      <c r="Z88" s="589"/>
      <c r="AA88" s="1956">
        <f>ROUND(AA83*AA85,0)</f>
        <v>26673030</v>
      </c>
      <c r="AB88" s="589"/>
      <c r="AC88" s="1956">
        <f>ROUND(AC83*AC85,0)</f>
        <v>1950230</v>
      </c>
      <c r="AD88" s="589"/>
      <c r="AE88" s="1276"/>
      <c r="AF88" s="594"/>
    </row>
    <row r="89" spans="1:32" ht="13.8" thickTop="1">
      <c r="A89" s="589"/>
      <c r="B89" s="589"/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  <c r="Q89" s="589"/>
      <c r="R89" s="589"/>
      <c r="S89" s="589"/>
      <c r="T89" s="589"/>
      <c r="U89" s="592">
        <f t="shared" si="0"/>
        <v>9</v>
      </c>
      <c r="V89" s="589"/>
      <c r="W89" s="589"/>
      <c r="X89" s="589"/>
      <c r="Y89" s="589"/>
      <c r="Z89" s="589"/>
      <c r="AA89" s="589"/>
      <c r="AB89" s="589"/>
      <c r="AC89" s="589"/>
      <c r="AD89" s="589"/>
      <c r="AE89" s="1275"/>
      <c r="AF89" s="589"/>
    </row>
    <row r="90" spans="1:32">
      <c r="A90" s="589"/>
      <c r="B90" s="589"/>
      <c r="C90" s="589"/>
      <c r="D90" s="589"/>
      <c r="E90" s="589"/>
      <c r="F90" s="589"/>
      <c r="G90" s="589"/>
      <c r="H90" s="589"/>
      <c r="I90" s="589"/>
      <c r="J90" s="589"/>
      <c r="K90" s="589"/>
      <c r="L90" s="589"/>
      <c r="M90" s="589"/>
      <c r="N90" s="589"/>
      <c r="O90" s="589"/>
      <c r="P90" s="589"/>
      <c r="Q90" s="589"/>
      <c r="R90" s="589"/>
      <c r="S90" s="589"/>
      <c r="T90" s="589"/>
      <c r="U90" s="592">
        <f t="shared" si="0"/>
        <v>10</v>
      </c>
      <c r="V90" s="589"/>
      <c r="W90" s="589" t="s">
        <v>2066</v>
      </c>
      <c r="X90" s="589"/>
      <c r="Y90" s="589"/>
      <c r="Z90" s="589"/>
      <c r="AA90" s="589"/>
      <c r="AB90" s="589"/>
      <c r="AC90" s="594">
        <f>AA88+AC88</f>
        <v>28623260</v>
      </c>
      <c r="AD90" s="589"/>
      <c r="AE90" s="1276"/>
      <c r="AF90" s="594"/>
    </row>
    <row r="91" spans="1:32">
      <c r="A91" s="589"/>
      <c r="B91" s="589"/>
      <c r="C91" s="589"/>
      <c r="D91" s="589"/>
      <c r="E91" s="589"/>
      <c r="F91" s="589"/>
      <c r="G91" s="589"/>
      <c r="H91" s="589"/>
      <c r="I91" s="589"/>
      <c r="J91" s="589"/>
      <c r="K91" s="589"/>
      <c r="L91" s="589"/>
      <c r="M91" s="589"/>
      <c r="N91" s="589"/>
      <c r="O91" s="589"/>
      <c r="P91" s="589"/>
      <c r="Q91" s="589"/>
      <c r="R91" s="589"/>
      <c r="S91" s="589"/>
      <c r="T91" s="589"/>
      <c r="U91" s="592">
        <f t="shared" si="0"/>
        <v>11</v>
      </c>
      <c r="V91" s="589"/>
      <c r="W91" s="589"/>
      <c r="X91" s="589"/>
      <c r="Y91" s="589"/>
      <c r="Z91" s="589"/>
      <c r="AA91" s="589"/>
      <c r="AB91" s="589"/>
      <c r="AC91" s="589"/>
      <c r="AD91" s="589"/>
      <c r="AE91" s="1275"/>
      <c r="AF91" s="589"/>
    </row>
    <row r="92" spans="1:32">
      <c r="A92" s="589"/>
      <c r="B92" s="589"/>
      <c r="C92" s="589"/>
      <c r="D92" s="589"/>
      <c r="E92" s="589"/>
      <c r="F92" s="589"/>
      <c r="G92" s="589"/>
      <c r="H92" s="589"/>
      <c r="I92" s="589"/>
      <c r="J92" s="589"/>
      <c r="K92" s="589"/>
      <c r="L92" s="589"/>
      <c r="M92" s="589"/>
      <c r="N92" s="589"/>
      <c r="O92" s="589"/>
      <c r="P92" s="589"/>
      <c r="Q92" s="589"/>
      <c r="R92" s="589"/>
      <c r="S92" s="589"/>
      <c r="T92" s="589"/>
      <c r="U92" s="592">
        <f t="shared" si="0"/>
        <v>12</v>
      </c>
      <c r="V92" s="589"/>
      <c r="W92" s="589" t="s">
        <v>2067</v>
      </c>
      <c r="X92" s="589"/>
      <c r="Y92" s="589"/>
      <c r="Z92" s="592" t="s">
        <v>2068</v>
      </c>
      <c r="AA92" s="589"/>
      <c r="AB92" s="589"/>
      <c r="AC92" s="1519">
        <f>-SCH_E1!K24</f>
        <v>37916747</v>
      </c>
      <c r="AD92" s="589"/>
      <c r="AE92" s="1276"/>
      <c r="AF92" s="594"/>
    </row>
    <row r="93" spans="1:32">
      <c r="A93" s="589"/>
      <c r="B93" s="589"/>
      <c r="C93" s="589"/>
      <c r="D93" s="589"/>
      <c r="E93" s="589"/>
      <c r="F93" s="589"/>
      <c r="G93" s="589"/>
      <c r="H93" s="589"/>
      <c r="I93" s="589"/>
      <c r="J93" s="589"/>
      <c r="K93" s="589"/>
      <c r="L93" s="589"/>
      <c r="M93" s="589"/>
      <c r="N93" s="589"/>
      <c r="O93" s="589"/>
      <c r="P93" s="589"/>
      <c r="Q93" s="589"/>
      <c r="R93" s="589"/>
      <c r="S93" s="589"/>
      <c r="T93" s="589"/>
      <c r="U93" s="592">
        <f t="shared" si="0"/>
        <v>13</v>
      </c>
      <c r="V93" s="589"/>
      <c r="W93" s="1899"/>
      <c r="X93" s="589"/>
      <c r="Y93" s="589"/>
      <c r="Z93" s="589"/>
      <c r="AA93" s="589"/>
      <c r="AB93" s="589"/>
      <c r="AC93" s="589"/>
      <c r="AD93" s="589"/>
      <c r="AE93" s="1275"/>
      <c r="AF93" s="589"/>
    </row>
    <row r="94" spans="1:32" ht="13.8" thickBot="1">
      <c r="A94" s="589"/>
      <c r="B94" s="589"/>
      <c r="C94" s="589"/>
      <c r="D94" s="589"/>
      <c r="E94" s="589"/>
      <c r="F94" s="589"/>
      <c r="G94" s="589"/>
      <c r="H94" s="589"/>
      <c r="I94" s="589"/>
      <c r="J94" s="589"/>
      <c r="K94" s="589"/>
      <c r="L94" s="589"/>
      <c r="M94" s="589"/>
      <c r="N94" s="589"/>
      <c r="O94" s="589"/>
      <c r="P94" s="589"/>
      <c r="Q94" s="589"/>
      <c r="R94" s="589"/>
      <c r="S94" s="589"/>
      <c r="T94" s="589"/>
      <c r="U94" s="592">
        <f t="shared" si="0"/>
        <v>14</v>
      </c>
      <c r="V94" s="589"/>
      <c r="W94" s="596" t="str">
        <f>IF(AC94&lt;0,"Decrease","Increase")&amp;" in Electric Interest Expense"</f>
        <v>Decrease in Electric Interest Expense</v>
      </c>
      <c r="X94" s="589"/>
      <c r="Y94" s="589"/>
      <c r="Z94" s="589"/>
      <c r="AA94" s="589"/>
      <c r="AB94" s="589"/>
      <c r="AC94" s="1956">
        <f>AC90-AC92</f>
        <v>-9293487</v>
      </c>
      <c r="AD94" s="589"/>
      <c r="AE94" s="1276"/>
      <c r="AF94" s="594"/>
    </row>
    <row r="95" spans="1:32" ht="13.8" thickTop="1">
      <c r="A95" s="589"/>
      <c r="B95" s="589"/>
      <c r="C95" s="589"/>
      <c r="D95" s="589"/>
      <c r="E95" s="589"/>
      <c r="F95" s="589"/>
      <c r="G95" s="589"/>
      <c r="H95" s="589"/>
      <c r="I95" s="589"/>
      <c r="J95" s="589"/>
      <c r="K95" s="589"/>
      <c r="L95" s="589"/>
      <c r="M95" s="589"/>
      <c r="N95" s="589"/>
      <c r="O95" s="589"/>
      <c r="P95" s="589"/>
      <c r="Q95" s="589"/>
      <c r="R95" s="589"/>
      <c r="S95" s="589"/>
      <c r="T95" s="589"/>
      <c r="U95" s="592">
        <f t="shared" si="0"/>
        <v>15</v>
      </c>
      <c r="V95" s="589"/>
      <c r="W95" s="589"/>
      <c r="X95" s="589"/>
      <c r="Y95" s="589"/>
      <c r="Z95" s="589"/>
      <c r="AA95" s="1027"/>
      <c r="AB95" s="589"/>
      <c r="AC95" s="589"/>
      <c r="AD95" s="589"/>
      <c r="AE95" s="1275"/>
      <c r="AF95" s="589"/>
    </row>
    <row r="96" spans="1:32">
      <c r="A96" s="589"/>
      <c r="B96" s="589"/>
      <c r="C96" s="589"/>
      <c r="D96" s="589"/>
      <c r="E96" s="589"/>
      <c r="F96" s="589"/>
      <c r="G96" s="589"/>
      <c r="H96" s="589"/>
      <c r="I96" s="589"/>
      <c r="J96" s="589"/>
      <c r="K96" s="589"/>
      <c r="L96" s="589"/>
      <c r="M96" s="589"/>
      <c r="N96" s="589"/>
      <c r="O96" s="589"/>
      <c r="P96" s="589"/>
      <c r="Q96" s="589"/>
      <c r="R96" s="589"/>
      <c r="S96" s="589"/>
      <c r="T96" s="589"/>
      <c r="U96" s="592">
        <f t="shared" si="0"/>
        <v>16</v>
      </c>
      <c r="V96" s="589"/>
      <c r="W96" s="589" t="str">
        <f>"State Income Tax Effect @ "&amp; TEXT(SIT,"##.00%")&amp;" (A)"</f>
        <v>State Income Tax Effect @ 5.00% (A)</v>
      </c>
      <c r="X96" s="589"/>
      <c r="Y96" s="995" t="str">
        <f>"(Line 14 * "&amp;TEXT(APPORT,"0.00%")&amp;" * "&amp;TEXT(SIT,"0.00%")&amp;")"</f>
        <v>(Line 14 * 99.37% * 5.00%)</v>
      </c>
      <c r="Z96" s="589"/>
      <c r="AA96" s="1027" t="s">
        <v>2069</v>
      </c>
      <c r="AB96" s="589"/>
      <c r="AC96" s="594">
        <f>-ROUND((AC94)*SIT*APPORT,0)</f>
        <v>461747</v>
      </c>
      <c r="AD96" s="589"/>
      <c r="AE96" s="1276"/>
      <c r="AF96" s="594"/>
    </row>
    <row r="97" spans="1:32">
      <c r="A97" s="589"/>
      <c r="B97" s="589"/>
      <c r="C97" s="589"/>
      <c r="D97" s="589"/>
      <c r="E97" s="589"/>
      <c r="F97" s="589"/>
      <c r="G97" s="589"/>
      <c r="H97" s="589"/>
      <c r="I97" s="589"/>
      <c r="J97" s="589"/>
      <c r="K97" s="589"/>
      <c r="L97" s="589"/>
      <c r="M97" s="589"/>
      <c r="N97" s="589"/>
      <c r="O97" s="589"/>
      <c r="P97" s="589"/>
      <c r="Q97" s="589"/>
      <c r="R97" s="589"/>
      <c r="S97" s="589"/>
      <c r="T97" s="589"/>
      <c r="U97" s="592">
        <f t="shared" si="0"/>
        <v>17</v>
      </c>
      <c r="V97" s="589"/>
      <c r="W97" s="589"/>
      <c r="X97" s="589"/>
      <c r="Y97" s="589"/>
      <c r="Z97" s="589"/>
      <c r="AA97" s="589"/>
      <c r="AB97" s="589"/>
      <c r="AC97" s="1030"/>
      <c r="AD97" s="589"/>
      <c r="AE97" s="1279"/>
      <c r="AF97" s="1030"/>
    </row>
    <row r="98" spans="1:32">
      <c r="A98" s="589"/>
      <c r="B98" s="589"/>
      <c r="C98" s="589"/>
      <c r="D98" s="589"/>
      <c r="E98" s="589"/>
      <c r="F98" s="589"/>
      <c r="G98" s="589"/>
      <c r="H98" s="589"/>
      <c r="I98" s="589"/>
      <c r="J98" s="589"/>
      <c r="K98" s="589"/>
      <c r="L98" s="589"/>
      <c r="M98" s="589"/>
      <c r="N98" s="589"/>
      <c r="O98" s="589"/>
      <c r="P98" s="589"/>
      <c r="Q98" s="589"/>
      <c r="R98" s="589"/>
      <c r="S98" s="589"/>
      <c r="T98" s="589"/>
      <c r="U98" s="592">
        <f t="shared" si="0"/>
        <v>18</v>
      </c>
      <c r="V98" s="589"/>
      <c r="W98" s="589" t="str">
        <f>"Federal Income Tax Effect @ "&amp; TEXT(FIT,"##.#00%")&amp;" (A)"</f>
        <v>Federal Income Tax Effect @ 21.00% (A)</v>
      </c>
      <c r="X98" s="589"/>
      <c r="Y98" s="589" t="str">
        <f>"((Line 14 - Line 16) * "&amp; TEXT(FIT,"##.00%")&amp;")"</f>
        <v>((Line 14 - Line 16) * 21.00%)</v>
      </c>
      <c r="Z98" s="589"/>
      <c r="AA98" s="1027" t="s">
        <v>2070</v>
      </c>
      <c r="AB98" s="589"/>
      <c r="AC98" s="594">
        <f>-ROUND((AC94+AC96)*FIT,0)</f>
        <v>1854665</v>
      </c>
      <c r="AD98" s="589"/>
      <c r="AE98" s="1276"/>
      <c r="AF98" s="594"/>
    </row>
    <row r="99" spans="1:32">
      <c r="A99" s="589"/>
      <c r="B99" s="589"/>
      <c r="C99" s="589"/>
      <c r="D99" s="589"/>
      <c r="E99" s="589"/>
      <c r="F99" s="589"/>
      <c r="G99" s="589"/>
      <c r="H99" s="589"/>
      <c r="I99" s="589"/>
      <c r="J99" s="589"/>
      <c r="K99" s="589"/>
      <c r="L99" s="589"/>
      <c r="M99" s="589"/>
      <c r="N99" s="589"/>
      <c r="O99" s="589"/>
      <c r="P99" s="589"/>
      <c r="Q99" s="589"/>
      <c r="R99" s="589"/>
      <c r="S99" s="589"/>
      <c r="T99" s="589"/>
      <c r="U99" s="589"/>
      <c r="V99" s="589"/>
      <c r="W99" s="589"/>
      <c r="X99" s="589"/>
      <c r="Y99" s="589"/>
      <c r="Z99" s="589"/>
      <c r="AA99" s="589"/>
      <c r="AB99" s="589"/>
      <c r="AC99" s="589"/>
      <c r="AD99" s="589"/>
      <c r="AE99" s="589"/>
      <c r="AF99" s="589"/>
    </row>
    <row r="100" spans="1:32">
      <c r="A100" s="589"/>
      <c r="B100" s="589"/>
      <c r="C100" s="589"/>
      <c r="D100" s="589"/>
      <c r="E100" s="589"/>
      <c r="F100" s="589"/>
      <c r="G100" s="589"/>
      <c r="H100" s="589"/>
      <c r="I100" s="589"/>
      <c r="J100" s="589"/>
      <c r="K100" s="589"/>
      <c r="L100" s="589"/>
      <c r="M100" s="589"/>
      <c r="N100" s="589"/>
      <c r="O100" s="589"/>
      <c r="P100" s="589"/>
      <c r="Q100" s="589"/>
      <c r="R100" s="589"/>
      <c r="S100" s="589"/>
      <c r="T100" s="589"/>
      <c r="U100" s="589"/>
      <c r="V100" s="589"/>
      <c r="W100" s="589"/>
      <c r="X100" s="589"/>
      <c r="Y100" s="589"/>
      <c r="Z100" s="589"/>
      <c r="AA100" s="589"/>
      <c r="AB100" s="589"/>
      <c r="AC100" s="589"/>
      <c r="AD100" s="589"/>
      <c r="AE100" s="589"/>
      <c r="AF100" s="589"/>
    </row>
    <row r="101" spans="1:32">
      <c r="A101" s="589"/>
      <c r="B101" s="589"/>
      <c r="C101" s="589"/>
      <c r="D101" s="589"/>
      <c r="E101" s="589"/>
      <c r="F101" s="589"/>
      <c r="G101" s="589"/>
      <c r="H101" s="589"/>
      <c r="I101" s="589"/>
      <c r="J101" s="589"/>
      <c r="K101" s="589"/>
      <c r="L101" s="589"/>
      <c r="M101" s="589"/>
      <c r="N101" s="589"/>
      <c r="O101" s="589"/>
      <c r="P101" s="589"/>
      <c r="Q101" s="589"/>
      <c r="R101" s="589"/>
      <c r="S101" s="589"/>
      <c r="T101" s="589"/>
      <c r="U101" s="589"/>
      <c r="V101" s="589"/>
      <c r="W101" s="589" t="s">
        <v>2071</v>
      </c>
      <c r="X101" s="589"/>
      <c r="Y101" s="589"/>
      <c r="Z101" s="589"/>
      <c r="AA101" s="589"/>
      <c r="AB101" s="589"/>
      <c r="AC101" s="589"/>
      <c r="AD101" s="589"/>
      <c r="AE101" s="589"/>
      <c r="AF101" s="589"/>
    </row>
    <row r="102" spans="1:32">
      <c r="A102" s="589"/>
      <c r="B102" s="589"/>
      <c r="C102" s="589"/>
      <c r="D102" s="589"/>
      <c r="E102" s="589"/>
      <c r="F102" s="589"/>
      <c r="G102" s="589"/>
      <c r="H102" s="589"/>
      <c r="I102" s="589"/>
      <c r="J102" s="589"/>
      <c r="K102" s="589"/>
      <c r="L102" s="589"/>
      <c r="M102" s="589"/>
      <c r="N102" s="589"/>
      <c r="O102" s="589"/>
      <c r="P102" s="589"/>
      <c r="Q102" s="589"/>
      <c r="R102" s="589"/>
      <c r="S102" s="589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</row>
    <row r="103" spans="1:32">
      <c r="A103" s="589"/>
      <c r="B103" s="589"/>
      <c r="C103" s="589"/>
      <c r="D103" s="589"/>
      <c r="E103" s="589"/>
      <c r="F103" s="589"/>
      <c r="G103" s="589"/>
      <c r="H103" s="589"/>
      <c r="I103" s="589"/>
      <c r="J103" s="589"/>
      <c r="K103" s="589"/>
      <c r="L103" s="589"/>
      <c r="M103" s="589"/>
      <c r="N103" s="589"/>
      <c r="O103" s="589"/>
      <c r="P103" s="589"/>
      <c r="Q103" s="589"/>
      <c r="R103" s="589"/>
      <c r="S103" s="589"/>
      <c r="T103" s="589"/>
      <c r="U103" s="589"/>
      <c r="V103" s="589"/>
      <c r="W103" s="589"/>
      <c r="X103" s="589"/>
      <c r="Y103" s="589"/>
      <c r="Z103" s="589"/>
      <c r="AA103" s="589"/>
      <c r="AB103" s="589"/>
      <c r="AC103" s="589"/>
      <c r="AD103" s="589"/>
      <c r="AE103" s="589"/>
      <c r="AF103" s="589"/>
    </row>
    <row r="104" spans="1:32">
      <c r="A104" s="589"/>
      <c r="B104" s="589"/>
      <c r="C104" s="589"/>
      <c r="D104" s="589"/>
      <c r="E104" s="589"/>
      <c r="F104" s="589"/>
      <c r="G104" s="589"/>
      <c r="H104" s="589"/>
      <c r="I104" s="589"/>
      <c r="J104" s="589"/>
      <c r="K104" s="589"/>
      <c r="L104" s="589"/>
      <c r="M104" s="589"/>
      <c r="N104" s="589"/>
      <c r="O104" s="589"/>
      <c r="P104" s="589"/>
      <c r="Q104" s="589"/>
      <c r="R104" s="589"/>
      <c r="S104" s="589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</row>
    <row r="105" spans="1:32">
      <c r="A105" s="589"/>
      <c r="B105" s="589"/>
      <c r="C105" s="589"/>
      <c r="D105" s="589"/>
      <c r="E105" s="589"/>
      <c r="F105" s="589"/>
      <c r="G105" s="589"/>
      <c r="H105" s="589"/>
      <c r="I105" s="589"/>
      <c r="J105" s="589"/>
      <c r="K105" s="589"/>
      <c r="L105" s="589"/>
      <c r="M105" s="589"/>
      <c r="N105" s="589"/>
      <c r="O105" s="589"/>
      <c r="P105" s="589"/>
      <c r="Q105" s="589"/>
      <c r="R105" s="589"/>
      <c r="S105" s="589"/>
      <c r="T105" s="589"/>
      <c r="U105" s="589"/>
      <c r="V105" s="589"/>
      <c r="X105" s="589"/>
      <c r="Y105" s="589"/>
      <c r="Z105" s="589"/>
      <c r="AA105" s="589"/>
      <c r="AB105" s="589"/>
      <c r="AC105" s="589"/>
      <c r="AD105" s="589"/>
      <c r="AE105" s="589"/>
      <c r="AF105" s="589"/>
    </row>
    <row r="106" spans="1:32">
      <c r="A106" s="589"/>
      <c r="B106" s="589"/>
      <c r="C106" s="589"/>
      <c r="D106" s="589"/>
      <c r="E106" s="589"/>
      <c r="F106" s="589"/>
      <c r="G106" s="589"/>
      <c r="H106" s="589"/>
      <c r="I106" s="589"/>
      <c r="J106" s="589"/>
      <c r="K106" s="589"/>
      <c r="L106" s="589"/>
      <c r="M106" s="589"/>
      <c r="N106" s="589"/>
      <c r="O106" s="589"/>
      <c r="P106" s="589"/>
      <c r="Q106" s="589"/>
      <c r="R106" s="589"/>
      <c r="S106" s="589"/>
      <c r="T106" s="589"/>
      <c r="U106" s="589"/>
      <c r="V106" s="589"/>
      <c r="W106" s="589"/>
      <c r="X106" s="589"/>
      <c r="Y106" s="589"/>
      <c r="Z106" s="589"/>
      <c r="AA106" s="589"/>
      <c r="AB106" s="589"/>
      <c r="AC106" s="589"/>
      <c r="AD106" s="589"/>
      <c r="AE106" s="589"/>
      <c r="AF106" s="589"/>
    </row>
    <row r="107" spans="1:32">
      <c r="A107" s="589"/>
      <c r="B107" s="589"/>
      <c r="C107" s="589"/>
      <c r="D107" s="589"/>
      <c r="E107" s="589"/>
      <c r="F107" s="589"/>
      <c r="G107" s="589"/>
      <c r="H107" s="589"/>
      <c r="I107" s="589"/>
      <c r="J107" s="589"/>
      <c r="K107" s="589"/>
      <c r="L107" s="589"/>
      <c r="M107" s="589"/>
      <c r="N107" s="589"/>
      <c r="O107" s="589"/>
      <c r="P107" s="589"/>
      <c r="Q107" s="589"/>
      <c r="R107" s="589"/>
      <c r="S107" s="589"/>
      <c r="T107" s="589"/>
      <c r="U107" s="589"/>
      <c r="V107" s="589"/>
      <c r="W107" s="589"/>
      <c r="X107" s="589"/>
      <c r="Y107" s="589"/>
      <c r="Z107" s="589"/>
      <c r="AA107" s="589"/>
      <c r="AB107" s="589"/>
      <c r="AC107" s="589"/>
      <c r="AD107" s="589"/>
      <c r="AE107" s="589"/>
      <c r="AF107" s="589"/>
    </row>
    <row r="108" spans="1:32">
      <c r="A108" s="589"/>
      <c r="B108" s="589"/>
      <c r="C108" s="589"/>
      <c r="D108" s="589"/>
      <c r="E108" s="589"/>
      <c r="F108" s="589"/>
      <c r="G108" s="589"/>
      <c r="H108" s="589"/>
      <c r="I108" s="589"/>
      <c r="J108" s="589"/>
      <c r="K108" s="589"/>
      <c r="L108" s="589"/>
      <c r="M108" s="589"/>
      <c r="N108" s="589"/>
      <c r="O108" s="589"/>
      <c r="P108" s="589"/>
      <c r="Q108" s="589"/>
      <c r="R108" s="589"/>
      <c r="S108" s="589"/>
      <c r="T108" s="589"/>
      <c r="U108" s="589"/>
      <c r="V108" s="589"/>
      <c r="W108" s="589"/>
      <c r="X108" s="589"/>
      <c r="Y108" s="589"/>
      <c r="Z108" s="589"/>
      <c r="AA108" s="589"/>
      <c r="AB108" s="589"/>
      <c r="AC108" s="589"/>
      <c r="AD108" s="589"/>
      <c r="AE108" s="589"/>
      <c r="AF108" s="589"/>
    </row>
    <row r="109" spans="1:32">
      <c r="A109" s="589"/>
      <c r="B109" s="589"/>
      <c r="C109" s="589"/>
      <c r="D109" s="589"/>
      <c r="E109" s="589"/>
      <c r="F109" s="589"/>
      <c r="G109" s="589"/>
      <c r="H109" s="589"/>
      <c r="I109" s="589"/>
      <c r="J109" s="589"/>
      <c r="K109" s="589"/>
      <c r="L109" s="589"/>
      <c r="M109" s="589"/>
      <c r="N109" s="589"/>
      <c r="O109" s="589"/>
      <c r="P109" s="589"/>
      <c r="Q109" s="589"/>
      <c r="R109" s="589"/>
      <c r="S109" s="589"/>
      <c r="T109" s="589"/>
      <c r="U109" s="589"/>
      <c r="V109" s="589"/>
      <c r="W109" s="589"/>
      <c r="X109" s="589"/>
      <c r="Y109" s="589"/>
      <c r="Z109" s="589"/>
      <c r="AA109" s="589"/>
      <c r="AB109" s="589"/>
      <c r="AC109" s="589"/>
      <c r="AD109" s="589"/>
      <c r="AE109" s="589"/>
      <c r="AF109" s="589"/>
    </row>
    <row r="110" spans="1:32">
      <c r="A110" s="589"/>
      <c r="B110" s="589"/>
      <c r="C110" s="589"/>
      <c r="D110" s="589"/>
      <c r="E110" s="589"/>
      <c r="F110" s="589"/>
      <c r="G110" s="589"/>
      <c r="H110" s="589"/>
      <c r="I110" s="589"/>
      <c r="J110" s="589"/>
      <c r="K110" s="589"/>
      <c r="L110" s="589"/>
      <c r="M110" s="589"/>
      <c r="N110" s="589"/>
      <c r="O110" s="589"/>
      <c r="P110" s="589"/>
      <c r="Q110" s="589"/>
      <c r="R110" s="589"/>
      <c r="S110" s="589"/>
      <c r="T110" s="589"/>
      <c r="U110" s="589"/>
      <c r="V110" s="589"/>
      <c r="W110" s="589"/>
      <c r="X110" s="589"/>
      <c r="Y110" s="589"/>
      <c r="Z110" s="589"/>
      <c r="AA110" s="589"/>
      <c r="AB110" s="589"/>
      <c r="AC110" s="589"/>
      <c r="AD110" s="589"/>
      <c r="AE110" s="589"/>
      <c r="AF110" s="589"/>
    </row>
    <row r="111" spans="1:32">
      <c r="A111" s="589"/>
      <c r="B111" s="589"/>
      <c r="C111" s="589"/>
      <c r="D111" s="589"/>
      <c r="E111" s="589"/>
      <c r="F111" s="589"/>
      <c r="G111" s="589"/>
      <c r="H111" s="589"/>
      <c r="I111" s="589"/>
      <c r="J111" s="589"/>
      <c r="K111" s="589"/>
      <c r="L111" s="589"/>
      <c r="M111" s="589"/>
      <c r="N111" s="589"/>
      <c r="O111" s="589"/>
      <c r="P111" s="589"/>
      <c r="Q111" s="589"/>
      <c r="R111" s="589"/>
      <c r="S111" s="589"/>
      <c r="T111" s="589"/>
      <c r="U111" s="589"/>
      <c r="V111" s="589"/>
      <c r="W111" s="589"/>
      <c r="X111" s="589"/>
      <c r="Y111" s="589"/>
      <c r="Z111" s="589"/>
      <c r="AA111" s="589"/>
      <c r="AB111" s="589"/>
      <c r="AC111" s="589"/>
      <c r="AD111" s="589"/>
      <c r="AE111" s="589"/>
      <c r="AF111" s="589"/>
    </row>
    <row r="112" spans="1:32">
      <c r="A112" s="589"/>
      <c r="B112" s="589"/>
      <c r="C112" s="589"/>
      <c r="D112" s="589"/>
      <c r="E112" s="589"/>
      <c r="F112" s="589"/>
      <c r="G112" s="589"/>
      <c r="H112" s="589"/>
      <c r="I112" s="589"/>
      <c r="J112" s="589"/>
      <c r="K112" s="589"/>
      <c r="L112" s="589"/>
      <c r="M112" s="589"/>
      <c r="N112" s="589"/>
      <c r="O112" s="589"/>
      <c r="P112" s="589"/>
      <c r="Q112" s="589"/>
      <c r="R112" s="589"/>
      <c r="S112" s="589"/>
      <c r="T112" s="589"/>
      <c r="U112" s="589"/>
      <c r="V112" s="589"/>
      <c r="W112" s="589"/>
      <c r="X112" s="589"/>
      <c r="Y112" s="589"/>
      <c r="Z112" s="589"/>
      <c r="AA112" s="589"/>
      <c r="AB112" s="589"/>
      <c r="AC112" s="589"/>
      <c r="AD112" s="589"/>
      <c r="AE112" s="1031"/>
      <c r="AF112" s="1031"/>
    </row>
    <row r="113" spans="1:32">
      <c r="A113" s="589"/>
      <c r="B113" s="589"/>
      <c r="C113" s="589"/>
      <c r="D113" s="589"/>
      <c r="E113" s="589"/>
      <c r="F113" s="589"/>
      <c r="G113" s="589"/>
      <c r="H113" s="589"/>
      <c r="I113" s="589"/>
      <c r="J113" s="589"/>
      <c r="K113" s="589"/>
      <c r="L113" s="589"/>
      <c r="M113" s="589"/>
      <c r="N113" s="589"/>
      <c r="O113" s="589"/>
      <c r="P113" s="589"/>
      <c r="Q113" s="589"/>
      <c r="R113" s="589"/>
      <c r="S113" s="589"/>
      <c r="T113" s="589"/>
      <c r="U113" s="589"/>
      <c r="V113" s="589"/>
      <c r="W113" s="589"/>
      <c r="X113" s="589"/>
      <c r="Y113" s="589"/>
      <c r="Z113" s="589"/>
      <c r="AA113" s="589"/>
      <c r="AB113" s="589"/>
      <c r="AC113" s="589"/>
      <c r="AD113" s="589"/>
      <c r="AE113" s="589"/>
      <c r="AF113" s="589"/>
    </row>
    <row r="114" spans="1:32">
      <c r="A114" s="589"/>
      <c r="B114" s="589"/>
      <c r="C114" s="589"/>
      <c r="D114" s="589"/>
      <c r="E114" s="589"/>
      <c r="F114" s="589"/>
      <c r="G114" s="589"/>
      <c r="H114" s="589"/>
      <c r="I114" s="589"/>
      <c r="J114" s="589"/>
      <c r="K114" s="589"/>
      <c r="L114" s="589"/>
      <c r="M114" s="589"/>
      <c r="N114" s="589"/>
      <c r="O114" s="589"/>
      <c r="P114" s="589"/>
      <c r="Q114" s="589"/>
      <c r="R114" s="589"/>
      <c r="S114" s="589"/>
      <c r="T114" s="589"/>
      <c r="U114" s="589"/>
      <c r="V114" s="589"/>
      <c r="W114" s="589"/>
      <c r="X114" s="589"/>
      <c r="Y114" s="589"/>
      <c r="Z114" s="589"/>
      <c r="AA114" s="589"/>
      <c r="AB114" s="589"/>
      <c r="AC114" s="589"/>
      <c r="AD114" s="589"/>
      <c r="AE114" s="594"/>
      <c r="AF114" s="594"/>
    </row>
    <row r="115" spans="1:32">
      <c r="A115" s="589"/>
      <c r="B115" s="589"/>
      <c r="C115" s="589"/>
      <c r="D115" s="589"/>
      <c r="E115" s="589"/>
      <c r="F115" s="589"/>
      <c r="G115" s="589"/>
      <c r="H115" s="589"/>
      <c r="I115" s="589"/>
      <c r="J115" s="589"/>
      <c r="K115" s="589"/>
      <c r="L115" s="589"/>
      <c r="M115" s="589"/>
      <c r="N115" s="589"/>
      <c r="O115" s="589"/>
      <c r="P115" s="589"/>
      <c r="Q115" s="589"/>
      <c r="R115" s="589"/>
      <c r="S115" s="589"/>
      <c r="T115" s="589"/>
      <c r="U115" s="589"/>
      <c r="V115" s="589"/>
      <c r="W115" s="589"/>
      <c r="X115" s="589"/>
      <c r="Y115" s="589"/>
      <c r="Z115" s="589"/>
      <c r="AA115" s="589"/>
      <c r="AB115" s="589"/>
      <c r="AC115" s="589"/>
      <c r="AD115" s="589"/>
      <c r="AE115" s="594"/>
      <c r="AF115" s="594"/>
    </row>
    <row r="116" spans="1:32">
      <c r="A116" s="589"/>
      <c r="B116" s="589"/>
      <c r="C116" s="589"/>
      <c r="D116" s="589"/>
      <c r="E116" s="589"/>
      <c r="F116" s="589"/>
      <c r="G116" s="589"/>
      <c r="H116" s="589"/>
      <c r="I116" s="589"/>
      <c r="J116" s="589"/>
      <c r="K116" s="589"/>
      <c r="L116" s="589"/>
      <c r="M116" s="589"/>
      <c r="N116" s="589"/>
      <c r="O116" s="589"/>
      <c r="P116" s="589"/>
      <c r="Q116" s="589"/>
      <c r="R116" s="589"/>
      <c r="S116" s="589"/>
      <c r="T116" s="589"/>
      <c r="U116" s="589"/>
      <c r="V116" s="589"/>
      <c r="W116" s="589"/>
      <c r="X116" s="589"/>
      <c r="Y116" s="589"/>
      <c r="Z116" s="589"/>
      <c r="AA116" s="589"/>
      <c r="AB116" s="589"/>
      <c r="AC116" s="589"/>
      <c r="AD116" s="589"/>
      <c r="AE116" s="594"/>
      <c r="AF116" s="594"/>
    </row>
    <row r="117" spans="1:32">
      <c r="A117" s="589"/>
      <c r="B117" s="589"/>
      <c r="C117" s="589"/>
      <c r="D117" s="589"/>
      <c r="E117" s="589"/>
      <c r="F117" s="589"/>
      <c r="G117" s="589"/>
      <c r="H117" s="589"/>
      <c r="I117" s="589"/>
      <c r="J117" s="589"/>
      <c r="K117" s="589"/>
      <c r="L117" s="589"/>
      <c r="M117" s="589"/>
      <c r="N117" s="589"/>
      <c r="O117" s="589"/>
      <c r="P117" s="589"/>
      <c r="Q117" s="589"/>
      <c r="R117" s="589"/>
      <c r="S117" s="589"/>
      <c r="T117" s="589"/>
      <c r="U117" s="589"/>
      <c r="V117" s="589"/>
      <c r="W117" s="589"/>
      <c r="X117" s="589"/>
      <c r="Y117" s="589"/>
      <c r="Z117" s="589"/>
      <c r="AA117" s="589"/>
      <c r="AB117" s="589"/>
      <c r="AC117" s="589"/>
      <c r="AD117" s="589"/>
      <c r="AE117" s="594"/>
      <c r="AF117" s="594"/>
    </row>
    <row r="118" spans="1:32">
      <c r="A118" s="589"/>
      <c r="B118" s="589"/>
      <c r="C118" s="589"/>
      <c r="D118" s="589"/>
      <c r="E118" s="589"/>
      <c r="F118" s="589"/>
      <c r="G118" s="589"/>
      <c r="H118" s="589"/>
      <c r="I118" s="589"/>
      <c r="J118" s="589"/>
      <c r="K118" s="589"/>
      <c r="L118" s="589"/>
      <c r="M118" s="589"/>
      <c r="N118" s="589"/>
      <c r="O118" s="589"/>
      <c r="P118" s="589"/>
      <c r="Q118" s="589"/>
      <c r="R118" s="589"/>
      <c r="S118" s="589"/>
      <c r="T118" s="589"/>
      <c r="U118" s="589"/>
      <c r="V118" s="589"/>
      <c r="W118" s="589"/>
      <c r="X118" s="589"/>
      <c r="Y118" s="589"/>
      <c r="Z118" s="589"/>
      <c r="AA118" s="589"/>
      <c r="AB118" s="589"/>
      <c r="AC118" s="589"/>
      <c r="AD118" s="589"/>
      <c r="AE118" s="594"/>
      <c r="AF118" s="594"/>
    </row>
    <row r="119" spans="1:32">
      <c r="A119" s="589"/>
      <c r="B119" s="589"/>
      <c r="C119" s="589"/>
      <c r="D119" s="589"/>
      <c r="E119" s="589"/>
      <c r="F119" s="589"/>
      <c r="G119" s="589"/>
      <c r="H119" s="589"/>
      <c r="I119" s="589"/>
      <c r="J119" s="589"/>
      <c r="K119" s="589"/>
      <c r="L119" s="589"/>
      <c r="M119" s="589"/>
      <c r="N119" s="589"/>
      <c r="O119" s="589"/>
      <c r="P119" s="589"/>
      <c r="Q119" s="589"/>
      <c r="R119" s="589"/>
      <c r="S119" s="589"/>
      <c r="T119" s="589"/>
      <c r="U119" s="589"/>
      <c r="V119" s="589"/>
      <c r="W119" s="589"/>
      <c r="X119" s="589"/>
      <c r="Y119" s="589"/>
      <c r="Z119" s="589"/>
      <c r="AA119" s="589"/>
      <c r="AB119" s="589"/>
      <c r="AC119" s="589"/>
      <c r="AD119" s="589"/>
      <c r="AE119" s="594"/>
      <c r="AF119" s="594"/>
    </row>
    <row r="120" spans="1:32">
      <c r="A120" s="589"/>
      <c r="B120" s="589"/>
      <c r="C120" s="589"/>
      <c r="D120" s="589"/>
      <c r="E120" s="589"/>
      <c r="F120" s="589"/>
      <c r="G120" s="589"/>
      <c r="H120" s="589"/>
      <c r="I120" s="589"/>
      <c r="J120" s="589"/>
      <c r="K120" s="589"/>
      <c r="L120" s="589"/>
      <c r="M120" s="589"/>
      <c r="N120" s="589"/>
      <c r="O120" s="589"/>
      <c r="P120" s="589"/>
      <c r="Q120" s="589"/>
      <c r="R120" s="589"/>
      <c r="S120" s="589"/>
      <c r="T120" s="589"/>
      <c r="U120" s="589"/>
      <c r="V120" s="589"/>
      <c r="W120" s="589"/>
      <c r="X120" s="589"/>
      <c r="Y120" s="589"/>
      <c r="Z120" s="589"/>
      <c r="AA120" s="589"/>
      <c r="AB120" s="589"/>
      <c r="AC120" s="589"/>
      <c r="AD120" s="589"/>
      <c r="AE120" s="594"/>
      <c r="AF120" s="594"/>
    </row>
    <row r="121" spans="1:32">
      <c r="A121" s="589"/>
      <c r="B121" s="589"/>
      <c r="C121" s="589"/>
      <c r="D121" s="589"/>
      <c r="E121" s="589"/>
      <c r="F121" s="589"/>
      <c r="G121" s="589"/>
      <c r="H121" s="589"/>
      <c r="I121" s="589"/>
      <c r="J121" s="589"/>
      <c r="K121" s="589"/>
      <c r="L121" s="589"/>
      <c r="M121" s="589"/>
      <c r="N121" s="589"/>
      <c r="O121" s="589"/>
      <c r="P121" s="589"/>
      <c r="Q121" s="589"/>
      <c r="R121" s="589"/>
      <c r="S121" s="589"/>
      <c r="T121" s="589"/>
      <c r="U121" s="589"/>
      <c r="V121" s="589"/>
      <c r="W121" s="589"/>
      <c r="X121" s="589"/>
      <c r="Y121" s="589"/>
      <c r="Z121" s="589"/>
      <c r="AA121" s="589"/>
      <c r="AB121" s="589"/>
      <c r="AC121" s="589"/>
      <c r="AD121" s="589"/>
      <c r="AE121" s="594"/>
      <c r="AF121" s="594"/>
    </row>
    <row r="122" spans="1:32">
      <c r="A122" s="589"/>
      <c r="B122" s="589"/>
      <c r="C122" s="589"/>
      <c r="D122" s="589"/>
      <c r="E122" s="589"/>
      <c r="F122" s="589"/>
      <c r="G122" s="589"/>
      <c r="H122" s="589"/>
      <c r="I122" s="589"/>
      <c r="J122" s="589"/>
      <c r="K122" s="589"/>
      <c r="L122" s="589"/>
      <c r="M122" s="589"/>
      <c r="N122" s="589"/>
      <c r="O122" s="589"/>
      <c r="P122" s="589"/>
      <c r="Q122" s="589"/>
      <c r="R122" s="589"/>
      <c r="S122" s="589"/>
      <c r="T122" s="589"/>
      <c r="U122" s="589"/>
      <c r="V122" s="589"/>
      <c r="W122" s="589"/>
      <c r="X122" s="589"/>
      <c r="Y122" s="589"/>
      <c r="Z122" s="589"/>
      <c r="AA122" s="589"/>
      <c r="AB122" s="589"/>
      <c r="AC122" s="589"/>
      <c r="AD122" s="589"/>
      <c r="AE122" s="594"/>
      <c r="AF122" s="594"/>
    </row>
    <row r="123" spans="1:32">
      <c r="A123" s="589"/>
      <c r="B123" s="589"/>
      <c r="C123" s="589"/>
      <c r="D123" s="589"/>
      <c r="E123" s="589"/>
      <c r="F123" s="589"/>
      <c r="G123" s="589"/>
      <c r="H123" s="589"/>
      <c r="I123" s="589"/>
      <c r="J123" s="589"/>
      <c r="K123" s="589"/>
      <c r="L123" s="589"/>
      <c r="M123" s="589"/>
      <c r="N123" s="589"/>
      <c r="O123" s="589"/>
      <c r="P123" s="589"/>
      <c r="Q123" s="589"/>
      <c r="R123" s="589"/>
      <c r="S123" s="589"/>
      <c r="T123" s="589"/>
      <c r="U123" s="589"/>
      <c r="V123" s="589"/>
      <c r="W123" s="589"/>
      <c r="X123" s="589"/>
      <c r="Y123" s="589"/>
      <c r="Z123" s="589"/>
      <c r="AA123" s="589"/>
      <c r="AB123" s="589"/>
      <c r="AC123" s="589"/>
      <c r="AD123" s="589"/>
      <c r="AE123" s="594"/>
      <c r="AF123" s="594"/>
    </row>
    <row r="124" spans="1:32">
      <c r="A124" s="589"/>
      <c r="B124" s="589"/>
      <c r="C124" s="589"/>
      <c r="D124" s="589"/>
      <c r="E124" s="589"/>
      <c r="F124" s="589"/>
      <c r="G124" s="589"/>
      <c r="H124" s="589"/>
      <c r="I124" s="589"/>
      <c r="J124" s="589"/>
      <c r="K124" s="589"/>
      <c r="L124" s="589"/>
      <c r="M124" s="589"/>
      <c r="N124" s="589"/>
      <c r="O124" s="589"/>
      <c r="P124" s="589"/>
      <c r="Q124" s="589"/>
      <c r="R124" s="589"/>
      <c r="S124" s="589"/>
      <c r="T124" s="589"/>
      <c r="U124" s="589"/>
      <c r="V124" s="589"/>
      <c r="W124" s="589"/>
      <c r="X124" s="589"/>
      <c r="Y124" s="589"/>
      <c r="Z124" s="589"/>
      <c r="AA124" s="589"/>
      <c r="AB124" s="589"/>
      <c r="AC124" s="589"/>
      <c r="AD124" s="589"/>
      <c r="AE124" s="594"/>
      <c r="AF124" s="594"/>
    </row>
    <row r="125" spans="1:32">
      <c r="A125" s="589"/>
      <c r="B125" s="589"/>
      <c r="C125" s="589"/>
      <c r="D125" s="589"/>
      <c r="E125" s="589"/>
      <c r="F125" s="589"/>
      <c r="G125" s="589"/>
      <c r="H125" s="589"/>
      <c r="I125" s="589"/>
      <c r="J125" s="589"/>
      <c r="K125" s="589"/>
      <c r="L125" s="589"/>
      <c r="M125" s="589"/>
      <c r="N125" s="589"/>
      <c r="O125" s="589"/>
      <c r="P125" s="589"/>
      <c r="Q125" s="589"/>
      <c r="R125" s="589"/>
      <c r="S125" s="589"/>
      <c r="T125" s="589"/>
      <c r="U125" s="589"/>
      <c r="V125" s="589"/>
      <c r="W125" s="589"/>
      <c r="X125" s="589"/>
      <c r="Y125" s="589"/>
      <c r="Z125" s="589"/>
      <c r="AA125" s="589"/>
      <c r="AB125" s="589"/>
      <c r="AC125" s="589"/>
      <c r="AD125" s="589"/>
      <c r="AE125" s="594"/>
      <c r="AF125" s="594"/>
    </row>
    <row r="126" spans="1:32">
      <c r="A126" s="589"/>
      <c r="B126" s="589"/>
      <c r="C126" s="589"/>
      <c r="D126" s="589"/>
      <c r="E126" s="589"/>
      <c r="F126" s="589"/>
      <c r="G126" s="589"/>
      <c r="H126" s="589"/>
      <c r="I126" s="589"/>
      <c r="J126" s="589"/>
      <c r="K126" s="589"/>
      <c r="L126" s="589"/>
      <c r="M126" s="589"/>
      <c r="N126" s="589"/>
      <c r="O126" s="589"/>
      <c r="P126" s="589"/>
      <c r="Q126" s="589"/>
      <c r="R126" s="589"/>
      <c r="S126" s="589"/>
      <c r="T126" s="589"/>
      <c r="U126" s="589"/>
      <c r="V126" s="589"/>
      <c r="W126" s="589"/>
      <c r="X126" s="589"/>
      <c r="Y126" s="589"/>
      <c r="Z126" s="589"/>
      <c r="AA126" s="589"/>
      <c r="AB126" s="589"/>
      <c r="AC126" s="589"/>
      <c r="AD126" s="589"/>
      <c r="AE126" s="594"/>
      <c r="AF126" s="594"/>
    </row>
    <row r="127" spans="1:32">
      <c r="A127" s="589"/>
      <c r="B127" s="589"/>
      <c r="C127" s="589"/>
      <c r="D127" s="589"/>
      <c r="E127" s="589"/>
      <c r="F127" s="589"/>
      <c r="G127" s="589"/>
      <c r="H127" s="589"/>
      <c r="I127" s="589"/>
      <c r="J127" s="589"/>
      <c r="K127" s="589"/>
      <c r="L127" s="589"/>
      <c r="M127" s="589"/>
      <c r="N127" s="589"/>
      <c r="O127" s="589"/>
      <c r="P127" s="589"/>
      <c r="Q127" s="589"/>
      <c r="R127" s="589"/>
      <c r="S127" s="589"/>
      <c r="T127" s="589"/>
      <c r="U127" s="589"/>
      <c r="V127" s="589"/>
      <c r="W127" s="589"/>
      <c r="X127" s="589"/>
      <c r="Y127" s="589"/>
      <c r="Z127" s="589"/>
      <c r="AA127" s="589"/>
      <c r="AB127" s="589"/>
      <c r="AC127" s="589"/>
      <c r="AD127" s="589"/>
      <c r="AE127" s="594"/>
      <c r="AF127" s="594"/>
    </row>
    <row r="128" spans="1:32">
      <c r="A128" s="589"/>
      <c r="B128" s="589"/>
      <c r="C128" s="589"/>
      <c r="D128" s="589"/>
      <c r="E128" s="589"/>
      <c r="F128" s="589"/>
      <c r="G128" s="589"/>
      <c r="H128" s="589"/>
      <c r="I128" s="589"/>
      <c r="J128" s="589"/>
      <c r="K128" s="589"/>
      <c r="L128" s="589"/>
      <c r="M128" s="589"/>
      <c r="N128" s="589"/>
      <c r="O128" s="589"/>
      <c r="P128" s="589"/>
      <c r="Q128" s="589"/>
      <c r="R128" s="589"/>
      <c r="S128" s="589"/>
      <c r="T128" s="589"/>
      <c r="U128" s="589"/>
      <c r="V128" s="589"/>
      <c r="W128" s="589"/>
      <c r="X128" s="589"/>
      <c r="Y128" s="589"/>
      <c r="Z128" s="589"/>
      <c r="AA128" s="589"/>
      <c r="AB128" s="589"/>
      <c r="AC128" s="589"/>
      <c r="AD128" s="589"/>
      <c r="AE128" s="594"/>
      <c r="AF128" s="594"/>
    </row>
    <row r="129" spans="1:32">
      <c r="A129" s="589"/>
      <c r="B129" s="589"/>
      <c r="C129" s="589"/>
      <c r="D129" s="589"/>
      <c r="E129" s="589"/>
      <c r="F129" s="589"/>
      <c r="G129" s="589"/>
      <c r="H129" s="589"/>
      <c r="I129" s="589"/>
      <c r="J129" s="589"/>
      <c r="K129" s="589"/>
      <c r="L129" s="589"/>
      <c r="M129" s="589"/>
      <c r="N129" s="589"/>
      <c r="O129" s="589"/>
      <c r="P129" s="589"/>
      <c r="Q129" s="589"/>
      <c r="R129" s="589"/>
      <c r="S129" s="589"/>
      <c r="T129" s="589"/>
      <c r="U129" s="589"/>
      <c r="V129" s="589"/>
      <c r="W129" s="589"/>
      <c r="X129" s="589"/>
      <c r="Y129" s="589"/>
      <c r="Z129" s="589"/>
      <c r="AA129" s="589"/>
      <c r="AB129" s="589"/>
      <c r="AC129" s="589"/>
      <c r="AD129" s="589"/>
      <c r="AE129" s="594"/>
      <c r="AF129" s="594"/>
    </row>
    <row r="130" spans="1:32">
      <c r="A130" s="589"/>
      <c r="B130" s="589"/>
      <c r="C130" s="589"/>
      <c r="D130" s="589"/>
      <c r="E130" s="589"/>
      <c r="F130" s="589"/>
      <c r="G130" s="589"/>
      <c r="H130" s="589"/>
      <c r="I130" s="589"/>
      <c r="J130" s="589"/>
      <c r="K130" s="589"/>
      <c r="L130" s="589"/>
      <c r="M130" s="589"/>
      <c r="N130" s="589"/>
      <c r="O130" s="589"/>
      <c r="P130" s="589"/>
      <c r="Q130" s="589"/>
      <c r="R130" s="589"/>
      <c r="S130" s="589"/>
      <c r="T130" s="589"/>
      <c r="U130" s="589"/>
      <c r="V130" s="589"/>
      <c r="W130" s="589"/>
      <c r="X130" s="589"/>
      <c r="Y130" s="589"/>
      <c r="Z130" s="589"/>
      <c r="AA130" s="589"/>
      <c r="AB130" s="589"/>
      <c r="AC130" s="589"/>
      <c r="AD130" s="589"/>
      <c r="AE130" s="594"/>
      <c r="AF130" s="594"/>
    </row>
    <row r="131" spans="1:32">
      <c r="A131" s="589"/>
      <c r="B131" s="589"/>
      <c r="C131" s="589"/>
      <c r="D131" s="589"/>
      <c r="E131" s="589"/>
      <c r="F131" s="589"/>
      <c r="G131" s="589"/>
      <c r="H131" s="589"/>
      <c r="I131" s="589"/>
      <c r="J131" s="589"/>
      <c r="K131" s="589"/>
      <c r="L131" s="589"/>
      <c r="M131" s="589"/>
      <c r="N131" s="589"/>
      <c r="O131" s="589"/>
      <c r="P131" s="589"/>
      <c r="Q131" s="589"/>
      <c r="R131" s="589"/>
      <c r="S131" s="589"/>
      <c r="T131" s="589"/>
      <c r="U131" s="589"/>
      <c r="V131" s="589"/>
      <c r="W131" s="589"/>
      <c r="X131" s="589"/>
      <c r="Y131" s="589"/>
      <c r="Z131" s="589"/>
      <c r="AA131" s="589"/>
      <c r="AB131" s="589"/>
      <c r="AC131" s="589"/>
      <c r="AD131" s="589"/>
      <c r="AE131" s="594"/>
      <c r="AF131" s="594"/>
    </row>
    <row r="132" spans="1:32">
      <c r="A132" s="589"/>
      <c r="B132" s="589"/>
      <c r="C132" s="589"/>
      <c r="D132" s="589"/>
      <c r="E132" s="589"/>
      <c r="F132" s="589"/>
      <c r="G132" s="589"/>
      <c r="H132" s="589"/>
      <c r="I132" s="589"/>
      <c r="J132" s="589"/>
      <c r="K132" s="589"/>
      <c r="L132" s="589"/>
      <c r="M132" s="589"/>
      <c r="N132" s="589"/>
      <c r="O132" s="589"/>
      <c r="P132" s="589"/>
      <c r="Q132" s="589"/>
      <c r="R132" s="589"/>
      <c r="S132" s="589"/>
      <c r="T132" s="589"/>
      <c r="U132" s="589"/>
      <c r="V132" s="589"/>
      <c r="W132" s="589"/>
      <c r="X132" s="589"/>
      <c r="Y132" s="589"/>
      <c r="Z132" s="589"/>
      <c r="AA132" s="589"/>
      <c r="AB132" s="589"/>
      <c r="AC132" s="589"/>
      <c r="AD132" s="589"/>
      <c r="AE132" s="594"/>
      <c r="AF132" s="594"/>
    </row>
    <row r="133" spans="1:32">
      <c r="A133" s="589"/>
      <c r="B133" s="589"/>
      <c r="C133" s="589"/>
      <c r="D133" s="589"/>
      <c r="E133" s="589"/>
      <c r="F133" s="589"/>
      <c r="G133" s="589"/>
      <c r="H133" s="589"/>
      <c r="I133" s="589"/>
      <c r="J133" s="589"/>
      <c r="K133" s="589"/>
      <c r="L133" s="589"/>
      <c r="M133" s="589"/>
      <c r="N133" s="589"/>
      <c r="O133" s="589"/>
      <c r="P133" s="589"/>
      <c r="Q133" s="589"/>
      <c r="R133" s="589"/>
      <c r="S133" s="589"/>
      <c r="T133" s="589"/>
      <c r="U133" s="589"/>
      <c r="V133" s="589"/>
      <c r="W133" s="589"/>
      <c r="X133" s="589"/>
      <c r="Y133" s="589"/>
      <c r="Z133" s="589"/>
      <c r="AA133" s="589"/>
      <c r="AB133" s="589"/>
      <c r="AC133" s="589"/>
      <c r="AD133" s="589"/>
      <c r="AE133" s="594"/>
      <c r="AF133" s="594"/>
    </row>
    <row r="134" spans="1:32">
      <c r="A134" s="589"/>
      <c r="B134" s="589"/>
      <c r="C134" s="589"/>
      <c r="D134" s="589"/>
      <c r="E134" s="589"/>
      <c r="F134" s="589"/>
      <c r="G134" s="589"/>
      <c r="H134" s="589"/>
      <c r="I134" s="589"/>
      <c r="J134" s="589"/>
      <c r="K134" s="589"/>
      <c r="L134" s="589"/>
      <c r="M134" s="589"/>
      <c r="N134" s="589"/>
      <c r="O134" s="589"/>
      <c r="P134" s="589"/>
      <c r="Q134" s="589"/>
      <c r="R134" s="589"/>
      <c r="S134" s="589"/>
      <c r="T134" s="589"/>
      <c r="U134" s="589"/>
      <c r="V134" s="589"/>
      <c r="W134" s="589"/>
      <c r="X134" s="589"/>
      <c r="Y134" s="589"/>
      <c r="Z134" s="589"/>
      <c r="AA134" s="589"/>
      <c r="AB134" s="589"/>
      <c r="AC134" s="589"/>
      <c r="AD134" s="589"/>
      <c r="AE134" s="594"/>
      <c r="AF134" s="594"/>
    </row>
    <row r="135" spans="1:32">
      <c r="A135" s="589"/>
      <c r="B135" s="589"/>
      <c r="C135" s="589"/>
      <c r="D135" s="589"/>
      <c r="E135" s="589"/>
      <c r="F135" s="589"/>
      <c r="G135" s="589"/>
      <c r="H135" s="589"/>
      <c r="I135" s="589"/>
      <c r="J135" s="589"/>
      <c r="K135" s="589"/>
      <c r="L135" s="589"/>
      <c r="M135" s="589"/>
      <c r="N135" s="589"/>
      <c r="O135" s="589"/>
      <c r="P135" s="589"/>
      <c r="Q135" s="589"/>
      <c r="R135" s="589"/>
      <c r="S135" s="589"/>
      <c r="T135" s="589"/>
      <c r="U135" s="589"/>
      <c r="V135" s="589"/>
      <c r="W135" s="589"/>
      <c r="X135" s="589"/>
      <c r="Y135" s="589"/>
      <c r="Z135" s="589"/>
      <c r="AA135" s="589"/>
      <c r="AB135" s="589"/>
      <c r="AC135" s="589"/>
      <c r="AD135" s="589"/>
      <c r="AE135" s="594"/>
      <c r="AF135" s="594"/>
    </row>
    <row r="136" spans="1:32">
      <c r="A136" s="589"/>
      <c r="B136" s="589"/>
      <c r="C136" s="589"/>
      <c r="D136" s="589"/>
      <c r="E136" s="589"/>
      <c r="F136" s="589"/>
      <c r="G136" s="589"/>
      <c r="H136" s="589"/>
      <c r="I136" s="589"/>
      <c r="J136" s="589"/>
      <c r="K136" s="589"/>
      <c r="L136" s="589"/>
      <c r="M136" s="589"/>
      <c r="N136" s="589"/>
      <c r="O136" s="589"/>
      <c r="P136" s="589"/>
      <c r="Q136" s="589"/>
      <c r="R136" s="589"/>
      <c r="S136" s="589"/>
      <c r="T136" s="589"/>
      <c r="U136" s="589"/>
      <c r="V136" s="589"/>
      <c r="W136" s="589"/>
      <c r="X136" s="589"/>
      <c r="Y136" s="589"/>
      <c r="Z136" s="589"/>
      <c r="AA136" s="589"/>
      <c r="AB136" s="589"/>
      <c r="AC136" s="589"/>
      <c r="AD136" s="589"/>
      <c r="AE136" s="594"/>
      <c r="AF136" s="594"/>
    </row>
    <row r="137" spans="1:32">
      <c r="A137" s="589"/>
      <c r="B137" s="589"/>
      <c r="C137" s="589"/>
      <c r="D137" s="589"/>
      <c r="E137" s="589"/>
      <c r="F137" s="589"/>
      <c r="G137" s="589"/>
      <c r="H137" s="589"/>
      <c r="I137" s="589"/>
      <c r="J137" s="589"/>
      <c r="K137" s="589"/>
      <c r="L137" s="589"/>
      <c r="M137" s="589"/>
      <c r="N137" s="589"/>
      <c r="O137" s="589"/>
      <c r="P137" s="589"/>
      <c r="Q137" s="589"/>
      <c r="R137" s="589"/>
      <c r="S137" s="589"/>
      <c r="T137" s="589"/>
      <c r="U137" s="589"/>
      <c r="V137" s="589"/>
      <c r="W137" s="589"/>
      <c r="X137" s="589"/>
      <c r="Y137" s="589"/>
      <c r="Z137" s="589"/>
      <c r="AA137" s="589"/>
      <c r="AB137" s="589"/>
      <c r="AC137" s="589"/>
      <c r="AD137" s="589"/>
      <c r="AE137" s="594"/>
      <c r="AF137" s="594"/>
    </row>
    <row r="138" spans="1:32">
      <c r="A138" s="589"/>
      <c r="B138" s="589"/>
      <c r="C138" s="589"/>
      <c r="D138" s="589"/>
      <c r="E138" s="589"/>
      <c r="F138" s="589"/>
      <c r="G138" s="589"/>
      <c r="H138" s="589"/>
      <c r="I138" s="589"/>
      <c r="J138" s="589"/>
      <c r="K138" s="589"/>
      <c r="L138" s="589"/>
      <c r="M138" s="589"/>
      <c r="N138" s="589"/>
      <c r="O138" s="589"/>
      <c r="P138" s="589"/>
      <c r="Q138" s="589"/>
      <c r="R138" s="589"/>
      <c r="S138" s="589"/>
      <c r="T138" s="589"/>
      <c r="U138" s="589"/>
      <c r="V138" s="589"/>
      <c r="W138" s="589"/>
      <c r="X138" s="589"/>
      <c r="Y138" s="589"/>
      <c r="Z138" s="589"/>
      <c r="AA138" s="589"/>
      <c r="AB138" s="589"/>
      <c r="AC138" s="589"/>
      <c r="AD138" s="589"/>
      <c r="AE138" s="594"/>
      <c r="AF138" s="594"/>
    </row>
    <row r="139" spans="1:32">
      <c r="A139" s="589"/>
      <c r="B139" s="589"/>
      <c r="C139" s="589"/>
      <c r="D139" s="589"/>
      <c r="E139" s="589"/>
      <c r="F139" s="589"/>
      <c r="G139" s="589"/>
      <c r="H139" s="589"/>
      <c r="I139" s="589"/>
      <c r="J139" s="589"/>
      <c r="K139" s="589"/>
      <c r="L139" s="589"/>
      <c r="M139" s="589"/>
      <c r="N139" s="589"/>
      <c r="O139" s="589"/>
      <c r="P139" s="589"/>
      <c r="Q139" s="589"/>
      <c r="R139" s="589"/>
      <c r="S139" s="589"/>
      <c r="T139" s="589"/>
      <c r="U139" s="589"/>
      <c r="V139" s="589"/>
      <c r="W139" s="589"/>
      <c r="X139" s="589"/>
      <c r="Y139" s="589"/>
      <c r="Z139" s="589"/>
      <c r="AA139" s="589"/>
      <c r="AB139" s="589"/>
      <c r="AC139" s="589"/>
      <c r="AD139" s="589"/>
      <c r="AE139" s="594"/>
      <c r="AF139" s="594"/>
    </row>
    <row r="140" spans="1:32">
      <c r="A140" s="589"/>
      <c r="B140" s="589"/>
      <c r="C140" s="589"/>
      <c r="D140" s="589"/>
      <c r="E140" s="589"/>
      <c r="F140" s="589"/>
      <c r="G140" s="589"/>
      <c r="H140" s="589"/>
      <c r="I140" s="589"/>
      <c r="J140" s="589"/>
      <c r="K140" s="589"/>
      <c r="L140" s="589"/>
      <c r="M140" s="589"/>
      <c r="N140" s="589"/>
      <c r="O140" s="589"/>
      <c r="P140" s="589"/>
      <c r="Q140" s="589"/>
      <c r="R140" s="589"/>
      <c r="S140" s="589"/>
      <c r="T140" s="589"/>
      <c r="U140" s="589"/>
      <c r="V140" s="589"/>
      <c r="W140" s="589"/>
      <c r="X140" s="589"/>
      <c r="Y140" s="589"/>
      <c r="Z140" s="589"/>
      <c r="AA140" s="589"/>
      <c r="AB140" s="589"/>
      <c r="AC140" s="589"/>
      <c r="AD140" s="589"/>
      <c r="AE140" s="594"/>
      <c r="AF140" s="594"/>
    </row>
    <row r="141" spans="1:32">
      <c r="A141" s="589"/>
      <c r="B141" s="589"/>
      <c r="C141" s="589"/>
      <c r="D141" s="589"/>
      <c r="E141" s="589"/>
      <c r="F141" s="589"/>
      <c r="G141" s="589"/>
      <c r="H141" s="589"/>
      <c r="I141" s="589"/>
      <c r="J141" s="589"/>
      <c r="K141" s="589"/>
      <c r="L141" s="589"/>
      <c r="M141" s="589"/>
      <c r="N141" s="589"/>
      <c r="O141" s="589"/>
      <c r="P141" s="589"/>
      <c r="Q141" s="589"/>
      <c r="R141" s="589"/>
      <c r="S141" s="589"/>
      <c r="T141" s="589"/>
      <c r="U141" s="589"/>
      <c r="V141" s="589"/>
      <c r="W141" s="589"/>
      <c r="X141" s="589"/>
      <c r="Y141" s="589"/>
      <c r="Z141" s="589"/>
      <c r="AA141" s="589"/>
      <c r="AB141" s="589"/>
      <c r="AC141" s="589"/>
      <c r="AD141" s="589"/>
      <c r="AE141" s="594"/>
      <c r="AF141" s="594"/>
    </row>
    <row r="142" spans="1:32">
      <c r="A142" s="589"/>
      <c r="B142" s="589"/>
      <c r="C142" s="589"/>
      <c r="D142" s="589"/>
      <c r="E142" s="589"/>
      <c r="F142" s="589"/>
      <c r="G142" s="589"/>
      <c r="H142" s="589"/>
      <c r="I142" s="589"/>
      <c r="J142" s="589"/>
      <c r="K142" s="589"/>
      <c r="L142" s="589"/>
      <c r="M142" s="589"/>
      <c r="N142" s="589"/>
      <c r="O142" s="589"/>
      <c r="P142" s="589"/>
      <c r="Q142" s="589"/>
      <c r="R142" s="589"/>
      <c r="S142" s="589"/>
      <c r="T142" s="589"/>
      <c r="U142" s="589"/>
      <c r="V142" s="589"/>
      <c r="W142" s="589"/>
      <c r="X142" s="589"/>
      <c r="Y142" s="589"/>
      <c r="Z142" s="589"/>
      <c r="AA142" s="589"/>
      <c r="AB142" s="589"/>
      <c r="AC142" s="589"/>
      <c r="AD142" s="589"/>
      <c r="AE142" s="594"/>
      <c r="AF142" s="594"/>
    </row>
    <row r="143" spans="1:32">
      <c r="A143" s="589"/>
      <c r="B143" s="589"/>
      <c r="C143" s="589"/>
      <c r="D143" s="589"/>
      <c r="E143" s="589"/>
      <c r="F143" s="589"/>
      <c r="G143" s="589"/>
      <c r="H143" s="589"/>
      <c r="I143" s="589"/>
      <c r="J143" s="589"/>
      <c r="K143" s="589"/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89"/>
      <c r="Y143" s="589"/>
      <c r="Z143" s="589"/>
      <c r="AA143" s="589"/>
      <c r="AB143" s="589"/>
      <c r="AC143" s="589"/>
      <c r="AD143" s="589"/>
      <c r="AE143" s="594"/>
      <c r="AF143" s="594"/>
    </row>
    <row r="144" spans="1:32">
      <c r="A144" s="589"/>
      <c r="B144" s="589"/>
      <c r="C144" s="589"/>
      <c r="D144" s="589"/>
      <c r="E144" s="589"/>
      <c r="F144" s="589"/>
      <c r="G144" s="589"/>
      <c r="H144" s="589"/>
      <c r="I144" s="589"/>
      <c r="J144" s="589"/>
      <c r="K144" s="589"/>
      <c r="L144" s="589"/>
      <c r="M144" s="589"/>
      <c r="N144" s="589"/>
      <c r="O144" s="589"/>
      <c r="P144" s="589"/>
      <c r="Q144" s="589"/>
      <c r="R144" s="589"/>
      <c r="S144" s="589"/>
      <c r="T144" s="589"/>
      <c r="U144" s="589"/>
      <c r="V144" s="589"/>
      <c r="W144" s="589"/>
      <c r="X144" s="589"/>
      <c r="Y144" s="589"/>
      <c r="Z144" s="589"/>
      <c r="AA144" s="589"/>
      <c r="AB144" s="589"/>
      <c r="AC144" s="589"/>
      <c r="AD144" s="589"/>
      <c r="AE144" s="594"/>
      <c r="AF144" s="594"/>
    </row>
    <row r="145" spans="1:32">
      <c r="A145" s="589"/>
      <c r="B145" s="589"/>
      <c r="C145" s="589"/>
      <c r="D145" s="589"/>
      <c r="E145" s="589"/>
      <c r="F145" s="589"/>
      <c r="G145" s="589"/>
      <c r="H145" s="589"/>
      <c r="I145" s="589"/>
      <c r="J145" s="589"/>
      <c r="K145" s="589"/>
      <c r="L145" s="589"/>
      <c r="M145" s="589"/>
      <c r="N145" s="589"/>
      <c r="O145" s="589"/>
      <c r="P145" s="589"/>
      <c r="Q145" s="589"/>
      <c r="R145" s="589"/>
      <c r="S145" s="589"/>
      <c r="T145" s="589"/>
      <c r="U145" s="589"/>
      <c r="V145" s="589"/>
      <c r="W145" s="589"/>
      <c r="X145" s="589"/>
      <c r="Y145" s="589"/>
      <c r="Z145" s="589"/>
      <c r="AA145" s="589"/>
      <c r="AB145" s="589"/>
      <c r="AC145" s="589"/>
      <c r="AD145" s="589"/>
      <c r="AE145" s="594"/>
      <c r="AF145" s="594"/>
    </row>
    <row r="146" spans="1:32">
      <c r="A146" s="589"/>
      <c r="B146" s="589"/>
      <c r="C146" s="589"/>
      <c r="D146" s="589"/>
      <c r="E146" s="589"/>
      <c r="F146" s="589"/>
      <c r="G146" s="589"/>
      <c r="H146" s="589"/>
      <c r="I146" s="589"/>
      <c r="J146" s="589"/>
      <c r="K146" s="589"/>
      <c r="L146" s="589"/>
      <c r="M146" s="589"/>
      <c r="N146" s="589"/>
      <c r="O146" s="589"/>
      <c r="P146" s="589"/>
      <c r="Q146" s="589"/>
      <c r="R146" s="589"/>
      <c r="S146" s="589"/>
      <c r="T146" s="589"/>
      <c r="U146" s="589"/>
      <c r="V146" s="589"/>
      <c r="W146" s="589"/>
      <c r="X146" s="589"/>
      <c r="Y146" s="589"/>
      <c r="Z146" s="589"/>
      <c r="AA146" s="589"/>
      <c r="AB146" s="589"/>
      <c r="AC146" s="589"/>
      <c r="AD146" s="589"/>
      <c r="AE146" s="594"/>
      <c r="AF146" s="594"/>
    </row>
    <row r="147" spans="1:32">
      <c r="A147" s="589"/>
      <c r="B147" s="589"/>
      <c r="C147" s="589"/>
      <c r="D147" s="589"/>
      <c r="E147" s="589"/>
      <c r="F147" s="589"/>
      <c r="G147" s="589"/>
      <c r="H147" s="589"/>
      <c r="I147" s="589"/>
      <c r="J147" s="589"/>
      <c r="K147" s="589"/>
      <c r="L147" s="589"/>
      <c r="M147" s="589"/>
      <c r="N147" s="589"/>
      <c r="O147" s="589"/>
      <c r="P147" s="589"/>
      <c r="Q147" s="589"/>
      <c r="R147" s="589"/>
      <c r="S147" s="589"/>
      <c r="T147" s="589"/>
      <c r="U147" s="589"/>
      <c r="V147" s="589"/>
      <c r="W147" s="589"/>
      <c r="X147" s="589"/>
      <c r="Y147" s="589"/>
      <c r="Z147" s="589"/>
      <c r="AA147" s="589"/>
      <c r="AB147" s="589"/>
      <c r="AC147" s="589"/>
      <c r="AD147" s="589"/>
      <c r="AE147" s="594"/>
      <c r="AF147" s="594"/>
    </row>
    <row r="148" spans="1:32">
      <c r="A148" s="589"/>
      <c r="B148" s="589"/>
      <c r="C148" s="589"/>
      <c r="D148" s="589"/>
      <c r="E148" s="589"/>
      <c r="F148" s="589"/>
      <c r="G148" s="589"/>
      <c r="H148" s="589"/>
      <c r="I148" s="589"/>
      <c r="J148" s="589"/>
      <c r="K148" s="589"/>
      <c r="L148" s="589"/>
      <c r="M148" s="589"/>
      <c r="N148" s="589"/>
      <c r="O148" s="589"/>
      <c r="P148" s="589"/>
      <c r="Q148" s="589"/>
      <c r="R148" s="589"/>
      <c r="S148" s="589"/>
      <c r="T148" s="589"/>
      <c r="U148" s="589"/>
      <c r="V148" s="589"/>
      <c r="W148" s="589"/>
      <c r="X148" s="589"/>
      <c r="Y148" s="589"/>
      <c r="Z148" s="589"/>
      <c r="AA148" s="589"/>
      <c r="AB148" s="589"/>
      <c r="AC148" s="589"/>
      <c r="AD148" s="589"/>
      <c r="AE148" s="594"/>
      <c r="AF148" s="594"/>
    </row>
    <row r="149" spans="1:32">
      <c r="A149" s="589"/>
      <c r="B149" s="589"/>
      <c r="C149" s="589"/>
      <c r="D149" s="589"/>
      <c r="E149" s="589"/>
      <c r="F149" s="589"/>
      <c r="G149" s="589"/>
      <c r="H149" s="589"/>
      <c r="I149" s="589"/>
      <c r="J149" s="589"/>
      <c r="K149" s="589"/>
      <c r="L149" s="589"/>
      <c r="M149" s="589"/>
      <c r="N149" s="589"/>
      <c r="O149" s="589"/>
      <c r="P149" s="589"/>
      <c r="Q149" s="589"/>
      <c r="R149" s="589"/>
      <c r="S149" s="589"/>
      <c r="T149" s="589"/>
      <c r="U149" s="589"/>
      <c r="V149" s="589"/>
      <c r="W149" s="589"/>
      <c r="X149" s="589"/>
      <c r="Y149" s="589"/>
      <c r="Z149" s="589"/>
      <c r="AA149" s="589"/>
      <c r="AB149" s="589"/>
      <c r="AC149" s="589"/>
      <c r="AD149" s="589"/>
      <c r="AE149" s="594"/>
      <c r="AF149" s="594"/>
    </row>
    <row r="150" spans="1:32">
      <c r="A150" s="589"/>
      <c r="B150" s="589"/>
      <c r="C150" s="589"/>
      <c r="D150" s="589"/>
      <c r="E150" s="589"/>
      <c r="F150" s="589"/>
      <c r="G150" s="589"/>
      <c r="H150" s="589"/>
      <c r="I150" s="589"/>
      <c r="J150" s="589"/>
      <c r="K150" s="589"/>
      <c r="L150" s="589"/>
      <c r="M150" s="589"/>
      <c r="N150" s="589"/>
      <c r="O150" s="589"/>
      <c r="P150" s="589"/>
      <c r="Q150" s="589"/>
      <c r="R150" s="589"/>
      <c r="S150" s="589"/>
      <c r="T150" s="589"/>
      <c r="U150" s="589"/>
      <c r="V150" s="589"/>
      <c r="W150" s="589"/>
      <c r="X150" s="589"/>
      <c r="Y150" s="589"/>
      <c r="Z150" s="589"/>
      <c r="AA150" s="589"/>
      <c r="AB150" s="589"/>
      <c r="AC150" s="589"/>
      <c r="AD150" s="589"/>
      <c r="AE150" s="594"/>
      <c r="AF150" s="594"/>
    </row>
    <row r="151" spans="1:32">
      <c r="A151" s="589"/>
      <c r="B151" s="589"/>
      <c r="C151" s="589"/>
      <c r="D151" s="589"/>
      <c r="E151" s="589"/>
      <c r="F151" s="589"/>
      <c r="G151" s="589"/>
      <c r="H151" s="589"/>
      <c r="I151" s="589"/>
      <c r="J151" s="589"/>
      <c r="K151" s="589"/>
      <c r="L151" s="589"/>
      <c r="M151" s="589"/>
      <c r="N151" s="589"/>
      <c r="O151" s="589"/>
      <c r="P151" s="589"/>
      <c r="Q151" s="589"/>
      <c r="R151" s="589"/>
      <c r="S151" s="589"/>
      <c r="T151" s="589"/>
      <c r="U151" s="589"/>
      <c r="V151" s="589"/>
      <c r="W151" s="589"/>
      <c r="X151" s="589"/>
      <c r="Y151" s="589"/>
      <c r="Z151" s="589"/>
      <c r="AA151" s="589"/>
      <c r="AB151" s="589"/>
      <c r="AC151" s="589"/>
      <c r="AD151" s="589"/>
      <c r="AE151" s="594"/>
      <c r="AF151" s="594"/>
    </row>
    <row r="152" spans="1:32">
      <c r="A152" s="589"/>
      <c r="B152" s="589"/>
      <c r="C152" s="589"/>
      <c r="D152" s="589"/>
      <c r="E152" s="589"/>
      <c r="F152" s="589"/>
      <c r="G152" s="589"/>
      <c r="H152" s="589"/>
      <c r="I152" s="589"/>
      <c r="J152" s="589"/>
      <c r="K152" s="589"/>
      <c r="L152" s="589"/>
      <c r="M152" s="589"/>
      <c r="N152" s="589"/>
      <c r="O152" s="589"/>
      <c r="P152" s="589"/>
      <c r="Q152" s="589"/>
      <c r="R152" s="589"/>
      <c r="S152" s="589"/>
      <c r="T152" s="589"/>
      <c r="U152" s="589"/>
      <c r="V152" s="589"/>
      <c r="W152" s="589"/>
      <c r="X152" s="589"/>
      <c r="Y152" s="589"/>
      <c r="Z152" s="589"/>
      <c r="AA152" s="589"/>
      <c r="AB152" s="589"/>
      <c r="AC152" s="589"/>
      <c r="AD152" s="589"/>
      <c r="AE152" s="594"/>
      <c r="AF152" s="594"/>
    </row>
    <row r="153" spans="1:32">
      <c r="A153" s="589"/>
      <c r="B153" s="589"/>
      <c r="C153" s="589"/>
      <c r="D153" s="589"/>
      <c r="E153" s="589"/>
      <c r="F153" s="589"/>
      <c r="G153" s="589"/>
      <c r="H153" s="589"/>
      <c r="I153" s="589"/>
      <c r="J153" s="589"/>
      <c r="K153" s="589"/>
      <c r="L153" s="589"/>
      <c r="M153" s="589"/>
      <c r="N153" s="589"/>
      <c r="O153" s="589"/>
      <c r="P153" s="589"/>
      <c r="Q153" s="589"/>
      <c r="R153" s="589"/>
      <c r="S153" s="589"/>
      <c r="T153" s="589"/>
      <c r="U153" s="589"/>
      <c r="V153" s="589"/>
      <c r="W153" s="589"/>
      <c r="X153" s="589"/>
      <c r="Y153" s="589"/>
      <c r="Z153" s="589"/>
      <c r="AA153" s="589"/>
      <c r="AB153" s="589"/>
      <c r="AC153" s="589"/>
      <c r="AD153" s="589"/>
      <c r="AE153" s="594"/>
      <c r="AF153" s="594"/>
    </row>
    <row r="154" spans="1:32">
      <c r="A154" s="589"/>
      <c r="B154" s="589"/>
      <c r="C154" s="589"/>
      <c r="D154" s="589"/>
      <c r="E154" s="589"/>
      <c r="F154" s="589"/>
      <c r="G154" s="589"/>
      <c r="H154" s="589"/>
      <c r="I154" s="589"/>
      <c r="J154" s="589"/>
      <c r="K154" s="589"/>
      <c r="L154" s="589"/>
      <c r="M154" s="589"/>
      <c r="N154" s="589"/>
      <c r="O154" s="589"/>
      <c r="P154" s="589"/>
      <c r="Q154" s="589"/>
      <c r="R154" s="589"/>
      <c r="S154" s="589"/>
      <c r="T154" s="589"/>
      <c r="U154" s="589"/>
      <c r="V154" s="589"/>
      <c r="W154" s="589"/>
      <c r="X154" s="589"/>
      <c r="Y154" s="589"/>
      <c r="Z154" s="589"/>
      <c r="AA154" s="589"/>
      <c r="AB154" s="589"/>
      <c r="AC154" s="589"/>
      <c r="AD154" s="589"/>
      <c r="AE154" s="594"/>
      <c r="AF154" s="594"/>
    </row>
    <row r="155" spans="1:32">
      <c r="A155" s="589"/>
      <c r="B155" s="589"/>
      <c r="C155" s="589"/>
      <c r="D155" s="589"/>
      <c r="E155" s="589"/>
      <c r="F155" s="589"/>
      <c r="G155" s="589"/>
      <c r="H155" s="589"/>
      <c r="I155" s="589"/>
      <c r="J155" s="589"/>
      <c r="K155" s="589"/>
      <c r="L155" s="589"/>
      <c r="M155" s="589"/>
      <c r="N155" s="589"/>
      <c r="O155" s="589"/>
      <c r="P155" s="589"/>
      <c r="Q155" s="589"/>
      <c r="R155" s="589"/>
      <c r="S155" s="589"/>
      <c r="T155" s="589"/>
      <c r="U155" s="589"/>
      <c r="V155" s="589"/>
      <c r="W155" s="589"/>
      <c r="X155" s="589"/>
      <c r="Y155" s="589"/>
      <c r="Z155" s="589"/>
      <c r="AA155" s="589"/>
      <c r="AB155" s="589"/>
      <c r="AC155" s="589"/>
      <c r="AD155" s="589"/>
      <c r="AE155" s="594"/>
      <c r="AF155" s="594"/>
    </row>
    <row r="156" spans="1:32">
      <c r="A156" s="589"/>
      <c r="B156" s="589"/>
      <c r="C156" s="589"/>
      <c r="D156" s="589"/>
      <c r="E156" s="589"/>
      <c r="F156" s="589"/>
      <c r="G156" s="589"/>
      <c r="H156" s="589"/>
      <c r="I156" s="589"/>
      <c r="J156" s="589"/>
      <c r="K156" s="589"/>
      <c r="L156" s="589"/>
      <c r="M156" s="589"/>
      <c r="N156" s="589"/>
      <c r="O156" s="589"/>
      <c r="P156" s="589"/>
      <c r="Q156" s="589"/>
      <c r="R156" s="589"/>
      <c r="S156" s="589"/>
      <c r="T156" s="589"/>
      <c r="U156" s="589"/>
      <c r="V156" s="589"/>
      <c r="W156" s="589"/>
      <c r="X156" s="589"/>
      <c r="Y156" s="589"/>
      <c r="Z156" s="589"/>
      <c r="AA156" s="589"/>
      <c r="AB156" s="589"/>
      <c r="AC156" s="589"/>
      <c r="AD156" s="589"/>
      <c r="AE156" s="594"/>
      <c r="AF156" s="594"/>
    </row>
    <row r="157" spans="1:32">
      <c r="A157" s="589"/>
      <c r="B157" s="589"/>
      <c r="C157" s="589"/>
      <c r="D157" s="589"/>
      <c r="E157" s="589"/>
      <c r="F157" s="589"/>
      <c r="G157" s="589"/>
      <c r="H157" s="589"/>
      <c r="I157" s="589"/>
      <c r="J157" s="589"/>
      <c r="K157" s="589"/>
      <c r="L157" s="589"/>
      <c r="M157" s="589"/>
      <c r="N157" s="589"/>
      <c r="O157" s="589"/>
      <c r="P157" s="589"/>
      <c r="Q157" s="589"/>
      <c r="R157" s="589"/>
      <c r="S157" s="589"/>
      <c r="T157" s="589"/>
      <c r="U157" s="589"/>
      <c r="V157" s="589"/>
      <c r="W157" s="589"/>
      <c r="X157" s="589"/>
      <c r="Y157" s="589"/>
      <c r="Z157" s="589"/>
      <c r="AA157" s="589"/>
      <c r="AB157" s="589"/>
      <c r="AC157" s="589"/>
      <c r="AD157" s="589"/>
      <c r="AE157" s="594"/>
      <c r="AF157" s="594"/>
    </row>
    <row r="158" spans="1:32">
      <c r="A158" s="589"/>
      <c r="B158" s="589"/>
      <c r="C158" s="589"/>
      <c r="D158" s="589"/>
      <c r="E158" s="589"/>
      <c r="F158" s="589"/>
      <c r="G158" s="589"/>
      <c r="H158" s="589"/>
      <c r="I158" s="589"/>
      <c r="J158" s="589"/>
      <c r="K158" s="589"/>
      <c r="L158" s="589"/>
      <c r="M158" s="589"/>
      <c r="N158" s="589"/>
      <c r="O158" s="589"/>
      <c r="P158" s="589"/>
      <c r="Q158" s="589"/>
      <c r="R158" s="589"/>
      <c r="S158" s="589"/>
      <c r="T158" s="589"/>
      <c r="U158" s="589"/>
      <c r="V158" s="589"/>
      <c r="W158" s="589"/>
      <c r="X158" s="589"/>
      <c r="Y158" s="589"/>
      <c r="Z158" s="589"/>
      <c r="AA158" s="589"/>
      <c r="AB158" s="589"/>
      <c r="AC158" s="589"/>
      <c r="AD158" s="589"/>
      <c r="AE158" s="594"/>
      <c r="AF158" s="594"/>
    </row>
    <row r="159" spans="1:32">
      <c r="A159" s="589"/>
      <c r="B159" s="589"/>
      <c r="C159" s="589"/>
      <c r="D159" s="589"/>
      <c r="E159" s="589"/>
      <c r="F159" s="589"/>
      <c r="G159" s="589"/>
      <c r="H159" s="589"/>
      <c r="I159" s="589"/>
      <c r="J159" s="589"/>
      <c r="K159" s="589"/>
      <c r="L159" s="589"/>
      <c r="M159" s="589"/>
      <c r="N159" s="589"/>
      <c r="O159" s="589"/>
      <c r="P159" s="589"/>
      <c r="Q159" s="589"/>
      <c r="R159" s="589"/>
      <c r="S159" s="589"/>
      <c r="T159" s="589"/>
      <c r="U159" s="589"/>
      <c r="V159" s="589"/>
      <c r="W159" s="589"/>
      <c r="X159" s="589"/>
      <c r="Y159" s="589"/>
      <c r="Z159" s="589"/>
      <c r="AA159" s="589"/>
      <c r="AB159" s="589"/>
      <c r="AC159" s="589"/>
      <c r="AD159" s="589"/>
      <c r="AE159" s="594"/>
      <c r="AF159" s="594"/>
    </row>
    <row r="160" spans="1:32">
      <c r="A160" s="589"/>
      <c r="B160" s="589"/>
      <c r="C160" s="589"/>
      <c r="D160" s="589"/>
      <c r="E160" s="589"/>
      <c r="F160" s="589"/>
      <c r="G160" s="589"/>
      <c r="H160" s="589"/>
      <c r="I160" s="589"/>
      <c r="J160" s="589"/>
      <c r="K160" s="589"/>
      <c r="L160" s="589"/>
      <c r="M160" s="589"/>
      <c r="N160" s="589"/>
      <c r="O160" s="589"/>
      <c r="P160" s="589"/>
      <c r="Q160" s="589"/>
      <c r="R160" s="589"/>
      <c r="S160" s="589"/>
      <c r="T160" s="589"/>
      <c r="U160" s="589"/>
      <c r="V160" s="589"/>
      <c r="W160" s="589"/>
      <c r="X160" s="589"/>
      <c r="Y160" s="589"/>
      <c r="Z160" s="589"/>
      <c r="AA160" s="589"/>
      <c r="AB160" s="589"/>
      <c r="AC160" s="589"/>
      <c r="AD160" s="589"/>
      <c r="AE160" s="594"/>
      <c r="AF160" s="594"/>
    </row>
    <row r="161" spans="1:32">
      <c r="A161" s="589"/>
      <c r="B161" s="589"/>
      <c r="C161" s="589"/>
      <c r="D161" s="589"/>
      <c r="E161" s="589"/>
      <c r="F161" s="589"/>
      <c r="G161" s="589"/>
      <c r="H161" s="589"/>
      <c r="I161" s="589"/>
      <c r="J161" s="589"/>
      <c r="K161" s="589"/>
      <c r="L161" s="589"/>
      <c r="M161" s="589"/>
      <c r="N161" s="589"/>
      <c r="O161" s="589"/>
      <c r="P161" s="589"/>
      <c r="Q161" s="589"/>
      <c r="R161" s="589"/>
      <c r="S161" s="589"/>
      <c r="T161" s="589"/>
      <c r="U161" s="589"/>
      <c r="V161" s="589"/>
      <c r="W161" s="589"/>
      <c r="X161" s="589"/>
      <c r="Y161" s="589"/>
      <c r="Z161" s="589"/>
      <c r="AA161" s="589"/>
      <c r="AB161" s="589"/>
      <c r="AC161" s="589"/>
      <c r="AD161" s="589"/>
      <c r="AE161" s="594"/>
      <c r="AF161" s="594"/>
    </row>
    <row r="162" spans="1:32">
      <c r="A162" s="589"/>
      <c r="B162" s="589"/>
      <c r="C162" s="589"/>
      <c r="D162" s="589"/>
      <c r="E162" s="589"/>
      <c r="F162" s="589"/>
      <c r="G162" s="589"/>
      <c r="H162" s="589"/>
      <c r="I162" s="589"/>
      <c r="J162" s="589"/>
      <c r="K162" s="589"/>
      <c r="L162" s="589"/>
      <c r="M162" s="589"/>
      <c r="N162" s="589"/>
      <c r="O162" s="589"/>
      <c r="P162" s="589"/>
      <c r="Q162" s="589"/>
      <c r="R162" s="589"/>
      <c r="S162" s="589"/>
      <c r="T162" s="589"/>
      <c r="U162" s="589"/>
      <c r="V162" s="589"/>
      <c r="W162" s="589"/>
      <c r="X162" s="589"/>
      <c r="Y162" s="589"/>
      <c r="Z162" s="589"/>
      <c r="AA162" s="589"/>
      <c r="AB162" s="589"/>
      <c r="AC162" s="589"/>
      <c r="AD162" s="589"/>
      <c r="AE162" s="594"/>
      <c r="AF162" s="594"/>
    </row>
    <row r="163" spans="1:32">
      <c r="A163" s="589"/>
      <c r="B163" s="589"/>
      <c r="C163" s="589"/>
      <c r="D163" s="589"/>
      <c r="E163" s="589"/>
      <c r="F163" s="589"/>
      <c r="G163" s="589"/>
      <c r="H163" s="589"/>
      <c r="I163" s="589"/>
      <c r="J163" s="589"/>
      <c r="K163" s="589"/>
      <c r="L163" s="589"/>
      <c r="M163" s="589"/>
      <c r="N163" s="589"/>
      <c r="O163" s="589"/>
      <c r="P163" s="589"/>
      <c r="Q163" s="589"/>
      <c r="R163" s="589"/>
      <c r="S163" s="589"/>
      <c r="T163" s="589"/>
      <c r="U163" s="589"/>
      <c r="V163" s="589"/>
      <c r="W163" s="589"/>
      <c r="X163" s="589"/>
      <c r="Y163" s="589"/>
      <c r="Z163" s="589"/>
      <c r="AA163" s="589"/>
      <c r="AB163" s="589"/>
      <c r="AC163" s="589"/>
      <c r="AD163" s="589"/>
      <c r="AE163" s="594"/>
      <c r="AF163" s="594"/>
    </row>
    <row r="164" spans="1:32">
      <c r="A164" s="589"/>
      <c r="B164" s="589"/>
      <c r="C164" s="589"/>
      <c r="D164" s="589"/>
      <c r="E164" s="589"/>
      <c r="F164" s="589"/>
      <c r="G164" s="589"/>
      <c r="H164" s="589"/>
      <c r="I164" s="589"/>
      <c r="J164" s="589"/>
      <c r="K164" s="589"/>
      <c r="L164" s="589"/>
      <c r="M164" s="589"/>
      <c r="N164" s="589"/>
      <c r="O164" s="589"/>
      <c r="P164" s="589"/>
      <c r="Q164" s="589"/>
      <c r="R164" s="589"/>
      <c r="S164" s="589"/>
      <c r="T164" s="589"/>
      <c r="U164" s="589"/>
      <c r="V164" s="589"/>
      <c r="W164" s="589"/>
      <c r="X164" s="589"/>
      <c r="Y164" s="589"/>
      <c r="Z164" s="589"/>
      <c r="AA164" s="589"/>
      <c r="AB164" s="589"/>
      <c r="AC164" s="589"/>
      <c r="AD164" s="589"/>
      <c r="AE164" s="594"/>
      <c r="AF164" s="594"/>
    </row>
    <row r="165" spans="1:32">
      <c r="A165" s="589"/>
      <c r="B165" s="589"/>
      <c r="C165" s="589"/>
      <c r="D165" s="589"/>
      <c r="E165" s="589"/>
      <c r="F165" s="589"/>
      <c r="G165" s="589"/>
      <c r="H165" s="589"/>
      <c r="I165" s="589"/>
      <c r="J165" s="589"/>
      <c r="K165" s="589"/>
      <c r="L165" s="589"/>
      <c r="M165" s="589"/>
      <c r="N165" s="589"/>
      <c r="O165" s="589"/>
      <c r="P165" s="589"/>
      <c r="Q165" s="589"/>
      <c r="R165" s="589"/>
      <c r="S165" s="589"/>
      <c r="T165" s="589"/>
      <c r="U165" s="589"/>
      <c r="V165" s="589"/>
      <c r="W165" s="589"/>
      <c r="X165" s="589"/>
      <c r="Y165" s="589"/>
      <c r="Z165" s="589"/>
      <c r="AA165" s="589"/>
      <c r="AB165" s="589"/>
      <c r="AC165" s="589"/>
      <c r="AD165" s="589"/>
      <c r="AE165" s="594"/>
      <c r="AF165" s="594"/>
    </row>
    <row r="166" spans="1:32">
      <c r="A166" s="589"/>
      <c r="B166" s="589"/>
      <c r="C166" s="589"/>
      <c r="D166" s="589"/>
      <c r="E166" s="589"/>
      <c r="F166" s="589"/>
      <c r="G166" s="589"/>
      <c r="H166" s="589"/>
      <c r="I166" s="589"/>
      <c r="J166" s="589"/>
      <c r="K166" s="589"/>
      <c r="L166" s="589"/>
      <c r="M166" s="589"/>
      <c r="N166" s="589"/>
      <c r="O166" s="589"/>
      <c r="P166" s="589"/>
      <c r="Q166" s="589"/>
      <c r="R166" s="589"/>
      <c r="S166" s="589"/>
      <c r="T166" s="589"/>
      <c r="U166" s="589"/>
      <c r="V166" s="589"/>
      <c r="W166" s="589"/>
      <c r="X166" s="589"/>
      <c r="Y166" s="589"/>
      <c r="Z166" s="589"/>
      <c r="AA166" s="589"/>
      <c r="AB166" s="589"/>
      <c r="AC166" s="589"/>
      <c r="AD166" s="589"/>
      <c r="AE166" s="589"/>
      <c r="AF166" s="589"/>
    </row>
    <row r="167" spans="1:32">
      <c r="A167" s="589"/>
      <c r="B167" s="589"/>
      <c r="C167" s="589"/>
      <c r="D167" s="589"/>
      <c r="E167" s="589"/>
      <c r="F167" s="589"/>
      <c r="G167" s="589"/>
      <c r="H167" s="589"/>
      <c r="I167" s="589"/>
      <c r="J167" s="589"/>
      <c r="K167" s="589"/>
      <c r="L167" s="589"/>
      <c r="M167" s="589"/>
      <c r="N167" s="589"/>
      <c r="O167" s="589"/>
      <c r="P167" s="589"/>
      <c r="Q167" s="589"/>
      <c r="R167" s="589"/>
      <c r="S167" s="589"/>
      <c r="T167" s="589"/>
      <c r="U167" s="589"/>
      <c r="V167" s="589"/>
      <c r="W167" s="589"/>
      <c r="X167" s="589"/>
      <c r="Y167" s="589"/>
      <c r="Z167" s="589"/>
      <c r="AA167" s="589"/>
      <c r="AB167" s="589"/>
      <c r="AC167" s="589"/>
      <c r="AD167" s="589"/>
      <c r="AE167" s="589"/>
      <c r="AF167" s="589"/>
    </row>
    <row r="168" spans="1:32">
      <c r="A168" s="589"/>
      <c r="B168" s="589"/>
      <c r="C168" s="589"/>
      <c r="D168" s="589"/>
      <c r="E168" s="589"/>
      <c r="F168" s="589"/>
      <c r="G168" s="589"/>
      <c r="H168" s="589"/>
      <c r="I168" s="589"/>
      <c r="J168" s="589"/>
      <c r="K168" s="589"/>
      <c r="L168" s="589"/>
      <c r="M168" s="589"/>
      <c r="N168" s="589"/>
      <c r="O168" s="589"/>
      <c r="P168" s="589"/>
      <c r="Q168" s="589"/>
      <c r="R168" s="589"/>
      <c r="S168" s="589"/>
      <c r="T168" s="589"/>
      <c r="U168" s="589"/>
      <c r="V168" s="589"/>
      <c r="W168" s="589"/>
      <c r="X168" s="589"/>
      <c r="Y168" s="589"/>
      <c r="Z168" s="589"/>
      <c r="AA168" s="589"/>
      <c r="AB168" s="589"/>
      <c r="AC168" s="589"/>
      <c r="AD168" s="589"/>
      <c r="AE168" s="589"/>
      <c r="AF168" s="589"/>
    </row>
    <row r="169" spans="1:32">
      <c r="A169" s="589"/>
      <c r="B169" s="589"/>
      <c r="C169" s="589"/>
      <c r="D169" s="589"/>
      <c r="E169" s="589"/>
      <c r="F169" s="589"/>
      <c r="G169" s="589"/>
      <c r="H169" s="589"/>
      <c r="I169" s="589"/>
      <c r="J169" s="589"/>
      <c r="K169" s="589"/>
      <c r="L169" s="589"/>
      <c r="M169" s="589"/>
      <c r="N169" s="589"/>
      <c r="O169" s="589"/>
      <c r="P169" s="589"/>
      <c r="Q169" s="589"/>
      <c r="R169" s="589"/>
      <c r="S169" s="589"/>
      <c r="T169" s="589"/>
      <c r="U169" s="589"/>
      <c r="V169" s="589"/>
      <c r="W169" s="589"/>
      <c r="X169" s="589"/>
      <c r="Y169" s="589"/>
      <c r="Z169" s="589"/>
      <c r="AA169" s="589"/>
      <c r="AB169" s="589"/>
      <c r="AC169" s="589"/>
      <c r="AD169" s="589"/>
      <c r="AE169" s="589"/>
      <c r="AF169" s="589"/>
    </row>
    <row r="170" spans="1:32">
      <c r="A170" s="589"/>
      <c r="B170" s="589"/>
      <c r="C170" s="589"/>
      <c r="D170" s="589"/>
      <c r="E170" s="589"/>
      <c r="F170" s="589"/>
      <c r="G170" s="589"/>
      <c r="H170" s="589"/>
      <c r="I170" s="589"/>
      <c r="J170" s="589"/>
      <c r="K170" s="589"/>
      <c r="L170" s="589"/>
      <c r="M170" s="589"/>
      <c r="N170" s="589"/>
      <c r="O170" s="589"/>
      <c r="P170" s="589"/>
      <c r="Q170" s="589"/>
      <c r="R170" s="589"/>
      <c r="S170" s="589"/>
      <c r="T170" s="589"/>
      <c r="U170" s="589"/>
      <c r="V170" s="589"/>
      <c r="W170" s="589"/>
      <c r="X170" s="589"/>
      <c r="Y170" s="589"/>
      <c r="Z170" s="589"/>
      <c r="AA170" s="589"/>
      <c r="AB170" s="589"/>
      <c r="AC170" s="589"/>
      <c r="AD170" s="589"/>
      <c r="AE170" s="589"/>
      <c r="AF170" s="589"/>
    </row>
    <row r="171" spans="1:32">
      <c r="A171" s="589"/>
      <c r="B171" s="589"/>
      <c r="C171" s="589"/>
      <c r="D171" s="589"/>
      <c r="E171" s="589"/>
      <c r="F171" s="589"/>
      <c r="G171" s="589"/>
      <c r="H171" s="589"/>
      <c r="I171" s="589"/>
      <c r="J171" s="589"/>
      <c r="K171" s="589"/>
      <c r="L171" s="589"/>
      <c r="M171" s="589"/>
      <c r="N171" s="589"/>
      <c r="O171" s="589"/>
      <c r="P171" s="589"/>
      <c r="Q171" s="589"/>
      <c r="R171" s="589"/>
      <c r="S171" s="589"/>
      <c r="T171" s="589"/>
      <c r="U171" s="589"/>
      <c r="V171" s="589"/>
      <c r="W171" s="589"/>
      <c r="X171" s="589"/>
      <c r="Y171" s="589"/>
      <c r="Z171" s="589"/>
      <c r="AA171" s="589"/>
      <c r="AB171" s="589"/>
      <c r="AC171" s="589"/>
      <c r="AD171" s="589"/>
      <c r="AE171" s="589"/>
      <c r="AF171" s="589"/>
    </row>
    <row r="172" spans="1:32">
      <c r="A172" s="589"/>
      <c r="B172" s="589"/>
      <c r="C172" s="589"/>
      <c r="D172" s="589"/>
      <c r="E172" s="589"/>
      <c r="F172" s="589"/>
      <c r="G172" s="589"/>
      <c r="H172" s="589"/>
      <c r="I172" s="589"/>
      <c r="J172" s="589"/>
      <c r="K172" s="589"/>
      <c r="L172" s="589"/>
      <c r="M172" s="589"/>
      <c r="N172" s="589"/>
      <c r="O172" s="589"/>
      <c r="P172" s="589"/>
      <c r="Q172" s="589"/>
      <c r="R172" s="589"/>
      <c r="S172" s="589"/>
      <c r="T172" s="589"/>
      <c r="U172" s="589"/>
      <c r="V172" s="589"/>
      <c r="W172" s="589"/>
      <c r="X172" s="589"/>
      <c r="Y172" s="589"/>
      <c r="Z172" s="589"/>
      <c r="AA172" s="589"/>
      <c r="AB172" s="589"/>
      <c r="AC172" s="589"/>
      <c r="AD172" s="589"/>
      <c r="AE172" s="589"/>
      <c r="AF172" s="589"/>
    </row>
    <row r="173" spans="1:32">
      <c r="A173" s="589"/>
      <c r="B173" s="589"/>
      <c r="C173" s="589"/>
      <c r="D173" s="589"/>
      <c r="E173" s="589"/>
      <c r="F173" s="589"/>
      <c r="G173" s="589"/>
      <c r="H173" s="589"/>
      <c r="I173" s="589"/>
      <c r="J173" s="589"/>
      <c r="K173" s="589"/>
      <c r="L173" s="589"/>
      <c r="M173" s="589"/>
      <c r="N173" s="589"/>
      <c r="O173" s="589"/>
      <c r="P173" s="589"/>
      <c r="Q173" s="589"/>
      <c r="R173" s="589"/>
      <c r="S173" s="589"/>
      <c r="T173" s="589"/>
      <c r="U173" s="589"/>
      <c r="V173" s="589"/>
      <c r="W173" s="589"/>
      <c r="X173" s="589"/>
      <c r="Y173" s="589"/>
      <c r="Z173" s="589"/>
      <c r="AA173" s="589"/>
      <c r="AB173" s="589"/>
      <c r="AC173" s="589"/>
      <c r="AD173" s="589"/>
      <c r="AE173" s="589"/>
      <c r="AF173" s="589"/>
    </row>
    <row r="174" spans="1:32">
      <c r="A174" s="589"/>
      <c r="B174" s="589"/>
      <c r="C174" s="589"/>
      <c r="D174" s="589"/>
      <c r="E174" s="589"/>
      <c r="F174" s="589"/>
      <c r="G174" s="589"/>
      <c r="H174" s="589"/>
      <c r="I174" s="589"/>
      <c r="J174" s="589"/>
      <c r="K174" s="589"/>
      <c r="L174" s="589"/>
      <c r="M174" s="589"/>
      <c r="N174" s="589"/>
      <c r="O174" s="589"/>
      <c r="P174" s="589"/>
      <c r="Q174" s="589"/>
      <c r="R174" s="589"/>
      <c r="S174" s="589"/>
      <c r="T174" s="589"/>
      <c r="U174" s="589"/>
      <c r="V174" s="589"/>
      <c r="W174" s="589"/>
      <c r="X174" s="589"/>
      <c r="Y174" s="589"/>
      <c r="Z174" s="589"/>
      <c r="AA174" s="589"/>
      <c r="AB174" s="589"/>
      <c r="AC174" s="589"/>
      <c r="AD174" s="589"/>
      <c r="AE174" s="589"/>
      <c r="AF174" s="589"/>
    </row>
    <row r="175" spans="1:32">
      <c r="A175" s="589"/>
      <c r="B175" s="589"/>
      <c r="C175" s="589"/>
      <c r="D175" s="589"/>
      <c r="E175" s="589"/>
      <c r="F175" s="589"/>
      <c r="G175" s="589"/>
      <c r="H175" s="589"/>
      <c r="I175" s="589"/>
      <c r="J175" s="589"/>
      <c r="K175" s="589"/>
      <c r="L175" s="589"/>
      <c r="M175" s="589"/>
      <c r="N175" s="589"/>
      <c r="O175" s="589"/>
      <c r="P175" s="589"/>
      <c r="Q175" s="589"/>
      <c r="R175" s="589"/>
      <c r="S175" s="589"/>
      <c r="T175" s="589"/>
      <c r="U175" s="589"/>
      <c r="V175" s="589"/>
      <c r="W175" s="589"/>
      <c r="X175" s="589"/>
      <c r="Y175" s="589"/>
      <c r="Z175" s="589"/>
      <c r="AA175" s="589"/>
      <c r="AB175" s="589"/>
      <c r="AC175" s="589"/>
      <c r="AD175" s="589"/>
      <c r="AE175" s="589"/>
      <c r="AF175" s="589"/>
    </row>
    <row r="176" spans="1:32">
      <c r="A176" s="589"/>
      <c r="B176" s="589"/>
      <c r="C176" s="589"/>
      <c r="D176" s="589"/>
      <c r="E176" s="589"/>
      <c r="F176" s="589"/>
      <c r="G176" s="589"/>
      <c r="H176" s="589"/>
      <c r="I176" s="589"/>
      <c r="J176" s="589"/>
      <c r="K176" s="589"/>
      <c r="L176" s="589"/>
      <c r="M176" s="589"/>
      <c r="N176" s="589"/>
      <c r="O176" s="589"/>
      <c r="P176" s="589"/>
      <c r="Q176" s="589"/>
      <c r="R176" s="589"/>
      <c r="S176" s="589"/>
      <c r="T176" s="589"/>
      <c r="U176" s="589"/>
      <c r="V176" s="589"/>
      <c r="W176" s="589"/>
      <c r="X176" s="589"/>
      <c r="Y176" s="589"/>
      <c r="Z176" s="589"/>
      <c r="AA176" s="589"/>
      <c r="AB176" s="589"/>
      <c r="AC176" s="589"/>
      <c r="AD176" s="589"/>
      <c r="AE176" s="589"/>
      <c r="AF176" s="589"/>
    </row>
    <row r="177" spans="1:32">
      <c r="A177" s="589"/>
      <c r="B177" s="589"/>
      <c r="C177" s="589"/>
      <c r="D177" s="589"/>
      <c r="E177" s="589"/>
      <c r="F177" s="589"/>
      <c r="G177" s="589"/>
      <c r="H177" s="589"/>
      <c r="I177" s="589"/>
      <c r="J177" s="589"/>
      <c r="K177" s="589"/>
      <c r="L177" s="589"/>
      <c r="M177" s="589"/>
      <c r="N177" s="589"/>
      <c r="O177" s="589"/>
      <c r="P177" s="589"/>
      <c r="Q177" s="589"/>
      <c r="R177" s="589"/>
      <c r="S177" s="589"/>
      <c r="T177" s="589"/>
      <c r="U177" s="589"/>
      <c r="V177" s="589"/>
      <c r="W177" s="589"/>
      <c r="X177" s="589"/>
      <c r="Y177" s="589"/>
      <c r="Z177" s="589"/>
      <c r="AA177" s="589"/>
      <c r="AB177" s="589"/>
      <c r="AC177" s="589"/>
      <c r="AD177" s="589"/>
      <c r="AE177" s="589"/>
      <c r="AF177" s="589"/>
    </row>
    <row r="178" spans="1:32">
      <c r="A178" s="589"/>
      <c r="B178" s="589"/>
      <c r="C178" s="589"/>
      <c r="D178" s="589"/>
      <c r="E178" s="589"/>
      <c r="F178" s="589"/>
      <c r="G178" s="589"/>
      <c r="H178" s="589"/>
      <c r="I178" s="589"/>
      <c r="J178" s="589"/>
      <c r="K178" s="589"/>
      <c r="L178" s="589"/>
      <c r="M178" s="589"/>
      <c r="N178" s="589"/>
      <c r="O178" s="589"/>
      <c r="P178" s="589"/>
      <c r="Q178" s="589"/>
      <c r="R178" s="589"/>
      <c r="S178" s="589"/>
      <c r="T178" s="589"/>
      <c r="U178" s="589"/>
      <c r="V178" s="589"/>
      <c r="W178" s="589"/>
      <c r="X178" s="589"/>
      <c r="Y178" s="589"/>
      <c r="Z178" s="589"/>
      <c r="AA178" s="589"/>
      <c r="AB178" s="589"/>
      <c r="AC178" s="589"/>
      <c r="AD178" s="589"/>
      <c r="AE178" s="589"/>
      <c r="AF178" s="589"/>
    </row>
  </sheetData>
  <phoneticPr fontId="39" type="noConversion"/>
  <pageMargins left="1" right="0.75" top="1" bottom="1" header="0.5" footer="0.5"/>
  <pageSetup scale="71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3">
    <tabColor theme="7" tint="-0.249977111117893"/>
    <pageSetUpPr fitToPage="1"/>
  </sheetPr>
  <dimension ref="A1:Z101"/>
  <sheetViews>
    <sheetView topLeftCell="A53" zoomScaleNormal="100" workbookViewId="0"/>
  </sheetViews>
  <sheetFormatPr defaultColWidth="8" defaultRowHeight="13.2"/>
  <cols>
    <col min="1" max="1" width="3.44140625" customWidth="1"/>
    <col min="2" max="2" width="27.5546875" customWidth="1"/>
    <col min="3" max="4" width="13" customWidth="1"/>
    <col min="5" max="5" width="5.5546875" customWidth="1"/>
    <col min="6" max="6" width="13" customWidth="1"/>
    <col min="7" max="7" width="14.44140625" customWidth="1"/>
    <col min="8" max="8" width="14.5546875" customWidth="1"/>
    <col min="9" max="9" width="3.44140625" customWidth="1"/>
    <col min="10" max="10" width="6.44140625" customWidth="1"/>
    <col min="11" max="11" width="1.44140625" customWidth="1"/>
    <col min="12" max="12" width="9.5546875" customWidth="1"/>
    <col min="13" max="13" width="3.44140625" customWidth="1"/>
    <col min="14" max="14" width="30.5546875" customWidth="1"/>
    <col min="15" max="15" width="7.5546875" customWidth="1"/>
    <col min="16" max="16" width="7.44140625" style="10" customWidth="1"/>
    <col min="17" max="17" width="8.5546875" customWidth="1"/>
    <col min="18" max="18" width="15.44140625" customWidth="1"/>
    <col min="19" max="19" width="1.5546875" customWidth="1"/>
    <col min="20" max="20" width="12.44140625" customWidth="1"/>
  </cols>
  <sheetData>
    <row r="1" spans="2:19">
      <c r="B1" s="125" t="str">
        <f>COMPANY</f>
        <v>DUKE ENERGY KENTUCKY, INC.</v>
      </c>
      <c r="C1" s="125"/>
      <c r="D1" s="125"/>
      <c r="E1" s="125"/>
      <c r="F1" s="125"/>
      <c r="G1" s="125"/>
      <c r="H1" s="125"/>
      <c r="I1" s="94"/>
      <c r="J1" s="94"/>
      <c r="K1" s="94"/>
      <c r="L1" s="94"/>
      <c r="M1" s="94"/>
      <c r="N1" s="94"/>
      <c r="O1" s="94"/>
      <c r="P1" s="126"/>
      <c r="Q1" s="94"/>
      <c r="R1" s="94"/>
      <c r="S1" s="94"/>
    </row>
    <row r="2" spans="2:19">
      <c r="B2" s="125" t="str">
        <f>CASE</f>
        <v>CASE NO. 2024-00354</v>
      </c>
      <c r="C2" s="125"/>
      <c r="D2" s="125"/>
      <c r="E2" s="125"/>
      <c r="F2" s="125"/>
      <c r="G2" s="125"/>
      <c r="H2" s="125"/>
      <c r="I2" s="94"/>
      <c r="J2" s="94"/>
      <c r="K2" s="94"/>
      <c r="L2" s="94"/>
      <c r="M2" s="94"/>
      <c r="N2" s="94"/>
      <c r="O2" s="94"/>
      <c r="P2" s="126"/>
      <c r="Q2" s="94"/>
      <c r="R2" s="94"/>
      <c r="S2" s="94"/>
    </row>
    <row r="3" spans="2:19">
      <c r="B3" s="125" t="s">
        <v>2072</v>
      </c>
      <c r="C3" s="125"/>
      <c r="D3" s="125"/>
      <c r="E3" s="125"/>
      <c r="F3" s="125"/>
      <c r="G3" s="125"/>
      <c r="H3" s="125"/>
      <c r="I3" s="94"/>
      <c r="J3" s="94"/>
      <c r="K3" s="94"/>
      <c r="L3" s="94"/>
      <c r="M3" s="94"/>
      <c r="N3" s="94"/>
      <c r="O3" s="94"/>
      <c r="P3" s="126"/>
      <c r="Q3" s="94"/>
      <c r="R3" s="94"/>
      <c r="S3" s="94"/>
    </row>
    <row r="4" spans="2:19">
      <c r="B4" s="125" t="str">
        <f>PeriodF</f>
        <v>FOR THE TWELVE MONTHS ENDED JUNE 30, 2026</v>
      </c>
      <c r="C4" s="125"/>
      <c r="D4" s="125"/>
      <c r="E4" s="125"/>
      <c r="F4" s="125"/>
      <c r="G4" s="125"/>
      <c r="H4" s="125"/>
      <c r="I4" s="94"/>
      <c r="J4" s="94"/>
      <c r="K4" s="94"/>
      <c r="L4" s="94"/>
      <c r="M4" s="94"/>
      <c r="N4" s="94"/>
      <c r="O4" s="94"/>
      <c r="P4" s="126"/>
      <c r="Q4" s="94"/>
      <c r="R4" s="94"/>
      <c r="S4" s="94"/>
    </row>
    <row r="5" spans="2:19"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126"/>
      <c r="Q5" s="94"/>
      <c r="R5" s="94"/>
      <c r="S5" s="94"/>
    </row>
    <row r="6" spans="2:19">
      <c r="B6" s="94" t="str">
        <f>DataF</f>
        <v>DATA:  BASE PERIOD  "X" FORECASTED PERIOD</v>
      </c>
      <c r="C6" s="94"/>
      <c r="D6" s="94"/>
      <c r="E6" s="94"/>
      <c r="F6" s="94"/>
      <c r="G6" s="94" t="s">
        <v>2073</v>
      </c>
      <c r="H6" s="94"/>
      <c r="I6" s="94"/>
      <c r="J6" s="94"/>
      <c r="K6" s="94"/>
      <c r="L6" s="94"/>
      <c r="M6" s="94"/>
      <c r="N6" s="94"/>
      <c r="O6" s="94"/>
      <c r="P6" s="126"/>
      <c r="Q6" s="94"/>
      <c r="R6" s="94"/>
      <c r="S6" s="94"/>
    </row>
    <row r="7" spans="2:19">
      <c r="B7" s="94" t="str">
        <f>LOGO!B15</f>
        <v xml:space="preserve">TYPE OF FILING:  "X" ORIGINAL   UPDATED    REVISED  </v>
      </c>
      <c r="C7" s="94"/>
      <c r="D7" s="94"/>
      <c r="E7" s="94"/>
      <c r="F7" s="94"/>
      <c r="G7" s="94" t="s">
        <v>466</v>
      </c>
      <c r="H7" s="94"/>
      <c r="I7" s="94"/>
      <c r="J7" s="94"/>
      <c r="K7" s="94"/>
      <c r="L7" s="94"/>
      <c r="M7" s="94"/>
      <c r="N7" s="94"/>
      <c r="O7" s="94"/>
      <c r="P7" s="126"/>
      <c r="Q7" s="94"/>
      <c r="R7" s="94"/>
      <c r="S7" s="94"/>
    </row>
    <row r="8" spans="2:19">
      <c r="B8" s="169" t="s">
        <v>2074</v>
      </c>
      <c r="C8" s="94"/>
      <c r="D8" s="94"/>
      <c r="E8" s="94"/>
      <c r="F8" s="94"/>
      <c r="G8" s="94" t="s">
        <v>468</v>
      </c>
      <c r="H8" s="94"/>
      <c r="I8" s="94"/>
      <c r="J8" s="94"/>
      <c r="K8" s="94"/>
      <c r="L8" s="94"/>
      <c r="M8" s="94"/>
      <c r="N8" s="94"/>
      <c r="O8" s="94"/>
      <c r="P8" s="126"/>
      <c r="Q8" s="94"/>
      <c r="R8" s="94"/>
      <c r="S8" s="94"/>
    </row>
    <row r="9" spans="2:19">
      <c r="B9" s="94"/>
      <c r="C9" s="94"/>
      <c r="D9" s="94"/>
      <c r="E9" s="94"/>
      <c r="F9" s="94"/>
      <c r="G9" s="94" t="str">
        <f>_WIT1</f>
        <v>L. D. STEINKUHL</v>
      </c>
      <c r="H9" s="94"/>
      <c r="I9" s="94"/>
      <c r="J9" s="94"/>
      <c r="K9" s="94"/>
      <c r="L9" s="94"/>
      <c r="M9" s="94"/>
      <c r="N9" s="94"/>
      <c r="O9" s="94"/>
      <c r="P9" s="126"/>
      <c r="Q9" s="94"/>
      <c r="R9" s="94"/>
      <c r="S9" s="94"/>
    </row>
    <row r="10" spans="2:19">
      <c r="B10" s="98"/>
      <c r="C10" s="98"/>
      <c r="D10" s="98"/>
      <c r="E10" s="98"/>
      <c r="F10" s="98"/>
      <c r="G10" s="98"/>
      <c r="H10" s="98"/>
      <c r="I10" s="169"/>
      <c r="J10" s="94"/>
      <c r="K10" s="94"/>
      <c r="L10" s="94"/>
      <c r="M10" s="94"/>
      <c r="N10" s="94"/>
      <c r="O10" s="94"/>
      <c r="P10" s="126"/>
      <c r="Q10" s="94"/>
      <c r="R10" s="94"/>
      <c r="S10" s="94"/>
    </row>
    <row r="11" spans="2:19">
      <c r="B11" s="2146"/>
      <c r="C11" s="2146"/>
      <c r="D11" s="2146"/>
      <c r="E11" s="2146"/>
      <c r="F11" s="2146"/>
      <c r="G11" s="2146"/>
      <c r="H11" s="2146"/>
      <c r="I11" s="94"/>
      <c r="J11" s="94"/>
      <c r="K11" s="94"/>
      <c r="L11" s="94"/>
      <c r="M11" s="94"/>
      <c r="N11" s="94"/>
      <c r="O11" s="94"/>
      <c r="P11" s="126"/>
      <c r="Q11" s="94"/>
      <c r="R11" s="94"/>
      <c r="S11" s="94"/>
    </row>
    <row r="12" spans="2:19">
      <c r="B12" s="169" t="s">
        <v>1857</v>
      </c>
      <c r="C12" s="94"/>
      <c r="D12" s="94"/>
      <c r="E12" s="94"/>
      <c r="F12" s="94"/>
      <c r="G12" s="94"/>
      <c r="H12" s="126" t="s">
        <v>975</v>
      </c>
      <c r="I12" s="94"/>
      <c r="J12" s="94"/>
      <c r="K12" s="94"/>
      <c r="L12" s="94"/>
      <c r="M12" s="94"/>
      <c r="N12" s="94"/>
      <c r="O12" s="94"/>
      <c r="P12" s="126"/>
      <c r="Q12" s="94"/>
      <c r="R12" s="94"/>
      <c r="S12" s="94"/>
    </row>
    <row r="13" spans="2:19">
      <c r="B13" s="1515"/>
      <c r="C13" s="1515"/>
      <c r="D13" s="1515"/>
      <c r="E13" s="1515"/>
      <c r="F13" s="1515"/>
      <c r="G13" s="1515"/>
      <c r="H13" s="1515"/>
      <c r="I13" s="169"/>
      <c r="J13" s="94"/>
      <c r="K13" s="94"/>
      <c r="L13" s="94"/>
      <c r="M13" s="94"/>
      <c r="N13" s="94"/>
      <c r="O13" s="94"/>
      <c r="P13" s="126"/>
      <c r="Q13" s="94"/>
      <c r="R13" s="94"/>
      <c r="S13" s="94"/>
    </row>
    <row r="14" spans="2:19"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126"/>
      <c r="Q14" s="94"/>
      <c r="R14" s="94"/>
      <c r="S14" s="94"/>
    </row>
    <row r="15" spans="2:19">
      <c r="B15" s="683" t="s">
        <v>2075</v>
      </c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126"/>
      <c r="Q15" s="94"/>
      <c r="R15" s="94"/>
      <c r="S15" s="94"/>
    </row>
    <row r="16" spans="2:19">
      <c r="B16" s="683" t="s">
        <v>2076</v>
      </c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126"/>
      <c r="Q16" s="94"/>
      <c r="R16" s="94"/>
      <c r="S16" s="94"/>
    </row>
    <row r="17" spans="1:19">
      <c r="B17" s="683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126"/>
      <c r="Q17" s="94"/>
      <c r="R17" s="94"/>
      <c r="S17" s="94"/>
    </row>
    <row r="18" spans="1:19"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126"/>
      <c r="Q18" s="94"/>
      <c r="R18" s="94"/>
      <c r="S18" s="94"/>
    </row>
    <row r="19" spans="1:19"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126"/>
      <c r="Q19" s="94"/>
      <c r="R19" s="94"/>
      <c r="S19" s="94"/>
    </row>
    <row r="20" spans="1:19"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126"/>
      <c r="Q20" s="94"/>
      <c r="R20" s="94"/>
      <c r="S20" s="94"/>
    </row>
    <row r="21" spans="1:19">
      <c r="B21" s="598" t="s">
        <v>2077</v>
      </c>
      <c r="C21" s="599"/>
      <c r="D21" s="599"/>
      <c r="E21" s="599"/>
      <c r="F21" s="94"/>
      <c r="G21" s="130"/>
      <c r="H21" s="725">
        <f>-R66</f>
        <v>-31560809</v>
      </c>
      <c r="I21" s="169"/>
      <c r="J21" s="94"/>
      <c r="K21" s="94"/>
      <c r="L21" s="94"/>
      <c r="M21" s="94"/>
      <c r="N21" s="94"/>
      <c r="O21" s="94"/>
      <c r="P21" s="126"/>
      <c r="Q21" s="94"/>
      <c r="R21" s="94"/>
      <c r="S21" s="94"/>
    </row>
    <row r="22" spans="1:19">
      <c r="B22" s="598" t="s">
        <v>2078</v>
      </c>
      <c r="C22" s="599"/>
      <c r="D22" s="599"/>
      <c r="E22" s="599"/>
      <c r="F22" s="94"/>
      <c r="G22" s="130"/>
      <c r="H22" s="769">
        <f>-R67</f>
        <v>-1881000</v>
      </c>
      <c r="I22" s="169"/>
      <c r="J22" s="1015"/>
      <c r="K22" s="94"/>
      <c r="L22" s="94"/>
      <c r="M22" s="94"/>
      <c r="N22" s="94"/>
      <c r="O22" s="94"/>
      <c r="P22" s="126"/>
      <c r="Q22" s="94"/>
      <c r="R22" s="94"/>
      <c r="S22" s="94"/>
    </row>
    <row r="23" spans="1:19" ht="15">
      <c r="B23" s="598" t="s">
        <v>2079</v>
      </c>
      <c r="C23" s="599"/>
      <c r="D23" s="599"/>
      <c r="E23" s="599"/>
      <c r="F23" s="94"/>
      <c r="G23" s="130"/>
      <c r="H23" s="724">
        <f>-R68</f>
        <v>13894708</v>
      </c>
      <c r="I23" s="169"/>
      <c r="J23" s="94"/>
      <c r="K23" s="94"/>
      <c r="L23" s="94"/>
      <c r="M23" s="94"/>
      <c r="N23" s="94"/>
      <c r="O23" s="94"/>
      <c r="P23" s="126"/>
      <c r="Q23" s="94"/>
      <c r="R23" s="94"/>
      <c r="S23" s="94"/>
    </row>
    <row r="24" spans="1:19">
      <c r="B24" s="598" t="s">
        <v>2080</v>
      </c>
      <c r="C24" s="599"/>
      <c r="D24" s="599"/>
      <c r="E24" s="599"/>
      <c r="F24" s="94"/>
      <c r="G24" s="130"/>
      <c r="H24" s="727">
        <f>SUM(H21:H23)</f>
        <v>-19547101</v>
      </c>
      <c r="I24" s="169"/>
      <c r="J24" s="94"/>
      <c r="K24" s="94"/>
      <c r="L24" s="94"/>
      <c r="M24" s="94"/>
      <c r="N24" s="94"/>
      <c r="O24" s="94"/>
      <c r="P24" s="126"/>
      <c r="Q24" s="94"/>
      <c r="R24" s="94"/>
      <c r="S24" s="94"/>
    </row>
    <row r="25" spans="1:19">
      <c r="B25" s="599"/>
      <c r="C25" s="599"/>
      <c r="D25" s="599"/>
      <c r="E25" s="599"/>
      <c r="F25" s="94"/>
      <c r="G25" s="94"/>
      <c r="H25" s="599"/>
      <c r="I25" s="94"/>
      <c r="J25" s="94"/>
      <c r="K25" s="94"/>
      <c r="L25" s="94"/>
      <c r="M25" s="94"/>
      <c r="N25" s="94"/>
      <c r="O25" s="94"/>
      <c r="P25" s="126"/>
      <c r="Q25" s="94"/>
      <c r="R25" s="94"/>
      <c r="S25" s="94"/>
    </row>
    <row r="26" spans="1:19">
      <c r="B26" s="598" t="s">
        <v>1862</v>
      </c>
      <c r="C26" s="599"/>
      <c r="D26" s="599"/>
      <c r="E26" s="599"/>
      <c r="F26" s="94"/>
      <c r="G26" s="94"/>
      <c r="H26" s="703">
        <f>VLOOKUP(C48,ALLOCTABLE,2)/100</f>
        <v>1</v>
      </c>
      <c r="I26" s="94"/>
      <c r="J26" s="94"/>
      <c r="K26" s="94"/>
      <c r="L26" s="94"/>
      <c r="M26" s="94"/>
      <c r="N26" s="94"/>
      <c r="O26" s="94"/>
      <c r="P26" s="126"/>
      <c r="Q26" s="94"/>
      <c r="R26" s="94"/>
      <c r="S26" s="94"/>
    </row>
    <row r="27" spans="1:19">
      <c r="B27" s="599"/>
      <c r="C27" s="599"/>
      <c r="D27" s="599"/>
      <c r="E27" s="599"/>
      <c r="F27" s="94"/>
      <c r="G27" s="94"/>
      <c r="H27" s="704"/>
      <c r="I27" s="94"/>
      <c r="J27" s="94"/>
      <c r="K27" s="94"/>
      <c r="L27" s="94"/>
      <c r="M27" s="94"/>
      <c r="N27" s="94"/>
      <c r="O27" s="94"/>
      <c r="P27" s="126"/>
      <c r="Q27" s="94"/>
      <c r="R27" s="94"/>
      <c r="S27" s="94"/>
    </row>
    <row r="28" spans="1:19" ht="15">
      <c r="B28" s="598" t="s">
        <v>1863</v>
      </c>
      <c r="C28" s="599"/>
      <c r="D28" s="599"/>
      <c r="E28" s="598" t="s">
        <v>1876</v>
      </c>
      <c r="F28" s="94"/>
      <c r="G28" s="94"/>
      <c r="H28" s="705">
        <f>ROUND(H24*H26,0)</f>
        <v>-19547101</v>
      </c>
      <c r="I28" s="94"/>
      <c r="J28" s="94"/>
      <c r="K28" s="94"/>
      <c r="L28" s="94"/>
      <c r="M28" s="94"/>
      <c r="N28" s="94"/>
      <c r="O28" s="94"/>
      <c r="P28" s="126"/>
      <c r="Q28" s="94"/>
      <c r="R28" s="94"/>
      <c r="S28" s="94"/>
    </row>
    <row r="29" spans="1:19">
      <c r="B29" s="599"/>
      <c r="C29" s="599"/>
      <c r="D29" s="599"/>
      <c r="E29" s="599"/>
      <c r="F29" s="94"/>
      <c r="G29" s="130"/>
      <c r="H29" s="704"/>
      <c r="I29" s="94"/>
      <c r="J29" s="94"/>
      <c r="K29" s="94"/>
      <c r="L29" s="94"/>
      <c r="M29" s="94"/>
      <c r="N29" s="94"/>
      <c r="O29" s="94"/>
      <c r="P29" s="126"/>
      <c r="Q29" s="94"/>
      <c r="R29" s="94"/>
      <c r="S29" s="94"/>
    </row>
    <row r="30" spans="1:19">
      <c r="B30" s="599"/>
      <c r="C30" s="599"/>
      <c r="D30" s="599"/>
      <c r="E30" s="599"/>
      <c r="F30" s="94"/>
      <c r="G30" s="94"/>
      <c r="H30" s="704"/>
      <c r="I30" s="94"/>
      <c r="J30" s="94"/>
      <c r="K30" s="94"/>
      <c r="L30" s="94"/>
      <c r="M30" s="94"/>
      <c r="N30" s="94"/>
      <c r="O30" s="94"/>
      <c r="P30" s="126"/>
      <c r="Q30" s="94"/>
      <c r="R30" s="94"/>
      <c r="S30" s="94"/>
    </row>
    <row r="31" spans="1:19">
      <c r="A31" s="789"/>
      <c r="B31" s="598" t="s">
        <v>2081</v>
      </c>
      <c r="C31" s="599"/>
      <c r="D31" s="599"/>
      <c r="E31" s="599"/>
      <c r="F31" s="94"/>
      <c r="G31" s="94"/>
      <c r="H31" s="727">
        <f>-R72</f>
        <v>-16120437</v>
      </c>
      <c r="I31" s="94"/>
      <c r="J31" s="94"/>
      <c r="K31" s="94"/>
      <c r="L31" s="94"/>
      <c r="M31" s="94"/>
      <c r="N31" s="94"/>
      <c r="O31" s="94"/>
      <c r="P31" s="126"/>
      <c r="Q31" s="94"/>
      <c r="R31" s="94"/>
      <c r="S31" s="94"/>
    </row>
    <row r="32" spans="1:19" ht="15">
      <c r="A32" s="789"/>
      <c r="B32" s="598"/>
      <c r="C32" s="599"/>
      <c r="D32" s="599"/>
      <c r="E32" s="599"/>
      <c r="F32" s="94"/>
      <c r="G32" s="94"/>
      <c r="H32" s="681"/>
      <c r="I32" s="94"/>
      <c r="J32" s="94"/>
      <c r="K32" s="94"/>
      <c r="L32" s="94"/>
      <c r="M32" s="94"/>
      <c r="N32" s="94"/>
      <c r="O32" s="94"/>
      <c r="P32" s="126"/>
      <c r="Q32" s="94"/>
      <c r="R32" s="94"/>
      <c r="S32" s="94"/>
    </row>
    <row r="33" spans="2:19">
      <c r="B33" s="598" t="s">
        <v>1862</v>
      </c>
      <c r="C33" s="599"/>
      <c r="D33" s="599"/>
      <c r="E33" s="599"/>
      <c r="F33" s="94"/>
      <c r="G33" s="94"/>
      <c r="H33" s="703">
        <f>VLOOKUP(C48,ALLOCTABLE,2)/100</f>
        <v>1</v>
      </c>
      <c r="I33" s="94"/>
      <c r="J33" s="94"/>
      <c r="K33" s="94"/>
      <c r="L33" s="94"/>
      <c r="M33" s="94"/>
      <c r="N33" s="94"/>
      <c r="O33" s="94"/>
      <c r="P33" s="126"/>
      <c r="Q33" s="94"/>
      <c r="R33" s="94"/>
      <c r="S33" s="94"/>
    </row>
    <row r="34" spans="2:19">
      <c r="B34" s="599"/>
      <c r="C34" s="599"/>
      <c r="D34" s="599"/>
      <c r="E34" s="599"/>
      <c r="F34" s="94"/>
      <c r="G34" s="94"/>
      <c r="H34" s="704"/>
      <c r="I34" s="94"/>
      <c r="J34" s="94"/>
      <c r="K34" s="94"/>
      <c r="L34" s="94"/>
      <c r="M34" s="94"/>
      <c r="N34" s="94"/>
      <c r="O34" s="94"/>
      <c r="P34" s="126"/>
      <c r="Q34" s="94"/>
      <c r="R34" s="94"/>
      <c r="S34" s="94"/>
    </row>
    <row r="35" spans="2:19" ht="15">
      <c r="B35" s="598" t="s">
        <v>1863</v>
      </c>
      <c r="C35" s="599"/>
      <c r="D35" s="599"/>
      <c r="E35" s="598" t="s">
        <v>1876</v>
      </c>
      <c r="F35" s="94"/>
      <c r="G35" s="94"/>
      <c r="H35" s="705">
        <f>ROUND(H31*H33,0)</f>
        <v>-16120437</v>
      </c>
      <c r="I35" s="94"/>
      <c r="J35" s="94"/>
      <c r="K35" s="94"/>
      <c r="L35" s="94"/>
      <c r="M35" s="94"/>
      <c r="N35" s="94"/>
      <c r="O35" s="94"/>
      <c r="P35" s="126"/>
      <c r="Q35" s="94"/>
      <c r="R35" s="94"/>
      <c r="S35" s="94"/>
    </row>
    <row r="36" spans="2:19">
      <c r="B36" s="598"/>
      <c r="C36" s="599"/>
      <c r="D36" s="599"/>
      <c r="E36" s="599"/>
      <c r="F36" s="94"/>
      <c r="G36" s="94"/>
      <c r="H36" s="730"/>
      <c r="I36" s="94"/>
      <c r="J36" s="94"/>
      <c r="K36" s="94"/>
      <c r="L36" s="94"/>
      <c r="M36" s="94"/>
      <c r="N36" s="94"/>
      <c r="O36" s="94"/>
      <c r="P36" s="126"/>
      <c r="Q36" s="94"/>
      <c r="R36" s="94"/>
      <c r="S36" s="94"/>
    </row>
    <row r="37" spans="2:19">
      <c r="B37" s="598"/>
      <c r="C37" s="599"/>
      <c r="D37" s="599"/>
      <c r="E37" s="599"/>
      <c r="F37" s="94"/>
      <c r="G37" s="94"/>
      <c r="H37" s="730"/>
      <c r="I37" s="94"/>
      <c r="J37" s="94"/>
      <c r="K37" s="94"/>
      <c r="L37" s="94"/>
      <c r="M37" s="94"/>
      <c r="N37" s="94"/>
      <c r="O37" s="94"/>
      <c r="P37" s="126"/>
      <c r="Q37" s="94"/>
      <c r="R37" s="94"/>
      <c r="S37" s="94"/>
    </row>
    <row r="38" spans="2:19">
      <c r="B38" s="598" t="s">
        <v>2078</v>
      </c>
      <c r="C38" s="599"/>
      <c r="D38" s="599"/>
      <c r="E38" s="599"/>
      <c r="F38" s="94"/>
      <c r="G38" s="94"/>
      <c r="H38" s="727">
        <f>-R75</f>
        <v>-1200000</v>
      </c>
      <c r="I38" s="94"/>
      <c r="J38" s="1015"/>
      <c r="K38" s="94"/>
      <c r="L38" s="94"/>
      <c r="M38" s="94"/>
      <c r="N38" s="94"/>
      <c r="O38" s="94"/>
      <c r="P38" s="126"/>
      <c r="Q38" s="94"/>
      <c r="R38" s="94"/>
      <c r="S38" s="94"/>
    </row>
    <row r="39" spans="2:19" ht="15">
      <c r="B39" s="598" t="s">
        <v>2082</v>
      </c>
      <c r="C39" s="599"/>
      <c r="D39" s="599"/>
      <c r="E39" s="599"/>
      <c r="F39" s="94"/>
      <c r="G39" s="94"/>
      <c r="H39" s="729">
        <v>0</v>
      </c>
      <c r="I39" s="94"/>
      <c r="J39" s="94"/>
      <c r="K39" s="94"/>
      <c r="L39" s="94"/>
      <c r="M39" s="94"/>
      <c r="N39" s="94"/>
      <c r="O39" s="94"/>
      <c r="P39" s="126"/>
      <c r="Q39" s="94"/>
      <c r="R39" s="94"/>
      <c r="S39" s="94"/>
    </row>
    <row r="40" spans="2:19">
      <c r="B40" s="598" t="s">
        <v>2083</v>
      </c>
      <c r="C40" s="599"/>
      <c r="D40" s="599"/>
      <c r="E40" s="599"/>
      <c r="F40" s="94"/>
      <c r="G40" s="94"/>
      <c r="H40" s="682">
        <f>SUM(H38:H39)</f>
        <v>-1200000</v>
      </c>
      <c r="I40" s="94"/>
      <c r="J40" s="94"/>
      <c r="K40" s="94"/>
      <c r="L40" s="94"/>
      <c r="M40" s="94"/>
      <c r="N40" s="94"/>
      <c r="O40" s="94"/>
      <c r="P40" s="126"/>
      <c r="Q40" s="94"/>
      <c r="R40" s="94"/>
      <c r="S40" s="94"/>
    </row>
    <row r="41" spans="2:19">
      <c r="B41" s="599"/>
      <c r="C41" s="599"/>
      <c r="D41" s="599"/>
      <c r="E41" s="599"/>
      <c r="F41" s="94"/>
      <c r="G41" s="94"/>
      <c r="H41" s="599"/>
      <c r="I41" s="94"/>
      <c r="J41" s="94"/>
      <c r="K41" s="94"/>
      <c r="L41" s="94"/>
      <c r="M41" s="94"/>
      <c r="N41" s="94"/>
      <c r="O41" s="94"/>
      <c r="P41" s="126"/>
      <c r="Q41" s="94"/>
      <c r="R41" s="94"/>
      <c r="S41" s="94"/>
    </row>
    <row r="42" spans="2:19">
      <c r="B42" s="598" t="s">
        <v>1862</v>
      </c>
      <c r="C42" s="599"/>
      <c r="D42" s="599"/>
      <c r="E42" s="599"/>
      <c r="F42" s="94"/>
      <c r="G42" s="94"/>
      <c r="H42" s="703">
        <f>VLOOKUP(C48,ALLOCTABLE,2)/100</f>
        <v>1</v>
      </c>
      <c r="I42" s="94"/>
      <c r="J42" s="94"/>
      <c r="K42" s="94"/>
      <c r="L42" s="94"/>
      <c r="M42" s="94"/>
      <c r="N42" s="94"/>
      <c r="O42" s="94"/>
      <c r="P42" s="126"/>
      <c r="Q42" s="94"/>
      <c r="R42" s="94"/>
      <c r="S42" s="94"/>
    </row>
    <row r="43" spans="2:19">
      <c r="B43" s="599"/>
      <c r="C43" s="599"/>
      <c r="D43" s="599"/>
      <c r="E43" s="599"/>
      <c r="F43" s="94"/>
      <c r="G43" s="94"/>
      <c r="H43" s="704"/>
      <c r="I43" s="94"/>
      <c r="J43" s="94"/>
      <c r="K43" s="94"/>
      <c r="L43" s="94"/>
      <c r="M43" s="94"/>
      <c r="N43" s="94"/>
      <c r="O43" s="94"/>
      <c r="P43" s="126"/>
      <c r="Q43" s="94"/>
      <c r="R43" s="94"/>
      <c r="S43" s="94"/>
    </row>
    <row r="44" spans="2:19" ht="15">
      <c r="B44" s="598" t="s">
        <v>1863</v>
      </c>
      <c r="C44" s="599"/>
      <c r="D44" s="599"/>
      <c r="E44" s="598" t="s">
        <v>1876</v>
      </c>
      <c r="F44" s="597"/>
      <c r="G44" s="597"/>
      <c r="H44" s="705">
        <f>ROUND(H40*H42,0)</f>
        <v>-1200000</v>
      </c>
      <c r="I44" s="94"/>
      <c r="J44" s="94"/>
      <c r="K44" s="94"/>
      <c r="L44" s="94"/>
      <c r="M44" s="94"/>
      <c r="N44" s="94"/>
      <c r="O44" s="94"/>
      <c r="P44" s="126"/>
      <c r="Q44" s="94"/>
      <c r="R44" s="94"/>
      <c r="S44" s="94"/>
    </row>
    <row r="45" spans="2:19">
      <c r="B45" s="599"/>
      <c r="C45" s="599"/>
      <c r="D45" s="599"/>
      <c r="E45" s="599"/>
      <c r="F45" s="597"/>
      <c r="G45" s="597"/>
      <c r="H45" s="704"/>
      <c r="I45" s="94"/>
      <c r="J45" s="94"/>
      <c r="K45" s="94"/>
      <c r="L45" s="94"/>
      <c r="M45" s="94"/>
      <c r="N45" s="94"/>
      <c r="O45" s="94"/>
      <c r="P45" s="126"/>
      <c r="Q45" s="94"/>
      <c r="R45" s="94"/>
      <c r="S45" s="94"/>
    </row>
    <row r="46" spans="2:19"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126"/>
      <c r="Q46" s="94"/>
      <c r="R46" s="94"/>
      <c r="S46" s="94"/>
    </row>
    <row r="47" spans="2:19"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126"/>
      <c r="Q47" s="94"/>
      <c r="R47" s="94"/>
      <c r="S47" s="94"/>
    </row>
    <row r="48" spans="2:19">
      <c r="B48" s="598" t="s">
        <v>1864</v>
      </c>
      <c r="C48" s="966" t="s">
        <v>428</v>
      </c>
      <c r="D48" s="94"/>
      <c r="E48" s="975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126"/>
      <c r="Q48" s="94"/>
      <c r="R48" s="94"/>
      <c r="S48" s="94"/>
    </row>
    <row r="49" spans="2:21"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126"/>
      <c r="Q49" s="94"/>
      <c r="R49" s="94"/>
      <c r="S49" s="94"/>
    </row>
    <row r="50" spans="2:21"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126"/>
      <c r="Q50" s="94"/>
      <c r="R50" s="94"/>
      <c r="S50" s="94"/>
    </row>
    <row r="51" spans="2:21"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126"/>
      <c r="Q51" s="94"/>
      <c r="R51" s="94"/>
      <c r="S51" s="94"/>
    </row>
    <row r="52" spans="2:21"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126"/>
      <c r="Q52" s="94"/>
      <c r="R52" s="94"/>
      <c r="S52" s="94"/>
    </row>
    <row r="53" spans="2:21"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126"/>
      <c r="Q53" s="94"/>
      <c r="R53" s="94"/>
      <c r="S53" s="94"/>
    </row>
    <row r="54" spans="2:21"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126"/>
      <c r="R54" s="94"/>
      <c r="S54" s="94"/>
    </row>
    <row r="55" spans="2:21"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126"/>
      <c r="S55" s="94"/>
    </row>
    <row r="56" spans="2:21">
      <c r="B56" s="94"/>
      <c r="C56" s="94"/>
      <c r="D56" s="94"/>
      <c r="E56" s="94"/>
      <c r="F56" s="94"/>
      <c r="G56" s="94"/>
      <c r="H56" s="94"/>
      <c r="I56" s="94"/>
      <c r="J56" s="779" t="s">
        <v>2027</v>
      </c>
      <c r="K56" s="253"/>
      <c r="L56" s="253"/>
      <c r="M56" s="253"/>
      <c r="N56" s="253"/>
      <c r="O56" s="253"/>
      <c r="P56" s="962"/>
      <c r="Q56" s="960" t="s">
        <v>2084</v>
      </c>
      <c r="S56" s="253"/>
    </row>
    <row r="57" spans="2:21">
      <c r="B57" s="94"/>
      <c r="C57" s="94"/>
      <c r="D57" s="94"/>
      <c r="E57" s="94"/>
      <c r="F57" s="94"/>
      <c r="G57" s="94"/>
      <c r="H57" s="94"/>
      <c r="I57" s="94"/>
      <c r="J57" s="779" t="s">
        <v>22</v>
      </c>
      <c r="K57" s="253"/>
      <c r="L57" s="253"/>
      <c r="M57" s="253"/>
      <c r="N57" s="253"/>
      <c r="O57" s="253"/>
      <c r="P57" s="962"/>
      <c r="Q57" s="779" t="s">
        <v>1866</v>
      </c>
      <c r="S57" s="253"/>
    </row>
    <row r="58" spans="2:21">
      <c r="B58" s="94"/>
      <c r="C58" s="94"/>
      <c r="D58" s="94"/>
      <c r="E58" s="94"/>
      <c r="F58" s="94"/>
      <c r="G58" s="94"/>
      <c r="H58" s="94"/>
      <c r="I58" s="94"/>
      <c r="J58" s="779" t="str">
        <f>CASE</f>
        <v>CASE NO. 2024-00354</v>
      </c>
      <c r="K58" s="253"/>
      <c r="L58" s="253"/>
      <c r="M58" s="253"/>
      <c r="N58" s="253"/>
      <c r="O58" s="253"/>
      <c r="P58" s="962"/>
      <c r="Q58" s="253" t="str">
        <f>_WIT1</f>
        <v>L. D. STEINKUHL</v>
      </c>
      <c r="R58" s="253"/>
      <c r="S58" s="253"/>
    </row>
    <row r="59" spans="2:21">
      <c r="B59" s="94"/>
      <c r="C59" s="94"/>
      <c r="D59" s="94"/>
      <c r="E59" s="94"/>
      <c r="F59" s="94"/>
      <c r="G59" s="94"/>
      <c r="H59" s="94"/>
      <c r="I59" s="94"/>
      <c r="J59" s="779" t="str">
        <f>B3</f>
        <v>ELIMINATE NON-NATIVE REVENUE AND EXPENSE</v>
      </c>
      <c r="K59" s="253"/>
      <c r="L59" s="253"/>
      <c r="M59" s="253"/>
      <c r="N59" s="253"/>
      <c r="O59" s="253"/>
      <c r="P59" s="962"/>
      <c r="Q59" s="253"/>
      <c r="R59" s="253"/>
      <c r="S59" s="253"/>
    </row>
    <row r="60" spans="2:21">
      <c r="B60" s="94"/>
      <c r="C60" s="94"/>
      <c r="D60" s="94"/>
      <c r="E60" s="94"/>
      <c r="F60" s="94"/>
      <c r="G60" s="94"/>
      <c r="H60" s="94"/>
      <c r="I60" s="94"/>
      <c r="J60" s="252"/>
      <c r="K60" s="252"/>
      <c r="L60" s="252"/>
      <c r="M60" s="252"/>
      <c r="N60" s="252"/>
      <c r="O60" s="252"/>
      <c r="P60" s="962"/>
      <c r="Q60" s="252"/>
      <c r="R60" s="252"/>
      <c r="S60" s="252"/>
    </row>
    <row r="61" spans="2:21">
      <c r="B61" s="94"/>
      <c r="C61" s="94"/>
      <c r="D61" s="94"/>
      <c r="E61" s="94"/>
      <c r="F61" s="94"/>
      <c r="G61" s="94"/>
      <c r="H61" s="94"/>
      <c r="I61" s="94"/>
      <c r="J61" s="252"/>
      <c r="K61" s="252"/>
      <c r="L61" s="252"/>
      <c r="M61" s="252"/>
      <c r="N61" s="252"/>
      <c r="O61" s="252"/>
      <c r="P61" s="962"/>
      <c r="Q61" s="252"/>
      <c r="R61" s="252"/>
      <c r="S61" s="252"/>
    </row>
    <row r="62" spans="2:21">
      <c r="B62" s="94"/>
      <c r="C62" s="94"/>
      <c r="D62" s="94"/>
      <c r="E62" s="94"/>
      <c r="F62" s="94"/>
      <c r="G62" s="94"/>
      <c r="H62" s="94"/>
      <c r="I62" s="94"/>
      <c r="J62" s="701" t="s">
        <v>573</v>
      </c>
      <c r="K62" s="701"/>
      <c r="L62" s="1016"/>
      <c r="M62" s="1016"/>
      <c r="N62" s="1016"/>
      <c r="O62" s="1016"/>
      <c r="P62" s="962"/>
      <c r="Q62" s="252"/>
      <c r="R62" s="680"/>
      <c r="S62" s="680"/>
    </row>
    <row r="63" spans="2:21">
      <c r="B63" s="94"/>
      <c r="C63" s="94"/>
      <c r="D63" s="94"/>
      <c r="E63" s="94"/>
      <c r="F63" s="94"/>
      <c r="G63" s="94"/>
      <c r="H63" s="94"/>
      <c r="I63" s="94"/>
      <c r="J63" s="702" t="s">
        <v>576</v>
      </c>
      <c r="K63" s="702"/>
      <c r="L63" s="1017" t="s">
        <v>761</v>
      </c>
      <c r="M63" s="1017"/>
      <c r="N63" s="1017" t="s">
        <v>2</v>
      </c>
      <c r="O63" s="1017"/>
      <c r="P63" s="962"/>
      <c r="Q63" s="252"/>
      <c r="R63" s="1018" t="s">
        <v>419</v>
      </c>
      <c r="S63" s="1018"/>
    </row>
    <row r="64" spans="2:21">
      <c r="B64" s="94"/>
      <c r="C64" s="94"/>
      <c r="D64" s="94"/>
      <c r="E64" s="94"/>
      <c r="F64" s="94"/>
      <c r="G64" s="94"/>
      <c r="H64" s="94"/>
      <c r="I64" s="94"/>
      <c r="J64" s="252"/>
      <c r="K64" s="252"/>
      <c r="L64" s="728"/>
      <c r="M64" s="728"/>
      <c r="N64" s="728"/>
      <c r="O64" s="728"/>
      <c r="P64" s="962"/>
      <c r="Q64" s="728"/>
      <c r="R64" s="1019"/>
      <c r="S64" s="1019"/>
      <c r="T64" s="812"/>
      <c r="U64" s="812"/>
    </row>
    <row r="65" spans="2:26">
      <c r="B65" s="94"/>
      <c r="C65" s="94"/>
      <c r="D65" s="94"/>
      <c r="E65" s="94"/>
      <c r="F65" s="94"/>
      <c r="G65" s="94"/>
      <c r="H65" s="94"/>
      <c r="I65" s="94"/>
      <c r="J65" s="255">
        <v>1</v>
      </c>
      <c r="K65" s="252"/>
      <c r="L65" s="726" t="s">
        <v>359</v>
      </c>
      <c r="M65" s="726"/>
      <c r="N65" s="728"/>
      <c r="O65" s="728"/>
      <c r="P65" s="962"/>
      <c r="Q65" s="728"/>
      <c r="R65" s="1019"/>
      <c r="S65" s="1019"/>
    </row>
    <row r="66" spans="2:26">
      <c r="B66" s="94"/>
      <c r="C66" s="94"/>
      <c r="D66" s="94"/>
      <c r="E66" s="94"/>
      <c r="F66" s="94"/>
      <c r="G66" s="94"/>
      <c r="H66" s="94"/>
      <c r="I66" s="94"/>
      <c r="J66" s="255">
        <v>2</v>
      </c>
      <c r="K66" s="252"/>
      <c r="L66" s="806">
        <v>447150</v>
      </c>
      <c r="M66" s="806"/>
      <c r="N66" s="728" t="str">
        <f>VLOOKUP(L66,FPERIOD,2,FALSE)</f>
        <v>Sales For Resale - Outside</v>
      </c>
      <c r="O66" s="728"/>
      <c r="P66" s="962"/>
      <c r="Q66" s="728"/>
      <c r="R66" s="1285">
        <f>VLOOKUP(L66,FPERIOD,5,FALSE)</f>
        <v>31560809</v>
      </c>
      <c r="S66" s="680"/>
      <c r="T66" s="256"/>
    </row>
    <row r="67" spans="2:26">
      <c r="B67" s="94"/>
      <c r="C67" s="94"/>
      <c r="D67" s="94"/>
      <c r="E67" s="94"/>
      <c r="F67" s="94"/>
      <c r="G67" s="94"/>
      <c r="H67" s="94"/>
      <c r="I67" s="94"/>
      <c r="J67" s="255">
        <v>3</v>
      </c>
      <c r="K67" s="252"/>
      <c r="L67" s="806">
        <v>457204</v>
      </c>
      <c r="M67" s="806"/>
      <c r="N67" s="728" t="s">
        <v>2078</v>
      </c>
      <c r="O67" s="728"/>
      <c r="P67" s="962"/>
      <c r="Q67" s="728"/>
      <c r="R67" s="1296">
        <f>VLOOKUP(L67,FPERIOD,5,FALSE)</f>
        <v>1881000</v>
      </c>
      <c r="S67" s="680"/>
      <c r="T67" s="256"/>
    </row>
    <row r="68" spans="2:26" ht="15">
      <c r="B68" s="94"/>
      <c r="C68" s="94"/>
      <c r="D68" s="94"/>
      <c r="E68" s="94"/>
      <c r="F68" s="94"/>
      <c r="G68" s="94"/>
      <c r="H68" s="94"/>
      <c r="I68" s="94"/>
      <c r="J68" s="255">
        <v>4</v>
      </c>
      <c r="K68" s="94"/>
      <c r="L68" s="806" t="s">
        <v>405</v>
      </c>
      <c r="M68" s="806"/>
      <c r="N68" s="728" t="s">
        <v>2085</v>
      </c>
      <c r="O68" s="728"/>
      <c r="P68" s="962"/>
      <c r="Q68" s="728"/>
      <c r="R68" s="1297">
        <f>SUM(WPC_2!AK217:AK221)</f>
        <v>-13894708</v>
      </c>
      <c r="S68" s="680"/>
      <c r="T68" s="256"/>
    </row>
    <row r="69" spans="2:26">
      <c r="B69" s="94"/>
      <c r="C69" s="94"/>
      <c r="D69" s="94"/>
      <c r="E69" s="94"/>
      <c r="F69" s="94"/>
      <c r="G69" s="94"/>
      <c r="H69" s="94"/>
      <c r="I69" s="94"/>
      <c r="J69" s="255">
        <v>5</v>
      </c>
      <c r="K69" s="94"/>
      <c r="L69" s="806"/>
      <c r="M69" s="806"/>
      <c r="N69" s="728" t="s">
        <v>452</v>
      </c>
      <c r="O69" s="728"/>
      <c r="P69" s="962"/>
      <c r="Q69" s="728"/>
      <c r="R69" s="1285">
        <f>SUM(R66:R68)</f>
        <v>19547101</v>
      </c>
      <c r="S69" s="680"/>
    </row>
    <row r="70" spans="2:26">
      <c r="B70" s="94"/>
      <c r="C70" s="94"/>
      <c r="D70" s="94"/>
      <c r="E70" s="94"/>
      <c r="F70" s="94"/>
      <c r="G70" s="94"/>
      <c r="H70" s="94"/>
      <c r="I70" s="94"/>
      <c r="J70" s="255">
        <v>6</v>
      </c>
      <c r="K70" s="94"/>
      <c r="L70" s="728"/>
      <c r="M70" s="728"/>
      <c r="N70" s="728"/>
      <c r="O70" s="728"/>
      <c r="P70" s="962"/>
      <c r="Q70" s="728"/>
      <c r="R70" s="680"/>
      <c r="S70" s="680"/>
      <c r="V70" s="812"/>
      <c r="W70" s="812"/>
      <c r="X70" s="812"/>
    </row>
    <row r="71" spans="2:26">
      <c r="B71" s="94"/>
      <c r="C71" s="94"/>
      <c r="D71" s="94"/>
      <c r="E71" s="94"/>
      <c r="F71" s="94"/>
      <c r="G71" s="94"/>
      <c r="H71" s="94"/>
      <c r="I71" s="94"/>
      <c r="J71" s="255">
        <v>7</v>
      </c>
      <c r="K71" s="94"/>
      <c r="L71" s="726" t="s">
        <v>124</v>
      </c>
      <c r="M71" s="726"/>
      <c r="N71" s="728"/>
      <c r="O71" s="728"/>
      <c r="P71" s="962"/>
      <c r="Q71" s="728"/>
      <c r="R71" s="680"/>
      <c r="S71" s="680"/>
    </row>
    <row r="72" spans="2:26">
      <c r="B72" s="94"/>
      <c r="C72" s="94"/>
      <c r="D72" s="94"/>
      <c r="E72" s="94"/>
      <c r="F72" s="94"/>
      <c r="G72" s="94"/>
      <c r="H72" s="94"/>
      <c r="I72" s="94"/>
      <c r="J72" s="255">
        <v>8</v>
      </c>
      <c r="K72" s="94"/>
      <c r="L72" s="806">
        <v>501996</v>
      </c>
      <c r="M72" s="806"/>
      <c r="N72" s="728" t="s">
        <v>124</v>
      </c>
      <c r="O72" s="728"/>
      <c r="P72" s="962"/>
      <c r="Q72" s="728"/>
      <c r="R72" s="1285">
        <f>VLOOKUP(L72,FPERIOD,5,FALSE)</f>
        <v>16120437</v>
      </c>
      <c r="S72" s="680"/>
      <c r="T72" s="256"/>
    </row>
    <row r="73" spans="2:26">
      <c r="B73" s="94"/>
      <c r="C73" s="94"/>
      <c r="D73" s="94"/>
      <c r="E73" s="94"/>
      <c r="F73" s="94"/>
      <c r="G73" s="94"/>
      <c r="H73" s="94"/>
      <c r="I73" s="94"/>
      <c r="J73" s="255">
        <v>9</v>
      </c>
      <c r="K73" s="94"/>
      <c r="L73" s="728"/>
      <c r="M73" s="728"/>
      <c r="N73" s="728"/>
      <c r="O73" s="728"/>
      <c r="P73" s="962"/>
      <c r="Q73" s="728"/>
      <c r="R73" s="680"/>
      <c r="S73" s="680"/>
      <c r="X73" s="812"/>
      <c r="Y73" s="812"/>
      <c r="Z73" s="812"/>
    </row>
    <row r="74" spans="2:26">
      <c r="B74" s="94"/>
      <c r="C74" s="94"/>
      <c r="D74" s="94"/>
      <c r="E74" s="94"/>
      <c r="F74" s="94"/>
      <c r="G74" s="94"/>
      <c r="H74" s="94"/>
      <c r="I74" s="94"/>
      <c r="J74" s="255">
        <v>10</v>
      </c>
      <c r="K74" s="94"/>
      <c r="L74" s="726" t="s">
        <v>2086</v>
      </c>
      <c r="M74" s="728"/>
      <c r="N74" s="728"/>
      <c r="O74" s="728"/>
      <c r="P74" s="962"/>
      <c r="Q74" s="728"/>
      <c r="R74" s="680"/>
      <c r="S74" s="680"/>
    </row>
    <row r="75" spans="2:26">
      <c r="B75" s="94"/>
      <c r="C75" s="94"/>
      <c r="D75" s="94"/>
      <c r="E75" s="94"/>
      <c r="F75" s="94"/>
      <c r="G75" s="94"/>
      <c r="H75" s="94"/>
      <c r="I75" s="94"/>
      <c r="J75" s="255">
        <v>11</v>
      </c>
      <c r="K75" s="94"/>
      <c r="L75" s="806">
        <v>561400</v>
      </c>
      <c r="M75" s="728"/>
      <c r="N75" s="728" t="s">
        <v>2087</v>
      </c>
      <c r="O75" s="728"/>
      <c r="P75" s="962"/>
      <c r="Q75" s="728"/>
      <c r="R75" s="1285">
        <f>VLOOKUP(L75,FPERIOD,5,FALSE)</f>
        <v>1200000</v>
      </c>
      <c r="S75" s="680"/>
      <c r="T75" s="256"/>
    </row>
    <row r="76" spans="2:26">
      <c r="B76" s="94"/>
      <c r="C76" s="94"/>
      <c r="D76" s="94"/>
      <c r="E76" s="94"/>
      <c r="F76" s="94"/>
      <c r="G76" s="94"/>
      <c r="H76" s="94"/>
      <c r="I76" s="94"/>
      <c r="J76" s="255">
        <v>12</v>
      </c>
      <c r="K76" s="94"/>
      <c r="L76" s="728"/>
      <c r="M76" s="728"/>
      <c r="N76" s="728"/>
      <c r="O76" s="728"/>
      <c r="P76" s="962"/>
      <c r="Q76" s="728"/>
      <c r="R76" s="680"/>
      <c r="S76" s="680"/>
    </row>
    <row r="77" spans="2:26">
      <c r="B77" s="94"/>
      <c r="C77" s="94"/>
      <c r="D77" s="94"/>
      <c r="E77" s="94"/>
      <c r="F77" s="94"/>
      <c r="G77" s="94"/>
      <c r="H77" s="94"/>
      <c r="I77" s="94"/>
      <c r="J77" s="255">
        <v>13</v>
      </c>
      <c r="K77" s="94"/>
      <c r="L77" s="726" t="s">
        <v>2088</v>
      </c>
      <c r="M77" s="726"/>
      <c r="N77" s="728"/>
      <c r="O77" s="728"/>
      <c r="P77" s="962"/>
      <c r="Q77" s="728"/>
      <c r="R77" s="680"/>
      <c r="S77" s="680"/>
      <c r="T77" s="29"/>
    </row>
    <row r="78" spans="2:26">
      <c r="B78" s="94"/>
      <c r="C78" s="94"/>
      <c r="D78" s="94"/>
      <c r="E78" s="94"/>
      <c r="F78" s="94"/>
      <c r="G78" s="94"/>
      <c r="H78" s="94"/>
      <c r="I78" s="94"/>
      <c r="J78" s="255">
        <v>14</v>
      </c>
      <c r="K78" s="94"/>
      <c r="L78" s="806">
        <v>509030</v>
      </c>
      <c r="M78" s="806"/>
      <c r="N78" s="728" t="str">
        <f>VLOOKUP(L78,FPERIOD,2,FALSE)</f>
        <v>SO2 Emission Expense</v>
      </c>
      <c r="O78" s="728"/>
      <c r="P78" s="962"/>
      <c r="Q78" s="728"/>
      <c r="R78" s="1285">
        <f>VLOOKUP(L78,FPERIOD,5,FALSE)</f>
        <v>0</v>
      </c>
      <c r="S78" s="680"/>
      <c r="T78" s="29"/>
    </row>
    <row r="79" spans="2:26">
      <c r="B79" s="94"/>
      <c r="C79" s="94"/>
      <c r="D79" s="94"/>
      <c r="E79" s="94"/>
      <c r="F79" s="94"/>
      <c r="G79" s="94"/>
      <c r="H79" s="94"/>
      <c r="I79" s="94"/>
      <c r="J79" s="255"/>
      <c r="K79" s="94"/>
      <c r="L79" s="728"/>
      <c r="M79" s="728"/>
      <c r="N79" s="728"/>
      <c r="O79" s="728"/>
      <c r="P79" s="806"/>
      <c r="Q79" s="728"/>
      <c r="R79" s="680"/>
      <c r="S79" s="680"/>
      <c r="T79" s="29"/>
    </row>
    <row r="80" spans="2:26">
      <c r="B80" s="94"/>
      <c r="C80" s="94"/>
      <c r="D80" s="94"/>
      <c r="E80" s="94"/>
      <c r="F80" s="94"/>
      <c r="G80" s="94"/>
      <c r="H80" s="94"/>
      <c r="I80" s="94"/>
      <c r="J80" s="255"/>
      <c r="K80" s="94"/>
      <c r="L80" s="726"/>
      <c r="M80" s="726"/>
      <c r="N80" s="728"/>
      <c r="O80" s="728"/>
      <c r="P80" s="806"/>
      <c r="Q80" s="728"/>
      <c r="R80" s="680"/>
      <c r="S80" s="680"/>
    </row>
    <row r="81" spans="2:19">
      <c r="B81" s="94"/>
      <c r="C81" s="94"/>
      <c r="D81" s="94"/>
      <c r="E81" s="94"/>
      <c r="F81" s="94"/>
      <c r="G81" s="94"/>
      <c r="H81" s="94"/>
      <c r="I81" s="94"/>
      <c r="J81" s="255"/>
      <c r="K81" s="706"/>
      <c r="L81" s="1020"/>
      <c r="M81" s="1020"/>
      <c r="N81" s="1021"/>
      <c r="O81" s="1021"/>
      <c r="P81" s="1022"/>
      <c r="Q81" s="1021"/>
      <c r="R81" s="1023"/>
      <c r="S81" s="1023"/>
    </row>
    <row r="82" spans="2:19">
      <c r="B82" s="94"/>
      <c r="C82" s="94"/>
      <c r="D82" s="94"/>
      <c r="E82" s="94"/>
      <c r="F82" s="94"/>
      <c r="G82" s="94"/>
      <c r="H82" s="94"/>
      <c r="I82" s="94"/>
      <c r="J82" s="255"/>
      <c r="K82" s="94"/>
      <c r="L82" s="728"/>
      <c r="M82" s="728"/>
      <c r="N82" s="728"/>
      <c r="O82" s="728"/>
      <c r="P82" s="806"/>
      <c r="Q82" s="728"/>
      <c r="R82" s="1023"/>
      <c r="S82" s="680"/>
    </row>
    <row r="83" spans="2:19">
      <c r="B83" s="94"/>
      <c r="C83" s="94"/>
      <c r="D83" s="94"/>
      <c r="E83" s="94"/>
      <c r="F83" s="94"/>
      <c r="G83" s="94"/>
      <c r="H83" s="94"/>
      <c r="I83" s="94"/>
      <c r="J83" s="255"/>
      <c r="K83" s="94"/>
      <c r="L83" s="728"/>
      <c r="M83" s="728"/>
      <c r="N83" s="728"/>
      <c r="O83" s="728"/>
      <c r="P83" s="806"/>
      <c r="Q83" s="728"/>
      <c r="R83" s="1023"/>
      <c r="S83" s="680"/>
    </row>
    <row r="84" spans="2:19"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728"/>
      <c r="M84" s="728"/>
      <c r="N84" s="728"/>
      <c r="O84" s="728"/>
      <c r="P84" s="806"/>
      <c r="Q84" s="728"/>
      <c r="R84" s="1023"/>
      <c r="S84" s="680"/>
    </row>
    <row r="85" spans="2:19"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728"/>
      <c r="M85" s="728"/>
      <c r="N85" s="728"/>
      <c r="O85" s="728"/>
      <c r="P85" s="806"/>
      <c r="Q85" s="728"/>
      <c r="R85" s="1023"/>
      <c r="S85" s="680"/>
    </row>
    <row r="86" spans="2:19"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728"/>
      <c r="M86" s="728"/>
      <c r="N86" s="728"/>
      <c r="O86" s="728"/>
      <c r="P86" s="806"/>
      <c r="Q86" s="728"/>
      <c r="R86" s="680"/>
      <c r="S86" s="680"/>
    </row>
    <row r="87" spans="2:19"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126"/>
      <c r="Q87" s="94"/>
      <c r="R87" s="94"/>
      <c r="S87" s="94"/>
    </row>
    <row r="88" spans="2:19"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126"/>
      <c r="Q88" s="94"/>
      <c r="R88" s="94"/>
      <c r="S88" s="94"/>
    </row>
    <row r="89" spans="2:19"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126"/>
      <c r="Q89" s="94"/>
      <c r="R89" s="94"/>
      <c r="S89" s="94"/>
    </row>
    <row r="90" spans="2:19"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126"/>
      <c r="Q90" s="94"/>
      <c r="R90" s="94"/>
      <c r="S90" s="94"/>
    </row>
    <row r="91" spans="2:19"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126"/>
      <c r="Q91" s="94"/>
      <c r="R91" s="94"/>
      <c r="S91" s="94"/>
    </row>
    <row r="92" spans="2:19"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126"/>
      <c r="Q92" s="94"/>
      <c r="R92" s="94"/>
      <c r="S92" s="94"/>
    </row>
    <row r="93" spans="2:19"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126"/>
      <c r="Q93" s="94"/>
      <c r="R93" s="94"/>
      <c r="S93" s="94"/>
    </row>
    <row r="94" spans="2:19"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126"/>
      <c r="Q94" s="94"/>
      <c r="R94" s="94"/>
      <c r="S94" s="94"/>
    </row>
    <row r="95" spans="2:19"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126"/>
      <c r="Q95" s="94"/>
      <c r="R95" s="94"/>
      <c r="S95" s="94"/>
    </row>
    <row r="96" spans="2:19"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126"/>
      <c r="Q96" s="94"/>
      <c r="R96" s="94"/>
      <c r="S96" s="94"/>
    </row>
    <row r="97" spans="2:19"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126"/>
      <c r="Q97" s="94"/>
      <c r="R97" s="94"/>
      <c r="S97" s="94"/>
    </row>
    <row r="98" spans="2:19"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126"/>
      <c r="Q98" s="94"/>
      <c r="R98" s="94"/>
      <c r="S98" s="94"/>
    </row>
    <row r="99" spans="2:19"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126"/>
      <c r="Q99" s="94"/>
      <c r="R99" s="94"/>
      <c r="S99" s="94"/>
    </row>
    <row r="100" spans="2:19"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126"/>
      <c r="Q100" s="94"/>
      <c r="R100" s="94"/>
      <c r="S100" s="94"/>
    </row>
    <row r="101" spans="2:19"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126"/>
      <c r="Q101" s="94"/>
      <c r="R101" s="94"/>
      <c r="S101" s="94"/>
    </row>
  </sheetData>
  <phoneticPr fontId="19" type="noConversion"/>
  <pageMargins left="1" right="0.75" top="1" bottom="1" header="0.5" footer="0.5"/>
  <pageSetup scale="95" orientation="portrait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10">
    <tabColor theme="7" tint="-0.249977111117893"/>
    <pageSetUpPr fitToPage="1"/>
  </sheetPr>
  <dimension ref="A1:V71"/>
  <sheetViews>
    <sheetView zoomScale="90" zoomScaleNormal="90" workbookViewId="0"/>
  </sheetViews>
  <sheetFormatPr defaultColWidth="8" defaultRowHeight="13.2"/>
  <cols>
    <col min="1" max="1" width="52" style="691" bestFit="1" customWidth="1"/>
    <col min="2" max="5" width="8" style="691"/>
    <col min="6" max="6" width="10.5546875" style="691" customWidth="1"/>
    <col min="7" max="7" width="13.44140625" style="691" customWidth="1"/>
    <col min="8" max="9" width="8" style="691"/>
    <col min="10" max="10" width="6.44140625" style="691" customWidth="1"/>
    <col min="11" max="11" width="1.5546875" style="691" customWidth="1"/>
    <col min="12" max="12" width="43.44140625" style="691" customWidth="1"/>
    <col min="13" max="13" width="1.5546875" style="691" customWidth="1"/>
    <col min="14" max="14" width="12.44140625" style="691" customWidth="1"/>
    <col min="15" max="15" width="1.5546875" style="691" customWidth="1"/>
    <col min="16" max="16" width="15" style="691" customWidth="1"/>
    <col min="17" max="17" width="1.5546875" style="691" customWidth="1"/>
    <col min="18" max="21" width="13.5546875" style="691" customWidth="1"/>
    <col min="22" max="24" width="8" style="691"/>
    <col min="25" max="25" width="17.5546875" style="691" customWidth="1"/>
    <col min="26" max="37" width="12.5546875" style="691" customWidth="1"/>
    <col min="38" max="38" width="12.44140625" style="691" customWidth="1"/>
    <col min="39" max="16384" width="8" style="691"/>
  </cols>
  <sheetData>
    <row r="1" spans="1:18">
      <c r="A1" s="951" t="str">
        <f>LOGO!B5</f>
        <v>DUKE ENERGY KENTUCKY, INC.</v>
      </c>
      <c r="B1" s="710"/>
      <c r="C1" s="710"/>
      <c r="D1" s="710"/>
      <c r="E1" s="709"/>
      <c r="F1" s="709"/>
      <c r="G1" s="709"/>
      <c r="H1"/>
      <c r="I1"/>
      <c r="J1"/>
      <c r="K1"/>
      <c r="L1"/>
      <c r="M1"/>
      <c r="N1"/>
      <c r="O1"/>
      <c r="P1"/>
      <c r="Q1"/>
      <c r="R1"/>
    </row>
    <row r="2" spans="1:18">
      <c r="A2" s="951" t="str">
        <f>LOGO!B6</f>
        <v>CASE NO. 2024-00354</v>
      </c>
      <c r="B2" s="710"/>
      <c r="C2" s="710"/>
      <c r="D2" s="710"/>
      <c r="E2" s="709"/>
      <c r="F2" s="709"/>
      <c r="G2" s="709"/>
      <c r="H2"/>
      <c r="I2"/>
      <c r="J2"/>
      <c r="K2"/>
      <c r="L2"/>
      <c r="M2"/>
      <c r="N2"/>
      <c r="O2"/>
      <c r="P2"/>
      <c r="Q2"/>
      <c r="R2"/>
    </row>
    <row r="3" spans="1:18">
      <c r="A3" s="805" t="s">
        <v>2089</v>
      </c>
      <c r="B3" s="709"/>
      <c r="C3" s="709"/>
      <c r="D3" s="709"/>
      <c r="E3" s="709"/>
      <c r="F3" s="709"/>
      <c r="G3" s="709"/>
      <c r="H3"/>
      <c r="I3"/>
      <c r="J3"/>
      <c r="K3"/>
      <c r="L3"/>
      <c r="M3"/>
      <c r="N3"/>
      <c r="O3"/>
      <c r="P3"/>
      <c r="Q3"/>
      <c r="R3"/>
    </row>
    <row r="4" spans="1:18">
      <c r="A4" s="710" t="str">
        <f>PeriodF</f>
        <v>FOR THE TWELVE MONTHS ENDED JUNE 30, 2026</v>
      </c>
      <c r="B4" s="710"/>
      <c r="C4" s="710"/>
      <c r="D4" s="710"/>
      <c r="E4" s="709"/>
      <c r="F4" s="709"/>
      <c r="G4" s="709"/>
      <c r="H4"/>
      <c r="I4"/>
      <c r="J4"/>
      <c r="K4"/>
      <c r="L4"/>
      <c r="M4"/>
      <c r="N4"/>
      <c r="O4"/>
      <c r="P4"/>
      <c r="Q4"/>
      <c r="R4"/>
    </row>
    <row r="5" spans="1:18">
      <c r="A5" s="252"/>
      <c r="B5" s="252"/>
      <c r="C5" s="252"/>
      <c r="D5" s="252"/>
      <c r="E5" s="252"/>
      <c r="F5" s="252"/>
      <c r="G5" s="252"/>
      <c r="H5"/>
      <c r="I5"/>
      <c r="J5"/>
      <c r="K5"/>
      <c r="L5"/>
      <c r="M5"/>
      <c r="N5"/>
      <c r="O5"/>
      <c r="P5"/>
      <c r="Q5"/>
      <c r="R5"/>
    </row>
    <row r="6" spans="1:18">
      <c r="A6" s="711" t="str">
        <f>DataF</f>
        <v>DATA:  BASE PERIOD  "X" FORECASTED PERIOD</v>
      </c>
      <c r="B6" s="711"/>
      <c r="C6" s="711"/>
      <c r="D6" s="711"/>
      <c r="E6" s="252"/>
      <c r="F6" s="220" t="s">
        <v>2090</v>
      </c>
      <c r="G6" s="252"/>
      <c r="H6"/>
      <c r="I6"/>
      <c r="J6"/>
      <c r="K6"/>
      <c r="L6"/>
      <c r="M6"/>
      <c r="N6"/>
      <c r="O6"/>
      <c r="P6"/>
      <c r="Q6"/>
      <c r="R6"/>
    </row>
    <row r="7" spans="1:18">
      <c r="A7" s="711" t="str">
        <f>Type</f>
        <v xml:space="preserve">TYPE OF FILING:  "X" ORIGINAL   UPDATED    REVISED  </v>
      </c>
      <c r="B7" s="711"/>
      <c r="C7" s="711"/>
      <c r="D7" s="711"/>
      <c r="E7" s="252"/>
      <c r="F7" s="220" t="s">
        <v>466</v>
      </c>
      <c r="G7" s="252"/>
      <c r="H7"/>
      <c r="I7"/>
      <c r="J7"/>
      <c r="K7"/>
      <c r="L7"/>
      <c r="M7"/>
      <c r="N7"/>
      <c r="O7"/>
      <c r="P7"/>
      <c r="Q7"/>
      <c r="R7"/>
    </row>
    <row r="8" spans="1:18">
      <c r="A8" s="220" t="s">
        <v>2091</v>
      </c>
      <c r="B8" s="220"/>
      <c r="C8" s="220"/>
      <c r="D8" s="220"/>
      <c r="E8" s="252"/>
      <c r="F8" s="220" t="s">
        <v>468</v>
      </c>
      <c r="G8" s="252"/>
      <c r="H8"/>
      <c r="I8"/>
      <c r="J8"/>
      <c r="K8"/>
      <c r="L8"/>
      <c r="M8"/>
      <c r="N8"/>
      <c r="O8"/>
      <c r="P8"/>
      <c r="Q8"/>
      <c r="R8"/>
    </row>
    <row r="9" spans="1:18">
      <c r="A9" s="252"/>
      <c r="B9" s="252"/>
      <c r="C9" s="252"/>
      <c r="D9" s="252"/>
      <c r="E9" s="252"/>
      <c r="F9" s="220" t="str">
        <f>_WIT1</f>
        <v>L. D. STEINKUHL</v>
      </c>
      <c r="G9" s="252"/>
      <c r="H9"/>
      <c r="I9"/>
      <c r="J9"/>
      <c r="K9"/>
      <c r="L9"/>
      <c r="M9"/>
      <c r="N9"/>
      <c r="O9"/>
      <c r="P9"/>
      <c r="Q9"/>
      <c r="R9"/>
    </row>
    <row r="10" spans="1:18">
      <c r="A10" s="712"/>
      <c r="B10" s="712"/>
      <c r="C10" s="712"/>
      <c r="D10" s="712"/>
      <c r="E10" s="712"/>
      <c r="F10" s="712"/>
      <c r="G10" s="712"/>
      <c r="H10"/>
      <c r="I10"/>
      <c r="J10"/>
      <c r="K10"/>
      <c r="L10"/>
      <c r="M10"/>
      <c r="N10"/>
      <c r="O10"/>
      <c r="P10"/>
      <c r="Q10"/>
      <c r="R10"/>
    </row>
    <row r="11" spans="1:18">
      <c r="A11" s="2145"/>
      <c r="B11" s="2145"/>
      <c r="C11" s="2145"/>
      <c r="D11" s="2145"/>
      <c r="E11" s="2145"/>
      <c r="F11" s="2145"/>
      <c r="G11" s="2145"/>
      <c r="H11"/>
      <c r="I11"/>
      <c r="J11"/>
      <c r="K11"/>
      <c r="L11"/>
      <c r="M11"/>
      <c r="N11"/>
      <c r="O11"/>
      <c r="P11"/>
      <c r="Q11"/>
      <c r="R11"/>
    </row>
    <row r="12" spans="1:18">
      <c r="A12" s="709" t="s">
        <v>1857</v>
      </c>
      <c r="B12" s="255"/>
      <c r="C12" s="255"/>
      <c r="D12" s="255"/>
      <c r="E12" s="252"/>
      <c r="F12" s="252"/>
      <c r="G12" s="255" t="s">
        <v>975</v>
      </c>
      <c r="H12"/>
      <c r="I12"/>
      <c r="J12"/>
      <c r="K12"/>
      <c r="L12"/>
      <c r="M12"/>
      <c r="N12"/>
      <c r="O12"/>
      <c r="P12"/>
      <c r="Q12"/>
      <c r="R12"/>
    </row>
    <row r="13" spans="1:18">
      <c r="A13" s="712"/>
      <c r="B13" s="712"/>
      <c r="C13" s="712"/>
      <c r="D13" s="712"/>
      <c r="E13" s="712"/>
      <c r="F13" s="712"/>
      <c r="G13" s="712"/>
      <c r="H13"/>
      <c r="I13"/>
      <c r="J13"/>
      <c r="K13"/>
      <c r="L13"/>
      <c r="M13"/>
      <c r="N13"/>
      <c r="O13"/>
      <c r="P13"/>
      <c r="Q13"/>
      <c r="R13"/>
    </row>
    <row r="14" spans="1:18">
      <c r="A14" s="2145"/>
      <c r="B14" s="2145"/>
      <c r="C14" s="2145"/>
      <c r="D14" s="2145"/>
      <c r="E14" s="2145"/>
      <c r="F14" s="2145"/>
      <c r="G14" s="2147"/>
      <c r="H14"/>
      <c r="I14"/>
      <c r="J14"/>
      <c r="K14"/>
      <c r="L14"/>
      <c r="M14"/>
      <c r="N14"/>
      <c r="O14"/>
      <c r="P14"/>
      <c r="Q14"/>
      <c r="R14"/>
    </row>
    <row r="15" spans="1:18">
      <c r="A15" s="683" t="s">
        <v>2092</v>
      </c>
      <c r="B15" s="252"/>
      <c r="C15" s="252"/>
      <c r="D15" s="252"/>
      <c r="E15" s="252"/>
      <c r="F15" s="252"/>
      <c r="G15" s="252"/>
      <c r="H15"/>
      <c r="I15"/>
      <c r="J15"/>
      <c r="K15"/>
      <c r="L15"/>
      <c r="M15"/>
      <c r="N15"/>
      <c r="O15"/>
      <c r="P15"/>
      <c r="Q15"/>
      <c r="R15"/>
    </row>
    <row r="16" spans="1:18">
      <c r="A16" s="252" t="s">
        <v>2093</v>
      </c>
      <c r="B16" s="252"/>
      <c r="C16" s="252"/>
      <c r="D16" s="252"/>
      <c r="E16" s="252"/>
      <c r="F16" s="252"/>
      <c r="G16" s="252"/>
      <c r="H16"/>
      <c r="I16"/>
      <c r="J16"/>
      <c r="K16"/>
      <c r="L16"/>
      <c r="M16"/>
      <c r="N16"/>
      <c r="O16"/>
      <c r="P16"/>
      <c r="Q16"/>
      <c r="R16"/>
    </row>
    <row r="17" spans="1:18">
      <c r="A17" s="252"/>
      <c r="B17" s="252"/>
      <c r="C17" s="252"/>
      <c r="D17" s="252"/>
      <c r="E17" s="252"/>
      <c r="F17" s="252"/>
      <c r="G17" s="252"/>
      <c r="H17"/>
      <c r="I17"/>
      <c r="J17"/>
      <c r="K17"/>
      <c r="L17"/>
      <c r="M17"/>
      <c r="N17"/>
      <c r="O17"/>
      <c r="P17"/>
      <c r="Q17"/>
      <c r="R17"/>
    </row>
    <row r="18" spans="1:18">
      <c r="A18" s="252"/>
      <c r="B18" s="252"/>
      <c r="C18" s="252"/>
      <c r="D18" s="252"/>
      <c r="E18" s="252"/>
      <c r="F18" s="252"/>
      <c r="G18" s="252"/>
      <c r="H18"/>
      <c r="I18"/>
      <c r="J18"/>
      <c r="K18"/>
      <c r="L18"/>
      <c r="M18"/>
      <c r="N18"/>
      <c r="O18"/>
      <c r="P18"/>
      <c r="Q18"/>
      <c r="R18"/>
    </row>
    <row r="19" spans="1:18">
      <c r="A19" s="252"/>
      <c r="B19" s="252"/>
      <c r="C19" s="252"/>
      <c r="D19" s="252"/>
      <c r="E19" s="252"/>
      <c r="F19" s="252"/>
      <c r="G19" s="252"/>
      <c r="H19"/>
      <c r="I19"/>
      <c r="J19"/>
      <c r="K19"/>
      <c r="L19"/>
      <c r="M19"/>
      <c r="N19"/>
      <c r="O19"/>
      <c r="P19"/>
      <c r="Q19"/>
      <c r="R19"/>
    </row>
    <row r="20" spans="1:18">
      <c r="A20" s="252" t="s">
        <v>258</v>
      </c>
      <c r="B20" s="252"/>
      <c r="C20" s="252"/>
      <c r="D20" s="252"/>
      <c r="E20" s="252"/>
      <c r="F20" s="252"/>
      <c r="G20" s="254">
        <f>P59</f>
        <v>1785485</v>
      </c>
      <c r="H20"/>
      <c r="I20"/>
      <c r="J20"/>
      <c r="K20"/>
      <c r="L20"/>
      <c r="M20"/>
      <c r="N20"/>
      <c r="O20"/>
      <c r="P20"/>
      <c r="Q20"/>
      <c r="R20"/>
    </row>
    <row r="21" spans="1:18">
      <c r="A21" s="252"/>
      <c r="B21" s="252"/>
      <c r="C21" s="252"/>
      <c r="D21" s="252"/>
      <c r="E21" s="252"/>
      <c r="F21" s="252"/>
      <c r="G21" s="252"/>
      <c r="H21"/>
      <c r="I21"/>
      <c r="J21"/>
      <c r="K21"/>
      <c r="L21"/>
      <c r="M21"/>
      <c r="N21"/>
      <c r="O21"/>
      <c r="P21"/>
      <c r="Q21"/>
      <c r="R21"/>
    </row>
    <row r="22" spans="1:18">
      <c r="A22" s="252" t="s">
        <v>1862</v>
      </c>
      <c r="B22" s="252"/>
      <c r="C22" s="252"/>
      <c r="D22" s="252"/>
      <c r="E22" s="252"/>
      <c r="F22" s="252"/>
      <c r="G22" s="713">
        <f>VLOOKUP(B27,ALLOCTABLE,2,FALSE)/100</f>
        <v>1</v>
      </c>
      <c r="H22"/>
      <c r="I22"/>
      <c r="J22"/>
      <c r="K22"/>
      <c r="L22"/>
      <c r="M22"/>
      <c r="N22"/>
      <c r="O22"/>
      <c r="P22"/>
      <c r="Q22"/>
      <c r="R22"/>
    </row>
    <row r="23" spans="1:18">
      <c r="A23" s="252"/>
      <c r="B23" s="252"/>
      <c r="C23" s="252"/>
      <c r="D23" s="252"/>
      <c r="E23" s="252"/>
      <c r="F23" s="252"/>
      <c r="G23" s="252"/>
      <c r="H23"/>
      <c r="I23"/>
      <c r="J23"/>
      <c r="K23"/>
      <c r="L23"/>
      <c r="M23"/>
      <c r="N23"/>
      <c r="O23"/>
      <c r="P23"/>
      <c r="Q23"/>
      <c r="R23"/>
    </row>
    <row r="24" spans="1:18" ht="15">
      <c r="A24" t="s">
        <v>1863</v>
      </c>
      <c r="B24"/>
      <c r="C24"/>
      <c r="D24"/>
      <c r="E24"/>
      <c r="F24"/>
      <c r="G24" s="705">
        <f>ROUND(G20*G22,0)</f>
        <v>1785485</v>
      </c>
      <c r="H24"/>
      <c r="I24"/>
      <c r="J24"/>
      <c r="K24"/>
      <c r="L24"/>
      <c r="M24"/>
      <c r="N24"/>
      <c r="O24"/>
      <c r="P24"/>
      <c r="Q24"/>
      <c r="R24"/>
    </row>
    <row r="25" spans="1:18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</row>
    <row r="26" spans="1:18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</row>
    <row r="27" spans="1:18">
      <c r="A27" t="s">
        <v>1864</v>
      </c>
      <c r="B27" s="789" t="s">
        <v>428</v>
      </c>
      <c r="C27" s="789"/>
      <c r="D27" s="789"/>
      <c r="E27"/>
      <c r="F27"/>
      <c r="G27"/>
      <c r="H27"/>
      <c r="I27"/>
      <c r="J27"/>
      <c r="K27"/>
      <c r="L27"/>
      <c r="M27"/>
      <c r="N27"/>
      <c r="O27"/>
      <c r="P27"/>
      <c r="Q27"/>
      <c r="R27"/>
    </row>
    <row r="35" spans="10:22">
      <c r="J35" s="252" t="str">
        <f>COMPANY</f>
        <v>DUKE ENERGY KENTUCKY, INC.</v>
      </c>
      <c r="K35" s="252"/>
      <c r="L35" s="252"/>
      <c r="M35" s="252"/>
      <c r="N35" s="252" t="s">
        <v>2094</v>
      </c>
      <c r="O35"/>
      <c r="P35" s="252"/>
      <c r="Q35" s="252"/>
      <c r="R35" s="252"/>
      <c r="S35" s="252"/>
      <c r="U35"/>
      <c r="V35"/>
    </row>
    <row r="36" spans="10:22">
      <c r="J36" s="252" t="str">
        <f>DEPT</f>
        <v>ELECTRIC DEPARTMENT</v>
      </c>
      <c r="K36" s="252"/>
      <c r="L36" s="252"/>
      <c r="M36" s="252"/>
      <c r="N36" s="220" t="s">
        <v>468</v>
      </c>
      <c r="O36"/>
      <c r="P36" s="252"/>
      <c r="Q36" s="252"/>
      <c r="R36" s="252"/>
      <c r="S36" s="252"/>
      <c r="U36"/>
      <c r="V36"/>
    </row>
    <row r="37" spans="10:22">
      <c r="J37" s="252" t="str">
        <f>CASE</f>
        <v>CASE NO. 2024-00354</v>
      </c>
      <c r="K37" s="252"/>
      <c r="L37" s="252"/>
      <c r="M37" s="252"/>
      <c r="N37" s="220" t="str">
        <f>_WIT1</f>
        <v>L. D. STEINKUHL</v>
      </c>
      <c r="O37"/>
      <c r="P37" s="252"/>
      <c r="Q37" s="252"/>
      <c r="R37" s="252"/>
      <c r="S37" s="252"/>
      <c r="U37"/>
      <c r="V37"/>
    </row>
    <row r="38" spans="10:22">
      <c r="J38" s="1299" t="str">
        <f>A3</f>
        <v>ADJUST UNCOLLECTIBLE EXPENSE</v>
      </c>
      <c r="K38" s="252"/>
      <c r="L38" s="252"/>
      <c r="M38" s="252"/>
      <c r="N38" s="252"/>
      <c r="O38" s="252"/>
      <c r="P38" s="252"/>
      <c r="Q38" s="252"/>
      <c r="R38" s="252"/>
      <c r="S38" s="252"/>
      <c r="U38"/>
      <c r="V38"/>
    </row>
    <row r="39" spans="10:22"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/>
      <c r="V39"/>
    </row>
    <row r="40" spans="10:22">
      <c r="J40" s="252"/>
      <c r="K40" s="252"/>
      <c r="L40" s="252"/>
      <c r="M40" s="252"/>
      <c r="N40" s="256"/>
      <c r="O40" s="252"/>
      <c r="P40" s="252"/>
      <c r="Q40" s="252"/>
      <c r="R40" s="252"/>
      <c r="S40" s="252"/>
      <c r="T40" s="252"/>
      <c r="U40"/>
      <c r="V40"/>
    </row>
    <row r="41" spans="10:22">
      <c r="J41" s="255"/>
      <c r="K41" s="255"/>
      <c r="L41" s="255"/>
      <c r="M41" s="255"/>
      <c r="N41" s="795"/>
      <c r="O41" s="255"/>
      <c r="P41" s="255"/>
      <c r="Q41" s="255"/>
      <c r="R41" s="255"/>
      <c r="S41" s="255"/>
      <c r="T41" s="255"/>
      <c r="U41"/>
      <c r="V41"/>
    </row>
    <row r="42" spans="10:22">
      <c r="J42" s="255" t="s">
        <v>573</v>
      </c>
      <c r="K42" s="255"/>
      <c r="L42" s="255"/>
      <c r="M42" s="255"/>
      <c r="N42" s="255"/>
      <c r="O42" s="255"/>
      <c r="P42" s="255" t="s">
        <v>258</v>
      </c>
      <c r="Q42" s="255"/>
      <c r="R42" s="255"/>
      <c r="S42" s="255"/>
      <c r="T42" s="255"/>
      <c r="U42" s="255"/>
      <c r="V42"/>
    </row>
    <row r="43" spans="10:22">
      <c r="J43" s="958" t="s">
        <v>576</v>
      </c>
      <c r="K43" s="255"/>
      <c r="L43" s="958" t="s">
        <v>2</v>
      </c>
      <c r="M43" s="255"/>
      <c r="N43" s="958" t="s">
        <v>493</v>
      </c>
      <c r="O43" s="255"/>
      <c r="P43" s="958" t="s">
        <v>419</v>
      </c>
      <c r="Q43" s="255"/>
      <c r="R43" s="958"/>
      <c r="S43" s="958"/>
      <c r="T43" s="958"/>
      <c r="U43" s="958"/>
      <c r="V43"/>
    </row>
    <row r="44" spans="10:22">
      <c r="J44" s="255"/>
      <c r="K44" s="252"/>
      <c r="L44" s="255"/>
      <c r="M44" s="255"/>
      <c r="N44" s="255"/>
      <c r="O44" s="255"/>
      <c r="P44" s="255"/>
      <c r="Q44" s="255"/>
      <c r="R44" s="252"/>
      <c r="S44" s="252"/>
      <c r="T44" s="252"/>
      <c r="U44"/>
      <c r="V44"/>
    </row>
    <row r="45" spans="10:22">
      <c r="J45" s="255">
        <v>1</v>
      </c>
      <c r="K45" s="252"/>
      <c r="L45" s="252" t="s">
        <v>1487</v>
      </c>
      <c r="M45" s="255"/>
      <c r="N45" s="255" t="s">
        <v>2095</v>
      </c>
      <c r="O45" s="255"/>
      <c r="P45" s="810">
        <f>SCH_C2!N17</f>
        <v>303584876</v>
      </c>
      <c r="Q45" s="255"/>
      <c r="R45" s="252"/>
      <c r="S45" s="252"/>
      <c r="T45" s="252"/>
      <c r="U45"/>
      <c r="V45"/>
    </row>
    <row r="46" spans="10:22">
      <c r="J46" s="255"/>
      <c r="K46" s="252"/>
      <c r="L46" s="252"/>
      <c r="M46" s="255"/>
      <c r="N46" s="255"/>
      <c r="O46" s="255"/>
      <c r="P46" s="1303"/>
      <c r="Q46" s="255"/>
      <c r="R46" s="252"/>
      <c r="S46" s="252"/>
      <c r="T46" s="252"/>
      <c r="U46"/>
      <c r="V46"/>
    </row>
    <row r="47" spans="10:22">
      <c r="J47" s="255">
        <v>2</v>
      </c>
      <c r="K47" s="252"/>
      <c r="L47" s="252" t="s">
        <v>1991</v>
      </c>
      <c r="M47" s="255"/>
      <c r="N47" s="255" t="s">
        <v>2095</v>
      </c>
      <c r="O47" s="255"/>
      <c r="P47" s="1303">
        <f>SCH_C2!N18</f>
        <v>147263213</v>
      </c>
      <c r="Q47" s="255"/>
      <c r="R47" s="252"/>
      <c r="S47" s="252"/>
      <c r="T47" s="252"/>
      <c r="U47"/>
      <c r="V47"/>
    </row>
    <row r="48" spans="10:22">
      <c r="J48" s="255"/>
      <c r="K48" s="252"/>
      <c r="L48" s="252"/>
      <c r="M48" s="255"/>
      <c r="N48" s="255"/>
      <c r="O48" s="255"/>
      <c r="P48" s="1303"/>
      <c r="Q48" s="255"/>
      <c r="R48" s="252"/>
      <c r="S48" s="252"/>
      <c r="T48" s="252"/>
      <c r="U48"/>
      <c r="V48"/>
    </row>
    <row r="49" spans="9:22" ht="15">
      <c r="I49" s="691">
        <v>448000</v>
      </c>
      <c r="J49" s="255">
        <v>3</v>
      </c>
      <c r="K49" s="252"/>
      <c r="L49" s="252" t="s">
        <v>2096</v>
      </c>
      <c r="M49" s="255"/>
      <c r="N49" s="255" t="s">
        <v>2097</v>
      </c>
      <c r="O49" s="255"/>
      <c r="P49" s="1402">
        <f>VLOOKUP(I49,FPERIOD,5,FALSE)</f>
        <v>33541</v>
      </c>
      <c r="Q49" s="255"/>
      <c r="R49" s="252"/>
      <c r="S49" s="252"/>
      <c r="T49" s="252"/>
      <c r="U49"/>
      <c r="V49"/>
    </row>
    <row r="50" spans="9:22">
      <c r="J50" s="255"/>
      <c r="K50" s="252"/>
      <c r="L50" s="252"/>
      <c r="M50" s="255"/>
      <c r="N50" s="255"/>
      <c r="O50" s="255"/>
      <c r="P50" s="1303"/>
      <c r="Q50" s="255"/>
      <c r="R50" s="252"/>
      <c r="S50" s="252"/>
      <c r="T50" s="252"/>
      <c r="U50"/>
      <c r="V50"/>
    </row>
    <row r="51" spans="9:22">
      <c r="J51" s="255">
        <v>4</v>
      </c>
      <c r="K51" s="252"/>
      <c r="L51" s="252" t="s">
        <v>2098</v>
      </c>
      <c r="M51" s="255"/>
      <c r="N51" s="255"/>
      <c r="O51" s="255"/>
      <c r="P51" s="810">
        <f>P45+P47-P49</f>
        <v>450814548</v>
      </c>
      <c r="Q51" s="255"/>
      <c r="R51" s="252"/>
      <c r="S51" s="252"/>
      <c r="T51" s="252"/>
      <c r="U51"/>
      <c r="V51"/>
    </row>
    <row r="52" spans="9:22">
      <c r="J52" s="255"/>
      <c r="K52" s="252"/>
      <c r="L52" s="252"/>
      <c r="M52" s="252"/>
      <c r="N52" s="256"/>
      <c r="O52" s="252"/>
      <c r="P52" s="256"/>
      <c r="Q52" s="252"/>
      <c r="R52" s="252"/>
      <c r="S52" s="252"/>
      <c r="T52" s="252"/>
      <c r="U52"/>
      <c r="V52"/>
    </row>
    <row r="53" spans="9:22">
      <c r="J53" s="255">
        <v>5</v>
      </c>
      <c r="K53" s="252"/>
      <c r="L53" s="1300" t="s">
        <v>2099</v>
      </c>
      <c r="M53" s="1324"/>
      <c r="N53" s="1873" t="s">
        <v>2100</v>
      </c>
      <c r="O53" s="1324"/>
      <c r="P53" s="1687">
        <f>UncollRatio</f>
        <v>9.2099999999999994E-3</v>
      </c>
      <c r="Q53" s="1325"/>
      <c r="R53" s="1879"/>
      <c r="S53" s="1688"/>
      <c r="T53" s="1688"/>
      <c r="U53" s="1688"/>
      <c r="V53"/>
    </row>
    <row r="54" spans="9:22">
      <c r="J54" s="252"/>
      <c r="K54" s="252"/>
      <c r="L54" s="1300"/>
      <c r="M54" s="1324"/>
      <c r="N54" s="1324"/>
      <c r="O54" s="1324"/>
      <c r="P54" s="1303"/>
      <c r="Q54" s="1325"/>
      <c r="R54" s="252"/>
      <c r="S54" s="252"/>
      <c r="T54" s="252"/>
      <c r="U54"/>
      <c r="V54"/>
    </row>
    <row r="55" spans="9:22">
      <c r="J55" s="601">
        <v>6</v>
      </c>
      <c r="K55" s="252"/>
      <c r="L55" s="1300" t="s">
        <v>2101</v>
      </c>
      <c r="M55" s="1324"/>
      <c r="N55" s="1324"/>
      <c r="O55" s="1324"/>
      <c r="P55" s="1303">
        <f>ROUND($P$51*P53,0)</f>
        <v>4152002</v>
      </c>
      <c r="Q55" s="1325"/>
      <c r="R55" s="1303"/>
      <c r="S55" s="1303"/>
      <c r="T55" s="1303"/>
      <c r="U55"/>
      <c r="V55"/>
    </row>
    <row r="56" spans="9:22">
      <c r="J56" s="601"/>
      <c r="K56" s="252"/>
      <c r="L56" s="1301"/>
      <c r="M56" s="1324"/>
      <c r="N56" s="1324"/>
      <c r="O56" s="1324"/>
      <c r="P56" s="1303"/>
      <c r="Q56" s="1325"/>
      <c r="R56" s="252"/>
      <c r="S56" s="252"/>
      <c r="T56" s="252"/>
      <c r="U56"/>
      <c r="V56"/>
    </row>
    <row r="57" spans="9:22">
      <c r="I57" s="691">
        <v>904</v>
      </c>
      <c r="J57" s="601">
        <v>7</v>
      </c>
      <c r="K57" s="587"/>
      <c r="L57" s="660" t="s">
        <v>1591</v>
      </c>
      <c r="M57" s="587"/>
      <c r="N57" s="255" t="s">
        <v>2097</v>
      </c>
      <c r="O57" s="1324"/>
      <c r="P57" s="1306" cm="1">
        <f t="array" ref="P57">SUM(IF(FERCFP=I57,AmountFP))</f>
        <v>2366517</v>
      </c>
      <c r="Q57" s="1325"/>
      <c r="R57" s="1306"/>
      <c r="S57" s="1306"/>
      <c r="T57" s="1306"/>
      <c r="U57" s="1306"/>
      <c r="V57"/>
    </row>
    <row r="58" spans="9:22">
      <c r="J58" s="601"/>
      <c r="K58" s="587"/>
      <c r="L58" s="587"/>
      <c r="M58" s="587"/>
      <c r="N58" s="601"/>
      <c r="O58" s="1324"/>
      <c r="P58" s="256"/>
      <c r="Q58" s="1325"/>
      <c r="R58" s="252"/>
      <c r="S58" s="252"/>
      <c r="T58" s="252"/>
      <c r="U58"/>
      <c r="V58"/>
    </row>
    <row r="59" spans="9:22">
      <c r="J59" s="601">
        <v>8</v>
      </c>
      <c r="K59" s="587"/>
      <c r="L59" s="587" t="s">
        <v>2102</v>
      </c>
      <c r="M59" s="587"/>
      <c r="N59" s="587"/>
      <c r="O59" s="1324"/>
      <c r="P59" s="1401">
        <f>P55-P57</f>
        <v>1785485</v>
      </c>
      <c r="Q59" s="1325"/>
      <c r="R59" s="1401"/>
      <c r="S59" s="1401"/>
      <c r="T59" s="1401"/>
      <c r="U59" s="1401"/>
      <c r="V59"/>
    </row>
    <row r="60" spans="9:22">
      <c r="J60" s="252"/>
      <c r="K60" s="252"/>
      <c r="L60" s="1300"/>
      <c r="M60" s="1324"/>
      <c r="N60" s="1324"/>
      <c r="O60" s="1324"/>
      <c r="P60" s="1303"/>
      <c r="Q60" s="1325"/>
      <c r="R60" s="252"/>
      <c r="S60" s="252"/>
      <c r="T60" s="252"/>
      <c r="U60"/>
      <c r="V60"/>
    </row>
    <row r="61" spans="9:22" ht="15.6">
      <c r="J61" s="252"/>
      <c r="K61" s="252"/>
      <c r="L61" s="1689"/>
      <c r="M61" s="1324"/>
      <c r="N61" s="1324"/>
      <c r="O61" s="1324"/>
      <c r="P61" s="1690"/>
      <c r="Q61" s="1325"/>
      <c r="R61" s="252"/>
      <c r="S61" s="252"/>
      <c r="T61" s="252"/>
      <c r="U61"/>
      <c r="V61"/>
    </row>
    <row r="62" spans="9:22">
      <c r="J62" s="252"/>
      <c r="K62" s="252"/>
      <c r="L62" s="253"/>
      <c r="M62" s="253"/>
      <c r="N62" s="253"/>
      <c r="O62" s="1324"/>
      <c r="P62" s="1303"/>
      <c r="Q62" s="1325"/>
      <c r="R62" s="252"/>
      <c r="S62" s="252"/>
      <c r="T62" s="252"/>
      <c r="U62"/>
      <c r="V62"/>
    </row>
    <row r="63" spans="9:22">
      <c r="J63" s="252"/>
      <c r="K63" s="252"/>
      <c r="L63" s="253"/>
      <c r="M63"/>
      <c r="N63" s="1873"/>
      <c r="O63"/>
      <c r="P63" s="1874"/>
      <c r="Q63" s="1325"/>
      <c r="R63" s="252"/>
      <c r="S63" s="252"/>
      <c r="T63" s="252"/>
      <c r="U63"/>
      <c r="V63"/>
    </row>
    <row r="64" spans="9:22">
      <c r="J64" s="252"/>
      <c r="K64" s="252"/>
      <c r="L64" s="253"/>
      <c r="M64"/>
      <c r="N64" s="1875"/>
      <c r="O64"/>
      <c r="P64" s="1876"/>
      <c r="Q64" s="1325"/>
      <c r="R64" s="252"/>
      <c r="S64" s="252"/>
      <c r="T64" s="252"/>
      <c r="U64"/>
      <c r="V64"/>
    </row>
    <row r="65" spans="10:22">
      <c r="J65" s="252"/>
      <c r="K65" s="252"/>
      <c r="L65" s="253"/>
      <c r="M65"/>
      <c r="N65" s="1875"/>
      <c r="O65"/>
      <c r="P65" s="1876"/>
      <c r="Q65" s="1325"/>
      <c r="R65" s="252"/>
      <c r="S65" s="252"/>
      <c r="T65" s="252"/>
      <c r="U65"/>
      <c r="V65"/>
    </row>
    <row r="66" spans="10:22">
      <c r="J66" s="252"/>
      <c r="K66" s="252"/>
      <c r="L66" s="253"/>
      <c r="M66"/>
      <c r="N66" s="1875"/>
      <c r="O66"/>
      <c r="P66" s="453"/>
      <c r="Q66" s="1325"/>
      <c r="R66" s="252"/>
      <c r="S66" s="252"/>
      <c r="T66" s="252"/>
      <c r="U66"/>
      <c r="V66"/>
    </row>
    <row r="67" spans="10:22">
      <c r="J67" s="252"/>
      <c r="K67" s="252"/>
      <c r="L67" s="253"/>
      <c r="M67"/>
      <c r="N67" s="1877"/>
      <c r="O67"/>
      <c r="P67" s="1878"/>
      <c r="Q67" s="1325"/>
      <c r="R67" s="252"/>
      <c r="S67" s="252"/>
      <c r="T67" s="252"/>
      <c r="U67"/>
      <c r="V67"/>
    </row>
    <row r="68" spans="10:22">
      <c r="J68"/>
      <c r="K68"/>
      <c r="L68" s="253"/>
      <c r="M68"/>
      <c r="N68" s="1875"/>
      <c r="O68"/>
      <c r="P68" s="1876"/>
      <c r="Q68"/>
      <c r="R68"/>
      <c r="S68"/>
      <c r="T68"/>
      <c r="U68"/>
      <c r="V68"/>
    </row>
    <row r="69" spans="10:22">
      <c r="J69"/>
      <c r="K69"/>
      <c r="L69" s="29"/>
      <c r="M69" s="29"/>
      <c r="N69" s="29"/>
      <c r="O69"/>
      <c r="P69"/>
      <c r="Q69"/>
      <c r="R69"/>
      <c r="S69"/>
      <c r="T69"/>
      <c r="U69"/>
      <c r="V69"/>
    </row>
    <row r="70" spans="10:22">
      <c r="J70"/>
      <c r="K70"/>
      <c r="L70" s="253"/>
      <c r="M70" s="29"/>
      <c r="N70" s="29"/>
      <c r="O70"/>
      <c r="P70"/>
      <c r="Q70"/>
      <c r="R70"/>
      <c r="S70"/>
      <c r="T70"/>
      <c r="U70"/>
      <c r="V70"/>
    </row>
    <row r="71" spans="10:22">
      <c r="J71"/>
      <c r="K71"/>
      <c r="L71"/>
      <c r="M71"/>
      <c r="N71"/>
      <c r="O71"/>
      <c r="P71"/>
      <c r="Q71"/>
      <c r="R71"/>
      <c r="S71"/>
      <c r="T71"/>
      <c r="U71"/>
      <c r="V71"/>
    </row>
  </sheetData>
  <pageMargins left="1" right="0.75" top="1" bottom="1" header="0.5" footer="0.5"/>
  <pageSetup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8">
    <tabColor theme="7" tint="-0.249977111117893"/>
    <pageSetUpPr fitToPage="1"/>
  </sheetPr>
  <dimension ref="A1:S130"/>
  <sheetViews>
    <sheetView zoomScaleNormal="100" workbookViewId="0"/>
  </sheetViews>
  <sheetFormatPr defaultColWidth="8" defaultRowHeight="13.2"/>
  <cols>
    <col min="1" max="1" width="25.5546875" customWidth="1"/>
    <col min="2" max="2" width="21.44140625" customWidth="1"/>
    <col min="3" max="3" width="8" customWidth="1"/>
    <col min="4" max="5" width="11.44140625" customWidth="1"/>
    <col min="6" max="6" width="13.44140625" customWidth="1"/>
    <col min="7" max="7" width="15.5546875" customWidth="1"/>
    <col min="8" max="9" width="8" customWidth="1"/>
    <col min="10" max="10" width="2.44140625" customWidth="1"/>
    <col min="11" max="11" width="15.5546875" customWidth="1"/>
    <col min="12" max="12" width="4" customWidth="1"/>
    <col min="13" max="13" width="26.5546875" customWidth="1"/>
    <col min="14" max="14" width="6.5546875" customWidth="1"/>
    <col min="15" max="15" width="7.5546875" customWidth="1"/>
    <col min="16" max="16" width="16.5546875" customWidth="1"/>
    <col min="17" max="17" width="4.5546875" customWidth="1"/>
    <col min="18" max="18" width="17.5546875" customWidth="1"/>
    <col min="19" max="20" width="13.5546875" customWidth="1"/>
  </cols>
  <sheetData>
    <row r="1" spans="1:14">
      <c r="A1" s="125" t="str">
        <f>COMPANY</f>
        <v>DUKE ENERGY KENTUCKY, INC.</v>
      </c>
      <c r="B1" s="125"/>
      <c r="C1" s="125"/>
      <c r="D1" s="125"/>
      <c r="E1" s="125"/>
      <c r="F1" s="125"/>
      <c r="G1" s="125"/>
      <c r="H1" s="94"/>
      <c r="I1" s="94"/>
      <c r="J1" s="94"/>
      <c r="K1" s="94"/>
      <c r="L1" s="94"/>
      <c r="M1" s="94"/>
      <c r="N1" s="94"/>
    </row>
    <row r="2" spans="1:14">
      <c r="A2" s="125" t="str">
        <f>CASE</f>
        <v>CASE NO. 2024-00354</v>
      </c>
      <c r="B2" s="125"/>
      <c r="C2" s="125"/>
      <c r="D2" s="125"/>
      <c r="E2" s="125"/>
      <c r="F2" s="125"/>
      <c r="G2" s="125"/>
      <c r="H2" s="94"/>
      <c r="I2" s="94"/>
      <c r="J2" s="94"/>
      <c r="K2" s="94"/>
      <c r="L2" s="94"/>
      <c r="M2" s="94"/>
      <c r="N2" s="94"/>
    </row>
    <row r="3" spans="1:14">
      <c r="A3" s="125" t="s">
        <v>2103</v>
      </c>
      <c r="B3" s="125"/>
      <c r="C3" s="125"/>
      <c r="D3" s="125"/>
      <c r="E3" s="125"/>
      <c r="F3" s="125"/>
      <c r="G3" s="125"/>
      <c r="H3" s="94"/>
      <c r="I3" s="94"/>
      <c r="J3" s="94"/>
      <c r="K3" s="94"/>
      <c r="L3" s="94"/>
      <c r="M3" s="94"/>
      <c r="N3" s="94"/>
    </row>
    <row r="4" spans="1:14">
      <c r="A4" s="125" t="str">
        <f>PeriodF</f>
        <v>FOR THE TWELVE MONTHS ENDED JUNE 30, 2026</v>
      </c>
      <c r="B4" s="125"/>
      <c r="C4" s="125"/>
      <c r="D4" s="125"/>
      <c r="E4" s="125"/>
      <c r="F4" s="125"/>
      <c r="G4" s="125"/>
      <c r="H4" s="94"/>
      <c r="I4" s="94"/>
      <c r="J4" s="94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>
      <c r="A6" s="94" t="str">
        <f>DataF</f>
        <v>DATA:  BASE PERIOD  "X" FORECASTED PERIOD</v>
      </c>
      <c r="B6" s="94"/>
      <c r="C6" s="94"/>
      <c r="D6" s="94"/>
      <c r="E6" s="94"/>
      <c r="F6" s="94" t="s">
        <v>2104</v>
      </c>
      <c r="G6" s="94"/>
      <c r="H6" s="94"/>
      <c r="I6" s="94"/>
      <c r="J6" s="94"/>
      <c r="K6" s="94"/>
      <c r="L6" s="94"/>
      <c r="M6" s="94"/>
      <c r="N6" s="94"/>
    </row>
    <row r="7" spans="1:14">
      <c r="A7" s="94" t="str">
        <f>LOGO!B15</f>
        <v xml:space="preserve">TYPE OF FILING:  "X" ORIGINAL   UPDATED    REVISED  </v>
      </c>
      <c r="B7" s="94"/>
      <c r="C7" s="94"/>
      <c r="D7" s="94"/>
      <c r="E7" s="94"/>
      <c r="F7" s="94" t="s">
        <v>466</v>
      </c>
      <c r="G7" s="94"/>
      <c r="H7" s="94"/>
      <c r="I7" s="94"/>
      <c r="J7" s="94"/>
      <c r="K7" s="94"/>
      <c r="L7" s="94"/>
      <c r="M7" s="94"/>
      <c r="N7" s="94"/>
    </row>
    <row r="8" spans="1:14">
      <c r="A8" s="169" t="s">
        <v>2105</v>
      </c>
      <c r="B8" s="94"/>
      <c r="C8" s="94"/>
      <c r="D8" s="94"/>
      <c r="E8" s="94"/>
      <c r="F8" s="94" t="s">
        <v>468</v>
      </c>
      <c r="G8" s="94"/>
      <c r="H8" s="94"/>
      <c r="I8" s="94"/>
      <c r="J8" s="94"/>
      <c r="K8" s="94"/>
      <c r="L8" s="94"/>
      <c r="M8" s="94"/>
      <c r="N8" s="94"/>
    </row>
    <row r="9" spans="1:14">
      <c r="A9" s="94"/>
      <c r="B9" s="94"/>
      <c r="C9" s="94"/>
      <c r="D9" s="94"/>
      <c r="E9" s="94"/>
      <c r="F9" s="94" t="str">
        <f>_WIT1</f>
        <v>L. D. STEINKUHL</v>
      </c>
      <c r="G9" s="94"/>
      <c r="H9" s="94"/>
      <c r="I9" s="94"/>
      <c r="J9" s="94"/>
      <c r="K9" s="94"/>
      <c r="L9" s="94"/>
      <c r="M9" s="94"/>
      <c r="N9" s="94"/>
    </row>
    <row r="10" spans="1:14">
      <c r="A10" s="98"/>
      <c r="B10" s="98"/>
      <c r="C10" s="98"/>
      <c r="D10" s="98"/>
      <c r="E10" s="98"/>
      <c r="F10" s="98"/>
      <c r="G10" s="98"/>
      <c r="H10" s="169"/>
      <c r="I10" s="94"/>
      <c r="J10" s="94"/>
      <c r="K10" s="94"/>
      <c r="L10" s="94"/>
      <c r="M10" s="94"/>
      <c r="N10" s="94"/>
    </row>
    <row r="11" spans="1:14">
      <c r="A11" s="2146"/>
      <c r="B11" s="2146"/>
      <c r="C11" s="2146"/>
      <c r="D11" s="2146"/>
      <c r="E11" s="2146"/>
      <c r="F11" s="2146"/>
      <c r="G11" s="2146"/>
      <c r="H11" s="94"/>
      <c r="I11" s="94"/>
      <c r="J11" s="94"/>
      <c r="K11" s="94"/>
      <c r="L11" s="94"/>
      <c r="M11" s="94"/>
      <c r="N11" s="94"/>
    </row>
    <row r="12" spans="1:14">
      <c r="A12" s="169" t="s">
        <v>1857</v>
      </c>
      <c r="B12" s="94"/>
      <c r="C12" s="94"/>
      <c r="D12" s="94"/>
      <c r="E12" s="94"/>
      <c r="F12" s="94"/>
      <c r="G12" s="126" t="s">
        <v>975</v>
      </c>
      <c r="H12" s="94"/>
      <c r="I12" s="94"/>
      <c r="J12" s="94"/>
      <c r="K12" s="94"/>
      <c r="L12" s="94"/>
      <c r="M12" s="94"/>
      <c r="N12" s="94"/>
    </row>
    <row r="13" spans="1:14">
      <c r="A13" s="1515"/>
      <c r="B13" s="1515"/>
      <c r="C13" s="1515"/>
      <c r="D13" s="1515"/>
      <c r="E13" s="1515"/>
      <c r="F13" s="1515"/>
      <c r="G13" s="1515"/>
      <c r="H13" s="169"/>
      <c r="I13" s="94"/>
      <c r="J13" s="94"/>
      <c r="K13" s="94"/>
      <c r="L13" s="94"/>
      <c r="M13" s="94"/>
      <c r="N13" s="94"/>
    </row>
    <row r="14" spans="1:14">
      <c r="A14" s="94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</row>
    <row r="15" spans="1:14">
      <c r="A15" s="683" t="s">
        <v>2106</v>
      </c>
      <c r="B15" s="94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</row>
    <row r="16" spans="1:14">
      <c r="A16" s="683" t="s">
        <v>2107</v>
      </c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</row>
    <row r="17" spans="1:14">
      <c r="A17" s="683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</row>
    <row r="18" spans="1:14">
      <c r="A18" s="94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</row>
    <row r="19" spans="1:14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</row>
    <row r="20" spans="1:14">
      <c r="A20" s="94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</row>
    <row r="21" spans="1:14">
      <c r="A21" s="598" t="s">
        <v>2108</v>
      </c>
      <c r="B21" s="599"/>
      <c r="C21" s="599"/>
      <c r="D21" s="599"/>
      <c r="E21" s="94"/>
      <c r="F21" s="130"/>
      <c r="G21" s="682">
        <f>-WPC_2!S57</f>
        <v>-7966807</v>
      </c>
      <c r="H21" s="169"/>
      <c r="I21" s="94"/>
      <c r="J21" s="94"/>
      <c r="K21" s="94"/>
      <c r="L21" s="94"/>
      <c r="M21" s="94"/>
      <c r="N21" s="94"/>
    </row>
    <row r="22" spans="1:14">
      <c r="A22" s="599"/>
      <c r="B22" s="599"/>
      <c r="C22" s="599"/>
      <c r="D22" s="599"/>
      <c r="E22" s="94"/>
      <c r="F22" s="94"/>
      <c r="G22" s="599"/>
      <c r="H22" s="94"/>
      <c r="I22" s="94"/>
      <c r="J22" s="94"/>
      <c r="K22" s="94"/>
      <c r="L22" s="94"/>
      <c r="M22" s="94"/>
      <c r="N22" s="94"/>
    </row>
    <row r="23" spans="1:14">
      <c r="A23" s="598" t="s">
        <v>1862</v>
      </c>
      <c r="B23" s="599"/>
      <c r="C23" s="599"/>
      <c r="D23" s="599"/>
      <c r="E23" s="94"/>
      <c r="F23" s="94"/>
      <c r="G23" s="703">
        <f>VLOOKUP(B41,ALLOCTABLE,2)/100</f>
        <v>1</v>
      </c>
      <c r="H23" s="94"/>
      <c r="I23" s="94"/>
      <c r="J23" s="94"/>
      <c r="K23" s="94"/>
      <c r="L23" s="94"/>
      <c r="M23" s="94"/>
      <c r="N23" s="94"/>
    </row>
    <row r="24" spans="1:14">
      <c r="A24" s="599"/>
      <c r="B24" s="599"/>
      <c r="C24" s="599"/>
      <c r="D24" s="599"/>
      <c r="E24" s="94"/>
      <c r="F24" s="94"/>
      <c r="G24" s="704"/>
      <c r="H24" s="94"/>
      <c r="I24" s="94"/>
      <c r="J24" s="94"/>
      <c r="K24" s="94"/>
      <c r="L24" s="94"/>
      <c r="M24" s="94"/>
      <c r="N24" s="94"/>
    </row>
    <row r="25" spans="1:14">
      <c r="A25" s="599"/>
      <c r="B25" s="599"/>
      <c r="C25" s="599"/>
      <c r="D25" s="599"/>
      <c r="E25" s="94"/>
      <c r="F25" s="94"/>
      <c r="G25" s="599"/>
      <c r="H25" s="94"/>
      <c r="I25" s="94"/>
      <c r="J25" s="94"/>
      <c r="K25" s="94"/>
      <c r="L25" s="94"/>
      <c r="M25" s="94"/>
      <c r="N25" s="94"/>
    </row>
    <row r="26" spans="1:14" ht="15">
      <c r="A26" s="598" t="s">
        <v>1863</v>
      </c>
      <c r="B26" s="599"/>
      <c r="C26" s="599"/>
      <c r="D26" s="598" t="s">
        <v>1876</v>
      </c>
      <c r="E26" s="94"/>
      <c r="F26" s="94"/>
      <c r="G26" s="705">
        <f>ROUND(G21*G23,0)</f>
        <v>-7966807</v>
      </c>
      <c r="H26" s="94"/>
      <c r="I26" s="94"/>
      <c r="J26" s="94"/>
      <c r="K26" s="94"/>
      <c r="L26" s="94"/>
      <c r="M26" s="94"/>
      <c r="N26" s="94"/>
    </row>
    <row r="27" spans="1:14">
      <c r="A27" s="599"/>
      <c r="B27" s="599"/>
      <c r="C27" s="599"/>
      <c r="D27" s="599"/>
      <c r="E27" s="94"/>
      <c r="F27" s="130"/>
      <c r="G27" s="704"/>
      <c r="H27" s="94"/>
      <c r="I27" s="94"/>
      <c r="J27" s="94"/>
      <c r="K27" s="94"/>
      <c r="L27" s="94"/>
      <c r="M27" s="94"/>
      <c r="N27" s="94"/>
    </row>
    <row r="28" spans="1:14">
      <c r="A28" s="599"/>
      <c r="B28" s="599"/>
      <c r="C28" s="599"/>
      <c r="D28" s="599"/>
      <c r="E28" s="94"/>
      <c r="F28" s="94"/>
      <c r="G28" s="704"/>
      <c r="H28" s="94"/>
      <c r="I28" s="94"/>
      <c r="J28" s="94"/>
      <c r="K28" s="94"/>
      <c r="L28" s="94"/>
      <c r="M28" s="94"/>
      <c r="N28" s="94"/>
    </row>
    <row r="29" spans="1:14">
      <c r="A29" s="598" t="s">
        <v>2109</v>
      </c>
      <c r="B29" s="599"/>
      <c r="C29" s="599"/>
      <c r="D29" s="599"/>
      <c r="E29" s="94"/>
      <c r="F29" s="94"/>
      <c r="G29" s="682">
        <f>-P71</f>
        <v>-8283237</v>
      </c>
      <c r="H29" s="94"/>
      <c r="I29" s="94"/>
      <c r="J29" s="94"/>
      <c r="K29" s="94"/>
      <c r="L29" s="94"/>
      <c r="M29" s="94"/>
      <c r="N29" s="94"/>
    </row>
    <row r="30" spans="1:14">
      <c r="A30" s="598" t="s">
        <v>2110</v>
      </c>
      <c r="B30" s="599"/>
      <c r="C30" s="599"/>
      <c r="D30" s="599"/>
      <c r="E30" s="94"/>
      <c r="F30" s="94"/>
      <c r="G30" s="735">
        <f>-P76</f>
        <v>-304011</v>
      </c>
      <c r="H30" s="94"/>
      <c r="I30" s="94"/>
      <c r="J30" s="94"/>
      <c r="K30" s="94"/>
      <c r="L30" s="94"/>
      <c r="M30" s="94"/>
      <c r="N30" s="94"/>
    </row>
    <row r="31" spans="1:14" ht="15">
      <c r="A31" s="598" t="s">
        <v>353</v>
      </c>
      <c r="B31" s="599"/>
      <c r="C31" s="599"/>
      <c r="D31" s="599"/>
      <c r="E31" s="94"/>
      <c r="F31" s="94"/>
      <c r="G31" s="736">
        <f>-P61</f>
        <v>-74312</v>
      </c>
      <c r="H31" s="94"/>
      <c r="I31" s="94"/>
      <c r="J31" s="94"/>
      <c r="K31" s="94"/>
      <c r="L31" s="94"/>
      <c r="M31" s="94"/>
      <c r="N31" s="94"/>
    </row>
    <row r="32" spans="1:14">
      <c r="A32" s="598" t="s">
        <v>2111</v>
      </c>
      <c r="B32" s="599"/>
      <c r="C32" s="599"/>
      <c r="D32" s="599"/>
      <c r="E32" s="94"/>
      <c r="F32" s="94"/>
      <c r="G32" s="682">
        <f>SUM(G29:G31)</f>
        <v>-8661560</v>
      </c>
      <c r="H32" s="94"/>
      <c r="I32" s="94"/>
      <c r="J32" s="94"/>
      <c r="K32" s="94"/>
      <c r="L32" s="94"/>
      <c r="M32" s="94"/>
      <c r="N32" s="94"/>
    </row>
    <row r="33" spans="1:15">
      <c r="A33" s="599"/>
      <c r="B33" s="599"/>
      <c r="C33" s="599"/>
      <c r="D33" s="599"/>
      <c r="E33" s="94"/>
      <c r="F33" s="94"/>
      <c r="G33" s="599"/>
      <c r="H33" s="94"/>
      <c r="I33" s="94"/>
      <c r="J33" s="94"/>
      <c r="K33" s="94"/>
      <c r="L33" s="94"/>
      <c r="M33" s="94"/>
      <c r="N33" s="94"/>
    </row>
    <row r="34" spans="1:15">
      <c r="A34" s="598" t="s">
        <v>1862</v>
      </c>
      <c r="B34" s="599"/>
      <c r="C34" s="599"/>
      <c r="D34" s="599"/>
      <c r="E34" s="94"/>
      <c r="F34" s="94"/>
      <c r="G34" s="703">
        <f>VLOOKUP(B41,ALLOCTABLE,2)/100</f>
        <v>1</v>
      </c>
      <c r="H34" s="94"/>
      <c r="I34" s="94"/>
      <c r="J34" s="94"/>
      <c r="K34" s="94"/>
      <c r="L34" s="94"/>
      <c r="M34" s="94"/>
      <c r="N34" s="94"/>
    </row>
    <row r="35" spans="1:15">
      <c r="A35" s="599"/>
      <c r="B35" s="599"/>
      <c r="C35" s="599"/>
      <c r="D35" s="599"/>
      <c r="E35" s="94"/>
      <c r="F35" s="94"/>
      <c r="G35" s="704"/>
      <c r="H35" s="94"/>
      <c r="I35" s="94"/>
      <c r="J35" s="94"/>
      <c r="K35" s="94"/>
      <c r="L35" s="94"/>
      <c r="M35" s="94"/>
      <c r="N35" s="94"/>
    </row>
    <row r="36" spans="1:15">
      <c r="A36" s="599"/>
      <c r="B36" s="599"/>
      <c r="C36" s="599"/>
      <c r="D36" s="599"/>
      <c r="E36" s="94"/>
      <c r="F36" s="94"/>
      <c r="G36" s="599"/>
      <c r="H36" s="94"/>
      <c r="I36" s="94"/>
      <c r="J36" s="94"/>
      <c r="K36" s="94"/>
      <c r="L36" s="94"/>
      <c r="M36" s="94"/>
      <c r="N36" s="94"/>
    </row>
    <row r="37" spans="1:15" ht="15">
      <c r="A37" s="598" t="s">
        <v>1863</v>
      </c>
      <c r="B37" s="599"/>
      <c r="C37" s="599"/>
      <c r="D37" s="598" t="s">
        <v>1876</v>
      </c>
      <c r="E37" s="597"/>
      <c r="F37" s="597"/>
      <c r="G37" s="705">
        <f>ROUND(G32*G34,0)</f>
        <v>-8661560</v>
      </c>
      <c r="H37" s="94"/>
      <c r="I37" s="94"/>
      <c r="J37" s="94"/>
      <c r="K37" s="94"/>
      <c r="L37" s="94"/>
      <c r="M37" s="94"/>
      <c r="N37" s="94"/>
    </row>
    <row r="38" spans="1:15">
      <c r="A38" s="599"/>
      <c r="B38" s="599"/>
      <c r="C38" s="599"/>
      <c r="D38" s="599"/>
      <c r="E38" s="597"/>
      <c r="F38" s="597"/>
      <c r="G38" s="704"/>
      <c r="H38" s="94"/>
      <c r="I38" s="94"/>
      <c r="J38" s="94"/>
      <c r="K38" s="94"/>
      <c r="L38" s="94"/>
      <c r="M38" s="94"/>
      <c r="N38" s="94"/>
    </row>
    <row r="39" spans="1:15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</row>
    <row r="40" spans="1:15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</row>
    <row r="41" spans="1:15">
      <c r="A41" s="598" t="s">
        <v>1864</v>
      </c>
      <c r="B41" s="966" t="s">
        <v>428</v>
      </c>
      <c r="C41" s="94"/>
      <c r="D41" s="975"/>
      <c r="E41" s="94"/>
      <c r="F41" s="94"/>
      <c r="G41" s="94"/>
      <c r="H41" s="94"/>
      <c r="I41" s="94"/>
      <c r="J41" s="94"/>
      <c r="K41" s="94"/>
      <c r="L41" s="94"/>
      <c r="M41" s="94"/>
      <c r="N41" s="94"/>
    </row>
    <row r="42" spans="1:15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</row>
    <row r="43" spans="1:15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</row>
    <row r="44" spans="1:15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</row>
    <row r="45" spans="1:15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</row>
    <row r="46" spans="1:15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</row>
    <row r="47" spans="1:15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</row>
    <row r="48" spans="1:15">
      <c r="A48" s="94"/>
      <c r="B48" s="94"/>
      <c r="C48" s="94"/>
      <c r="D48" s="94"/>
      <c r="E48" s="94"/>
      <c r="F48" s="94"/>
      <c r="G48" s="94"/>
      <c r="H48" s="94"/>
      <c r="I48" s="252" t="str">
        <f>COMPANY</f>
        <v>DUKE ENERGY KENTUCKY, INC.</v>
      </c>
      <c r="J48" s="252"/>
      <c r="K48" s="252"/>
      <c r="L48" s="252"/>
      <c r="M48" s="252"/>
      <c r="N48" s="252"/>
      <c r="O48" s="252" t="s">
        <v>2112</v>
      </c>
    </row>
    <row r="49" spans="1:19">
      <c r="A49" s="94"/>
      <c r="B49" s="94"/>
      <c r="C49" s="94"/>
      <c r="D49" s="94"/>
      <c r="E49" s="94"/>
      <c r="F49" s="94"/>
      <c r="G49" s="94"/>
      <c r="H49" s="94"/>
      <c r="I49" s="252" t="str">
        <f>DEPT</f>
        <v>ELECTRIC DEPARTMENT</v>
      </c>
      <c r="J49" s="252"/>
      <c r="K49" s="252"/>
      <c r="L49" s="252"/>
      <c r="M49" s="252"/>
      <c r="N49" s="252"/>
      <c r="O49" s="220" t="s">
        <v>468</v>
      </c>
    </row>
    <row r="50" spans="1:19">
      <c r="A50" s="94"/>
      <c r="B50" s="94"/>
      <c r="C50" s="94"/>
      <c r="D50" s="94"/>
      <c r="E50" s="94"/>
      <c r="F50" s="94"/>
      <c r="G50" s="94"/>
      <c r="H50" s="94"/>
      <c r="I50" s="252" t="str">
        <f>CASE</f>
        <v>CASE NO. 2024-00354</v>
      </c>
      <c r="J50" s="252"/>
      <c r="K50" s="252"/>
      <c r="L50" s="252"/>
      <c r="M50" s="252"/>
      <c r="N50" s="252"/>
      <c r="O50" s="220" t="str">
        <f>_WIT1</f>
        <v>L. D. STEINKUHL</v>
      </c>
    </row>
    <row r="51" spans="1:19">
      <c r="A51" s="94"/>
      <c r="B51" s="94"/>
      <c r="C51" s="94"/>
      <c r="D51" s="94"/>
      <c r="E51" s="94"/>
      <c r="F51" s="94"/>
      <c r="G51" s="94"/>
      <c r="H51" s="94"/>
      <c r="I51" s="220" t="str">
        <f>A3</f>
        <v>ELIMINATE DSM REVENUE &amp; EXPENSE</v>
      </c>
      <c r="J51" s="252"/>
      <c r="K51" s="252"/>
      <c r="L51" s="252"/>
      <c r="M51" s="252"/>
      <c r="N51" s="252"/>
      <c r="O51" s="252"/>
      <c r="P51" s="252"/>
    </row>
    <row r="52" spans="1:19">
      <c r="A52" s="94"/>
      <c r="B52" s="94"/>
      <c r="C52" s="94"/>
      <c r="D52" s="94"/>
      <c r="E52" s="94"/>
      <c r="F52" s="94"/>
      <c r="G52" s="94"/>
      <c r="H52" s="94"/>
      <c r="I52" s="252" t="str">
        <f>PeriodF</f>
        <v>FOR THE TWELVE MONTHS ENDED JUNE 30, 2026</v>
      </c>
      <c r="J52" s="252"/>
      <c r="K52" s="252"/>
      <c r="L52" s="252"/>
      <c r="M52" s="252"/>
      <c r="N52" s="252"/>
      <c r="O52" s="252"/>
      <c r="P52" s="252"/>
    </row>
    <row r="53" spans="1:19">
      <c r="A53" s="94"/>
      <c r="B53" s="94"/>
      <c r="C53" s="94"/>
      <c r="D53" s="94"/>
      <c r="E53" s="94"/>
      <c r="F53" s="94"/>
      <c r="G53" s="94"/>
      <c r="H53" s="94"/>
      <c r="I53" s="252"/>
      <c r="J53" s="252"/>
      <c r="K53" s="252"/>
      <c r="L53" s="252"/>
      <c r="M53" s="252"/>
      <c r="N53" s="252"/>
      <c r="O53" s="252"/>
      <c r="P53" s="252"/>
    </row>
    <row r="54" spans="1:19">
      <c r="A54" s="94"/>
      <c r="B54" s="94"/>
      <c r="C54" s="94"/>
      <c r="D54" s="94"/>
      <c r="E54" s="94"/>
      <c r="F54" s="94"/>
      <c r="G54" s="94"/>
      <c r="H54" s="94"/>
      <c r="I54" s="252"/>
      <c r="J54" s="252"/>
      <c r="K54" s="252"/>
      <c r="L54" s="252"/>
      <c r="M54" s="256"/>
      <c r="N54" s="256"/>
      <c r="O54" s="252"/>
      <c r="P54" s="252"/>
    </row>
    <row r="55" spans="1:19">
      <c r="A55" s="94"/>
      <c r="B55" s="94"/>
      <c r="C55" s="94"/>
      <c r="D55" s="94"/>
      <c r="E55" s="94"/>
      <c r="F55" s="94"/>
      <c r="G55" s="94"/>
      <c r="H55" s="94"/>
      <c r="I55" s="255"/>
      <c r="J55" s="255"/>
      <c r="K55" s="255"/>
      <c r="L55" s="255"/>
      <c r="M55" s="795"/>
      <c r="N55" s="795"/>
      <c r="O55" s="255"/>
      <c r="P55" s="255"/>
    </row>
    <row r="56" spans="1:19">
      <c r="A56" s="94"/>
      <c r="B56" s="94"/>
      <c r="C56" s="94"/>
      <c r="D56" s="94"/>
      <c r="E56" s="94"/>
      <c r="F56" s="94"/>
      <c r="G56" s="94"/>
      <c r="H56" s="94"/>
      <c r="I56" s="255" t="s">
        <v>573</v>
      </c>
      <c r="J56" s="255"/>
      <c r="K56" s="255"/>
      <c r="L56" s="255"/>
      <c r="M56" s="255"/>
      <c r="N56" s="255"/>
      <c r="O56" s="255"/>
      <c r="P56" s="255"/>
    </row>
    <row r="57" spans="1:19">
      <c r="A57" s="94"/>
      <c r="B57" s="94"/>
      <c r="C57" s="94"/>
      <c r="D57" s="94"/>
      <c r="E57" s="94"/>
      <c r="F57" s="94"/>
      <c r="G57" s="94"/>
      <c r="H57" s="94"/>
      <c r="I57" s="958" t="s">
        <v>576</v>
      </c>
      <c r="J57" s="255"/>
      <c r="K57" s="958" t="s">
        <v>2113</v>
      </c>
      <c r="L57" s="255"/>
      <c r="M57" s="958" t="s">
        <v>2114</v>
      </c>
      <c r="N57" s="958"/>
      <c r="O57" s="255"/>
      <c r="P57" s="958" t="s">
        <v>419</v>
      </c>
    </row>
    <row r="58" spans="1:19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</row>
    <row r="59" spans="1:19">
      <c r="A59" s="94"/>
      <c r="B59" s="94"/>
      <c r="C59" s="94"/>
      <c r="D59" s="94"/>
      <c r="E59" s="94"/>
      <c r="F59" s="94"/>
      <c r="G59" s="94"/>
      <c r="H59" s="94"/>
      <c r="I59" s="126">
        <v>1</v>
      </c>
      <c r="J59" s="94"/>
      <c r="K59" s="734" t="s">
        <v>353</v>
      </c>
      <c r="L59" s="94"/>
      <c r="M59" s="94"/>
      <c r="N59" s="94"/>
      <c r="P59" s="2345"/>
    </row>
    <row r="60" spans="1:19" ht="15">
      <c r="A60" s="94"/>
      <c r="B60" s="94"/>
      <c r="C60" s="94"/>
      <c r="D60" s="94"/>
      <c r="E60" s="94"/>
      <c r="F60" s="94"/>
      <c r="G60" s="94"/>
      <c r="H60" s="94"/>
      <c r="I60" s="126">
        <f>I59+1</f>
        <v>2</v>
      </c>
      <c r="J60" s="94"/>
      <c r="K60" s="94" t="s">
        <v>2115</v>
      </c>
      <c r="M60" s="94" t="s">
        <v>2116</v>
      </c>
      <c r="P60" s="2346">
        <v>74312</v>
      </c>
      <c r="Q60" s="679"/>
      <c r="R60" s="1428"/>
    </row>
    <row r="61" spans="1:19" ht="15">
      <c r="A61" s="94"/>
      <c r="B61" s="94"/>
      <c r="C61" s="94"/>
      <c r="D61" s="94"/>
      <c r="E61" s="94"/>
      <c r="F61" s="94"/>
      <c r="G61" s="94"/>
      <c r="H61" s="94"/>
      <c r="I61" s="126">
        <f t="shared" ref="I61:I78" si="0">I60+1</f>
        <v>3</v>
      </c>
      <c r="J61" s="94"/>
      <c r="K61" s="198" t="s">
        <v>2117</v>
      </c>
      <c r="M61" s="94"/>
      <c r="N61" s="94"/>
      <c r="P61" s="2347">
        <f>SUM(P60:P60)</f>
        <v>74312</v>
      </c>
      <c r="R61" s="1298"/>
    </row>
    <row r="62" spans="1:19">
      <c r="A62" s="94"/>
      <c r="B62" s="94"/>
      <c r="C62" s="94"/>
      <c r="D62" s="94"/>
      <c r="E62" s="94"/>
      <c r="F62" s="94"/>
      <c r="G62" s="94"/>
      <c r="H62" s="94"/>
      <c r="I62" s="126">
        <f t="shared" si="0"/>
        <v>4</v>
      </c>
      <c r="J62" s="94"/>
      <c r="K62" s="94"/>
      <c r="M62" s="94"/>
      <c r="N62" s="94"/>
      <c r="R62" s="811"/>
    </row>
    <row r="63" spans="1:19">
      <c r="A63" s="94"/>
      <c r="B63" s="94"/>
      <c r="C63" s="94"/>
      <c r="D63" s="94"/>
      <c r="E63" s="94"/>
      <c r="F63" s="94"/>
      <c r="G63" s="94"/>
      <c r="H63" s="94"/>
      <c r="I63" s="126">
        <f t="shared" si="0"/>
        <v>5</v>
      </c>
      <c r="J63" s="94"/>
      <c r="K63" s="734" t="s">
        <v>2109</v>
      </c>
      <c r="M63" s="94"/>
      <c r="N63" s="94"/>
      <c r="R63" s="811"/>
    </row>
    <row r="64" spans="1:19">
      <c r="A64" s="94"/>
      <c r="B64" s="94"/>
      <c r="C64" s="94"/>
      <c r="D64" s="94"/>
      <c r="E64" s="94"/>
      <c r="F64" s="94"/>
      <c r="G64" s="94"/>
      <c r="H64" s="94"/>
      <c r="I64" s="126">
        <f t="shared" si="0"/>
        <v>6</v>
      </c>
      <c r="J64" s="94"/>
      <c r="K64" s="94" t="s">
        <v>2118</v>
      </c>
      <c r="M64" s="94" t="s">
        <v>2119</v>
      </c>
      <c r="N64" s="94"/>
      <c r="P64" s="2345">
        <v>493363</v>
      </c>
      <c r="R64" s="811"/>
      <c r="S64" s="1636"/>
    </row>
    <row r="65" spans="1:19">
      <c r="A65" s="94"/>
      <c r="B65" s="94"/>
      <c r="C65" s="94"/>
      <c r="D65" s="94"/>
      <c r="E65" s="94"/>
      <c r="F65" s="94"/>
      <c r="G65" s="94"/>
      <c r="H65" s="94"/>
      <c r="I65" s="126">
        <f t="shared" si="0"/>
        <v>7</v>
      </c>
      <c r="J65" s="94"/>
      <c r="K65" s="94" t="s">
        <v>2120</v>
      </c>
      <c r="M65" s="94" t="s">
        <v>2121</v>
      </c>
      <c r="N65" s="94"/>
      <c r="P65" s="643">
        <v>3425836</v>
      </c>
      <c r="R65" s="811"/>
      <c r="S65" s="1636"/>
    </row>
    <row r="66" spans="1:19">
      <c r="A66" s="94"/>
      <c r="B66" s="94"/>
      <c r="C66" s="94"/>
      <c r="D66" s="94"/>
      <c r="E66" s="94"/>
      <c r="F66" s="94"/>
      <c r="G66" s="94"/>
      <c r="H66" s="94"/>
      <c r="I66" s="126">
        <f t="shared" si="0"/>
        <v>8</v>
      </c>
      <c r="J66" s="94"/>
      <c r="K66" s="94" t="s">
        <v>2122</v>
      </c>
      <c r="M66" s="94" t="s">
        <v>2123</v>
      </c>
      <c r="N66" s="94"/>
      <c r="P66" s="643">
        <v>127383</v>
      </c>
      <c r="R66" s="811"/>
      <c r="S66" s="1636"/>
    </row>
    <row r="67" spans="1:19">
      <c r="A67" s="94"/>
      <c r="B67" s="94"/>
      <c r="C67" s="94"/>
      <c r="D67" s="94"/>
      <c r="E67" s="94"/>
      <c r="F67" s="94"/>
      <c r="G67" s="94"/>
      <c r="H67" s="94"/>
      <c r="I67" s="126">
        <f t="shared" si="0"/>
        <v>9</v>
      </c>
      <c r="J67" s="94"/>
      <c r="K67" s="94" t="s">
        <v>2124</v>
      </c>
      <c r="M67" s="94" t="s">
        <v>2125</v>
      </c>
      <c r="N67" s="94"/>
      <c r="P67" s="643">
        <v>1145552</v>
      </c>
      <c r="R67" s="811"/>
      <c r="S67" s="1636"/>
    </row>
    <row r="68" spans="1:19">
      <c r="A68" s="94"/>
      <c r="B68" s="94"/>
      <c r="C68" s="94"/>
      <c r="D68" s="94"/>
      <c r="E68" s="94"/>
      <c r="F68" s="94"/>
      <c r="G68" s="94"/>
      <c r="H68" s="94"/>
      <c r="I68" s="126">
        <f t="shared" si="0"/>
        <v>10</v>
      </c>
      <c r="J68" s="94"/>
      <c r="K68" s="94" t="s">
        <v>2126</v>
      </c>
      <c r="M68" s="94" t="s">
        <v>2127</v>
      </c>
      <c r="N68" s="94"/>
      <c r="P68" s="643">
        <v>135173</v>
      </c>
      <c r="R68" s="811"/>
      <c r="S68" s="1636"/>
    </row>
    <row r="69" spans="1:19">
      <c r="A69" s="94"/>
      <c r="B69" s="94"/>
      <c r="C69" s="94"/>
      <c r="D69" s="94"/>
      <c r="E69" s="94"/>
      <c r="F69" s="94"/>
      <c r="G69" s="94"/>
      <c r="H69" s="94"/>
      <c r="I69" s="126">
        <f t="shared" si="0"/>
        <v>11</v>
      </c>
      <c r="J69" s="94"/>
      <c r="K69" s="94" t="s">
        <v>2128</v>
      </c>
      <c r="M69" s="94" t="s">
        <v>2129</v>
      </c>
      <c r="N69" s="94"/>
      <c r="P69" s="643">
        <v>792156</v>
      </c>
      <c r="R69" s="811"/>
      <c r="S69" s="1636"/>
    </row>
    <row r="70" spans="1:19" ht="15">
      <c r="A70" s="94"/>
      <c r="B70" s="94"/>
      <c r="C70" s="94"/>
      <c r="D70" s="94"/>
      <c r="E70" s="94"/>
      <c r="F70" s="94"/>
      <c r="G70" s="94"/>
      <c r="H70" s="94"/>
      <c r="I70" s="126">
        <f t="shared" si="0"/>
        <v>12</v>
      </c>
      <c r="J70" s="94"/>
      <c r="K70" s="94" t="s">
        <v>2115</v>
      </c>
      <c r="M70" s="94" t="s">
        <v>2116</v>
      </c>
      <c r="N70" s="94"/>
      <c r="P70" s="2348">
        <v>2163774</v>
      </c>
      <c r="R70" s="811"/>
      <c r="S70" s="1636"/>
    </row>
    <row r="71" spans="1:19" ht="15">
      <c r="A71" s="94"/>
      <c r="B71" s="94"/>
      <c r="C71" s="94"/>
      <c r="D71" s="94"/>
      <c r="E71" s="94"/>
      <c r="F71" s="94"/>
      <c r="G71" s="94"/>
      <c r="H71" s="94"/>
      <c r="I71" s="126">
        <f t="shared" si="0"/>
        <v>13</v>
      </c>
      <c r="J71" s="94"/>
      <c r="K71" s="198" t="s">
        <v>2130</v>
      </c>
      <c r="L71" s="94"/>
      <c r="M71" s="94"/>
      <c r="N71" s="94"/>
      <c r="P71" s="2347">
        <f>SUM(P64:P70)</f>
        <v>8283237</v>
      </c>
      <c r="R71" s="1298"/>
    </row>
    <row r="72" spans="1:19">
      <c r="A72" s="94"/>
      <c r="B72" s="94"/>
      <c r="C72" s="94"/>
      <c r="D72" s="94"/>
      <c r="E72" s="94"/>
      <c r="F72" s="94"/>
      <c r="G72" s="94"/>
      <c r="H72" s="94"/>
      <c r="I72" s="126">
        <f t="shared" si="0"/>
        <v>14</v>
      </c>
      <c r="J72" s="94"/>
      <c r="K72" s="94"/>
      <c r="L72" s="94"/>
      <c r="M72" s="169"/>
      <c r="N72" s="169"/>
      <c r="P72" s="29"/>
      <c r="R72" s="811"/>
    </row>
    <row r="73" spans="1:19">
      <c r="A73" s="94"/>
      <c r="B73" s="94"/>
      <c r="C73" s="94"/>
      <c r="D73" s="94"/>
      <c r="E73" s="94"/>
      <c r="F73" s="94"/>
      <c r="G73" s="94"/>
      <c r="H73" s="94"/>
      <c r="I73" s="126">
        <f t="shared" si="0"/>
        <v>15</v>
      </c>
      <c r="J73" s="94"/>
      <c r="K73" s="734" t="s">
        <v>2110</v>
      </c>
      <c r="L73" s="94"/>
      <c r="M73" s="169"/>
      <c r="N73" s="169"/>
      <c r="P73" s="2345"/>
      <c r="R73" s="811"/>
    </row>
    <row r="74" spans="1:19">
      <c r="A74" s="94"/>
      <c r="B74" s="94"/>
      <c r="C74" s="94"/>
      <c r="D74" s="94"/>
      <c r="E74" s="94"/>
      <c r="F74" s="94"/>
      <c r="G74" s="94"/>
      <c r="H74" s="94"/>
      <c r="I74" s="126">
        <f t="shared" si="0"/>
        <v>16</v>
      </c>
      <c r="J74" s="94"/>
      <c r="K74" s="94" t="s">
        <v>2126</v>
      </c>
      <c r="M74" s="94" t="s">
        <v>2127</v>
      </c>
      <c r="N74" s="169"/>
      <c r="P74" s="2345">
        <v>12975</v>
      </c>
      <c r="R74" s="811"/>
    </row>
    <row r="75" spans="1:19" ht="15">
      <c r="A75" s="94"/>
      <c r="B75" s="94"/>
      <c r="C75" s="94"/>
      <c r="D75" s="94"/>
      <c r="E75" s="94"/>
      <c r="F75" s="94"/>
      <c r="G75" s="94"/>
      <c r="H75" s="94"/>
      <c r="I75" s="126">
        <f t="shared" si="0"/>
        <v>17</v>
      </c>
      <c r="J75" s="94"/>
      <c r="K75" s="94" t="s">
        <v>2115</v>
      </c>
      <c r="M75" s="94" t="s">
        <v>2116</v>
      </c>
      <c r="N75" s="169"/>
      <c r="P75" s="2348">
        <v>291036</v>
      </c>
      <c r="R75" s="811"/>
    </row>
    <row r="76" spans="1:19" ht="15">
      <c r="A76" s="94"/>
      <c r="B76" s="94"/>
      <c r="C76" s="94"/>
      <c r="D76" s="94"/>
      <c r="E76" s="94"/>
      <c r="F76" s="94"/>
      <c r="G76" s="94"/>
      <c r="H76" s="94"/>
      <c r="I76" s="126">
        <f t="shared" si="0"/>
        <v>18</v>
      </c>
      <c r="J76" s="94"/>
      <c r="K76" s="94" t="s">
        <v>2131</v>
      </c>
      <c r="L76" s="94"/>
      <c r="M76" s="169"/>
      <c r="N76" s="169"/>
      <c r="P76" s="2347">
        <f>SUM(P74:P75)</f>
        <v>304011</v>
      </c>
      <c r="R76" s="1298"/>
    </row>
    <row r="77" spans="1:19">
      <c r="A77" s="94"/>
      <c r="B77" s="94"/>
      <c r="C77" s="94"/>
      <c r="D77" s="94"/>
      <c r="E77" s="94"/>
      <c r="F77" s="94"/>
      <c r="G77" s="94"/>
      <c r="H77" s="94"/>
      <c r="I77" s="126">
        <f t="shared" si="0"/>
        <v>19</v>
      </c>
      <c r="J77" s="94"/>
      <c r="K77" s="94"/>
      <c r="L77" s="94"/>
      <c r="M77" s="169"/>
      <c r="N77" s="169"/>
      <c r="R77" s="811"/>
    </row>
    <row r="78" spans="1:19" ht="15">
      <c r="A78" s="94"/>
      <c r="B78" s="94"/>
      <c r="C78" s="94"/>
      <c r="D78" s="94"/>
      <c r="E78" s="94"/>
      <c r="F78" s="94"/>
      <c r="G78" s="94"/>
      <c r="H78" s="94"/>
      <c r="I78" s="126">
        <f t="shared" si="0"/>
        <v>20</v>
      </c>
      <c r="J78" s="94"/>
      <c r="K78" s="94" t="s">
        <v>2132</v>
      </c>
      <c r="L78" s="94"/>
      <c r="M78" s="169"/>
      <c r="N78" s="169"/>
      <c r="P78" s="2347">
        <f>P76+P71+P61</f>
        <v>8661560</v>
      </c>
      <c r="R78" s="1298"/>
    </row>
    <row r="79" spans="1:19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169"/>
      <c r="N79" s="169"/>
    </row>
    <row r="80" spans="1:19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169"/>
      <c r="N80" s="169"/>
    </row>
    <row r="81" spans="1:14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169"/>
      <c r="N81" s="169"/>
    </row>
    <row r="82" spans="1:14">
      <c r="A82" s="94"/>
      <c r="B82" s="94"/>
      <c r="C82" s="94"/>
      <c r="D82" s="94"/>
      <c r="E82" s="94"/>
      <c r="F82" s="94"/>
      <c r="G82" s="94"/>
      <c r="H82" s="94"/>
      <c r="I82" s="94"/>
      <c r="J82" s="94"/>
      <c r="L82" s="94"/>
      <c r="M82" s="169"/>
      <c r="N82" s="169"/>
    </row>
    <row r="83" spans="1:14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169"/>
      <c r="N83" s="169"/>
    </row>
    <row r="84" spans="1:14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169"/>
      <c r="N84" s="169"/>
    </row>
    <row r="85" spans="1:14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169"/>
      <c r="N85" s="169"/>
    </row>
    <row r="86" spans="1:14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169"/>
      <c r="N86" s="169"/>
    </row>
    <row r="87" spans="1:14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169"/>
      <c r="N87" s="169"/>
    </row>
    <row r="88" spans="1:14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169"/>
      <c r="N88" s="169"/>
    </row>
    <row r="89" spans="1:14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169"/>
      <c r="N89" s="169"/>
    </row>
    <row r="90" spans="1:14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169"/>
      <c r="N90" s="169"/>
    </row>
    <row r="91" spans="1:14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169"/>
      <c r="N91" s="169"/>
    </row>
    <row r="92" spans="1:14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169"/>
      <c r="N92" s="169"/>
    </row>
    <row r="93" spans="1:14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169"/>
      <c r="N93" s="169"/>
    </row>
    <row r="94" spans="1:14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</row>
    <row r="95" spans="1:14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</row>
    <row r="96" spans="1:14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</row>
    <row r="97" spans="1:14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</row>
    <row r="98" spans="1:14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</row>
    <row r="99" spans="1:14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</row>
    <row r="100" spans="1:14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</row>
    <row r="101" spans="1:14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</row>
    <row r="102" spans="1:14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</row>
    <row r="103" spans="1:14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</row>
    <row r="104" spans="1:14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</row>
    <row r="105" spans="1:14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</row>
    <row r="106" spans="1:14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</row>
    <row r="107" spans="1:14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</row>
    <row r="108" spans="1:14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</row>
    <row r="109" spans="1:14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</row>
    <row r="110" spans="1:14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</row>
    <row r="111" spans="1:14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</row>
    <row r="112" spans="1:14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</row>
    <row r="113" spans="1:14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</row>
    <row r="114" spans="1:14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</row>
    <row r="115" spans="1:14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</row>
    <row r="116" spans="1:14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</row>
    <row r="117" spans="1:14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</row>
    <row r="118" spans="1:14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</row>
    <row r="119" spans="1:14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</row>
    <row r="120" spans="1:14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</row>
    <row r="121" spans="1:14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</row>
    <row r="122" spans="1:14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</row>
    <row r="123" spans="1:14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</row>
    <row r="124" spans="1:14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</row>
    <row r="125" spans="1:14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</row>
    <row r="126" spans="1:14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</row>
    <row r="127" spans="1:14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</row>
    <row r="128" spans="1:14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126"/>
      <c r="L128" s="126"/>
      <c r="M128" s="94"/>
      <c r="N128" s="94"/>
    </row>
    <row r="129" spans="1:14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7"/>
      <c r="L129" s="97"/>
      <c r="M129" s="97"/>
      <c r="N129" s="97"/>
    </row>
    <row r="130" spans="1:14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7"/>
      <c r="N130" s="97"/>
    </row>
  </sheetData>
  <phoneticPr fontId="19" type="noConversion"/>
  <pageMargins left="1" right="0.75" top="1" bottom="1" header="0.5" footer="0.5"/>
  <pageSetup orientation="portrait" verticalDpi="30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9">
    <tabColor theme="7" tint="-0.249977111117893"/>
    <pageSetUpPr fitToPage="1"/>
  </sheetPr>
  <dimension ref="A1:V128"/>
  <sheetViews>
    <sheetView workbookViewId="0"/>
  </sheetViews>
  <sheetFormatPr defaultColWidth="8" defaultRowHeight="13.2"/>
  <cols>
    <col min="1" max="2" width="16.44140625" customWidth="1"/>
    <col min="3" max="3" width="12.44140625" customWidth="1"/>
    <col min="4" max="4" width="13.44140625" customWidth="1"/>
    <col min="5" max="5" width="8.5546875" customWidth="1"/>
    <col min="6" max="6" width="8" customWidth="1"/>
    <col min="7" max="7" width="17.44140625" customWidth="1"/>
    <col min="8" max="8" width="17.5546875" customWidth="1"/>
    <col min="9" max="9" width="5.44140625" customWidth="1"/>
    <col min="10" max="10" width="6.44140625" customWidth="1"/>
    <col min="11" max="11" width="1.5546875" customWidth="1"/>
    <col min="12" max="12" width="28" customWidth="1"/>
    <col min="13" max="13" width="12.44140625" customWidth="1"/>
    <col min="14" max="14" width="32.5546875" customWidth="1"/>
    <col min="15" max="15" width="2.5546875" customWidth="1"/>
    <col min="16" max="16" width="16.44140625" customWidth="1"/>
    <col min="17" max="17" width="2.5546875" customWidth="1"/>
    <col min="18" max="18" width="16.44140625" customWidth="1"/>
    <col min="19" max="19" width="5.5546875" customWidth="1"/>
    <col min="20" max="20" width="8" customWidth="1"/>
    <col min="21" max="21" width="14.5546875" customWidth="1"/>
    <col min="22" max="23" width="13.5546875" customWidth="1"/>
    <col min="24" max="25" width="12.44140625" customWidth="1"/>
  </cols>
  <sheetData>
    <row r="1" spans="1:22">
      <c r="A1" s="968" t="str">
        <f>LOGO!B5</f>
        <v>DUKE ENERGY KENTUCKY, INC.</v>
      </c>
      <c r="B1" s="968"/>
      <c r="C1" s="968"/>
      <c r="D1" s="968"/>
      <c r="E1" s="968"/>
      <c r="F1" s="968"/>
      <c r="G1" s="968"/>
      <c r="H1" s="968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</row>
    <row r="2" spans="1:22">
      <c r="A2" s="968" t="str">
        <f>LOGO!B6</f>
        <v>CASE NO. 2024-00354</v>
      </c>
      <c r="B2" s="968"/>
      <c r="C2" s="968"/>
      <c r="D2" s="968"/>
      <c r="E2" s="968"/>
      <c r="F2" s="968"/>
      <c r="G2" s="968"/>
      <c r="H2" s="968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</row>
    <row r="3" spans="1:22">
      <c r="A3" s="968" t="s">
        <v>2133</v>
      </c>
      <c r="B3" s="968"/>
      <c r="C3" s="968"/>
      <c r="D3" s="968"/>
      <c r="E3" s="968"/>
      <c r="F3" s="968"/>
      <c r="G3" s="968"/>
      <c r="H3" s="968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</row>
    <row r="4" spans="1:22">
      <c r="A4" s="968" t="str">
        <f>LOGO!B8</f>
        <v>FOR THE TWELVE MONTHS ENDED JUNE 30, 2026</v>
      </c>
      <c r="B4" s="968"/>
      <c r="C4" s="968"/>
      <c r="D4" s="968"/>
      <c r="E4" s="968"/>
      <c r="F4" s="968"/>
      <c r="G4" s="968"/>
      <c r="H4" s="968"/>
      <c r="I4" s="597"/>
      <c r="J4" s="597"/>
      <c r="K4" s="597"/>
      <c r="L4" s="1424"/>
      <c r="M4" s="597"/>
      <c r="N4" s="597"/>
      <c r="O4" s="597"/>
      <c r="P4" s="597"/>
      <c r="Q4" s="597"/>
      <c r="R4" s="597"/>
      <c r="S4" s="597"/>
      <c r="T4" s="597"/>
      <c r="U4" s="597"/>
      <c r="V4" s="597"/>
    </row>
    <row r="5" spans="1:22">
      <c r="A5" s="597"/>
      <c r="B5" s="597"/>
      <c r="C5" s="597"/>
      <c r="D5" s="597"/>
      <c r="E5" s="597"/>
      <c r="F5" s="597"/>
      <c r="G5" s="597"/>
      <c r="H5" s="597"/>
      <c r="I5" s="597"/>
      <c r="J5" s="597"/>
      <c r="K5" s="597"/>
      <c r="L5" s="597"/>
      <c r="M5" s="597"/>
      <c r="N5" s="597"/>
      <c r="O5" s="597"/>
      <c r="P5" s="597"/>
      <c r="Q5" s="597"/>
      <c r="R5" s="597"/>
      <c r="S5" s="597"/>
      <c r="T5" s="597"/>
      <c r="U5" s="597"/>
      <c r="V5" s="597"/>
    </row>
    <row r="6" spans="1:22">
      <c r="A6" s="597" t="str">
        <f>DataF</f>
        <v>DATA:  BASE PERIOD  "X" FORECASTED PERIOD</v>
      </c>
      <c r="B6" s="597"/>
      <c r="C6" s="597"/>
      <c r="D6" s="597"/>
      <c r="E6" s="597"/>
      <c r="F6" s="597"/>
      <c r="G6" s="996" t="s">
        <v>2134</v>
      </c>
      <c r="H6" s="597"/>
      <c r="I6" s="597"/>
      <c r="J6" s="597"/>
      <c r="K6" s="597"/>
      <c r="L6" s="597"/>
      <c r="M6" s="597"/>
      <c r="N6" s="597"/>
      <c r="O6" s="597"/>
      <c r="P6" s="597"/>
      <c r="Q6" s="597"/>
      <c r="R6" s="597"/>
      <c r="S6" s="597"/>
      <c r="T6" s="597"/>
      <c r="U6" s="597"/>
      <c r="V6" s="597"/>
    </row>
    <row r="7" spans="1:22">
      <c r="A7" s="597" t="str">
        <f>LOGO!B15</f>
        <v xml:space="preserve">TYPE OF FILING:  "X" ORIGINAL   UPDATED    REVISED  </v>
      </c>
      <c r="B7" s="597"/>
      <c r="C7" s="597"/>
      <c r="D7" s="597"/>
      <c r="E7" s="597"/>
      <c r="F7" s="597"/>
      <c r="G7" s="996" t="s">
        <v>1855</v>
      </c>
      <c r="H7" s="597"/>
      <c r="I7" s="597"/>
      <c r="J7" s="597"/>
      <c r="K7" s="597"/>
      <c r="L7" s="597"/>
      <c r="M7" s="597"/>
      <c r="N7" s="597"/>
      <c r="O7" s="597"/>
      <c r="P7" s="597"/>
      <c r="Q7" s="597"/>
      <c r="R7" s="597"/>
      <c r="S7" s="597"/>
      <c r="T7" s="597"/>
      <c r="U7" s="597"/>
      <c r="V7" s="597"/>
    </row>
    <row r="8" spans="1:22">
      <c r="A8" s="733" t="s">
        <v>2135</v>
      </c>
      <c r="B8" s="597"/>
      <c r="C8" s="597"/>
      <c r="D8" s="597"/>
      <c r="E8" s="597"/>
      <c r="F8" s="597"/>
      <c r="G8" s="996" t="s">
        <v>1727</v>
      </c>
      <c r="H8" s="597"/>
      <c r="I8" s="597"/>
      <c r="J8" s="597"/>
      <c r="K8" s="597"/>
      <c r="L8" s="597"/>
      <c r="M8" s="597"/>
      <c r="N8" s="597"/>
      <c r="O8" s="597"/>
      <c r="P8" s="597"/>
      <c r="Q8" s="597"/>
      <c r="R8" s="597"/>
      <c r="S8" s="597"/>
      <c r="T8" s="597"/>
      <c r="U8" s="597"/>
      <c r="V8" s="597"/>
    </row>
    <row r="9" spans="1:22">
      <c r="A9" s="597"/>
      <c r="B9" s="597"/>
      <c r="C9" s="597"/>
      <c r="D9" s="597"/>
      <c r="E9" s="597"/>
      <c r="F9" s="597"/>
      <c r="G9" s="733" t="str">
        <f>"          "&amp;_WIT1</f>
        <v xml:space="preserve">          L. D. STEINKUHL</v>
      </c>
      <c r="H9" s="597"/>
      <c r="I9" s="597"/>
      <c r="J9" s="597"/>
      <c r="K9" s="597"/>
      <c r="L9" s="597"/>
      <c r="M9" s="597"/>
      <c r="N9" s="597"/>
      <c r="O9" s="597"/>
      <c r="P9" s="597"/>
      <c r="Q9" s="597"/>
      <c r="R9" s="597"/>
      <c r="S9" s="597"/>
      <c r="T9" s="597"/>
      <c r="U9" s="597"/>
      <c r="V9" s="597"/>
    </row>
    <row r="10" spans="1:22">
      <c r="A10" s="1510"/>
      <c r="B10" s="1510"/>
      <c r="C10" s="1510"/>
      <c r="D10" s="1510"/>
      <c r="E10" s="1510"/>
      <c r="F10" s="1510"/>
      <c r="G10" s="1510"/>
      <c r="H10" s="1510"/>
      <c r="I10" s="597"/>
      <c r="J10" s="597"/>
      <c r="K10" s="597"/>
      <c r="L10" s="597"/>
      <c r="M10" s="597"/>
      <c r="N10" s="597"/>
      <c r="O10" s="597"/>
      <c r="P10" s="597"/>
      <c r="Q10" s="597"/>
      <c r="R10" s="597"/>
      <c r="S10" s="597"/>
      <c r="T10" s="597"/>
      <c r="U10" s="597"/>
      <c r="V10" s="597"/>
    </row>
    <row r="11" spans="1:22">
      <c r="A11" s="597"/>
      <c r="B11" s="597"/>
      <c r="C11" s="597"/>
      <c r="D11" s="597"/>
      <c r="E11" s="597"/>
      <c r="F11" s="597"/>
      <c r="G11" s="597"/>
      <c r="H11" s="597"/>
      <c r="I11" s="597"/>
      <c r="J11" s="597"/>
      <c r="K11" s="597"/>
      <c r="L11" s="597"/>
      <c r="M11" s="597"/>
      <c r="N11" s="597"/>
      <c r="O11" s="597"/>
      <c r="P11" s="597"/>
      <c r="Q11" s="597"/>
      <c r="R11" s="597"/>
      <c r="S11" s="597"/>
      <c r="T11" s="597"/>
      <c r="U11" s="597"/>
      <c r="V11" s="597"/>
    </row>
    <row r="12" spans="1:22">
      <c r="A12" s="733" t="s">
        <v>1857</v>
      </c>
      <c r="B12" s="597"/>
      <c r="C12" s="597"/>
      <c r="D12" s="597"/>
      <c r="E12" s="597"/>
      <c r="F12" s="597"/>
      <c r="G12" s="597"/>
      <c r="H12" s="701" t="s">
        <v>975</v>
      </c>
      <c r="I12" s="597"/>
      <c r="J12" s="597"/>
      <c r="K12" s="597"/>
      <c r="L12" s="597"/>
      <c r="M12" s="597"/>
      <c r="N12" s="597"/>
      <c r="O12" s="597"/>
      <c r="P12" s="597"/>
      <c r="Q12" s="597"/>
      <c r="R12" s="597"/>
      <c r="S12" s="597"/>
      <c r="T12" s="597"/>
      <c r="U12" s="597"/>
      <c r="V12" s="597"/>
    </row>
    <row r="13" spans="1:22">
      <c r="A13" s="1510"/>
      <c r="B13" s="1510"/>
      <c r="C13" s="1510"/>
      <c r="D13" s="1510"/>
      <c r="E13" s="1510"/>
      <c r="F13" s="1510"/>
      <c r="G13" s="1510"/>
      <c r="H13" s="1510"/>
      <c r="I13" s="597"/>
      <c r="J13" s="597"/>
      <c r="K13" s="597"/>
      <c r="L13" s="597"/>
      <c r="M13" s="597"/>
      <c r="N13" s="597"/>
      <c r="O13" s="597"/>
      <c r="P13" s="597"/>
      <c r="Q13" s="597"/>
      <c r="R13" s="597"/>
      <c r="S13" s="597"/>
      <c r="T13" s="597"/>
      <c r="U13" s="597"/>
      <c r="V13" s="597"/>
    </row>
    <row r="14" spans="1:22">
      <c r="A14" s="597"/>
      <c r="B14" s="597"/>
      <c r="C14" s="597"/>
      <c r="D14" s="597"/>
      <c r="E14" s="597"/>
      <c r="F14" s="597"/>
      <c r="G14" s="597"/>
      <c r="H14" s="597"/>
      <c r="I14" s="597"/>
      <c r="J14" s="597"/>
      <c r="K14" s="597"/>
      <c r="L14" s="597"/>
      <c r="M14" s="597"/>
      <c r="N14" s="597"/>
      <c r="O14" s="597"/>
      <c r="P14" s="597"/>
      <c r="Q14" s="597"/>
      <c r="R14" s="597"/>
      <c r="S14" s="597"/>
      <c r="T14" s="597"/>
      <c r="U14" s="597"/>
      <c r="V14" s="597"/>
    </row>
    <row r="15" spans="1:22">
      <c r="A15" s="169" t="s">
        <v>2136</v>
      </c>
      <c r="B15" s="597"/>
      <c r="C15" s="597"/>
      <c r="D15" s="597"/>
      <c r="E15" s="597"/>
      <c r="F15" s="597"/>
      <c r="G15" s="597"/>
      <c r="H15" s="597"/>
      <c r="I15" s="597"/>
      <c r="J15" s="597"/>
      <c r="K15" s="597"/>
      <c r="L15" s="597"/>
      <c r="M15" s="597"/>
      <c r="N15" s="597"/>
      <c r="O15" s="597"/>
      <c r="P15" s="597"/>
      <c r="Q15" s="597"/>
      <c r="R15" s="597"/>
      <c r="S15" s="597"/>
      <c r="T15" s="597"/>
      <c r="U15" s="597"/>
      <c r="V15" s="597"/>
    </row>
    <row r="16" spans="1:22">
      <c r="A16" s="169" t="s">
        <v>2137</v>
      </c>
      <c r="B16" s="597"/>
      <c r="C16" s="597"/>
      <c r="D16" s="597"/>
      <c r="E16" s="597"/>
      <c r="F16" s="597"/>
      <c r="G16" s="597"/>
      <c r="H16" s="597"/>
      <c r="I16" s="597"/>
      <c r="J16" s="597"/>
      <c r="K16" s="597"/>
      <c r="L16" s="597"/>
      <c r="M16" s="597"/>
      <c r="N16" s="597"/>
      <c r="O16" s="597"/>
      <c r="P16" s="597"/>
      <c r="Q16" s="597"/>
      <c r="R16" s="597"/>
      <c r="S16" s="597"/>
      <c r="T16" s="597"/>
      <c r="U16" s="597"/>
      <c r="V16" s="597"/>
    </row>
    <row r="17" spans="1:22">
      <c r="A17" s="169"/>
      <c r="B17" s="597"/>
      <c r="C17" s="597"/>
      <c r="D17" s="597"/>
      <c r="E17" s="597"/>
      <c r="F17" s="597"/>
      <c r="G17" s="597"/>
      <c r="H17" s="597"/>
      <c r="I17" s="597"/>
      <c r="J17" s="597"/>
      <c r="K17" s="597"/>
      <c r="L17" s="597"/>
      <c r="M17" s="597"/>
      <c r="N17" s="597"/>
      <c r="O17" s="597"/>
      <c r="P17" s="597"/>
      <c r="Q17" s="597"/>
      <c r="R17" s="597"/>
      <c r="S17" s="597"/>
      <c r="T17" s="597"/>
      <c r="U17" s="597"/>
      <c r="V17" s="597"/>
    </row>
    <row r="18" spans="1:22">
      <c r="A18" s="169"/>
      <c r="B18" s="597"/>
      <c r="C18" s="597"/>
      <c r="D18" s="597"/>
      <c r="E18" s="597"/>
      <c r="F18" s="597"/>
      <c r="G18" s="597"/>
      <c r="H18" s="597"/>
      <c r="I18" s="597"/>
      <c r="J18" s="597"/>
      <c r="K18" s="597"/>
      <c r="L18" s="597"/>
      <c r="M18" s="597"/>
      <c r="N18" s="597"/>
      <c r="O18" s="597"/>
      <c r="P18" s="597"/>
      <c r="Q18" s="597"/>
      <c r="R18" s="597"/>
      <c r="S18" s="597"/>
      <c r="T18" s="597"/>
      <c r="U18" s="597"/>
      <c r="V18" s="597"/>
    </row>
    <row r="19" spans="1:22">
      <c r="A19" s="733"/>
      <c r="B19" s="597"/>
      <c r="C19" s="597"/>
      <c r="D19" s="597"/>
      <c r="E19" s="733"/>
      <c r="F19" s="597"/>
      <c r="G19" s="597"/>
      <c r="H19" s="997"/>
      <c r="I19" s="597"/>
      <c r="J19" s="597"/>
      <c r="K19" s="597"/>
      <c r="L19" s="597"/>
      <c r="M19" s="597"/>
      <c r="N19" s="597"/>
      <c r="O19" s="597"/>
      <c r="P19" s="597"/>
      <c r="Q19" s="597"/>
      <c r="R19" s="597"/>
      <c r="S19" s="597"/>
      <c r="T19" s="597"/>
      <c r="U19" s="597"/>
      <c r="V19" s="597"/>
    </row>
    <row r="20" spans="1:22">
      <c r="A20" s="733" t="s">
        <v>2109</v>
      </c>
      <c r="B20" s="597"/>
      <c r="C20" s="597"/>
      <c r="D20" s="597"/>
      <c r="E20" s="733"/>
      <c r="F20" s="597"/>
      <c r="G20" s="597"/>
      <c r="H20" s="682">
        <f ca="1">R102</f>
        <v>0</v>
      </c>
      <c r="I20" s="597"/>
      <c r="J20" s="597"/>
      <c r="K20" s="597"/>
      <c r="L20" s="597"/>
      <c r="M20" s="597"/>
      <c r="N20" s="597"/>
      <c r="O20" s="597"/>
      <c r="P20" s="597"/>
      <c r="Q20" s="597"/>
      <c r="R20" s="597"/>
      <c r="S20" s="597"/>
      <c r="T20" s="597"/>
      <c r="U20" s="597"/>
      <c r="V20" s="597"/>
    </row>
    <row r="21" spans="1:22">
      <c r="A21" s="733" t="s">
        <v>457</v>
      </c>
      <c r="B21" s="597"/>
      <c r="C21" s="597"/>
      <c r="D21" s="597"/>
      <c r="E21" s="733"/>
      <c r="F21" s="597"/>
      <c r="G21" s="597"/>
      <c r="H21" s="735">
        <f ca="1">R103</f>
        <v>0</v>
      </c>
      <c r="I21" s="597"/>
      <c r="J21" s="597"/>
      <c r="K21" s="597"/>
      <c r="L21" s="597"/>
      <c r="M21" s="597"/>
      <c r="N21" s="597"/>
      <c r="O21" s="597"/>
      <c r="P21" s="597"/>
      <c r="Q21" s="597"/>
      <c r="R21" s="597"/>
      <c r="S21" s="597"/>
      <c r="T21" s="597"/>
      <c r="U21" s="597"/>
      <c r="V21" s="597"/>
    </row>
    <row r="22" spans="1:22">
      <c r="A22" s="733" t="s">
        <v>458</v>
      </c>
      <c r="B22" s="597"/>
      <c r="C22" s="597"/>
      <c r="D22" s="597"/>
      <c r="E22" s="733"/>
      <c r="F22" s="597"/>
      <c r="G22" s="597"/>
      <c r="H22" s="735">
        <f ca="1">R104</f>
        <v>0</v>
      </c>
      <c r="I22" s="597"/>
      <c r="J22" s="597"/>
      <c r="K22" s="597"/>
      <c r="L22" s="597"/>
      <c r="M22" s="597"/>
      <c r="N22" s="597"/>
      <c r="O22" s="597"/>
      <c r="P22" s="597"/>
      <c r="Q22" s="597"/>
      <c r="R22" s="597"/>
      <c r="S22" s="597"/>
      <c r="T22" s="597"/>
      <c r="U22" s="597"/>
      <c r="V22" s="597"/>
    </row>
    <row r="23" spans="1:22">
      <c r="A23" s="733" t="s">
        <v>459</v>
      </c>
      <c r="B23" s="597"/>
      <c r="C23" s="597"/>
      <c r="D23" s="597"/>
      <c r="E23" s="733"/>
      <c r="F23" s="597"/>
      <c r="G23" s="597"/>
      <c r="H23" s="735">
        <f t="shared" ref="H23:H27" ca="1" si="0">R106</f>
        <v>0</v>
      </c>
      <c r="I23" s="597"/>
      <c r="J23" s="597"/>
      <c r="K23" s="597"/>
      <c r="L23" s="597"/>
      <c r="M23" s="597"/>
      <c r="N23" s="597"/>
      <c r="O23" s="597"/>
      <c r="P23" s="597"/>
      <c r="Q23" s="597"/>
      <c r="R23" s="597"/>
      <c r="S23" s="597"/>
      <c r="T23" s="597"/>
      <c r="U23" s="597"/>
      <c r="V23" s="597"/>
    </row>
    <row r="24" spans="1:22">
      <c r="A24" s="733" t="s">
        <v>460</v>
      </c>
      <c r="B24" s="597"/>
      <c r="C24" s="597"/>
      <c r="D24" s="597"/>
      <c r="E24" s="733"/>
      <c r="F24" s="597"/>
      <c r="G24" s="597"/>
      <c r="H24" s="735">
        <f t="shared" ca="1" si="0"/>
        <v>0</v>
      </c>
      <c r="I24" s="597"/>
      <c r="J24" s="597"/>
      <c r="K24" s="597"/>
      <c r="L24" s="597"/>
      <c r="M24" s="597"/>
      <c r="N24" s="597"/>
      <c r="O24" s="597"/>
      <c r="P24" s="597"/>
      <c r="Q24" s="597"/>
      <c r="R24" s="597"/>
      <c r="S24" s="597"/>
      <c r="T24" s="597"/>
      <c r="U24" s="597"/>
      <c r="V24" s="597"/>
    </row>
    <row r="25" spans="1:22">
      <c r="A25" s="733" t="s">
        <v>342</v>
      </c>
      <c r="B25" s="597"/>
      <c r="C25" s="597"/>
      <c r="D25" s="597"/>
      <c r="E25" s="733"/>
      <c r="F25" s="597"/>
      <c r="G25" s="597"/>
      <c r="H25" s="998">
        <f t="shared" ca="1" si="0"/>
        <v>-48911</v>
      </c>
      <c r="I25" s="597"/>
      <c r="J25" s="597"/>
      <c r="K25" s="597"/>
      <c r="L25" s="597"/>
      <c r="M25" s="597"/>
      <c r="N25" s="597"/>
      <c r="O25" s="597"/>
      <c r="P25" s="597"/>
      <c r="Q25" s="597"/>
      <c r="R25" s="597"/>
      <c r="S25" s="597"/>
      <c r="T25" s="597"/>
      <c r="U25" s="597"/>
      <c r="V25" s="597"/>
    </row>
    <row r="26" spans="1:22">
      <c r="A26" s="733" t="s">
        <v>353</v>
      </c>
      <c r="B26" s="597"/>
      <c r="C26" s="597"/>
      <c r="D26" s="597"/>
      <c r="E26" s="733"/>
      <c r="F26" s="597"/>
      <c r="G26" s="597"/>
      <c r="H26" s="735">
        <f t="shared" ca="1" si="0"/>
        <v>0</v>
      </c>
      <c r="I26" s="597"/>
      <c r="J26" s="597"/>
      <c r="K26" s="597"/>
      <c r="L26" s="597"/>
      <c r="M26" s="597"/>
      <c r="N26" s="597"/>
      <c r="O26" s="597"/>
      <c r="P26" s="597"/>
      <c r="Q26" s="597"/>
      <c r="R26" s="597"/>
      <c r="S26" s="597"/>
      <c r="T26" s="597"/>
      <c r="U26" s="597"/>
      <c r="V26" s="597"/>
    </row>
    <row r="27" spans="1:22">
      <c r="A27" s="733" t="s">
        <v>1940</v>
      </c>
      <c r="B27" s="597"/>
      <c r="C27" s="597"/>
      <c r="D27" s="597"/>
      <c r="E27" s="733"/>
      <c r="F27" s="597"/>
      <c r="G27" s="597"/>
      <c r="H27" s="999">
        <f t="shared" ca="1" si="0"/>
        <v>-863674</v>
      </c>
      <c r="I27" s="597"/>
      <c r="J27" s="597"/>
      <c r="K27" s="597"/>
      <c r="L27" s="597"/>
      <c r="M27" s="597"/>
      <c r="N27" s="597"/>
      <c r="O27" s="597"/>
      <c r="P27" s="597"/>
      <c r="Q27" s="597"/>
      <c r="R27" s="597"/>
      <c r="S27" s="597"/>
      <c r="T27" s="597"/>
      <c r="U27" s="597"/>
      <c r="V27" s="597"/>
    </row>
    <row r="28" spans="1:22">
      <c r="A28" s="733" t="s">
        <v>2138</v>
      </c>
      <c r="B28" s="597"/>
      <c r="C28" s="597"/>
      <c r="D28" s="597"/>
      <c r="E28" s="733" t="s">
        <v>1860</v>
      </c>
      <c r="F28" s="597"/>
      <c r="G28" s="597"/>
      <c r="H28" s="682">
        <f ca="1">SUM(H20:H27)</f>
        <v>-912585</v>
      </c>
      <c r="I28" s="597"/>
      <c r="J28" s="597"/>
      <c r="K28" s="597"/>
      <c r="L28" s="597"/>
      <c r="M28" s="597"/>
      <c r="N28" s="597"/>
      <c r="O28" s="597"/>
      <c r="P28" s="597"/>
      <c r="Q28" s="597"/>
      <c r="R28" s="597"/>
      <c r="S28" s="597"/>
      <c r="T28" s="597"/>
      <c r="U28" s="597"/>
      <c r="V28" s="597"/>
    </row>
    <row r="29" spans="1:22">
      <c r="A29" s="597"/>
      <c r="B29" s="597"/>
      <c r="C29" s="597"/>
      <c r="D29" s="597"/>
      <c r="E29" s="597"/>
      <c r="F29" s="597"/>
      <c r="G29" s="597"/>
      <c r="H29" s="998"/>
      <c r="I29" s="597"/>
      <c r="J29" s="597"/>
      <c r="K29" s="597"/>
      <c r="L29" s="597"/>
      <c r="M29" s="597"/>
      <c r="N29" s="597"/>
      <c r="O29" s="597"/>
      <c r="P29" s="597"/>
      <c r="Q29" s="597"/>
      <c r="R29" s="597"/>
      <c r="S29" s="597"/>
      <c r="T29" s="597"/>
      <c r="U29" s="597"/>
      <c r="V29" s="597"/>
    </row>
    <row r="30" spans="1:22">
      <c r="A30" s="733" t="s">
        <v>1862</v>
      </c>
      <c r="B30" s="597"/>
      <c r="C30" s="597"/>
      <c r="D30" s="597"/>
      <c r="E30" s="597"/>
      <c r="F30" s="597"/>
      <c r="G30" s="597"/>
      <c r="H30" s="1000">
        <f>VLOOKUP(C35,ALLOCTABLE,2)/100</f>
        <v>1</v>
      </c>
      <c r="I30" s="597"/>
      <c r="J30" s="597"/>
      <c r="K30" s="597"/>
      <c r="L30" s="597"/>
      <c r="M30" s="597"/>
      <c r="N30" s="597"/>
      <c r="O30" s="597"/>
      <c r="P30" s="597"/>
      <c r="Q30" s="597"/>
      <c r="R30" s="597"/>
      <c r="S30" s="597"/>
      <c r="T30" s="597"/>
      <c r="U30" s="597"/>
      <c r="V30" s="597"/>
    </row>
    <row r="31" spans="1:22">
      <c r="A31" s="597"/>
      <c r="B31" s="597"/>
      <c r="C31" s="597"/>
      <c r="D31" s="597"/>
      <c r="E31" s="597"/>
      <c r="F31" s="597"/>
      <c r="G31" s="597"/>
      <c r="H31" s="597"/>
      <c r="I31" s="597"/>
      <c r="J31" s="597"/>
      <c r="K31" s="597"/>
      <c r="L31" s="597"/>
      <c r="M31" s="597"/>
      <c r="N31" s="597"/>
      <c r="O31" s="597"/>
      <c r="P31" s="597"/>
      <c r="Q31" s="597"/>
      <c r="R31" s="597"/>
      <c r="S31" s="597"/>
      <c r="T31" s="597"/>
      <c r="U31" s="597"/>
      <c r="V31" s="597"/>
    </row>
    <row r="32" spans="1:22" ht="15">
      <c r="A32" s="733" t="s">
        <v>1863</v>
      </c>
      <c r="B32" s="597"/>
      <c r="C32" s="597"/>
      <c r="D32" s="597"/>
      <c r="E32" s="597"/>
      <c r="F32" s="597"/>
      <c r="G32" s="597"/>
      <c r="H32" s="688">
        <f ca="1">ROUND(H28*H30,0)</f>
        <v>-912585</v>
      </c>
      <c r="I32" s="597"/>
      <c r="J32" s="597"/>
      <c r="K32" s="597"/>
      <c r="L32" s="597"/>
      <c r="M32" s="597"/>
      <c r="N32" s="597"/>
      <c r="O32" s="597"/>
      <c r="P32" s="597"/>
      <c r="Q32" s="597"/>
      <c r="R32" s="597"/>
      <c r="S32" s="597"/>
      <c r="T32" s="597"/>
      <c r="U32" s="597"/>
      <c r="V32" s="597"/>
    </row>
    <row r="33" spans="1:22">
      <c r="A33" s="597"/>
      <c r="B33" s="597"/>
      <c r="C33" s="597"/>
      <c r="D33" s="597"/>
      <c r="E33" s="597"/>
      <c r="F33" s="597"/>
      <c r="G33" s="597"/>
      <c r="H33" s="1001"/>
      <c r="I33" s="597"/>
      <c r="J33" s="597"/>
      <c r="K33" s="597"/>
      <c r="L33" s="597"/>
      <c r="M33" s="597"/>
      <c r="N33" s="597"/>
      <c r="O33" s="597"/>
      <c r="P33" s="597"/>
      <c r="Q33" s="597"/>
      <c r="R33" s="597"/>
      <c r="S33" s="597"/>
      <c r="T33" s="597"/>
      <c r="U33" s="597"/>
      <c r="V33" s="597"/>
    </row>
    <row r="34" spans="1:22">
      <c r="A34" s="597"/>
      <c r="B34" s="597"/>
      <c r="C34" s="597"/>
      <c r="D34" s="597"/>
      <c r="E34" s="597"/>
      <c r="F34" s="597"/>
      <c r="G34" s="597"/>
      <c r="H34" s="597"/>
      <c r="I34" s="597"/>
      <c r="J34" s="597"/>
      <c r="K34" s="597"/>
      <c r="L34" s="597"/>
      <c r="M34" s="597"/>
      <c r="N34" s="597"/>
      <c r="O34" s="597"/>
      <c r="P34" s="597"/>
      <c r="Q34" s="597"/>
      <c r="R34" s="597"/>
      <c r="S34" s="597"/>
      <c r="T34" s="597"/>
      <c r="U34" s="597"/>
      <c r="V34" s="597"/>
    </row>
    <row r="35" spans="1:22">
      <c r="A35" s="733" t="s">
        <v>1864</v>
      </c>
      <c r="B35" s="597"/>
      <c r="C35" s="1002" t="s">
        <v>428</v>
      </c>
      <c r="D35" s="597"/>
      <c r="E35" s="597"/>
      <c r="F35" s="597"/>
      <c r="G35" s="597"/>
      <c r="H35" s="597"/>
      <c r="I35" s="597"/>
      <c r="J35" s="597"/>
      <c r="K35" s="597"/>
      <c r="L35" s="597"/>
      <c r="M35" s="597"/>
      <c r="N35" s="597"/>
      <c r="O35" s="597"/>
      <c r="P35" s="597"/>
      <c r="Q35" s="597"/>
      <c r="R35" s="597"/>
      <c r="S35" s="597"/>
      <c r="T35" s="597"/>
      <c r="U35" s="597"/>
      <c r="V35" s="597"/>
    </row>
    <row r="36" spans="1:22">
      <c r="A36" s="733"/>
      <c r="B36" s="597"/>
      <c r="C36" s="597"/>
      <c r="D36" s="597"/>
      <c r="E36" s="597"/>
      <c r="F36" s="597"/>
      <c r="G36" s="597"/>
      <c r="H36" s="597"/>
      <c r="I36" s="597"/>
      <c r="J36" s="597"/>
      <c r="K36" s="597"/>
      <c r="L36" s="597"/>
      <c r="M36" s="597"/>
      <c r="N36" s="597"/>
      <c r="O36" s="597"/>
      <c r="P36" s="597"/>
      <c r="Q36" s="597"/>
      <c r="R36" s="597"/>
      <c r="S36" s="597"/>
      <c r="T36" s="597"/>
      <c r="U36" s="597"/>
      <c r="V36" s="597"/>
    </row>
    <row r="37" spans="1:22">
      <c r="A37" s="597"/>
      <c r="B37" s="597"/>
      <c r="C37" s="597"/>
      <c r="D37" s="597"/>
      <c r="E37" s="597"/>
      <c r="F37" s="597"/>
      <c r="G37" s="597"/>
      <c r="H37" s="682"/>
      <c r="I37" s="597"/>
      <c r="J37" s="597"/>
      <c r="K37" s="597"/>
      <c r="L37" s="597"/>
      <c r="M37" s="597"/>
      <c r="N37" s="597"/>
      <c r="O37" s="597"/>
      <c r="P37" s="597"/>
      <c r="Q37" s="597"/>
      <c r="R37" s="597"/>
      <c r="S37" s="597"/>
      <c r="T37" s="597"/>
      <c r="U37" s="597"/>
      <c r="V37" s="597"/>
    </row>
    <row r="38" spans="1:22">
      <c r="A38" s="597"/>
      <c r="B38" s="597"/>
      <c r="C38" s="597"/>
      <c r="D38" s="597"/>
      <c r="E38" s="597"/>
      <c r="F38" s="597"/>
      <c r="G38" s="597"/>
      <c r="H38" s="1003"/>
      <c r="I38" s="597"/>
      <c r="J38" s="597"/>
      <c r="K38" s="597"/>
      <c r="L38" s="597"/>
      <c r="M38" s="597"/>
      <c r="N38" s="597"/>
      <c r="O38" s="597"/>
      <c r="P38" s="597"/>
      <c r="Q38" s="597"/>
      <c r="R38" s="597"/>
      <c r="S38" s="597"/>
      <c r="T38" s="597"/>
      <c r="U38" s="597"/>
      <c r="V38" s="597"/>
    </row>
    <row r="39" spans="1:22">
      <c r="A39" s="597"/>
      <c r="B39" s="597"/>
      <c r="C39" s="597"/>
      <c r="D39" s="597"/>
      <c r="E39" s="597"/>
      <c r="F39" s="597"/>
      <c r="G39" s="597"/>
      <c r="H39" s="1004"/>
      <c r="I39" s="597"/>
      <c r="J39" s="597"/>
      <c r="K39" s="597"/>
      <c r="L39" s="597"/>
      <c r="M39" s="597"/>
      <c r="N39" s="597"/>
      <c r="O39" s="597"/>
      <c r="P39" s="597"/>
      <c r="Q39" s="597"/>
      <c r="R39" s="597"/>
      <c r="S39" s="597"/>
      <c r="T39" s="597"/>
      <c r="U39" s="597"/>
      <c r="V39" s="597"/>
    </row>
    <row r="40" spans="1:22">
      <c r="A40" s="597"/>
      <c r="B40" s="597"/>
      <c r="C40" s="597"/>
      <c r="D40" s="597"/>
      <c r="E40" s="597"/>
      <c r="F40" s="597"/>
      <c r="G40" s="597"/>
      <c r="H40" s="597"/>
      <c r="I40" s="597"/>
      <c r="J40" s="779" t="str">
        <f>COMPANY</f>
        <v>DUKE ENERGY KENTUCKY, INC.</v>
      </c>
      <c r="K40" s="253"/>
      <c r="L40" s="253"/>
      <c r="M40" s="253"/>
      <c r="N40" s="253"/>
      <c r="O40" s="253"/>
      <c r="P40" s="779" t="s">
        <v>2139</v>
      </c>
      <c r="Q40" s="253"/>
      <c r="R40" s="597"/>
      <c r="S40" s="597"/>
      <c r="T40" s="597"/>
      <c r="U40" s="597"/>
      <c r="V40" s="597"/>
    </row>
    <row r="41" spans="1:22">
      <c r="A41" s="597"/>
      <c r="B41" s="597"/>
      <c r="C41" s="597"/>
      <c r="D41" s="597"/>
      <c r="E41" s="597"/>
      <c r="F41" s="597"/>
      <c r="G41" s="597"/>
      <c r="H41" s="597"/>
      <c r="I41" s="597"/>
      <c r="J41" s="779" t="str">
        <f>DEPT</f>
        <v>ELECTRIC DEPARTMENT</v>
      </c>
      <c r="K41" s="253"/>
      <c r="L41" s="253"/>
      <c r="M41" s="253"/>
      <c r="N41" s="253"/>
      <c r="O41" s="253"/>
      <c r="P41" s="779" t="s">
        <v>1866</v>
      </c>
      <c r="Q41" s="253"/>
      <c r="R41" s="597"/>
      <c r="S41" s="597"/>
      <c r="T41" s="597"/>
      <c r="U41" s="597"/>
      <c r="V41" s="597"/>
    </row>
    <row r="42" spans="1:22">
      <c r="A42" s="597"/>
      <c r="B42" s="597"/>
      <c r="C42" s="597"/>
      <c r="D42" s="597"/>
      <c r="E42" s="597"/>
      <c r="F42" s="597"/>
      <c r="G42" s="597"/>
      <c r="H42" s="597"/>
      <c r="I42" s="597"/>
      <c r="J42" s="779" t="str">
        <f>CASE</f>
        <v>CASE NO. 2024-00354</v>
      </c>
      <c r="K42" s="253"/>
      <c r="L42" s="253"/>
      <c r="M42" s="253"/>
      <c r="N42" s="253"/>
      <c r="O42" s="253"/>
      <c r="P42" s="253" t="str">
        <f>_WIT1</f>
        <v>L. D. STEINKUHL</v>
      </c>
      <c r="Q42" s="253"/>
      <c r="R42" s="597"/>
      <c r="S42" s="597"/>
      <c r="T42" s="597"/>
      <c r="U42" s="597"/>
      <c r="V42" s="597"/>
    </row>
    <row r="43" spans="1:22">
      <c r="A43" s="597"/>
      <c r="B43" s="597"/>
      <c r="C43" s="597"/>
      <c r="D43" s="597"/>
      <c r="E43" s="597"/>
      <c r="F43" s="597"/>
      <c r="G43" s="597"/>
      <c r="H43" s="597"/>
      <c r="I43" s="597"/>
      <c r="J43" s="779" t="str">
        <f>A3</f>
        <v>ELIMINATE MISCELLANEOUS EXPENSES</v>
      </c>
      <c r="K43" s="253"/>
      <c r="L43" s="253"/>
      <c r="M43" s="253"/>
      <c r="N43" s="253"/>
      <c r="O43" s="253"/>
      <c r="P43" s="961"/>
      <c r="Q43" s="253"/>
      <c r="R43" s="597"/>
      <c r="S43" s="597"/>
      <c r="T43" s="597"/>
      <c r="U43" s="597"/>
      <c r="V43" s="597"/>
    </row>
    <row r="44" spans="1:22">
      <c r="A44" s="597"/>
      <c r="B44" s="597"/>
      <c r="C44" s="597"/>
      <c r="D44" s="597"/>
      <c r="E44" s="597"/>
      <c r="F44" s="597"/>
      <c r="G44" s="597"/>
      <c r="H44" s="597"/>
      <c r="I44" s="597"/>
      <c r="J44" s="779"/>
      <c r="K44" s="253"/>
      <c r="L44" s="253"/>
      <c r="M44" s="253"/>
      <c r="N44" s="253"/>
      <c r="O44" s="253"/>
      <c r="P44" s="253"/>
      <c r="Q44" s="253"/>
      <c r="R44" s="597"/>
      <c r="S44" s="597"/>
      <c r="T44" s="597"/>
      <c r="U44" s="597"/>
      <c r="V44" s="597"/>
    </row>
    <row r="45" spans="1:22">
      <c r="A45" s="597"/>
      <c r="B45" s="597"/>
      <c r="C45" s="597"/>
      <c r="D45" s="597"/>
      <c r="E45" s="597"/>
      <c r="F45" s="597"/>
      <c r="G45" s="597"/>
      <c r="H45" s="597"/>
      <c r="I45" s="597"/>
      <c r="J45" s="597"/>
      <c r="K45" s="597"/>
      <c r="L45" s="597"/>
      <c r="M45" s="597"/>
      <c r="N45" s="597"/>
      <c r="O45" s="597"/>
      <c r="P45" s="597"/>
      <c r="Q45" s="597"/>
      <c r="R45" s="597"/>
      <c r="S45" s="597"/>
      <c r="T45" s="597"/>
      <c r="U45" s="597"/>
      <c r="V45" s="597"/>
    </row>
    <row r="46" spans="1:22">
      <c r="A46" s="597"/>
      <c r="B46" s="597"/>
      <c r="C46" s="597"/>
      <c r="D46" s="597"/>
      <c r="E46" s="597"/>
      <c r="F46" s="597"/>
      <c r="G46" s="597"/>
      <c r="H46" s="597"/>
      <c r="I46" s="597"/>
      <c r="J46" s="597"/>
      <c r="K46" s="597"/>
      <c r="L46" s="597"/>
      <c r="M46" s="597"/>
      <c r="N46" s="597"/>
      <c r="O46" s="597"/>
      <c r="P46" s="597"/>
      <c r="Q46" s="597"/>
      <c r="R46" s="597"/>
      <c r="S46" s="597"/>
      <c r="T46" s="597"/>
      <c r="U46" s="597"/>
      <c r="V46" s="597"/>
    </row>
    <row r="47" spans="1:22">
      <c r="A47" s="597"/>
      <c r="B47" s="597"/>
      <c r="C47" s="597"/>
      <c r="D47" s="597"/>
      <c r="E47" s="597"/>
      <c r="F47" s="597"/>
      <c r="G47" s="597"/>
      <c r="H47" s="597"/>
      <c r="I47" s="597"/>
      <c r="J47" s="701" t="s">
        <v>573</v>
      </c>
      <c r="K47" s="701"/>
      <c r="L47" s="701"/>
      <c r="M47" s="701"/>
      <c r="N47" s="701"/>
      <c r="O47" s="701"/>
      <c r="P47" s="701" t="s">
        <v>417</v>
      </c>
      <c r="Q47" s="701"/>
      <c r="R47" s="701"/>
      <c r="S47" s="701"/>
      <c r="T47" s="701"/>
      <c r="U47" s="701"/>
      <c r="V47" s="597"/>
    </row>
    <row r="48" spans="1:22">
      <c r="A48" s="597"/>
      <c r="B48" s="597"/>
      <c r="C48" s="597"/>
      <c r="D48" s="597"/>
      <c r="E48" s="597"/>
      <c r="F48" s="597"/>
      <c r="G48" s="597"/>
      <c r="H48" s="597"/>
      <c r="I48" s="597"/>
      <c r="J48" s="702" t="s">
        <v>576</v>
      </c>
      <c r="K48" s="702"/>
      <c r="L48" s="201" t="s">
        <v>2140</v>
      </c>
      <c r="M48" s="201" t="s">
        <v>255</v>
      </c>
      <c r="N48" s="201" t="s">
        <v>2</v>
      </c>
      <c r="O48" s="702"/>
      <c r="P48" s="702" t="s">
        <v>418</v>
      </c>
      <c r="Q48" s="702"/>
      <c r="R48" s="702" t="s">
        <v>698</v>
      </c>
      <c r="S48" s="702"/>
      <c r="T48" s="702"/>
      <c r="U48" s="702"/>
      <c r="V48" s="597"/>
    </row>
    <row r="49" spans="1:22">
      <c r="A49" s="597"/>
      <c r="B49" s="597"/>
      <c r="C49" s="597"/>
      <c r="D49" s="597"/>
      <c r="E49" s="597"/>
      <c r="F49" s="597"/>
      <c r="G49" s="597"/>
      <c r="H49" s="597"/>
      <c r="I49" s="597"/>
      <c r="J49" s="702"/>
      <c r="K49" s="702"/>
      <c r="L49" s="812"/>
      <c r="M49" s="201"/>
      <c r="N49" s="812"/>
      <c r="O49" s="702"/>
      <c r="P49" s="702"/>
      <c r="Q49" s="702"/>
      <c r="R49" s="702"/>
      <c r="S49" s="702"/>
      <c r="T49" s="702"/>
      <c r="U49" s="702"/>
      <c r="V49" s="597"/>
    </row>
    <row r="50" spans="1:22">
      <c r="A50" s="597"/>
      <c r="B50" s="597"/>
      <c r="C50" s="597"/>
      <c r="D50" s="597"/>
      <c r="E50" s="597"/>
      <c r="F50" s="597"/>
      <c r="G50" s="597"/>
      <c r="H50" s="597"/>
      <c r="I50" s="597"/>
      <c r="J50" s="701">
        <v>1</v>
      </c>
      <c r="K50" s="597"/>
      <c r="L50" t="s">
        <v>2141</v>
      </c>
      <c r="M50" t="s">
        <v>2142</v>
      </c>
      <c r="N50" t="s">
        <v>208</v>
      </c>
      <c r="O50" s="597"/>
      <c r="P50" s="1397">
        <v>18535</v>
      </c>
      <c r="Q50" s="682"/>
      <c r="R50" s="682">
        <v>-18535</v>
      </c>
      <c r="S50" s="682"/>
      <c r="T50" s="597" t="s">
        <v>2143</v>
      </c>
      <c r="U50" s="682"/>
      <c r="V50" s="597"/>
    </row>
    <row r="51" spans="1:22">
      <c r="A51" s="597"/>
      <c r="B51" s="597"/>
      <c r="C51" s="597"/>
      <c r="D51" s="597"/>
      <c r="E51" s="597"/>
      <c r="F51" s="597"/>
      <c r="G51" s="597"/>
      <c r="H51" s="597"/>
      <c r="I51" s="597"/>
      <c r="J51" s="701">
        <v>2</v>
      </c>
      <c r="K51" s="597"/>
      <c r="L51" t="s">
        <v>2141</v>
      </c>
      <c r="M51" t="s">
        <v>2144</v>
      </c>
      <c r="N51" t="s">
        <v>210</v>
      </c>
      <c r="O51" s="597"/>
      <c r="P51" s="794">
        <v>350</v>
      </c>
      <c r="Q51" s="998"/>
      <c r="R51" s="998">
        <v>-350</v>
      </c>
      <c r="S51" s="682"/>
      <c r="T51" s="597" t="s">
        <v>2143</v>
      </c>
      <c r="U51" s="682"/>
      <c r="V51" s="597"/>
    </row>
    <row r="52" spans="1:22">
      <c r="A52" s="597"/>
      <c r="B52" s="597"/>
      <c r="C52" s="597"/>
      <c r="D52" s="597"/>
      <c r="E52" s="597"/>
      <c r="F52" s="597"/>
      <c r="G52" s="597"/>
      <c r="H52" s="597"/>
      <c r="I52" s="597"/>
      <c r="J52" s="701">
        <v>3</v>
      </c>
      <c r="K52" s="597"/>
      <c r="L52" t="s">
        <v>2141</v>
      </c>
      <c r="M52" t="s">
        <v>2145</v>
      </c>
      <c r="N52" t="s">
        <v>213</v>
      </c>
      <c r="O52" s="597"/>
      <c r="P52" s="794">
        <v>20674</v>
      </c>
      <c r="Q52" s="998"/>
      <c r="R52" s="998">
        <v>-20674</v>
      </c>
      <c r="S52" s="682"/>
      <c r="T52" s="597" t="s">
        <v>2143</v>
      </c>
      <c r="U52" s="682"/>
      <c r="V52" s="597"/>
    </row>
    <row r="53" spans="1:22">
      <c r="A53" s="597"/>
      <c r="B53" s="597"/>
      <c r="C53" s="597"/>
      <c r="D53" s="597"/>
      <c r="E53" s="597"/>
      <c r="F53" s="597"/>
      <c r="G53" s="597"/>
      <c r="H53" s="597"/>
      <c r="I53" s="597"/>
      <c r="J53" s="701">
        <v>4</v>
      </c>
      <c r="K53" s="597"/>
      <c r="L53" t="s">
        <v>2141</v>
      </c>
      <c r="M53" t="s">
        <v>2146</v>
      </c>
      <c r="N53" t="s">
        <v>215</v>
      </c>
      <c r="O53" s="597"/>
      <c r="P53" s="794">
        <v>214</v>
      </c>
      <c r="Q53" s="998"/>
      <c r="R53" s="998">
        <v>-214</v>
      </c>
      <c r="S53" s="998"/>
      <c r="T53" s="597" t="s">
        <v>2143</v>
      </c>
      <c r="U53" s="682"/>
      <c r="V53" s="597"/>
    </row>
    <row r="54" spans="1:22">
      <c r="A54" s="597"/>
      <c r="B54" s="597"/>
      <c r="C54" s="597"/>
      <c r="D54" s="597"/>
      <c r="E54" s="597"/>
      <c r="F54" s="597"/>
      <c r="G54" s="597"/>
      <c r="H54" s="597"/>
      <c r="I54" s="597"/>
      <c r="J54" s="701">
        <v>5</v>
      </c>
      <c r="K54" s="597"/>
      <c r="L54" t="s">
        <v>2141</v>
      </c>
      <c r="M54" t="s">
        <v>2147</v>
      </c>
      <c r="N54" t="s">
        <v>219</v>
      </c>
      <c r="O54" s="597"/>
      <c r="P54" s="794">
        <v>8642</v>
      </c>
      <c r="Q54" s="998"/>
      <c r="R54" s="998">
        <v>-8642</v>
      </c>
      <c r="S54" s="998"/>
      <c r="T54" s="597" t="s">
        <v>2143</v>
      </c>
      <c r="U54" s="682"/>
      <c r="V54" s="597"/>
    </row>
    <row r="55" spans="1:22">
      <c r="A55" s="597"/>
      <c r="B55" s="597"/>
      <c r="C55" s="597"/>
      <c r="D55" s="597"/>
      <c r="E55" s="597"/>
      <c r="F55" s="597"/>
      <c r="G55" s="597"/>
      <c r="H55" s="597"/>
      <c r="I55" s="597"/>
      <c r="J55" s="701">
        <v>6</v>
      </c>
      <c r="K55" s="597"/>
      <c r="L55" t="s">
        <v>2141</v>
      </c>
      <c r="M55" t="s">
        <v>2148</v>
      </c>
      <c r="N55" t="s">
        <v>232</v>
      </c>
      <c r="O55" s="597"/>
      <c r="P55" s="794">
        <v>3690</v>
      </c>
      <c r="Q55" s="998"/>
      <c r="R55" s="998">
        <v>-3690</v>
      </c>
      <c r="S55" s="998"/>
      <c r="T55" s="597" t="s">
        <v>2143</v>
      </c>
      <c r="U55" s="682"/>
      <c r="V55" s="597"/>
    </row>
    <row r="56" spans="1:22">
      <c r="A56" s="597"/>
      <c r="B56" s="597"/>
      <c r="C56" s="597"/>
      <c r="D56" s="597"/>
      <c r="E56" s="597"/>
      <c r="F56" s="597"/>
      <c r="G56" s="597"/>
      <c r="H56" s="597"/>
      <c r="I56" s="597"/>
      <c r="J56" s="701">
        <v>7</v>
      </c>
      <c r="K56" s="597"/>
      <c r="L56" t="s">
        <v>2141</v>
      </c>
      <c r="M56" t="s">
        <v>2149</v>
      </c>
      <c r="N56" t="s">
        <v>238</v>
      </c>
      <c r="O56" s="597"/>
      <c r="P56" s="794">
        <v>165838</v>
      </c>
      <c r="Q56" s="998"/>
      <c r="R56" s="998">
        <v>-165838</v>
      </c>
      <c r="S56" s="998"/>
      <c r="T56" s="597" t="s">
        <v>2143</v>
      </c>
      <c r="U56" s="682"/>
      <c r="V56" s="597"/>
    </row>
    <row r="57" spans="1:22">
      <c r="A57" s="597"/>
      <c r="B57" s="597"/>
      <c r="C57" s="597"/>
      <c r="D57" s="597"/>
      <c r="E57" s="597"/>
      <c r="F57" s="597"/>
      <c r="G57" s="597"/>
      <c r="H57" s="597"/>
      <c r="I57" s="597"/>
      <c r="J57" s="701">
        <v>8</v>
      </c>
      <c r="K57" s="597"/>
      <c r="L57" t="s">
        <v>2150</v>
      </c>
      <c r="M57" t="s">
        <v>2151</v>
      </c>
      <c r="N57" t="s">
        <v>206</v>
      </c>
      <c r="O57" s="597"/>
      <c r="P57" s="794">
        <v>20650</v>
      </c>
      <c r="Q57" s="998"/>
      <c r="R57" s="998">
        <v>-20650</v>
      </c>
      <c r="S57" s="998"/>
      <c r="T57" s="597" t="s">
        <v>1688</v>
      </c>
      <c r="U57" s="682"/>
      <c r="V57" s="597"/>
    </row>
    <row r="58" spans="1:22">
      <c r="A58" s="597"/>
      <c r="B58" s="597"/>
      <c r="C58" s="597"/>
      <c r="D58" s="597"/>
      <c r="E58" s="597"/>
      <c r="F58" s="597"/>
      <c r="G58" s="597"/>
      <c r="H58" s="597"/>
      <c r="I58" s="597"/>
      <c r="J58" s="701">
        <v>9</v>
      </c>
      <c r="K58" s="597"/>
      <c r="L58" t="s">
        <v>2150</v>
      </c>
      <c r="M58" t="s">
        <v>2142</v>
      </c>
      <c r="N58" t="s">
        <v>208</v>
      </c>
      <c r="O58" s="597"/>
      <c r="P58" s="794">
        <v>120455</v>
      </c>
      <c r="Q58" s="998"/>
      <c r="R58" s="998">
        <v>-120455</v>
      </c>
      <c r="S58" s="682"/>
      <c r="T58" s="597" t="s">
        <v>2143</v>
      </c>
      <c r="U58" s="682"/>
      <c r="V58" s="597"/>
    </row>
    <row r="59" spans="1:22">
      <c r="A59" s="597"/>
      <c r="B59" s="597"/>
      <c r="C59" s="597"/>
      <c r="D59" s="597"/>
      <c r="E59" s="597"/>
      <c r="F59" s="597"/>
      <c r="G59" s="597"/>
      <c r="H59" s="597"/>
      <c r="I59" s="597"/>
      <c r="J59" s="701">
        <v>10</v>
      </c>
      <c r="K59" s="597"/>
      <c r="L59" t="s">
        <v>2150</v>
      </c>
      <c r="M59" t="s">
        <v>2144</v>
      </c>
      <c r="N59" t="s">
        <v>210</v>
      </c>
      <c r="O59" s="597"/>
      <c r="P59" s="794">
        <v>10620</v>
      </c>
      <c r="Q59" s="998"/>
      <c r="R59" s="998">
        <v>-10620</v>
      </c>
      <c r="S59" s="682"/>
      <c r="T59" s="597" t="s">
        <v>2143</v>
      </c>
      <c r="U59" s="682"/>
      <c r="V59" s="597"/>
    </row>
    <row r="60" spans="1:22">
      <c r="A60" s="597"/>
      <c r="B60" s="597"/>
      <c r="C60" s="597"/>
      <c r="D60" s="597"/>
      <c r="E60" s="597"/>
      <c r="F60" s="597"/>
      <c r="G60" s="597"/>
      <c r="H60" s="597"/>
      <c r="I60" s="597"/>
      <c r="J60" s="701">
        <v>11</v>
      </c>
      <c r="K60" s="597"/>
      <c r="L60" t="s">
        <v>2150</v>
      </c>
      <c r="M60" t="s">
        <v>2145</v>
      </c>
      <c r="N60" t="s">
        <v>213</v>
      </c>
      <c r="O60" s="597"/>
      <c r="P60" s="794">
        <v>3000</v>
      </c>
      <c r="Q60" s="998"/>
      <c r="R60" s="998">
        <v>-3000</v>
      </c>
      <c r="S60" s="998"/>
      <c r="T60" s="597" t="s">
        <v>2143</v>
      </c>
      <c r="U60" s="682"/>
      <c r="V60" s="597"/>
    </row>
    <row r="61" spans="1:22">
      <c r="A61" s="597"/>
      <c r="B61" s="597"/>
      <c r="C61" s="597"/>
      <c r="D61" s="597"/>
      <c r="E61" s="597"/>
      <c r="F61" s="597"/>
      <c r="G61" s="597"/>
      <c r="H61" s="597"/>
      <c r="I61" s="597"/>
      <c r="J61" s="701">
        <v>12</v>
      </c>
      <c r="K61" s="597"/>
      <c r="L61" t="s">
        <v>2150</v>
      </c>
      <c r="M61" t="s">
        <v>2148</v>
      </c>
      <c r="N61" t="s">
        <v>232</v>
      </c>
      <c r="O61" s="597"/>
      <c r="P61" s="794">
        <v>21865</v>
      </c>
      <c r="Q61" s="998"/>
      <c r="R61" s="998">
        <v>-21865</v>
      </c>
      <c r="S61" s="998"/>
      <c r="T61" s="597" t="s">
        <v>2143</v>
      </c>
      <c r="U61" s="682"/>
      <c r="V61" s="597"/>
    </row>
    <row r="62" spans="1:22">
      <c r="A62" s="597"/>
      <c r="B62" s="597"/>
      <c r="C62" s="597"/>
      <c r="D62" s="597"/>
      <c r="E62" s="597"/>
      <c r="F62" s="597"/>
      <c r="G62" s="597"/>
      <c r="H62" s="597"/>
      <c r="I62" s="597"/>
      <c r="J62" s="701">
        <v>13</v>
      </c>
      <c r="K62" s="597"/>
      <c r="L62" t="s">
        <v>2152</v>
      </c>
      <c r="M62" t="s">
        <v>2153</v>
      </c>
      <c r="N62" t="s">
        <v>191</v>
      </c>
      <c r="O62" s="597"/>
      <c r="P62" s="794">
        <v>12704</v>
      </c>
      <c r="Q62" s="998"/>
      <c r="R62" s="998">
        <v>-12704</v>
      </c>
      <c r="S62" s="998"/>
      <c r="T62" s="597" t="s">
        <v>2143</v>
      </c>
      <c r="U62" s="682"/>
      <c r="V62" s="597"/>
    </row>
    <row r="63" spans="1:22">
      <c r="A63" s="597"/>
      <c r="B63" s="597"/>
      <c r="C63" s="597"/>
      <c r="D63" s="597"/>
      <c r="E63" s="597"/>
      <c r="F63" s="597"/>
      <c r="G63" s="597"/>
      <c r="H63" s="597"/>
      <c r="I63" s="597"/>
      <c r="J63" s="701">
        <v>14</v>
      </c>
      <c r="K63" s="597"/>
      <c r="L63" t="s">
        <v>2152</v>
      </c>
      <c r="M63" t="s">
        <v>2154</v>
      </c>
      <c r="N63" t="s">
        <v>192</v>
      </c>
      <c r="O63" s="597"/>
      <c r="P63" s="794">
        <v>6057</v>
      </c>
      <c r="Q63" s="998"/>
      <c r="R63" s="998">
        <v>-6057</v>
      </c>
      <c r="S63" s="998"/>
      <c r="T63" s="597" t="s">
        <v>2143</v>
      </c>
      <c r="U63" s="682"/>
      <c r="V63" s="597"/>
    </row>
    <row r="64" spans="1:22">
      <c r="A64" s="597"/>
      <c r="B64" s="597"/>
      <c r="C64" s="597"/>
      <c r="D64" s="597"/>
      <c r="E64" s="597"/>
      <c r="F64" s="597"/>
      <c r="G64" s="597"/>
      <c r="H64" s="597"/>
      <c r="I64" s="597"/>
      <c r="J64" s="701">
        <v>15</v>
      </c>
      <c r="K64" s="597"/>
      <c r="L64" t="s">
        <v>2152</v>
      </c>
      <c r="M64" t="s">
        <v>2155</v>
      </c>
      <c r="N64" t="s">
        <v>193</v>
      </c>
      <c r="O64" s="597"/>
      <c r="P64" s="794">
        <v>5540</v>
      </c>
      <c r="Q64" s="998"/>
      <c r="R64" s="998">
        <v>-5540</v>
      </c>
      <c r="S64" s="998"/>
      <c r="T64" s="597" t="s">
        <v>2143</v>
      </c>
      <c r="U64" s="682"/>
      <c r="V64" s="597"/>
    </row>
    <row r="65" spans="1:22">
      <c r="A65" s="597"/>
      <c r="B65" s="597"/>
      <c r="C65" s="597"/>
      <c r="D65" s="597"/>
      <c r="E65" s="597"/>
      <c r="F65" s="597"/>
      <c r="G65" s="597"/>
      <c r="H65" s="597"/>
      <c r="I65" s="597"/>
      <c r="J65" s="701">
        <v>16</v>
      </c>
      <c r="K65" s="597"/>
      <c r="L65" t="s">
        <v>2152</v>
      </c>
      <c r="M65" t="s">
        <v>2156</v>
      </c>
      <c r="N65" t="s">
        <v>194</v>
      </c>
      <c r="O65" s="597"/>
      <c r="P65" s="794">
        <v>4209</v>
      </c>
      <c r="Q65" s="998"/>
      <c r="R65" s="998">
        <v>-4209</v>
      </c>
      <c r="S65" s="998"/>
      <c r="T65" s="597" t="s">
        <v>2143</v>
      </c>
      <c r="U65" s="682"/>
      <c r="V65" s="597"/>
    </row>
    <row r="66" spans="1:22">
      <c r="A66" s="597"/>
      <c r="B66" s="597"/>
      <c r="C66" s="597"/>
      <c r="D66" s="597"/>
      <c r="E66" s="597"/>
      <c r="F66" s="597"/>
      <c r="G66" s="597"/>
      <c r="H66" s="597"/>
      <c r="I66" s="597"/>
      <c r="J66" s="701">
        <v>17</v>
      </c>
      <c r="K66" s="597"/>
      <c r="L66" t="s">
        <v>2152</v>
      </c>
      <c r="M66" t="s">
        <v>2157</v>
      </c>
      <c r="N66" t="s">
        <v>203</v>
      </c>
      <c r="O66" s="597"/>
      <c r="P66" s="794">
        <v>28261</v>
      </c>
      <c r="Q66" s="998"/>
      <c r="R66" s="998">
        <v>-28261</v>
      </c>
      <c r="S66" s="998"/>
      <c r="T66" s="597" t="s">
        <v>1688</v>
      </c>
      <c r="U66" s="682"/>
      <c r="V66" s="597"/>
    </row>
    <row r="67" spans="1:22">
      <c r="A67" s="597"/>
      <c r="B67" s="597"/>
      <c r="C67" s="597"/>
      <c r="D67" s="597"/>
      <c r="E67" s="597"/>
      <c r="F67" s="597"/>
      <c r="G67" s="597"/>
      <c r="H67" s="597"/>
      <c r="I67" s="597"/>
      <c r="J67" s="701">
        <v>18</v>
      </c>
      <c r="K67" s="597"/>
      <c r="L67" t="s">
        <v>2152</v>
      </c>
      <c r="M67" t="s">
        <v>2148</v>
      </c>
      <c r="N67" t="s">
        <v>232</v>
      </c>
      <c r="O67" s="597"/>
      <c r="P67" s="794">
        <v>10491</v>
      </c>
      <c r="Q67" s="998"/>
      <c r="R67" s="998">
        <v>-10491</v>
      </c>
      <c r="S67" s="998"/>
      <c r="T67" s="597" t="s">
        <v>2143</v>
      </c>
      <c r="U67" s="682"/>
      <c r="V67" s="597"/>
    </row>
    <row r="68" spans="1:22">
      <c r="A68" s="597"/>
      <c r="B68" s="597"/>
      <c r="C68" s="597"/>
      <c r="D68" s="597"/>
      <c r="E68" s="597"/>
      <c r="F68" s="597"/>
      <c r="G68" s="597"/>
      <c r="H68" s="597"/>
      <c r="I68" s="597"/>
      <c r="J68" s="701">
        <v>19</v>
      </c>
      <c r="K68" s="597"/>
      <c r="L68" t="s">
        <v>2158</v>
      </c>
      <c r="M68" t="s">
        <v>2145</v>
      </c>
      <c r="N68" t="s">
        <v>213</v>
      </c>
      <c r="O68" s="597"/>
      <c r="P68" s="794">
        <v>-5688</v>
      </c>
      <c r="Q68" s="998"/>
      <c r="R68" s="998">
        <v>5688</v>
      </c>
      <c r="S68" s="998"/>
      <c r="T68" s="597" t="s">
        <v>2143</v>
      </c>
      <c r="U68" s="682"/>
      <c r="V68" s="597"/>
    </row>
    <row r="69" spans="1:22">
      <c r="A69" s="597"/>
      <c r="B69" s="597"/>
      <c r="C69" s="597"/>
      <c r="D69" s="597"/>
      <c r="E69" s="597"/>
      <c r="F69" s="597"/>
      <c r="G69" s="597"/>
      <c r="H69" s="597"/>
      <c r="I69" s="597"/>
      <c r="J69" s="701">
        <v>20</v>
      </c>
      <c r="K69" s="597"/>
      <c r="L69" t="s">
        <v>2158</v>
      </c>
      <c r="M69" t="s">
        <v>2148</v>
      </c>
      <c r="N69" t="s">
        <v>232</v>
      </c>
      <c r="O69" s="597"/>
      <c r="P69" s="794">
        <v>-1037</v>
      </c>
      <c r="Q69" s="998"/>
      <c r="R69" s="998">
        <v>1037</v>
      </c>
      <c r="S69" s="998"/>
      <c r="T69" s="597" t="s">
        <v>2143</v>
      </c>
      <c r="U69" s="682"/>
      <c r="V69" s="597"/>
    </row>
    <row r="70" spans="1:22">
      <c r="A70" s="597"/>
      <c r="B70" s="597"/>
      <c r="C70" s="597"/>
      <c r="D70" s="597"/>
      <c r="E70" s="597"/>
      <c r="F70" s="597"/>
      <c r="G70" s="597"/>
      <c r="H70" s="597"/>
      <c r="I70" s="597"/>
      <c r="J70" s="701">
        <v>21</v>
      </c>
      <c r="K70" s="597"/>
      <c r="L70" t="s">
        <v>2159</v>
      </c>
      <c r="M70" t="s">
        <v>2142</v>
      </c>
      <c r="N70" t="s">
        <v>208</v>
      </c>
      <c r="O70" s="597"/>
      <c r="P70" s="794">
        <v>7933</v>
      </c>
      <c r="Q70" s="998"/>
      <c r="R70" s="998">
        <v>-7933</v>
      </c>
      <c r="S70" s="998"/>
      <c r="T70" s="597" t="s">
        <v>2143</v>
      </c>
      <c r="U70" s="682"/>
      <c r="V70" s="597"/>
    </row>
    <row r="71" spans="1:22">
      <c r="A71" s="597"/>
      <c r="B71" s="597"/>
      <c r="C71" s="597"/>
      <c r="D71" s="597"/>
      <c r="E71" s="597"/>
      <c r="F71" s="597"/>
      <c r="G71" s="597"/>
      <c r="H71" s="597"/>
      <c r="I71" s="597"/>
      <c r="J71" s="701">
        <v>22</v>
      </c>
      <c r="K71" s="597"/>
      <c r="L71" t="s">
        <v>2159</v>
      </c>
      <c r="M71" t="s">
        <v>2144</v>
      </c>
      <c r="N71" t="s">
        <v>210</v>
      </c>
      <c r="O71" s="597"/>
      <c r="P71" s="794">
        <v>371</v>
      </c>
      <c r="Q71" s="998"/>
      <c r="R71" s="998">
        <v>-371</v>
      </c>
      <c r="S71" s="998"/>
      <c r="T71" s="597" t="s">
        <v>2143</v>
      </c>
      <c r="U71" s="682"/>
      <c r="V71" s="597"/>
    </row>
    <row r="72" spans="1:22">
      <c r="A72" s="597"/>
      <c r="B72" s="597"/>
      <c r="C72" s="597"/>
      <c r="D72" s="597"/>
      <c r="E72" s="597"/>
      <c r="F72" s="597"/>
      <c r="G72" s="597"/>
      <c r="H72" s="597"/>
      <c r="I72" s="597"/>
      <c r="J72" s="701">
        <v>23</v>
      </c>
      <c r="K72" s="597"/>
      <c r="L72" t="s">
        <v>2159</v>
      </c>
      <c r="M72" t="s">
        <v>2145</v>
      </c>
      <c r="N72" t="s">
        <v>213</v>
      </c>
      <c r="O72" s="597"/>
      <c r="P72" s="794">
        <v>64</v>
      </c>
      <c r="Q72" s="998"/>
      <c r="R72" s="998">
        <v>-64</v>
      </c>
      <c r="S72" s="998"/>
      <c r="T72" s="597" t="s">
        <v>2143</v>
      </c>
      <c r="U72" s="682"/>
      <c r="V72" s="597"/>
    </row>
    <row r="73" spans="1:22">
      <c r="A73" s="597"/>
      <c r="B73" s="597"/>
      <c r="C73" s="597"/>
      <c r="D73" s="597"/>
      <c r="E73" s="597"/>
      <c r="F73" s="597"/>
      <c r="G73" s="597"/>
      <c r="H73" s="597"/>
      <c r="I73" s="597"/>
      <c r="J73" s="701">
        <v>24</v>
      </c>
      <c r="K73" s="597"/>
      <c r="L73" t="s">
        <v>2159</v>
      </c>
      <c r="M73" t="s">
        <v>2146</v>
      </c>
      <c r="N73" t="s">
        <v>215</v>
      </c>
      <c r="O73" s="597"/>
      <c r="P73" s="794">
        <v>271</v>
      </c>
      <c r="Q73" s="998"/>
      <c r="R73" s="998">
        <v>-271</v>
      </c>
      <c r="S73" s="998"/>
      <c r="T73" s="597" t="s">
        <v>2143</v>
      </c>
      <c r="U73" s="682"/>
      <c r="V73" s="597"/>
    </row>
    <row r="74" spans="1:22">
      <c r="A74" s="597"/>
      <c r="B74" s="597"/>
      <c r="C74" s="597"/>
      <c r="D74" s="597"/>
      <c r="E74" s="597"/>
      <c r="F74" s="597"/>
      <c r="G74" s="597"/>
      <c r="H74" s="597"/>
      <c r="I74" s="597"/>
      <c r="J74" s="701">
        <v>25</v>
      </c>
      <c r="K74" s="597"/>
      <c r="L74" t="s">
        <v>2159</v>
      </c>
      <c r="M74" t="s">
        <v>2147</v>
      </c>
      <c r="N74" t="s">
        <v>219</v>
      </c>
      <c r="O74" s="597"/>
      <c r="P74" s="794">
        <v>29</v>
      </c>
      <c r="Q74" s="998"/>
      <c r="R74" s="998">
        <v>-29</v>
      </c>
      <c r="S74" s="998"/>
      <c r="T74" s="597" t="s">
        <v>2143</v>
      </c>
      <c r="U74" s="682"/>
      <c r="V74" s="597"/>
    </row>
    <row r="75" spans="1:22">
      <c r="A75" s="597"/>
      <c r="B75" s="597"/>
      <c r="C75" s="597"/>
      <c r="D75" s="597"/>
      <c r="E75" s="597"/>
      <c r="F75" s="597"/>
      <c r="G75" s="597"/>
      <c r="H75" s="597"/>
      <c r="I75" s="597"/>
      <c r="J75" s="701">
        <v>26</v>
      </c>
      <c r="K75" s="597"/>
      <c r="L75" t="s">
        <v>2159</v>
      </c>
      <c r="M75" t="s">
        <v>2148</v>
      </c>
      <c r="N75" t="s">
        <v>232</v>
      </c>
      <c r="O75" s="597"/>
      <c r="P75" s="794">
        <v>2223</v>
      </c>
      <c r="Q75" s="998"/>
      <c r="R75" s="998">
        <v>-2223</v>
      </c>
      <c r="S75" s="998"/>
      <c r="T75" s="597" t="s">
        <v>2143</v>
      </c>
      <c r="U75" s="682"/>
      <c r="V75" s="597"/>
    </row>
    <row r="76" spans="1:22">
      <c r="A76" s="597"/>
      <c r="B76" s="597"/>
      <c r="C76" s="597"/>
      <c r="D76" s="597"/>
      <c r="E76" s="597"/>
      <c r="F76" s="597"/>
      <c r="G76" s="597"/>
      <c r="H76" s="597"/>
      <c r="I76" s="597"/>
      <c r="J76" s="701">
        <v>27</v>
      </c>
      <c r="K76" s="597"/>
      <c r="L76" t="s">
        <v>2159</v>
      </c>
      <c r="M76" t="s">
        <v>2149</v>
      </c>
      <c r="N76" t="s">
        <v>238</v>
      </c>
      <c r="O76" s="597"/>
      <c r="P76" s="794">
        <v>4259</v>
      </c>
      <c r="Q76" s="998"/>
      <c r="R76" s="998">
        <v>-4259</v>
      </c>
      <c r="S76" s="998"/>
      <c r="T76" s="597" t="s">
        <v>2143</v>
      </c>
      <c r="U76" s="682"/>
      <c r="V76" s="597"/>
    </row>
    <row r="77" spans="1:22">
      <c r="A77" s="597"/>
      <c r="B77" s="597"/>
      <c r="C77" s="597"/>
      <c r="D77" s="597"/>
      <c r="E77" s="597"/>
      <c r="F77" s="597"/>
      <c r="G77" s="597"/>
      <c r="H77" s="597"/>
      <c r="I77" s="597"/>
      <c r="J77" s="701">
        <v>28</v>
      </c>
      <c r="K77" s="597"/>
      <c r="L77" t="s">
        <v>2160</v>
      </c>
      <c r="M77" t="s">
        <v>2142</v>
      </c>
      <c r="N77" t="s">
        <v>208</v>
      </c>
      <c r="O77" s="597"/>
      <c r="P77" s="794">
        <v>6921</v>
      </c>
      <c r="Q77" s="998"/>
      <c r="R77" s="998">
        <v>-6921</v>
      </c>
      <c r="S77" s="998"/>
      <c r="T77" s="597" t="s">
        <v>2143</v>
      </c>
      <c r="U77" s="682"/>
      <c r="V77" s="597"/>
    </row>
    <row r="78" spans="1:22">
      <c r="A78" s="597"/>
      <c r="B78" s="597"/>
      <c r="C78" s="597"/>
      <c r="D78" s="597"/>
      <c r="E78" s="597"/>
      <c r="F78" s="597"/>
      <c r="G78" s="597"/>
      <c r="H78" s="597"/>
      <c r="I78" s="597"/>
      <c r="J78" s="701">
        <v>29</v>
      </c>
      <c r="K78" s="597"/>
      <c r="L78" t="s">
        <v>2160</v>
      </c>
      <c r="M78" t="s">
        <v>2144</v>
      </c>
      <c r="N78" t="s">
        <v>210</v>
      </c>
      <c r="O78" s="597"/>
      <c r="P78" s="794">
        <v>1049</v>
      </c>
      <c r="Q78" s="998"/>
      <c r="R78" s="998">
        <v>-1049</v>
      </c>
      <c r="S78" s="998"/>
      <c r="T78" s="597" t="s">
        <v>2143</v>
      </c>
      <c r="U78" s="682"/>
      <c r="V78" s="597"/>
    </row>
    <row r="79" spans="1:22">
      <c r="A79" s="597"/>
      <c r="B79" s="597"/>
      <c r="C79" s="597"/>
      <c r="D79" s="597"/>
      <c r="E79" s="597"/>
      <c r="F79" s="597"/>
      <c r="G79" s="597"/>
      <c r="H79" s="597"/>
      <c r="I79" s="597"/>
      <c r="J79" s="701">
        <v>30</v>
      </c>
      <c r="K79" s="597"/>
      <c r="L79" t="s">
        <v>2160</v>
      </c>
      <c r="M79" t="s">
        <v>2145</v>
      </c>
      <c r="N79" t="s">
        <v>213</v>
      </c>
      <c r="O79" s="597"/>
      <c r="P79" s="794">
        <v>350</v>
      </c>
      <c r="Q79" s="998"/>
      <c r="R79" s="998">
        <v>-350</v>
      </c>
      <c r="S79" s="998"/>
      <c r="T79" s="597" t="s">
        <v>2143</v>
      </c>
      <c r="U79" s="682"/>
      <c r="V79" s="597"/>
    </row>
    <row r="80" spans="1:22">
      <c r="A80" s="597"/>
      <c r="B80" s="597"/>
      <c r="C80" s="597"/>
      <c r="D80" s="597"/>
      <c r="E80" s="597"/>
      <c r="F80" s="597"/>
      <c r="G80" s="597"/>
      <c r="H80" s="597"/>
      <c r="I80" s="597"/>
      <c r="J80" s="701">
        <v>31</v>
      </c>
      <c r="K80" s="597"/>
      <c r="L80" t="s">
        <v>2160</v>
      </c>
      <c r="M80" t="s">
        <v>2147</v>
      </c>
      <c r="N80" t="s">
        <v>219</v>
      </c>
      <c r="O80" s="597"/>
      <c r="P80" s="794">
        <v>1785</v>
      </c>
      <c r="Q80" s="998"/>
      <c r="R80" s="998">
        <v>-1785</v>
      </c>
      <c r="S80" s="998"/>
      <c r="T80" s="597" t="s">
        <v>2143</v>
      </c>
      <c r="U80" s="682"/>
      <c r="V80" s="597"/>
    </row>
    <row r="81" spans="1:22">
      <c r="A81" s="597"/>
      <c r="B81" s="597"/>
      <c r="C81" s="597"/>
      <c r="D81" s="597"/>
      <c r="E81" s="597"/>
      <c r="F81" s="597"/>
      <c r="G81" s="597"/>
      <c r="H81" s="597"/>
      <c r="I81" s="597"/>
      <c r="J81" s="701">
        <v>32</v>
      </c>
      <c r="K81" s="597"/>
      <c r="L81" t="s">
        <v>2160</v>
      </c>
      <c r="M81" t="s">
        <v>2148</v>
      </c>
      <c r="N81" t="s">
        <v>232</v>
      </c>
      <c r="O81" s="597"/>
      <c r="P81" s="794">
        <v>1262</v>
      </c>
      <c r="Q81" s="998"/>
      <c r="R81" s="998">
        <v>-1262</v>
      </c>
      <c r="S81" s="998"/>
      <c r="T81" s="597" t="s">
        <v>2143</v>
      </c>
      <c r="U81" s="682"/>
      <c r="V81" s="597"/>
    </row>
    <row r="82" spans="1:22">
      <c r="A82" s="597"/>
      <c r="B82" s="597"/>
      <c r="C82" s="597"/>
      <c r="D82" s="597"/>
      <c r="E82" s="597"/>
      <c r="F82" s="597"/>
      <c r="G82" s="597"/>
      <c r="H82" s="597"/>
      <c r="I82" s="597"/>
      <c r="J82" s="701">
        <v>33</v>
      </c>
      <c r="K82" s="597"/>
      <c r="L82" t="s">
        <v>2160</v>
      </c>
      <c r="M82" t="s">
        <v>2161</v>
      </c>
      <c r="N82" t="s">
        <v>241</v>
      </c>
      <c r="O82" s="597"/>
      <c r="P82" s="794">
        <v>476</v>
      </c>
      <c r="Q82" s="998"/>
      <c r="R82" s="998">
        <v>-476</v>
      </c>
      <c r="S82" s="998"/>
      <c r="T82" s="597" t="s">
        <v>2143</v>
      </c>
      <c r="U82" s="682"/>
      <c r="V82" s="597"/>
    </row>
    <row r="83" spans="1:22">
      <c r="A83" s="597"/>
      <c r="B83" s="597"/>
      <c r="C83" s="597"/>
      <c r="D83" s="597"/>
      <c r="E83" s="597"/>
      <c r="F83" s="597"/>
      <c r="G83" s="597"/>
      <c r="H83" s="597"/>
      <c r="I83" s="597"/>
      <c r="J83" s="701">
        <v>34</v>
      </c>
      <c r="K83" s="597"/>
      <c r="L83" t="s">
        <v>2162</v>
      </c>
      <c r="M83" t="s">
        <v>2142</v>
      </c>
      <c r="N83" t="s">
        <v>208</v>
      </c>
      <c r="O83" s="597"/>
      <c r="P83" s="794">
        <v>29958</v>
      </c>
      <c r="Q83" s="998"/>
      <c r="R83" s="998">
        <v>-29958</v>
      </c>
      <c r="S83" s="998"/>
      <c r="T83" s="597" t="s">
        <v>2143</v>
      </c>
      <c r="U83" s="682"/>
      <c r="V83" s="597"/>
    </row>
    <row r="84" spans="1:22">
      <c r="A84" s="597"/>
      <c r="B84" s="597"/>
      <c r="C84" s="597"/>
      <c r="D84" s="597"/>
      <c r="E84" s="597"/>
      <c r="F84" s="597"/>
      <c r="G84" s="597"/>
      <c r="H84" s="597"/>
      <c r="I84" s="597"/>
      <c r="J84" s="701">
        <v>35</v>
      </c>
      <c r="K84" s="597"/>
      <c r="L84" t="s">
        <v>2162</v>
      </c>
      <c r="M84" t="s">
        <v>2144</v>
      </c>
      <c r="N84" t="s">
        <v>210</v>
      </c>
      <c r="O84" s="597"/>
      <c r="P84" s="794">
        <v>2600</v>
      </c>
      <c r="Q84" s="998"/>
      <c r="R84" s="998">
        <v>-2600</v>
      </c>
      <c r="S84" s="998"/>
      <c r="T84" s="597" t="s">
        <v>2143</v>
      </c>
      <c r="U84" s="682"/>
      <c r="V84" s="597"/>
    </row>
    <row r="85" spans="1:22">
      <c r="A85" s="597"/>
      <c r="B85" s="597"/>
      <c r="C85" s="597"/>
      <c r="D85" s="597"/>
      <c r="E85" s="597"/>
      <c r="F85" s="597"/>
      <c r="G85" s="597"/>
      <c r="H85" s="597"/>
      <c r="I85" s="597"/>
      <c r="J85" s="701">
        <v>36</v>
      </c>
      <c r="K85" s="597"/>
      <c r="L85" t="s">
        <v>2162</v>
      </c>
      <c r="M85" t="s">
        <v>2145</v>
      </c>
      <c r="N85" t="s">
        <v>213</v>
      </c>
      <c r="O85" s="597"/>
      <c r="P85" s="794">
        <v>1651</v>
      </c>
      <c r="Q85" s="998"/>
      <c r="R85" s="998">
        <v>-1651</v>
      </c>
      <c r="S85" s="998"/>
      <c r="T85" s="597" t="s">
        <v>2143</v>
      </c>
      <c r="U85" s="682"/>
      <c r="V85" s="597"/>
    </row>
    <row r="86" spans="1:22">
      <c r="A86" s="597"/>
      <c r="B86" s="597"/>
      <c r="C86" s="597"/>
      <c r="D86" s="597"/>
      <c r="E86" s="597"/>
      <c r="F86" s="597"/>
      <c r="G86" s="597"/>
      <c r="H86" s="597"/>
      <c r="I86" s="597"/>
      <c r="J86" s="701">
        <v>37</v>
      </c>
      <c r="K86" s="597"/>
      <c r="L86" t="s">
        <v>2162</v>
      </c>
      <c r="M86" t="s">
        <v>2148</v>
      </c>
      <c r="N86" t="s">
        <v>232</v>
      </c>
      <c r="O86" s="597"/>
      <c r="P86" s="794">
        <v>8083</v>
      </c>
      <c r="Q86" s="998"/>
      <c r="R86" s="998">
        <v>-8083</v>
      </c>
      <c r="S86" s="998"/>
      <c r="T86" s="597" t="s">
        <v>2143</v>
      </c>
      <c r="U86" s="682"/>
      <c r="V86" s="597"/>
    </row>
    <row r="87" spans="1:22">
      <c r="A87" s="597"/>
      <c r="B87" s="597"/>
      <c r="C87" s="597"/>
      <c r="D87" s="597"/>
      <c r="E87" s="597"/>
      <c r="F87" s="597"/>
      <c r="G87" s="597"/>
      <c r="H87" s="597"/>
      <c r="I87" s="597"/>
      <c r="J87" s="701">
        <v>38</v>
      </c>
      <c r="K87" s="597"/>
      <c r="L87" t="s">
        <v>2162</v>
      </c>
      <c r="M87" t="s">
        <v>2163</v>
      </c>
      <c r="N87" t="s">
        <v>239</v>
      </c>
      <c r="O87" s="597"/>
      <c r="P87" s="794">
        <v>5900</v>
      </c>
      <c r="Q87" s="998"/>
      <c r="R87" s="998">
        <v>-5900</v>
      </c>
      <c r="S87" s="998"/>
      <c r="T87" s="597" t="s">
        <v>2143</v>
      </c>
      <c r="U87" s="682"/>
      <c r="V87" s="597"/>
    </row>
    <row r="88" spans="1:22">
      <c r="A88" s="597"/>
      <c r="B88" s="597"/>
      <c r="C88" s="597"/>
      <c r="D88" s="597"/>
      <c r="E88" s="597"/>
      <c r="F88" s="597"/>
      <c r="G88" s="597"/>
      <c r="H88" s="597"/>
      <c r="I88" s="597"/>
      <c r="J88" s="701">
        <v>39</v>
      </c>
      <c r="K88" s="597"/>
      <c r="L88" t="s">
        <v>2164</v>
      </c>
      <c r="M88" t="s">
        <v>2142</v>
      </c>
      <c r="N88" t="s">
        <v>208</v>
      </c>
      <c r="O88" s="597"/>
      <c r="P88" s="794">
        <v>14529</v>
      </c>
      <c r="Q88" s="998"/>
      <c r="R88" s="998">
        <v>-14529</v>
      </c>
      <c r="S88" s="998"/>
      <c r="T88" s="597" t="s">
        <v>2143</v>
      </c>
      <c r="U88" s="682"/>
      <c r="V88" s="597"/>
    </row>
    <row r="89" spans="1:22">
      <c r="A89" s="597"/>
      <c r="B89" s="597"/>
      <c r="C89" s="597"/>
      <c r="D89" s="597"/>
      <c r="E89" s="597"/>
      <c r="F89" s="597"/>
      <c r="G89" s="597"/>
      <c r="H89" s="597"/>
      <c r="I89" s="597"/>
      <c r="J89" s="701">
        <v>40</v>
      </c>
      <c r="K89" s="597"/>
      <c r="L89" t="s">
        <v>2164</v>
      </c>
      <c r="M89" t="s">
        <v>2144</v>
      </c>
      <c r="N89" t="s">
        <v>210</v>
      </c>
      <c r="O89" s="597"/>
      <c r="P89" s="794">
        <v>221</v>
      </c>
      <c r="Q89" s="998"/>
      <c r="R89" s="998">
        <v>-221</v>
      </c>
      <c r="S89" s="998"/>
      <c r="T89" s="597" t="s">
        <v>2143</v>
      </c>
      <c r="U89" s="682"/>
      <c r="V89" s="597"/>
    </row>
    <row r="90" spans="1:22">
      <c r="A90" s="597"/>
      <c r="B90" s="597"/>
      <c r="C90" s="597"/>
      <c r="D90" s="597"/>
      <c r="E90" s="597"/>
      <c r="F90" s="597"/>
      <c r="G90" s="597"/>
      <c r="H90" s="597"/>
      <c r="I90" s="597"/>
      <c r="J90" s="701">
        <v>41</v>
      </c>
      <c r="K90" s="597"/>
      <c r="L90" t="s">
        <v>2164</v>
      </c>
      <c r="M90" t="s">
        <v>2145</v>
      </c>
      <c r="N90" t="s">
        <v>213</v>
      </c>
      <c r="O90" s="597"/>
      <c r="P90" s="794">
        <v>-3439</v>
      </c>
      <c r="Q90" s="998"/>
      <c r="R90" s="998">
        <v>3439</v>
      </c>
      <c r="S90" s="998"/>
      <c r="T90" s="597" t="s">
        <v>2143</v>
      </c>
      <c r="U90" s="682"/>
      <c r="V90" s="597"/>
    </row>
    <row r="91" spans="1:22">
      <c r="A91" s="597"/>
      <c r="B91" s="597"/>
      <c r="C91" s="597"/>
      <c r="D91" s="597"/>
      <c r="E91" s="597"/>
      <c r="F91" s="597"/>
      <c r="G91" s="597"/>
      <c r="H91" s="597"/>
      <c r="I91" s="597"/>
      <c r="J91" s="701">
        <v>42</v>
      </c>
      <c r="K91" s="597"/>
      <c r="L91" t="s">
        <v>2164</v>
      </c>
      <c r="M91" t="s">
        <v>2147</v>
      </c>
      <c r="N91" t="s">
        <v>219</v>
      </c>
      <c r="O91" s="597"/>
      <c r="P91" s="794">
        <v>4440</v>
      </c>
      <c r="Q91" s="998"/>
      <c r="R91" s="998">
        <v>-4440</v>
      </c>
      <c r="S91" s="998"/>
      <c r="T91" s="597" t="s">
        <v>2143</v>
      </c>
      <c r="U91" s="682"/>
      <c r="V91" s="597"/>
    </row>
    <row r="92" spans="1:22">
      <c r="A92" s="597"/>
      <c r="B92" s="597"/>
      <c r="C92" s="597"/>
      <c r="D92" s="597"/>
      <c r="E92" s="597"/>
      <c r="F92" s="597"/>
      <c r="G92" s="597"/>
      <c r="H92" s="597"/>
      <c r="I92" s="597"/>
      <c r="J92" s="701">
        <v>43</v>
      </c>
      <c r="K92" s="597"/>
      <c r="L92" t="s">
        <v>2164</v>
      </c>
      <c r="M92" t="s">
        <v>2148</v>
      </c>
      <c r="N92" t="s">
        <v>232</v>
      </c>
      <c r="O92" s="597"/>
      <c r="P92" s="794">
        <v>2009</v>
      </c>
      <c r="Q92" s="998"/>
      <c r="R92" s="998">
        <v>-2009</v>
      </c>
      <c r="S92" s="998"/>
      <c r="T92" s="597" t="s">
        <v>2143</v>
      </c>
      <c r="U92" s="682"/>
      <c r="V92" s="597"/>
    </row>
    <row r="93" spans="1:22">
      <c r="A93" s="597"/>
      <c r="B93" s="597"/>
      <c r="C93" s="597"/>
      <c r="D93" s="597"/>
      <c r="E93" s="597"/>
      <c r="F93" s="597"/>
      <c r="G93" s="597"/>
      <c r="H93" s="597"/>
      <c r="I93" s="597"/>
      <c r="J93" s="701">
        <v>44</v>
      </c>
      <c r="K93" s="597"/>
      <c r="L93" t="s">
        <v>2164</v>
      </c>
      <c r="M93" t="s">
        <v>2163</v>
      </c>
      <c r="N93" t="s">
        <v>239</v>
      </c>
      <c r="O93" s="597"/>
      <c r="P93" s="794">
        <v>1020</v>
      </c>
      <c r="Q93" s="998"/>
      <c r="R93" s="998">
        <v>-1020</v>
      </c>
      <c r="S93" s="998"/>
      <c r="T93" s="597" t="s">
        <v>2143</v>
      </c>
      <c r="U93" s="682"/>
      <c r="V93" s="597"/>
    </row>
    <row r="94" spans="1:22">
      <c r="A94" s="597"/>
      <c r="B94" s="597"/>
      <c r="C94" s="597"/>
      <c r="D94" s="597"/>
      <c r="E94" s="597"/>
      <c r="F94" s="597"/>
      <c r="G94" s="597"/>
      <c r="H94" s="597"/>
      <c r="I94" s="597"/>
      <c r="J94" s="701">
        <v>45</v>
      </c>
      <c r="K94" s="597"/>
      <c r="L94" s="1005" t="s">
        <v>2165</v>
      </c>
      <c r="M94" s="1005" t="s">
        <v>405</v>
      </c>
      <c r="N94" s="32" t="s">
        <v>405</v>
      </c>
      <c r="O94" s="597"/>
      <c r="P94" s="794">
        <v>148671</v>
      </c>
      <c r="Q94" s="998"/>
      <c r="R94" s="998">
        <v>-148671</v>
      </c>
      <c r="S94" s="998"/>
      <c r="T94" s="597" t="s">
        <v>2143</v>
      </c>
      <c r="U94" s="682"/>
      <c r="V94" s="597"/>
    </row>
    <row r="95" spans="1:22">
      <c r="A95" s="597"/>
      <c r="B95" s="597"/>
      <c r="C95" s="597"/>
      <c r="D95" s="597"/>
      <c r="E95" s="597"/>
      <c r="F95" s="597"/>
      <c r="G95" s="597"/>
      <c r="H95" s="597"/>
      <c r="I95" s="597"/>
      <c r="J95" s="701">
        <v>46</v>
      </c>
      <c r="K95" s="597"/>
      <c r="L95" s="1005" t="s">
        <v>2166</v>
      </c>
      <c r="M95" s="1005" t="s">
        <v>405</v>
      </c>
      <c r="N95" s="32" t="s">
        <v>405</v>
      </c>
      <c r="O95" s="597"/>
      <c r="P95" s="794">
        <v>214879</v>
      </c>
      <c r="Q95" s="998"/>
      <c r="R95" s="998">
        <v>-214879</v>
      </c>
      <c r="S95" s="998"/>
      <c r="T95" s="597" t="s">
        <v>2143</v>
      </c>
      <c r="U95" s="597"/>
      <c r="V95" s="597"/>
    </row>
    <row r="96" spans="1:22" ht="13.8" thickBot="1">
      <c r="A96" s="597"/>
      <c r="B96" s="597"/>
      <c r="C96" s="597"/>
      <c r="D96" s="597"/>
      <c r="E96" s="597"/>
      <c r="F96" s="597"/>
      <c r="G96" s="597"/>
      <c r="H96" s="597"/>
      <c r="I96" s="597"/>
      <c r="J96" s="701"/>
      <c r="K96" s="597"/>
      <c r="L96" s="597"/>
      <c r="M96" s="597"/>
      <c r="N96" s="1006" t="s">
        <v>2167</v>
      </c>
      <c r="O96" s="597"/>
      <c r="P96" s="1699">
        <f>SUM(P50:P95)</f>
        <v>912585</v>
      </c>
      <c r="Q96" s="597"/>
      <c r="R96" s="1699">
        <f>SUM(R50:R95)</f>
        <v>-912585</v>
      </c>
      <c r="S96" s="998"/>
      <c r="T96" s="597"/>
      <c r="U96" s="597"/>
      <c r="V96" s="597"/>
    </row>
    <row r="97" spans="1:22" ht="13.8" thickTop="1">
      <c r="A97" s="597"/>
      <c r="B97" s="597"/>
      <c r="C97" s="597"/>
      <c r="D97" s="597"/>
      <c r="E97" s="597"/>
      <c r="F97" s="597"/>
      <c r="G97" s="597"/>
      <c r="H97" s="597"/>
      <c r="I97" s="597"/>
      <c r="J97" s="701"/>
      <c r="K97" s="597"/>
      <c r="L97" s="597"/>
      <c r="M97" s="597"/>
      <c r="N97" s="597"/>
      <c r="O97" s="597"/>
      <c r="P97" s="597"/>
      <c r="Q97" s="597"/>
      <c r="R97" s="597"/>
      <c r="S97" s="998"/>
      <c r="T97" s="597"/>
      <c r="U97" s="597"/>
      <c r="V97" s="597"/>
    </row>
    <row r="98" spans="1:22">
      <c r="A98" s="597"/>
      <c r="B98" s="597"/>
      <c r="C98" s="597"/>
      <c r="D98" s="597"/>
      <c r="E98" s="597"/>
      <c r="F98" s="597"/>
      <c r="G98" s="597"/>
      <c r="H98" s="597"/>
      <c r="I98" s="597"/>
      <c r="J98" s="701"/>
      <c r="K98" s="597"/>
      <c r="L98" s="597"/>
      <c r="M98" s="597"/>
      <c r="N98" s="597"/>
      <c r="O98" s="597"/>
      <c r="P98" s="597"/>
      <c r="Q98" s="597"/>
      <c r="R98" s="597"/>
      <c r="S98" s="998"/>
      <c r="T98" s="597"/>
      <c r="U98" s="597"/>
      <c r="V98" s="597"/>
    </row>
    <row r="99" spans="1:22">
      <c r="A99" s="597"/>
      <c r="B99" s="597"/>
      <c r="C99" s="597"/>
      <c r="D99" s="597"/>
      <c r="E99" s="597"/>
      <c r="F99" s="597"/>
      <c r="G99" s="597"/>
      <c r="H99" s="597"/>
      <c r="I99" s="597"/>
      <c r="J99" s="701"/>
      <c r="K99" s="597"/>
      <c r="L99" s="597"/>
      <c r="M99" s="597"/>
      <c r="N99" s="597"/>
      <c r="O99" s="597"/>
      <c r="P99" s="597"/>
      <c r="Q99" s="597"/>
      <c r="R99" s="701" t="s">
        <v>1869</v>
      </c>
      <c r="S99" s="597"/>
      <c r="T99" s="597"/>
      <c r="U99" s="597"/>
      <c r="V99" s="597"/>
    </row>
    <row r="100" spans="1:22">
      <c r="A100" s="597"/>
      <c r="B100" s="597"/>
      <c r="C100" s="597"/>
      <c r="D100" s="597"/>
      <c r="E100" s="597"/>
      <c r="F100" s="597"/>
      <c r="G100" s="597"/>
      <c r="H100" s="597"/>
      <c r="I100" s="597"/>
      <c r="J100" s="701"/>
      <c r="K100" s="597"/>
      <c r="L100" s="597"/>
      <c r="M100" s="597"/>
      <c r="N100" s="597"/>
      <c r="O100" s="597"/>
      <c r="P100" s="597"/>
      <c r="Q100" s="597"/>
      <c r="R100" s="597"/>
      <c r="S100" s="682"/>
      <c r="T100" s="597"/>
      <c r="U100" s="597"/>
      <c r="V100" s="597"/>
    </row>
    <row r="101" spans="1:22">
      <c r="A101" s="597"/>
      <c r="B101" s="597"/>
      <c r="C101" s="597"/>
      <c r="D101" s="597"/>
      <c r="E101" s="597"/>
      <c r="F101" s="597"/>
      <c r="G101" s="597"/>
      <c r="H101" s="597"/>
      <c r="I101" s="597"/>
      <c r="J101" s="701"/>
      <c r="K101" s="597"/>
      <c r="L101" s="597"/>
      <c r="M101" s="597"/>
      <c r="N101" s="597"/>
      <c r="O101" s="597"/>
      <c r="P101" s="597"/>
      <c r="Q101" s="597"/>
      <c r="R101" s="597"/>
      <c r="S101" s="597"/>
      <c r="T101" s="597"/>
      <c r="U101" s="597"/>
      <c r="V101" s="597"/>
    </row>
    <row r="102" spans="1:22">
      <c r="A102" s="597"/>
      <c r="B102" s="597"/>
      <c r="C102" s="597"/>
      <c r="D102" s="597"/>
      <c r="E102" s="597"/>
      <c r="F102" s="597"/>
      <c r="G102" s="597"/>
      <c r="H102" s="597"/>
      <c r="I102" s="597"/>
      <c r="J102" s="597"/>
      <c r="K102" s="597"/>
      <c r="L102" s="597"/>
      <c r="M102" s="597"/>
      <c r="N102" s="597"/>
      <c r="O102" s="597"/>
      <c r="P102" s="597" t="s">
        <v>2168</v>
      </c>
      <c r="Q102" s="597"/>
      <c r="R102" s="998">
        <f t="shared" ref="R102:R110" ca="1" si="1">SUMIF($T$50:$T$98,P102,$R$50:$R$95)</f>
        <v>0</v>
      </c>
      <c r="S102" s="597"/>
      <c r="T102" s="597"/>
      <c r="U102" s="597"/>
      <c r="V102" s="597"/>
    </row>
    <row r="103" spans="1:22">
      <c r="A103" s="597"/>
      <c r="B103" s="597"/>
      <c r="C103" s="597"/>
      <c r="D103" s="597"/>
      <c r="E103" s="597"/>
      <c r="F103" s="597"/>
      <c r="G103" s="597"/>
      <c r="H103" s="597"/>
      <c r="I103" s="597"/>
      <c r="J103" s="597"/>
      <c r="K103" s="597"/>
      <c r="L103" s="597"/>
      <c r="M103" s="597"/>
      <c r="N103" s="597"/>
      <c r="O103" s="597"/>
      <c r="P103" s="597" t="s">
        <v>2169</v>
      </c>
      <c r="Q103" s="597"/>
      <c r="R103" s="998">
        <f t="shared" ca="1" si="1"/>
        <v>0</v>
      </c>
      <c r="S103" s="701"/>
      <c r="T103" s="597"/>
      <c r="U103" s="597"/>
      <c r="V103" s="597"/>
    </row>
    <row r="104" spans="1:22">
      <c r="A104" s="597"/>
      <c r="B104" s="597"/>
      <c r="C104" s="597"/>
      <c r="D104" s="597"/>
      <c r="E104" s="597"/>
      <c r="F104" s="597"/>
      <c r="G104" s="597"/>
      <c r="H104" s="597"/>
      <c r="I104" s="597"/>
      <c r="J104" s="597"/>
      <c r="K104" s="597"/>
      <c r="L104" s="597"/>
      <c r="M104" s="597"/>
      <c r="N104" s="597"/>
      <c r="O104" s="597"/>
      <c r="P104" s="597" t="s">
        <v>2170</v>
      </c>
      <c r="Q104" s="597"/>
      <c r="R104" s="998">
        <f t="shared" ca="1" si="1"/>
        <v>0</v>
      </c>
      <c r="S104" s="597"/>
      <c r="T104" s="597"/>
      <c r="U104" s="597"/>
      <c r="V104" s="597"/>
    </row>
    <row r="105" spans="1:22">
      <c r="A105" s="597"/>
      <c r="B105" s="597"/>
      <c r="C105" s="597"/>
      <c r="D105" s="597"/>
      <c r="E105" s="597"/>
      <c r="F105" s="597"/>
      <c r="G105" s="597"/>
      <c r="H105" s="597"/>
      <c r="I105" s="597"/>
      <c r="J105" s="597"/>
      <c r="K105" s="597"/>
      <c r="L105" s="597"/>
      <c r="M105" s="597"/>
      <c r="N105" s="597"/>
      <c r="O105" s="597"/>
      <c r="P105" s="597" t="s">
        <v>283</v>
      </c>
      <c r="Q105" s="597"/>
      <c r="R105" s="998">
        <f t="shared" ca="1" si="1"/>
        <v>0</v>
      </c>
      <c r="S105" s="597"/>
      <c r="T105" s="597"/>
      <c r="U105" s="597"/>
      <c r="V105" s="597"/>
    </row>
    <row r="106" spans="1:22">
      <c r="A106" s="597"/>
      <c r="B106" s="597"/>
      <c r="C106" s="597"/>
      <c r="D106" s="597"/>
      <c r="E106" s="597"/>
      <c r="F106" s="597"/>
      <c r="G106" s="597"/>
      <c r="H106" s="597"/>
      <c r="I106" s="597"/>
      <c r="J106" s="597"/>
      <c r="K106" s="597"/>
      <c r="L106" s="597"/>
      <c r="M106" s="597"/>
      <c r="N106" s="597"/>
      <c r="O106" s="597"/>
      <c r="P106" s="597" t="s">
        <v>2171</v>
      </c>
      <c r="Q106" s="597"/>
      <c r="R106" s="998">
        <f t="shared" ca="1" si="1"/>
        <v>0</v>
      </c>
      <c r="S106" s="597"/>
      <c r="T106" s="597"/>
      <c r="U106" s="597"/>
      <c r="V106" s="597"/>
    </row>
    <row r="107" spans="1:22">
      <c r="A107" s="597"/>
      <c r="B107" s="597"/>
      <c r="C107" s="597"/>
      <c r="D107" s="597"/>
      <c r="E107" s="597"/>
      <c r="F107" s="597"/>
      <c r="G107" s="597"/>
      <c r="H107" s="597"/>
      <c r="I107" s="597"/>
      <c r="J107" s="597"/>
      <c r="K107" s="597"/>
      <c r="L107" s="597"/>
      <c r="M107" s="597"/>
      <c r="N107" s="597"/>
      <c r="O107" s="597"/>
      <c r="P107" s="597" t="s">
        <v>321</v>
      </c>
      <c r="Q107" s="597"/>
      <c r="R107" s="998">
        <f t="shared" ca="1" si="1"/>
        <v>0</v>
      </c>
      <c r="S107" s="597"/>
      <c r="T107" s="597"/>
      <c r="U107" s="597"/>
      <c r="V107" s="597"/>
    </row>
    <row r="108" spans="1:22">
      <c r="A108" s="597"/>
      <c r="B108" s="597"/>
      <c r="C108" s="597"/>
      <c r="D108" s="597"/>
      <c r="E108" s="597"/>
      <c r="F108" s="597"/>
      <c r="G108" s="597"/>
      <c r="H108" s="597"/>
      <c r="I108" s="597"/>
      <c r="J108" s="597"/>
      <c r="K108" s="597"/>
      <c r="L108" s="597"/>
      <c r="M108" s="597"/>
      <c r="N108" s="597"/>
      <c r="O108" s="597"/>
      <c r="P108" s="597" t="s">
        <v>1688</v>
      </c>
      <c r="Q108" s="597"/>
      <c r="R108" s="998">
        <f t="shared" ca="1" si="1"/>
        <v>-48911</v>
      </c>
      <c r="S108" s="597"/>
      <c r="T108" s="597"/>
      <c r="U108" s="597"/>
      <c r="V108" s="597"/>
    </row>
    <row r="109" spans="1:22">
      <c r="A109" s="597"/>
      <c r="B109" s="597"/>
      <c r="C109" s="597"/>
      <c r="D109" s="597"/>
      <c r="E109" s="597"/>
      <c r="F109" s="597"/>
      <c r="G109" s="597"/>
      <c r="H109" s="597"/>
      <c r="I109" s="597"/>
      <c r="J109" s="597"/>
      <c r="K109" s="597"/>
      <c r="L109" s="597"/>
      <c r="M109" s="597"/>
      <c r="N109" s="597"/>
      <c r="O109" s="597"/>
      <c r="P109" s="597" t="s">
        <v>263</v>
      </c>
      <c r="Q109" s="597"/>
      <c r="R109" s="998">
        <f t="shared" ca="1" si="1"/>
        <v>0</v>
      </c>
      <c r="S109" s="597"/>
      <c r="T109" s="597"/>
      <c r="U109" s="597"/>
      <c r="V109" s="597"/>
    </row>
    <row r="110" spans="1:22">
      <c r="A110" s="597"/>
      <c r="B110" s="597"/>
      <c r="C110" s="597"/>
      <c r="D110" s="597"/>
      <c r="E110" s="597"/>
      <c r="F110" s="597"/>
      <c r="G110" s="597"/>
      <c r="H110" s="597"/>
      <c r="I110" s="597"/>
      <c r="J110" s="597"/>
      <c r="K110" s="597"/>
      <c r="L110" s="597"/>
      <c r="M110" s="597"/>
      <c r="N110" s="597"/>
      <c r="O110" s="597"/>
      <c r="P110" s="597" t="s">
        <v>2143</v>
      </c>
      <c r="Q110" s="597"/>
      <c r="R110" s="997">
        <f t="shared" ca="1" si="1"/>
        <v>-863674</v>
      </c>
      <c r="S110" s="597"/>
      <c r="T110" s="597"/>
      <c r="U110" s="597"/>
      <c r="V110" s="597"/>
    </row>
    <row r="111" spans="1:22">
      <c r="A111" s="597"/>
      <c r="B111" s="597"/>
      <c r="C111" s="597"/>
      <c r="D111" s="597"/>
      <c r="E111" s="597"/>
      <c r="F111" s="597"/>
      <c r="G111" s="597"/>
      <c r="H111" s="597"/>
      <c r="I111" s="597"/>
      <c r="J111" s="597"/>
      <c r="K111" s="597"/>
      <c r="L111" s="597"/>
      <c r="M111" s="597"/>
      <c r="N111" s="597"/>
      <c r="O111" s="597"/>
      <c r="P111" s="597"/>
      <c r="Q111" s="597"/>
      <c r="R111" s="998">
        <f ca="1">SUM(R102:R110)</f>
        <v>-912585</v>
      </c>
      <c r="S111" s="998"/>
      <c r="T111" s="597"/>
      <c r="U111" s="597"/>
      <c r="V111" s="597"/>
    </row>
    <row r="112" spans="1:22">
      <c r="A112" s="597"/>
      <c r="B112" s="597"/>
      <c r="C112" s="597"/>
      <c r="D112" s="597"/>
      <c r="E112" s="597"/>
      <c r="F112" s="597"/>
      <c r="G112" s="597"/>
      <c r="H112" s="597"/>
      <c r="I112" s="597"/>
      <c r="J112" s="597"/>
      <c r="K112" s="597"/>
      <c r="L112" s="597"/>
      <c r="M112" s="597"/>
      <c r="N112" s="597"/>
      <c r="O112" s="597"/>
      <c r="P112" s="597"/>
      <c r="Q112" s="597"/>
      <c r="R112" s="597"/>
      <c r="S112" s="998"/>
      <c r="T112" s="597"/>
      <c r="U112" s="597"/>
      <c r="V112" s="597"/>
    </row>
    <row r="113" spans="1:20">
      <c r="A113" s="597"/>
      <c r="B113" s="597"/>
      <c r="C113" s="597"/>
      <c r="D113" s="597"/>
      <c r="E113" s="597"/>
      <c r="F113" s="597"/>
      <c r="G113" s="597"/>
      <c r="H113" s="597"/>
      <c r="J113" s="597"/>
      <c r="K113" s="597"/>
      <c r="L113" s="597"/>
      <c r="M113" s="597"/>
      <c r="N113" s="597"/>
      <c r="O113" s="597"/>
      <c r="P113" s="597"/>
      <c r="Q113" s="597"/>
      <c r="R113" s="597"/>
      <c r="S113" s="998"/>
      <c r="T113" s="597"/>
    </row>
    <row r="114" spans="1:20">
      <c r="J114" s="597"/>
      <c r="K114" s="597"/>
      <c r="L114" s="597"/>
      <c r="M114" s="597"/>
      <c r="N114" s="597"/>
      <c r="O114" s="597"/>
      <c r="P114" s="597"/>
      <c r="Q114" s="597"/>
      <c r="R114" s="597"/>
      <c r="S114" s="998"/>
      <c r="T114" s="597"/>
    </row>
    <row r="115" spans="1:20">
      <c r="J115" s="597"/>
      <c r="K115" s="597"/>
      <c r="L115" s="597"/>
      <c r="M115" s="597"/>
      <c r="N115" s="597"/>
      <c r="O115" s="597"/>
      <c r="P115" s="597"/>
      <c r="Q115" s="597"/>
      <c r="R115" s="597"/>
      <c r="S115" s="998"/>
      <c r="T115" s="597"/>
    </row>
    <row r="116" spans="1:20">
      <c r="J116" s="597"/>
      <c r="K116" s="597"/>
      <c r="L116" s="597"/>
      <c r="M116" s="597"/>
      <c r="N116" s="597"/>
      <c r="O116" s="597"/>
      <c r="P116" s="597"/>
      <c r="Q116" s="597"/>
      <c r="R116" s="597"/>
      <c r="S116" s="998"/>
      <c r="T116" s="597"/>
    </row>
    <row r="117" spans="1:20">
      <c r="J117" s="597"/>
      <c r="K117" s="597"/>
      <c r="L117" s="597"/>
      <c r="M117" s="597"/>
      <c r="N117" s="597"/>
      <c r="O117" s="597"/>
      <c r="P117" s="597"/>
      <c r="Q117" s="597"/>
      <c r="R117" s="597"/>
      <c r="S117" s="998"/>
      <c r="T117" s="597"/>
    </row>
    <row r="118" spans="1:20">
      <c r="J118" s="597"/>
      <c r="K118" s="597"/>
      <c r="L118" s="597"/>
      <c r="M118" s="597"/>
      <c r="N118" s="597"/>
      <c r="O118" s="597"/>
      <c r="P118" s="597"/>
      <c r="Q118" s="597"/>
      <c r="R118" s="597"/>
      <c r="S118" s="597"/>
      <c r="T118" s="597"/>
    </row>
    <row r="119" spans="1:20">
      <c r="J119" s="597"/>
      <c r="K119" s="597"/>
      <c r="L119" s="597"/>
      <c r="M119" s="597"/>
      <c r="N119" s="597"/>
      <c r="O119" s="597"/>
      <c r="P119" s="597"/>
      <c r="Q119" s="597"/>
      <c r="R119" s="597"/>
      <c r="S119" s="597"/>
      <c r="T119" s="597"/>
    </row>
    <row r="120" spans="1:20">
      <c r="J120" s="597"/>
      <c r="K120" s="597"/>
      <c r="L120" s="597"/>
      <c r="M120" s="597"/>
      <c r="N120" s="597"/>
      <c r="O120" s="597"/>
      <c r="P120" s="597"/>
      <c r="Q120" s="597"/>
      <c r="R120" s="597"/>
      <c r="S120" s="597"/>
      <c r="T120" s="597"/>
    </row>
    <row r="121" spans="1:20">
      <c r="J121" s="597"/>
      <c r="K121" s="597"/>
      <c r="L121" s="597"/>
      <c r="M121" s="597"/>
      <c r="N121" s="597"/>
      <c r="O121" s="597"/>
      <c r="P121" s="597"/>
      <c r="Q121" s="597"/>
      <c r="R121" s="597"/>
      <c r="S121" s="597"/>
      <c r="T121" s="597"/>
    </row>
    <row r="122" spans="1:20">
      <c r="J122" s="597"/>
      <c r="K122" s="597"/>
      <c r="L122" s="597"/>
      <c r="M122" s="597"/>
      <c r="N122" s="597"/>
      <c r="O122" s="597"/>
      <c r="P122" s="597"/>
      <c r="Q122" s="597"/>
      <c r="R122" s="597"/>
      <c r="S122" s="597"/>
      <c r="T122" s="597"/>
    </row>
    <row r="123" spans="1:20">
      <c r="J123" s="597"/>
      <c r="K123" s="597"/>
      <c r="L123" s="597"/>
      <c r="M123" s="597"/>
      <c r="N123" s="597"/>
      <c r="O123" s="597"/>
      <c r="S123" s="597"/>
      <c r="T123" s="597"/>
    </row>
    <row r="124" spans="1:20">
      <c r="J124" s="597"/>
      <c r="K124" s="597"/>
      <c r="L124" s="597"/>
      <c r="M124" s="597"/>
      <c r="N124" s="597"/>
      <c r="O124" s="597"/>
      <c r="S124" s="597"/>
      <c r="T124" s="597"/>
    </row>
    <row r="125" spans="1:20">
      <c r="J125" s="597"/>
      <c r="K125" s="597"/>
      <c r="S125" s="597"/>
      <c r="T125" s="597"/>
    </row>
    <row r="126" spans="1:20">
      <c r="J126" s="597"/>
      <c r="K126" s="597"/>
      <c r="S126" s="597"/>
      <c r="T126" s="597"/>
    </row>
    <row r="127" spans="1:20">
      <c r="J127" s="597"/>
      <c r="K127" s="597"/>
      <c r="S127" s="597"/>
      <c r="T127" s="597"/>
    </row>
    <row r="128" spans="1:20">
      <c r="J128" s="597"/>
      <c r="K128" s="597"/>
      <c r="S128" s="597"/>
      <c r="T128" s="597"/>
    </row>
  </sheetData>
  <phoneticPr fontId="19" type="noConversion"/>
  <pageMargins left="1" right="0.75" top="1" bottom="0" header="0" footer="0"/>
  <pageSetup scale="7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8">
    <tabColor theme="2" tint="-0.499984740745262"/>
  </sheetPr>
  <dimension ref="A1:T91"/>
  <sheetViews>
    <sheetView zoomScale="90" zoomScaleNormal="90" workbookViewId="0"/>
  </sheetViews>
  <sheetFormatPr defaultRowHeight="13.2"/>
  <cols>
    <col min="2" max="2" width="27" customWidth="1"/>
    <col min="3" max="3" width="12.44140625" customWidth="1"/>
    <col min="4" max="4" width="10.5546875" customWidth="1"/>
    <col min="5" max="5" width="29.44140625" customWidth="1"/>
    <col min="6" max="6" width="12.6640625" bestFit="1" customWidth="1"/>
    <col min="7" max="12" width="11.5546875" customWidth="1"/>
    <col min="13" max="13" width="11.5546875" bestFit="1" customWidth="1"/>
    <col min="14" max="18" width="13.44140625" customWidth="1"/>
  </cols>
  <sheetData>
    <row r="1" spans="1:20">
      <c r="A1" s="36" t="str">
        <f>COMPANY</f>
        <v>DUKE ENERGY KENTUCKY, INC.</v>
      </c>
    </row>
    <row r="2" spans="1:20">
      <c r="A2" s="36" t="str">
        <f>CASE</f>
        <v>CASE NO. 2024-00354</v>
      </c>
    </row>
    <row r="3" spans="1:20">
      <c r="A3" s="4" t="s">
        <v>360</v>
      </c>
    </row>
    <row r="4" spans="1:20">
      <c r="A4" s="4" t="s">
        <v>252</v>
      </c>
    </row>
    <row r="5" spans="1:20">
      <c r="A5" s="36"/>
    </row>
    <row r="6" spans="1:20">
      <c r="A6" s="36" t="str">
        <f>Data</f>
        <v>DATA: "X" BASE PERIOD   FORECASTED PERIOD</v>
      </c>
    </row>
    <row r="7" spans="1:20">
      <c r="A7" s="36" t="str">
        <f>Type</f>
        <v xml:space="preserve">TYPE OF FILING:  "X" ORIGINAL   UPDATED    REVISED  </v>
      </c>
    </row>
    <row r="8" spans="1:20">
      <c r="A8" s="37"/>
      <c r="H8" s="2243"/>
    </row>
    <row r="9" spans="1:20">
      <c r="A9" s="37"/>
      <c r="H9" s="2243"/>
    </row>
    <row r="10" spans="1:20" ht="13.8" thickBot="1">
      <c r="A10" s="37"/>
    </row>
    <row r="11" spans="1:20" ht="14.4" thickTop="1" thickBot="1">
      <c r="A11" s="2266" t="s">
        <v>255</v>
      </c>
      <c r="B11" s="2266" t="s">
        <v>2</v>
      </c>
      <c r="C11" s="2266" t="s">
        <v>256</v>
      </c>
      <c r="D11" s="2266" t="s">
        <v>361</v>
      </c>
      <c r="E11" s="2267" t="s">
        <v>362</v>
      </c>
      <c r="F11" s="2266" t="s">
        <v>258</v>
      </c>
      <c r="G11" s="2268">
        <f>LOGO!I7</f>
        <v>45382</v>
      </c>
      <c r="H11" s="2268">
        <f>LOGO!I8</f>
        <v>45412</v>
      </c>
      <c r="I11" s="2268">
        <f>LOGO!I9</f>
        <v>45443</v>
      </c>
      <c r="J11" s="2268">
        <f>LOGO!I10</f>
        <v>45473</v>
      </c>
      <c r="K11" s="2268">
        <f>LOGO!I11</f>
        <v>45504</v>
      </c>
      <c r="L11" s="2268">
        <f>LOGO!I12</f>
        <v>45535</v>
      </c>
      <c r="M11" s="2268">
        <f>LOGO!I13</f>
        <v>45565</v>
      </c>
      <c r="N11" s="2268">
        <f>LOGO!I14</f>
        <v>45596</v>
      </c>
      <c r="O11" s="2268">
        <f>LOGO!I15</f>
        <v>45626</v>
      </c>
      <c r="P11" s="2268">
        <f>LOGO!I16</f>
        <v>45657</v>
      </c>
      <c r="Q11" s="2268">
        <f>LOGO!I17</f>
        <v>45688</v>
      </c>
      <c r="R11" s="2268">
        <f>LOGO!I18</f>
        <v>45716</v>
      </c>
      <c r="S11" s="29"/>
      <c r="T11" s="29"/>
    </row>
    <row r="12" spans="1:20" ht="13.8" thickTop="1">
      <c r="A12" s="10">
        <v>440000</v>
      </c>
      <c r="B12" t="s">
        <v>91</v>
      </c>
      <c r="D12" s="29" t="s">
        <v>363</v>
      </c>
      <c r="E12" t="s">
        <v>364</v>
      </c>
      <c r="F12" s="28">
        <f t="shared" ref="F12:F43" si="0">SUM(G12:R12)</f>
        <v>128052810</v>
      </c>
      <c r="G12" s="643">
        <v>9619882</v>
      </c>
      <c r="H12" s="643">
        <v>8940282</v>
      </c>
      <c r="I12" s="643">
        <v>9548536</v>
      </c>
      <c r="J12" s="643">
        <v>10374069</v>
      </c>
      <c r="K12" s="643">
        <f>13842616-1</f>
        <v>13842615</v>
      </c>
      <c r="L12" s="643">
        <f>12911933-1</f>
        <v>12911932</v>
      </c>
      <c r="M12" s="643">
        <v>10963349</v>
      </c>
      <c r="N12" s="643">
        <v>8263586</v>
      </c>
      <c r="O12" s="643">
        <v>8209406</v>
      </c>
      <c r="P12" s="643">
        <v>10987730</v>
      </c>
      <c r="Q12" s="643">
        <v>12560959</v>
      </c>
      <c r="R12" s="643">
        <v>11830464</v>
      </c>
    </row>
    <row r="13" spans="1:20">
      <c r="A13" s="10">
        <v>440000</v>
      </c>
      <c r="B13" t="s">
        <v>91</v>
      </c>
      <c r="D13" t="s">
        <v>357</v>
      </c>
      <c r="E13" t="s">
        <v>365</v>
      </c>
      <c r="F13" s="28">
        <f t="shared" si="0"/>
        <v>49062156</v>
      </c>
      <c r="G13" s="643">
        <v>2675018</v>
      </c>
      <c r="H13" s="643">
        <v>2438802</v>
      </c>
      <c r="I13" s="643">
        <v>2645476</v>
      </c>
      <c r="J13" s="643">
        <v>4125844</v>
      </c>
      <c r="K13" s="643">
        <v>5478918</v>
      </c>
      <c r="L13" s="643">
        <v>5211255</v>
      </c>
      <c r="M13" s="643">
        <v>4711956</v>
      </c>
      <c r="N13" s="643">
        <v>3292480</v>
      </c>
      <c r="O13" s="643">
        <v>3231208</v>
      </c>
      <c r="P13" s="643">
        <v>4616365</v>
      </c>
      <c r="Q13" s="643">
        <v>5505666</v>
      </c>
      <c r="R13" s="643">
        <v>5129168</v>
      </c>
    </row>
    <row r="14" spans="1:20">
      <c r="A14" s="10">
        <v>440000</v>
      </c>
      <c r="B14" t="s">
        <v>91</v>
      </c>
      <c r="D14" t="s">
        <v>366</v>
      </c>
      <c r="E14" t="s">
        <v>367</v>
      </c>
      <c r="F14" s="28">
        <f t="shared" si="0"/>
        <v>3055120</v>
      </c>
      <c r="G14" s="643">
        <v>142133</v>
      </c>
      <c r="H14" s="643">
        <v>129860</v>
      </c>
      <c r="I14" s="643">
        <v>140820</v>
      </c>
      <c r="J14" s="643">
        <v>164961</v>
      </c>
      <c r="K14" s="643">
        <v>219193</v>
      </c>
      <c r="L14" s="643">
        <v>208448</v>
      </c>
      <c r="M14" s="643">
        <v>361278</v>
      </c>
      <c r="N14" s="643">
        <v>252443</v>
      </c>
      <c r="O14" s="643">
        <v>247745</v>
      </c>
      <c r="P14" s="643">
        <v>353949</v>
      </c>
      <c r="Q14" s="643">
        <v>431913</v>
      </c>
      <c r="R14" s="643">
        <v>402377</v>
      </c>
    </row>
    <row r="15" spans="1:20">
      <c r="A15" s="10">
        <v>440000</v>
      </c>
      <c r="B15" t="s">
        <v>91</v>
      </c>
      <c r="D15" t="s">
        <v>358</v>
      </c>
      <c r="E15" t="s">
        <v>368</v>
      </c>
      <c r="F15" s="28">
        <f t="shared" si="0"/>
        <v>7818241</v>
      </c>
      <c r="G15" s="643">
        <v>985619</v>
      </c>
      <c r="H15" s="643">
        <v>338284</v>
      </c>
      <c r="I15" s="643">
        <v>907380</v>
      </c>
      <c r="J15" s="643">
        <v>-314727</v>
      </c>
      <c r="K15" s="643">
        <v>1777586</v>
      </c>
      <c r="L15" s="643">
        <v>-556972</v>
      </c>
      <c r="M15" s="643">
        <v>588554</v>
      </c>
      <c r="N15" s="643">
        <v>411796</v>
      </c>
      <c r="O15" s="643">
        <v>784683</v>
      </c>
      <c r="P15" s="643">
        <v>1112705</v>
      </c>
      <c r="Q15" s="643">
        <v>1158677</v>
      </c>
      <c r="R15" s="643">
        <v>624656</v>
      </c>
    </row>
    <row r="16" spans="1:20">
      <c r="A16" s="10">
        <v>440000</v>
      </c>
      <c r="B16" t="s">
        <v>91</v>
      </c>
      <c r="D16" t="s">
        <v>369</v>
      </c>
      <c r="E16" t="s">
        <v>370</v>
      </c>
      <c r="F16" s="28">
        <f t="shared" si="0"/>
        <v>-2411008</v>
      </c>
      <c r="G16" s="643">
        <v>131126</v>
      </c>
      <c r="H16" s="643">
        <v>118636</v>
      </c>
      <c r="I16" s="643">
        <v>128976</v>
      </c>
      <c r="J16" s="643">
        <v>-255160</v>
      </c>
      <c r="K16" s="643">
        <v>-339920</v>
      </c>
      <c r="L16" s="643">
        <v>-323428</v>
      </c>
      <c r="M16" s="643">
        <v>-39297</v>
      </c>
      <c r="N16" s="643">
        <v>-359</v>
      </c>
      <c r="O16" s="643">
        <v>-100690</v>
      </c>
      <c r="P16" s="643">
        <v>-274073</v>
      </c>
      <c r="Q16" s="643">
        <v>-1026321</v>
      </c>
      <c r="R16" s="643">
        <v>-430498</v>
      </c>
    </row>
    <row r="17" spans="1:18">
      <c r="A17" s="10">
        <v>440000</v>
      </c>
      <c r="B17" t="s">
        <v>91</v>
      </c>
      <c r="D17" t="s">
        <v>371</v>
      </c>
      <c r="E17" t="s">
        <v>372</v>
      </c>
      <c r="F17" s="28">
        <f t="shared" si="0"/>
        <v>12908436</v>
      </c>
      <c r="G17" s="643">
        <v>594789</v>
      </c>
      <c r="H17" s="643">
        <v>1124166</v>
      </c>
      <c r="I17" s="643">
        <v>1449837</v>
      </c>
      <c r="J17" s="643">
        <v>1156958</v>
      </c>
      <c r="K17" s="643">
        <v>1182501</v>
      </c>
      <c r="L17" s="643">
        <v>2556799</v>
      </c>
      <c r="M17" s="643">
        <v>708872</v>
      </c>
      <c r="N17" s="643">
        <v>462304</v>
      </c>
      <c r="O17" s="643">
        <v>571299</v>
      </c>
      <c r="P17" s="643">
        <v>1563980</v>
      </c>
      <c r="Q17" s="643">
        <v>888600</v>
      </c>
      <c r="R17" s="643">
        <v>648331</v>
      </c>
    </row>
    <row r="18" spans="1:18">
      <c r="A18" s="10">
        <v>440990</v>
      </c>
      <c r="B18" t="s">
        <v>92</v>
      </c>
      <c r="D18" t="s">
        <v>373</v>
      </c>
      <c r="E18" t="s">
        <v>374</v>
      </c>
      <c r="F18" s="28">
        <f t="shared" si="0"/>
        <v>1995955</v>
      </c>
      <c r="G18" s="643">
        <v>-1046919</v>
      </c>
      <c r="H18" s="643">
        <v>-922209</v>
      </c>
      <c r="I18" s="643">
        <v>13497</v>
      </c>
      <c r="J18" s="643">
        <v>7754908</v>
      </c>
      <c r="K18" s="643">
        <v>-2620506</v>
      </c>
      <c r="L18" s="643">
        <v>1266224</v>
      </c>
      <c r="M18" s="643">
        <v>-2318473</v>
      </c>
      <c r="N18" s="643">
        <v>-185514</v>
      </c>
      <c r="O18" s="643">
        <v>2255254</v>
      </c>
      <c r="P18" s="643">
        <v>994628</v>
      </c>
      <c r="Q18" s="643">
        <v>-2025918</v>
      </c>
      <c r="R18" s="643">
        <v>-1169017</v>
      </c>
    </row>
    <row r="19" spans="1:18">
      <c r="A19" s="10">
        <v>442100</v>
      </c>
      <c r="B19" t="s">
        <v>93</v>
      </c>
      <c r="D19" t="s">
        <v>363</v>
      </c>
      <c r="E19" t="s">
        <v>364</v>
      </c>
      <c r="F19" s="28">
        <f t="shared" si="0"/>
        <v>99759474</v>
      </c>
      <c r="G19" s="643">
        <v>8089742</v>
      </c>
      <c r="H19" s="643">
        <v>8036627</v>
      </c>
      <c r="I19" s="643">
        <v>8041419</v>
      </c>
      <c r="J19" s="643">
        <v>6917953</v>
      </c>
      <c r="K19" s="643">
        <f>11013546+1</f>
        <v>11013547</v>
      </c>
      <c r="L19" s="643">
        <v>9750298</v>
      </c>
      <c r="M19" s="643">
        <v>8608733</v>
      </c>
      <c r="N19" s="643">
        <v>7904328</v>
      </c>
      <c r="O19" s="643">
        <v>7677888</v>
      </c>
      <c r="P19" s="643">
        <v>7966103</v>
      </c>
      <c r="Q19" s="643">
        <v>7996971</v>
      </c>
      <c r="R19" s="643">
        <v>7755865</v>
      </c>
    </row>
    <row r="20" spans="1:18">
      <c r="A20" s="10">
        <v>442100</v>
      </c>
      <c r="B20" t="s">
        <v>93</v>
      </c>
      <c r="D20" t="s">
        <v>357</v>
      </c>
      <c r="E20" t="s">
        <v>365</v>
      </c>
      <c r="F20" s="28">
        <f t="shared" si="0"/>
        <v>47987731</v>
      </c>
      <c r="G20" s="643">
        <v>2978070</v>
      </c>
      <c r="H20" s="643">
        <v>2962482</v>
      </c>
      <c r="I20" s="643">
        <v>3179439</v>
      </c>
      <c r="J20" s="643">
        <v>3679740</v>
      </c>
      <c r="K20" s="643">
        <v>5830069</v>
      </c>
      <c r="L20" s="643">
        <v>5157772</v>
      </c>
      <c r="M20" s="643">
        <v>4400722</v>
      </c>
      <c r="N20" s="643">
        <v>3925560</v>
      </c>
      <c r="O20" s="643">
        <v>3690712</v>
      </c>
      <c r="P20" s="643">
        <v>4090039</v>
      </c>
      <c r="Q20" s="643">
        <v>4193226</v>
      </c>
      <c r="R20" s="643">
        <v>3899900</v>
      </c>
    </row>
    <row r="21" spans="1:18">
      <c r="A21" s="10">
        <v>442100</v>
      </c>
      <c r="B21" t="s">
        <v>93</v>
      </c>
      <c r="D21" t="s">
        <v>366</v>
      </c>
      <c r="E21" t="s">
        <v>367</v>
      </c>
      <c r="F21" s="28">
        <f t="shared" si="0"/>
        <v>3851727</v>
      </c>
      <c r="G21" s="643">
        <v>403474</v>
      </c>
      <c r="H21" s="643">
        <v>403645</v>
      </c>
      <c r="I21" s="643">
        <v>438587</v>
      </c>
      <c r="J21" s="643">
        <v>380148</v>
      </c>
      <c r="K21" s="643">
        <v>603278</v>
      </c>
      <c r="L21" s="643">
        <v>533635</v>
      </c>
      <c r="M21" s="643">
        <v>196717</v>
      </c>
      <c r="N21" s="643">
        <v>175477</v>
      </c>
      <c r="O21" s="643">
        <v>164979</v>
      </c>
      <c r="P21" s="643">
        <v>182829</v>
      </c>
      <c r="Q21" s="643">
        <v>191165</v>
      </c>
      <c r="R21" s="643">
        <v>177793</v>
      </c>
    </row>
    <row r="22" spans="1:18">
      <c r="A22" s="10">
        <v>442100</v>
      </c>
      <c r="B22" t="s">
        <v>93</v>
      </c>
      <c r="D22" t="s">
        <v>358</v>
      </c>
      <c r="E22" t="s">
        <v>368</v>
      </c>
      <c r="F22" s="28">
        <f t="shared" si="0"/>
        <v>7745580</v>
      </c>
      <c r="G22" s="643">
        <v>1091077</v>
      </c>
      <c r="H22" s="643">
        <v>457057</v>
      </c>
      <c r="I22" s="643">
        <v>1074915</v>
      </c>
      <c r="J22" s="643">
        <v>-215084</v>
      </c>
      <c r="K22" s="643">
        <v>1507616</v>
      </c>
      <c r="L22" s="643">
        <v>-450191</v>
      </c>
      <c r="M22" s="643">
        <v>549679</v>
      </c>
      <c r="N22" s="643">
        <v>490976</v>
      </c>
      <c r="O22" s="643">
        <v>896272</v>
      </c>
      <c r="P22" s="643">
        <v>985842</v>
      </c>
      <c r="Q22" s="643">
        <v>882471</v>
      </c>
      <c r="R22" s="643">
        <v>474950</v>
      </c>
    </row>
    <row r="23" spans="1:18">
      <c r="A23" s="10">
        <v>442100</v>
      </c>
      <c r="B23" t="s">
        <v>93</v>
      </c>
      <c r="D23" t="s">
        <v>369</v>
      </c>
      <c r="E23" t="s">
        <v>370</v>
      </c>
      <c r="F23" s="28">
        <f t="shared" si="0"/>
        <v>-1932065</v>
      </c>
      <c r="G23" s="643">
        <v>155035</v>
      </c>
      <c r="H23" s="643">
        <v>145016</v>
      </c>
      <c r="I23" s="643">
        <v>159360</v>
      </c>
      <c r="J23" s="643">
        <v>-209351</v>
      </c>
      <c r="K23" s="643">
        <v>-358902</v>
      </c>
      <c r="L23" s="643">
        <v>-319271</v>
      </c>
      <c r="M23" s="643">
        <v>-36701</v>
      </c>
      <c r="N23" s="643">
        <v>-428</v>
      </c>
      <c r="O23" s="643">
        <v>-115008</v>
      </c>
      <c r="P23" s="643">
        <v>-242825</v>
      </c>
      <c r="Q23" s="643">
        <v>-781666</v>
      </c>
      <c r="R23" s="643">
        <v>-327324</v>
      </c>
    </row>
    <row r="24" spans="1:18">
      <c r="A24" s="10">
        <v>442100</v>
      </c>
      <c r="B24" t="s">
        <v>93</v>
      </c>
      <c r="D24" t="s">
        <v>371</v>
      </c>
      <c r="E24" t="s">
        <v>372</v>
      </c>
      <c r="F24" s="28">
        <f t="shared" si="0"/>
        <v>12144584</v>
      </c>
      <c r="G24" s="643">
        <v>702094</v>
      </c>
      <c r="H24" s="643">
        <v>1293433</v>
      </c>
      <c r="I24" s="643">
        <v>1504921</v>
      </c>
      <c r="J24" s="643">
        <v>950875</v>
      </c>
      <c r="K24" s="643">
        <v>1082777</v>
      </c>
      <c r="L24" s="643">
        <v>2189303</v>
      </c>
      <c r="M24" s="643">
        <v>662050</v>
      </c>
      <c r="N24" s="643">
        <v>551196</v>
      </c>
      <c r="O24" s="643">
        <v>652542</v>
      </c>
      <c r="P24" s="643">
        <v>1385666</v>
      </c>
      <c r="Q24" s="643">
        <v>676776</v>
      </c>
      <c r="R24" s="643">
        <v>492951</v>
      </c>
    </row>
    <row r="25" spans="1:18">
      <c r="A25" s="10">
        <v>442190</v>
      </c>
      <c r="B25" t="s">
        <v>94</v>
      </c>
      <c r="D25" t="s">
        <v>373</v>
      </c>
      <c r="E25" t="s">
        <v>374</v>
      </c>
      <c r="F25" s="28">
        <f t="shared" si="0"/>
        <v>-1928897</v>
      </c>
      <c r="G25" s="643">
        <v>59837</v>
      </c>
      <c r="H25" s="643">
        <v>-667775</v>
      </c>
      <c r="I25" s="643">
        <v>-261568</v>
      </c>
      <c r="J25" s="643">
        <v>8567853</v>
      </c>
      <c r="K25" s="643">
        <v>-5329039</v>
      </c>
      <c r="L25" s="643">
        <v>-1886903</v>
      </c>
      <c r="M25" s="643">
        <v>260168</v>
      </c>
      <c r="N25" s="643">
        <v>-220140</v>
      </c>
      <c r="O25" s="643">
        <v>375617</v>
      </c>
      <c r="P25" s="643">
        <v>-1107266</v>
      </c>
      <c r="Q25" s="643">
        <v>-1473183</v>
      </c>
      <c r="R25" s="643">
        <v>-246498</v>
      </c>
    </row>
    <row r="26" spans="1:18">
      <c r="A26" s="10">
        <v>442200</v>
      </c>
      <c r="B26" t="s">
        <v>95</v>
      </c>
      <c r="D26" t="s">
        <v>363</v>
      </c>
      <c r="E26" t="s">
        <v>364</v>
      </c>
      <c r="F26" s="28">
        <f t="shared" si="0"/>
        <v>40419528</v>
      </c>
      <c r="G26" s="643">
        <v>3112741</v>
      </c>
      <c r="H26" s="643">
        <v>3065132</v>
      </c>
      <c r="I26" s="643">
        <v>2852042</v>
      </c>
      <c r="J26" s="643">
        <v>3122602</v>
      </c>
      <c r="K26" s="643">
        <v>3365176</v>
      </c>
      <c r="L26" s="643">
        <f>4012786-1</f>
        <v>4012785</v>
      </c>
      <c r="M26" s="643">
        <v>3874251</v>
      </c>
      <c r="N26" s="643">
        <v>3511522</v>
      </c>
      <c r="O26" s="643">
        <v>3583123</v>
      </c>
      <c r="P26" s="643">
        <v>3400355</v>
      </c>
      <c r="Q26" s="643">
        <v>3229795</v>
      </c>
      <c r="R26" s="643">
        <v>3290004</v>
      </c>
    </row>
    <row r="27" spans="1:18">
      <c r="A27" s="10">
        <v>442200</v>
      </c>
      <c r="B27" t="s">
        <v>95</v>
      </c>
      <c r="D27" t="s">
        <v>357</v>
      </c>
      <c r="E27" t="s">
        <v>365</v>
      </c>
      <c r="F27" s="28">
        <f t="shared" si="0"/>
        <v>23857743</v>
      </c>
      <c r="G27" s="643">
        <v>1461166</v>
      </c>
      <c r="H27" s="643">
        <v>1484187</v>
      </c>
      <c r="I27" s="643">
        <v>1366375</v>
      </c>
      <c r="J27" s="643">
        <v>2317941</v>
      </c>
      <c r="K27" s="643">
        <v>2004765</v>
      </c>
      <c r="L27" s="643">
        <v>2671602</v>
      </c>
      <c r="M27" s="643">
        <v>2315286</v>
      </c>
      <c r="N27" s="643">
        <v>2068994</v>
      </c>
      <c r="O27" s="643">
        <v>2076039</v>
      </c>
      <c r="P27" s="643">
        <v>2105643</v>
      </c>
      <c r="Q27" s="643">
        <v>2016612</v>
      </c>
      <c r="R27" s="643">
        <v>1969133</v>
      </c>
    </row>
    <row r="28" spans="1:18">
      <c r="A28" s="10">
        <v>442200</v>
      </c>
      <c r="B28" t="s">
        <v>95</v>
      </c>
      <c r="D28" t="s">
        <v>366</v>
      </c>
      <c r="E28" t="s">
        <v>367</v>
      </c>
      <c r="F28" s="28">
        <f t="shared" si="0"/>
        <v>1637931</v>
      </c>
      <c r="G28" s="643">
        <v>166990</v>
      </c>
      <c r="H28" s="643">
        <v>158969</v>
      </c>
      <c r="I28" s="643">
        <v>168456</v>
      </c>
      <c r="J28" s="643">
        <v>178963</v>
      </c>
      <c r="K28" s="643">
        <v>186312</v>
      </c>
      <c r="L28" s="643">
        <v>213627</v>
      </c>
      <c r="M28" s="643">
        <v>103496</v>
      </c>
      <c r="N28" s="643">
        <v>92486</v>
      </c>
      <c r="O28" s="643">
        <v>92801</v>
      </c>
      <c r="P28" s="643">
        <v>94124</v>
      </c>
      <c r="Q28" s="643">
        <v>91936</v>
      </c>
      <c r="R28" s="643">
        <v>89771</v>
      </c>
    </row>
    <row r="29" spans="1:18">
      <c r="A29" s="10">
        <v>442200</v>
      </c>
      <c r="B29" t="s">
        <v>95</v>
      </c>
      <c r="D29" t="s">
        <v>358</v>
      </c>
      <c r="E29" t="s">
        <v>368</v>
      </c>
      <c r="F29" s="28">
        <f t="shared" si="0"/>
        <v>3844326</v>
      </c>
      <c r="G29" s="643">
        <v>523932</v>
      </c>
      <c r="H29" s="643">
        <v>217236</v>
      </c>
      <c r="I29" s="643">
        <v>444291</v>
      </c>
      <c r="J29" s="643">
        <v>-38127</v>
      </c>
      <c r="K29" s="643">
        <v>545015</v>
      </c>
      <c r="L29" s="643">
        <v>-71887</v>
      </c>
      <c r="M29" s="643">
        <v>289195</v>
      </c>
      <c r="N29" s="643">
        <v>258772</v>
      </c>
      <c r="O29" s="643">
        <v>504156</v>
      </c>
      <c r="P29" s="643">
        <v>507533</v>
      </c>
      <c r="Q29" s="643">
        <v>424399</v>
      </c>
      <c r="R29" s="643">
        <v>239811</v>
      </c>
    </row>
    <row r="30" spans="1:18">
      <c r="A30" s="10">
        <v>442200</v>
      </c>
      <c r="B30" t="s">
        <v>95</v>
      </c>
      <c r="D30" t="s">
        <v>369</v>
      </c>
      <c r="E30" t="s">
        <v>370</v>
      </c>
      <c r="F30" s="28">
        <f t="shared" si="0"/>
        <v>-918765</v>
      </c>
      <c r="G30" s="643">
        <v>79602</v>
      </c>
      <c r="H30" s="643">
        <v>77712</v>
      </c>
      <c r="I30" s="643">
        <v>66541</v>
      </c>
      <c r="J30" s="643">
        <v>-103293</v>
      </c>
      <c r="K30" s="643">
        <v>-123048</v>
      </c>
      <c r="L30" s="643">
        <v>-165848</v>
      </c>
      <c r="M30" s="643">
        <v>-19309</v>
      </c>
      <c r="N30" s="643">
        <v>-225</v>
      </c>
      <c r="O30" s="643">
        <v>-64693</v>
      </c>
      <c r="P30" s="643">
        <v>-125012</v>
      </c>
      <c r="Q30" s="643">
        <v>-375920</v>
      </c>
      <c r="R30" s="643">
        <v>-165272</v>
      </c>
    </row>
    <row r="31" spans="1:18">
      <c r="A31" s="10">
        <v>442200</v>
      </c>
      <c r="B31" t="s">
        <v>95</v>
      </c>
      <c r="D31" t="s">
        <v>371</v>
      </c>
      <c r="E31" t="s">
        <v>372</v>
      </c>
      <c r="F31" s="28">
        <f t="shared" si="0"/>
        <v>5199012</v>
      </c>
      <c r="G31" s="643">
        <v>275168</v>
      </c>
      <c r="H31" s="643">
        <v>490579</v>
      </c>
      <c r="I31" s="643">
        <v>530668</v>
      </c>
      <c r="J31" s="643">
        <v>456177</v>
      </c>
      <c r="K31" s="643">
        <v>323683</v>
      </c>
      <c r="L31" s="643">
        <v>829107</v>
      </c>
      <c r="M31" s="643">
        <v>348314</v>
      </c>
      <c r="N31" s="643">
        <v>290512</v>
      </c>
      <c r="O31" s="643">
        <v>367057</v>
      </c>
      <c r="P31" s="643">
        <v>713371</v>
      </c>
      <c r="Q31" s="643">
        <v>325476</v>
      </c>
      <c r="R31" s="643">
        <v>248900</v>
      </c>
    </row>
    <row r="32" spans="1:18">
      <c r="A32" s="10">
        <v>442290</v>
      </c>
      <c r="B32" t="s">
        <v>96</v>
      </c>
      <c r="D32" t="s">
        <v>373</v>
      </c>
      <c r="E32" t="s">
        <v>374</v>
      </c>
      <c r="F32" s="28">
        <f t="shared" si="0"/>
        <v>-357147</v>
      </c>
      <c r="G32" s="643">
        <v>74110</v>
      </c>
      <c r="H32" s="643">
        <v>-324268</v>
      </c>
      <c r="I32" s="643">
        <v>456640</v>
      </c>
      <c r="J32" s="643">
        <v>1667048</v>
      </c>
      <c r="K32" s="643">
        <v>125552</v>
      </c>
      <c r="L32" s="643">
        <v>-1086454</v>
      </c>
      <c r="M32" s="643">
        <v>-82410</v>
      </c>
      <c r="N32" s="643">
        <v>128242</v>
      </c>
      <c r="O32" s="643">
        <v>39661</v>
      </c>
      <c r="P32" s="643">
        <v>-483233</v>
      </c>
      <c r="Q32" s="643">
        <v>-715484</v>
      </c>
      <c r="R32" s="643">
        <v>-156551</v>
      </c>
    </row>
    <row r="33" spans="1:18">
      <c r="A33" s="10">
        <v>444000</v>
      </c>
      <c r="B33" t="s">
        <v>97</v>
      </c>
      <c r="D33" t="s">
        <v>363</v>
      </c>
      <c r="E33" t="s">
        <v>364</v>
      </c>
      <c r="F33" s="28">
        <f t="shared" si="0"/>
        <v>648879</v>
      </c>
      <c r="G33" s="643">
        <v>-3515</v>
      </c>
      <c r="H33" s="643">
        <f>-95+1</f>
        <v>-94</v>
      </c>
      <c r="I33" s="643">
        <v>-1194</v>
      </c>
      <c r="J33" s="643">
        <f>-9513+1</f>
        <v>-9512</v>
      </c>
      <c r="K33" s="643">
        <v>-3541</v>
      </c>
      <c r="L33" s="643">
        <v>-3701</v>
      </c>
      <c r="M33" s="643">
        <v>135097</v>
      </c>
      <c r="N33" s="643">
        <v>103181</v>
      </c>
      <c r="O33" s="643">
        <v>115218</v>
      </c>
      <c r="P33" s="643">
        <v>101933</v>
      </c>
      <c r="Q33" s="643">
        <v>109821</v>
      </c>
      <c r="R33" s="643">
        <v>105186</v>
      </c>
    </row>
    <row r="34" spans="1:18">
      <c r="A34" s="10">
        <v>444000</v>
      </c>
      <c r="B34" t="s">
        <v>97</v>
      </c>
      <c r="D34" t="s">
        <v>357</v>
      </c>
      <c r="E34" t="s">
        <v>365</v>
      </c>
      <c r="F34" s="28">
        <f t="shared" si="0"/>
        <v>424314</v>
      </c>
      <c r="G34" s="643">
        <v>34935</v>
      </c>
      <c r="H34" s="643">
        <v>27821</v>
      </c>
      <c r="I34" s="643">
        <v>30479</v>
      </c>
      <c r="J34" s="643">
        <v>38464</v>
      </c>
      <c r="K34" s="643">
        <v>32948</v>
      </c>
      <c r="L34" s="643">
        <v>34547</v>
      </c>
      <c r="M34" s="643">
        <v>45425</v>
      </c>
      <c r="N34" s="643">
        <v>34047</v>
      </c>
      <c r="O34" s="643">
        <v>37898</v>
      </c>
      <c r="P34" s="643">
        <v>34653</v>
      </c>
      <c r="Q34" s="643">
        <v>37651</v>
      </c>
      <c r="R34" s="643">
        <v>35446</v>
      </c>
    </row>
    <row r="35" spans="1:18">
      <c r="A35" s="10">
        <v>444000</v>
      </c>
      <c r="B35" t="s">
        <v>97</v>
      </c>
      <c r="D35" t="s">
        <v>366</v>
      </c>
      <c r="E35" t="s">
        <v>367</v>
      </c>
      <c r="F35" s="28">
        <f t="shared" si="0"/>
        <v>0</v>
      </c>
      <c r="G35" s="643"/>
      <c r="H35" s="643"/>
      <c r="I35" s="643"/>
      <c r="J35" s="643"/>
      <c r="K35" s="643"/>
      <c r="L35" s="643">
        <v>0</v>
      </c>
      <c r="M35" s="643">
        <v>0</v>
      </c>
      <c r="N35" s="643">
        <v>0</v>
      </c>
      <c r="O35" s="643">
        <v>0</v>
      </c>
      <c r="P35" s="643">
        <v>0</v>
      </c>
      <c r="Q35" s="643">
        <v>0</v>
      </c>
      <c r="R35" s="643">
        <v>0</v>
      </c>
    </row>
    <row r="36" spans="1:18">
      <c r="A36" s="10">
        <v>444000</v>
      </c>
      <c r="B36" t="s">
        <v>97</v>
      </c>
      <c r="D36" t="s">
        <v>358</v>
      </c>
      <c r="E36" t="s">
        <v>368</v>
      </c>
      <c r="F36" s="28">
        <f t="shared" si="0"/>
        <v>74586</v>
      </c>
      <c r="G36" s="643">
        <v>13054</v>
      </c>
      <c r="H36" s="643">
        <v>4948</v>
      </c>
      <c r="I36" s="643">
        <v>10409</v>
      </c>
      <c r="J36" s="643">
        <v>-924</v>
      </c>
      <c r="K36" s="643">
        <v>10200</v>
      </c>
      <c r="L36" s="643">
        <v>-2830</v>
      </c>
      <c r="M36" s="643">
        <v>5674</v>
      </c>
      <c r="N36" s="643">
        <v>4258</v>
      </c>
      <c r="O36" s="643">
        <v>9203</v>
      </c>
      <c r="P36" s="643">
        <v>8353</v>
      </c>
      <c r="Q36" s="643">
        <v>7924</v>
      </c>
      <c r="R36" s="643">
        <v>4317</v>
      </c>
    </row>
    <row r="37" spans="1:18">
      <c r="A37" s="10">
        <v>444000</v>
      </c>
      <c r="B37" t="s">
        <v>97</v>
      </c>
      <c r="D37" t="s">
        <v>369</v>
      </c>
      <c r="E37" t="s">
        <v>370</v>
      </c>
      <c r="F37" s="28">
        <f t="shared" si="0"/>
        <v>-13091</v>
      </c>
      <c r="G37" s="643">
        <v>2894</v>
      </c>
      <c r="H37" s="643">
        <v>1599</v>
      </c>
      <c r="I37" s="643">
        <v>1843</v>
      </c>
      <c r="J37" s="643">
        <v>-1622</v>
      </c>
      <c r="K37" s="643">
        <v>-2045</v>
      </c>
      <c r="L37" s="643">
        <v>-2145</v>
      </c>
      <c r="M37" s="643">
        <v>-379</v>
      </c>
      <c r="N37" s="643">
        <v>-4</v>
      </c>
      <c r="O37" s="643">
        <v>-1181</v>
      </c>
      <c r="P37" s="643">
        <v>-2057</v>
      </c>
      <c r="Q37" s="643">
        <v>-7019</v>
      </c>
      <c r="R37" s="643">
        <v>-2975</v>
      </c>
    </row>
    <row r="38" spans="1:18">
      <c r="A38" s="10">
        <v>444000</v>
      </c>
      <c r="B38" t="s">
        <v>97</v>
      </c>
      <c r="D38" t="s">
        <v>371</v>
      </c>
      <c r="E38" t="s">
        <v>372</v>
      </c>
      <c r="F38" s="28">
        <f t="shared" si="0"/>
        <v>164287</v>
      </c>
      <c r="G38" s="643">
        <v>24144</v>
      </c>
      <c r="H38" s="643">
        <v>20717</v>
      </c>
      <c r="I38" s="643">
        <v>25140</v>
      </c>
      <c r="J38" s="643">
        <v>17904</v>
      </c>
      <c r="K38" s="643">
        <v>10341</v>
      </c>
      <c r="L38" s="643">
        <v>25428</v>
      </c>
      <c r="M38" s="643">
        <v>6834</v>
      </c>
      <c r="N38" s="643">
        <v>4781</v>
      </c>
      <c r="O38" s="643">
        <v>6701</v>
      </c>
      <c r="P38" s="643">
        <v>11740</v>
      </c>
      <c r="Q38" s="643">
        <v>6077</v>
      </c>
      <c r="R38" s="643">
        <v>4480</v>
      </c>
    </row>
    <row r="39" spans="1:18">
      <c r="A39" s="10">
        <v>445000</v>
      </c>
      <c r="B39" t="s">
        <v>98</v>
      </c>
      <c r="D39" t="s">
        <v>363</v>
      </c>
      <c r="E39" t="s">
        <v>364</v>
      </c>
      <c r="F39" s="28">
        <f t="shared" si="0"/>
        <v>15713381</v>
      </c>
      <c r="G39" s="643">
        <v>1195738</v>
      </c>
      <c r="H39" s="643">
        <v>1007667</v>
      </c>
      <c r="I39" s="643">
        <v>1161785</v>
      </c>
      <c r="J39" s="643">
        <v>883010</v>
      </c>
      <c r="K39" s="643">
        <f>1537395+1</f>
        <v>1537396</v>
      </c>
      <c r="L39" s="643">
        <f>1355065+1</f>
        <v>1355066</v>
      </c>
      <c r="M39" s="643">
        <v>1582518</v>
      </c>
      <c r="N39" s="643">
        <v>1410184</v>
      </c>
      <c r="O39" s="643">
        <v>1262564</v>
      </c>
      <c r="P39" s="643">
        <v>1427908</v>
      </c>
      <c r="Q39" s="643">
        <v>1381753</v>
      </c>
      <c r="R39" s="643">
        <v>1507792</v>
      </c>
    </row>
    <row r="40" spans="1:18">
      <c r="A40" s="10">
        <v>445000</v>
      </c>
      <c r="B40" t="s">
        <v>98</v>
      </c>
      <c r="D40" t="s">
        <v>357</v>
      </c>
      <c r="E40" t="s">
        <v>365</v>
      </c>
      <c r="F40" s="28">
        <f t="shared" si="0"/>
        <v>7891190</v>
      </c>
      <c r="G40" s="643">
        <v>450243</v>
      </c>
      <c r="H40" s="643">
        <v>355379</v>
      </c>
      <c r="I40" s="643">
        <v>507533</v>
      </c>
      <c r="J40" s="643">
        <v>551167</v>
      </c>
      <c r="K40" s="643">
        <v>799867</v>
      </c>
      <c r="L40" s="643">
        <v>750059</v>
      </c>
      <c r="M40" s="643">
        <v>841790</v>
      </c>
      <c r="N40" s="643">
        <v>750252</v>
      </c>
      <c r="O40" s="643">
        <v>653753</v>
      </c>
      <c r="P40" s="643">
        <v>751586</v>
      </c>
      <c r="Q40" s="643">
        <v>747023</v>
      </c>
      <c r="R40" s="643">
        <v>732538</v>
      </c>
    </row>
    <row r="41" spans="1:18">
      <c r="A41" s="10">
        <v>445000</v>
      </c>
      <c r="B41" t="s">
        <v>98</v>
      </c>
      <c r="D41" t="s">
        <v>366</v>
      </c>
      <c r="E41" t="s">
        <v>367</v>
      </c>
      <c r="F41" s="28">
        <f t="shared" si="0"/>
        <v>559645</v>
      </c>
      <c r="G41" s="643">
        <v>57677</v>
      </c>
      <c r="H41" s="643">
        <v>47946</v>
      </c>
      <c r="I41" s="643">
        <v>58752</v>
      </c>
      <c r="J41" s="643">
        <v>48281</v>
      </c>
      <c r="K41" s="643">
        <v>77028</v>
      </c>
      <c r="L41" s="643">
        <v>68523</v>
      </c>
      <c r="M41" s="643">
        <v>37629</v>
      </c>
      <c r="N41" s="643">
        <v>33537</v>
      </c>
      <c r="O41" s="643">
        <v>29223</v>
      </c>
      <c r="P41" s="643">
        <v>33597</v>
      </c>
      <c r="Q41" s="643">
        <v>34056</v>
      </c>
      <c r="R41" s="643">
        <v>33396</v>
      </c>
    </row>
    <row r="42" spans="1:18">
      <c r="A42" s="10">
        <v>445000</v>
      </c>
      <c r="B42" t="s">
        <v>98</v>
      </c>
      <c r="D42" t="s">
        <v>358</v>
      </c>
      <c r="E42" t="s">
        <v>368</v>
      </c>
      <c r="F42" s="28">
        <f t="shared" si="0"/>
        <v>1267899</v>
      </c>
      <c r="G42" s="643">
        <v>141606</v>
      </c>
      <c r="H42" s="643">
        <v>36535</v>
      </c>
      <c r="I42" s="643">
        <v>157276</v>
      </c>
      <c r="J42" s="643">
        <v>-6258</v>
      </c>
      <c r="K42" s="643">
        <v>172523</v>
      </c>
      <c r="L42" s="643">
        <v>-19106</v>
      </c>
      <c r="M42" s="643">
        <v>105145</v>
      </c>
      <c r="N42" s="643">
        <v>93835</v>
      </c>
      <c r="O42" s="643">
        <v>158761</v>
      </c>
      <c r="P42" s="643">
        <v>181158</v>
      </c>
      <c r="Q42" s="643">
        <v>157212</v>
      </c>
      <c r="R42" s="643">
        <v>89212</v>
      </c>
    </row>
    <row r="43" spans="1:18">
      <c r="A43" s="10">
        <v>445000</v>
      </c>
      <c r="B43" t="s">
        <v>98</v>
      </c>
      <c r="D43" t="s">
        <v>369</v>
      </c>
      <c r="E43" t="s">
        <v>370</v>
      </c>
      <c r="F43" s="28">
        <f t="shared" si="0"/>
        <v>-306788</v>
      </c>
      <c r="G43" s="643">
        <v>37010</v>
      </c>
      <c r="H43" s="643">
        <v>23140</v>
      </c>
      <c r="I43" s="643">
        <v>25420</v>
      </c>
      <c r="J43" s="643">
        <v>-23542</v>
      </c>
      <c r="K43" s="643">
        <v>-49422</v>
      </c>
      <c r="L43" s="643">
        <v>-46562</v>
      </c>
      <c r="M43" s="643">
        <v>-7020</v>
      </c>
      <c r="N43" s="643">
        <v>-82</v>
      </c>
      <c r="O43" s="643">
        <v>-20372</v>
      </c>
      <c r="P43" s="643">
        <v>-44621</v>
      </c>
      <c r="Q43" s="643">
        <v>-139254</v>
      </c>
      <c r="R43" s="643">
        <v>-61483</v>
      </c>
    </row>
    <row r="44" spans="1:18">
      <c r="A44" s="10">
        <v>445000</v>
      </c>
      <c r="B44" t="s">
        <v>98</v>
      </c>
      <c r="D44" t="s">
        <v>371</v>
      </c>
      <c r="E44" t="s">
        <v>372</v>
      </c>
      <c r="F44" s="28">
        <f t="shared" ref="F44:F75" si="1">SUM(G44:R44)</f>
        <v>1878808</v>
      </c>
      <c r="G44" s="643">
        <v>129995</v>
      </c>
      <c r="H44" s="643">
        <v>151728</v>
      </c>
      <c r="I44" s="643">
        <v>212465</v>
      </c>
      <c r="J44" s="643">
        <v>130853</v>
      </c>
      <c r="K44" s="643">
        <v>157592</v>
      </c>
      <c r="L44" s="643">
        <v>280812</v>
      </c>
      <c r="M44" s="643">
        <v>126640</v>
      </c>
      <c r="N44" s="643">
        <v>105344</v>
      </c>
      <c r="O44" s="643">
        <v>115588</v>
      </c>
      <c r="P44" s="643">
        <v>254630</v>
      </c>
      <c r="Q44" s="643">
        <v>120568</v>
      </c>
      <c r="R44" s="643">
        <v>92593</v>
      </c>
    </row>
    <row r="45" spans="1:18">
      <c r="A45" s="10">
        <v>445090</v>
      </c>
      <c r="B45" t="s">
        <v>99</v>
      </c>
      <c r="D45" t="s">
        <v>373</v>
      </c>
      <c r="E45" t="s">
        <v>374</v>
      </c>
      <c r="F45" s="28">
        <f t="shared" si="1"/>
        <v>-39536</v>
      </c>
      <c r="G45" s="643">
        <v>366906</v>
      </c>
      <c r="H45" s="643">
        <v>-298873</v>
      </c>
      <c r="I45" s="643">
        <v>-141261</v>
      </c>
      <c r="J45" s="643">
        <v>969054</v>
      </c>
      <c r="K45" s="643">
        <v>-512475</v>
      </c>
      <c r="L45" s="643">
        <v>244839</v>
      </c>
      <c r="M45" s="643">
        <v>-118341</v>
      </c>
      <c r="N45" s="643">
        <v>95102</v>
      </c>
      <c r="O45" s="643">
        <v>84384</v>
      </c>
      <c r="P45" s="643">
        <v>-377723</v>
      </c>
      <c r="Q45" s="643">
        <v>-293922</v>
      </c>
      <c r="R45" s="643">
        <v>-57226</v>
      </c>
    </row>
    <row r="46" spans="1:18">
      <c r="A46" s="10">
        <v>447150</v>
      </c>
      <c r="B46" t="s">
        <v>100</v>
      </c>
      <c r="D46" t="s">
        <v>375</v>
      </c>
      <c r="E46" t="s">
        <v>375</v>
      </c>
      <c r="F46" s="28">
        <f t="shared" si="1"/>
        <v>-39121</v>
      </c>
      <c r="G46" s="643">
        <v>-65269</v>
      </c>
      <c r="H46" s="643">
        <f>39465-1</f>
        <v>39464</v>
      </c>
      <c r="I46" s="643">
        <v>31212</v>
      </c>
      <c r="J46" s="643">
        <v>0</v>
      </c>
      <c r="K46" s="643">
        <v>-29524</v>
      </c>
      <c r="L46" s="643">
        <v>-15004</v>
      </c>
      <c r="M46" s="643">
        <v>0</v>
      </c>
      <c r="N46" s="643">
        <v>0</v>
      </c>
      <c r="O46" s="643">
        <v>0</v>
      </c>
      <c r="P46" s="643">
        <v>0</v>
      </c>
      <c r="Q46" s="643">
        <v>0</v>
      </c>
      <c r="R46" s="643">
        <v>0</v>
      </c>
    </row>
    <row r="47" spans="1:18">
      <c r="A47" s="10">
        <v>447150</v>
      </c>
      <c r="B47" t="s">
        <v>100</v>
      </c>
      <c r="D47" t="s">
        <v>376</v>
      </c>
      <c r="E47" t="s">
        <v>377</v>
      </c>
      <c r="F47" s="28">
        <f t="shared" si="1"/>
        <v>178818</v>
      </c>
      <c r="G47" s="643">
        <v>21719</v>
      </c>
      <c r="H47" s="643">
        <v>-409459</v>
      </c>
      <c r="I47" s="643">
        <v>488562</v>
      </c>
      <c r="J47" s="643">
        <v>29774</v>
      </c>
      <c r="K47" s="643">
        <v>43940</v>
      </c>
      <c r="L47" s="643">
        <v>4282</v>
      </c>
      <c r="M47" s="643">
        <v>0</v>
      </c>
      <c r="N47" s="643">
        <v>0</v>
      </c>
      <c r="O47" s="643">
        <v>0</v>
      </c>
      <c r="P47" s="643">
        <v>0</v>
      </c>
      <c r="Q47" s="643">
        <v>0</v>
      </c>
      <c r="R47" s="643">
        <v>0</v>
      </c>
    </row>
    <row r="48" spans="1:18">
      <c r="A48" s="10">
        <v>447150</v>
      </c>
      <c r="B48" t="s">
        <v>100</v>
      </c>
      <c r="D48" t="s">
        <v>378</v>
      </c>
      <c r="E48" t="s">
        <v>379</v>
      </c>
      <c r="F48" s="28">
        <f t="shared" si="1"/>
        <v>7050176</v>
      </c>
      <c r="G48" s="643">
        <v>3441542</v>
      </c>
      <c r="H48" s="643">
        <v>0</v>
      </c>
      <c r="I48" s="643">
        <v>0</v>
      </c>
      <c r="J48" s="643">
        <v>3608634</v>
      </c>
      <c r="K48" s="643">
        <v>0</v>
      </c>
      <c r="L48" s="643">
        <v>0</v>
      </c>
      <c r="M48" s="643">
        <v>0</v>
      </c>
      <c r="N48" s="643">
        <v>0</v>
      </c>
      <c r="O48" s="643">
        <v>0</v>
      </c>
      <c r="P48" s="643">
        <v>0</v>
      </c>
      <c r="Q48" s="643">
        <v>0</v>
      </c>
      <c r="R48" s="643">
        <v>0</v>
      </c>
    </row>
    <row r="49" spans="1:19">
      <c r="A49" s="10">
        <v>447150</v>
      </c>
      <c r="B49" t="s">
        <v>100</v>
      </c>
      <c r="D49" t="s">
        <v>380</v>
      </c>
      <c r="E49" t="s">
        <v>381</v>
      </c>
      <c r="F49" s="28">
        <f t="shared" si="1"/>
        <v>5893657</v>
      </c>
      <c r="G49" s="643">
        <v>574672</v>
      </c>
      <c r="H49" s="643">
        <v>938012</v>
      </c>
      <c r="I49" s="643">
        <v>33171</v>
      </c>
      <c r="J49" s="643">
        <v>963721</v>
      </c>
      <c r="K49" s="643">
        <v>2593754</v>
      </c>
      <c r="L49" s="643">
        <v>790327</v>
      </c>
      <c r="M49" s="643">
        <v>0</v>
      </c>
      <c r="N49" s="643">
        <v>0</v>
      </c>
      <c r="O49" s="643">
        <v>0</v>
      </c>
      <c r="P49" s="643">
        <v>0</v>
      </c>
      <c r="Q49" s="643">
        <v>0</v>
      </c>
      <c r="R49" s="643">
        <v>0</v>
      </c>
      <c r="S49" s="679"/>
    </row>
    <row r="50" spans="1:19">
      <c r="A50" s="10">
        <v>447150</v>
      </c>
      <c r="B50" t="s">
        <v>100</v>
      </c>
      <c r="F50" s="28">
        <f t="shared" si="1"/>
        <v>12644851</v>
      </c>
      <c r="G50" s="643"/>
      <c r="H50" s="643"/>
      <c r="I50" s="643"/>
      <c r="J50" s="643">
        <v>0</v>
      </c>
      <c r="K50" s="643">
        <v>0</v>
      </c>
      <c r="L50" s="643">
        <v>0</v>
      </c>
      <c r="M50" s="643">
        <v>321694</v>
      </c>
      <c r="N50" s="643">
        <v>7216</v>
      </c>
      <c r="O50" s="643">
        <v>996340</v>
      </c>
      <c r="P50" s="643">
        <v>2433186</v>
      </c>
      <c r="Q50" s="643">
        <v>6520607</v>
      </c>
      <c r="R50" s="643">
        <v>2365808</v>
      </c>
      <c r="S50" s="679"/>
    </row>
    <row r="51" spans="1:19">
      <c r="A51" s="10">
        <v>448000</v>
      </c>
      <c r="B51" t="s">
        <v>101</v>
      </c>
      <c r="D51" t="s">
        <v>382</v>
      </c>
      <c r="F51" s="28">
        <f t="shared" si="1"/>
        <v>27980</v>
      </c>
      <c r="G51" s="643">
        <v>3462</v>
      </c>
      <c r="H51" s="643">
        <v>485</v>
      </c>
      <c r="I51" s="643">
        <v>448</v>
      </c>
      <c r="J51" s="643">
        <v>497</v>
      </c>
      <c r="K51" s="643">
        <v>111</v>
      </c>
      <c r="L51" s="643">
        <v>827</v>
      </c>
      <c r="M51" s="643">
        <v>1617</v>
      </c>
      <c r="N51" s="643">
        <v>1654</v>
      </c>
      <c r="O51" s="643">
        <v>1739</v>
      </c>
      <c r="P51" s="643">
        <v>3394</v>
      </c>
      <c r="Q51" s="643">
        <v>7650</v>
      </c>
      <c r="R51" s="643">
        <v>6096</v>
      </c>
    </row>
    <row r="52" spans="1:19">
      <c r="A52" s="10">
        <v>449100</v>
      </c>
      <c r="B52" t="s">
        <v>102</v>
      </c>
      <c r="D52" t="s">
        <v>382</v>
      </c>
      <c r="F52" s="28">
        <f t="shared" si="1"/>
        <v>-3740654</v>
      </c>
      <c r="G52" s="643">
        <v>-403443</v>
      </c>
      <c r="H52" s="643">
        <v>540287</v>
      </c>
      <c r="I52" s="643">
        <v>352999</v>
      </c>
      <c r="J52" s="643">
        <v>-4368642</v>
      </c>
      <c r="K52" s="643">
        <v>-15507</v>
      </c>
      <c r="L52" s="643">
        <v>153652</v>
      </c>
      <c r="M52" s="643">
        <v>0</v>
      </c>
      <c r="N52" s="643">
        <v>0</v>
      </c>
      <c r="O52" s="643">
        <v>0</v>
      </c>
      <c r="P52" s="643">
        <v>0</v>
      </c>
      <c r="Q52" s="643">
        <v>0</v>
      </c>
      <c r="R52" s="643">
        <v>0</v>
      </c>
    </row>
    <row r="53" spans="1:19">
      <c r="A53" s="10">
        <v>449111</v>
      </c>
      <c r="B53" t="s">
        <v>103</v>
      </c>
      <c r="D53" t="s">
        <v>382</v>
      </c>
      <c r="F53" s="28">
        <f t="shared" si="1"/>
        <v>0</v>
      </c>
      <c r="G53" s="643"/>
      <c r="H53" s="643"/>
      <c r="I53" s="643"/>
      <c r="J53" s="643">
        <v>0</v>
      </c>
      <c r="K53" s="643">
        <v>0</v>
      </c>
      <c r="L53" s="643">
        <v>0</v>
      </c>
      <c r="M53" s="643">
        <v>0</v>
      </c>
      <c r="N53" s="643">
        <v>0</v>
      </c>
      <c r="O53" s="643">
        <v>0</v>
      </c>
      <c r="P53" s="643">
        <v>0</v>
      </c>
      <c r="Q53" s="643">
        <v>0</v>
      </c>
      <c r="R53" s="643">
        <v>0</v>
      </c>
    </row>
    <row r="54" spans="1:19">
      <c r="A54" s="10">
        <v>450100</v>
      </c>
      <c r="B54" t="s">
        <v>104</v>
      </c>
      <c r="F54" s="28">
        <f t="shared" si="1"/>
        <v>529204</v>
      </c>
      <c r="G54" s="643">
        <v>84039</v>
      </c>
      <c r="H54" s="643">
        <v>73172</v>
      </c>
      <c r="I54" s="643">
        <v>75211</v>
      </c>
      <c r="J54" s="643">
        <v>80165</v>
      </c>
      <c r="K54" s="643">
        <v>88309</v>
      </c>
      <c r="L54" s="643">
        <v>128308</v>
      </c>
      <c r="M54" s="643">
        <v>0</v>
      </c>
      <c r="N54" s="643">
        <v>0</v>
      </c>
      <c r="O54" s="643">
        <v>0</v>
      </c>
      <c r="P54" s="643">
        <v>0</v>
      </c>
      <c r="Q54" s="643">
        <v>0</v>
      </c>
      <c r="R54" s="643">
        <v>0</v>
      </c>
    </row>
    <row r="55" spans="1:19">
      <c r="A55" s="10">
        <v>451100</v>
      </c>
      <c r="B55" t="s">
        <v>105</v>
      </c>
      <c r="D55" t="s">
        <v>383</v>
      </c>
      <c r="E55" t="s">
        <v>384</v>
      </c>
      <c r="F55" s="28">
        <f t="shared" si="1"/>
        <v>44083</v>
      </c>
      <c r="G55" s="643">
        <v>7312</v>
      </c>
      <c r="H55" s="643">
        <f>7265-1</f>
        <v>7264</v>
      </c>
      <c r="I55" s="643">
        <v>7275</v>
      </c>
      <c r="J55" s="643">
        <f>7349+1</f>
        <v>7350</v>
      </c>
      <c r="K55" s="643">
        <f>7435+1</f>
        <v>7436</v>
      </c>
      <c r="L55" s="643">
        <f>7445+1</f>
        <v>7446</v>
      </c>
      <c r="M55" s="643">
        <v>0</v>
      </c>
      <c r="N55" s="643">
        <v>0</v>
      </c>
      <c r="O55" s="643">
        <v>0</v>
      </c>
      <c r="P55" s="643">
        <v>0</v>
      </c>
      <c r="Q55" s="643">
        <v>0</v>
      </c>
      <c r="R55" s="643">
        <v>0</v>
      </c>
    </row>
    <row r="56" spans="1:19">
      <c r="A56" s="10">
        <v>451100</v>
      </c>
      <c r="B56" t="s">
        <v>105</v>
      </c>
      <c r="D56" t="s">
        <v>385</v>
      </c>
      <c r="E56" t="s">
        <v>386</v>
      </c>
      <c r="F56" s="28">
        <f t="shared" si="1"/>
        <v>-99775</v>
      </c>
      <c r="G56" s="643">
        <v>-42345</v>
      </c>
      <c r="H56" s="643">
        <v>0</v>
      </c>
      <c r="I56" s="643">
        <v>0</v>
      </c>
      <c r="J56" s="643">
        <v>-57430</v>
      </c>
      <c r="K56" s="643">
        <v>0</v>
      </c>
      <c r="L56" s="643">
        <v>0</v>
      </c>
      <c r="M56" s="643">
        <v>0</v>
      </c>
      <c r="N56" s="643">
        <v>0</v>
      </c>
      <c r="O56" s="643">
        <v>0</v>
      </c>
      <c r="P56" s="643">
        <v>0</v>
      </c>
      <c r="Q56" s="643">
        <v>0</v>
      </c>
      <c r="R56" s="643">
        <v>0</v>
      </c>
    </row>
    <row r="57" spans="1:19">
      <c r="A57" s="10">
        <v>451100</v>
      </c>
      <c r="B57" t="s">
        <v>105</v>
      </c>
      <c r="D57" t="s">
        <v>387</v>
      </c>
      <c r="E57" t="s">
        <v>388</v>
      </c>
      <c r="F57" s="28">
        <f t="shared" si="1"/>
        <v>99847</v>
      </c>
      <c r="G57" s="643">
        <v>47061</v>
      </c>
      <c r="H57" s="643">
        <v>-10420</v>
      </c>
      <c r="I57" s="643">
        <v>19059</v>
      </c>
      <c r="J57" s="643">
        <v>14700</v>
      </c>
      <c r="K57" s="643">
        <v>14528</v>
      </c>
      <c r="L57" s="643">
        <v>14919</v>
      </c>
      <c r="M57" s="643">
        <v>0</v>
      </c>
      <c r="N57" s="643">
        <v>0</v>
      </c>
      <c r="O57" s="643">
        <v>0</v>
      </c>
      <c r="P57" s="643">
        <v>0</v>
      </c>
      <c r="Q57" s="643">
        <v>0</v>
      </c>
      <c r="R57" s="643">
        <v>0</v>
      </c>
    </row>
    <row r="58" spans="1:19">
      <c r="A58" s="10">
        <v>451100</v>
      </c>
      <c r="B58" t="s">
        <v>105</v>
      </c>
      <c r="D58" t="s">
        <v>389</v>
      </c>
      <c r="E58" t="s">
        <v>390</v>
      </c>
      <c r="F58" s="28">
        <f t="shared" si="1"/>
        <v>12476</v>
      </c>
      <c r="G58" s="643">
        <v>2247</v>
      </c>
      <c r="H58" s="643">
        <v>1884</v>
      </c>
      <c r="I58" s="643">
        <v>2485</v>
      </c>
      <c r="J58" s="643">
        <v>1783</v>
      </c>
      <c r="K58" s="643">
        <v>2409</v>
      </c>
      <c r="L58" s="643">
        <v>1668</v>
      </c>
      <c r="M58" s="643">
        <v>0</v>
      </c>
      <c r="N58" s="643">
        <v>0</v>
      </c>
      <c r="O58" s="643">
        <v>0</v>
      </c>
      <c r="P58" s="643">
        <v>0</v>
      </c>
      <c r="Q58" s="643">
        <v>0</v>
      </c>
      <c r="R58" s="643">
        <v>0</v>
      </c>
      <c r="S58" s="679"/>
    </row>
    <row r="59" spans="1:19">
      <c r="A59" s="10">
        <v>451100</v>
      </c>
      <c r="B59" t="s">
        <v>105</v>
      </c>
      <c r="F59" s="28">
        <f t="shared" si="1"/>
        <v>683918</v>
      </c>
      <c r="G59" s="643"/>
      <c r="H59" s="643"/>
      <c r="I59" s="643"/>
      <c r="J59" s="643">
        <v>0</v>
      </c>
      <c r="K59" s="643">
        <v>0</v>
      </c>
      <c r="L59" s="643">
        <v>0</v>
      </c>
      <c r="M59" s="643">
        <v>191993</v>
      </c>
      <c r="N59" s="643">
        <v>126933</v>
      </c>
      <c r="O59" s="643">
        <v>72693</v>
      </c>
      <c r="P59" s="643">
        <v>84503</v>
      </c>
      <c r="Q59" s="643">
        <v>91293</v>
      </c>
      <c r="R59" s="643">
        <v>116503</v>
      </c>
      <c r="S59" s="679"/>
    </row>
    <row r="60" spans="1:19">
      <c r="A60" s="10">
        <v>454004</v>
      </c>
      <c r="B60" t="s">
        <v>106</v>
      </c>
      <c r="D60" t="s">
        <v>391</v>
      </c>
      <c r="E60" t="s">
        <v>392</v>
      </c>
      <c r="F60" s="28">
        <f t="shared" si="1"/>
        <v>0</v>
      </c>
      <c r="G60" s="643"/>
      <c r="H60" s="643"/>
      <c r="I60" s="643"/>
      <c r="J60" s="643">
        <v>0</v>
      </c>
      <c r="K60" s="643">
        <v>0</v>
      </c>
      <c r="L60" s="643">
        <v>0</v>
      </c>
      <c r="M60" s="643">
        <v>0</v>
      </c>
      <c r="N60" s="643">
        <v>0</v>
      </c>
      <c r="O60" s="643">
        <v>0</v>
      </c>
      <c r="P60" s="643">
        <v>0</v>
      </c>
      <c r="Q60" s="643">
        <v>0</v>
      </c>
      <c r="R60" s="643">
        <v>0</v>
      </c>
    </row>
    <row r="61" spans="1:19">
      <c r="A61" s="10">
        <v>454004</v>
      </c>
      <c r="B61" t="s">
        <v>106</v>
      </c>
      <c r="D61" t="s">
        <v>393</v>
      </c>
      <c r="E61" t="s">
        <v>394</v>
      </c>
      <c r="F61" s="28">
        <f t="shared" si="1"/>
        <v>4220</v>
      </c>
      <c r="G61" s="643">
        <v>711</v>
      </c>
      <c r="H61" s="643">
        <v>688</v>
      </c>
      <c r="I61" s="643">
        <v>711</v>
      </c>
      <c r="J61" s="643">
        <v>688</v>
      </c>
      <c r="K61" s="643">
        <v>711</v>
      </c>
      <c r="L61" s="643">
        <v>711</v>
      </c>
      <c r="M61" s="643">
        <v>0</v>
      </c>
      <c r="N61" s="643">
        <v>0</v>
      </c>
      <c r="O61" s="643">
        <v>0</v>
      </c>
      <c r="P61" s="643">
        <v>0</v>
      </c>
      <c r="Q61" s="643">
        <v>0</v>
      </c>
      <c r="R61" s="643">
        <v>0</v>
      </c>
    </row>
    <row r="62" spans="1:19">
      <c r="A62" s="10">
        <v>454004</v>
      </c>
      <c r="B62" t="s">
        <v>106</v>
      </c>
      <c r="D62" t="s">
        <v>395</v>
      </c>
      <c r="E62" t="s">
        <v>396</v>
      </c>
      <c r="F62" s="28">
        <f t="shared" si="1"/>
        <v>6360</v>
      </c>
      <c r="G62" s="643">
        <v>575</v>
      </c>
      <c r="H62" s="643">
        <v>0</v>
      </c>
      <c r="I62" s="643">
        <v>0</v>
      </c>
      <c r="J62" s="643">
        <v>5711</v>
      </c>
      <c r="K62" s="643">
        <v>37</v>
      </c>
      <c r="L62" s="643">
        <v>37</v>
      </c>
      <c r="M62" s="643">
        <v>0</v>
      </c>
      <c r="N62" s="643">
        <v>0</v>
      </c>
      <c r="O62" s="643">
        <v>0</v>
      </c>
      <c r="P62" s="643">
        <v>0</v>
      </c>
      <c r="Q62" s="643">
        <v>0</v>
      </c>
      <c r="R62" s="643">
        <v>0</v>
      </c>
    </row>
    <row r="63" spans="1:19">
      <c r="A63" s="10">
        <v>454100</v>
      </c>
      <c r="B63" t="s">
        <v>107</v>
      </c>
      <c r="F63" s="28">
        <f t="shared" si="1"/>
        <v>0</v>
      </c>
      <c r="G63" s="643"/>
      <c r="H63" s="643"/>
      <c r="I63" s="643"/>
      <c r="J63" s="643">
        <v>0</v>
      </c>
      <c r="K63" s="643">
        <v>0</v>
      </c>
      <c r="L63" s="643">
        <v>0</v>
      </c>
      <c r="M63" s="643">
        <v>0</v>
      </c>
      <c r="N63" s="643">
        <v>0</v>
      </c>
      <c r="O63" s="643">
        <v>0</v>
      </c>
      <c r="P63" s="643">
        <v>0</v>
      </c>
      <c r="Q63" s="643">
        <v>0</v>
      </c>
      <c r="R63" s="643">
        <v>0</v>
      </c>
    </row>
    <row r="64" spans="1:19">
      <c r="A64" s="10">
        <v>454100</v>
      </c>
      <c r="B64" t="s">
        <v>107</v>
      </c>
      <c r="D64" t="s">
        <v>363</v>
      </c>
      <c r="E64" t="s">
        <v>364</v>
      </c>
      <c r="F64" s="28">
        <f t="shared" si="1"/>
        <v>271</v>
      </c>
      <c r="G64" s="643">
        <v>46</v>
      </c>
      <c r="H64" s="643">
        <v>21</v>
      </c>
      <c r="I64" s="643">
        <v>71</v>
      </c>
      <c r="J64" s="643">
        <v>46</v>
      </c>
      <c r="K64" s="643">
        <v>42</v>
      </c>
      <c r="L64" s="643">
        <v>45</v>
      </c>
      <c r="M64" s="643">
        <v>0</v>
      </c>
      <c r="N64" s="643">
        <v>0</v>
      </c>
      <c r="O64" s="643">
        <v>0</v>
      </c>
      <c r="P64" s="643">
        <v>0</v>
      </c>
      <c r="Q64" s="643">
        <v>0</v>
      </c>
      <c r="R64" s="643">
        <v>0</v>
      </c>
    </row>
    <row r="65" spans="1:18">
      <c r="A65" s="10">
        <v>454200</v>
      </c>
      <c r="B65" t="s">
        <v>108</v>
      </c>
      <c r="D65" t="s">
        <v>382</v>
      </c>
      <c r="F65" s="28">
        <f t="shared" si="1"/>
        <v>316666</v>
      </c>
      <c r="G65" s="643"/>
      <c r="H65" s="643"/>
      <c r="I65" s="643"/>
      <c r="J65" s="643">
        <v>0</v>
      </c>
      <c r="K65" s="643">
        <v>0</v>
      </c>
      <c r="L65" s="643">
        <v>0</v>
      </c>
      <c r="M65" s="643">
        <v>50000</v>
      </c>
      <c r="N65" s="643">
        <v>50000</v>
      </c>
      <c r="O65" s="643">
        <v>50000</v>
      </c>
      <c r="P65" s="643">
        <v>50000</v>
      </c>
      <c r="Q65" s="643">
        <v>58333</v>
      </c>
      <c r="R65" s="643">
        <v>58333</v>
      </c>
    </row>
    <row r="66" spans="1:18">
      <c r="A66" s="10">
        <v>454200</v>
      </c>
      <c r="B66" t="s">
        <v>108</v>
      </c>
      <c r="D66" t="s">
        <v>389</v>
      </c>
      <c r="E66" t="s">
        <v>390</v>
      </c>
      <c r="F66" s="28">
        <f t="shared" si="1"/>
        <v>0</v>
      </c>
      <c r="G66" s="643"/>
      <c r="H66" s="643"/>
      <c r="I66" s="643"/>
      <c r="J66" s="643">
        <v>0</v>
      </c>
      <c r="K66" s="643">
        <v>0</v>
      </c>
      <c r="L66" s="643">
        <v>0</v>
      </c>
      <c r="M66" s="643">
        <v>0</v>
      </c>
      <c r="N66" s="643">
        <v>0</v>
      </c>
      <c r="O66" s="643">
        <v>0</v>
      </c>
      <c r="P66" s="643">
        <v>0</v>
      </c>
      <c r="Q66" s="643">
        <v>0</v>
      </c>
      <c r="R66" s="643">
        <v>0</v>
      </c>
    </row>
    <row r="67" spans="1:18">
      <c r="A67" s="10">
        <v>454210</v>
      </c>
      <c r="B67" t="s">
        <v>109</v>
      </c>
      <c r="D67" t="s">
        <v>389</v>
      </c>
      <c r="E67" t="s">
        <v>390</v>
      </c>
      <c r="F67" s="28">
        <f t="shared" si="1"/>
        <v>0</v>
      </c>
      <c r="G67" s="643"/>
      <c r="H67" s="643"/>
      <c r="I67" s="643"/>
      <c r="J67" s="643">
        <v>0</v>
      </c>
      <c r="K67" s="643">
        <v>0</v>
      </c>
      <c r="L67" s="643">
        <v>0</v>
      </c>
      <c r="M67" s="643">
        <v>0</v>
      </c>
      <c r="N67" s="643">
        <v>0</v>
      </c>
      <c r="O67" s="643">
        <v>0</v>
      </c>
      <c r="P67" s="643">
        <v>0</v>
      </c>
      <c r="Q67" s="643">
        <v>0</v>
      </c>
      <c r="R67" s="643">
        <v>0</v>
      </c>
    </row>
    <row r="68" spans="1:18">
      <c r="A68" s="10">
        <v>454300</v>
      </c>
      <c r="B68" t="s">
        <v>110</v>
      </c>
      <c r="F68" s="28">
        <f t="shared" si="1"/>
        <v>11221</v>
      </c>
      <c r="G68" s="643"/>
      <c r="H68" s="643"/>
      <c r="I68" s="643"/>
      <c r="J68" s="643">
        <v>0</v>
      </c>
      <c r="K68" s="643">
        <v>0</v>
      </c>
      <c r="L68" s="643">
        <v>11221</v>
      </c>
      <c r="M68" s="643">
        <v>0</v>
      </c>
      <c r="N68" s="643">
        <v>0</v>
      </c>
      <c r="O68" s="643">
        <v>0</v>
      </c>
      <c r="P68" s="643">
        <v>0</v>
      </c>
      <c r="Q68" s="643">
        <v>0</v>
      </c>
      <c r="R68" s="643">
        <v>0</v>
      </c>
    </row>
    <row r="69" spans="1:18">
      <c r="A69" s="10">
        <v>454300</v>
      </c>
      <c r="B69" t="s">
        <v>110</v>
      </c>
      <c r="D69" t="s">
        <v>397</v>
      </c>
      <c r="E69" t="s">
        <v>398</v>
      </c>
      <c r="F69" s="28">
        <f t="shared" si="1"/>
        <v>1824</v>
      </c>
      <c r="G69" s="643">
        <v>304</v>
      </c>
      <c r="H69" s="643">
        <v>304</v>
      </c>
      <c r="I69" s="643">
        <v>304</v>
      </c>
      <c r="J69" s="643">
        <v>304</v>
      </c>
      <c r="K69" s="643">
        <v>304</v>
      </c>
      <c r="L69" s="643">
        <v>304</v>
      </c>
      <c r="M69" s="643">
        <v>0</v>
      </c>
      <c r="N69" s="643">
        <v>0</v>
      </c>
      <c r="O69" s="643">
        <v>0</v>
      </c>
      <c r="P69" s="643">
        <v>0</v>
      </c>
      <c r="Q69" s="643">
        <v>0</v>
      </c>
      <c r="R69" s="643">
        <v>0</v>
      </c>
    </row>
    <row r="70" spans="1:18">
      <c r="A70" s="10">
        <v>454400</v>
      </c>
      <c r="B70" t="s">
        <v>111</v>
      </c>
      <c r="D70" t="s">
        <v>382</v>
      </c>
      <c r="F70" s="28">
        <f t="shared" si="1"/>
        <v>966741</v>
      </c>
      <c r="G70" s="643">
        <v>98316</v>
      </c>
      <c r="H70" s="643">
        <v>92522</v>
      </c>
      <c r="I70" s="643">
        <v>92522</v>
      </c>
      <c r="J70" s="643">
        <v>92522</v>
      </c>
      <c r="K70" s="643">
        <v>92522</v>
      </c>
      <c r="L70" s="643">
        <v>98341</v>
      </c>
      <c r="M70" s="643">
        <v>66666</v>
      </c>
      <c r="N70" s="643">
        <v>66666</v>
      </c>
      <c r="O70" s="643">
        <v>66666</v>
      </c>
      <c r="P70" s="643">
        <v>66666</v>
      </c>
      <c r="Q70" s="643">
        <v>66666</v>
      </c>
      <c r="R70" s="643">
        <v>66666</v>
      </c>
    </row>
    <row r="71" spans="1:18">
      <c r="A71" s="10">
        <v>454400</v>
      </c>
      <c r="B71" t="s">
        <v>111</v>
      </c>
      <c r="D71" t="s">
        <v>399</v>
      </c>
      <c r="E71" t="s">
        <v>399</v>
      </c>
      <c r="F71" s="28">
        <f t="shared" si="1"/>
        <v>250002</v>
      </c>
      <c r="G71" s="643"/>
      <c r="H71" s="643"/>
      <c r="I71" s="643"/>
      <c r="J71" s="643">
        <v>0</v>
      </c>
      <c r="K71" s="643">
        <v>0</v>
      </c>
      <c r="L71" s="643">
        <v>0</v>
      </c>
      <c r="M71" s="643">
        <v>41667</v>
      </c>
      <c r="N71" s="643">
        <v>41667</v>
      </c>
      <c r="O71" s="643">
        <v>41667</v>
      </c>
      <c r="P71" s="643">
        <v>41667</v>
      </c>
      <c r="Q71" s="643">
        <v>41667</v>
      </c>
      <c r="R71" s="643">
        <v>41667</v>
      </c>
    </row>
    <row r="72" spans="1:18">
      <c r="A72" s="10">
        <v>456025</v>
      </c>
      <c r="B72" t="s">
        <v>112</v>
      </c>
      <c r="D72" t="s">
        <v>382</v>
      </c>
      <c r="F72" s="28">
        <f t="shared" si="1"/>
        <v>3343177</v>
      </c>
      <c r="G72" s="643">
        <v>461918</v>
      </c>
      <c r="H72" s="643">
        <v>875284</v>
      </c>
      <c r="I72" s="643">
        <v>618159</v>
      </c>
      <c r="J72" s="643">
        <v>623412</v>
      </c>
      <c r="K72" s="643">
        <v>481574</v>
      </c>
      <c r="L72" s="643">
        <v>282830</v>
      </c>
      <c r="M72" s="643">
        <v>0</v>
      </c>
      <c r="N72" s="643">
        <v>0</v>
      </c>
      <c r="O72" s="643">
        <v>0</v>
      </c>
      <c r="P72" s="643">
        <v>0</v>
      </c>
      <c r="Q72" s="643">
        <v>0</v>
      </c>
      <c r="R72" s="643">
        <v>0</v>
      </c>
    </row>
    <row r="73" spans="1:18">
      <c r="A73" s="10">
        <v>456040</v>
      </c>
      <c r="B73" t="s">
        <v>113</v>
      </c>
      <c r="D73" t="s">
        <v>382</v>
      </c>
      <c r="F73" s="28">
        <f t="shared" si="1"/>
        <v>350</v>
      </c>
      <c r="G73" s="643">
        <v>50</v>
      </c>
      <c r="H73" s="643">
        <v>100</v>
      </c>
      <c r="I73" s="643">
        <v>50</v>
      </c>
      <c r="J73" s="643">
        <v>50</v>
      </c>
      <c r="K73" s="643">
        <v>50</v>
      </c>
      <c r="L73" s="643">
        <v>50</v>
      </c>
      <c r="M73" s="643">
        <v>0</v>
      </c>
      <c r="N73" s="643">
        <v>0</v>
      </c>
      <c r="O73" s="643">
        <v>0</v>
      </c>
      <c r="P73" s="643">
        <v>0</v>
      </c>
      <c r="Q73" s="643">
        <v>0</v>
      </c>
      <c r="R73" s="643">
        <v>0</v>
      </c>
    </row>
    <row r="74" spans="1:18">
      <c r="A74" s="10">
        <v>456075</v>
      </c>
      <c r="B74" t="s">
        <v>114</v>
      </c>
      <c r="D74" t="s">
        <v>382</v>
      </c>
      <c r="F74" s="28">
        <f t="shared" si="1"/>
        <v>0</v>
      </c>
      <c r="G74" s="643"/>
      <c r="H74" s="643"/>
      <c r="I74" s="643"/>
      <c r="J74" s="643">
        <v>0</v>
      </c>
      <c r="K74" s="643">
        <v>0</v>
      </c>
      <c r="L74" s="643">
        <v>0</v>
      </c>
      <c r="M74" s="643">
        <v>0</v>
      </c>
      <c r="N74" s="643">
        <v>0</v>
      </c>
      <c r="O74" s="643">
        <v>0</v>
      </c>
      <c r="P74" s="643">
        <v>0</v>
      </c>
      <c r="Q74" s="643">
        <v>0</v>
      </c>
      <c r="R74" s="643">
        <v>0</v>
      </c>
    </row>
    <row r="75" spans="1:18">
      <c r="A75" s="10">
        <v>456100</v>
      </c>
      <c r="B75" t="s">
        <v>400</v>
      </c>
      <c r="D75" t="s">
        <v>382</v>
      </c>
      <c r="F75" s="28">
        <f t="shared" si="1"/>
        <v>0</v>
      </c>
      <c r="G75" s="643"/>
      <c r="H75" s="643"/>
      <c r="I75" s="643"/>
      <c r="J75" s="643">
        <v>0</v>
      </c>
      <c r="K75" s="643">
        <v>0</v>
      </c>
      <c r="L75" s="643">
        <v>0</v>
      </c>
      <c r="M75" s="643">
        <v>0</v>
      </c>
      <c r="N75" s="643">
        <v>0</v>
      </c>
      <c r="O75" s="643">
        <v>0</v>
      </c>
      <c r="P75" s="643">
        <v>0</v>
      </c>
      <c r="Q75" s="643">
        <v>0</v>
      </c>
      <c r="R75" s="643">
        <v>0</v>
      </c>
    </row>
    <row r="76" spans="1:18">
      <c r="A76" s="10">
        <v>456110</v>
      </c>
      <c r="B76" t="s">
        <v>115</v>
      </c>
      <c r="D76" t="s">
        <v>382</v>
      </c>
      <c r="F76" s="28">
        <f t="shared" ref="F76:F80" si="2">SUM(G76:R76)</f>
        <v>172002</v>
      </c>
      <c r="G76" s="643">
        <v>13968</v>
      </c>
      <c r="H76" s="643">
        <v>13496</v>
      </c>
      <c r="I76" s="643">
        <v>12967</v>
      </c>
      <c r="J76" s="643">
        <v>14509</v>
      </c>
      <c r="K76" s="643">
        <v>22536</v>
      </c>
      <c r="L76" s="643">
        <v>22028</v>
      </c>
      <c r="M76" s="643">
        <v>12083</v>
      </c>
      <c r="N76" s="643">
        <v>12083</v>
      </c>
      <c r="O76" s="643">
        <v>12083</v>
      </c>
      <c r="P76" s="643">
        <v>12083</v>
      </c>
      <c r="Q76" s="643">
        <v>12083</v>
      </c>
      <c r="R76" s="643">
        <v>12083</v>
      </c>
    </row>
    <row r="77" spans="1:18">
      <c r="A77" s="10">
        <v>456111</v>
      </c>
      <c r="B77" t="s">
        <v>116</v>
      </c>
      <c r="D77" t="s">
        <v>401</v>
      </c>
      <c r="E77" t="s">
        <v>402</v>
      </c>
      <c r="F77" s="28">
        <f t="shared" si="2"/>
        <v>2570647</v>
      </c>
      <c r="G77" s="643">
        <v>179445</v>
      </c>
      <c r="H77" s="643">
        <v>322640</v>
      </c>
      <c r="I77" s="643">
        <v>775400</v>
      </c>
      <c r="J77" s="643">
        <v>419012</v>
      </c>
      <c r="K77" s="643">
        <v>611434</v>
      </c>
      <c r="L77" s="643">
        <v>262716</v>
      </c>
      <c r="M77" s="643">
        <v>0</v>
      </c>
      <c r="N77" s="643">
        <v>0</v>
      </c>
      <c r="O77" s="643">
        <v>0</v>
      </c>
      <c r="P77" s="643">
        <v>0</v>
      </c>
      <c r="Q77" s="643">
        <v>0</v>
      </c>
      <c r="R77" s="643">
        <v>0</v>
      </c>
    </row>
    <row r="78" spans="1:18">
      <c r="A78" s="10">
        <v>456970</v>
      </c>
      <c r="B78" t="s">
        <v>117</v>
      </c>
      <c r="D78" t="s">
        <v>382</v>
      </c>
      <c r="F78" s="28">
        <f t="shared" si="2"/>
        <v>40390</v>
      </c>
      <c r="G78" s="643">
        <v>6269</v>
      </c>
      <c r="H78" s="643">
        <v>4005</v>
      </c>
      <c r="I78" s="643">
        <v>3667</v>
      </c>
      <c r="J78" s="643">
        <v>4131</v>
      </c>
      <c r="K78" s="643">
        <v>5082</v>
      </c>
      <c r="L78" s="643">
        <v>4984</v>
      </c>
      <c r="M78" s="643">
        <v>2042</v>
      </c>
      <c r="N78" s="643">
        <v>2042</v>
      </c>
      <c r="O78" s="643">
        <v>2042</v>
      </c>
      <c r="P78" s="643">
        <v>2042</v>
      </c>
      <c r="Q78" s="643">
        <v>2042</v>
      </c>
      <c r="R78" s="643">
        <v>2042</v>
      </c>
    </row>
    <row r="79" spans="1:18">
      <c r="A79" s="10">
        <v>457105</v>
      </c>
      <c r="B79" t="s">
        <v>118</v>
      </c>
      <c r="D79" t="s">
        <v>382</v>
      </c>
      <c r="F79" s="28">
        <f t="shared" si="2"/>
        <v>123475</v>
      </c>
      <c r="G79" s="643">
        <v>17271</v>
      </c>
      <c r="H79" s="643">
        <v>17206</v>
      </c>
      <c r="I79" s="643">
        <v>16259</v>
      </c>
      <c r="J79" s="643">
        <v>18222</v>
      </c>
      <c r="K79" s="643">
        <v>28510</v>
      </c>
      <c r="L79" s="643">
        <v>26007</v>
      </c>
      <c r="M79" s="643">
        <v>0</v>
      </c>
      <c r="N79" s="643">
        <v>0</v>
      </c>
      <c r="O79" s="643">
        <v>0</v>
      </c>
      <c r="P79" s="643">
        <v>0</v>
      </c>
      <c r="Q79" s="643">
        <v>0</v>
      </c>
      <c r="R79" s="643">
        <v>0</v>
      </c>
    </row>
    <row r="80" spans="1:18">
      <c r="A80" s="2269">
        <v>457204</v>
      </c>
      <c r="B80" t="s">
        <v>119</v>
      </c>
      <c r="C80" t="s">
        <v>382</v>
      </c>
      <c r="D80" t="s">
        <v>382</v>
      </c>
      <c r="F80" s="28">
        <f t="shared" si="2"/>
        <v>2616295</v>
      </c>
      <c r="G80" s="643">
        <v>279564</v>
      </c>
      <c r="H80" s="643">
        <v>281282</v>
      </c>
      <c r="I80" s="643">
        <v>279245</v>
      </c>
      <c r="J80" s="643">
        <v>279863</v>
      </c>
      <c r="K80" s="643">
        <v>262572</v>
      </c>
      <c r="L80" s="643">
        <v>293269</v>
      </c>
      <c r="M80" s="643">
        <v>156750</v>
      </c>
      <c r="N80" s="643">
        <v>156750</v>
      </c>
      <c r="O80" s="643">
        <v>156750</v>
      </c>
      <c r="P80" s="643">
        <v>156750</v>
      </c>
      <c r="Q80" s="643">
        <v>156750</v>
      </c>
      <c r="R80" s="643">
        <v>156750</v>
      </c>
    </row>
    <row r="81" spans="5:18"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</row>
    <row r="82" spans="5:18"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</row>
    <row r="83" spans="5:18"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</row>
    <row r="89" spans="5:18"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</row>
    <row r="90" spans="5:18"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</row>
    <row r="91" spans="5:18"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</row>
  </sheetData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1">
    <tabColor theme="7" tint="-0.249977111117893"/>
    <pageSetUpPr fitToPage="1"/>
  </sheetPr>
  <dimension ref="A1:AD60"/>
  <sheetViews>
    <sheetView zoomScale="90" zoomScaleNormal="90" workbookViewId="0"/>
  </sheetViews>
  <sheetFormatPr defaultColWidth="8" defaultRowHeight="13.2"/>
  <cols>
    <col min="1" max="1" width="9.44140625" customWidth="1"/>
    <col min="2" max="2" width="19.44140625" customWidth="1"/>
    <col min="3" max="8" width="9.44140625" customWidth="1"/>
    <col min="9" max="9" width="12.5546875" customWidth="1"/>
    <col min="10" max="10" width="16.44140625" customWidth="1"/>
    <col min="11" max="11" width="7.44140625" customWidth="1"/>
    <col min="12" max="12" width="1.44140625" customWidth="1"/>
    <col min="13" max="13" width="49.44140625" customWidth="1"/>
    <col min="14" max="14" width="2.44140625" customWidth="1"/>
    <col min="15" max="15" width="15.44140625" customWidth="1"/>
    <col min="16" max="16" width="1.44140625" customWidth="1"/>
    <col min="17" max="17" width="17.44140625" customWidth="1"/>
    <col min="18" max="18" width="12.5546875" customWidth="1"/>
    <col min="19" max="20" width="8" customWidth="1"/>
    <col min="21" max="21" width="23" customWidth="1"/>
    <col min="22" max="22" width="14.5546875" customWidth="1"/>
    <col min="23" max="23" width="13" customWidth="1"/>
    <col min="24" max="24" width="14.5546875" customWidth="1"/>
    <col min="25" max="27" width="13" customWidth="1"/>
    <col min="28" max="28" width="14.44140625" customWidth="1"/>
    <col min="29" max="29" width="8.6640625" bestFit="1" customWidth="1"/>
  </cols>
  <sheetData>
    <row r="1" spans="1:30">
      <c r="A1" s="976" t="str">
        <f>COMPANY</f>
        <v>DUKE ENERGY KENTUCKY, INC.</v>
      </c>
      <c r="B1" s="976"/>
      <c r="C1" s="976"/>
      <c r="D1" s="976"/>
      <c r="E1" s="976"/>
      <c r="F1" s="976"/>
      <c r="G1" s="976"/>
      <c r="H1" s="976"/>
      <c r="I1" s="976"/>
      <c r="J1" s="976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  <c r="AA1" s="972"/>
      <c r="AB1" s="972"/>
      <c r="AC1" s="972"/>
      <c r="AD1" s="972"/>
    </row>
    <row r="2" spans="1:30">
      <c r="A2" s="976" t="str">
        <f>CASE</f>
        <v>CASE NO. 2024-00354</v>
      </c>
      <c r="B2" s="976"/>
      <c r="C2" s="976"/>
      <c r="D2" s="976"/>
      <c r="E2" s="976"/>
      <c r="F2" s="976"/>
      <c r="G2" s="976"/>
      <c r="H2" s="976"/>
      <c r="I2" s="976"/>
      <c r="J2" s="976"/>
      <c r="K2" s="972"/>
      <c r="L2" s="972"/>
      <c r="M2" s="972"/>
      <c r="N2" s="972"/>
      <c r="O2" s="972"/>
      <c r="P2" s="972"/>
      <c r="Q2" s="972"/>
      <c r="R2" s="972"/>
      <c r="S2" s="972"/>
      <c r="T2" s="972"/>
      <c r="U2" s="972"/>
      <c r="V2" s="972"/>
      <c r="W2" s="972"/>
      <c r="X2" s="972"/>
      <c r="Y2" s="972"/>
      <c r="Z2" s="972"/>
      <c r="AA2" s="972"/>
      <c r="AB2" s="972"/>
      <c r="AC2" s="972"/>
      <c r="AD2" s="972"/>
    </row>
    <row r="3" spans="1:30">
      <c r="A3" s="977" t="s">
        <v>2172</v>
      </c>
      <c r="B3" s="976"/>
      <c r="C3" s="976"/>
      <c r="D3" s="976"/>
      <c r="E3" s="976"/>
      <c r="F3" s="976"/>
      <c r="G3" s="976"/>
      <c r="H3" s="976"/>
      <c r="I3" s="976"/>
      <c r="J3" s="976"/>
      <c r="K3" s="972"/>
      <c r="L3" s="972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  <c r="AA3" s="972"/>
      <c r="AB3" s="972"/>
      <c r="AC3" s="972"/>
      <c r="AD3" s="972"/>
    </row>
    <row r="4" spans="1:30">
      <c r="A4" s="976" t="str">
        <f>PeriodF</f>
        <v>FOR THE TWELVE MONTHS ENDED JUNE 30, 2026</v>
      </c>
      <c r="B4" s="976"/>
      <c r="C4" s="976"/>
      <c r="D4" s="976"/>
      <c r="E4" s="976"/>
      <c r="F4" s="976"/>
      <c r="G4" s="976"/>
      <c r="H4" s="976"/>
      <c r="I4" s="976"/>
      <c r="J4" s="976"/>
      <c r="K4" s="972"/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  <c r="AA4" s="972"/>
      <c r="AB4" s="972"/>
      <c r="AC4" s="972"/>
      <c r="AD4" s="972"/>
    </row>
    <row r="5" spans="1:30">
      <c r="A5" s="972"/>
      <c r="B5" s="972"/>
      <c r="C5" s="972"/>
      <c r="D5" s="972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  <c r="AC5" s="972"/>
      <c r="AD5" s="972"/>
    </row>
    <row r="6" spans="1:30">
      <c r="A6" s="972" t="str">
        <f>DataF</f>
        <v>DATA:  BASE PERIOD  "X" FORECASTED PERIOD</v>
      </c>
      <c r="B6" s="972"/>
      <c r="C6" s="972"/>
      <c r="D6" s="972"/>
      <c r="E6" s="972"/>
      <c r="F6" s="972"/>
      <c r="G6" s="972"/>
      <c r="H6" s="972"/>
      <c r="I6" s="778" t="s">
        <v>2173</v>
      </c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2"/>
      <c r="AB6" s="972"/>
      <c r="AC6" s="972"/>
      <c r="AD6" s="972"/>
    </row>
    <row r="7" spans="1:30">
      <c r="A7" s="972" t="str">
        <f>Type</f>
        <v xml:space="preserve">TYPE OF FILING:  "X" ORIGINAL   UPDATED    REVISED  </v>
      </c>
      <c r="B7" s="972"/>
      <c r="C7" s="972"/>
      <c r="D7" s="972"/>
      <c r="E7" s="972"/>
      <c r="F7" s="972"/>
      <c r="G7" s="972"/>
      <c r="H7" s="972"/>
      <c r="I7" s="778" t="s">
        <v>466</v>
      </c>
      <c r="J7" s="972"/>
      <c r="K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  <c r="AA7" s="972"/>
      <c r="AB7" s="972"/>
      <c r="AC7" s="972"/>
      <c r="AD7" s="972"/>
    </row>
    <row r="8" spans="1:30">
      <c r="A8" s="778" t="s">
        <v>2174</v>
      </c>
      <c r="B8" s="972"/>
      <c r="C8" s="972"/>
      <c r="D8" s="972"/>
      <c r="E8" s="972"/>
      <c r="F8" s="972"/>
      <c r="G8" s="972"/>
      <c r="H8" s="972"/>
      <c r="I8" s="778" t="s">
        <v>468</v>
      </c>
      <c r="J8" s="972"/>
      <c r="K8" s="972"/>
      <c r="L8" s="972"/>
      <c r="M8" s="972"/>
      <c r="N8" s="972"/>
      <c r="O8" s="972"/>
      <c r="P8" s="972"/>
      <c r="Q8" s="972"/>
      <c r="R8" s="972"/>
      <c r="S8" s="972"/>
      <c r="T8" s="972"/>
      <c r="U8" s="972"/>
      <c r="V8" s="972"/>
      <c r="W8" s="972"/>
      <c r="X8" s="972"/>
      <c r="Y8" s="972"/>
      <c r="Z8" s="972"/>
      <c r="AA8" s="972"/>
      <c r="AB8" s="972"/>
      <c r="AC8" s="972"/>
      <c r="AD8" s="972"/>
    </row>
    <row r="9" spans="1:30">
      <c r="A9" s="972"/>
      <c r="B9" s="972"/>
      <c r="C9" s="972"/>
      <c r="D9" s="972"/>
      <c r="E9" s="972"/>
      <c r="F9" s="972"/>
      <c r="G9" s="972"/>
      <c r="H9" s="972"/>
      <c r="I9" s="778" t="str">
        <f>_WIT9</f>
        <v>S. S. MITCHELL</v>
      </c>
      <c r="J9" s="972"/>
      <c r="K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  <c r="AA9" s="972"/>
      <c r="AB9" s="972"/>
      <c r="AC9" s="972"/>
      <c r="AD9" s="972"/>
    </row>
    <row r="10" spans="1:30">
      <c r="A10" s="1521"/>
      <c r="B10" s="1521"/>
      <c r="C10" s="1521"/>
      <c r="D10" s="1521"/>
      <c r="E10" s="1521"/>
      <c r="F10" s="1521"/>
      <c r="G10" s="1521"/>
      <c r="H10" s="1521"/>
      <c r="I10" s="1521"/>
      <c r="J10" s="1521"/>
      <c r="K10" s="778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  <c r="AA10" s="972"/>
      <c r="AB10" s="972"/>
      <c r="AC10" s="972"/>
      <c r="AD10" s="972"/>
    </row>
    <row r="11" spans="1:30">
      <c r="A11" s="972"/>
      <c r="B11" s="972"/>
      <c r="C11" s="972"/>
      <c r="D11" s="972"/>
      <c r="E11" s="972"/>
      <c r="F11" s="972"/>
      <c r="G11" s="972"/>
      <c r="H11" s="972"/>
      <c r="I11" s="972"/>
      <c r="J11" s="972"/>
      <c r="K11" s="972"/>
      <c r="L11" s="972"/>
      <c r="M11" s="972"/>
      <c r="N11" s="972"/>
      <c r="O11" s="972"/>
      <c r="P11" s="972"/>
      <c r="Q11" s="972"/>
      <c r="R11" s="972"/>
      <c r="S11" s="972"/>
      <c r="T11" s="972"/>
      <c r="U11" s="972"/>
      <c r="V11" s="972"/>
      <c r="W11" s="972"/>
      <c r="X11" s="972"/>
      <c r="Y11" s="972"/>
      <c r="Z11" s="972"/>
      <c r="AA11" s="972"/>
      <c r="AB11" s="972"/>
      <c r="AC11" s="972"/>
      <c r="AD11" s="972"/>
    </row>
    <row r="12" spans="1:30">
      <c r="A12" s="778" t="s">
        <v>1857</v>
      </c>
      <c r="B12" s="972"/>
      <c r="C12" s="972"/>
      <c r="D12" s="972"/>
      <c r="E12" s="972"/>
      <c r="F12" s="972"/>
      <c r="G12" s="972"/>
      <c r="H12" s="972"/>
      <c r="I12" s="972"/>
      <c r="J12" s="978" t="s">
        <v>975</v>
      </c>
      <c r="K12" s="972"/>
      <c r="L12" s="972"/>
      <c r="M12" s="972"/>
      <c r="N12" s="972"/>
      <c r="O12" s="972"/>
      <c r="P12" s="972"/>
      <c r="Q12" s="972"/>
      <c r="R12" s="972"/>
      <c r="S12" s="972"/>
      <c r="T12" s="972"/>
      <c r="U12" s="972"/>
      <c r="V12" s="972"/>
      <c r="W12" s="972"/>
      <c r="X12" s="972"/>
      <c r="Y12" s="972"/>
      <c r="Z12" s="972"/>
      <c r="AA12" s="972"/>
      <c r="AB12" s="972"/>
      <c r="AC12" s="972"/>
      <c r="AD12" s="972"/>
    </row>
    <row r="13" spans="1:30">
      <c r="A13" s="1521"/>
      <c r="B13" s="1521"/>
      <c r="C13" s="1521"/>
      <c r="D13" s="1521"/>
      <c r="E13" s="1521"/>
      <c r="F13" s="1521"/>
      <c r="G13" s="1521"/>
      <c r="H13" s="1521"/>
      <c r="I13" s="1521"/>
      <c r="J13" s="1521"/>
      <c r="K13" s="778"/>
      <c r="L13" s="972"/>
      <c r="M13" s="972"/>
      <c r="N13" s="972"/>
      <c r="O13" s="972"/>
      <c r="P13" s="972"/>
      <c r="Q13" s="972"/>
      <c r="R13" s="972"/>
      <c r="S13" s="972"/>
      <c r="T13" s="972"/>
      <c r="U13" s="972"/>
      <c r="V13" s="972"/>
      <c r="W13" s="972"/>
      <c r="X13" s="972"/>
      <c r="Y13" s="972"/>
      <c r="Z13" s="972"/>
      <c r="AA13" s="972"/>
      <c r="AB13" s="972"/>
      <c r="AC13" s="972"/>
      <c r="AD13" s="972"/>
    </row>
    <row r="14" spans="1:30">
      <c r="A14" s="972"/>
      <c r="B14" s="972"/>
      <c r="C14" s="972"/>
      <c r="D14" s="972"/>
      <c r="E14" s="972"/>
      <c r="F14" s="972"/>
      <c r="G14" s="972"/>
      <c r="H14" s="972"/>
      <c r="I14" s="972"/>
      <c r="J14" s="978"/>
      <c r="K14" s="972"/>
      <c r="L14" s="972"/>
      <c r="M14" s="972"/>
      <c r="N14" s="972"/>
      <c r="O14" s="972"/>
      <c r="P14" s="972"/>
      <c r="Q14" s="972"/>
      <c r="R14" s="972"/>
      <c r="S14" s="972"/>
      <c r="T14" s="972"/>
      <c r="U14" s="972"/>
      <c r="V14" s="972"/>
      <c r="W14" s="972"/>
      <c r="X14" s="972"/>
      <c r="Y14" s="972"/>
      <c r="Z14" s="972"/>
      <c r="AA14" s="972"/>
      <c r="AB14" s="972"/>
      <c r="AC14" s="972"/>
      <c r="AD14" s="972"/>
    </row>
    <row r="15" spans="1:30">
      <c r="A15" s="778" t="s">
        <v>2175</v>
      </c>
      <c r="B15" s="972"/>
      <c r="C15" s="972"/>
      <c r="D15" s="972"/>
      <c r="E15" s="972"/>
      <c r="F15" s="972"/>
      <c r="G15" s="972"/>
      <c r="H15" s="972"/>
      <c r="I15" s="972"/>
      <c r="J15" s="972"/>
      <c r="K15" s="972"/>
      <c r="L15" s="972"/>
      <c r="M15" s="972"/>
      <c r="N15" s="972"/>
      <c r="O15" s="972"/>
      <c r="P15" s="972"/>
      <c r="Q15" s="972"/>
      <c r="R15" s="972"/>
      <c r="S15" s="972"/>
      <c r="T15" s="972"/>
      <c r="U15" s="972"/>
      <c r="V15" s="972"/>
      <c r="W15" s="972"/>
      <c r="X15" s="972"/>
      <c r="Y15" s="972"/>
      <c r="Z15" s="972"/>
      <c r="AA15" s="972"/>
      <c r="AB15" s="972"/>
      <c r="AC15" s="972"/>
      <c r="AD15" s="972"/>
    </row>
    <row r="16" spans="1:30">
      <c r="A16" s="778" t="s">
        <v>2176</v>
      </c>
      <c r="B16" s="972"/>
      <c r="C16" s="972"/>
      <c r="D16" s="972"/>
      <c r="E16" s="972"/>
      <c r="F16" s="972"/>
      <c r="G16" s="972"/>
      <c r="H16" s="972"/>
      <c r="I16" s="972"/>
      <c r="J16" s="972"/>
      <c r="K16" s="972"/>
      <c r="L16" s="972"/>
      <c r="M16" s="972"/>
      <c r="N16" s="972"/>
      <c r="O16" s="972"/>
      <c r="P16" s="972"/>
      <c r="Q16" s="972"/>
      <c r="R16" s="972"/>
      <c r="S16" s="972"/>
      <c r="T16" s="972"/>
      <c r="U16" s="972"/>
      <c r="V16" s="972"/>
      <c r="W16" s="972"/>
      <c r="X16" s="972"/>
      <c r="Y16" s="972"/>
      <c r="Z16" s="972"/>
      <c r="AA16" s="972"/>
      <c r="AB16" s="972"/>
      <c r="AC16" s="972"/>
      <c r="AD16" s="972"/>
    </row>
    <row r="17" spans="1:30">
      <c r="A17" s="778" t="str">
        <f>"based on 13 month average plant at "&amp;PROPER(Testyear)&amp;"."</f>
        <v>based on 13 month average plant at June 30, 2026.</v>
      </c>
      <c r="B17" s="972"/>
      <c r="C17" s="972"/>
      <c r="D17" s="972"/>
      <c r="E17" s="972"/>
      <c r="F17" s="972"/>
      <c r="G17" s="972"/>
      <c r="H17" s="972"/>
      <c r="I17" s="972"/>
      <c r="J17" s="972"/>
      <c r="K17" s="972"/>
      <c r="L17" s="972"/>
      <c r="M17" s="972"/>
      <c r="N17" s="972"/>
      <c r="O17" s="972"/>
      <c r="P17" s="972"/>
      <c r="Q17" s="972"/>
      <c r="R17" s="972"/>
      <c r="S17" s="972"/>
      <c r="T17" s="972"/>
      <c r="U17" s="972"/>
      <c r="V17" s="972"/>
      <c r="W17" s="972"/>
      <c r="X17" s="972"/>
      <c r="Y17" s="972"/>
      <c r="Z17" s="972"/>
      <c r="AA17" s="972"/>
      <c r="AB17" s="972"/>
      <c r="AC17" s="972"/>
      <c r="AD17" s="972"/>
    </row>
    <row r="18" spans="1:30">
      <c r="A18" s="972"/>
      <c r="B18" s="972"/>
      <c r="C18" s="972"/>
      <c r="D18" s="972"/>
      <c r="E18" s="972"/>
      <c r="F18" s="972"/>
      <c r="G18" s="972"/>
      <c r="H18" s="972"/>
      <c r="I18" s="972"/>
      <c r="J18" s="979"/>
      <c r="K18" s="972"/>
      <c r="L18" s="972"/>
      <c r="M18" s="972"/>
      <c r="N18" s="972"/>
      <c r="O18" s="972"/>
      <c r="P18" s="972"/>
      <c r="Q18" s="972"/>
      <c r="R18" s="972"/>
      <c r="S18" s="972"/>
      <c r="T18" s="972"/>
      <c r="U18" s="972"/>
      <c r="V18" s="972"/>
      <c r="W18" s="972"/>
      <c r="X18" s="972"/>
      <c r="Y18" s="972"/>
      <c r="Z18" s="972"/>
      <c r="AA18" s="972"/>
      <c r="AB18" s="972"/>
      <c r="AC18" s="972"/>
      <c r="AD18" s="972"/>
    </row>
    <row r="19" spans="1:30">
      <c r="A19" s="972"/>
      <c r="B19" s="972"/>
      <c r="C19" s="972"/>
      <c r="D19" s="972"/>
      <c r="E19" s="972"/>
      <c r="F19" s="972"/>
      <c r="G19" s="972"/>
      <c r="H19" s="972"/>
      <c r="I19" s="972"/>
      <c r="J19" s="979"/>
      <c r="K19" s="972"/>
      <c r="L19" s="972"/>
      <c r="M19" s="972"/>
      <c r="N19" s="972"/>
      <c r="O19" s="972"/>
      <c r="P19" s="972"/>
      <c r="Q19" s="972"/>
      <c r="R19" s="972"/>
      <c r="S19" s="972"/>
      <c r="T19" s="972"/>
      <c r="U19" s="972"/>
      <c r="V19" s="972"/>
      <c r="W19" s="972"/>
      <c r="X19" s="972"/>
      <c r="Y19" s="972"/>
      <c r="Z19" s="972"/>
      <c r="AA19" s="972"/>
      <c r="AB19" s="972"/>
      <c r="AC19" s="972"/>
      <c r="AD19" s="972"/>
    </row>
    <row r="20" spans="1:30">
      <c r="A20" s="972"/>
      <c r="B20" s="972"/>
      <c r="C20" s="972"/>
      <c r="D20" s="972"/>
      <c r="E20" s="972"/>
      <c r="F20" s="972"/>
      <c r="G20" s="972"/>
      <c r="H20" s="972"/>
      <c r="I20" s="972"/>
      <c r="J20" s="979"/>
      <c r="K20" s="972"/>
      <c r="L20" s="972"/>
      <c r="M20" s="972"/>
      <c r="N20" s="972"/>
      <c r="O20" s="972"/>
      <c r="P20" s="972"/>
      <c r="Q20" s="972"/>
      <c r="R20" s="972"/>
      <c r="S20" s="972"/>
      <c r="T20" s="972"/>
      <c r="U20" s="972"/>
      <c r="V20" s="972"/>
      <c r="W20" s="972"/>
      <c r="X20" s="972"/>
      <c r="Y20" s="972"/>
      <c r="Z20" s="972"/>
      <c r="AA20" s="972"/>
      <c r="AB20" s="972"/>
      <c r="AC20" s="972"/>
      <c r="AD20" s="972"/>
    </row>
    <row r="21" spans="1:30">
      <c r="A21" s="778" t="s">
        <v>258</v>
      </c>
      <c r="B21" s="972"/>
      <c r="C21" s="972"/>
      <c r="D21" s="972"/>
      <c r="E21" s="972"/>
      <c r="F21" s="972"/>
      <c r="G21" s="972"/>
      <c r="H21" s="972"/>
      <c r="I21" s="980"/>
      <c r="J21" s="682">
        <f>Q50</f>
        <v>12796994</v>
      </c>
      <c r="K21" s="972"/>
      <c r="L21" s="972"/>
      <c r="M21" s="972"/>
      <c r="N21" s="972"/>
      <c r="O21" s="972"/>
      <c r="P21" s="972"/>
      <c r="Q21" s="972"/>
      <c r="R21" s="972"/>
      <c r="S21" s="972"/>
      <c r="T21" s="972"/>
      <c r="U21" s="972"/>
      <c r="V21" s="972"/>
      <c r="W21" s="972"/>
      <c r="X21" s="972"/>
      <c r="Y21" s="972"/>
      <c r="Z21" s="972"/>
      <c r="AA21" s="972"/>
      <c r="AB21" s="972"/>
      <c r="AC21" s="972"/>
      <c r="AD21" s="972"/>
    </row>
    <row r="22" spans="1:30">
      <c r="A22" s="972"/>
      <c r="B22" s="972"/>
      <c r="C22" s="972"/>
      <c r="D22" s="972"/>
      <c r="E22" s="972"/>
      <c r="F22" s="972"/>
      <c r="G22" s="972"/>
      <c r="H22" s="972"/>
      <c r="I22" s="972"/>
      <c r="J22" s="981"/>
      <c r="K22" s="972"/>
      <c r="L22" s="972"/>
      <c r="M22" s="972"/>
      <c r="N22" s="972"/>
      <c r="O22" s="972"/>
      <c r="P22" s="972"/>
      <c r="Q22" s="972"/>
      <c r="R22" s="972"/>
      <c r="S22" s="972"/>
      <c r="T22" s="972"/>
      <c r="U22" s="972"/>
      <c r="V22" s="972"/>
      <c r="W22" s="972"/>
      <c r="X22" s="972"/>
      <c r="Y22" s="972"/>
      <c r="Z22" s="972"/>
      <c r="AA22" s="972"/>
      <c r="AB22" s="972"/>
      <c r="AC22" s="972"/>
      <c r="AD22" s="972"/>
    </row>
    <row r="23" spans="1:30">
      <c r="A23" s="972"/>
      <c r="B23" s="972"/>
      <c r="C23" s="972"/>
      <c r="D23" s="972"/>
      <c r="E23" s="972"/>
      <c r="F23" s="972"/>
      <c r="G23" s="972"/>
      <c r="H23" s="972"/>
      <c r="I23" s="972"/>
      <c r="J23" s="972"/>
      <c r="K23" s="972"/>
      <c r="L23" s="972"/>
      <c r="M23" s="972"/>
      <c r="N23" s="972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  <c r="Z23" s="972"/>
      <c r="AA23" s="972"/>
      <c r="AB23" s="972"/>
      <c r="AC23" s="972"/>
      <c r="AD23" s="972"/>
    </row>
    <row r="24" spans="1:30">
      <c r="A24" s="778" t="s">
        <v>1862</v>
      </c>
      <c r="B24" s="972"/>
      <c r="C24" s="972"/>
      <c r="D24" s="972"/>
      <c r="E24" s="972"/>
      <c r="F24" s="972"/>
      <c r="G24" s="972"/>
      <c r="H24" s="972"/>
      <c r="I24" s="972"/>
      <c r="J24" s="982">
        <f>VLOOKUP(C30,ALLOCTABLE,2)/100</f>
        <v>1</v>
      </c>
      <c r="K24" s="972"/>
      <c r="L24" s="972"/>
      <c r="M24" s="972"/>
      <c r="N24" s="972"/>
      <c r="O24" s="972"/>
      <c r="P24" s="972"/>
      <c r="Q24" s="972"/>
      <c r="R24" s="972"/>
      <c r="S24" s="972"/>
      <c r="T24" s="972"/>
      <c r="U24" s="972"/>
      <c r="V24" s="972"/>
      <c r="W24" s="972"/>
      <c r="X24" s="972"/>
      <c r="Y24" s="972"/>
      <c r="Z24" s="972"/>
      <c r="AA24" s="972"/>
      <c r="AB24" s="972"/>
      <c r="AC24" s="972"/>
      <c r="AD24" s="972"/>
    </row>
    <row r="25" spans="1:30">
      <c r="A25" s="972"/>
      <c r="B25" s="972"/>
      <c r="C25" s="972"/>
      <c r="D25" s="972"/>
      <c r="E25" s="972"/>
      <c r="F25" s="972"/>
      <c r="G25" s="972"/>
      <c r="H25" s="972"/>
      <c r="I25" s="972"/>
      <c r="J25" s="980"/>
      <c r="K25" s="972"/>
      <c r="L25" s="972"/>
      <c r="M25" s="972"/>
      <c r="N25" s="972"/>
      <c r="O25" s="972"/>
      <c r="P25" s="972"/>
      <c r="Q25" s="972"/>
      <c r="R25" s="972"/>
      <c r="S25" s="972"/>
      <c r="T25" s="972"/>
      <c r="U25" s="972"/>
      <c r="V25" s="972"/>
      <c r="W25" s="972"/>
      <c r="X25" s="972"/>
      <c r="Y25" s="972"/>
      <c r="Z25" s="972"/>
      <c r="AA25" s="972"/>
      <c r="AB25" s="972"/>
      <c r="AC25" s="972"/>
      <c r="AD25" s="972"/>
    </row>
    <row r="26" spans="1:30">
      <c r="A26" s="972"/>
      <c r="B26" s="972"/>
      <c r="C26" s="972"/>
      <c r="D26" s="972"/>
      <c r="E26" s="972"/>
      <c r="F26" s="972"/>
      <c r="G26" s="972"/>
      <c r="H26" s="972"/>
      <c r="I26" s="972"/>
      <c r="J26" s="972"/>
      <c r="K26" s="972"/>
      <c r="L26" s="972"/>
      <c r="M26" s="972"/>
      <c r="N26" s="972"/>
      <c r="O26" s="972"/>
      <c r="P26" s="972"/>
      <c r="Q26" s="972"/>
      <c r="R26" s="972"/>
      <c r="S26" s="972"/>
      <c r="T26" s="972"/>
      <c r="U26" s="972"/>
      <c r="V26" s="972"/>
      <c r="W26" s="972"/>
      <c r="X26" s="972"/>
      <c r="Y26" s="972"/>
      <c r="Z26" s="972"/>
      <c r="AA26" s="972"/>
      <c r="AB26" s="972"/>
      <c r="AC26" s="972"/>
      <c r="AD26" s="972"/>
    </row>
    <row r="27" spans="1:30" ht="15">
      <c r="A27" s="778" t="s">
        <v>1863</v>
      </c>
      <c r="B27" s="972"/>
      <c r="C27" s="972"/>
      <c r="D27" s="972"/>
      <c r="E27" s="972"/>
      <c r="F27" s="972" t="s">
        <v>2177</v>
      </c>
      <c r="G27" s="972"/>
      <c r="H27" s="972"/>
      <c r="I27" s="980"/>
      <c r="J27" s="705">
        <f>ROUND(J21*J24,0)</f>
        <v>12796994</v>
      </c>
      <c r="K27" s="972"/>
      <c r="L27" s="972"/>
      <c r="M27" s="972"/>
      <c r="N27" s="972"/>
      <c r="O27" s="972"/>
      <c r="P27" s="972"/>
      <c r="Q27" s="972"/>
      <c r="R27" s="972"/>
      <c r="S27" s="972"/>
      <c r="T27" s="972"/>
      <c r="U27" s="972"/>
      <c r="V27" s="972"/>
      <c r="W27" s="972"/>
      <c r="X27" s="972"/>
      <c r="Y27" s="972"/>
      <c r="Z27" s="972"/>
      <c r="AA27" s="972"/>
      <c r="AB27" s="972"/>
      <c r="AC27" s="972"/>
      <c r="AD27" s="972"/>
    </row>
    <row r="28" spans="1:30">
      <c r="A28" s="972"/>
      <c r="B28" s="972"/>
      <c r="C28" s="972"/>
      <c r="D28" s="972"/>
      <c r="E28" s="972"/>
      <c r="F28" s="972"/>
      <c r="G28" s="972"/>
      <c r="H28" s="972"/>
      <c r="I28" s="972"/>
      <c r="J28" s="981"/>
      <c r="K28" s="972"/>
      <c r="L28" s="972"/>
      <c r="M28" s="972"/>
      <c r="N28" s="972"/>
      <c r="O28" s="972"/>
      <c r="P28" s="972"/>
      <c r="Q28" s="972"/>
      <c r="R28" s="972"/>
      <c r="S28" s="972"/>
      <c r="T28" s="972"/>
      <c r="U28" s="972"/>
      <c r="V28" s="972"/>
      <c r="W28" s="972"/>
      <c r="X28" s="972"/>
      <c r="Y28" s="972"/>
      <c r="Z28" s="972"/>
      <c r="AA28" s="972"/>
      <c r="AB28" s="972"/>
      <c r="AC28" s="972"/>
      <c r="AD28" s="972"/>
    </row>
    <row r="29" spans="1:30">
      <c r="A29" s="778"/>
      <c r="B29" s="972"/>
      <c r="C29" s="972"/>
      <c r="D29" s="972"/>
      <c r="E29" s="972"/>
      <c r="F29" s="972"/>
      <c r="G29" s="972"/>
      <c r="H29" s="972"/>
      <c r="I29" s="972"/>
      <c r="J29" s="972"/>
      <c r="K29" s="972"/>
      <c r="L29" s="972"/>
      <c r="M29" s="972"/>
      <c r="N29" s="972"/>
      <c r="O29" s="972"/>
      <c r="P29" s="972"/>
      <c r="Q29" s="972"/>
      <c r="R29" s="972"/>
      <c r="S29" s="972"/>
      <c r="T29" s="972"/>
      <c r="U29" s="972"/>
      <c r="V29" s="972"/>
      <c r="W29" s="972"/>
      <c r="X29" s="972"/>
      <c r="Y29" s="972"/>
      <c r="Z29" s="972"/>
      <c r="AA29" s="972"/>
      <c r="AB29" s="972"/>
      <c r="AC29" s="972"/>
      <c r="AD29" s="972"/>
    </row>
    <row r="30" spans="1:30">
      <c r="A30" s="778" t="s">
        <v>1864</v>
      </c>
      <c r="B30" s="972"/>
      <c r="C30" s="983" t="s">
        <v>428</v>
      </c>
      <c r="E30" s="972"/>
      <c r="F30" s="972"/>
      <c r="G30" s="972"/>
      <c r="H30" s="972"/>
      <c r="I30" s="972"/>
      <c r="J30" s="972"/>
      <c r="K30" s="972"/>
      <c r="L30" s="972"/>
      <c r="M30" s="972"/>
      <c r="N30" s="972"/>
      <c r="O30" s="972"/>
      <c r="P30" s="972"/>
      <c r="Q30" s="972"/>
      <c r="R30" s="972"/>
      <c r="S30" s="972"/>
      <c r="T30" s="972"/>
      <c r="U30" s="972"/>
      <c r="V30" s="972"/>
      <c r="W30" s="972"/>
      <c r="X30" s="972"/>
      <c r="Y30" s="972"/>
      <c r="Z30" s="972"/>
      <c r="AA30" s="972"/>
      <c r="AB30" s="972"/>
      <c r="AC30" s="972"/>
      <c r="AD30" s="972"/>
    </row>
    <row r="31" spans="1:30">
      <c r="A31" s="972"/>
      <c r="B31" s="972"/>
      <c r="C31" s="972"/>
      <c r="D31" s="972"/>
      <c r="E31" s="972"/>
      <c r="F31" s="972"/>
      <c r="G31" s="972"/>
      <c r="H31" s="972"/>
      <c r="I31" s="972"/>
      <c r="J31" s="972"/>
      <c r="K31" s="972"/>
      <c r="L31" s="972"/>
      <c r="M31" s="972"/>
      <c r="N31" s="972"/>
      <c r="O31" s="972"/>
      <c r="P31" s="972"/>
      <c r="Q31" s="972"/>
      <c r="R31" s="972"/>
      <c r="S31" s="972"/>
      <c r="T31" s="972"/>
      <c r="U31" s="972"/>
      <c r="V31" s="972"/>
      <c r="W31" s="972"/>
      <c r="X31" s="972"/>
      <c r="Y31" s="972"/>
      <c r="Z31" s="972"/>
      <c r="AA31" s="972"/>
      <c r="AB31" s="972"/>
      <c r="AC31" s="972"/>
      <c r="AD31" s="972"/>
    </row>
    <row r="32" spans="1:30">
      <c r="A32" s="972"/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972"/>
      <c r="U32" s="972"/>
      <c r="V32" s="972"/>
      <c r="W32" s="972"/>
      <c r="X32" s="972"/>
      <c r="Y32" s="972"/>
      <c r="Z32" s="972"/>
      <c r="AA32" s="972"/>
      <c r="AB32" s="972"/>
      <c r="AC32" s="972"/>
      <c r="AD32" s="972"/>
    </row>
    <row r="33" spans="1:30">
      <c r="A33" s="972"/>
      <c r="B33" s="972"/>
      <c r="C33" s="972"/>
      <c r="D33" s="972"/>
      <c r="E33" s="972"/>
      <c r="F33" s="972"/>
      <c r="G33" s="972"/>
      <c r="H33" s="972"/>
      <c r="I33" s="972"/>
      <c r="J33" s="972"/>
      <c r="K33" s="972"/>
      <c r="L33" s="972"/>
      <c r="M33" s="972"/>
      <c r="N33" s="972"/>
      <c r="O33" s="972"/>
      <c r="P33" s="972"/>
      <c r="Q33" s="972"/>
      <c r="R33" s="972"/>
      <c r="S33" s="972"/>
      <c r="T33" s="972"/>
      <c r="U33" s="972"/>
      <c r="V33" s="972"/>
      <c r="W33" s="972"/>
      <c r="X33" s="972"/>
      <c r="Y33" s="972"/>
      <c r="Z33" s="972"/>
      <c r="AA33" s="972"/>
      <c r="AB33" s="972"/>
      <c r="AC33" s="972"/>
      <c r="AD33" s="972"/>
    </row>
    <row r="34" spans="1:30">
      <c r="A34" s="972"/>
      <c r="B34" s="972"/>
      <c r="C34" s="972"/>
      <c r="D34" s="972"/>
      <c r="E34" s="972"/>
      <c r="F34" s="972"/>
      <c r="G34" s="972"/>
      <c r="H34" s="972"/>
      <c r="I34" s="972"/>
      <c r="J34" s="972"/>
      <c r="K34" s="972" t="str">
        <f>COMPANY</f>
        <v>DUKE ENERGY KENTUCKY, INC.</v>
      </c>
      <c r="L34" s="972"/>
      <c r="M34" s="972"/>
      <c r="N34" s="972"/>
      <c r="O34" s="972"/>
      <c r="P34" s="972"/>
      <c r="Q34" s="778" t="s">
        <v>2178</v>
      </c>
      <c r="R34" s="972"/>
      <c r="S34" s="972"/>
      <c r="T34" s="972"/>
      <c r="U34" s="972"/>
      <c r="V34" s="972"/>
      <c r="W34" s="972"/>
      <c r="X34" s="972"/>
      <c r="Y34" s="972"/>
      <c r="Z34" s="972"/>
      <c r="AA34" s="972"/>
      <c r="AB34" s="972"/>
      <c r="AC34" s="972"/>
      <c r="AD34" s="972"/>
    </row>
    <row r="35" spans="1:30">
      <c r="A35" s="972"/>
      <c r="B35" s="972"/>
      <c r="C35" s="972"/>
      <c r="D35" s="972"/>
      <c r="E35" s="972"/>
      <c r="F35" s="972"/>
      <c r="G35" s="972"/>
      <c r="H35" s="972"/>
      <c r="I35" s="972"/>
      <c r="J35" s="972"/>
      <c r="K35" s="972" t="str">
        <f>DEPT</f>
        <v>ELECTRIC DEPARTMENT</v>
      </c>
      <c r="L35" s="972"/>
      <c r="M35" s="972"/>
      <c r="N35" s="972"/>
      <c r="O35" s="972"/>
      <c r="P35" s="972"/>
      <c r="Q35" s="778" t="s">
        <v>468</v>
      </c>
      <c r="R35" s="972"/>
      <c r="S35" s="972"/>
      <c r="T35" s="972"/>
      <c r="U35" s="972"/>
      <c r="V35" s="972"/>
      <c r="W35" s="972"/>
      <c r="X35" s="972"/>
      <c r="Y35" s="972"/>
      <c r="Z35" s="972"/>
      <c r="AA35" s="972"/>
      <c r="AB35" s="972"/>
      <c r="AC35" s="972"/>
      <c r="AD35" s="972"/>
    </row>
    <row r="36" spans="1:30">
      <c r="A36" s="972"/>
      <c r="B36" s="972"/>
      <c r="C36" s="972"/>
      <c r="D36" s="972"/>
      <c r="E36" s="972"/>
      <c r="F36" s="972"/>
      <c r="G36" s="972"/>
      <c r="H36" s="972"/>
      <c r="I36" s="972"/>
      <c r="J36" s="972"/>
      <c r="K36" s="972" t="str">
        <f>CASE</f>
        <v>CASE NO. 2024-00354</v>
      </c>
      <c r="L36" s="972"/>
      <c r="M36" s="972"/>
      <c r="N36" s="972"/>
      <c r="O36" s="972"/>
      <c r="P36" s="972"/>
      <c r="Q36" s="778" t="str">
        <f>_WIT9</f>
        <v>S. S. MITCHELL</v>
      </c>
      <c r="R36" s="972"/>
      <c r="S36" s="972"/>
      <c r="T36" s="972"/>
      <c r="U36" s="972"/>
      <c r="V36" s="972"/>
      <c r="W36" s="972"/>
      <c r="X36" s="972"/>
      <c r="Y36" s="972"/>
      <c r="Z36" s="972"/>
      <c r="AA36" s="972"/>
      <c r="AB36" s="972"/>
      <c r="AC36" s="972"/>
      <c r="AD36" s="972"/>
    </row>
    <row r="37" spans="1:30">
      <c r="A37" s="972"/>
      <c r="B37" s="972"/>
      <c r="C37" s="972"/>
      <c r="D37" s="972"/>
      <c r="E37" s="972"/>
      <c r="F37" s="972"/>
      <c r="G37" s="972"/>
      <c r="H37" s="972"/>
      <c r="I37" s="972"/>
      <c r="J37" s="972"/>
      <c r="K37" s="778" t="s">
        <v>2179</v>
      </c>
      <c r="L37" s="972"/>
      <c r="M37" s="972"/>
      <c r="N37" s="972"/>
      <c r="O37" s="972"/>
      <c r="P37" s="972"/>
      <c r="Q37" s="972"/>
      <c r="R37" s="972"/>
      <c r="S37" s="972"/>
      <c r="T37" s="972"/>
      <c r="U37" s="972"/>
      <c r="V37" s="972"/>
      <c r="W37" s="972"/>
      <c r="X37" s="972"/>
      <c r="Y37" s="972"/>
      <c r="Z37" s="972"/>
      <c r="AA37" s="972"/>
      <c r="AB37" s="972"/>
      <c r="AC37" s="972"/>
      <c r="AD37" s="972"/>
    </row>
    <row r="38" spans="1:30">
      <c r="A38" s="972"/>
      <c r="B38" s="972"/>
      <c r="C38" s="972"/>
      <c r="D38" s="972"/>
      <c r="E38" s="972"/>
      <c r="F38" s="972"/>
      <c r="G38" s="972"/>
      <c r="H38" s="972"/>
      <c r="I38" s="972"/>
      <c r="J38" s="972"/>
      <c r="K38" s="972" t="str">
        <f>"THIRTEEN MONTHS ENDED "&amp;Testyear</f>
        <v>THIRTEEN MONTHS ENDED JUNE 30, 2026</v>
      </c>
      <c r="L38" s="972"/>
      <c r="M38" s="972"/>
      <c r="N38" s="972"/>
      <c r="O38" s="972"/>
      <c r="P38" s="972"/>
      <c r="Q38" s="972"/>
      <c r="R38" s="972"/>
      <c r="S38" s="972"/>
      <c r="T38" s="972"/>
      <c r="U38" s="972"/>
      <c r="V38" s="972"/>
      <c r="W38" s="972"/>
      <c r="X38" s="972"/>
      <c r="Y38" s="972"/>
      <c r="Z38" s="972"/>
      <c r="AA38" s="972"/>
      <c r="AB38" s="972"/>
      <c r="AC38" s="972"/>
      <c r="AD38" s="972"/>
    </row>
    <row r="39" spans="1:30">
      <c r="A39" s="972"/>
      <c r="B39" s="972"/>
      <c r="C39" s="972"/>
      <c r="D39" s="972"/>
      <c r="E39" s="972"/>
      <c r="F39" s="972"/>
      <c r="G39" s="972"/>
      <c r="H39" s="972"/>
      <c r="I39" s="972"/>
      <c r="J39" s="972"/>
      <c r="K39" s="972"/>
      <c r="L39" s="972"/>
      <c r="M39" s="972"/>
      <c r="N39" s="972"/>
      <c r="O39" s="972"/>
      <c r="P39" s="972"/>
      <c r="Q39" s="984"/>
      <c r="R39" s="972"/>
      <c r="S39" s="972"/>
      <c r="T39" s="972"/>
      <c r="U39" s="972"/>
      <c r="V39" s="972"/>
      <c r="W39" s="972"/>
      <c r="X39" s="972"/>
      <c r="Y39" s="972"/>
      <c r="Z39" s="972"/>
      <c r="AA39" s="972"/>
      <c r="AB39" s="972"/>
      <c r="AC39" s="972"/>
      <c r="AD39" s="972"/>
    </row>
    <row r="40" spans="1:30">
      <c r="A40" s="972"/>
      <c r="B40" s="972"/>
      <c r="C40" s="972"/>
      <c r="D40" s="972"/>
      <c r="E40" s="972"/>
      <c r="F40" s="972"/>
      <c r="G40" s="972"/>
      <c r="H40" s="972"/>
      <c r="I40" s="972"/>
      <c r="J40" s="972"/>
      <c r="K40" s="972"/>
      <c r="L40" s="972"/>
      <c r="M40" s="972"/>
      <c r="N40" s="972"/>
      <c r="O40" s="972"/>
      <c r="P40" s="972"/>
      <c r="Q40" s="972"/>
      <c r="R40" s="972"/>
      <c r="S40" s="972"/>
      <c r="T40" s="972"/>
      <c r="U40" s="972"/>
      <c r="V40" s="972"/>
      <c r="W40" s="972"/>
      <c r="X40" s="972"/>
      <c r="Y40" s="972"/>
      <c r="Z40" s="972"/>
      <c r="AA40" s="972"/>
      <c r="AB40" s="972"/>
      <c r="AC40" s="972"/>
      <c r="AD40" s="972"/>
    </row>
    <row r="41" spans="1:30">
      <c r="A41" s="972"/>
      <c r="B41" s="972"/>
      <c r="C41" s="972"/>
      <c r="D41" s="972"/>
      <c r="E41" s="972"/>
      <c r="F41" s="972"/>
      <c r="G41" s="972"/>
      <c r="H41" s="972"/>
      <c r="I41" s="972"/>
      <c r="J41" s="972"/>
      <c r="K41" s="972"/>
      <c r="L41" s="972"/>
      <c r="M41" s="972"/>
      <c r="N41" s="972"/>
      <c r="O41" s="978" t="s">
        <v>2180</v>
      </c>
      <c r="P41" s="972"/>
      <c r="Q41" s="972"/>
      <c r="R41" s="972"/>
      <c r="S41" s="972"/>
      <c r="T41" s="972"/>
      <c r="U41" s="972"/>
      <c r="V41" s="972"/>
      <c r="W41" s="972"/>
      <c r="X41" s="972"/>
      <c r="Y41" s="2394"/>
      <c r="Z41" s="972"/>
      <c r="AA41" s="972"/>
      <c r="AB41" s="972"/>
      <c r="AC41" s="972"/>
      <c r="AD41" s="972"/>
    </row>
    <row r="42" spans="1:30">
      <c r="A42" s="972"/>
      <c r="B42" s="972"/>
      <c r="C42" s="972"/>
      <c r="D42" s="972"/>
      <c r="E42" s="972"/>
      <c r="F42" s="972"/>
      <c r="G42" s="972"/>
      <c r="H42" s="972"/>
      <c r="I42" s="972"/>
      <c r="J42" s="972"/>
      <c r="K42" s="978" t="s">
        <v>573</v>
      </c>
      <c r="L42" s="972"/>
      <c r="M42" s="972"/>
      <c r="N42" s="972"/>
      <c r="O42" s="978" t="s">
        <v>2181</v>
      </c>
      <c r="P42" s="972"/>
      <c r="Q42" s="972"/>
      <c r="R42" s="972"/>
      <c r="S42" s="972"/>
      <c r="T42" s="972"/>
      <c r="U42" s="972"/>
      <c r="V42" s="972"/>
      <c r="W42" s="972"/>
      <c r="X42" s="972"/>
      <c r="Y42" s="972"/>
      <c r="Z42" s="972"/>
      <c r="AA42" s="972"/>
      <c r="AB42" s="972"/>
      <c r="AC42" s="972"/>
      <c r="AD42" s="972"/>
    </row>
    <row r="43" spans="1:30">
      <c r="A43" s="972"/>
      <c r="B43" s="972"/>
      <c r="C43" s="972"/>
      <c r="D43" s="972"/>
      <c r="E43" s="972"/>
      <c r="F43" s="972"/>
      <c r="G43" s="972"/>
      <c r="H43" s="972"/>
      <c r="I43" s="972"/>
      <c r="J43" s="972"/>
      <c r="K43" s="985" t="s">
        <v>576</v>
      </c>
      <c r="L43" s="972"/>
      <c r="M43" s="986" t="s">
        <v>2182</v>
      </c>
      <c r="N43" s="972"/>
      <c r="O43" s="985" t="s">
        <v>2058</v>
      </c>
      <c r="P43" s="972"/>
      <c r="Q43" s="985" t="s">
        <v>419</v>
      </c>
      <c r="R43" s="972"/>
      <c r="S43" s="972"/>
      <c r="T43" s="972"/>
      <c r="U43" s="972"/>
      <c r="V43" s="985"/>
      <c r="W43" s="985"/>
      <c r="X43" s="985"/>
      <c r="Y43" s="985"/>
      <c r="Z43" s="985"/>
      <c r="AA43" s="985"/>
      <c r="AB43" s="985"/>
      <c r="AC43" s="972"/>
      <c r="AD43" s="972"/>
    </row>
    <row r="44" spans="1:30">
      <c r="A44" s="972"/>
      <c r="B44" s="972"/>
      <c r="C44" s="972"/>
      <c r="D44" s="972"/>
      <c r="E44" s="972"/>
      <c r="F44" s="972"/>
      <c r="G44" s="972"/>
      <c r="H44" s="972"/>
      <c r="I44" s="972"/>
      <c r="J44" s="972"/>
      <c r="K44" s="978"/>
      <c r="L44" s="972"/>
      <c r="M44" s="978"/>
      <c r="N44" s="778"/>
      <c r="O44" s="978"/>
      <c r="P44" s="972"/>
      <c r="Q44" s="987"/>
      <c r="R44" s="972"/>
      <c r="S44" s="972"/>
      <c r="T44" s="972"/>
      <c r="U44" s="972"/>
      <c r="V44" s="972"/>
      <c r="W44" s="972"/>
      <c r="X44" s="972"/>
      <c r="Y44" s="972"/>
      <c r="Z44" s="972"/>
      <c r="AA44" s="972"/>
      <c r="AB44" s="972"/>
      <c r="AC44" s="972"/>
      <c r="AD44" s="972"/>
    </row>
    <row r="45" spans="1:30">
      <c r="A45" s="972"/>
      <c r="B45" s="972"/>
      <c r="C45" s="972"/>
      <c r="D45" s="972"/>
      <c r="E45" s="972"/>
      <c r="F45" s="972"/>
      <c r="G45" s="972"/>
      <c r="H45" s="972"/>
      <c r="I45" s="972"/>
      <c r="J45" s="972"/>
      <c r="K45" s="978"/>
      <c r="L45" s="972"/>
      <c r="M45" s="972"/>
      <c r="N45" s="972"/>
      <c r="O45" s="988"/>
      <c r="P45" s="989"/>
      <c r="Q45" s="990"/>
      <c r="R45" s="972"/>
      <c r="S45" s="972"/>
      <c r="T45" s="972"/>
      <c r="U45" s="972"/>
      <c r="V45" s="972"/>
      <c r="W45" s="972"/>
      <c r="X45" s="972"/>
      <c r="Y45" s="972"/>
      <c r="Z45" s="972"/>
      <c r="AA45" s="972"/>
      <c r="AB45" s="972"/>
      <c r="AC45" s="972"/>
      <c r="AD45" s="972"/>
    </row>
    <row r="46" spans="1:30">
      <c r="A46" s="972"/>
      <c r="B46" s="972"/>
      <c r="C46" s="972"/>
      <c r="D46" s="972"/>
      <c r="E46" s="972"/>
      <c r="F46" s="972"/>
      <c r="G46" s="972"/>
      <c r="H46" s="972"/>
      <c r="I46" s="972"/>
      <c r="J46" s="972"/>
      <c r="K46" s="978">
        <v>1</v>
      </c>
      <c r="L46" s="778"/>
      <c r="M46" s="778" t="s">
        <v>2183</v>
      </c>
      <c r="N46" s="972"/>
      <c r="O46" s="978" t="s">
        <v>2184</v>
      </c>
      <c r="P46" s="972"/>
      <c r="Q46" s="1398">
        <f>ROUND('SCH B-3.2 - Proposed'!L300,0)</f>
        <v>86243042</v>
      </c>
      <c r="R46" s="972"/>
      <c r="S46" s="972"/>
      <c r="T46" s="972"/>
      <c r="U46" s="972"/>
      <c r="V46" s="2395"/>
      <c r="W46" s="2395"/>
      <c r="X46" s="2395"/>
      <c r="Y46" s="2395"/>
      <c r="Z46" s="2395"/>
      <c r="AA46" s="2395"/>
      <c r="AB46" s="2395"/>
      <c r="AC46" s="972"/>
      <c r="AD46" s="972"/>
    </row>
    <row r="47" spans="1:30">
      <c r="A47" s="972"/>
      <c r="B47" s="972"/>
      <c r="C47" s="972"/>
      <c r="D47" s="972"/>
      <c r="E47" s="972"/>
      <c r="F47" s="972"/>
      <c r="G47" s="972"/>
      <c r="H47" s="972"/>
      <c r="I47" s="972"/>
      <c r="J47" s="972"/>
      <c r="K47" s="978"/>
      <c r="L47" s="778"/>
      <c r="M47" s="778"/>
      <c r="N47" s="972"/>
      <c r="O47" s="991"/>
      <c r="P47" s="989"/>
      <c r="Q47" s="600"/>
      <c r="R47" s="972"/>
      <c r="S47" s="972"/>
      <c r="T47" s="972"/>
      <c r="U47" s="972"/>
      <c r="V47" s="2395"/>
      <c r="W47" s="2395"/>
      <c r="X47" s="2395"/>
      <c r="Y47" s="2395"/>
      <c r="Z47" s="2395"/>
      <c r="AA47" s="2395"/>
      <c r="AB47" s="2395"/>
      <c r="AC47" s="972"/>
      <c r="AD47" s="972"/>
    </row>
    <row r="48" spans="1:30" ht="15">
      <c r="A48" s="972"/>
      <c r="B48" s="972"/>
      <c r="C48" s="972"/>
      <c r="D48" s="972"/>
      <c r="E48" s="972"/>
      <c r="F48" s="972"/>
      <c r="G48" s="972"/>
      <c r="H48" s="972"/>
      <c r="I48" s="972"/>
      <c r="J48" s="972"/>
      <c r="K48" s="978">
        <v>2</v>
      </c>
      <c r="L48" s="778"/>
      <c r="M48" s="778" t="s">
        <v>2185</v>
      </c>
      <c r="N48" s="972"/>
      <c r="O48" s="978" t="s">
        <v>2186</v>
      </c>
      <c r="P48" s="989"/>
      <c r="Q48" s="1400">
        <f>'SCH_C2.1 - Forecasted Period'!J284</f>
        <v>73446048</v>
      </c>
      <c r="R48" s="979"/>
      <c r="S48" s="972"/>
      <c r="T48" s="972"/>
      <c r="U48" s="972"/>
      <c r="V48" s="2396"/>
      <c r="W48" s="2396"/>
      <c r="X48" s="2396"/>
      <c r="Y48" s="2396"/>
      <c r="Z48" s="2396"/>
      <c r="AA48" s="2396"/>
      <c r="AB48" s="600"/>
      <c r="AC48" s="972"/>
      <c r="AD48" s="972"/>
    </row>
    <row r="49" spans="1:30">
      <c r="A49" s="972"/>
      <c r="B49" s="972"/>
      <c r="C49" s="972"/>
      <c r="D49" s="972"/>
      <c r="E49" s="972"/>
      <c r="F49" s="972"/>
      <c r="G49" s="972"/>
      <c r="H49" s="972"/>
      <c r="I49" s="972"/>
      <c r="J49" s="972"/>
      <c r="K49" s="978"/>
      <c r="L49" s="778"/>
      <c r="M49" s="778"/>
      <c r="N49" s="972"/>
      <c r="O49" s="972"/>
      <c r="P49" s="972"/>
      <c r="Q49" s="981"/>
      <c r="R49" s="972"/>
      <c r="S49" s="972"/>
      <c r="T49" s="972"/>
      <c r="U49" s="972"/>
      <c r="V49" s="972"/>
      <c r="W49" s="972"/>
      <c r="X49" s="972"/>
      <c r="Y49" s="972"/>
      <c r="Z49" s="972"/>
      <c r="AA49" s="972"/>
      <c r="AB49" s="972"/>
      <c r="AC49" s="972"/>
      <c r="AD49" s="972"/>
    </row>
    <row r="50" spans="1:30">
      <c r="A50" s="972"/>
      <c r="B50" s="972"/>
      <c r="C50" s="972"/>
      <c r="D50" s="972"/>
      <c r="E50" s="972"/>
      <c r="F50" s="972"/>
      <c r="G50" s="972"/>
      <c r="H50" s="972"/>
      <c r="I50" s="972"/>
      <c r="J50" s="972"/>
      <c r="K50" s="978">
        <v>3</v>
      </c>
      <c r="L50" s="778"/>
      <c r="M50" s="778" t="s">
        <v>2187</v>
      </c>
      <c r="N50" s="972"/>
      <c r="O50" s="972"/>
      <c r="P50" s="992"/>
      <c r="Q50" s="1399">
        <f>Q46-Q48</f>
        <v>12796994</v>
      </c>
      <c r="R50" s="778" t="s">
        <v>2188</v>
      </c>
      <c r="S50" s="972"/>
      <c r="T50" s="972"/>
      <c r="U50" s="972"/>
      <c r="V50" s="979"/>
      <c r="W50" s="979"/>
      <c r="X50" s="979"/>
      <c r="Y50" s="979"/>
      <c r="Z50" s="979"/>
      <c r="AA50" s="979"/>
      <c r="AB50" s="979"/>
      <c r="AC50" s="972"/>
      <c r="AD50" s="972"/>
    </row>
    <row r="51" spans="1:30">
      <c r="A51" s="972"/>
      <c r="B51" s="972"/>
      <c r="C51" s="972"/>
      <c r="D51" s="972"/>
      <c r="E51" s="972"/>
      <c r="F51" s="972"/>
      <c r="G51" s="972"/>
      <c r="H51" s="972"/>
      <c r="I51" s="972"/>
      <c r="J51" s="972"/>
      <c r="K51" s="978"/>
      <c r="L51" s="778"/>
      <c r="M51" s="778"/>
      <c r="N51" s="972"/>
      <c r="O51" s="972"/>
      <c r="P51" s="992"/>
      <c r="Q51" s="993"/>
      <c r="R51" s="994" t="s">
        <v>2189</v>
      </c>
      <c r="S51" s="972"/>
      <c r="T51" s="972"/>
      <c r="U51" s="972"/>
      <c r="AC51" s="972"/>
      <c r="AD51" s="972"/>
    </row>
    <row r="52" spans="1:30">
      <c r="A52" s="972"/>
      <c r="B52" s="972"/>
      <c r="C52" s="972"/>
      <c r="D52" s="972"/>
      <c r="E52" s="972"/>
      <c r="F52" s="972"/>
      <c r="G52" s="972"/>
      <c r="H52" s="972"/>
      <c r="I52" s="972"/>
      <c r="J52" s="972"/>
      <c r="K52" s="972"/>
      <c r="L52" s="778"/>
      <c r="M52" s="778"/>
      <c r="N52" s="972"/>
      <c r="O52" s="972"/>
      <c r="P52" s="972"/>
      <c r="Q52" s="981"/>
      <c r="R52" s="994" t="s">
        <v>2190</v>
      </c>
      <c r="S52" s="972"/>
      <c r="T52" s="972"/>
      <c r="U52" s="972"/>
      <c r="V52" s="979"/>
      <c r="W52" s="979"/>
      <c r="X52" s="979"/>
      <c r="Y52" s="979"/>
      <c r="Z52" s="979"/>
      <c r="AA52" s="979"/>
      <c r="AB52" s="979"/>
      <c r="AC52" s="972"/>
      <c r="AD52" s="972"/>
    </row>
    <row r="53" spans="1:30">
      <c r="A53" s="972"/>
      <c r="B53" s="972"/>
      <c r="C53" s="972"/>
      <c r="D53" s="972"/>
      <c r="E53" s="972"/>
      <c r="F53" s="972"/>
      <c r="G53" s="972"/>
      <c r="H53" s="972"/>
      <c r="I53" s="972"/>
      <c r="J53" s="972"/>
      <c r="T53" s="972"/>
      <c r="U53" s="972"/>
      <c r="V53" s="972"/>
      <c r="W53" s="972"/>
      <c r="X53" s="972"/>
      <c r="Y53" s="972"/>
      <c r="Z53" s="972"/>
      <c r="AA53" s="972"/>
      <c r="AB53" s="972"/>
      <c r="AC53" s="972"/>
      <c r="AD53" s="972"/>
    </row>
    <row r="54" spans="1:30">
      <c r="A54" s="972"/>
      <c r="B54" s="972"/>
      <c r="C54" s="972"/>
      <c r="D54" s="972"/>
      <c r="E54" s="972"/>
      <c r="F54" s="972"/>
      <c r="G54" s="972"/>
      <c r="H54" s="972"/>
      <c r="I54" s="972"/>
      <c r="J54" s="972"/>
      <c r="K54" s="778"/>
      <c r="L54" s="972"/>
      <c r="M54" s="972"/>
      <c r="N54" s="972"/>
      <c r="O54" s="972"/>
      <c r="P54" s="972"/>
      <c r="Q54" s="979"/>
      <c r="R54" s="972"/>
      <c r="S54" s="972"/>
      <c r="T54" s="972"/>
      <c r="U54" s="972"/>
      <c r="V54" s="972"/>
      <c r="W54" s="972"/>
      <c r="X54" s="972"/>
      <c r="Y54" s="972"/>
      <c r="Z54" s="972"/>
      <c r="AA54" s="972"/>
      <c r="AB54" s="972"/>
      <c r="AC54" s="972"/>
      <c r="AD54" s="972"/>
    </row>
    <row r="55" spans="1:30">
      <c r="A55" s="972"/>
      <c r="B55" s="972"/>
      <c r="C55" s="972"/>
      <c r="D55" s="972"/>
      <c r="E55" s="972"/>
      <c r="F55" s="972"/>
      <c r="G55" s="972"/>
      <c r="H55" s="972"/>
      <c r="I55" s="972"/>
      <c r="J55" s="972"/>
      <c r="K55" s="972"/>
      <c r="L55" s="972"/>
      <c r="M55" s="972"/>
      <c r="N55" s="972"/>
      <c r="O55" s="972"/>
      <c r="P55" s="972"/>
      <c r="Q55" s="972"/>
      <c r="R55" s="972"/>
      <c r="S55" s="972"/>
      <c r="T55" s="972"/>
      <c r="U55" s="972"/>
      <c r="V55" s="972"/>
      <c r="W55" s="972"/>
      <c r="X55" s="972"/>
      <c r="Y55" s="972"/>
      <c r="Z55" s="972"/>
      <c r="AA55" s="972"/>
      <c r="AB55" s="972"/>
      <c r="AC55" s="972"/>
      <c r="AD55" s="972"/>
    </row>
    <row r="56" spans="1:30">
      <c r="A56" s="972"/>
      <c r="B56" s="972"/>
      <c r="C56" s="972"/>
      <c r="D56" s="972"/>
      <c r="E56" s="972"/>
      <c r="F56" s="972"/>
      <c r="G56" s="972"/>
      <c r="H56" s="972"/>
      <c r="I56" s="972"/>
      <c r="J56" s="972"/>
      <c r="K56" s="972"/>
      <c r="L56" s="972"/>
      <c r="M56" s="972"/>
      <c r="N56" s="972"/>
      <c r="O56" s="972"/>
      <c r="P56" s="972"/>
      <c r="Q56" s="972"/>
      <c r="R56" s="972"/>
      <c r="S56" s="972"/>
      <c r="T56" s="972"/>
      <c r="U56" s="972"/>
      <c r="V56" s="2397"/>
      <c r="W56" s="972"/>
      <c r="X56" s="972"/>
      <c r="Y56" s="972"/>
      <c r="Z56" s="972"/>
      <c r="AA56" s="972"/>
      <c r="AB56" s="972"/>
      <c r="AC56" s="972"/>
      <c r="AD56" s="972"/>
    </row>
    <row r="57" spans="1:30">
      <c r="A57" s="972"/>
      <c r="B57" s="972"/>
      <c r="C57" s="972"/>
      <c r="D57" s="972"/>
      <c r="E57" s="972"/>
      <c r="F57" s="972"/>
      <c r="G57" s="972"/>
      <c r="H57" s="972"/>
      <c r="I57" s="972"/>
      <c r="J57" s="972"/>
      <c r="K57" s="972"/>
      <c r="L57" s="972"/>
      <c r="M57" s="972"/>
      <c r="N57" s="972"/>
      <c r="O57" s="972"/>
      <c r="P57" s="972"/>
      <c r="Q57" s="972"/>
      <c r="R57" s="972"/>
      <c r="S57" s="972"/>
      <c r="T57" s="972"/>
      <c r="U57" s="972"/>
      <c r="V57" s="972"/>
      <c r="W57" s="972"/>
      <c r="X57" s="972"/>
      <c r="Y57" s="972"/>
      <c r="Z57" s="972"/>
      <c r="AA57" s="972"/>
      <c r="AB57" s="972"/>
      <c r="AC57" s="972"/>
      <c r="AD57" s="972"/>
    </row>
    <row r="58" spans="1:30">
      <c r="A58" s="972"/>
      <c r="B58" s="972"/>
      <c r="C58" s="972"/>
      <c r="D58" s="972"/>
      <c r="E58" s="972"/>
      <c r="F58" s="972"/>
      <c r="G58" s="972"/>
      <c r="H58" s="972"/>
      <c r="I58" s="972"/>
      <c r="J58" s="972"/>
      <c r="K58" s="972"/>
      <c r="L58" s="972"/>
      <c r="M58" s="972"/>
      <c r="N58" s="972"/>
      <c r="O58" s="972"/>
      <c r="P58" s="972"/>
      <c r="Q58" s="972"/>
      <c r="R58" s="972"/>
      <c r="S58" s="972"/>
      <c r="T58" s="972"/>
      <c r="U58" s="972"/>
      <c r="V58" s="972"/>
      <c r="W58" s="972"/>
      <c r="X58" s="972"/>
      <c r="Y58" s="972"/>
      <c r="Z58" s="972"/>
      <c r="AA58" s="972"/>
      <c r="AB58" s="972"/>
      <c r="AC58" s="972"/>
      <c r="AD58" s="972"/>
    </row>
    <row r="59" spans="1:30">
      <c r="A59" s="972"/>
      <c r="B59" s="972"/>
      <c r="C59" s="972"/>
      <c r="D59" s="972"/>
      <c r="E59" s="972"/>
      <c r="F59" s="972"/>
      <c r="G59" s="972"/>
      <c r="H59" s="972"/>
      <c r="I59" s="972"/>
      <c r="J59" s="972"/>
      <c r="K59" s="972"/>
      <c r="L59" s="972"/>
      <c r="M59" s="995"/>
      <c r="N59" s="972"/>
      <c r="O59" s="972"/>
      <c r="P59" s="972"/>
      <c r="Q59" s="972"/>
      <c r="R59" s="972"/>
      <c r="S59" s="972"/>
      <c r="T59" s="972"/>
      <c r="U59" s="972"/>
      <c r="V59" s="972"/>
      <c r="W59" s="972"/>
      <c r="X59" s="972"/>
      <c r="Y59" s="972"/>
      <c r="Z59" s="972"/>
      <c r="AA59" s="972"/>
      <c r="AB59" s="972"/>
      <c r="AC59" s="972"/>
      <c r="AD59" s="972"/>
    </row>
    <row r="60" spans="1:30">
      <c r="A60" s="972"/>
      <c r="B60" s="972"/>
      <c r="C60" s="972"/>
      <c r="D60" s="972"/>
      <c r="E60" s="972"/>
      <c r="F60" s="972"/>
      <c r="G60" s="972"/>
      <c r="H60" s="972"/>
      <c r="I60" s="972"/>
      <c r="J60" s="972"/>
      <c r="K60" s="972"/>
      <c r="L60" s="972"/>
      <c r="M60" s="972"/>
      <c r="N60" s="972"/>
      <c r="O60" s="972"/>
      <c r="P60" s="972"/>
      <c r="Q60" s="972"/>
      <c r="R60" s="972"/>
      <c r="S60" s="972"/>
      <c r="T60" s="972"/>
      <c r="U60" s="972"/>
      <c r="V60" s="972"/>
      <c r="W60" s="972"/>
      <c r="X60" s="972"/>
      <c r="Y60" s="972"/>
      <c r="Z60" s="972"/>
      <c r="AA60" s="972"/>
      <c r="AB60" s="972"/>
      <c r="AC60" s="972"/>
      <c r="AD60" s="972"/>
    </row>
  </sheetData>
  <phoneticPr fontId="19" type="noConversion"/>
  <pageMargins left="1" right="0.75" top="1" bottom="0" header="0" footer="0"/>
  <pageSetup scale="75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86">
    <tabColor theme="7" tint="-0.249977111117893"/>
    <pageSetUpPr fitToPage="1"/>
  </sheetPr>
  <dimension ref="A1:O114"/>
  <sheetViews>
    <sheetView workbookViewId="0"/>
  </sheetViews>
  <sheetFormatPr defaultColWidth="8" defaultRowHeight="13.2"/>
  <cols>
    <col min="1" max="1" width="8" customWidth="1"/>
    <col min="2" max="2" width="25.44140625" customWidth="1"/>
    <col min="3" max="3" width="8" customWidth="1"/>
    <col min="4" max="4" width="10.44140625" customWidth="1"/>
    <col min="5" max="7" width="8" customWidth="1"/>
    <col min="8" max="8" width="12.44140625" customWidth="1"/>
    <col min="9" max="9" width="10" customWidth="1"/>
    <col min="10" max="10" width="18.44140625" customWidth="1"/>
    <col min="11" max="14" width="8" customWidth="1"/>
    <col min="15" max="15" width="2.44140625" customWidth="1"/>
    <col min="16" max="16" width="42.44140625" customWidth="1"/>
    <col min="17" max="17" width="3.5546875" customWidth="1"/>
    <col min="18" max="18" width="13.5546875" customWidth="1"/>
    <col min="19" max="19" width="1.5546875" customWidth="1"/>
    <col min="20" max="20" width="18.44140625" customWidth="1"/>
    <col min="21" max="21" width="2.44140625" customWidth="1"/>
    <col min="22" max="22" width="16.44140625" customWidth="1"/>
  </cols>
  <sheetData>
    <row r="1" spans="1:15">
      <c r="A1" s="951" t="str">
        <f>LOGO!B5</f>
        <v>DUKE ENERGY KENTUCKY, INC.</v>
      </c>
      <c r="B1" s="951"/>
      <c r="C1" s="951"/>
      <c r="D1" s="951"/>
      <c r="E1" s="951"/>
      <c r="F1" s="951"/>
      <c r="G1" s="951"/>
      <c r="H1" s="951"/>
      <c r="I1" s="951"/>
      <c r="J1" s="951"/>
      <c r="K1" s="599"/>
      <c r="L1" s="599"/>
      <c r="M1" s="599"/>
      <c r="N1" s="599"/>
      <c r="O1" s="599"/>
    </row>
    <row r="2" spans="1:15">
      <c r="A2" s="951" t="str">
        <f>LOGO!B6</f>
        <v>CASE NO. 2024-00354</v>
      </c>
      <c r="B2" s="951"/>
      <c r="C2" s="951"/>
      <c r="D2" s="951"/>
      <c r="E2" s="951"/>
      <c r="F2" s="951"/>
      <c r="G2" s="951"/>
      <c r="H2" s="951"/>
      <c r="I2" s="951"/>
      <c r="J2" s="951"/>
      <c r="K2" s="599"/>
      <c r="L2" s="599"/>
      <c r="M2" s="599"/>
      <c r="N2" s="599"/>
      <c r="O2" s="599"/>
    </row>
    <row r="3" spans="1:15">
      <c r="A3" s="968" t="s">
        <v>2191</v>
      </c>
      <c r="B3" s="951"/>
      <c r="C3" s="951"/>
      <c r="D3" s="951"/>
      <c r="E3" s="951"/>
      <c r="F3" s="951"/>
      <c r="G3" s="951"/>
      <c r="H3" s="951"/>
      <c r="I3" s="951"/>
      <c r="J3" s="951"/>
      <c r="K3" s="599"/>
      <c r="L3" s="599"/>
      <c r="M3" s="599"/>
      <c r="N3" s="599"/>
      <c r="O3" s="599"/>
    </row>
    <row r="4" spans="1:15">
      <c r="A4" s="951" t="str">
        <f>LOGO!B8</f>
        <v>FOR THE TWELVE MONTHS ENDED JUNE 30, 2026</v>
      </c>
      <c r="B4" s="951"/>
      <c r="C4" s="951"/>
      <c r="D4" s="951"/>
      <c r="E4" s="951"/>
      <c r="F4" s="951"/>
      <c r="G4" s="951"/>
      <c r="H4" s="951"/>
      <c r="I4" s="951"/>
      <c r="J4" s="951"/>
      <c r="K4" s="599"/>
      <c r="L4" s="599"/>
      <c r="M4" s="599"/>
      <c r="N4" s="599"/>
      <c r="O4" s="599"/>
    </row>
    <row r="5" spans="1:15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</row>
    <row r="6" spans="1:15">
      <c r="A6" s="599" t="str">
        <f>DataF</f>
        <v>DATA:  BASE PERIOD  "X" FORECASTED PERIOD</v>
      </c>
      <c r="B6" s="599"/>
      <c r="C6" s="599"/>
      <c r="D6" s="599"/>
      <c r="E6" s="599"/>
      <c r="F6" s="599"/>
      <c r="G6" s="599"/>
      <c r="H6" s="599"/>
      <c r="I6" s="973" t="s">
        <v>2192</v>
      </c>
      <c r="J6" s="599"/>
      <c r="K6" s="599"/>
      <c r="L6" s="599"/>
      <c r="M6" s="599"/>
      <c r="N6" s="599"/>
      <c r="O6" s="599"/>
    </row>
    <row r="7" spans="1:15">
      <c r="A7" s="599" t="str">
        <f>LOGO!B15</f>
        <v xml:space="preserve">TYPE OF FILING:  "X" ORIGINAL   UPDATED    REVISED  </v>
      </c>
      <c r="B7" s="599"/>
      <c r="C7" s="599"/>
      <c r="D7" s="599"/>
      <c r="E7" s="599"/>
      <c r="F7" s="599"/>
      <c r="G7" s="599"/>
      <c r="H7" s="599"/>
      <c r="I7" s="598" t="s">
        <v>466</v>
      </c>
      <c r="J7" s="599"/>
      <c r="K7" s="599"/>
      <c r="L7" s="599"/>
      <c r="M7" s="599"/>
      <c r="N7" s="599"/>
      <c r="O7" s="599"/>
    </row>
    <row r="8" spans="1:15">
      <c r="A8" s="598" t="s">
        <v>2193</v>
      </c>
      <c r="B8" s="599"/>
      <c r="C8" s="599"/>
      <c r="D8" s="599"/>
      <c r="E8" s="599"/>
      <c r="F8" s="599"/>
      <c r="G8" s="599"/>
      <c r="H8" s="599"/>
      <c r="I8" s="598" t="s">
        <v>468</v>
      </c>
      <c r="J8" s="599"/>
      <c r="K8" s="599"/>
      <c r="L8" s="599"/>
      <c r="M8" s="599"/>
      <c r="N8" s="599"/>
      <c r="O8" s="599"/>
    </row>
    <row r="9" spans="1:15">
      <c r="A9" s="599"/>
      <c r="B9" s="599"/>
      <c r="C9" s="599"/>
      <c r="D9" s="599"/>
      <c r="E9" s="599"/>
      <c r="F9" s="599"/>
      <c r="G9" s="599"/>
      <c r="H9" s="599"/>
      <c r="I9" s="598" t="str">
        <f>_WIT1</f>
        <v>L. D. STEINKUHL</v>
      </c>
      <c r="J9" s="599"/>
      <c r="K9" s="599"/>
      <c r="L9" s="599"/>
      <c r="M9" s="599"/>
      <c r="N9" s="599"/>
      <c r="O9" s="599"/>
    </row>
    <row r="10" spans="1:15">
      <c r="A10" s="1372"/>
      <c r="B10" s="1372"/>
      <c r="C10" s="1372"/>
      <c r="D10" s="1372"/>
      <c r="E10" s="1372"/>
      <c r="F10" s="1372"/>
      <c r="G10" s="1372"/>
      <c r="H10" s="1372"/>
      <c r="I10" s="1372"/>
      <c r="J10" s="1372"/>
      <c r="K10" s="598"/>
      <c r="L10" s="598"/>
      <c r="M10" s="598"/>
      <c r="N10" s="599"/>
      <c r="O10" s="599"/>
    </row>
    <row r="11" spans="1:15">
      <c r="A11" s="599"/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</row>
    <row r="12" spans="1:15">
      <c r="A12" s="598" t="s">
        <v>1857</v>
      </c>
      <c r="B12" s="599"/>
      <c r="C12" s="599"/>
      <c r="D12" s="599"/>
      <c r="E12" s="599"/>
      <c r="F12" s="599"/>
      <c r="G12" s="599"/>
      <c r="H12" s="599"/>
      <c r="I12" s="599"/>
      <c r="J12" s="974" t="s">
        <v>975</v>
      </c>
      <c r="K12" s="599"/>
      <c r="L12" s="599"/>
      <c r="M12" s="599"/>
      <c r="N12" s="599"/>
      <c r="O12" s="599"/>
    </row>
    <row r="13" spans="1:15">
      <c r="A13" s="1372"/>
      <c r="B13" s="1372"/>
      <c r="C13" s="1372"/>
      <c r="D13" s="1372"/>
      <c r="E13" s="1372"/>
      <c r="F13" s="1372"/>
      <c r="G13" s="1372"/>
      <c r="H13" s="1372"/>
      <c r="I13" s="1372"/>
      <c r="J13" s="1372"/>
      <c r="K13" s="598"/>
      <c r="L13" s="598"/>
      <c r="M13" s="598"/>
      <c r="N13" s="599"/>
      <c r="O13" s="599"/>
    </row>
    <row r="14" spans="1:15">
      <c r="A14" s="599"/>
      <c r="B14" s="599"/>
      <c r="C14" s="599"/>
      <c r="D14" s="599"/>
      <c r="E14" s="599"/>
      <c r="F14" s="599"/>
      <c r="G14" s="599"/>
      <c r="H14" s="599"/>
      <c r="I14" s="599"/>
      <c r="J14" s="974"/>
      <c r="K14" s="599"/>
      <c r="L14" s="599"/>
      <c r="M14" s="599"/>
      <c r="N14" s="599"/>
      <c r="O14" s="599"/>
    </row>
    <row r="15" spans="1:15">
      <c r="A15" s="169" t="s">
        <v>2194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</row>
    <row r="16" spans="1:15">
      <c r="A16" s="169"/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</row>
    <row r="17" spans="1:15">
      <c r="A17" s="598"/>
      <c r="B17" s="599"/>
      <c r="C17" s="599"/>
      <c r="D17" s="599"/>
      <c r="E17" s="599"/>
      <c r="F17" s="599"/>
      <c r="G17" s="599"/>
      <c r="H17" s="599"/>
      <c r="I17" s="599"/>
      <c r="J17" s="599"/>
      <c r="K17" s="599"/>
      <c r="L17" s="599"/>
      <c r="M17" s="599"/>
      <c r="N17" s="599"/>
      <c r="O17" s="599"/>
    </row>
    <row r="18" spans="1:15">
      <c r="A18" s="598"/>
      <c r="B18" s="599"/>
      <c r="C18" s="599"/>
      <c r="D18" s="599"/>
      <c r="E18" s="599"/>
      <c r="F18" s="599"/>
      <c r="G18" s="599"/>
      <c r="H18" s="969"/>
      <c r="I18" s="599"/>
      <c r="J18" s="599"/>
      <c r="K18" s="599"/>
      <c r="L18" s="599"/>
      <c r="M18" s="599"/>
      <c r="N18" s="599"/>
      <c r="O18" s="599"/>
    </row>
    <row r="19" spans="1:15">
      <c r="A19" s="599"/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</row>
    <row r="20" spans="1:15">
      <c r="A20" s="598" t="s">
        <v>2195</v>
      </c>
      <c r="B20" s="599"/>
      <c r="C20" s="599"/>
      <c r="D20" s="599"/>
      <c r="E20" s="599"/>
      <c r="F20" s="599"/>
      <c r="G20" s="599"/>
      <c r="H20" s="599"/>
      <c r="I20" s="704"/>
      <c r="J20" s="682">
        <f>-WPC_2!O54</f>
        <v>-330788</v>
      </c>
      <c r="K20" s="599"/>
      <c r="L20" s="599"/>
      <c r="M20" s="599"/>
      <c r="N20" s="599"/>
      <c r="O20" s="599"/>
    </row>
    <row r="21" spans="1:15">
      <c r="A21" s="599"/>
      <c r="B21" s="599"/>
      <c r="C21" s="599"/>
      <c r="D21" s="599"/>
      <c r="E21" s="599"/>
      <c r="F21" s="599"/>
      <c r="G21" s="599"/>
      <c r="H21" s="599"/>
      <c r="I21" s="599"/>
      <c r="J21" s="599"/>
      <c r="K21" s="599"/>
      <c r="L21" s="599"/>
      <c r="M21" s="599"/>
      <c r="N21" s="599"/>
      <c r="O21" s="599"/>
    </row>
    <row r="22" spans="1:15">
      <c r="A22" s="598" t="s">
        <v>1862</v>
      </c>
      <c r="B22" s="599"/>
      <c r="C22" s="599"/>
      <c r="D22" s="599"/>
      <c r="E22" s="599"/>
      <c r="F22" s="599"/>
      <c r="G22" s="599"/>
      <c r="H22" s="599"/>
      <c r="I22" s="599"/>
      <c r="J22" s="703">
        <f>VLOOKUP(C29,ALLOCTABLE,2)/100</f>
        <v>1</v>
      </c>
      <c r="K22" s="599"/>
      <c r="L22" s="599"/>
      <c r="M22" s="599"/>
      <c r="N22" s="599"/>
      <c r="O22" s="599"/>
    </row>
    <row r="23" spans="1:15">
      <c r="A23" s="599"/>
      <c r="B23" s="599"/>
      <c r="C23" s="599"/>
      <c r="D23" s="599"/>
      <c r="E23" s="599"/>
      <c r="F23" s="599"/>
      <c r="G23" s="599"/>
      <c r="H23" s="599"/>
      <c r="I23" s="599"/>
      <c r="J23" s="704"/>
      <c r="K23" s="599"/>
      <c r="L23" s="599"/>
      <c r="M23" s="599"/>
      <c r="N23" s="599"/>
      <c r="O23" s="599"/>
    </row>
    <row r="24" spans="1:15">
      <c r="A24" s="599"/>
      <c r="B24" s="599"/>
      <c r="C24" s="599"/>
      <c r="D24" s="599"/>
      <c r="E24" s="599"/>
      <c r="F24" s="599"/>
      <c r="G24" s="599"/>
      <c r="H24" s="599"/>
      <c r="I24" s="599"/>
      <c r="J24" s="599"/>
      <c r="K24" s="599"/>
      <c r="L24" s="599"/>
      <c r="M24" s="599"/>
      <c r="N24" s="599"/>
      <c r="O24" s="599"/>
    </row>
    <row r="25" spans="1:15" ht="15">
      <c r="A25" s="598" t="s">
        <v>1863</v>
      </c>
      <c r="B25" s="599"/>
      <c r="C25" s="599"/>
      <c r="D25" s="599"/>
      <c r="E25" s="599"/>
      <c r="F25" s="598" t="s">
        <v>1876</v>
      </c>
      <c r="G25" s="599"/>
      <c r="H25" s="599"/>
      <c r="I25" s="704"/>
      <c r="J25" s="705">
        <f>ROUND(J20*J22,0)</f>
        <v>-330788</v>
      </c>
      <c r="K25" s="599"/>
      <c r="L25" s="599"/>
      <c r="M25" s="599"/>
      <c r="N25" s="599"/>
      <c r="O25" s="599"/>
    </row>
    <row r="26" spans="1:15">
      <c r="A26" s="599"/>
      <c r="B26" s="599"/>
      <c r="C26" s="599"/>
      <c r="D26" s="599"/>
      <c r="E26" s="599"/>
      <c r="F26" s="599"/>
      <c r="G26" s="599"/>
      <c r="H26" s="599"/>
      <c r="I26" s="599"/>
      <c r="J26" s="704"/>
      <c r="K26" s="599"/>
      <c r="L26" s="599"/>
      <c r="M26" s="599"/>
      <c r="N26" s="599"/>
      <c r="O26" s="599"/>
    </row>
    <row r="27" spans="1:15">
      <c r="A27" s="599"/>
      <c r="B27" s="599"/>
      <c r="C27" s="599"/>
      <c r="D27" s="599"/>
      <c r="E27" s="599"/>
      <c r="F27" s="599"/>
      <c r="G27" s="599"/>
      <c r="H27" s="599"/>
      <c r="I27" s="599"/>
      <c r="J27" s="704"/>
      <c r="K27" s="599"/>
      <c r="L27" s="599"/>
      <c r="M27" s="599"/>
      <c r="N27" s="599"/>
      <c r="O27" s="599"/>
    </row>
    <row r="28" spans="1:15">
      <c r="A28" s="599"/>
      <c r="B28" s="599"/>
      <c r="C28" s="599"/>
      <c r="D28" s="599"/>
      <c r="E28" s="599"/>
      <c r="F28" s="599"/>
      <c r="G28" s="599"/>
      <c r="H28" s="599"/>
      <c r="I28" s="599"/>
      <c r="J28" s="599"/>
      <c r="K28" s="599"/>
      <c r="L28" s="599"/>
      <c r="M28" s="599"/>
      <c r="N28" s="599"/>
      <c r="O28" s="599"/>
    </row>
    <row r="29" spans="1:15">
      <c r="A29" s="598" t="s">
        <v>1864</v>
      </c>
      <c r="B29" s="599"/>
      <c r="C29" s="966" t="s">
        <v>428</v>
      </c>
      <c r="E29" s="599"/>
      <c r="F29" s="599"/>
      <c r="G29" s="599"/>
      <c r="H29" s="599"/>
      <c r="I29" s="599"/>
      <c r="J29" s="599"/>
      <c r="K29" s="599"/>
      <c r="L29" s="599"/>
      <c r="M29" s="599"/>
      <c r="N29" s="599"/>
      <c r="O29" s="599"/>
    </row>
    <row r="30" spans="1:15">
      <c r="A30" s="598"/>
      <c r="B30" s="599"/>
      <c r="C30" s="599"/>
      <c r="D30" s="599"/>
      <c r="E30" s="599"/>
      <c r="F30" s="599"/>
      <c r="G30" s="599"/>
      <c r="H30" s="599"/>
      <c r="I30" s="599"/>
      <c r="J30" s="599"/>
      <c r="K30" s="599"/>
      <c r="L30" s="599"/>
      <c r="M30" s="599"/>
      <c r="N30" s="599"/>
      <c r="O30" s="599"/>
    </row>
    <row r="31" spans="1:15">
      <c r="A31" s="598"/>
      <c r="B31" s="599"/>
      <c r="C31" s="599"/>
      <c r="D31" s="599"/>
      <c r="E31" s="599"/>
      <c r="F31" s="599"/>
      <c r="G31" s="599"/>
      <c r="H31" s="599"/>
      <c r="I31" s="599"/>
      <c r="J31" s="599"/>
      <c r="K31" s="599"/>
      <c r="L31" s="599"/>
      <c r="M31" s="599"/>
      <c r="N31" s="599"/>
      <c r="O31" s="599"/>
    </row>
    <row r="32" spans="1:15">
      <c r="A32" s="598"/>
      <c r="B32" s="599"/>
      <c r="C32" s="599"/>
      <c r="D32" s="599"/>
      <c r="E32" s="599"/>
      <c r="F32" s="599"/>
      <c r="G32" s="599"/>
      <c r="H32" s="599"/>
      <c r="I32" s="599"/>
      <c r="J32" s="599"/>
      <c r="K32" s="599"/>
      <c r="L32" s="599"/>
      <c r="M32" s="599"/>
      <c r="N32" s="599"/>
      <c r="O32" s="599"/>
    </row>
    <row r="33" spans="1:15">
      <c r="A33" s="598"/>
      <c r="B33" s="599"/>
      <c r="C33" s="599"/>
      <c r="D33" s="599"/>
      <c r="E33" s="599"/>
      <c r="F33" s="599"/>
      <c r="G33" s="599"/>
      <c r="H33" s="599"/>
      <c r="I33" s="599"/>
      <c r="J33" s="599"/>
      <c r="K33" s="599"/>
      <c r="L33" s="94"/>
      <c r="M33" s="599"/>
      <c r="N33" s="599"/>
      <c r="O33" s="599"/>
    </row>
    <row r="34" spans="1:15">
      <c r="A34" s="598"/>
      <c r="B34" s="599"/>
      <c r="C34" s="599"/>
      <c r="D34" s="599"/>
      <c r="E34" s="599"/>
      <c r="F34" s="599"/>
      <c r="G34" s="599"/>
      <c r="H34" s="599"/>
      <c r="I34" s="599"/>
      <c r="J34" s="599"/>
      <c r="K34" s="599"/>
      <c r="L34" s="94"/>
      <c r="M34" s="599"/>
      <c r="N34" s="599"/>
      <c r="O34" s="599"/>
    </row>
    <row r="35" spans="1:15">
      <c r="A35" s="598"/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94"/>
      <c r="M35" s="599"/>
      <c r="N35" s="599"/>
      <c r="O35" s="599"/>
    </row>
    <row r="36" spans="1:15">
      <c r="A36" s="598"/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94"/>
      <c r="M36" s="599"/>
      <c r="N36" s="599"/>
      <c r="O36" s="599"/>
    </row>
    <row r="37" spans="1:15">
      <c r="A37" s="598"/>
      <c r="B37" s="599"/>
      <c r="C37" s="599"/>
      <c r="D37" s="599"/>
      <c r="E37" s="599"/>
      <c r="F37" s="599"/>
      <c r="G37" s="599"/>
      <c r="H37" s="599"/>
      <c r="I37" s="599"/>
      <c r="J37" s="599"/>
      <c r="K37" s="599"/>
      <c r="L37" s="94"/>
      <c r="M37" s="599"/>
      <c r="N37" s="599"/>
      <c r="O37" s="599"/>
    </row>
    <row r="38" spans="1:15">
      <c r="A38" s="598"/>
      <c r="B38" s="599"/>
      <c r="C38" s="599"/>
      <c r="D38" s="599"/>
      <c r="E38" s="599"/>
      <c r="F38" s="599"/>
      <c r="G38" s="599"/>
      <c r="H38" s="599"/>
      <c r="I38" s="599"/>
      <c r="J38" s="599"/>
      <c r="K38" s="599"/>
      <c r="L38" s="94"/>
      <c r="M38" s="599"/>
      <c r="N38" s="599"/>
      <c r="O38" s="599"/>
    </row>
    <row r="39" spans="1:15">
      <c r="A39" s="598"/>
      <c r="B39" s="599"/>
      <c r="C39" s="599"/>
      <c r="D39" s="599"/>
      <c r="E39" s="599"/>
      <c r="F39" s="599"/>
      <c r="G39" s="599"/>
      <c r="H39" s="599"/>
      <c r="I39" s="599"/>
      <c r="J39" s="599"/>
      <c r="K39" s="599"/>
      <c r="L39" s="94"/>
      <c r="M39" s="599"/>
      <c r="N39" s="599"/>
      <c r="O39" s="599"/>
    </row>
    <row r="40" spans="1:15">
      <c r="A40" s="598"/>
      <c r="B40" s="599"/>
      <c r="C40" s="599"/>
      <c r="D40" s="599"/>
      <c r="E40" s="599"/>
      <c r="F40" s="599"/>
      <c r="G40" s="599"/>
      <c r="H40" s="599"/>
      <c r="I40" s="599"/>
      <c r="J40" s="599"/>
      <c r="K40" s="599"/>
      <c r="L40" s="94"/>
      <c r="M40" s="599"/>
      <c r="N40" s="599"/>
      <c r="O40" s="599"/>
    </row>
    <row r="41" spans="1:15">
      <c r="A41" s="598"/>
      <c r="B41" s="599"/>
      <c r="C41" s="599"/>
      <c r="D41" s="599"/>
      <c r="E41" s="599"/>
      <c r="F41" s="599"/>
      <c r="G41" s="599"/>
      <c r="H41" s="599"/>
      <c r="I41" s="599"/>
      <c r="J41" s="599"/>
      <c r="K41" s="599"/>
      <c r="L41" s="94"/>
      <c r="M41" s="599"/>
      <c r="N41" s="599"/>
      <c r="O41" s="599"/>
    </row>
    <row r="42" spans="1:15">
      <c r="A42" s="598"/>
      <c r="B42" s="599"/>
      <c r="C42" s="599"/>
      <c r="D42" s="599"/>
      <c r="E42" s="599"/>
      <c r="F42" s="599"/>
      <c r="G42" s="599"/>
      <c r="H42" s="599"/>
      <c r="I42" s="599"/>
      <c r="J42" s="599"/>
      <c r="K42" s="599"/>
      <c r="L42" s="94"/>
      <c r="M42" s="599"/>
      <c r="N42" s="599"/>
      <c r="O42" s="599"/>
    </row>
    <row r="43" spans="1:15">
      <c r="A43" s="598"/>
      <c r="B43" s="599"/>
      <c r="C43" s="599"/>
      <c r="D43" s="599"/>
      <c r="E43" s="599"/>
      <c r="F43" s="599"/>
      <c r="G43" s="599"/>
      <c r="H43" s="599"/>
      <c r="I43" s="599"/>
      <c r="J43" s="599"/>
      <c r="K43" s="599"/>
      <c r="L43" s="94"/>
      <c r="M43" s="599"/>
      <c r="N43" s="599"/>
      <c r="O43" s="599"/>
    </row>
    <row r="44" spans="1:15">
      <c r="A44" s="598"/>
      <c r="B44" s="599"/>
      <c r="C44" s="599"/>
      <c r="D44" s="599"/>
      <c r="E44" s="599"/>
      <c r="F44" s="599"/>
      <c r="G44" s="599"/>
      <c r="H44" s="599"/>
      <c r="I44" s="599"/>
      <c r="J44" s="599"/>
      <c r="K44" s="599"/>
      <c r="L44" s="94"/>
      <c r="M44" s="599"/>
      <c r="N44" s="599"/>
      <c r="O44" s="599"/>
    </row>
    <row r="45" spans="1:15">
      <c r="A45" s="598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94"/>
      <c r="M45" s="599"/>
      <c r="N45" s="599"/>
      <c r="O45" s="599"/>
    </row>
    <row r="46" spans="1:15">
      <c r="A46" s="598"/>
      <c r="B46" s="599"/>
      <c r="C46" s="599"/>
      <c r="D46" s="599"/>
      <c r="E46" s="599"/>
      <c r="F46" s="599"/>
      <c r="G46" s="599"/>
      <c r="H46" s="599"/>
      <c r="I46" s="599"/>
      <c r="J46" s="599"/>
      <c r="K46" s="599"/>
      <c r="L46" s="94"/>
      <c r="M46" s="599"/>
      <c r="N46" s="599"/>
      <c r="O46" s="599"/>
    </row>
    <row r="47" spans="1:15">
      <c r="A47" s="598"/>
      <c r="B47" s="599"/>
      <c r="C47" s="599"/>
      <c r="D47" s="599"/>
      <c r="E47" s="599"/>
      <c r="F47" s="599"/>
      <c r="G47" s="599"/>
      <c r="H47" s="599"/>
      <c r="I47" s="599"/>
      <c r="J47" s="599"/>
      <c r="K47" s="599"/>
      <c r="L47" s="94"/>
      <c r="M47" s="599"/>
      <c r="N47" s="599"/>
      <c r="O47" s="599"/>
    </row>
    <row r="48" spans="1:15">
      <c r="A48" s="598"/>
      <c r="B48" s="599"/>
      <c r="C48" s="599"/>
      <c r="D48" s="599"/>
      <c r="E48" s="599"/>
      <c r="F48" s="599"/>
      <c r="G48" s="599"/>
      <c r="H48" s="599"/>
      <c r="I48" s="599"/>
      <c r="J48" s="599"/>
      <c r="K48" s="599"/>
      <c r="L48" s="94"/>
      <c r="M48" s="599"/>
      <c r="N48" s="599"/>
      <c r="O48" s="599"/>
    </row>
    <row r="49" spans="1:15">
      <c r="A49" s="598"/>
      <c r="B49" s="599"/>
      <c r="C49" s="599"/>
      <c r="D49" s="599"/>
      <c r="E49" s="599"/>
      <c r="F49" s="599"/>
      <c r="G49" s="599"/>
      <c r="H49" s="599"/>
      <c r="I49" s="599"/>
      <c r="J49" s="599"/>
      <c r="K49" s="599"/>
      <c r="L49" s="94"/>
      <c r="M49" s="599"/>
      <c r="N49" s="599"/>
      <c r="O49" s="599"/>
    </row>
    <row r="50" spans="1:15">
      <c r="A50" s="598"/>
      <c r="B50" s="599"/>
      <c r="C50" s="599"/>
      <c r="D50" s="599"/>
      <c r="E50" s="599"/>
      <c r="F50" s="599"/>
      <c r="G50" s="599"/>
      <c r="H50" s="599"/>
      <c r="I50" s="599"/>
      <c r="J50" s="599"/>
      <c r="K50" s="599"/>
      <c r="L50" s="94"/>
      <c r="M50" s="599"/>
      <c r="N50" s="599"/>
      <c r="O50" s="599"/>
    </row>
    <row r="51" spans="1:15">
      <c r="A51" s="598"/>
      <c r="B51" s="599"/>
      <c r="C51" s="599"/>
      <c r="D51" s="599"/>
      <c r="E51" s="599"/>
      <c r="F51" s="599"/>
      <c r="G51" s="599"/>
      <c r="H51" s="599"/>
      <c r="I51" s="599"/>
      <c r="J51" s="599"/>
      <c r="K51" s="599"/>
      <c r="L51" s="94"/>
      <c r="M51" s="599"/>
      <c r="N51" s="599"/>
      <c r="O51" s="599"/>
    </row>
    <row r="52" spans="1:15">
      <c r="A52" s="598"/>
      <c r="B52" s="599"/>
      <c r="C52" s="599"/>
      <c r="D52" s="599"/>
      <c r="E52" s="599"/>
      <c r="F52" s="599"/>
      <c r="G52" s="599"/>
      <c r="H52" s="599"/>
      <c r="I52" s="599"/>
      <c r="J52" s="599"/>
      <c r="K52" s="599"/>
      <c r="L52" s="94"/>
      <c r="M52" s="599"/>
      <c r="N52" s="599"/>
      <c r="O52" s="599"/>
    </row>
    <row r="53" spans="1:15">
      <c r="A53" s="598"/>
      <c r="B53" s="599"/>
      <c r="C53" s="599"/>
      <c r="D53" s="599"/>
      <c r="E53" s="599"/>
      <c r="F53" s="599"/>
      <c r="G53" s="599"/>
      <c r="H53" s="599"/>
      <c r="I53" s="599"/>
      <c r="J53" s="599"/>
      <c r="K53" s="599"/>
      <c r="L53" s="94"/>
      <c r="M53" s="599"/>
      <c r="N53" s="599"/>
      <c r="O53" s="599"/>
    </row>
    <row r="54" spans="1:15">
      <c r="A54" s="598"/>
      <c r="B54" s="599"/>
      <c r="C54" s="599"/>
      <c r="D54" s="599"/>
      <c r="E54" s="599"/>
      <c r="F54" s="599"/>
      <c r="G54" s="599"/>
      <c r="H54" s="599"/>
      <c r="I54" s="599"/>
      <c r="J54" s="599"/>
      <c r="K54" s="599"/>
      <c r="L54" s="94"/>
      <c r="M54" s="599"/>
      <c r="N54" s="599"/>
      <c r="O54" s="599"/>
    </row>
    <row r="55" spans="1:15">
      <c r="A55" s="598"/>
      <c r="B55" s="599"/>
      <c r="C55" s="599"/>
      <c r="D55" s="599"/>
      <c r="E55" s="599"/>
      <c r="F55" s="599"/>
      <c r="G55" s="599"/>
      <c r="H55" s="599"/>
      <c r="I55" s="599"/>
      <c r="J55" s="599"/>
      <c r="K55" s="599"/>
      <c r="L55" s="94"/>
      <c r="M55" s="599"/>
      <c r="N55" s="599"/>
      <c r="O55" s="599"/>
    </row>
    <row r="56" spans="1:15">
      <c r="A56" s="598"/>
      <c r="B56" s="599"/>
      <c r="C56" s="599"/>
      <c r="D56" s="599"/>
      <c r="E56" s="599"/>
      <c r="F56" s="599"/>
      <c r="G56" s="599"/>
      <c r="H56" s="599"/>
      <c r="I56" s="599"/>
      <c r="J56" s="599"/>
      <c r="K56" s="599"/>
      <c r="L56" s="94"/>
      <c r="M56" s="599"/>
      <c r="N56" s="599"/>
      <c r="O56" s="599"/>
    </row>
    <row r="57" spans="1:15">
      <c r="A57" s="598"/>
      <c r="B57" s="599"/>
      <c r="C57" s="599"/>
      <c r="D57" s="599"/>
      <c r="E57" s="599"/>
      <c r="F57" s="599"/>
      <c r="G57" s="599"/>
      <c r="H57" s="599"/>
      <c r="I57" s="599"/>
      <c r="J57" s="599"/>
      <c r="K57" s="599"/>
      <c r="L57" s="94"/>
      <c r="M57" s="599"/>
      <c r="N57" s="599"/>
      <c r="O57" s="599"/>
    </row>
    <row r="58" spans="1:15">
      <c r="A58" s="598"/>
      <c r="B58" s="599"/>
      <c r="C58" s="599"/>
      <c r="D58" s="599"/>
      <c r="E58" s="599"/>
      <c r="F58" s="599"/>
      <c r="G58" s="599"/>
      <c r="H58" s="599"/>
      <c r="I58" s="599"/>
      <c r="J58" s="599"/>
      <c r="K58" s="599"/>
      <c r="L58" s="94"/>
      <c r="M58" s="599"/>
      <c r="N58" s="599"/>
      <c r="O58" s="599"/>
    </row>
    <row r="59" spans="1:15">
      <c r="A59" s="598"/>
      <c r="B59" s="599"/>
      <c r="C59" s="599"/>
      <c r="D59" s="599"/>
      <c r="E59" s="599"/>
      <c r="F59" s="599"/>
      <c r="G59" s="599"/>
      <c r="H59" s="599"/>
      <c r="I59" s="599"/>
      <c r="J59" s="599"/>
      <c r="K59" s="599"/>
      <c r="L59" s="94"/>
      <c r="M59" s="599"/>
      <c r="N59" s="599"/>
      <c r="O59" s="599"/>
    </row>
    <row r="60" spans="1:15">
      <c r="A60" s="598"/>
      <c r="B60" s="599"/>
      <c r="C60" s="599"/>
      <c r="D60" s="599"/>
      <c r="E60" s="599"/>
      <c r="F60" s="599"/>
      <c r="G60" s="599"/>
      <c r="H60" s="599"/>
      <c r="I60" s="599"/>
      <c r="J60" s="599"/>
      <c r="K60" s="599"/>
      <c r="L60" s="94"/>
      <c r="M60" s="599"/>
      <c r="N60" s="599"/>
      <c r="O60" s="599"/>
    </row>
    <row r="61" spans="1:15">
      <c r="A61" s="598"/>
      <c r="B61" s="599"/>
      <c r="C61" s="599"/>
      <c r="D61" s="599"/>
      <c r="E61" s="599"/>
      <c r="F61" s="599"/>
      <c r="G61" s="599"/>
      <c r="H61" s="599"/>
      <c r="I61" s="599"/>
      <c r="J61" s="599"/>
      <c r="K61" s="599"/>
      <c r="L61" s="94"/>
      <c r="M61" s="599"/>
      <c r="N61" s="599"/>
      <c r="O61" s="599"/>
    </row>
    <row r="62" spans="1:15">
      <c r="A62" s="598"/>
      <c r="B62" s="599"/>
      <c r="C62" s="599"/>
      <c r="D62" s="599"/>
      <c r="E62" s="599"/>
      <c r="F62" s="599"/>
      <c r="G62" s="599"/>
      <c r="H62" s="599"/>
      <c r="I62" s="599"/>
      <c r="J62" s="599"/>
      <c r="K62" s="599"/>
      <c r="L62" s="94"/>
      <c r="M62" s="599"/>
      <c r="N62" s="599"/>
      <c r="O62" s="599"/>
    </row>
    <row r="63" spans="1:15">
      <c r="A63" s="598"/>
      <c r="B63" s="599"/>
      <c r="C63" s="599"/>
      <c r="D63" s="599"/>
      <c r="E63" s="599"/>
      <c r="F63" s="599"/>
      <c r="G63" s="599"/>
      <c r="H63" s="599"/>
      <c r="I63" s="599"/>
      <c r="J63" s="599"/>
      <c r="K63" s="599"/>
      <c r="L63" s="94"/>
      <c r="M63" s="599"/>
      <c r="N63" s="599"/>
      <c r="O63" s="599"/>
    </row>
    <row r="64" spans="1:15">
      <c r="A64" s="598"/>
      <c r="B64" s="599"/>
      <c r="C64" s="599"/>
      <c r="D64" s="599"/>
      <c r="E64" s="599"/>
      <c r="F64" s="599"/>
      <c r="G64" s="599"/>
      <c r="H64" s="599"/>
      <c r="I64" s="599"/>
      <c r="J64" s="599"/>
      <c r="K64" s="599"/>
      <c r="L64" s="94"/>
      <c r="M64" s="599"/>
      <c r="N64" s="599"/>
      <c r="O64" s="599"/>
    </row>
    <row r="65" spans="1:15">
      <c r="A65" s="598"/>
      <c r="B65" s="599"/>
      <c r="C65" s="599"/>
      <c r="D65" s="599"/>
      <c r="E65" s="599"/>
      <c r="F65" s="599"/>
      <c r="G65" s="599"/>
      <c r="H65" s="599"/>
      <c r="I65" s="599"/>
      <c r="J65" s="599"/>
      <c r="K65" s="599"/>
      <c r="L65" s="94"/>
      <c r="M65" s="599"/>
      <c r="N65" s="599"/>
      <c r="O65" s="599"/>
    </row>
    <row r="66" spans="1:15">
      <c r="A66" s="598"/>
      <c r="B66" s="599"/>
      <c r="C66" s="599"/>
      <c r="D66" s="599"/>
      <c r="E66" s="599"/>
      <c r="F66" s="599"/>
      <c r="G66" s="599"/>
      <c r="H66" s="599"/>
      <c r="I66" s="599"/>
      <c r="J66" s="599"/>
      <c r="K66" s="599"/>
      <c r="L66" s="94"/>
      <c r="M66" s="599"/>
      <c r="N66" s="599"/>
      <c r="O66" s="599"/>
    </row>
    <row r="67" spans="1:15">
      <c r="A67" s="598"/>
      <c r="B67" s="599"/>
      <c r="C67" s="599"/>
      <c r="D67" s="599"/>
      <c r="E67" s="599"/>
      <c r="F67" s="599"/>
      <c r="G67" s="599"/>
      <c r="H67" s="599"/>
      <c r="I67" s="599"/>
      <c r="J67" s="599"/>
      <c r="K67" s="599"/>
      <c r="L67" s="94"/>
      <c r="M67" s="599"/>
      <c r="N67" s="599"/>
      <c r="O67" s="599"/>
    </row>
    <row r="68" spans="1:15">
      <c r="A68" s="598"/>
      <c r="B68" s="599"/>
      <c r="C68" s="599"/>
      <c r="D68" s="599"/>
      <c r="E68" s="599"/>
      <c r="F68" s="599"/>
      <c r="G68" s="599"/>
      <c r="H68" s="599"/>
      <c r="I68" s="599"/>
      <c r="J68" s="599"/>
      <c r="K68" s="599"/>
      <c r="L68" s="94"/>
      <c r="M68" s="599"/>
      <c r="N68" s="599"/>
      <c r="O68" s="599"/>
    </row>
    <row r="69" spans="1:15">
      <c r="A69" s="598"/>
      <c r="B69" s="599"/>
      <c r="C69" s="599"/>
      <c r="D69" s="599"/>
      <c r="E69" s="599"/>
      <c r="F69" s="599"/>
      <c r="G69" s="599"/>
      <c r="H69" s="599"/>
      <c r="I69" s="599"/>
      <c r="J69" s="599"/>
      <c r="K69" s="599"/>
      <c r="L69" s="94"/>
      <c r="M69" s="599"/>
      <c r="N69" s="599"/>
      <c r="O69" s="599"/>
    </row>
    <row r="70" spans="1:15">
      <c r="A70" s="598"/>
      <c r="B70" s="599"/>
      <c r="C70" s="599"/>
      <c r="D70" s="599"/>
      <c r="E70" s="599"/>
      <c r="F70" s="599"/>
      <c r="G70" s="599"/>
      <c r="H70" s="599"/>
      <c r="I70" s="599"/>
      <c r="J70" s="599"/>
      <c r="K70" s="599"/>
      <c r="L70" s="94"/>
      <c r="M70" s="599"/>
      <c r="N70" s="599"/>
      <c r="O70" s="599"/>
    </row>
    <row r="71" spans="1:15">
      <c r="A71" s="598"/>
      <c r="B71" s="599"/>
      <c r="C71" s="599"/>
      <c r="D71" s="599"/>
      <c r="E71" s="599"/>
      <c r="F71" s="599"/>
      <c r="G71" s="599"/>
      <c r="H71" s="599"/>
      <c r="I71" s="599"/>
      <c r="J71" s="599"/>
      <c r="K71" s="599"/>
      <c r="L71" s="94"/>
      <c r="M71" s="599"/>
      <c r="N71" s="599"/>
      <c r="O71" s="599"/>
    </row>
    <row r="72" spans="1:15">
      <c r="A72" s="598"/>
      <c r="B72" s="599"/>
      <c r="C72" s="599"/>
      <c r="D72" s="599"/>
      <c r="E72" s="599"/>
      <c r="F72" s="599"/>
      <c r="G72" s="599"/>
      <c r="H72" s="599"/>
      <c r="I72" s="599"/>
      <c r="J72" s="599"/>
      <c r="K72" s="599"/>
      <c r="L72" s="94"/>
      <c r="M72" s="599"/>
      <c r="N72" s="599"/>
      <c r="O72" s="599"/>
    </row>
    <row r="73" spans="1:15">
      <c r="A73" s="598"/>
      <c r="B73" s="599"/>
      <c r="C73" s="599"/>
      <c r="D73" s="599"/>
      <c r="E73" s="599"/>
      <c r="F73" s="599"/>
      <c r="G73" s="599"/>
      <c r="H73" s="599"/>
      <c r="I73" s="599"/>
      <c r="J73" s="599"/>
      <c r="K73" s="599"/>
      <c r="L73" s="94"/>
      <c r="M73" s="599"/>
      <c r="N73" s="599"/>
      <c r="O73" s="599"/>
    </row>
    <row r="74" spans="1:15">
      <c r="A74" s="598"/>
      <c r="B74" s="599"/>
      <c r="C74" s="599"/>
      <c r="D74" s="599"/>
      <c r="E74" s="599"/>
      <c r="F74" s="599"/>
      <c r="G74" s="599"/>
      <c r="H74" s="599"/>
      <c r="I74" s="599"/>
      <c r="J74" s="599"/>
      <c r="K74" s="599"/>
      <c r="L74" s="94"/>
      <c r="M74" s="599"/>
      <c r="N74" s="599"/>
      <c r="O74" s="599"/>
    </row>
    <row r="75" spans="1:15">
      <c r="A75" s="598"/>
      <c r="B75" s="599"/>
      <c r="C75" s="599"/>
      <c r="D75" s="599"/>
      <c r="E75" s="599"/>
      <c r="F75" s="599"/>
      <c r="G75" s="599"/>
      <c r="H75" s="599"/>
      <c r="I75" s="599"/>
      <c r="J75" s="599"/>
      <c r="K75" s="599"/>
      <c r="L75" s="94"/>
      <c r="M75" s="599"/>
      <c r="N75" s="599"/>
      <c r="O75" s="599"/>
    </row>
    <row r="76" spans="1:15">
      <c r="A76" s="598"/>
      <c r="B76" s="599"/>
      <c r="C76" s="599"/>
      <c r="D76" s="599"/>
      <c r="E76" s="599"/>
      <c r="F76" s="599"/>
      <c r="G76" s="599"/>
      <c r="H76" s="599"/>
      <c r="I76" s="599"/>
      <c r="J76" s="599"/>
      <c r="K76" s="599"/>
      <c r="L76" s="94"/>
      <c r="M76" s="599"/>
      <c r="N76" s="599"/>
      <c r="O76" s="599"/>
    </row>
    <row r="77" spans="1:15">
      <c r="A77" s="598"/>
      <c r="B77" s="599"/>
      <c r="C77" s="599"/>
      <c r="D77" s="599"/>
      <c r="E77" s="599"/>
      <c r="F77" s="599"/>
      <c r="G77" s="599"/>
      <c r="H77" s="599"/>
      <c r="I77" s="599"/>
      <c r="J77" s="599"/>
      <c r="K77" s="599"/>
      <c r="L77" s="94"/>
      <c r="M77" s="599"/>
      <c r="N77" s="599"/>
      <c r="O77" s="599"/>
    </row>
    <row r="78" spans="1:15">
      <c r="A78" s="598"/>
      <c r="B78" s="599"/>
      <c r="C78" s="599"/>
      <c r="D78" s="599"/>
      <c r="E78" s="599"/>
      <c r="F78" s="599"/>
      <c r="G78" s="599"/>
      <c r="H78" s="599"/>
      <c r="I78" s="599"/>
      <c r="J78" s="599"/>
      <c r="K78" s="599"/>
      <c r="L78" s="94"/>
      <c r="M78" s="599"/>
      <c r="N78" s="599"/>
      <c r="O78" s="599"/>
    </row>
    <row r="79" spans="1:15">
      <c r="A79" s="598"/>
      <c r="B79" s="599"/>
      <c r="C79" s="599"/>
      <c r="D79" s="599"/>
      <c r="E79" s="599"/>
      <c r="F79" s="599"/>
      <c r="G79" s="599"/>
      <c r="H79" s="599"/>
      <c r="I79" s="599"/>
      <c r="J79" s="599"/>
      <c r="K79" s="599"/>
      <c r="L79" s="94"/>
      <c r="M79" s="599"/>
      <c r="N79" s="599"/>
      <c r="O79" s="599"/>
    </row>
    <row r="80" spans="1:15">
      <c r="A80" s="598"/>
      <c r="B80" s="599"/>
      <c r="C80" s="599"/>
      <c r="D80" s="599"/>
      <c r="E80" s="599"/>
      <c r="F80" s="599"/>
      <c r="G80" s="599"/>
      <c r="H80" s="599"/>
      <c r="I80" s="599"/>
      <c r="J80" s="599"/>
      <c r="K80" s="599"/>
      <c r="L80" s="94"/>
      <c r="M80" s="599"/>
      <c r="N80" s="599"/>
      <c r="O80" s="599"/>
    </row>
    <row r="81" spans="1:15">
      <c r="A81" s="598"/>
      <c r="B81" s="599"/>
      <c r="C81" s="599"/>
      <c r="D81" s="599"/>
      <c r="E81" s="599"/>
      <c r="F81" s="599"/>
      <c r="G81" s="599"/>
      <c r="H81" s="599"/>
      <c r="I81" s="599"/>
      <c r="J81" s="599"/>
      <c r="K81" s="599"/>
      <c r="L81" s="94"/>
      <c r="M81" s="599"/>
      <c r="N81" s="599"/>
      <c r="O81" s="599"/>
    </row>
    <row r="82" spans="1:15">
      <c r="A82" s="598"/>
      <c r="B82" s="599"/>
      <c r="C82" s="599"/>
      <c r="D82" s="599"/>
      <c r="E82" s="599"/>
      <c r="F82" s="599"/>
      <c r="G82" s="599"/>
      <c r="H82" s="599"/>
      <c r="I82" s="599"/>
      <c r="J82" s="599"/>
      <c r="K82" s="599"/>
      <c r="L82" s="94"/>
      <c r="M82" s="599"/>
      <c r="N82" s="599"/>
      <c r="O82" s="599"/>
    </row>
    <row r="83" spans="1:15">
      <c r="A83" s="598"/>
      <c r="B83" s="599"/>
      <c r="C83" s="599"/>
      <c r="D83" s="599"/>
      <c r="E83" s="599"/>
      <c r="F83" s="599"/>
      <c r="G83" s="599"/>
      <c r="H83" s="599"/>
      <c r="I83" s="599"/>
      <c r="J83" s="599"/>
      <c r="K83" s="599"/>
      <c r="L83" s="94"/>
      <c r="M83" s="599"/>
      <c r="N83" s="599"/>
      <c r="O83" s="599"/>
    </row>
    <row r="84" spans="1:15">
      <c r="A84" s="598"/>
      <c r="B84" s="599"/>
      <c r="C84" s="599"/>
      <c r="D84" s="599"/>
      <c r="E84" s="599"/>
      <c r="F84" s="599"/>
      <c r="G84" s="599"/>
      <c r="H84" s="599"/>
      <c r="I84" s="599"/>
      <c r="J84" s="599"/>
      <c r="K84" s="599"/>
      <c r="L84" s="94"/>
      <c r="M84" s="599"/>
      <c r="N84" s="599"/>
      <c r="O84" s="599"/>
    </row>
    <row r="85" spans="1:15">
      <c r="A85" s="598"/>
      <c r="B85" s="599"/>
      <c r="C85" s="599"/>
      <c r="D85" s="599"/>
      <c r="E85" s="599"/>
      <c r="F85" s="599"/>
      <c r="G85" s="599"/>
      <c r="H85" s="599"/>
      <c r="I85" s="599"/>
      <c r="J85" s="599"/>
      <c r="K85" s="599"/>
      <c r="L85" s="94"/>
      <c r="M85" s="599"/>
      <c r="N85" s="599"/>
      <c r="O85" s="599"/>
    </row>
    <row r="86" spans="1:15">
      <c r="A86" s="598"/>
      <c r="B86" s="599"/>
      <c r="C86" s="599"/>
      <c r="D86" s="599"/>
      <c r="E86" s="599"/>
      <c r="F86" s="599"/>
      <c r="G86" s="599"/>
      <c r="H86" s="599"/>
      <c r="I86" s="599"/>
      <c r="J86" s="599"/>
      <c r="K86" s="599"/>
      <c r="L86" s="94"/>
      <c r="M86" s="599"/>
      <c r="N86" s="599"/>
      <c r="O86" s="599"/>
    </row>
    <row r="87" spans="1:15">
      <c r="A87" s="598"/>
      <c r="B87" s="599"/>
      <c r="C87" s="599"/>
      <c r="D87" s="599"/>
      <c r="E87" s="599"/>
      <c r="F87" s="599"/>
      <c r="G87" s="599"/>
      <c r="H87" s="599"/>
      <c r="I87" s="599"/>
      <c r="J87" s="599"/>
      <c r="K87" s="599"/>
      <c r="L87" s="94"/>
      <c r="M87" s="599"/>
      <c r="N87" s="599"/>
      <c r="O87" s="599"/>
    </row>
    <row r="88" spans="1:15">
      <c r="A88" s="598"/>
      <c r="B88" s="599"/>
      <c r="C88" s="599"/>
      <c r="D88" s="599"/>
      <c r="E88" s="599"/>
      <c r="F88" s="599"/>
      <c r="G88" s="599"/>
      <c r="H88" s="599"/>
      <c r="I88" s="599"/>
      <c r="J88" s="599"/>
      <c r="K88" s="599"/>
      <c r="L88" s="94"/>
      <c r="M88" s="599"/>
      <c r="N88" s="599"/>
      <c r="O88" s="599"/>
    </row>
    <row r="89" spans="1:15">
      <c r="A89" s="598"/>
      <c r="B89" s="599"/>
      <c r="C89" s="599"/>
      <c r="D89" s="599"/>
      <c r="E89" s="599"/>
      <c r="F89" s="599"/>
      <c r="G89" s="599"/>
      <c r="H89" s="599"/>
      <c r="I89" s="599"/>
      <c r="J89" s="599"/>
      <c r="K89" s="599"/>
      <c r="L89" s="94"/>
      <c r="M89" s="599"/>
      <c r="N89" s="599"/>
      <c r="O89" s="599"/>
    </row>
    <row r="90" spans="1:15">
      <c r="A90" s="598"/>
      <c r="B90" s="599"/>
      <c r="C90" s="599"/>
      <c r="D90" s="599"/>
      <c r="E90" s="599"/>
      <c r="F90" s="599"/>
      <c r="G90" s="599"/>
      <c r="H90" s="599"/>
      <c r="I90" s="599"/>
      <c r="J90" s="599"/>
      <c r="K90" s="599"/>
      <c r="L90" s="94"/>
      <c r="M90" s="599"/>
      <c r="N90" s="599"/>
      <c r="O90" s="599"/>
    </row>
    <row r="91" spans="1:15">
      <c r="A91" s="598"/>
      <c r="B91" s="599"/>
      <c r="C91" s="599"/>
      <c r="D91" s="599"/>
      <c r="E91" s="599"/>
      <c r="F91" s="599"/>
      <c r="G91" s="599"/>
      <c r="H91" s="599"/>
      <c r="I91" s="599"/>
      <c r="J91" s="599"/>
      <c r="K91" s="599"/>
      <c r="L91" s="94"/>
      <c r="M91" s="599"/>
      <c r="N91" s="599"/>
      <c r="O91" s="599"/>
    </row>
    <row r="92" spans="1:15">
      <c r="A92" s="598"/>
      <c r="B92" s="599"/>
      <c r="C92" s="599"/>
      <c r="D92" s="599"/>
      <c r="E92" s="599"/>
      <c r="F92" s="599"/>
      <c r="G92" s="599"/>
      <c r="H92" s="599"/>
      <c r="I92" s="599"/>
      <c r="J92" s="599"/>
      <c r="K92" s="599"/>
      <c r="L92" s="94"/>
      <c r="M92" s="599"/>
      <c r="N92" s="599"/>
      <c r="O92" s="599"/>
    </row>
    <row r="93" spans="1:15">
      <c r="A93" s="598"/>
      <c r="B93" s="599"/>
      <c r="C93" s="599"/>
      <c r="D93" s="599"/>
      <c r="E93" s="599"/>
      <c r="F93" s="599"/>
      <c r="G93" s="599"/>
      <c r="H93" s="599"/>
      <c r="I93" s="599"/>
      <c r="J93" s="599"/>
      <c r="K93" s="599"/>
      <c r="L93" s="94"/>
      <c r="M93" s="599"/>
      <c r="N93" s="599"/>
      <c r="O93" s="599"/>
    </row>
    <row r="94" spans="1:15">
      <c r="A94" s="598"/>
      <c r="B94" s="599"/>
      <c r="C94" s="599"/>
      <c r="D94" s="599"/>
      <c r="E94" s="599"/>
      <c r="F94" s="599"/>
      <c r="G94" s="599"/>
      <c r="H94" s="599"/>
      <c r="I94" s="599"/>
      <c r="J94" s="599"/>
      <c r="K94" s="599"/>
      <c r="L94" s="94"/>
      <c r="M94" s="599"/>
      <c r="N94" s="599"/>
      <c r="O94" s="599"/>
    </row>
    <row r="95" spans="1:15">
      <c r="A95" s="598"/>
      <c r="B95" s="599"/>
      <c r="C95" s="599"/>
      <c r="D95" s="599"/>
      <c r="E95" s="599"/>
      <c r="F95" s="599"/>
      <c r="G95" s="599"/>
      <c r="H95" s="599"/>
      <c r="I95" s="599"/>
      <c r="J95" s="599"/>
      <c r="K95" s="599"/>
      <c r="L95" s="94"/>
      <c r="M95" s="599"/>
      <c r="N95" s="599"/>
      <c r="O95" s="599"/>
    </row>
    <row r="96" spans="1:15">
      <c r="A96" s="598"/>
      <c r="B96" s="599"/>
      <c r="C96" s="599"/>
      <c r="D96" s="599"/>
      <c r="E96" s="599"/>
      <c r="F96" s="599"/>
      <c r="G96" s="599"/>
      <c r="H96" s="599"/>
      <c r="I96" s="599"/>
      <c r="J96" s="599"/>
      <c r="K96" s="599"/>
      <c r="L96" s="94"/>
      <c r="M96" s="599"/>
      <c r="N96" s="599"/>
      <c r="O96" s="599"/>
    </row>
    <row r="97" spans="1:15">
      <c r="A97" s="598"/>
      <c r="B97" s="599"/>
      <c r="C97" s="599"/>
      <c r="D97" s="599"/>
      <c r="E97" s="599"/>
      <c r="F97" s="599"/>
      <c r="G97" s="599"/>
      <c r="H97" s="599"/>
      <c r="I97" s="599"/>
      <c r="J97" s="599"/>
      <c r="K97" s="599"/>
      <c r="L97" s="94"/>
      <c r="M97" s="599"/>
      <c r="N97" s="599"/>
      <c r="O97" s="599"/>
    </row>
    <row r="98" spans="1:15">
      <c r="A98" s="598"/>
      <c r="B98" s="599"/>
      <c r="C98" s="599"/>
      <c r="D98" s="599"/>
      <c r="E98" s="599"/>
      <c r="F98" s="599"/>
      <c r="G98" s="599"/>
      <c r="H98" s="599"/>
      <c r="I98" s="599"/>
      <c r="J98" s="599"/>
      <c r="K98" s="599"/>
      <c r="L98" s="94"/>
      <c r="M98" s="599"/>
      <c r="N98" s="599"/>
      <c r="O98" s="599"/>
    </row>
    <row r="99" spans="1:15">
      <c r="A99" s="598"/>
      <c r="B99" s="599"/>
      <c r="C99" s="599"/>
      <c r="D99" s="599"/>
      <c r="E99" s="599"/>
      <c r="F99" s="599"/>
      <c r="G99" s="599"/>
      <c r="H99" s="599"/>
      <c r="I99" s="599"/>
      <c r="J99" s="599"/>
      <c r="K99" s="599"/>
      <c r="L99" s="599"/>
      <c r="M99" s="599"/>
      <c r="N99" s="599"/>
      <c r="O99" s="599"/>
    </row>
    <row r="100" spans="1:15">
      <c r="A100" s="598"/>
      <c r="B100" s="599"/>
      <c r="C100" s="599"/>
      <c r="D100" s="599"/>
      <c r="E100" s="599"/>
      <c r="F100" s="599"/>
      <c r="G100" s="599"/>
      <c r="H100" s="599"/>
      <c r="I100" s="599"/>
      <c r="J100" s="599"/>
      <c r="K100" s="599"/>
      <c r="L100" s="599"/>
      <c r="M100" s="599"/>
      <c r="N100" s="599"/>
      <c r="O100" s="599"/>
    </row>
    <row r="101" spans="1:15">
      <c r="A101" s="598"/>
      <c r="B101" s="599"/>
      <c r="C101" s="599"/>
      <c r="D101" s="599"/>
      <c r="E101" s="599"/>
      <c r="F101" s="599"/>
      <c r="G101" s="599"/>
      <c r="H101" s="599"/>
      <c r="I101" s="599"/>
      <c r="J101" s="599"/>
      <c r="K101" s="599"/>
      <c r="L101" s="599"/>
      <c r="M101" s="599"/>
      <c r="N101" s="599"/>
      <c r="O101" s="599"/>
    </row>
    <row r="102" spans="1:15">
      <c r="A102" s="598"/>
      <c r="B102" s="599"/>
      <c r="C102" s="599"/>
      <c r="D102" s="599"/>
      <c r="E102" s="599"/>
      <c r="F102" s="599"/>
      <c r="G102" s="599"/>
      <c r="H102" s="599"/>
      <c r="I102" s="599"/>
      <c r="J102" s="599"/>
      <c r="K102" s="599"/>
      <c r="L102" s="599"/>
      <c r="M102" s="599"/>
      <c r="N102" s="599"/>
      <c r="O102" s="599"/>
    </row>
    <row r="103" spans="1:15">
      <c r="A103" s="599"/>
      <c r="B103" s="599"/>
      <c r="C103" s="599"/>
      <c r="D103" s="599"/>
      <c r="E103" s="599"/>
      <c r="F103" s="599"/>
      <c r="G103" s="599"/>
      <c r="H103" s="599"/>
      <c r="I103" s="599"/>
      <c r="J103" s="599"/>
      <c r="K103" s="599"/>
      <c r="L103" s="599"/>
      <c r="M103" s="599"/>
      <c r="N103" s="779"/>
      <c r="O103" s="253"/>
    </row>
    <row r="104" spans="1:15">
      <c r="A104" s="599"/>
      <c r="B104" s="599"/>
      <c r="C104" s="599"/>
      <c r="D104" s="599"/>
      <c r="E104" s="599"/>
      <c r="F104" s="599"/>
      <c r="G104" s="599"/>
      <c r="H104" s="599"/>
      <c r="I104" s="599"/>
      <c r="J104" s="599"/>
      <c r="K104" s="599"/>
      <c r="L104" s="599"/>
      <c r="M104" s="599"/>
      <c r="N104" s="779"/>
      <c r="O104" s="253"/>
    </row>
    <row r="105" spans="1:15">
      <c r="A105" s="599"/>
      <c r="B105" s="599"/>
      <c r="C105" s="599"/>
      <c r="D105" s="599"/>
      <c r="E105" s="599"/>
      <c r="F105" s="599"/>
      <c r="G105" s="599"/>
      <c r="H105" s="599"/>
      <c r="I105" s="599"/>
      <c r="J105" s="599"/>
      <c r="K105" s="599"/>
      <c r="L105" s="599"/>
      <c r="M105" s="599"/>
      <c r="N105" s="779"/>
      <c r="O105" s="253"/>
    </row>
    <row r="106" spans="1:15">
      <c r="A106" s="599"/>
      <c r="B106" s="599"/>
      <c r="C106" s="599"/>
      <c r="D106" s="599"/>
      <c r="E106" s="599"/>
      <c r="F106" s="599"/>
      <c r="G106" s="599"/>
      <c r="H106" s="599"/>
      <c r="I106" s="599"/>
      <c r="J106" s="599"/>
      <c r="K106" s="599"/>
      <c r="L106" s="599"/>
      <c r="M106" s="599"/>
      <c r="N106" s="779"/>
      <c r="O106" s="253"/>
    </row>
    <row r="107" spans="1:15">
      <c r="A107" s="599"/>
      <c r="B107" s="599"/>
      <c r="C107" s="599"/>
      <c r="D107" s="599"/>
      <c r="E107" s="599"/>
      <c r="F107" s="599"/>
      <c r="G107" s="599"/>
      <c r="H107" s="599"/>
      <c r="I107" s="599"/>
      <c r="J107" s="599"/>
      <c r="K107" s="599"/>
      <c r="L107" s="599"/>
      <c r="M107" s="599"/>
      <c r="N107" s="779"/>
      <c r="O107" s="253"/>
    </row>
    <row r="108" spans="1:15">
      <c r="A108" s="599"/>
      <c r="B108" s="599"/>
      <c r="C108" s="599"/>
      <c r="D108" s="599"/>
      <c r="E108" s="599"/>
      <c r="F108" s="599"/>
      <c r="G108" s="599"/>
      <c r="H108" s="599"/>
      <c r="I108" s="599"/>
      <c r="J108" s="599"/>
      <c r="K108" s="599"/>
      <c r="L108" s="599"/>
      <c r="M108" s="599"/>
      <c r="N108" s="597"/>
      <c r="O108" s="597"/>
    </row>
    <row r="109" spans="1:15">
      <c r="A109" s="599"/>
      <c r="B109" s="599"/>
      <c r="C109" s="599"/>
      <c r="D109" s="599"/>
      <c r="E109" s="599"/>
      <c r="F109" s="599"/>
      <c r="G109" s="599"/>
      <c r="H109" s="599"/>
      <c r="I109" s="599"/>
      <c r="J109" s="599"/>
      <c r="K109" s="599"/>
      <c r="L109" s="599"/>
      <c r="M109" s="599"/>
      <c r="N109" s="597"/>
      <c r="O109" s="597"/>
    </row>
    <row r="110" spans="1:15">
      <c r="A110" s="599"/>
      <c r="B110" s="599"/>
      <c r="C110" s="599"/>
      <c r="D110" s="599"/>
      <c r="E110" s="599"/>
      <c r="F110" s="599"/>
      <c r="G110" s="599"/>
      <c r="H110" s="599"/>
      <c r="I110" s="599"/>
      <c r="J110" s="599"/>
      <c r="K110" s="599"/>
      <c r="L110" s="599"/>
      <c r="M110" s="599"/>
      <c r="N110" s="701"/>
      <c r="O110" s="701"/>
    </row>
    <row r="111" spans="1:15">
      <c r="A111" s="599"/>
      <c r="B111" s="599"/>
      <c r="C111" s="599"/>
      <c r="D111" s="599"/>
      <c r="E111" s="599"/>
      <c r="F111" s="599"/>
      <c r="G111" s="599"/>
      <c r="H111" s="599"/>
      <c r="I111" s="599"/>
      <c r="J111" s="599"/>
      <c r="K111" s="599"/>
      <c r="L111" s="599"/>
      <c r="M111" s="599"/>
      <c r="N111" s="702"/>
      <c r="O111" s="702"/>
    </row>
    <row r="112" spans="1:15">
      <c r="A112" s="599"/>
      <c r="B112" s="599"/>
      <c r="C112" s="599"/>
      <c r="D112" s="599"/>
      <c r="E112" s="599"/>
      <c r="F112" s="599"/>
      <c r="G112" s="599"/>
      <c r="H112" s="599"/>
      <c r="I112" s="599"/>
      <c r="J112" s="599"/>
      <c r="K112" s="599"/>
      <c r="L112" s="599"/>
      <c r="M112" s="599"/>
      <c r="N112" s="597"/>
      <c r="O112" s="597"/>
    </row>
    <row r="113" spans="1:15">
      <c r="A113" s="599"/>
      <c r="B113" s="599"/>
      <c r="C113" s="599"/>
      <c r="D113" s="599"/>
      <c r="E113" s="599"/>
      <c r="F113" s="599"/>
      <c r="G113" s="599"/>
      <c r="H113" s="599"/>
      <c r="I113" s="599"/>
      <c r="J113" s="599"/>
      <c r="K113" s="599"/>
      <c r="L113" s="599"/>
      <c r="M113" s="599"/>
      <c r="N113" s="701"/>
      <c r="O113" s="597"/>
    </row>
    <row r="114" spans="1:15">
      <c r="A114" s="599"/>
      <c r="B114" s="599"/>
      <c r="C114" s="599"/>
      <c r="D114" s="599"/>
      <c r="E114" s="599"/>
      <c r="F114" s="599"/>
      <c r="G114" s="599"/>
      <c r="H114" s="599"/>
      <c r="I114" s="599"/>
      <c r="J114" s="599"/>
      <c r="K114" s="599"/>
      <c r="L114" s="599"/>
      <c r="M114" s="599"/>
      <c r="N114" s="701"/>
      <c r="O114" s="597"/>
    </row>
  </sheetData>
  <phoneticPr fontId="19" type="noConversion"/>
  <pageMargins left="1" right="0.75" top="1" bottom="0" header="0" footer="0"/>
  <pageSetup scale="75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33">
    <tabColor theme="7" tint="-0.249977111117893"/>
    <pageSetUpPr fitToPage="1"/>
  </sheetPr>
  <dimension ref="A1:Z54"/>
  <sheetViews>
    <sheetView workbookViewId="0"/>
  </sheetViews>
  <sheetFormatPr defaultColWidth="8.5546875" defaultRowHeight="13.2"/>
  <cols>
    <col min="1" max="1" width="8.5546875" customWidth="1"/>
    <col min="2" max="2" width="27.5546875" customWidth="1"/>
    <col min="3" max="4" width="13" customWidth="1"/>
    <col min="5" max="5" width="5.5546875" customWidth="1"/>
    <col min="6" max="7" width="13.6640625" customWidth="1"/>
    <col min="8" max="8" width="14.6640625" customWidth="1"/>
    <col min="10" max="10" width="6" customWidth="1"/>
    <col min="11" max="11" width="46" bestFit="1" customWidth="1"/>
    <col min="12" max="12" width="2.5546875" customWidth="1"/>
    <col min="13" max="13" width="11.33203125" bestFit="1" customWidth="1"/>
    <col min="14" max="14" width="2.5546875" customWidth="1"/>
    <col min="15" max="15" width="14.44140625" bestFit="1" customWidth="1"/>
    <col min="16" max="16" width="2.5546875" customWidth="1"/>
    <col min="17" max="17" width="14.44140625" bestFit="1" customWidth="1"/>
    <col min="18" max="18" width="2.5546875" customWidth="1"/>
    <col min="19" max="19" width="14.44140625" bestFit="1" customWidth="1"/>
    <col min="20" max="20" width="2.5546875" customWidth="1"/>
    <col min="21" max="21" width="11.5546875" bestFit="1" customWidth="1"/>
    <col min="22" max="22" width="2.5546875" customWidth="1"/>
    <col min="23" max="23" width="19.33203125" bestFit="1" customWidth="1"/>
  </cols>
  <sheetData>
    <row r="1" spans="1:15">
      <c r="A1" s="951" t="str">
        <f>COMPANY</f>
        <v>DUKE ENERGY KENTUCKY, INC.</v>
      </c>
      <c r="B1" s="951"/>
      <c r="C1" s="951"/>
      <c r="D1" s="951"/>
      <c r="E1" s="951"/>
      <c r="F1" s="951"/>
      <c r="G1" s="951"/>
      <c r="H1" s="951"/>
    </row>
    <row r="2" spans="1:15">
      <c r="A2" s="951" t="str">
        <f>CASE</f>
        <v>CASE NO. 2024-00354</v>
      </c>
      <c r="B2" s="951"/>
      <c r="C2" s="951"/>
      <c r="D2" s="951"/>
      <c r="E2" s="951"/>
      <c r="F2" s="951"/>
      <c r="G2" s="951"/>
      <c r="H2" s="951"/>
    </row>
    <row r="3" spans="1:15">
      <c r="A3" s="805" t="s">
        <v>2196</v>
      </c>
      <c r="B3" s="951"/>
      <c r="C3" s="951"/>
      <c r="D3" s="951"/>
      <c r="E3" s="951"/>
      <c r="F3" s="951"/>
      <c r="G3" s="951"/>
      <c r="H3" s="951"/>
      <c r="J3" s="679"/>
    </row>
    <row r="4" spans="1:15">
      <c r="A4" s="710" t="str">
        <f>PeriodF</f>
        <v>FOR THE TWELVE MONTHS ENDED JUNE 30, 2026</v>
      </c>
      <c r="B4" s="951"/>
      <c r="C4" s="951"/>
      <c r="D4" s="951"/>
      <c r="E4" s="951"/>
      <c r="F4" s="951"/>
      <c r="G4" s="951"/>
      <c r="H4" s="951"/>
    </row>
    <row r="5" spans="1:15">
      <c r="A5" s="252"/>
      <c r="B5" s="599"/>
      <c r="C5" s="599"/>
      <c r="D5" s="599"/>
      <c r="E5" s="599"/>
      <c r="F5" s="599"/>
      <c r="G5" s="599"/>
      <c r="H5" s="599"/>
    </row>
    <row r="6" spans="1:15">
      <c r="A6" s="711" t="str">
        <f>DataF</f>
        <v>DATA:  BASE PERIOD  "X" FORECASTED PERIOD</v>
      </c>
      <c r="B6" s="599"/>
      <c r="C6" s="599"/>
      <c r="D6" s="599"/>
      <c r="E6" s="599"/>
      <c r="F6" s="599"/>
      <c r="G6" s="973" t="s">
        <v>2197</v>
      </c>
      <c r="H6" s="599"/>
    </row>
    <row r="7" spans="1:15">
      <c r="A7" s="711" t="str">
        <f>Type</f>
        <v xml:space="preserve">TYPE OF FILING:  "X" ORIGINAL   UPDATED    REVISED  </v>
      </c>
      <c r="B7" s="599"/>
      <c r="C7" s="599"/>
      <c r="D7" s="599"/>
      <c r="E7" s="599"/>
      <c r="F7" s="599"/>
      <c r="G7" s="598" t="s">
        <v>466</v>
      </c>
      <c r="H7" s="599"/>
    </row>
    <row r="8" spans="1:15">
      <c r="A8" s="220" t="s">
        <v>2198</v>
      </c>
      <c r="B8" s="599"/>
      <c r="C8" s="599"/>
      <c r="D8" s="599"/>
      <c r="E8" s="599"/>
      <c r="F8" s="599"/>
      <c r="G8" s="598" t="s">
        <v>468</v>
      </c>
      <c r="H8" s="599"/>
    </row>
    <row r="9" spans="1:15">
      <c r="A9" s="252"/>
      <c r="B9" s="599"/>
      <c r="C9" s="599"/>
      <c r="D9" s="599"/>
      <c r="E9" s="599"/>
      <c r="F9" s="599"/>
      <c r="G9" s="598" t="str">
        <f>_WIT12</f>
        <v>J. S. COLLEY</v>
      </c>
      <c r="H9" s="599"/>
    </row>
    <row r="10" spans="1:15">
      <c r="A10" s="712"/>
      <c r="B10" s="1372"/>
      <c r="C10" s="1372"/>
      <c r="D10" s="1372"/>
      <c r="E10" s="1372"/>
      <c r="F10" s="1372"/>
      <c r="G10" s="1372"/>
      <c r="H10" s="1372"/>
    </row>
    <row r="11" spans="1:15">
      <c r="A11" s="2145"/>
      <c r="B11" s="599"/>
      <c r="C11" s="599"/>
      <c r="D11" s="599"/>
      <c r="E11" s="599"/>
      <c r="F11" s="599"/>
      <c r="G11" s="599"/>
      <c r="H11" s="599"/>
    </row>
    <row r="12" spans="1:15">
      <c r="A12" s="220" t="s">
        <v>1857</v>
      </c>
      <c r="C12" s="599"/>
      <c r="D12" s="599"/>
      <c r="E12" s="599"/>
      <c r="F12" s="599"/>
      <c r="G12" s="599"/>
      <c r="H12" s="974" t="s">
        <v>975</v>
      </c>
    </row>
    <row r="13" spans="1:15">
      <c r="A13" s="712"/>
      <c r="B13" s="1372"/>
      <c r="C13" s="1372"/>
      <c r="D13" s="1372"/>
      <c r="E13" s="1372"/>
      <c r="F13" s="1372"/>
      <c r="G13" s="1372"/>
      <c r="H13" s="1372"/>
    </row>
    <row r="14" spans="1:15">
      <c r="A14" s="2145"/>
      <c r="B14" s="599"/>
      <c r="C14" s="599"/>
      <c r="D14" s="599"/>
      <c r="E14" s="599"/>
      <c r="F14" s="599"/>
      <c r="G14" s="599"/>
      <c r="H14" s="974"/>
    </row>
    <row r="15" spans="1:15">
      <c r="A15" s="683" t="s">
        <v>2199</v>
      </c>
      <c r="B15" s="94"/>
      <c r="D15" s="94"/>
      <c r="E15" s="94"/>
      <c r="F15" s="94"/>
      <c r="G15" s="94"/>
      <c r="H15" s="94"/>
      <c r="I15" s="599"/>
      <c r="J15" s="599"/>
      <c r="K15" s="599"/>
      <c r="L15" s="599"/>
      <c r="M15" s="599"/>
      <c r="N15" s="169"/>
      <c r="O15" s="599"/>
    </row>
    <row r="16" spans="1:15">
      <c r="A16" s="252" t="s">
        <v>2200</v>
      </c>
      <c r="J16" s="680"/>
    </row>
    <row r="20" spans="1:8">
      <c r="A20" s="598" t="s">
        <v>1712</v>
      </c>
      <c r="B20" s="599"/>
      <c r="H20" s="682">
        <f>W46</f>
        <v>319314</v>
      </c>
    </row>
    <row r="21" spans="1:8">
      <c r="A21" s="599"/>
      <c r="B21" s="599"/>
    </row>
    <row r="22" spans="1:8">
      <c r="A22" s="598" t="s">
        <v>1862</v>
      </c>
      <c r="B22" s="599"/>
      <c r="H22" s="703">
        <f>VLOOKUP(C29,ALLOCTABLE,2)/100</f>
        <v>1</v>
      </c>
    </row>
    <row r="23" spans="1:8">
      <c r="A23" s="599"/>
      <c r="B23" s="599"/>
      <c r="H23" s="704"/>
    </row>
    <row r="24" spans="1:8">
      <c r="A24" s="599"/>
      <c r="B24" s="599"/>
      <c r="H24" s="599"/>
    </row>
    <row r="25" spans="1:8" ht="15">
      <c r="A25" s="598" t="s">
        <v>1863</v>
      </c>
      <c r="B25" s="599"/>
      <c r="E25" s="598" t="s">
        <v>1876</v>
      </c>
      <c r="G25" s="599"/>
      <c r="H25" s="705">
        <f>ROUND(H20*H22,0)</f>
        <v>319314</v>
      </c>
    </row>
    <row r="26" spans="1:8">
      <c r="A26" s="599"/>
      <c r="B26" s="599"/>
    </row>
    <row r="27" spans="1:8">
      <c r="A27" s="599"/>
      <c r="B27" s="599"/>
    </row>
    <row r="28" spans="1:8">
      <c r="A28" s="599"/>
      <c r="B28" s="599"/>
    </row>
    <row r="29" spans="1:8">
      <c r="A29" s="598" t="s">
        <v>1864</v>
      </c>
      <c r="C29" s="966" t="s">
        <v>428</v>
      </c>
    </row>
    <row r="34" spans="10:26">
      <c r="J34" t="str">
        <f>COMPANY</f>
        <v>DUKE ENERGY KENTUCKY, INC.</v>
      </c>
      <c r="U34" s="778" t="s">
        <v>2201</v>
      </c>
    </row>
    <row r="35" spans="10:26">
      <c r="J35" t="str">
        <f>DEPT</f>
        <v>ELECTRIC DEPARTMENT</v>
      </c>
      <c r="U35" s="779" t="s">
        <v>1866</v>
      </c>
    </row>
    <row r="36" spans="10:26">
      <c r="J36" t="str">
        <f>CASE</f>
        <v>CASE NO. 2024-00354</v>
      </c>
      <c r="U36" t="str">
        <f>_WIT12</f>
        <v>J. S. COLLEY</v>
      </c>
    </row>
    <row r="37" spans="10:26">
      <c r="J37" s="28" t="str">
        <f>A3</f>
        <v>CREDIT CARD FEES</v>
      </c>
      <c r="Z37" s="47"/>
    </row>
    <row r="41" spans="10:26" ht="26.4">
      <c r="J41" s="597"/>
      <c r="K41" s="597"/>
      <c r="L41" s="597"/>
      <c r="M41" s="2006"/>
      <c r="N41" s="2006"/>
      <c r="O41" s="2006"/>
      <c r="P41" s="2006"/>
      <c r="Q41" s="2007"/>
      <c r="R41" s="2007"/>
      <c r="S41" s="2007"/>
      <c r="T41" s="2007"/>
      <c r="U41" s="2008"/>
      <c r="V41" s="2008"/>
      <c r="W41" s="2026" t="str">
        <f>"For test period ending "&amp;PROPER(RIGHT(Forecast,(LEN(Forecast)-16)))</f>
        <v>For test period ending June 30, 2026</v>
      </c>
    </row>
    <row r="42" spans="10:26">
      <c r="J42" s="2009" t="s">
        <v>573</v>
      </c>
      <c r="K42" s="967"/>
      <c r="L42" s="967"/>
      <c r="M42" s="2021"/>
      <c r="N42" s="2021"/>
      <c r="O42" s="1853"/>
      <c r="P42" s="2021"/>
      <c r="Q42" s="1853"/>
      <c r="R42" s="1853"/>
      <c r="S42" s="1853"/>
      <c r="T42" s="1853"/>
      <c r="U42" s="1853" t="s">
        <v>2202</v>
      </c>
      <c r="V42" s="1853"/>
      <c r="W42" s="1853" t="s">
        <v>1712</v>
      </c>
    </row>
    <row r="43" spans="10:26">
      <c r="J43" s="2010" t="s">
        <v>576</v>
      </c>
      <c r="K43" s="2011" t="s">
        <v>2</v>
      </c>
      <c r="L43" s="967"/>
      <c r="M43" s="2023" t="s">
        <v>2203</v>
      </c>
      <c r="N43" s="2024"/>
      <c r="O43" s="2025" t="s">
        <v>2204</v>
      </c>
      <c r="P43" s="2024"/>
      <c r="Q43" s="2025" t="s">
        <v>2205</v>
      </c>
      <c r="R43" s="2025"/>
      <c r="S43" s="2025" t="s">
        <v>2206</v>
      </c>
      <c r="T43" s="2025"/>
      <c r="U43" s="2025" t="s">
        <v>2207</v>
      </c>
      <c r="V43" s="2025"/>
      <c r="W43" s="2025" t="s">
        <v>3</v>
      </c>
    </row>
    <row r="44" spans="10:26">
      <c r="J44" s="691"/>
      <c r="K44" s="967"/>
      <c r="L44" s="967"/>
      <c r="M44" s="2012" t="s">
        <v>2208</v>
      </c>
      <c r="N44" s="2012"/>
      <c r="O44" s="2012" t="s">
        <v>2209</v>
      </c>
      <c r="P44" s="2012"/>
      <c r="Q44" s="2012" t="s">
        <v>2210</v>
      </c>
      <c r="R44" s="2012"/>
      <c r="S44" s="2012" t="s">
        <v>2210</v>
      </c>
      <c r="T44" s="2012"/>
      <c r="U44" s="2012" t="s">
        <v>2211</v>
      </c>
      <c r="V44" s="2012"/>
      <c r="W44" s="2012"/>
    </row>
    <row r="45" spans="10:26">
      <c r="J45" s="691"/>
      <c r="K45" s="967"/>
      <c r="L45" s="967"/>
      <c r="M45" s="2012"/>
      <c r="N45" s="2012"/>
      <c r="O45" s="2012"/>
      <c r="P45" s="2012"/>
      <c r="Q45" s="2012"/>
      <c r="R45" s="2012"/>
      <c r="S45" s="2012"/>
      <c r="T45" s="2012"/>
      <c r="U45" s="2012"/>
      <c r="V45" s="2012"/>
      <c r="W45" s="2012"/>
    </row>
    <row r="46" spans="10:26" ht="13.8" thickBot="1">
      <c r="J46" s="2009">
        <v>1</v>
      </c>
      <c r="K46" s="1852" t="s">
        <v>2212</v>
      </c>
      <c r="L46" s="2013"/>
      <c r="M46" s="1346">
        <v>248485</v>
      </c>
      <c r="N46" s="1346"/>
      <c r="O46" s="1346">
        <v>255451</v>
      </c>
      <c r="P46" s="1346"/>
      <c r="Q46" s="1346">
        <v>255451</v>
      </c>
      <c r="R46" s="1346"/>
      <c r="S46" s="1346">
        <v>255451</v>
      </c>
      <c r="T46" s="2013"/>
      <c r="U46" s="2020">
        <v>1.25</v>
      </c>
      <c r="V46" s="2014"/>
      <c r="W46" s="2022">
        <f>ROUND(U46*((S46*6)+(Q46*6))/12,0)</f>
        <v>319314</v>
      </c>
    </row>
    <row r="47" spans="10:26" ht="15.6" thickTop="1">
      <c r="J47" s="2009">
        <f t="shared" ref="J47:J49" si="0">J46+1</f>
        <v>2</v>
      </c>
      <c r="K47" s="1852" t="s">
        <v>2213</v>
      </c>
      <c r="L47" s="2013"/>
      <c r="M47" s="2013">
        <v>12</v>
      </c>
      <c r="N47" s="2013"/>
      <c r="O47" s="2013">
        <v>12</v>
      </c>
      <c r="P47" s="2013"/>
      <c r="Q47" s="2013">
        <v>12</v>
      </c>
      <c r="R47" s="2013"/>
      <c r="S47" s="2013">
        <v>12</v>
      </c>
      <c r="T47" s="2013"/>
      <c r="U47" s="2014"/>
      <c r="V47" s="2014"/>
      <c r="W47" s="2015"/>
    </row>
    <row r="48" spans="10:26" ht="15.6" thickBot="1">
      <c r="J48" s="2009">
        <f t="shared" si="0"/>
        <v>3</v>
      </c>
      <c r="K48" s="1852" t="s">
        <v>2214</v>
      </c>
      <c r="L48" s="2013"/>
      <c r="M48" s="2016">
        <f>ROUND(M46/M47,0)</f>
        <v>20707</v>
      </c>
      <c r="N48" s="2013"/>
      <c r="O48" s="2016">
        <f>ROUND(O46/O47,0)</f>
        <v>21288</v>
      </c>
      <c r="P48" s="2013"/>
      <c r="Q48" s="2016">
        <f>ROUND(Q46/Q47,0)</f>
        <v>21288</v>
      </c>
      <c r="R48" s="2017"/>
      <c r="S48" s="2016">
        <f>ROUND(S46/S47,0)</f>
        <v>21288</v>
      </c>
      <c r="T48" s="2013"/>
      <c r="U48" s="2014"/>
      <c r="V48" s="2014"/>
      <c r="W48" s="2015"/>
    </row>
    <row r="49" spans="10:23" ht="13.8" thickTop="1">
      <c r="J49" s="2009">
        <f t="shared" si="0"/>
        <v>4</v>
      </c>
      <c r="K49" s="1852"/>
      <c r="L49" s="2018"/>
      <c r="M49" s="2018"/>
      <c r="N49" s="2018"/>
      <c r="O49" s="2018"/>
      <c r="P49" s="2018"/>
      <c r="Q49" s="2018"/>
      <c r="R49" s="2018"/>
      <c r="S49" s="2018"/>
      <c r="T49" s="2018"/>
      <c r="U49" s="2019"/>
      <c r="V49" s="2019"/>
      <c r="W49" s="2018"/>
    </row>
    <row r="50" spans="10:23">
      <c r="J50" s="10"/>
      <c r="K50" s="29"/>
    </row>
    <row r="51" spans="10:23">
      <c r="J51" s="10"/>
      <c r="K51" s="29" t="s">
        <v>2215</v>
      </c>
    </row>
    <row r="52" spans="10:23">
      <c r="J52" s="10"/>
      <c r="K52" s="29" t="s">
        <v>2216</v>
      </c>
    </row>
    <row r="53" spans="10:23">
      <c r="J53" s="10"/>
      <c r="K53" s="29" t="s">
        <v>2217</v>
      </c>
    </row>
    <row r="54" spans="10:23">
      <c r="K54" s="967" t="s">
        <v>2218</v>
      </c>
    </row>
  </sheetData>
  <pageMargins left="1" right="0.75" top="1" bottom="0.75" header="0.3" footer="0.3"/>
  <pageSetup scale="78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38">
    <tabColor theme="7" tint="-0.249977111117893"/>
    <pageSetUpPr fitToPage="1"/>
  </sheetPr>
  <dimension ref="A1:W59"/>
  <sheetViews>
    <sheetView workbookViewId="0"/>
  </sheetViews>
  <sheetFormatPr defaultColWidth="8" defaultRowHeight="13.2"/>
  <cols>
    <col min="1" max="1" width="34.44140625" customWidth="1"/>
    <col min="2" max="2" width="9.44140625" customWidth="1"/>
    <col min="3" max="3" width="26.5546875" customWidth="1"/>
    <col min="4" max="6" width="8" customWidth="1"/>
    <col min="7" max="7" width="14.5546875" customWidth="1"/>
    <col min="8" max="8" width="17.5546875" customWidth="1"/>
    <col min="9" max="9" width="5.5546875" customWidth="1"/>
    <col min="10" max="10" width="1.5546875" customWidth="1"/>
    <col min="11" max="11" width="9" customWidth="1"/>
    <col min="12" max="12" width="1.44140625" customWidth="1"/>
    <col min="13" max="13" width="23.44140625" customWidth="1"/>
    <col min="14" max="14" width="1.5546875" customWidth="1"/>
    <col min="15" max="15" width="9.44140625" customWidth="1"/>
    <col min="16" max="16" width="13.5546875" customWidth="1"/>
    <col min="17" max="17" width="7.44140625" customWidth="1"/>
    <col min="18" max="18" width="19.5546875" customWidth="1"/>
    <col min="19" max="19" width="2.44140625" customWidth="1"/>
    <col min="20" max="20" width="13.5546875" customWidth="1"/>
    <col min="21" max="21" width="11.5546875" customWidth="1"/>
  </cols>
  <sheetData>
    <row r="1" spans="1:23">
      <c r="A1" s="951" t="str">
        <f>LOGO!B5</f>
        <v>DUKE ENERGY KENTUCKY, INC.</v>
      </c>
      <c r="B1" s="710"/>
      <c r="C1" s="710"/>
      <c r="D1" s="709"/>
      <c r="E1" s="709"/>
      <c r="F1" s="709"/>
      <c r="G1" s="709"/>
      <c r="H1" s="252"/>
      <c r="I1" s="252"/>
      <c r="J1" s="252"/>
      <c r="K1" s="252"/>
      <c r="L1" s="252"/>
      <c r="M1" s="29"/>
      <c r="N1" s="252"/>
      <c r="O1" s="252"/>
      <c r="P1" s="252"/>
      <c r="Q1" s="252"/>
      <c r="R1" s="691"/>
      <c r="S1" s="691"/>
      <c r="T1" s="691"/>
      <c r="U1" s="691"/>
      <c r="V1" s="691"/>
      <c r="W1" s="691"/>
    </row>
    <row r="2" spans="1:23">
      <c r="A2" s="951" t="str">
        <f>LOGO!B6</f>
        <v>CASE NO. 2024-00354</v>
      </c>
      <c r="B2" s="710"/>
      <c r="C2" s="710"/>
      <c r="D2" s="709"/>
      <c r="E2" s="709"/>
      <c r="F2" s="709"/>
      <c r="G2" s="709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691"/>
      <c r="S2" s="691"/>
      <c r="T2" s="691"/>
      <c r="U2" s="691"/>
      <c r="V2" s="691"/>
      <c r="W2" s="691"/>
    </row>
    <row r="3" spans="1:23">
      <c r="A3" s="709" t="s">
        <v>2219</v>
      </c>
      <c r="B3" s="709"/>
      <c r="C3" s="709"/>
      <c r="D3" s="709"/>
      <c r="E3" s="709"/>
      <c r="F3" s="709"/>
      <c r="G3" s="709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691"/>
      <c r="S3" s="691"/>
      <c r="T3" s="691"/>
      <c r="U3" s="691"/>
      <c r="V3" s="691"/>
      <c r="W3" s="691"/>
    </row>
    <row r="4" spans="1:23">
      <c r="A4" s="710" t="str">
        <f>PeriodF</f>
        <v>FOR THE TWELVE MONTHS ENDED JUNE 30, 2026</v>
      </c>
      <c r="B4" s="709"/>
      <c r="C4" s="709"/>
      <c r="D4" s="709"/>
      <c r="E4" s="709"/>
      <c r="F4" s="709"/>
      <c r="G4" s="709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691"/>
      <c r="S4" s="691"/>
      <c r="T4" s="691"/>
      <c r="U4" s="691"/>
      <c r="V4" s="691"/>
      <c r="W4" s="691"/>
    </row>
    <row r="5" spans="1:23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691"/>
      <c r="S5" s="691"/>
      <c r="T5" s="691"/>
      <c r="U5" s="691"/>
      <c r="V5" s="691"/>
      <c r="W5" s="691"/>
    </row>
    <row r="6" spans="1:23">
      <c r="A6" s="711" t="str">
        <f>DataF</f>
        <v>DATA:  BASE PERIOD  "X" FORECASTED PERIOD</v>
      </c>
      <c r="B6" s="252"/>
      <c r="C6" s="252"/>
      <c r="D6" s="252"/>
      <c r="E6" s="252"/>
      <c r="F6" s="220" t="s">
        <v>2220</v>
      </c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691"/>
      <c r="S6" s="691"/>
      <c r="T6" s="691"/>
      <c r="U6" s="691"/>
      <c r="V6" s="691"/>
      <c r="W6" s="691"/>
    </row>
    <row r="7" spans="1:23">
      <c r="A7" s="711" t="str">
        <f>Type</f>
        <v xml:space="preserve">TYPE OF FILING:  "X" ORIGINAL   UPDATED    REVISED  </v>
      </c>
      <c r="B7" s="252"/>
      <c r="C7" s="252"/>
      <c r="D7" s="252"/>
      <c r="E7" s="252"/>
      <c r="F7" s="220" t="s">
        <v>466</v>
      </c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691"/>
      <c r="S7" s="691"/>
      <c r="T7" s="691"/>
      <c r="U7" s="691"/>
      <c r="V7" s="691"/>
      <c r="W7" s="691"/>
    </row>
    <row r="8" spans="1:23">
      <c r="A8" s="220" t="s">
        <v>2221</v>
      </c>
      <c r="B8" s="252"/>
      <c r="C8" s="252"/>
      <c r="D8" s="252"/>
      <c r="E8" s="252"/>
      <c r="F8" s="220" t="s">
        <v>468</v>
      </c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691"/>
      <c r="S8" s="691"/>
      <c r="T8" s="691"/>
      <c r="U8" s="691"/>
      <c r="V8" s="691"/>
      <c r="W8" s="691"/>
    </row>
    <row r="9" spans="1:23">
      <c r="A9" s="252"/>
      <c r="B9" s="252"/>
      <c r="C9" s="252"/>
      <c r="D9" s="252"/>
      <c r="E9" s="252"/>
      <c r="F9" s="220" t="str">
        <f>_WIT1</f>
        <v>L. D. STEINKUHL</v>
      </c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691"/>
      <c r="S9" s="691"/>
      <c r="T9" s="691"/>
      <c r="U9" s="691"/>
      <c r="V9" s="691"/>
      <c r="W9" s="691"/>
    </row>
    <row r="10" spans="1:23">
      <c r="A10" s="712"/>
      <c r="B10" s="712"/>
      <c r="C10" s="712"/>
      <c r="D10" s="712"/>
      <c r="E10" s="712"/>
      <c r="F10" s="712"/>
      <c r="G10" s="71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691"/>
      <c r="S10" s="691"/>
      <c r="T10" s="691"/>
      <c r="U10" s="691"/>
      <c r="V10" s="691"/>
      <c r="W10" s="691"/>
    </row>
    <row r="11" spans="1:23">
      <c r="A11" s="2145"/>
      <c r="B11" s="2145"/>
      <c r="C11" s="2145"/>
      <c r="D11" s="2145"/>
      <c r="E11" s="2145"/>
      <c r="F11" s="2145"/>
      <c r="G11" s="2145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691"/>
      <c r="S11" s="691"/>
      <c r="T11" s="691"/>
      <c r="U11" s="691"/>
      <c r="V11" s="691"/>
      <c r="W11" s="691"/>
    </row>
    <row r="12" spans="1:23">
      <c r="A12" s="709" t="s">
        <v>1857</v>
      </c>
      <c r="B12" s="709"/>
      <c r="C12" s="709"/>
      <c r="D12" s="252"/>
      <c r="E12" s="252"/>
      <c r="F12" s="252"/>
      <c r="G12" s="255" t="s">
        <v>975</v>
      </c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691"/>
      <c r="S12" s="691"/>
      <c r="T12" s="691"/>
      <c r="U12" s="691"/>
      <c r="V12" s="691"/>
      <c r="W12" s="691"/>
    </row>
    <row r="13" spans="1:23">
      <c r="A13" s="712"/>
      <c r="B13" s="712"/>
      <c r="C13" s="712"/>
      <c r="D13" s="712"/>
      <c r="E13" s="712"/>
      <c r="F13" s="712"/>
      <c r="G13" s="71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691"/>
      <c r="S13" s="691"/>
      <c r="T13" s="691"/>
      <c r="U13" s="691"/>
      <c r="V13" s="691"/>
      <c r="W13" s="691"/>
    </row>
    <row r="14" spans="1:23">
      <c r="A14" s="2145"/>
      <c r="B14" s="2145"/>
      <c r="C14" s="2145"/>
      <c r="D14" s="2145"/>
      <c r="E14" s="2145"/>
      <c r="F14" s="2145"/>
      <c r="G14" s="2147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691"/>
      <c r="S14" s="691"/>
      <c r="T14" s="691"/>
      <c r="U14" s="691"/>
      <c r="V14" s="691"/>
      <c r="W14" s="691"/>
    </row>
    <row r="15" spans="1:23">
      <c r="A15" s="252" t="s">
        <v>2222</v>
      </c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691"/>
      <c r="S15" s="691"/>
      <c r="T15" s="691"/>
      <c r="U15" s="691"/>
      <c r="V15" s="691"/>
      <c r="W15" s="691"/>
    </row>
    <row r="16" spans="1:23">
      <c r="A16" s="252" t="s">
        <v>2223</v>
      </c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691"/>
      <c r="S16" s="691"/>
      <c r="T16" s="691"/>
      <c r="U16" s="691"/>
      <c r="V16" s="691"/>
      <c r="W16" s="691"/>
    </row>
    <row r="17" spans="1:23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691"/>
      <c r="S17" s="691"/>
      <c r="T17" s="691"/>
      <c r="U17" s="691"/>
      <c r="V17" s="691"/>
      <c r="W17" s="691"/>
    </row>
    <row r="18" spans="1:23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691"/>
      <c r="S18" s="691"/>
      <c r="T18" s="691"/>
      <c r="U18" s="691"/>
      <c r="V18" s="691"/>
      <c r="W18" s="691"/>
    </row>
    <row r="19" spans="1:23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691"/>
      <c r="S19" s="691"/>
      <c r="T19" s="691"/>
      <c r="U19" s="691"/>
      <c r="V19" s="691"/>
      <c r="W19" s="691"/>
    </row>
    <row r="20" spans="1:23">
      <c r="A20" s="252" t="s">
        <v>1714</v>
      </c>
      <c r="B20" s="252"/>
      <c r="C20" s="252"/>
      <c r="D20" s="252"/>
      <c r="E20" s="252"/>
      <c r="F20" s="252"/>
      <c r="G20" s="254">
        <f>R50</f>
        <v>1281600.6000000001</v>
      </c>
      <c r="H20" s="256"/>
      <c r="I20" s="252"/>
      <c r="J20" s="252"/>
      <c r="K20" s="252"/>
      <c r="L20" s="252"/>
      <c r="M20" s="252"/>
      <c r="N20" s="252"/>
      <c r="O20" s="252"/>
      <c r="P20" s="252"/>
      <c r="Q20" s="252"/>
      <c r="R20" s="691"/>
      <c r="S20" s="691"/>
      <c r="T20" s="691"/>
      <c r="U20" s="691"/>
      <c r="V20" s="691"/>
      <c r="W20" s="691"/>
    </row>
    <row r="21" spans="1:23">
      <c r="A21" s="252"/>
      <c r="B21" s="252"/>
      <c r="C21" s="252"/>
      <c r="D21" s="252"/>
      <c r="E21" s="252"/>
      <c r="F21" s="252"/>
      <c r="G21" s="252"/>
      <c r="H21" s="256"/>
      <c r="I21" s="252"/>
      <c r="J21" s="252"/>
      <c r="K21" s="252"/>
      <c r="L21" s="252"/>
      <c r="M21" s="252"/>
      <c r="N21" s="252"/>
      <c r="O21" s="252"/>
      <c r="P21" s="252"/>
      <c r="Q21" s="252"/>
      <c r="R21" s="691"/>
      <c r="S21" s="691"/>
      <c r="T21" s="691"/>
      <c r="U21" s="691"/>
      <c r="V21" s="691"/>
      <c r="W21" s="691"/>
    </row>
    <row r="22" spans="1:23">
      <c r="A22" s="252" t="s">
        <v>1862</v>
      </c>
      <c r="B22" s="252"/>
      <c r="C22" s="252"/>
      <c r="D22" s="252"/>
      <c r="E22" s="252"/>
      <c r="F22" s="252"/>
      <c r="G22" s="713">
        <f>VLOOKUP(B28,ALLOCTABLE,2)/100</f>
        <v>1</v>
      </c>
      <c r="H22" s="964"/>
      <c r="I22" s="252"/>
      <c r="J22" s="252"/>
      <c r="K22" s="252"/>
      <c r="L22" s="252"/>
      <c r="M22" s="252"/>
      <c r="N22" s="252"/>
      <c r="O22" s="252"/>
      <c r="P22" s="252"/>
      <c r="Q22" s="252"/>
      <c r="R22" s="691"/>
      <c r="S22" s="691"/>
      <c r="T22" s="691"/>
      <c r="U22" s="691"/>
      <c r="V22" s="691"/>
      <c r="W22" s="691"/>
    </row>
    <row r="23" spans="1:23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691"/>
      <c r="S23" s="691"/>
      <c r="T23" s="691"/>
      <c r="U23" s="691"/>
      <c r="V23" s="691"/>
      <c r="W23" s="691"/>
    </row>
    <row r="24" spans="1:23" ht="15">
      <c r="A24" s="252" t="s">
        <v>1863</v>
      </c>
      <c r="B24" s="252"/>
      <c r="C24" s="252"/>
      <c r="D24" s="255" t="s">
        <v>1995</v>
      </c>
      <c r="E24" s="252"/>
      <c r="F24" s="252"/>
      <c r="G24" s="705">
        <f>ROUND(G20*G22,0)</f>
        <v>1281601</v>
      </c>
      <c r="H24" s="705"/>
      <c r="I24" s="252"/>
      <c r="J24" s="252"/>
      <c r="K24" s="252"/>
      <c r="L24" s="252"/>
      <c r="M24" s="252"/>
      <c r="N24" s="252"/>
      <c r="O24" s="252"/>
      <c r="P24" s="252"/>
      <c r="Q24" s="252"/>
      <c r="R24" s="691"/>
      <c r="S24" s="691"/>
      <c r="T24" s="691"/>
      <c r="U24" s="691"/>
      <c r="V24" s="691"/>
      <c r="W24" s="691"/>
    </row>
    <row r="25" spans="1:23" ht="15">
      <c r="A25" s="252"/>
      <c r="B25" s="252"/>
      <c r="C25" s="252"/>
      <c r="D25" s="252"/>
      <c r="E25" s="252"/>
      <c r="F25" s="252"/>
      <c r="G25" s="252"/>
      <c r="H25" s="705"/>
      <c r="I25" s="252"/>
      <c r="J25" s="252"/>
      <c r="K25" s="252"/>
      <c r="L25" s="252"/>
      <c r="M25" s="252"/>
      <c r="N25" s="252"/>
      <c r="O25" s="252"/>
      <c r="P25" s="252"/>
      <c r="Q25" s="252"/>
      <c r="R25" s="691"/>
      <c r="S25" s="691"/>
      <c r="T25" s="691"/>
      <c r="U25" s="691"/>
      <c r="V25" s="691"/>
      <c r="W25" s="691"/>
    </row>
    <row r="26" spans="1:23">
      <c r="A26" s="252"/>
      <c r="B26" s="252"/>
      <c r="C26" s="252"/>
      <c r="D26" s="252"/>
      <c r="E26" s="252"/>
      <c r="F26" s="252"/>
      <c r="G26" s="252"/>
      <c r="H26" s="256"/>
      <c r="I26" s="252"/>
      <c r="J26" s="252"/>
      <c r="K26" s="252"/>
      <c r="L26" s="252"/>
      <c r="M26" s="252"/>
      <c r="N26" s="252"/>
      <c r="O26" s="252"/>
      <c r="P26" s="252"/>
      <c r="Q26" s="252"/>
      <c r="R26" s="691"/>
      <c r="S26" s="691"/>
      <c r="T26" s="691"/>
      <c r="U26" s="691"/>
      <c r="V26" s="691"/>
      <c r="W26" s="691"/>
    </row>
    <row r="27" spans="1:23">
      <c r="A27" s="252"/>
      <c r="B27" s="252"/>
      <c r="C27" s="252"/>
      <c r="D27" s="252"/>
      <c r="E27" s="252"/>
      <c r="F27" s="252"/>
      <c r="G27" s="252"/>
      <c r="H27" s="256"/>
      <c r="I27" s="252"/>
      <c r="J27" s="252"/>
      <c r="K27" s="252"/>
      <c r="L27" s="252"/>
      <c r="M27" s="252"/>
      <c r="N27" s="252"/>
      <c r="O27" s="252"/>
      <c r="P27" s="252"/>
      <c r="Q27" s="252"/>
      <c r="R27" s="691"/>
      <c r="S27" s="691"/>
      <c r="T27" s="691"/>
      <c r="U27" s="691"/>
      <c r="V27" s="691"/>
      <c r="W27" s="691"/>
    </row>
    <row r="28" spans="1:23">
      <c r="A28" s="711" t="s">
        <v>1864</v>
      </c>
      <c r="B28" s="715" t="s">
        <v>428</v>
      </c>
      <c r="C28" s="711"/>
      <c r="D28" s="252"/>
      <c r="E28" s="252"/>
      <c r="F28" s="252"/>
      <c r="G28" s="252"/>
      <c r="H28" s="964"/>
      <c r="I28" s="252"/>
      <c r="J28" s="252"/>
      <c r="K28" s="252"/>
      <c r="L28" s="252"/>
      <c r="M28" s="252"/>
      <c r="N28" s="252"/>
      <c r="O28" s="252"/>
      <c r="P28" s="252"/>
      <c r="Q28" s="252"/>
      <c r="R28" s="691"/>
      <c r="S28" s="691"/>
      <c r="T28" s="691"/>
      <c r="U28" s="691"/>
      <c r="V28" s="691"/>
      <c r="W28" s="691"/>
    </row>
    <row r="29" spans="1:23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691"/>
      <c r="S29" s="691"/>
      <c r="T29" s="691"/>
      <c r="U29" s="691"/>
      <c r="V29" s="691"/>
      <c r="W29" s="691"/>
    </row>
    <row r="30" spans="1:23" ht="15">
      <c r="A30" s="252"/>
      <c r="B30" s="252"/>
      <c r="C30" s="252"/>
      <c r="D30" s="252"/>
      <c r="E30" s="255"/>
      <c r="F30" s="252"/>
      <c r="G30" s="714"/>
      <c r="H30" s="705"/>
      <c r="I30" s="252"/>
      <c r="J30" s="252"/>
      <c r="K30" s="252"/>
      <c r="L30" s="252"/>
      <c r="M30" s="252"/>
      <c r="N30" s="252"/>
      <c r="O30" s="252"/>
      <c r="P30" s="252"/>
      <c r="Q30" s="252"/>
      <c r="R30" s="691"/>
      <c r="S30" s="691"/>
      <c r="T30" s="691"/>
      <c r="U30" s="691"/>
      <c r="V30" s="691"/>
      <c r="W30" s="691"/>
    </row>
    <row r="31" spans="1:23" ht="15">
      <c r="A31" s="252"/>
      <c r="B31" s="252"/>
      <c r="C31" s="252"/>
      <c r="D31" s="252"/>
      <c r="E31" s="255"/>
      <c r="F31" s="252"/>
      <c r="G31" s="714"/>
      <c r="H31" s="705"/>
      <c r="I31" s="252"/>
      <c r="J31" s="252"/>
      <c r="K31" s="252"/>
      <c r="L31" s="252"/>
      <c r="M31" s="252"/>
      <c r="N31" s="252"/>
      <c r="O31" s="252"/>
      <c r="P31" s="252"/>
      <c r="Q31" s="252"/>
      <c r="R31" s="691"/>
      <c r="S31" s="691"/>
      <c r="T31" s="691"/>
      <c r="U31" s="691"/>
      <c r="V31" s="691"/>
      <c r="W31" s="691"/>
    </row>
    <row r="32" spans="1:23">
      <c r="A32" s="252"/>
      <c r="B32" s="252"/>
      <c r="C32" s="252"/>
      <c r="D32" s="252"/>
      <c r="E32" s="252"/>
      <c r="F32" s="252"/>
      <c r="G32" s="252"/>
      <c r="H32" s="256"/>
      <c r="I32" s="252"/>
      <c r="J32" s="252"/>
      <c r="K32" s="252"/>
      <c r="L32" s="252"/>
      <c r="M32" s="252"/>
      <c r="N32" s="252"/>
      <c r="O32" s="252"/>
      <c r="P32" s="252"/>
      <c r="Q32" s="252"/>
      <c r="R32" s="691"/>
      <c r="S32" s="691"/>
      <c r="T32" s="691"/>
      <c r="U32" s="691"/>
      <c r="V32" s="691"/>
      <c r="W32" s="691"/>
    </row>
    <row r="33" spans="1:23">
      <c r="A33" s="252"/>
      <c r="B33" s="252"/>
      <c r="C33" s="252"/>
      <c r="D33" s="252"/>
      <c r="E33" s="252"/>
      <c r="F33" s="252"/>
      <c r="G33" s="252"/>
      <c r="H33" s="256"/>
      <c r="I33" s="252"/>
      <c r="J33" s="252"/>
      <c r="K33" s="252"/>
      <c r="L33" s="252"/>
      <c r="N33" s="252"/>
      <c r="O33" s="252"/>
      <c r="P33" s="252"/>
      <c r="Q33" s="252"/>
      <c r="R33" s="691"/>
      <c r="S33" s="691"/>
      <c r="T33" s="691"/>
      <c r="U33" s="691"/>
      <c r="V33" s="691"/>
      <c r="W33" s="691"/>
    </row>
    <row r="34" spans="1:23">
      <c r="A34" s="252"/>
      <c r="B34" s="252"/>
      <c r="C34" s="252"/>
      <c r="D34" s="252"/>
      <c r="E34" s="252"/>
      <c r="F34" s="252"/>
      <c r="G34" s="252"/>
      <c r="H34" s="964"/>
      <c r="I34" s="252"/>
      <c r="J34" s="252"/>
      <c r="K34" s="252"/>
      <c r="L34" s="252"/>
      <c r="M34" s="252"/>
      <c r="N34" s="252"/>
      <c r="O34" s="252"/>
      <c r="P34" s="252"/>
      <c r="Q34" s="252"/>
      <c r="R34" s="691"/>
      <c r="S34" s="691"/>
      <c r="T34" s="691"/>
      <c r="U34" s="691"/>
      <c r="V34" s="691"/>
      <c r="W34" s="691"/>
    </row>
    <row r="35" spans="1:23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1425"/>
      <c r="N35" s="252"/>
      <c r="O35" s="252"/>
      <c r="P35" s="252"/>
      <c r="Q35" s="252"/>
      <c r="R35" s="691"/>
      <c r="S35" s="691"/>
      <c r="T35" s="691"/>
      <c r="U35" s="691"/>
      <c r="V35" s="691"/>
      <c r="W35" s="691"/>
    </row>
    <row r="36" spans="1:23" ht="15">
      <c r="A36" s="252"/>
      <c r="B36" s="252"/>
      <c r="C36" s="252"/>
      <c r="D36" s="252"/>
      <c r="E36" s="255"/>
      <c r="F36" s="252"/>
      <c r="G36" s="965"/>
      <c r="H36" s="705"/>
      <c r="I36" s="252"/>
      <c r="J36" s="252"/>
      <c r="K36" s="252"/>
      <c r="L36" s="252"/>
      <c r="M36" s="1426"/>
      <c r="N36" s="252"/>
      <c r="O36" s="252"/>
      <c r="P36" s="252"/>
      <c r="Q36" s="252"/>
      <c r="R36" s="691"/>
      <c r="S36" s="691"/>
      <c r="T36" s="691"/>
      <c r="U36" s="691"/>
      <c r="V36" s="691"/>
      <c r="W36" s="691"/>
    </row>
    <row r="37" spans="1:23" ht="15">
      <c r="A37" s="252"/>
      <c r="B37" s="252"/>
      <c r="C37" s="252"/>
      <c r="D37" s="252"/>
      <c r="E37" s="255"/>
      <c r="F37" s="252"/>
      <c r="G37" s="714"/>
      <c r="H37" s="705"/>
      <c r="I37" s="252" t="str">
        <f>COMPANY</f>
        <v>DUKE ENERGY KENTUCKY, INC.</v>
      </c>
      <c r="J37" s="252"/>
      <c r="K37" s="252"/>
      <c r="L37" s="252"/>
      <c r="M37" s="252"/>
      <c r="N37" s="252"/>
      <c r="O37" s="252"/>
      <c r="P37" s="691"/>
      <c r="Q37" s="252" t="s">
        <v>2224</v>
      </c>
      <c r="R37" s="253"/>
      <c r="S37" s="691"/>
      <c r="T37" s="691"/>
      <c r="U37" s="691"/>
      <c r="V37" s="691"/>
      <c r="W37" s="691"/>
    </row>
    <row r="38" spans="1:23">
      <c r="A38" s="252"/>
      <c r="B38" s="252"/>
      <c r="C38" s="252"/>
      <c r="D38" s="252"/>
      <c r="E38" s="252"/>
      <c r="F38" s="252"/>
      <c r="G38" s="252"/>
      <c r="H38" s="256"/>
      <c r="I38" s="252" t="str">
        <f>DEPT</f>
        <v>ELECTRIC DEPARTMENT</v>
      </c>
      <c r="J38" s="252"/>
      <c r="K38" s="252"/>
      <c r="L38" s="252"/>
      <c r="M38" s="252"/>
      <c r="N38" s="252"/>
      <c r="O38" s="252"/>
      <c r="P38" s="691"/>
      <c r="Q38" s="220" t="s">
        <v>468</v>
      </c>
      <c r="R38" s="253"/>
      <c r="S38" s="691"/>
      <c r="T38" s="691"/>
      <c r="U38" s="691"/>
      <c r="V38" s="691"/>
      <c r="W38" s="691"/>
    </row>
    <row r="39" spans="1:23">
      <c r="A39" s="252"/>
      <c r="B39" s="252"/>
      <c r="C39" s="252"/>
      <c r="D39" s="252"/>
      <c r="E39" s="252"/>
      <c r="F39" s="252"/>
      <c r="G39" s="252"/>
      <c r="H39" s="256"/>
      <c r="I39" s="252" t="str">
        <f>CASE</f>
        <v>CASE NO. 2024-00354</v>
      </c>
      <c r="J39" s="252"/>
      <c r="K39" s="252"/>
      <c r="L39" s="252"/>
      <c r="M39" s="252"/>
      <c r="N39" s="252"/>
      <c r="O39" s="252"/>
      <c r="P39" s="691"/>
      <c r="Q39" s="220" t="str">
        <f>_WIT1</f>
        <v>L. D. STEINKUHL</v>
      </c>
      <c r="R39" s="253"/>
      <c r="S39" s="691"/>
      <c r="T39" s="691"/>
      <c r="U39" s="691"/>
      <c r="V39" s="691"/>
      <c r="W39" s="691"/>
    </row>
    <row r="40" spans="1:23">
      <c r="A40" s="252"/>
      <c r="B40" s="252"/>
      <c r="C40" s="252"/>
      <c r="D40" s="252"/>
      <c r="E40" s="252"/>
      <c r="F40" s="252"/>
      <c r="G40" s="252"/>
      <c r="H40" s="964"/>
      <c r="I40" s="220" t="str">
        <f>A3</f>
        <v>AMORTIZATION OF REGULATORY ASSET</v>
      </c>
      <c r="J40" s="252"/>
      <c r="K40" s="252"/>
      <c r="L40" s="252"/>
      <c r="M40" s="252"/>
      <c r="N40" s="252"/>
      <c r="O40" s="252"/>
      <c r="P40" s="252"/>
      <c r="Q40" s="252"/>
      <c r="R40" s="252"/>
      <c r="S40" s="691"/>
      <c r="T40" s="691"/>
      <c r="U40" s="691"/>
      <c r="V40" s="691"/>
      <c r="W40" s="691"/>
    </row>
    <row r="41" spans="1:23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691"/>
      <c r="T41" s="691"/>
      <c r="U41" s="691"/>
      <c r="V41" s="691"/>
      <c r="W41" s="691"/>
    </row>
    <row r="42" spans="1:23" ht="15">
      <c r="A42" s="252"/>
      <c r="B42" s="252"/>
      <c r="C42" s="252"/>
      <c r="D42" s="252"/>
      <c r="E42" s="255"/>
      <c r="F42" s="252"/>
      <c r="G42" s="714"/>
      <c r="H42" s="705"/>
      <c r="I42" s="252"/>
      <c r="J42" s="252"/>
      <c r="K42" s="252"/>
      <c r="L42" s="252"/>
      <c r="M42" s="252"/>
      <c r="N42" s="256"/>
      <c r="O42" s="252"/>
      <c r="P42" s="252"/>
      <c r="Q42" s="252"/>
      <c r="R42" s="252"/>
      <c r="S42" s="691"/>
      <c r="T42" s="691"/>
      <c r="U42" s="691"/>
      <c r="V42" s="691"/>
      <c r="W42" s="691"/>
    </row>
    <row r="43" spans="1:23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6"/>
      <c r="O43" s="252"/>
      <c r="P43" s="252"/>
      <c r="Q43" s="252"/>
      <c r="R43" s="252"/>
      <c r="S43" s="691"/>
      <c r="T43" s="691"/>
      <c r="U43" s="691"/>
      <c r="V43" s="691"/>
      <c r="W43" s="691"/>
    </row>
    <row r="44" spans="1:23">
      <c r="A44" s="252"/>
      <c r="B44" s="252"/>
      <c r="C44" s="252"/>
      <c r="D44" s="252"/>
      <c r="E44" s="252"/>
      <c r="F44" s="252"/>
      <c r="G44" s="252"/>
      <c r="H44" s="252"/>
      <c r="I44" s="255" t="s">
        <v>1998</v>
      </c>
      <c r="J44" s="252"/>
      <c r="K44" s="255" t="s">
        <v>255</v>
      </c>
      <c r="L44" s="255"/>
      <c r="M44" s="252"/>
      <c r="N44" s="256"/>
      <c r="O44" s="707"/>
      <c r="P44" s="252"/>
      <c r="Q44" s="255" t="s">
        <v>788</v>
      </c>
      <c r="R44" s="255" t="s">
        <v>2225</v>
      </c>
      <c r="S44" s="691"/>
      <c r="T44" s="691"/>
      <c r="U44" s="691"/>
      <c r="V44" s="691"/>
      <c r="W44" s="691"/>
    </row>
    <row r="45" spans="1:23">
      <c r="A45" s="721"/>
      <c r="B45" s="722"/>
      <c r="C45" s="721"/>
      <c r="D45" s="723"/>
      <c r="E45" s="252"/>
      <c r="F45" s="252"/>
      <c r="G45" s="252"/>
      <c r="H45" s="252"/>
      <c r="I45" s="1522" t="s">
        <v>576</v>
      </c>
      <c r="J45" s="1523"/>
      <c r="K45" s="1522" t="s">
        <v>761</v>
      </c>
      <c r="L45" s="1522"/>
      <c r="M45" s="1522" t="s">
        <v>2</v>
      </c>
      <c r="N45" s="1524"/>
      <c r="O45" s="1522" t="s">
        <v>2058</v>
      </c>
      <c r="P45" s="1522" t="s">
        <v>2226</v>
      </c>
      <c r="Q45" s="1522" t="s">
        <v>418</v>
      </c>
      <c r="R45" s="1522" t="s">
        <v>2227</v>
      </c>
      <c r="S45" s="691"/>
      <c r="T45" s="691"/>
      <c r="U45" s="691"/>
      <c r="V45" s="691"/>
      <c r="W45" s="691"/>
    </row>
    <row r="46" spans="1:23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6"/>
      <c r="O46" s="256"/>
      <c r="P46" s="2147"/>
      <c r="Q46" s="2147"/>
      <c r="R46" s="2147"/>
      <c r="S46" s="691"/>
      <c r="T46" s="691"/>
      <c r="U46" s="691"/>
      <c r="V46" s="691"/>
      <c r="W46" s="691"/>
    </row>
    <row r="47" spans="1:23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691"/>
      <c r="T47" s="691"/>
      <c r="U47" s="691"/>
      <c r="V47" s="691"/>
      <c r="W47" s="691"/>
    </row>
    <row r="48" spans="1:23">
      <c r="A48" s="252"/>
      <c r="B48" s="252"/>
      <c r="C48" s="252"/>
      <c r="D48" s="252"/>
      <c r="E48" s="252"/>
      <c r="F48" s="252"/>
      <c r="G48" s="252"/>
      <c r="H48" s="252"/>
      <c r="I48" s="255">
        <v>1</v>
      </c>
      <c r="J48" s="29"/>
      <c r="K48" s="29">
        <v>182527</v>
      </c>
      <c r="L48" s="29" t="s">
        <v>2228</v>
      </c>
      <c r="M48" s="29" t="s">
        <v>2229</v>
      </c>
      <c r="N48" s="29" t="s">
        <v>2228</v>
      </c>
      <c r="O48" s="29" t="s">
        <v>856</v>
      </c>
      <c r="P48" s="1708">
        <v>3724501</v>
      </c>
      <c r="Q48" s="789">
        <v>5</v>
      </c>
      <c r="R48" s="1709">
        <f>P48/Q48</f>
        <v>744900.2</v>
      </c>
      <c r="S48" s="691"/>
      <c r="T48" s="691"/>
      <c r="U48" s="691"/>
      <c r="V48" s="691"/>
      <c r="W48" s="691"/>
    </row>
    <row r="49" spans="1:23">
      <c r="A49" s="252"/>
      <c r="B49" s="252"/>
      <c r="C49" s="252"/>
      <c r="D49" s="252"/>
      <c r="E49" s="252"/>
      <c r="F49" s="252"/>
      <c r="G49" s="252"/>
      <c r="H49" s="252"/>
      <c r="I49" s="255">
        <v>2</v>
      </c>
      <c r="J49" s="29"/>
      <c r="K49" s="29">
        <v>182526</v>
      </c>
      <c r="L49" s="29" t="s">
        <v>2228</v>
      </c>
      <c r="M49" s="29" t="s">
        <v>2230</v>
      </c>
      <c r="N49" s="29"/>
      <c r="O49" s="29" t="s">
        <v>856</v>
      </c>
      <c r="P49" s="2349">
        <v>2683502</v>
      </c>
      <c r="Q49" s="789">
        <v>5</v>
      </c>
      <c r="R49" s="1830">
        <f>P49/Q49</f>
        <v>536700.4</v>
      </c>
      <c r="S49" s="691"/>
      <c r="T49" s="691"/>
      <c r="U49" s="691"/>
      <c r="V49" s="691"/>
      <c r="W49" s="691"/>
    </row>
    <row r="50" spans="1:23" ht="13.8" thickBot="1">
      <c r="A50" s="252"/>
      <c r="B50" s="252"/>
      <c r="C50" s="252"/>
      <c r="D50" s="252"/>
      <c r="E50" s="252"/>
      <c r="F50" s="252"/>
      <c r="G50" s="252"/>
      <c r="H50" s="252"/>
      <c r="I50" s="255">
        <v>3</v>
      </c>
      <c r="J50" s="252"/>
      <c r="K50" s="252"/>
      <c r="L50" s="252"/>
      <c r="M50" s="220" t="s">
        <v>2231</v>
      </c>
      <c r="N50" s="252"/>
      <c r="O50" s="220"/>
      <c r="P50" s="2350">
        <f>SUM(P48:P49)</f>
        <v>6408003</v>
      </c>
      <c r="Q50" s="256"/>
      <c r="R50" s="1700">
        <f>SUM(R48:R49)</f>
        <v>1281600.6000000001</v>
      </c>
      <c r="S50" s="691"/>
      <c r="T50" s="691"/>
      <c r="U50" s="691"/>
      <c r="V50" s="691"/>
      <c r="W50" s="691"/>
    </row>
    <row r="51" spans="1:23" ht="13.8" thickTop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20"/>
      <c r="N51" s="252"/>
      <c r="O51" s="220"/>
      <c r="P51" s="256"/>
      <c r="Q51" s="256"/>
      <c r="R51" s="252"/>
      <c r="S51" s="691"/>
      <c r="T51" s="691"/>
      <c r="U51" s="691"/>
      <c r="V51" s="691"/>
      <c r="W51" s="691"/>
    </row>
    <row r="52" spans="1:23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20"/>
      <c r="N52" s="252"/>
      <c r="O52" s="220"/>
      <c r="P52" s="256"/>
      <c r="Q52" s="256"/>
      <c r="R52" s="252"/>
      <c r="S52" s="691"/>
      <c r="T52" s="691"/>
      <c r="U52" s="691"/>
      <c r="V52" s="691"/>
      <c r="W52" s="691"/>
    </row>
    <row r="53" spans="1:23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20" t="s">
        <v>2232</v>
      </c>
      <c r="L53" s="220"/>
      <c r="M53" s="220"/>
      <c r="N53" s="252"/>
      <c r="O53" s="220"/>
      <c r="P53" s="252"/>
      <c r="Q53" s="252"/>
      <c r="R53" s="252"/>
      <c r="S53" s="691"/>
      <c r="T53" s="691"/>
      <c r="U53" s="691"/>
      <c r="V53" s="691"/>
      <c r="W53" s="691"/>
    </row>
    <row r="54" spans="1:23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 t="s">
        <v>2233</v>
      </c>
      <c r="L54" s="252"/>
      <c r="M54" s="220"/>
      <c r="N54" s="252"/>
      <c r="O54" s="220"/>
      <c r="P54" s="256"/>
      <c r="Q54" s="256"/>
      <c r="R54" s="252"/>
      <c r="S54" s="691"/>
      <c r="T54" s="691"/>
      <c r="U54" s="691"/>
      <c r="V54" s="691"/>
      <c r="W54" s="691"/>
    </row>
    <row r="55" spans="1:23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9" t="s">
        <v>2234</v>
      </c>
      <c r="L55" s="29"/>
      <c r="M55" s="29"/>
      <c r="N55" s="29"/>
      <c r="O55" s="29"/>
      <c r="P55" s="708"/>
      <c r="Q55" s="708"/>
      <c r="R55" s="252"/>
      <c r="S55" s="691"/>
      <c r="T55" s="691"/>
      <c r="U55" s="691"/>
      <c r="V55" s="691"/>
      <c r="W55" s="691"/>
    </row>
    <row r="56" spans="1:23">
      <c r="A56" s="691"/>
      <c r="B56" s="691"/>
      <c r="C56" s="691"/>
      <c r="D56" s="691"/>
      <c r="E56" s="691"/>
      <c r="F56" s="691"/>
      <c r="G56" s="691"/>
      <c r="H56" s="691"/>
      <c r="I56" s="252"/>
      <c r="J56" s="252"/>
      <c r="K56" s="252"/>
      <c r="L56" s="252"/>
      <c r="M56" s="220"/>
      <c r="N56" s="252"/>
      <c r="O56" s="252"/>
      <c r="P56" s="252"/>
      <c r="Q56" s="252"/>
      <c r="R56" s="256"/>
      <c r="S56" s="691"/>
      <c r="T56" s="691"/>
      <c r="U56" s="691"/>
      <c r="V56" s="691"/>
      <c r="W56" s="691"/>
    </row>
    <row r="57" spans="1:23">
      <c r="A57" s="691"/>
      <c r="B57" s="691"/>
      <c r="C57" s="691"/>
      <c r="D57" s="691"/>
      <c r="E57" s="691"/>
      <c r="F57" s="691"/>
      <c r="G57" s="691"/>
      <c r="H57" s="691"/>
      <c r="I57" s="220"/>
      <c r="J57" s="252"/>
      <c r="K57" s="252"/>
      <c r="L57" s="252"/>
      <c r="M57" s="220"/>
      <c r="N57" s="252"/>
      <c r="O57" s="252"/>
      <c r="P57" s="252"/>
      <c r="Q57" s="252"/>
      <c r="R57" s="252"/>
      <c r="S57" s="691"/>
      <c r="T57" s="691"/>
      <c r="U57" s="691"/>
      <c r="V57" s="691"/>
      <c r="W57" s="691"/>
    </row>
    <row r="58" spans="1:23">
      <c r="A58" s="691"/>
      <c r="B58" s="691"/>
      <c r="C58" s="691"/>
      <c r="D58" s="691"/>
      <c r="E58" s="691"/>
      <c r="F58" s="691"/>
      <c r="G58" s="691"/>
      <c r="H58" s="691"/>
      <c r="I58" s="691"/>
      <c r="J58" s="691"/>
      <c r="K58" s="691"/>
      <c r="L58" s="691"/>
      <c r="N58" s="691"/>
      <c r="O58" s="691"/>
      <c r="P58" s="691"/>
      <c r="Q58" s="691"/>
      <c r="R58" s="691"/>
      <c r="S58" s="691"/>
      <c r="T58" s="691"/>
      <c r="U58" s="691"/>
      <c r="V58" s="691"/>
      <c r="W58" s="691"/>
    </row>
    <row r="59" spans="1:23">
      <c r="A59" s="691"/>
      <c r="B59" s="691"/>
      <c r="C59" s="691"/>
      <c r="D59" s="691"/>
      <c r="E59" s="691"/>
      <c r="F59" s="691"/>
      <c r="G59" s="691"/>
      <c r="H59" s="691"/>
      <c r="I59" s="691"/>
      <c r="J59" s="691"/>
      <c r="K59" s="252"/>
      <c r="L59" s="691"/>
      <c r="M59" s="1425"/>
      <c r="N59" s="691"/>
      <c r="O59" s="691"/>
      <c r="P59" s="691"/>
      <c r="Q59" s="691"/>
      <c r="R59" s="691"/>
      <c r="S59" s="691"/>
      <c r="T59" s="691"/>
      <c r="U59" s="691"/>
      <c r="V59" s="691"/>
      <c r="W59" s="691"/>
    </row>
  </sheetData>
  <phoneticPr fontId="39" type="noConversion"/>
  <pageMargins left="1" right="0.75" top="1" bottom="1" header="0.5" footer="0.5"/>
  <pageSetup scale="9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41">
    <tabColor theme="7" tint="-0.249977111117893"/>
    <pageSetUpPr fitToPage="1"/>
  </sheetPr>
  <dimension ref="A1:BQ215"/>
  <sheetViews>
    <sheetView zoomScale="94" zoomScaleNormal="94" workbookViewId="0"/>
  </sheetViews>
  <sheetFormatPr defaultColWidth="8.5546875" defaultRowHeight="13.2"/>
  <cols>
    <col min="1" max="1" width="15.44140625" style="967" customWidth="1"/>
    <col min="2" max="6" width="13.5546875" style="967" customWidth="1"/>
    <col min="7" max="7" width="8.5546875" style="967"/>
    <col min="8" max="8" width="16.5546875" style="967" customWidth="1"/>
    <col min="9" max="9" width="12.44140625" style="967" bestFit="1" customWidth="1"/>
    <col min="10" max="10" width="6.44140625" style="967" customWidth="1"/>
    <col min="11" max="11" width="1.44140625" style="967" customWidth="1"/>
    <col min="12" max="12" width="32.5546875" style="967" customWidth="1"/>
    <col min="13" max="13" width="1.44140625" style="967" customWidth="1"/>
    <col min="14" max="14" width="11.44140625" style="967" bestFit="1" customWidth="1"/>
    <col min="15" max="15" width="1.44140625" style="967" customWidth="1"/>
    <col min="16" max="16" width="13.44140625" style="967" customWidth="1"/>
    <col min="17" max="17" width="14.5546875" style="967" bestFit="1" customWidth="1"/>
    <col min="18" max="18" width="13.5546875" style="967" customWidth="1"/>
    <col min="19" max="21" width="12.5546875" style="967" customWidth="1"/>
    <col min="22" max="23" width="12.44140625" style="967" customWidth="1"/>
    <col min="24" max="24" width="1.5546875" style="967" customWidth="1"/>
    <col min="25" max="25" width="14.44140625" style="967" bestFit="1" customWidth="1"/>
    <col min="26" max="26" width="8.5546875" style="967"/>
    <col min="27" max="27" width="6.44140625" style="967" customWidth="1"/>
    <col min="28" max="28" width="1.44140625" style="967" customWidth="1"/>
    <col min="29" max="29" width="34.5546875" style="967" customWidth="1"/>
    <col min="30" max="30" width="1.44140625" style="967" customWidth="1"/>
    <col min="31" max="31" width="8.5546875" style="967"/>
    <col min="32" max="32" width="1.5546875" style="967" customWidth="1"/>
    <col min="33" max="33" width="13" style="967" customWidth="1"/>
    <col min="34" max="34" width="12.5546875" style="967" customWidth="1"/>
    <col min="35" max="35" width="13.44140625" style="967" customWidth="1"/>
    <col min="36" max="36" width="14.44140625" style="967" bestFit="1" customWidth="1"/>
    <col min="37" max="37" width="14.44140625" style="967" customWidth="1"/>
    <col min="38" max="38" width="2.5546875" style="967" customWidth="1"/>
    <col min="39" max="39" width="14.44140625" style="967" bestFit="1" customWidth="1"/>
    <col min="40" max="40" width="8.5546875" style="967"/>
    <col min="41" max="41" width="7.5546875" style="967" customWidth="1"/>
    <col min="42" max="42" width="6.5546875" style="967" customWidth="1"/>
    <col min="43" max="43" width="2.44140625" style="967" customWidth="1"/>
    <col min="44" max="44" width="29.5546875" style="967" customWidth="1"/>
    <col min="45" max="45" width="4.5546875" style="967" customWidth="1"/>
    <col min="46" max="46" width="8.5546875" style="967"/>
    <col min="47" max="47" width="1" style="967" customWidth="1"/>
    <col min="48" max="48" width="14.44140625" style="967" bestFit="1" customWidth="1"/>
    <col min="49" max="49" width="13.44140625" style="967" customWidth="1"/>
    <col min="50" max="50" width="12.44140625" style="967" customWidth="1"/>
    <col min="51" max="51" width="14.44140625" style="967" bestFit="1" customWidth="1"/>
    <col min="52" max="52" width="13.44140625" style="967" customWidth="1"/>
    <col min="53" max="53" width="2" style="967" customWidth="1"/>
    <col min="54" max="54" width="16.44140625" style="967" customWidth="1"/>
    <col min="55" max="56" width="8.5546875" style="967"/>
    <col min="57" max="57" width="6.5546875" style="967" customWidth="1"/>
    <col min="58" max="58" width="3.109375" style="967" customWidth="1"/>
    <col min="59" max="59" width="49" style="967" bestFit="1" customWidth="1"/>
    <col min="60" max="60" width="3.109375" style="967" customWidth="1"/>
    <col min="61" max="61" width="12" style="967" bestFit="1" customWidth="1"/>
    <col min="62" max="62" width="3.109375" style="967" customWidth="1"/>
    <col min="63" max="63" width="14.33203125" style="967" customWidth="1"/>
    <col min="64" max="16384" width="8.5546875" style="967"/>
  </cols>
  <sheetData>
    <row r="1" spans="1:57">
      <c r="A1" s="1213" t="str">
        <f>COMPANY</f>
        <v>DUKE ENERGY KENTUCKY, INC.</v>
      </c>
      <c r="B1" s="1213"/>
      <c r="C1" s="1213"/>
      <c r="D1" s="1213"/>
      <c r="E1" s="1213"/>
      <c r="F1" s="1213"/>
      <c r="G1" s="1213"/>
      <c r="H1" s="1213"/>
      <c r="I1" s="1214"/>
      <c r="J1" s="1215"/>
      <c r="K1" s="1215"/>
      <c r="L1" s="1215"/>
      <c r="M1" s="1215"/>
      <c r="N1" s="1215"/>
      <c r="O1" s="1215"/>
      <c r="P1" s="1215"/>
      <c r="Q1" s="1215"/>
      <c r="R1" s="1215"/>
      <c r="S1" s="1215"/>
      <c r="T1" s="1215"/>
      <c r="U1" s="1215"/>
      <c r="V1" s="1215"/>
      <c r="W1" s="1215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BE1" s="1639"/>
    </row>
    <row r="2" spans="1:57">
      <c r="A2" s="1213" t="str">
        <f>CASE</f>
        <v>CASE NO. 2024-00354</v>
      </c>
      <c r="B2" s="1213"/>
      <c r="C2" s="1213"/>
      <c r="D2" s="1213"/>
      <c r="E2" s="1213"/>
      <c r="F2" s="1213"/>
      <c r="G2" s="1213"/>
      <c r="H2" s="1213"/>
      <c r="I2" s="1214"/>
      <c r="J2" s="1215"/>
      <c r="K2" s="1215"/>
      <c r="L2" s="1215"/>
      <c r="M2" s="1215"/>
      <c r="N2" s="1215"/>
      <c r="O2" s="1215"/>
      <c r="P2" s="1215"/>
      <c r="Q2" s="1215"/>
      <c r="R2" s="1215"/>
      <c r="S2" s="1215"/>
      <c r="T2" s="1215"/>
      <c r="U2" s="1215"/>
      <c r="V2" s="1215"/>
      <c r="W2" s="1215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BE2" s="1639"/>
    </row>
    <row r="3" spans="1:57">
      <c r="A3" s="1007" t="s">
        <v>2235</v>
      </c>
      <c r="B3" s="1213"/>
      <c r="C3" s="1213"/>
      <c r="D3" s="1213"/>
      <c r="E3" s="1213"/>
      <c r="F3" s="1213"/>
      <c r="G3" s="1213"/>
      <c r="H3" s="1213"/>
      <c r="I3" s="1214"/>
      <c r="J3" s="1215"/>
      <c r="K3" s="1215"/>
      <c r="L3" s="1215"/>
      <c r="M3" s="1215"/>
      <c r="N3" s="1215"/>
      <c r="O3" s="1215"/>
      <c r="P3" s="1215"/>
      <c r="Q3" s="1215"/>
      <c r="R3" s="1215"/>
      <c r="S3" s="1215"/>
      <c r="T3" s="1215"/>
      <c r="U3" s="1215"/>
      <c r="V3" s="1215"/>
      <c r="W3" s="1215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BE3" s="1639"/>
    </row>
    <row r="4" spans="1:57">
      <c r="A4" s="968" t="str">
        <f>PeriodF</f>
        <v>FOR THE TWELVE MONTHS ENDED JUNE 30, 2026</v>
      </c>
      <c r="B4" s="1213"/>
      <c r="C4" s="1213"/>
      <c r="D4" s="1213"/>
      <c r="E4" s="1213"/>
      <c r="F4" s="1213"/>
      <c r="G4" s="1213"/>
      <c r="H4" s="1213"/>
      <c r="I4" s="1214"/>
      <c r="J4" s="1215"/>
      <c r="K4" s="1215"/>
      <c r="L4" s="1215"/>
      <c r="M4" s="1215"/>
      <c r="N4" s="1215"/>
      <c r="O4" s="1215"/>
      <c r="P4" s="1215"/>
      <c r="Q4" s="1215"/>
      <c r="R4" s="1215"/>
      <c r="S4" s="1215"/>
      <c r="T4" s="1215"/>
      <c r="U4" s="1215"/>
      <c r="V4" s="1215"/>
      <c r="W4" s="1215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BE4" s="1639"/>
    </row>
    <row r="5" spans="1:57">
      <c r="A5" s="1214"/>
      <c r="B5" s="1214"/>
      <c r="C5" s="1214"/>
      <c r="D5" s="1214"/>
      <c r="E5" s="1214"/>
      <c r="F5" s="1214"/>
      <c r="G5" s="1214"/>
      <c r="H5" s="1214"/>
      <c r="I5" s="1214"/>
      <c r="J5" s="1215"/>
      <c r="K5" s="1215"/>
      <c r="L5" s="1215"/>
      <c r="M5" s="1215"/>
      <c r="N5" s="1215"/>
      <c r="O5" s="1215"/>
      <c r="P5" s="1215"/>
      <c r="Q5" s="1215"/>
      <c r="R5" s="1215"/>
      <c r="S5" s="1215"/>
      <c r="T5" s="1215"/>
      <c r="U5" s="1215"/>
      <c r="V5" s="1215"/>
      <c r="W5" s="1215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BE5" s="1639"/>
    </row>
    <row r="6" spans="1:57">
      <c r="A6" s="1214" t="str">
        <f>DataF</f>
        <v>DATA:  BASE PERIOD  "X" FORECASTED PERIOD</v>
      </c>
      <c r="B6" s="1214"/>
      <c r="C6" s="1214"/>
      <c r="D6" s="1214"/>
      <c r="E6" s="1214"/>
      <c r="F6" s="1214"/>
      <c r="G6" s="1214" t="s">
        <v>2236</v>
      </c>
      <c r="H6" s="1215"/>
      <c r="I6" s="1214"/>
      <c r="J6" s="1215"/>
      <c r="K6" s="1215"/>
      <c r="L6" s="1215"/>
      <c r="M6" s="1215"/>
      <c r="N6" s="1215"/>
      <c r="O6" s="1215"/>
      <c r="P6" s="1215"/>
      <c r="Q6" s="1215"/>
      <c r="R6" s="1215"/>
      <c r="S6" s="1215"/>
      <c r="T6" s="1215"/>
      <c r="U6" s="1215"/>
      <c r="V6" s="1215"/>
      <c r="W6" s="1215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BE6" s="1639"/>
    </row>
    <row r="7" spans="1:57">
      <c r="A7" s="1214" t="str">
        <f>Type</f>
        <v xml:space="preserve">TYPE OF FILING:  "X" ORIGINAL   UPDATED    REVISED  </v>
      </c>
      <c r="B7" s="1214"/>
      <c r="C7" s="1214"/>
      <c r="D7" s="1214"/>
      <c r="E7" s="1214"/>
      <c r="F7" s="1214"/>
      <c r="G7" s="1214" t="s">
        <v>466</v>
      </c>
      <c r="H7" s="1215"/>
      <c r="I7" s="1214"/>
      <c r="J7" s="1215"/>
      <c r="K7" s="1215"/>
      <c r="L7" s="1215"/>
      <c r="M7" s="1215"/>
      <c r="N7" s="1215"/>
      <c r="O7" s="1215"/>
      <c r="P7" s="1215"/>
      <c r="Q7" s="1215"/>
      <c r="R7" s="1215"/>
      <c r="S7" s="1215"/>
      <c r="T7" s="1215"/>
      <c r="U7" s="1215"/>
      <c r="V7" s="1215"/>
      <c r="W7" s="1215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BE7" s="1639"/>
    </row>
    <row r="8" spans="1:57">
      <c r="A8" s="1214" t="s">
        <v>2237</v>
      </c>
      <c r="B8" s="1214"/>
      <c r="C8" s="1214"/>
      <c r="D8" s="1214"/>
      <c r="E8" s="1214"/>
      <c r="F8" s="1214"/>
      <c r="G8" s="1214" t="s">
        <v>468</v>
      </c>
      <c r="H8" s="1215"/>
      <c r="I8" s="1214"/>
      <c r="J8" s="1215"/>
      <c r="K8" s="1215"/>
      <c r="L8" s="1215"/>
      <c r="M8" s="1215"/>
      <c r="N8" s="1215"/>
      <c r="O8" s="1215"/>
      <c r="P8" s="1215"/>
      <c r="Q8" s="1215"/>
      <c r="R8" s="1215"/>
      <c r="S8" s="1215"/>
      <c r="T8" s="1215"/>
      <c r="U8" s="1215"/>
      <c r="V8" s="1215"/>
      <c r="W8" s="1215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BE8" s="1639"/>
    </row>
    <row r="9" spans="1:57">
      <c r="A9" s="1214"/>
      <c r="B9" s="1214"/>
      <c r="C9" s="1214"/>
      <c r="D9" s="1214"/>
      <c r="E9" s="1214"/>
      <c r="F9" s="1214"/>
      <c r="G9" s="1214" t="str">
        <f>_WIT1</f>
        <v>L. D. STEINKUHL</v>
      </c>
      <c r="H9" s="1215"/>
      <c r="I9" s="1214"/>
      <c r="J9" s="1215"/>
      <c r="K9" s="1215"/>
      <c r="L9" s="1215"/>
      <c r="M9" s="1215"/>
      <c r="N9" s="1215"/>
      <c r="O9" s="1215"/>
      <c r="P9" s="1215"/>
      <c r="Q9" s="1215"/>
      <c r="R9" s="1215"/>
      <c r="S9" s="1215"/>
      <c r="T9" s="1215"/>
      <c r="U9" s="1215"/>
      <c r="V9" s="1215"/>
      <c r="W9" s="1215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BE9" s="1639"/>
    </row>
    <row r="10" spans="1:57">
      <c r="A10" s="1525"/>
      <c r="B10" s="1525"/>
      <c r="C10" s="1525"/>
      <c r="D10" s="1525"/>
      <c r="E10" s="1525"/>
      <c r="F10" s="1525"/>
      <c r="G10" s="1525"/>
      <c r="H10" s="1525"/>
      <c r="I10" s="1214"/>
      <c r="J10" s="1215"/>
      <c r="K10" s="1215"/>
      <c r="L10" s="1215"/>
      <c r="M10" s="1215"/>
      <c r="N10" s="1215"/>
      <c r="O10" s="1215"/>
      <c r="P10" s="1215"/>
      <c r="Q10" s="1215"/>
      <c r="R10" s="1215"/>
      <c r="S10" s="1215"/>
      <c r="T10" s="1215"/>
      <c r="U10" s="1215"/>
      <c r="V10" s="1215"/>
      <c r="W10" s="1215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BE10" s="1639"/>
    </row>
    <row r="11" spans="1:57">
      <c r="A11" s="1214"/>
      <c r="B11" s="1214"/>
      <c r="C11" s="1214"/>
      <c r="D11" s="1214"/>
      <c r="E11" s="1214"/>
      <c r="F11" s="1214"/>
      <c r="G11" s="1214"/>
      <c r="H11" s="1214"/>
      <c r="I11" s="1214"/>
      <c r="J11" s="1215"/>
      <c r="K11" s="1215"/>
      <c r="L11" s="1215"/>
      <c r="M11" s="1215"/>
      <c r="N11" s="1215"/>
      <c r="O11" s="1215"/>
      <c r="P11" s="1215"/>
      <c r="Q11" s="1215"/>
      <c r="R11" s="1215"/>
      <c r="S11" s="1215"/>
      <c r="T11" s="1215"/>
      <c r="U11" s="1215"/>
      <c r="V11" s="1215"/>
      <c r="W11" s="1215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BE11" s="1639"/>
    </row>
    <row r="12" spans="1:57">
      <c r="A12" s="1214"/>
      <c r="B12" s="1214"/>
      <c r="C12" s="1216" t="s">
        <v>1857</v>
      </c>
      <c r="D12" s="1214"/>
      <c r="E12" s="1214"/>
      <c r="F12" s="1214"/>
      <c r="G12" s="1214"/>
      <c r="H12" s="1216" t="s">
        <v>975</v>
      </c>
      <c r="I12" s="1214"/>
      <c r="J12" s="1215"/>
      <c r="K12" s="1215"/>
      <c r="L12" s="1215"/>
      <c r="M12" s="1215"/>
      <c r="N12" s="1215"/>
      <c r="O12" s="1215"/>
      <c r="P12" s="1215"/>
      <c r="Q12" s="1215"/>
      <c r="R12" s="1215"/>
      <c r="S12" s="1215"/>
      <c r="T12" s="1215"/>
      <c r="U12" s="1215"/>
      <c r="V12" s="1215"/>
      <c r="W12" s="1215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BE12" s="1639"/>
    </row>
    <row r="13" spans="1:57">
      <c r="A13" s="1525"/>
      <c r="B13" s="1525"/>
      <c r="C13" s="1525"/>
      <c r="D13" s="1525"/>
      <c r="E13" s="1525"/>
      <c r="F13" s="1525"/>
      <c r="G13" s="1525"/>
      <c r="H13" s="1525"/>
      <c r="I13" s="1214"/>
      <c r="J13" s="1215"/>
      <c r="K13" s="1215"/>
      <c r="L13" s="1215"/>
      <c r="M13" s="1215"/>
      <c r="N13" s="1215"/>
      <c r="O13" s="1215"/>
      <c r="P13" s="1215"/>
      <c r="Q13" s="1215"/>
      <c r="R13" s="1215"/>
      <c r="S13" s="1215"/>
      <c r="T13" s="1215"/>
      <c r="U13" s="1215"/>
      <c r="V13" s="1215"/>
      <c r="W13" s="1215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BE13" s="1639"/>
    </row>
    <row r="14" spans="1:57">
      <c r="A14" s="1214"/>
      <c r="B14" s="1214"/>
      <c r="C14" s="1214"/>
      <c r="D14" s="1214"/>
      <c r="E14" s="1214"/>
      <c r="F14" s="1214"/>
      <c r="G14" s="1214"/>
      <c r="H14" s="1216"/>
      <c r="I14" s="1214"/>
      <c r="J14" s="1215"/>
      <c r="K14" s="1215"/>
      <c r="L14" s="1215"/>
      <c r="M14" s="1215"/>
      <c r="N14" s="1215"/>
      <c r="O14" s="1215"/>
      <c r="P14" s="1215"/>
      <c r="Q14" s="1215"/>
      <c r="R14" s="1215"/>
      <c r="S14" s="1215"/>
      <c r="T14" s="1215"/>
      <c r="U14" s="1215"/>
      <c r="V14" s="1215"/>
      <c r="W14" s="1215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BE14" s="1639"/>
    </row>
    <row r="15" spans="1:57">
      <c r="A15" s="1008" t="s">
        <v>2238</v>
      </c>
      <c r="B15" s="1008"/>
      <c r="C15" s="1008"/>
      <c r="D15" s="1008"/>
      <c r="E15" s="1008"/>
      <c r="F15" s="1008"/>
      <c r="G15" s="1008"/>
      <c r="H15" s="1008"/>
      <c r="I15" s="1214"/>
      <c r="J15" s="1215"/>
      <c r="K15" s="1215"/>
      <c r="L15" s="1215"/>
      <c r="M15" s="1215"/>
      <c r="N15" s="1215"/>
      <c r="O15" s="1215"/>
      <c r="P15" s="1215"/>
      <c r="Q15" s="1215"/>
      <c r="R15" s="1215"/>
      <c r="S15" s="1215"/>
      <c r="T15" s="1215"/>
      <c r="U15" s="1215"/>
      <c r="V15" s="1215"/>
      <c r="W15" s="1215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BE15" s="1639"/>
    </row>
    <row r="16" spans="1:57">
      <c r="A16" s="1008" t="s">
        <v>2239</v>
      </c>
      <c r="B16" s="1008"/>
      <c r="C16" s="1008"/>
      <c r="D16" s="1008"/>
      <c r="E16" s="1008"/>
      <c r="F16" s="1008"/>
      <c r="G16" s="1008"/>
      <c r="H16" s="1008"/>
      <c r="I16" s="1214"/>
      <c r="J16" s="1215"/>
      <c r="K16" s="1215"/>
      <c r="L16" s="1215"/>
      <c r="M16" s="1215"/>
      <c r="N16" s="1215"/>
      <c r="O16" s="1215"/>
      <c r="P16" s="1215"/>
      <c r="Q16" s="1215"/>
      <c r="R16" s="1215"/>
      <c r="S16" s="1215"/>
      <c r="T16" s="1215"/>
      <c r="U16" s="1215"/>
      <c r="V16" s="1215"/>
      <c r="W16" s="1215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BE16" s="1639"/>
    </row>
    <row r="17" spans="1:57">
      <c r="A17" s="1008" t="s">
        <v>2240</v>
      </c>
      <c r="B17" s="1008"/>
      <c r="C17" s="1008"/>
      <c r="D17" s="1008"/>
      <c r="E17" s="1008"/>
      <c r="F17" s="1008"/>
      <c r="G17" s="1008"/>
      <c r="H17" s="1008"/>
      <c r="I17" s="1214"/>
      <c r="J17" s="1215"/>
      <c r="K17" s="1215"/>
      <c r="L17" s="1215"/>
      <c r="M17" s="1215"/>
      <c r="N17" s="1215"/>
      <c r="O17" s="1215"/>
      <c r="P17" s="1215"/>
      <c r="Q17" s="1215"/>
      <c r="R17" s="1215"/>
      <c r="S17" s="1215"/>
      <c r="T17" s="1215"/>
      <c r="U17" s="1215"/>
      <c r="V17" s="1215"/>
      <c r="W17" s="1215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BE17" s="1639"/>
    </row>
    <row r="18" spans="1:57">
      <c r="A18" s="29"/>
      <c r="B18" s="1008"/>
      <c r="C18" s="1008"/>
      <c r="D18" s="1008"/>
      <c r="E18" s="1008"/>
      <c r="F18" s="1008"/>
      <c r="G18" s="1008"/>
      <c r="H18" s="1008"/>
      <c r="I18" s="1214"/>
      <c r="J18" s="1215"/>
      <c r="K18" s="1215"/>
      <c r="L18" s="1215"/>
      <c r="M18" s="1215"/>
      <c r="N18" s="1215"/>
      <c r="O18" s="1215"/>
      <c r="P18" s="1215"/>
      <c r="Q18" s="1215"/>
      <c r="R18" s="1215"/>
      <c r="S18" s="1215"/>
      <c r="T18" s="1215"/>
      <c r="U18" s="1215"/>
      <c r="V18" s="1215"/>
      <c r="W18" s="1215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BE18" s="1639"/>
    </row>
    <row r="19" spans="1:57">
      <c r="A19" s="1008"/>
      <c r="B19" s="1008"/>
      <c r="C19" s="1008"/>
      <c r="D19" s="1008"/>
      <c r="E19" s="1008"/>
      <c r="F19" s="1008"/>
      <c r="G19" s="1008"/>
      <c r="H19" s="1008"/>
      <c r="I19" s="1214"/>
      <c r="J19" s="1215"/>
      <c r="K19" s="1215"/>
      <c r="L19" s="1215"/>
      <c r="M19" s="1215"/>
      <c r="N19" s="1215"/>
      <c r="O19" s="1215"/>
      <c r="P19" s="1215"/>
      <c r="Q19" s="1215"/>
      <c r="R19" s="1215"/>
      <c r="S19" s="1215"/>
      <c r="T19" s="1215"/>
      <c r="U19" s="1215"/>
      <c r="V19" s="1215"/>
      <c r="W19" s="1215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BE19" s="1639"/>
    </row>
    <row r="20" spans="1:57">
      <c r="A20" s="1008" t="s">
        <v>2241</v>
      </c>
      <c r="B20" s="1008"/>
      <c r="C20" s="1008"/>
      <c r="D20" s="1008"/>
      <c r="E20" s="1008"/>
      <c r="F20" s="1008"/>
      <c r="G20" s="1010"/>
      <c r="H20" s="254">
        <f>-Y77</f>
        <v>-1342965</v>
      </c>
      <c r="I20" s="1214"/>
      <c r="J20" s="1215"/>
      <c r="K20" s="1215"/>
      <c r="L20" s="1215"/>
      <c r="M20" s="1215"/>
      <c r="N20" s="1215"/>
      <c r="O20" s="1215"/>
      <c r="P20" s="1215"/>
      <c r="Q20" s="1215"/>
      <c r="R20" s="1215"/>
      <c r="S20" s="1215"/>
      <c r="T20" s="1215"/>
      <c r="U20" s="1215"/>
      <c r="V20" s="1215"/>
      <c r="W20" s="1215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BE20" s="1639"/>
    </row>
    <row r="21" spans="1:57">
      <c r="A21" s="1008"/>
      <c r="B21" s="1008"/>
      <c r="C21" s="1008"/>
      <c r="D21" s="1008"/>
      <c r="E21" s="1008"/>
      <c r="F21" s="1008"/>
      <c r="G21" s="1010"/>
      <c r="H21" s="254"/>
      <c r="I21" s="1214"/>
      <c r="J21" s="1215"/>
      <c r="K21" s="1215"/>
      <c r="L21" s="1215"/>
      <c r="M21" s="1215"/>
      <c r="N21" s="1215"/>
      <c r="O21" s="1215"/>
      <c r="P21" s="1215"/>
      <c r="Q21" s="1215"/>
      <c r="R21" s="1215"/>
      <c r="S21" s="1215"/>
      <c r="T21" s="1215"/>
      <c r="U21" s="1215"/>
      <c r="V21" s="1215"/>
      <c r="W21" s="1215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BE21" s="1639"/>
    </row>
    <row r="22" spans="1:57">
      <c r="A22" s="1008" t="s">
        <v>2242</v>
      </c>
      <c r="B22" s="1008"/>
      <c r="C22" s="1008"/>
      <c r="D22" s="1008"/>
      <c r="E22" s="1008"/>
      <c r="F22" s="1008"/>
      <c r="G22" s="1010"/>
      <c r="H22" s="735">
        <f>-AM109</f>
        <v>-371166</v>
      </c>
      <c r="I22" s="1214"/>
      <c r="J22" s="1215"/>
      <c r="K22" s="1215"/>
      <c r="L22" s="1215"/>
      <c r="M22" s="1215"/>
      <c r="N22" s="1215"/>
      <c r="O22" s="1215"/>
      <c r="P22" s="1215"/>
      <c r="Q22" s="1215"/>
      <c r="R22" s="1215"/>
      <c r="S22" s="1215"/>
      <c r="T22" s="1215"/>
      <c r="U22" s="1215"/>
      <c r="V22" s="1215"/>
      <c r="W22" s="1215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BE22" s="1639"/>
    </row>
    <row r="23" spans="1:57">
      <c r="A23" s="1008"/>
      <c r="B23" s="1008"/>
      <c r="C23" s="1008"/>
      <c r="D23" s="1008"/>
      <c r="E23" s="1008"/>
      <c r="F23" s="1008"/>
      <c r="G23" s="1010"/>
      <c r="H23" s="735"/>
      <c r="I23" s="1214"/>
      <c r="J23" s="1215"/>
      <c r="K23" s="1215"/>
      <c r="L23" s="1215"/>
      <c r="M23" s="1215"/>
      <c r="N23" s="1215"/>
      <c r="O23" s="1215"/>
      <c r="P23" s="1215"/>
      <c r="Q23" s="1215"/>
      <c r="R23" s="1215"/>
      <c r="S23" s="1215"/>
      <c r="T23" s="1215"/>
      <c r="U23" s="1215"/>
      <c r="V23" s="1215"/>
      <c r="W23" s="1215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BE23" s="1639"/>
    </row>
    <row r="24" spans="1:57">
      <c r="A24" s="1008" t="s">
        <v>2243</v>
      </c>
      <c r="B24" s="1008"/>
      <c r="C24" s="1008"/>
      <c r="D24" s="1008"/>
      <c r="E24" s="1008"/>
      <c r="F24" s="1008"/>
      <c r="G24" s="1008"/>
      <c r="H24" s="735">
        <f>-BB134</f>
        <v>-610700</v>
      </c>
      <c r="I24" s="1214"/>
      <c r="J24" s="1215"/>
      <c r="K24" s="1215"/>
      <c r="L24" s="1215"/>
      <c r="M24" s="1215"/>
      <c r="N24" s="1215"/>
      <c r="O24" s="1215"/>
      <c r="P24" s="1215"/>
      <c r="Q24" s="1215"/>
      <c r="R24" s="1215"/>
      <c r="S24" s="1215"/>
      <c r="T24" s="1215"/>
      <c r="U24" s="1215"/>
      <c r="V24" s="1215"/>
      <c r="W24" s="1215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BE24" s="1639"/>
    </row>
    <row r="25" spans="1:57" ht="15">
      <c r="A25" s="1008"/>
      <c r="B25" s="1008"/>
      <c r="C25" s="1008"/>
      <c r="D25" s="1008"/>
      <c r="E25" s="1008"/>
      <c r="F25" s="1008"/>
      <c r="G25" s="1008"/>
      <c r="H25" s="1710"/>
      <c r="I25" s="1214"/>
      <c r="J25" s="1215"/>
      <c r="K25" s="1215"/>
      <c r="L25" s="1215"/>
      <c r="M25" s="1215"/>
      <c r="N25" s="1215"/>
      <c r="O25" s="1215"/>
      <c r="P25" s="1215"/>
      <c r="Q25" s="1215"/>
      <c r="R25" s="1215"/>
      <c r="S25" s="1215"/>
      <c r="T25" s="1215"/>
      <c r="U25" s="1215"/>
      <c r="V25" s="1215"/>
      <c r="W25" s="1215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BE25" s="1639"/>
    </row>
    <row r="26" spans="1:57">
      <c r="A26" s="1008" t="s">
        <v>2244</v>
      </c>
      <c r="B26" s="1008"/>
      <c r="C26" s="1008"/>
      <c r="D26" s="1008"/>
      <c r="E26" s="1008"/>
      <c r="F26" s="1008"/>
      <c r="G26" s="1008"/>
      <c r="H26" s="735">
        <f>SUM(H20:H25)</f>
        <v>-2324831</v>
      </c>
      <c r="I26" s="1214"/>
      <c r="J26" s="1215"/>
      <c r="K26" s="1215"/>
      <c r="L26" s="1215"/>
      <c r="M26" s="1215"/>
      <c r="N26" s="1215"/>
      <c r="O26" s="1215"/>
      <c r="P26" s="1215"/>
      <c r="Q26" s="1215"/>
      <c r="R26" s="1215"/>
      <c r="S26" s="1215"/>
      <c r="T26" s="1215"/>
      <c r="U26" s="1215"/>
      <c r="V26" s="1215"/>
      <c r="W26" s="1215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BE26" s="1639"/>
    </row>
    <row r="27" spans="1:57" ht="15">
      <c r="A27" s="1008"/>
      <c r="B27" s="1008"/>
      <c r="C27" s="1008"/>
      <c r="D27" s="1008"/>
      <c r="E27" s="1008"/>
      <c r="F27" s="1008"/>
      <c r="G27" s="1008"/>
      <c r="H27" s="736"/>
      <c r="I27" s="1214"/>
      <c r="J27" s="1215"/>
      <c r="K27" s="1215"/>
      <c r="L27" s="1215"/>
      <c r="M27" s="1215"/>
      <c r="N27" s="1215"/>
      <c r="O27" s="1215"/>
      <c r="P27" s="1215"/>
      <c r="Q27" s="1215"/>
      <c r="R27" s="1215"/>
      <c r="S27" s="1215"/>
      <c r="T27" s="1215"/>
      <c r="U27" s="1215"/>
      <c r="V27" s="1215"/>
      <c r="W27" s="1215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BE27" s="1639"/>
    </row>
    <row r="28" spans="1:57">
      <c r="A28" s="1008" t="s">
        <v>1862</v>
      </c>
      <c r="B28" s="1008"/>
      <c r="C28" s="1008"/>
      <c r="D28" s="1008"/>
      <c r="E28" s="1008"/>
      <c r="F28" s="1008"/>
      <c r="G28" s="1008"/>
      <c r="H28" s="703">
        <f>VLOOKUP(D41,ALLOCTABLE,2)/100</f>
        <v>1</v>
      </c>
      <c r="I28" s="1214"/>
      <c r="J28" s="1215"/>
      <c r="K28" s="1215"/>
      <c r="L28" s="1215"/>
      <c r="M28" s="1215"/>
      <c r="N28" s="1215"/>
      <c r="O28" s="1215"/>
      <c r="P28" s="1215"/>
      <c r="Q28" s="1215"/>
      <c r="R28" s="1215"/>
      <c r="S28" s="1215"/>
      <c r="T28" s="1215"/>
      <c r="U28" s="1215"/>
      <c r="V28" s="1215"/>
      <c r="W28" s="1215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BE28" s="1639"/>
    </row>
    <row r="29" spans="1:57">
      <c r="A29" s="1008"/>
      <c r="B29" s="1008"/>
      <c r="C29" s="1008"/>
      <c r="D29" s="1008"/>
      <c r="E29" s="1008"/>
      <c r="F29" s="1008"/>
      <c r="G29" s="1008"/>
      <c r="H29" s="1217"/>
      <c r="I29" s="1214"/>
      <c r="J29" s="1215"/>
      <c r="K29" s="1215"/>
      <c r="L29" s="1215"/>
      <c r="M29" s="1215"/>
      <c r="N29" s="1215"/>
      <c r="O29" s="1215"/>
      <c r="P29" s="1215"/>
      <c r="Q29" s="1215"/>
      <c r="R29" s="1215"/>
      <c r="S29" s="1215"/>
      <c r="T29" s="1215"/>
      <c r="U29" s="1215"/>
      <c r="V29" s="1215"/>
      <c r="W29" s="1215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BE29" s="1639"/>
    </row>
    <row r="30" spans="1:57" ht="15">
      <c r="A30" s="1008" t="s">
        <v>1863</v>
      </c>
      <c r="B30" s="1008"/>
      <c r="C30" s="1008"/>
      <c r="D30" s="1008"/>
      <c r="E30" s="980"/>
      <c r="F30" s="980" t="s">
        <v>2177</v>
      </c>
      <c r="G30" s="1012"/>
      <c r="H30" s="705">
        <f>ROUND((H26)*H28,0)</f>
        <v>-2324831</v>
      </c>
      <c r="I30" s="1214"/>
      <c r="J30" s="1215"/>
      <c r="K30" s="1215"/>
      <c r="L30" s="1215"/>
      <c r="M30" s="1215"/>
      <c r="N30" s="1215"/>
      <c r="O30" s="1215"/>
      <c r="P30" s="1215"/>
      <c r="Q30" s="1215"/>
      <c r="R30" s="1215"/>
      <c r="S30" s="1215"/>
      <c r="T30" s="1215"/>
      <c r="U30" s="1215"/>
      <c r="V30" s="1215"/>
      <c r="W30" s="1215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BE30" s="1639"/>
    </row>
    <row r="31" spans="1:57" ht="15">
      <c r="A31" s="1008"/>
      <c r="B31" s="1008"/>
      <c r="C31" s="1008"/>
      <c r="D31" s="1008"/>
      <c r="E31" s="972"/>
      <c r="F31" s="1013"/>
      <c r="G31" s="1012"/>
      <c r="H31" s="705"/>
      <c r="I31" s="1214"/>
      <c r="J31" s="1215"/>
      <c r="K31" s="1215"/>
      <c r="L31" s="1215"/>
      <c r="M31" s="1215"/>
      <c r="N31" s="1215"/>
      <c r="O31" s="1215"/>
      <c r="P31" s="1215"/>
      <c r="Q31" s="1215"/>
      <c r="R31" s="1215"/>
      <c r="S31" s="1215"/>
      <c r="T31" s="1215"/>
      <c r="U31" s="1215"/>
      <c r="V31" s="1215"/>
      <c r="W31" s="1215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BE31" s="1639"/>
    </row>
    <row r="32" spans="1:57">
      <c r="A32" s="1008" t="s">
        <v>2245</v>
      </c>
      <c r="B32" s="1008"/>
      <c r="C32" s="1008"/>
      <c r="D32" s="1008"/>
      <c r="E32" s="1008"/>
      <c r="F32" s="1008"/>
      <c r="G32" s="1008"/>
      <c r="H32" s="735">
        <f>-BI151</f>
        <v>-100722.375</v>
      </c>
      <c r="I32" s="1214"/>
      <c r="J32" s="1215"/>
      <c r="K32" s="1215"/>
      <c r="L32" s="1215"/>
      <c r="M32" s="1215"/>
      <c r="N32" s="1215"/>
      <c r="O32" s="1215"/>
      <c r="P32" s="1215"/>
      <c r="Q32" s="1215"/>
      <c r="R32" s="1215"/>
      <c r="S32" s="1215"/>
      <c r="T32" s="1215"/>
      <c r="U32" s="1215"/>
      <c r="V32" s="1215"/>
      <c r="W32" s="1215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BE32" s="1639"/>
    </row>
    <row r="33" spans="1:57" ht="15">
      <c r="A33" s="1008"/>
      <c r="B33" s="1008"/>
      <c r="C33" s="1008"/>
      <c r="D33" s="1008"/>
      <c r="E33" s="1008"/>
      <c r="F33" s="1008"/>
      <c r="G33" s="1008"/>
      <c r="H33" s="736"/>
      <c r="I33" s="1214"/>
      <c r="J33" s="1215"/>
      <c r="K33" s="1215"/>
      <c r="L33" s="1215"/>
      <c r="M33" s="1215"/>
      <c r="N33" s="1215"/>
      <c r="O33" s="1215"/>
      <c r="P33" s="1215"/>
      <c r="Q33" s="1215"/>
      <c r="R33" s="1215"/>
      <c r="S33" s="1215"/>
      <c r="T33" s="1215"/>
      <c r="U33" s="1215"/>
      <c r="V33" s="1215"/>
      <c r="W33" s="1215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BE33" s="1639"/>
    </row>
    <row r="34" spans="1:57">
      <c r="A34" s="1008" t="s">
        <v>1862</v>
      </c>
      <c r="B34" s="1008"/>
      <c r="C34" s="1008"/>
      <c r="D34" s="1008"/>
      <c r="E34" s="1008"/>
      <c r="F34" s="1008"/>
      <c r="G34" s="1008"/>
      <c r="H34" s="703">
        <f>VLOOKUP(D41,ALLOCTABLE,2)/100</f>
        <v>1</v>
      </c>
      <c r="I34" s="1214"/>
      <c r="J34" s="1215"/>
      <c r="K34" s="1215"/>
      <c r="L34" s="1215"/>
      <c r="M34" s="1215"/>
      <c r="N34" s="1215"/>
      <c r="O34" s="1215"/>
      <c r="P34" s="1215"/>
      <c r="Q34" s="1215"/>
      <c r="R34" s="1215"/>
      <c r="S34" s="1215"/>
      <c r="T34" s="1215"/>
      <c r="U34" s="1215"/>
      <c r="V34" s="1215"/>
      <c r="W34" s="1215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BE34" s="1639"/>
    </row>
    <row r="35" spans="1:57">
      <c r="A35" s="1008"/>
      <c r="B35" s="1008"/>
      <c r="C35" s="1008"/>
      <c r="D35" s="1008"/>
      <c r="E35" s="1008"/>
      <c r="F35" s="1008"/>
      <c r="G35" s="1008"/>
      <c r="H35" s="1217"/>
      <c r="I35" s="1214"/>
      <c r="J35" s="1215"/>
      <c r="K35" s="1215"/>
      <c r="L35" s="1215"/>
      <c r="M35" s="1215"/>
      <c r="N35" s="1215"/>
      <c r="O35" s="1215"/>
      <c r="P35" s="1215"/>
      <c r="Q35" s="1215"/>
      <c r="R35" s="1215"/>
      <c r="S35" s="1215"/>
      <c r="T35" s="1215"/>
      <c r="U35" s="1215"/>
      <c r="V35" s="1215"/>
      <c r="W35" s="1215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BE35" s="1639"/>
    </row>
    <row r="36" spans="1:57" ht="15">
      <c r="A36" s="1008" t="s">
        <v>1863</v>
      </c>
      <c r="B36" s="1008"/>
      <c r="C36" s="1008"/>
      <c r="D36" s="1008"/>
      <c r="E36" s="972"/>
      <c r="F36" s="980" t="s">
        <v>2177</v>
      </c>
      <c r="G36" s="1012"/>
      <c r="H36" s="705">
        <f>ROUND(H32*H34,0)</f>
        <v>-100722</v>
      </c>
      <c r="I36" s="1214"/>
      <c r="J36" s="1215"/>
      <c r="K36" s="1215"/>
      <c r="L36" s="1215"/>
      <c r="M36" s="1215"/>
      <c r="N36" s="1215"/>
      <c r="O36" s="1215"/>
      <c r="P36" s="1215"/>
      <c r="Q36" s="1215"/>
      <c r="R36" s="1215"/>
      <c r="S36" s="1215"/>
      <c r="T36" s="1215"/>
      <c r="U36" s="1215"/>
      <c r="V36" s="1215"/>
      <c r="W36" s="1215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BE36" s="1639"/>
    </row>
    <row r="37" spans="1:57">
      <c r="A37" s="1008"/>
      <c r="B37" s="1008"/>
      <c r="C37" s="1008"/>
      <c r="D37" s="1008"/>
      <c r="E37" s="972"/>
      <c r="F37" s="1013"/>
      <c r="G37" s="1013"/>
      <c r="H37" s="1014"/>
      <c r="I37" s="1214"/>
      <c r="J37" s="1215"/>
      <c r="K37" s="1215"/>
      <c r="L37" s="1215"/>
      <c r="M37" s="1215"/>
      <c r="N37" s="1215"/>
      <c r="O37" s="1215"/>
      <c r="P37" s="1215"/>
      <c r="Q37" s="1215"/>
      <c r="R37" s="1215"/>
      <c r="S37" s="1215"/>
      <c r="T37" s="1215"/>
      <c r="U37" s="1215"/>
      <c r="V37" s="1215"/>
      <c r="W37" s="1215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BE37" s="1639"/>
    </row>
    <row r="38" spans="1:57">
      <c r="A38" s="1008"/>
      <c r="B38" s="1008"/>
      <c r="C38" s="1008"/>
      <c r="D38" s="1008"/>
      <c r="E38" s="1008"/>
      <c r="F38" s="1008"/>
      <c r="G38" s="1008"/>
      <c r="H38" s="1008"/>
      <c r="I38" s="1214"/>
      <c r="J38" s="1215"/>
      <c r="K38" s="1215"/>
      <c r="L38" s="1215"/>
      <c r="M38" s="1215"/>
      <c r="N38" s="1215"/>
      <c r="O38" s="1215"/>
      <c r="P38" s="1215"/>
      <c r="Q38" s="1215"/>
      <c r="R38" s="1215"/>
      <c r="S38" s="1215"/>
      <c r="T38" s="1215"/>
      <c r="U38" s="1215"/>
      <c r="V38" s="1215"/>
      <c r="W38" s="1215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BE38" s="1639"/>
    </row>
    <row r="39" spans="1:57">
      <c r="A39" s="1008"/>
      <c r="B39" s="1008"/>
      <c r="C39" s="1008"/>
      <c r="D39" s="1008"/>
      <c r="E39" s="1008"/>
      <c r="F39" s="1008"/>
      <c r="G39" s="1008"/>
      <c r="H39" s="1008"/>
      <c r="I39" s="1214"/>
      <c r="J39" s="1215"/>
      <c r="K39" s="1215"/>
      <c r="L39" s="1215"/>
      <c r="M39" s="1215"/>
      <c r="N39" s="1215"/>
      <c r="O39" s="1215"/>
      <c r="P39" s="1215"/>
      <c r="Q39" s="1215"/>
      <c r="R39" s="1215"/>
      <c r="S39" s="1215"/>
      <c r="T39" s="1215"/>
      <c r="U39" s="1215"/>
      <c r="V39" s="1215"/>
      <c r="W39" s="1215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BE39" s="1639"/>
    </row>
    <row r="40" spans="1:57">
      <c r="A40" s="1008"/>
      <c r="B40" s="1008"/>
      <c r="C40" s="1008"/>
      <c r="D40" s="1008"/>
      <c r="E40" s="1008"/>
      <c r="F40" s="1008"/>
      <c r="G40" s="1008"/>
      <c r="H40" s="1008"/>
      <c r="I40" s="1214"/>
      <c r="J40" s="1215"/>
      <c r="K40" s="1215"/>
      <c r="L40" s="1215"/>
      <c r="M40" s="1215"/>
      <c r="N40" s="1215"/>
      <c r="O40" s="1215"/>
      <c r="P40" s="1215"/>
      <c r="Q40" s="1215"/>
      <c r="R40" s="1215"/>
      <c r="S40" s="1215"/>
      <c r="T40" s="1215"/>
      <c r="U40" s="1215"/>
      <c r="V40" s="1215"/>
      <c r="W40" s="1215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BE40" s="1639"/>
    </row>
    <row r="41" spans="1:57">
      <c r="A41" s="1008" t="s">
        <v>1864</v>
      </c>
      <c r="B41" s="1008"/>
      <c r="C41" s="1008"/>
      <c r="D41" s="975" t="s">
        <v>428</v>
      </c>
      <c r="E41" s="1008"/>
      <c r="F41" s="1008"/>
      <c r="G41" s="1008"/>
      <c r="H41" s="1008"/>
      <c r="I41" s="1214"/>
      <c r="J41" s="1215"/>
      <c r="K41" s="1215"/>
      <c r="L41" s="1215"/>
      <c r="M41" s="1215"/>
      <c r="N41" s="1215"/>
      <c r="O41" s="1215"/>
      <c r="P41" s="1215"/>
      <c r="Q41" s="1215"/>
      <c r="R41" s="1215"/>
      <c r="S41" s="1215"/>
      <c r="T41" s="1215"/>
      <c r="U41" s="1215"/>
      <c r="V41" s="1215"/>
      <c r="W41" s="1215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BE41" s="1639"/>
    </row>
    <row r="42" spans="1:57">
      <c r="A42" s="1214"/>
      <c r="B42" s="1214"/>
      <c r="C42" s="1214"/>
      <c r="D42" s="1214"/>
      <c r="E42" s="1214"/>
      <c r="F42" s="1214"/>
      <c r="G42" s="1214"/>
      <c r="H42" s="1214"/>
      <c r="I42" s="1214"/>
      <c r="J42" s="1215"/>
      <c r="K42" s="1215"/>
      <c r="L42" s="1215"/>
      <c r="M42" s="1215"/>
      <c r="N42" s="1215"/>
      <c r="O42" s="1215"/>
      <c r="P42" s="1215"/>
      <c r="Q42" s="1215"/>
      <c r="R42" s="1215"/>
      <c r="S42" s="1215"/>
      <c r="T42" s="1215"/>
      <c r="U42" s="1215"/>
      <c r="V42" s="1215"/>
      <c r="W42" s="1215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BE42" s="1639"/>
    </row>
    <row r="43" spans="1:57">
      <c r="A43" s="1214"/>
      <c r="B43" s="1214"/>
      <c r="C43" s="1214"/>
      <c r="D43" s="1214"/>
      <c r="E43" s="1214"/>
      <c r="F43" s="1214"/>
      <c r="G43" s="1214"/>
      <c r="H43" s="1214"/>
      <c r="I43" s="1214"/>
      <c r="J43" s="1215"/>
      <c r="K43" s="1215"/>
      <c r="L43" s="1215"/>
      <c r="M43" s="1215"/>
      <c r="N43" s="1215"/>
      <c r="O43" s="1215"/>
      <c r="P43" s="1215"/>
      <c r="Q43" s="1215"/>
      <c r="R43" s="1215"/>
      <c r="S43" s="1215"/>
      <c r="T43" s="1215"/>
      <c r="U43" s="1215"/>
      <c r="V43" s="1215"/>
      <c r="W43" s="1215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BE43" s="1639"/>
    </row>
    <row r="44" spans="1:57">
      <c r="A44" s="1214"/>
      <c r="B44" s="1214"/>
      <c r="C44" s="1214"/>
      <c r="D44" s="1214"/>
      <c r="E44" s="1214"/>
      <c r="F44" s="1214"/>
      <c r="G44" s="1214"/>
      <c r="H44" s="1214"/>
      <c r="I44" s="1214"/>
      <c r="J44" s="1215"/>
      <c r="K44" s="1215"/>
      <c r="L44" s="1215"/>
      <c r="M44" s="1215"/>
      <c r="N44" s="1215"/>
      <c r="O44" s="1215"/>
      <c r="P44" s="1215"/>
      <c r="Q44" s="1215"/>
      <c r="R44" s="1215"/>
      <c r="S44" s="1215"/>
      <c r="T44" s="1215"/>
      <c r="U44" s="1215"/>
      <c r="V44" s="1215"/>
      <c r="W44" s="1215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BE44" s="1639"/>
    </row>
    <row r="45" spans="1:57">
      <c r="A45" s="1214"/>
      <c r="B45" s="1214"/>
      <c r="C45" s="1214"/>
      <c r="D45" s="1218"/>
      <c r="E45" s="1214"/>
      <c r="F45" s="1214"/>
      <c r="G45" s="1214"/>
      <c r="H45" s="1214"/>
      <c r="I45" s="1214"/>
      <c r="J45" s="1215"/>
      <c r="K45" s="1215"/>
      <c r="L45" s="1215"/>
      <c r="M45" s="1215"/>
      <c r="N45" s="1215"/>
      <c r="O45" s="1215"/>
      <c r="P45" s="1215"/>
      <c r="Q45" s="1215"/>
      <c r="R45" s="1215"/>
      <c r="S45" s="1215"/>
      <c r="T45" s="1215"/>
      <c r="U45" s="1215"/>
      <c r="V45" s="1215"/>
      <c r="W45" s="1215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BE45" s="1639"/>
    </row>
    <row r="46" spans="1:57">
      <c r="A46" s="1215"/>
      <c r="B46" s="1215"/>
      <c r="C46" s="1215"/>
      <c r="D46" s="1215"/>
      <c r="E46" s="1215"/>
      <c r="F46" s="1215"/>
      <c r="G46" s="1215"/>
      <c r="H46" s="1215"/>
      <c r="I46" s="1215"/>
      <c r="J46" s="972" t="str">
        <f>COMPANY</f>
        <v>DUKE ENERGY KENTUCKY, INC.</v>
      </c>
      <c r="K46" s="972"/>
      <c r="L46" s="972"/>
      <c r="M46" s="972"/>
      <c r="N46" s="972"/>
      <c r="O46" s="972"/>
      <c r="P46" s="1215"/>
      <c r="Q46" s="599"/>
      <c r="R46" s="1215"/>
      <c r="S46" s="1215"/>
      <c r="T46" s="1215"/>
      <c r="U46" s="29"/>
      <c r="V46" s="29"/>
      <c r="W46" s="778" t="s">
        <v>2246</v>
      </c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BE46" s="1639"/>
    </row>
    <row r="47" spans="1:57">
      <c r="A47" s="1215"/>
      <c r="B47" s="1215"/>
      <c r="C47" s="1215"/>
      <c r="D47" s="1215"/>
      <c r="E47" s="1215"/>
      <c r="F47" s="1215"/>
      <c r="G47" s="1215"/>
      <c r="H47" s="1215"/>
      <c r="I47" s="1215"/>
      <c r="J47" s="972" t="str">
        <f>DEPT</f>
        <v>ELECTRIC DEPARTMENT</v>
      </c>
      <c r="K47" s="972"/>
      <c r="L47" s="972"/>
      <c r="M47" s="972"/>
      <c r="N47" s="972"/>
      <c r="O47" s="972"/>
      <c r="P47" s="1215"/>
      <c r="Q47" s="599"/>
      <c r="R47" s="1215"/>
      <c r="S47" s="1215"/>
      <c r="T47" s="1215"/>
      <c r="U47" s="29"/>
      <c r="V47" s="29"/>
      <c r="W47" s="778" t="s">
        <v>468</v>
      </c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BE47" s="1639"/>
    </row>
    <row r="48" spans="1:57">
      <c r="A48" s="1215"/>
      <c r="B48" s="1215"/>
      <c r="C48" s="1215"/>
      <c r="D48" s="1215"/>
      <c r="E48" s="1215"/>
      <c r="F48" s="1215"/>
      <c r="G48" s="1215"/>
      <c r="H48" s="1215"/>
      <c r="I48" s="1215"/>
      <c r="J48" s="972" t="str">
        <f>CASE</f>
        <v>CASE NO. 2024-00354</v>
      </c>
      <c r="K48" s="972"/>
      <c r="L48" s="972"/>
      <c r="M48" s="972"/>
      <c r="N48" s="972"/>
      <c r="O48" s="972"/>
      <c r="P48" s="1215"/>
      <c r="Q48" s="599"/>
      <c r="R48" s="1215"/>
      <c r="S48" s="1215"/>
      <c r="T48" s="1215"/>
      <c r="U48" s="29"/>
      <c r="V48" s="29"/>
      <c r="W48" s="778" t="str">
        <f>_WIT1</f>
        <v>L. D. STEINKUHL</v>
      </c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BE48" s="1639"/>
    </row>
    <row r="49" spans="1:57">
      <c r="A49" s="1215"/>
      <c r="B49" s="1215"/>
      <c r="C49" s="1215"/>
      <c r="D49" s="1215"/>
      <c r="E49" s="1215"/>
      <c r="F49" s="1215"/>
      <c r="G49" s="1215"/>
      <c r="H49" s="1215"/>
      <c r="I49" s="1215"/>
      <c r="J49" s="778" t="str">
        <f>A3</f>
        <v>INCENTIVE COMPENSATION</v>
      </c>
      <c r="K49" s="972"/>
      <c r="L49" s="972"/>
      <c r="M49" s="972"/>
      <c r="N49" s="972"/>
      <c r="O49" s="972"/>
      <c r="P49" s="1215"/>
      <c r="Q49" s="599"/>
      <c r="R49" s="1215"/>
      <c r="S49" s="1215"/>
      <c r="T49" s="1215"/>
      <c r="U49" s="1215"/>
      <c r="V49" s="1215"/>
      <c r="W49" s="1215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BE49" s="1639"/>
    </row>
    <row r="50" spans="1:57">
      <c r="A50" s="1215"/>
      <c r="B50" s="1215"/>
      <c r="C50" s="1215"/>
      <c r="D50" s="1215"/>
      <c r="E50" s="1215"/>
      <c r="F50" s="1215"/>
      <c r="G50" s="1215"/>
      <c r="H50" s="1215"/>
      <c r="I50" s="1215"/>
      <c r="J50" s="972" t="s">
        <v>2247</v>
      </c>
      <c r="K50" s="972"/>
      <c r="L50" s="972"/>
      <c r="M50" s="972"/>
      <c r="N50" s="972"/>
      <c r="O50" s="972"/>
      <c r="P50" s="984"/>
      <c r="Q50" s="599"/>
      <c r="R50" s="1215"/>
      <c r="S50" s="1215"/>
      <c r="T50" s="1215"/>
      <c r="U50" s="1215"/>
      <c r="V50" s="1215"/>
      <c r="W50" s="1215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BE50" s="1639"/>
    </row>
    <row r="51" spans="1:57">
      <c r="A51" s="1215"/>
      <c r="B51" s="1215"/>
      <c r="C51" s="1215"/>
      <c r="D51" s="1215"/>
      <c r="E51" s="1215"/>
      <c r="F51" s="1215"/>
      <c r="G51" s="1215"/>
      <c r="H51" s="1215"/>
      <c r="I51" s="1215"/>
      <c r="J51" s="972"/>
      <c r="K51" s="972"/>
      <c r="L51" s="972"/>
      <c r="M51" s="972"/>
      <c r="N51" s="972"/>
      <c r="O51" s="972"/>
      <c r="P51" s="972"/>
      <c r="Q51" s="599"/>
      <c r="R51" s="1215"/>
      <c r="S51" s="1215"/>
      <c r="T51" s="1215"/>
      <c r="U51" s="1215"/>
      <c r="V51" s="1215"/>
      <c r="W51" s="1215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BE51" s="1639"/>
    </row>
    <row r="52" spans="1:57">
      <c r="A52" s="1215"/>
      <c r="B52" s="1215"/>
      <c r="C52" s="1215"/>
      <c r="D52" s="1215"/>
      <c r="E52" s="1215"/>
      <c r="F52" s="1215"/>
      <c r="G52" s="1215"/>
      <c r="H52" s="1215"/>
      <c r="I52" s="1215"/>
      <c r="J52" s="972"/>
      <c r="K52" s="972"/>
      <c r="L52" s="972"/>
      <c r="M52" s="972"/>
      <c r="N52" s="978"/>
      <c r="O52" s="972"/>
      <c r="P52" s="972"/>
      <c r="Q52" s="599"/>
      <c r="R52" s="1215"/>
      <c r="S52" s="1215"/>
      <c r="T52" s="1215"/>
      <c r="U52" s="1215"/>
      <c r="V52" s="1215"/>
      <c r="W52" s="1215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BE52" s="1639"/>
    </row>
    <row r="53" spans="1:57">
      <c r="A53" s="1215"/>
      <c r="B53" s="1215"/>
      <c r="C53" s="1215"/>
      <c r="D53" s="1215"/>
      <c r="E53" s="1215"/>
      <c r="F53" s="1215"/>
      <c r="G53" s="1215"/>
      <c r="H53" s="1215"/>
      <c r="I53" s="1215"/>
      <c r="J53" s="587"/>
      <c r="K53" s="587"/>
      <c r="L53" s="587"/>
      <c r="M53" s="587"/>
      <c r="N53" s="1219"/>
      <c r="O53" s="1219"/>
      <c r="P53" s="1219"/>
      <c r="Q53" s="1219"/>
      <c r="R53" s="601"/>
      <c r="S53" s="601"/>
      <c r="T53" s="601"/>
      <c r="U53" s="601"/>
      <c r="V53" s="601"/>
      <c r="W53" s="587"/>
      <c r="X53" s="29"/>
      <c r="Y53" s="669"/>
      <c r="Z53" s="66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BE53" s="1639"/>
    </row>
    <row r="54" spans="1:57">
      <c r="A54" s="1215"/>
      <c r="B54" s="1215"/>
      <c r="C54" s="1215"/>
      <c r="D54" s="1215"/>
      <c r="E54" s="1215"/>
      <c r="F54" s="1215"/>
      <c r="G54" s="1215"/>
      <c r="H54" s="1215"/>
      <c r="I54" s="1215"/>
      <c r="J54" s="601" t="s">
        <v>573</v>
      </c>
      <c r="K54" s="587"/>
      <c r="L54" s="601" t="s">
        <v>2248</v>
      </c>
      <c r="M54" s="587"/>
      <c r="N54" s="1219"/>
      <c r="O54" s="1219"/>
      <c r="P54" s="1220"/>
      <c r="Q54" s="1220"/>
      <c r="R54" s="1318" t="s">
        <v>844</v>
      </c>
      <c r="S54" s="601"/>
      <c r="T54" s="1220"/>
      <c r="U54" s="1220"/>
      <c r="V54" s="1220"/>
      <c r="W54" s="601"/>
      <c r="X54" s="29"/>
      <c r="Y54" s="601" t="s">
        <v>2249</v>
      </c>
      <c r="Z54" s="201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BE54" s="1639"/>
    </row>
    <row r="55" spans="1:57">
      <c r="A55" s="1215"/>
      <c r="B55" s="1215"/>
      <c r="C55" s="1215"/>
      <c r="D55" s="1215"/>
      <c r="E55" s="1215"/>
      <c r="F55" s="1215"/>
      <c r="G55" s="1215"/>
      <c r="H55" s="1215"/>
      <c r="I55" s="1215"/>
      <c r="J55" s="1221" t="s">
        <v>576</v>
      </c>
      <c r="K55" s="1222"/>
      <c r="L55" s="1221" t="s">
        <v>2250</v>
      </c>
      <c r="M55" s="1008"/>
      <c r="N55" s="1221" t="s">
        <v>2251</v>
      </c>
      <c r="O55" s="1221"/>
      <c r="P55" s="1223" t="s">
        <v>2252</v>
      </c>
      <c r="Q55" s="1221" t="s">
        <v>2253</v>
      </c>
      <c r="R55" s="1223" t="s">
        <v>605</v>
      </c>
      <c r="S55" s="1223" t="s">
        <v>2254</v>
      </c>
      <c r="T55" s="1223" t="s">
        <v>2255</v>
      </c>
      <c r="U55" s="1221" t="s">
        <v>2256</v>
      </c>
      <c r="V55" s="1221" t="s">
        <v>2257</v>
      </c>
      <c r="W55" s="1221" t="s">
        <v>2258</v>
      </c>
      <c r="X55" s="29"/>
      <c r="Y55" s="1221" t="s">
        <v>2252</v>
      </c>
      <c r="Z55" s="1221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BE55" s="1639"/>
    </row>
    <row r="56" spans="1:57">
      <c r="A56" s="1215"/>
      <c r="B56" s="1215"/>
      <c r="C56" s="1215"/>
      <c r="D56" s="1215"/>
      <c r="E56" s="1215"/>
      <c r="F56" s="1215"/>
      <c r="G56" s="1215"/>
      <c r="H56" s="1215"/>
      <c r="I56" s="1215"/>
      <c r="J56" s="587"/>
      <c r="K56" s="587"/>
      <c r="L56" s="587"/>
      <c r="M56" s="587"/>
      <c r="N56" s="1224"/>
      <c r="O56" s="587"/>
      <c r="P56" s="587"/>
      <c r="Q56" s="587"/>
      <c r="R56" s="587"/>
      <c r="S56" s="587"/>
      <c r="T56" s="587"/>
      <c r="U56" s="587"/>
      <c r="V56" s="587"/>
      <c r="W56" s="587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BE56" s="1639"/>
    </row>
    <row r="57" spans="1:57">
      <c r="A57" s="1215"/>
      <c r="B57" s="1215"/>
      <c r="C57" s="1215"/>
      <c r="D57" s="1215"/>
      <c r="E57" s="1215"/>
      <c r="F57" s="1215"/>
      <c r="G57" s="1215"/>
      <c r="H57" s="1215"/>
      <c r="I57" s="1215"/>
      <c r="J57" s="601">
        <v>1</v>
      </c>
      <c r="K57" s="587"/>
      <c r="L57" s="587" t="s">
        <v>2259</v>
      </c>
      <c r="M57" s="587"/>
      <c r="N57" s="1225">
        <v>0.5</v>
      </c>
      <c r="O57" s="1226"/>
      <c r="P57" s="1632">
        <v>212173</v>
      </c>
      <c r="Q57" s="1632">
        <v>198715</v>
      </c>
      <c r="R57" s="1632">
        <v>1734601</v>
      </c>
      <c r="S57" s="1632">
        <v>43010</v>
      </c>
      <c r="T57" s="1632">
        <v>69134</v>
      </c>
      <c r="U57" s="1632">
        <v>25471</v>
      </c>
      <c r="V57" s="1632">
        <v>7794</v>
      </c>
      <c r="W57" s="1632">
        <v>349</v>
      </c>
      <c r="X57" s="1205"/>
      <c r="Y57" s="1322">
        <f>SUM(P57:X57)</f>
        <v>2291247</v>
      </c>
      <c r="Z57" s="1228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BE57" s="1639"/>
    </row>
    <row r="58" spans="1:57">
      <c r="A58" s="1215"/>
      <c r="B58" s="1215"/>
      <c r="C58" s="1215"/>
      <c r="D58" s="1215"/>
      <c r="E58" s="1215"/>
      <c r="F58" s="1215"/>
      <c r="G58" s="1215"/>
      <c r="H58" s="1215"/>
      <c r="I58" s="1215"/>
      <c r="J58" s="601"/>
      <c r="K58" s="587"/>
      <c r="L58" s="587"/>
      <c r="M58" s="587"/>
      <c r="N58" s="1229"/>
      <c r="O58" s="1226"/>
      <c r="P58" s="1227"/>
      <c r="Q58" s="1230"/>
      <c r="R58" s="1231"/>
      <c r="S58" s="1231"/>
      <c r="T58" s="1231"/>
      <c r="U58" s="1231"/>
      <c r="V58" s="1231"/>
      <c r="W58" s="1231"/>
      <c r="X58" s="1205"/>
      <c r="Y58" s="1232"/>
      <c r="Z58" s="1232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BE58" s="1639"/>
    </row>
    <row r="59" spans="1:57" ht="14.4">
      <c r="A59" s="1215"/>
      <c r="B59" s="1215"/>
      <c r="C59" s="1215"/>
      <c r="D59" s="1215"/>
      <c r="E59" s="1215"/>
      <c r="F59" s="1215"/>
      <c r="G59" s="1215"/>
      <c r="H59" s="1215"/>
      <c r="I59" s="1215"/>
      <c r="J59" s="601">
        <v>2</v>
      </c>
      <c r="K59" s="587"/>
      <c r="L59" s="1633" t="s">
        <v>1822</v>
      </c>
      <c r="M59" s="587"/>
      <c r="N59" s="1634">
        <v>0.05</v>
      </c>
      <c r="O59" s="1226"/>
      <c r="P59" s="1227">
        <v>21217</v>
      </c>
      <c r="Q59" s="1230">
        <v>19871</v>
      </c>
      <c r="R59" s="1231">
        <v>173460</v>
      </c>
      <c r="S59" s="1231">
        <v>4301</v>
      </c>
      <c r="T59" s="1231">
        <v>6913</v>
      </c>
      <c r="U59" s="1231">
        <v>2547</v>
      </c>
      <c r="V59" s="1231">
        <v>779</v>
      </c>
      <c r="W59" s="1231">
        <v>35</v>
      </c>
      <c r="X59" s="1205"/>
      <c r="Y59" s="1635">
        <f>SUM(P59:X59)</f>
        <v>229123</v>
      </c>
      <c r="Z59" s="1232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BE59" s="1639"/>
    </row>
    <row r="60" spans="1:57">
      <c r="A60" s="1215"/>
      <c r="B60" s="1215"/>
      <c r="C60" s="1215"/>
      <c r="D60" s="1215"/>
      <c r="E60" s="1215"/>
      <c r="F60" s="1215"/>
      <c r="G60" s="1215"/>
      <c r="H60" s="1215"/>
      <c r="I60" s="1215"/>
      <c r="J60" s="601"/>
      <c r="K60" s="587"/>
      <c r="L60" s="587"/>
      <c r="M60" s="587"/>
      <c r="N60" s="1229"/>
      <c r="O60" s="1226"/>
      <c r="P60" s="1227"/>
      <c r="Q60" s="1230"/>
      <c r="R60" s="1231"/>
      <c r="S60" s="1231"/>
      <c r="T60" s="1231"/>
      <c r="U60" s="1231"/>
      <c r="V60" s="1231"/>
      <c r="W60" s="1231"/>
      <c r="X60" s="1205"/>
      <c r="Y60" s="1232"/>
      <c r="Z60" s="1232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BE60" s="1639"/>
    </row>
    <row r="61" spans="1:57">
      <c r="A61" s="1215"/>
      <c r="B61" s="1215"/>
      <c r="C61" s="1215"/>
      <c r="D61" s="1215"/>
      <c r="E61" s="1215"/>
      <c r="F61" s="1215"/>
      <c r="G61" s="1215"/>
      <c r="H61" s="1215"/>
      <c r="I61" s="1215"/>
      <c r="J61" s="601">
        <v>3</v>
      </c>
      <c r="K61" s="587"/>
      <c r="L61" s="587" t="s">
        <v>2260</v>
      </c>
      <c r="M61" s="587"/>
      <c r="N61" s="1225">
        <v>0.1</v>
      </c>
      <c r="O61" s="1226"/>
      <c r="P61" s="1227">
        <v>42435</v>
      </c>
      <c r="Q61" s="1227">
        <v>39743</v>
      </c>
      <c r="R61" s="1227">
        <v>346920</v>
      </c>
      <c r="S61" s="1227">
        <v>8602</v>
      </c>
      <c r="T61" s="1227">
        <v>13827</v>
      </c>
      <c r="U61" s="1227">
        <v>5094</v>
      </c>
      <c r="V61" s="1227">
        <v>1559</v>
      </c>
      <c r="W61" s="1227">
        <v>70</v>
      </c>
      <c r="X61" s="1205"/>
      <c r="Y61" s="1228">
        <f>SUM(P61:X61)</f>
        <v>458250</v>
      </c>
      <c r="Z61" s="1228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BE61" s="1639"/>
    </row>
    <row r="62" spans="1:57">
      <c r="A62" s="1215"/>
      <c r="B62" s="1215"/>
      <c r="C62" s="1215"/>
      <c r="D62" s="1215"/>
      <c r="E62" s="1215"/>
      <c r="F62" s="1215"/>
      <c r="G62" s="1215"/>
      <c r="H62" s="1215"/>
      <c r="I62" s="1215"/>
      <c r="J62" s="601"/>
      <c r="K62" s="587"/>
      <c r="L62" s="587"/>
      <c r="M62" s="587"/>
      <c r="N62" s="1229"/>
      <c r="O62" s="1226"/>
      <c r="P62" s="1227"/>
      <c r="Q62" s="1230"/>
      <c r="R62" s="1231"/>
      <c r="S62" s="1231"/>
      <c r="T62" s="1231"/>
      <c r="U62" s="1231"/>
      <c r="V62" s="1231"/>
      <c r="W62" s="1231"/>
      <c r="X62" s="1205"/>
      <c r="Y62" s="1232"/>
      <c r="Z62" s="1232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BE62" s="1639"/>
    </row>
    <row r="63" spans="1:57">
      <c r="A63" s="1215"/>
      <c r="B63" s="1215"/>
      <c r="C63" s="1215"/>
      <c r="D63" s="1215"/>
      <c r="E63" s="1215"/>
      <c r="F63" s="1215"/>
      <c r="G63" s="1215"/>
      <c r="H63" s="1215"/>
      <c r="I63" s="1215"/>
      <c r="J63" s="601">
        <v>4</v>
      </c>
      <c r="K63" s="587"/>
      <c r="L63" s="587" t="s">
        <v>2261</v>
      </c>
      <c r="M63" s="587"/>
      <c r="N63" s="1225">
        <v>0.1</v>
      </c>
      <c r="O63" s="1226"/>
      <c r="P63" s="1227">
        <v>42435</v>
      </c>
      <c r="Q63" s="1227">
        <v>39743</v>
      </c>
      <c r="R63" s="1227">
        <v>346920</v>
      </c>
      <c r="S63" s="1227">
        <v>8602</v>
      </c>
      <c r="T63" s="1227">
        <v>13827</v>
      </c>
      <c r="U63" s="1227">
        <v>5094</v>
      </c>
      <c r="V63" s="1227">
        <v>1559</v>
      </c>
      <c r="W63" s="1227">
        <v>70</v>
      </c>
      <c r="X63" s="1205"/>
      <c r="Y63" s="1228">
        <f>SUM(P63:X63)</f>
        <v>458250</v>
      </c>
      <c r="Z63" s="1228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BE63" s="1639"/>
    </row>
    <row r="64" spans="1:57">
      <c r="A64" s="1215"/>
      <c r="B64" s="1215"/>
      <c r="C64" s="1215"/>
      <c r="D64" s="1215"/>
      <c r="E64" s="1215"/>
      <c r="F64" s="1215"/>
      <c r="G64" s="1215"/>
      <c r="H64" s="1215"/>
      <c r="I64" s="1215"/>
      <c r="J64" s="601"/>
      <c r="K64" s="587"/>
      <c r="L64" s="587"/>
      <c r="M64" s="587"/>
      <c r="N64" s="1229"/>
      <c r="O64" s="1226"/>
      <c r="P64" s="1227"/>
      <c r="Q64" s="1227"/>
      <c r="R64" s="1231"/>
      <c r="S64" s="1231"/>
      <c r="T64" s="1231"/>
      <c r="U64" s="1231"/>
      <c r="V64" s="1231"/>
      <c r="W64" s="1231"/>
      <c r="X64" s="1205"/>
      <c r="Y64" s="1232"/>
      <c r="Z64" s="1232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BE64" s="1639"/>
    </row>
    <row r="65" spans="1:57">
      <c r="A65" s="1215"/>
      <c r="B65" s="1215"/>
      <c r="C65" s="1215"/>
      <c r="D65" s="1215"/>
      <c r="E65" s="1215"/>
      <c r="F65" s="1215"/>
      <c r="G65" s="1215"/>
      <c r="H65" s="1215"/>
      <c r="I65" s="1215"/>
      <c r="J65" s="601">
        <v>5</v>
      </c>
      <c r="K65" s="587"/>
      <c r="L65" s="587" t="s">
        <v>2262</v>
      </c>
      <c r="M65" s="587"/>
      <c r="N65" s="1526">
        <v>0.25</v>
      </c>
      <c r="O65" s="1527"/>
      <c r="P65" s="1528">
        <v>106086</v>
      </c>
      <c r="Q65" s="1528">
        <v>99357</v>
      </c>
      <c r="R65" s="1528">
        <v>867300</v>
      </c>
      <c r="S65" s="1528">
        <v>21505</v>
      </c>
      <c r="T65" s="1528">
        <v>34567</v>
      </c>
      <c r="U65" s="1528">
        <v>12735</v>
      </c>
      <c r="V65" s="1528">
        <v>3897</v>
      </c>
      <c r="W65" s="1528">
        <v>174</v>
      </c>
      <c r="X65" s="1529"/>
      <c r="Y65" s="1530">
        <f>SUM(P65:X65)</f>
        <v>1145621</v>
      </c>
      <c r="Z65" s="1228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BE65" s="1639"/>
    </row>
    <row r="66" spans="1:57">
      <c r="A66" s="1215"/>
      <c r="B66" s="1215"/>
      <c r="C66" s="1215"/>
      <c r="D66" s="1215"/>
      <c r="E66" s="1215"/>
      <c r="F66" s="1215"/>
      <c r="G66" s="1215"/>
      <c r="H66" s="1215"/>
      <c r="I66" s="1215"/>
      <c r="J66" s="601"/>
      <c r="K66" s="587"/>
      <c r="L66" s="587"/>
      <c r="M66" s="587"/>
      <c r="N66" s="1233"/>
      <c r="O66" s="587"/>
      <c r="P66" s="587"/>
      <c r="Q66" s="587"/>
      <c r="R66" s="1010"/>
      <c r="S66" s="1010"/>
      <c r="T66" s="1010"/>
      <c r="U66" s="1010"/>
      <c r="V66" s="1010"/>
      <c r="W66" s="1010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BE66" s="1639"/>
    </row>
    <row r="67" spans="1:57" ht="13.8" thickBot="1">
      <c r="A67" s="1215"/>
      <c r="B67" s="1215"/>
      <c r="C67" s="1215"/>
      <c r="D67" s="1215"/>
      <c r="E67" s="1215"/>
      <c r="F67" s="1215"/>
      <c r="G67" s="1215"/>
      <c r="H67" s="1215"/>
      <c r="I67" s="1215"/>
      <c r="J67" s="601">
        <v>6</v>
      </c>
      <c r="K67" s="587"/>
      <c r="L67" s="587" t="s">
        <v>258</v>
      </c>
      <c r="M67" s="587"/>
      <c r="N67" s="1957">
        <f>SUM(N57:N65)</f>
        <v>1</v>
      </c>
      <c r="O67" s="1958"/>
      <c r="P67" s="1959">
        <f t="shared" ref="P67:V67" si="0">SUM(P57:P65)</f>
        <v>424346</v>
      </c>
      <c r="Q67" s="1959">
        <f t="shared" si="0"/>
        <v>397429</v>
      </c>
      <c r="R67" s="1959">
        <f t="shared" si="0"/>
        <v>3469201</v>
      </c>
      <c r="S67" s="1959">
        <f t="shared" si="0"/>
        <v>86020</v>
      </c>
      <c r="T67" s="1959">
        <f t="shared" si="0"/>
        <v>138268</v>
      </c>
      <c r="U67" s="1959">
        <f t="shared" si="0"/>
        <v>50941</v>
      </c>
      <c r="V67" s="1959">
        <f t="shared" si="0"/>
        <v>15588</v>
      </c>
      <c r="W67" s="1960">
        <f t="shared" ref="W67" si="1">SUM(W57:W65)</f>
        <v>698</v>
      </c>
      <c r="X67" s="1961"/>
      <c r="Y67" s="1960">
        <f>SUM(Y57:Y65)</f>
        <v>4582491</v>
      </c>
      <c r="Z67" s="1234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BE67" s="1639"/>
    </row>
    <row r="68" spans="1:57" ht="13.8" thickTop="1">
      <c r="A68" s="1215"/>
      <c r="B68" s="1215"/>
      <c r="C68" s="1215"/>
      <c r="D68" s="1215"/>
      <c r="E68" s="1215"/>
      <c r="F68" s="1215"/>
      <c r="G68" s="1215"/>
      <c r="H68" s="1215"/>
      <c r="I68" s="1215"/>
      <c r="J68" s="599"/>
      <c r="K68" s="599"/>
      <c r="L68" s="599"/>
      <c r="M68" s="599"/>
      <c r="N68" s="599"/>
      <c r="O68" s="599"/>
      <c r="P68" s="1235"/>
      <c r="Q68" s="1205"/>
      <c r="R68" s="1205"/>
      <c r="S68" s="1205"/>
      <c r="T68" s="1205"/>
      <c r="U68" s="1205"/>
      <c r="V68" s="1205"/>
      <c r="W68" s="1205"/>
      <c r="X68" s="1205"/>
      <c r="Y68" s="1205"/>
      <c r="Z68" s="1205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BE68" s="1639"/>
    </row>
    <row r="69" spans="1:57">
      <c r="A69" s="1215"/>
      <c r="B69" s="1215"/>
      <c r="C69" s="1215"/>
      <c r="D69" s="1215"/>
      <c r="E69" s="1215"/>
      <c r="F69" s="1215"/>
      <c r="G69" s="1215"/>
      <c r="H69" s="1215"/>
      <c r="I69" s="1215"/>
      <c r="J69" s="974">
        <v>7</v>
      </c>
      <c r="K69" s="599"/>
      <c r="L69" s="599" t="s">
        <v>2263</v>
      </c>
      <c r="M69" s="599"/>
      <c r="N69" s="599"/>
      <c r="O69" s="599"/>
      <c r="P69" s="599"/>
      <c r="Q69" s="599"/>
      <c r="R69" s="1215"/>
      <c r="S69" s="1215"/>
      <c r="T69" s="1215"/>
      <c r="U69" s="1215"/>
      <c r="V69" s="1215"/>
      <c r="W69" s="1215"/>
      <c r="X69" s="29"/>
      <c r="Y69" s="1320">
        <v>1896562</v>
      </c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BE69" s="1639"/>
    </row>
    <row r="70" spans="1:57">
      <c r="A70" s="1215"/>
      <c r="B70" s="1215"/>
      <c r="C70" s="1215"/>
      <c r="D70" s="1215"/>
      <c r="E70" s="1215"/>
      <c r="F70" s="1215"/>
      <c r="G70" s="1215"/>
      <c r="H70" s="1215"/>
      <c r="I70" s="1215"/>
      <c r="J70" s="974"/>
      <c r="K70" s="599"/>
      <c r="L70" s="599"/>
      <c r="M70" s="599"/>
      <c r="N70" s="599"/>
      <c r="O70" s="599"/>
      <c r="P70" s="1872"/>
      <c r="Q70" s="599"/>
      <c r="R70" s="1215"/>
      <c r="S70" s="1215"/>
      <c r="T70" s="1215"/>
      <c r="U70" s="1215"/>
      <c r="V70" s="1215"/>
      <c r="W70" s="1215"/>
      <c r="X70" s="29"/>
      <c r="Y70" s="1637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BE70" s="1639"/>
    </row>
    <row r="71" spans="1:57">
      <c r="A71" s="1215"/>
      <c r="B71" s="1215"/>
      <c r="C71" s="1215"/>
      <c r="D71" s="1215"/>
      <c r="E71" s="1215"/>
      <c r="F71" s="1215"/>
      <c r="G71" s="1215"/>
      <c r="H71" s="1215"/>
      <c r="I71" s="1215"/>
      <c r="J71" s="974">
        <v>8</v>
      </c>
      <c r="K71" s="599"/>
      <c r="L71" s="599" t="s">
        <v>2264</v>
      </c>
      <c r="M71" s="599"/>
      <c r="N71" s="599"/>
      <c r="O71" s="599"/>
      <c r="P71" s="599"/>
      <c r="Q71" s="599"/>
      <c r="R71" s="1215"/>
      <c r="S71" s="1215"/>
      <c r="T71" s="1215"/>
      <c r="U71" s="1215"/>
      <c r="V71" s="1215"/>
      <c r="W71" s="1215"/>
      <c r="X71" s="29"/>
      <c r="Y71" s="1638">
        <v>2685929</v>
      </c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BE71" s="1639"/>
    </row>
    <row r="72" spans="1:57">
      <c r="A72" s="1215"/>
      <c r="B72" s="1215"/>
      <c r="C72" s="1215"/>
      <c r="D72" s="1215"/>
      <c r="E72" s="1215"/>
      <c r="F72" s="1215"/>
      <c r="G72" s="1215"/>
      <c r="H72" s="1215"/>
      <c r="I72" s="1215"/>
      <c r="J72" s="974"/>
      <c r="K72" s="599"/>
      <c r="L72" s="599"/>
      <c r="M72" s="599"/>
      <c r="N72" s="599"/>
      <c r="O72" s="599"/>
      <c r="P72" s="599"/>
      <c r="Q72" s="599"/>
      <c r="R72" s="1215"/>
      <c r="S72" s="1215"/>
      <c r="T72" s="1215"/>
      <c r="U72" s="1215"/>
      <c r="V72" s="1215"/>
      <c r="W72" s="1215"/>
      <c r="X72" s="29"/>
      <c r="Y72" s="1228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BE72" s="1639"/>
    </row>
    <row r="73" spans="1:57" ht="13.8" thickBot="1">
      <c r="A73" s="1215"/>
      <c r="B73" s="1215"/>
      <c r="C73" s="1215"/>
      <c r="D73" s="1215"/>
      <c r="E73" s="1215"/>
      <c r="F73" s="1215"/>
      <c r="G73" s="1215"/>
      <c r="H73" s="1215"/>
      <c r="I73" s="1215"/>
      <c r="J73" s="974">
        <v>9</v>
      </c>
      <c r="K73" s="599"/>
      <c r="L73" s="599" t="s">
        <v>258</v>
      </c>
      <c r="M73" s="599"/>
      <c r="N73" s="599"/>
      <c r="O73" s="599"/>
      <c r="P73" s="599"/>
      <c r="Q73" s="599"/>
      <c r="R73" s="1215"/>
      <c r="S73" s="1215"/>
      <c r="T73" s="1215"/>
      <c r="U73" s="1215"/>
      <c r="V73" s="1215"/>
      <c r="W73" s="1215"/>
      <c r="X73" s="29"/>
      <c r="Y73" s="1962">
        <f>SUM(Y69:Y71)</f>
        <v>4582491</v>
      </c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BE73" s="1639"/>
    </row>
    <row r="74" spans="1:57" ht="13.8" thickTop="1">
      <c r="A74" s="1215"/>
      <c r="B74" s="1215"/>
      <c r="C74" s="1215"/>
      <c r="D74" s="1215"/>
      <c r="E74" s="1215"/>
      <c r="F74" s="1215"/>
      <c r="G74" s="1215"/>
      <c r="H74" s="1215"/>
      <c r="I74" s="1215"/>
      <c r="J74" s="974"/>
      <c r="K74" s="599"/>
      <c r="L74" s="599"/>
      <c r="M74" s="599"/>
      <c r="N74" s="599"/>
      <c r="O74" s="599"/>
      <c r="P74" s="599"/>
      <c r="Q74" s="599"/>
      <c r="R74" s="1215"/>
      <c r="S74" s="1215"/>
      <c r="T74" s="1215"/>
      <c r="U74" s="1215"/>
      <c r="V74" s="1215"/>
      <c r="W74" s="1215"/>
      <c r="X74" s="29"/>
      <c r="Y74" s="1228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BE74" s="1639"/>
    </row>
    <row r="75" spans="1:57">
      <c r="A75" s="1215"/>
      <c r="B75" s="1215"/>
      <c r="C75" s="1215"/>
      <c r="D75" s="1215"/>
      <c r="E75" s="1215"/>
      <c r="F75" s="1215"/>
      <c r="G75" s="1215"/>
      <c r="H75" s="1215"/>
      <c r="I75" s="1215"/>
      <c r="J75" s="1216">
        <v>10</v>
      </c>
      <c r="K75" s="1215"/>
      <c r="L75" s="1215" t="s">
        <v>2265</v>
      </c>
      <c r="M75" s="1215"/>
      <c r="N75" s="1215"/>
      <c r="O75" s="1215"/>
      <c r="P75" s="1215"/>
      <c r="Q75" s="1215"/>
      <c r="R75" s="1215"/>
      <c r="S75" s="1215"/>
      <c r="T75" s="1215"/>
      <c r="U75" s="1215"/>
      <c r="V75" s="1215"/>
      <c r="W75" s="1215"/>
      <c r="X75" s="29"/>
      <c r="Y75" s="1236">
        <f>N57</f>
        <v>0.5</v>
      </c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BE75" s="1639"/>
    </row>
    <row r="76" spans="1:57">
      <c r="A76" s="1215"/>
      <c r="B76" s="1215"/>
      <c r="C76" s="1215"/>
      <c r="D76" s="1215"/>
      <c r="E76" s="1215"/>
      <c r="F76" s="1215"/>
      <c r="G76" s="1215"/>
      <c r="H76" s="1215"/>
      <c r="I76" s="1215"/>
      <c r="J76" s="1216"/>
      <c r="K76" s="1215"/>
      <c r="L76" s="1215"/>
      <c r="M76" s="1215"/>
      <c r="N76" s="1215"/>
      <c r="O76" s="1215"/>
      <c r="P76" s="1215"/>
      <c r="Q76" s="1215"/>
      <c r="R76" s="1215"/>
      <c r="S76" s="1215"/>
      <c r="T76" s="1215"/>
      <c r="U76" s="1215"/>
      <c r="V76" s="1215"/>
      <c r="W76" s="1215"/>
      <c r="X76" s="29"/>
      <c r="Y76" s="1236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BE76" s="1639"/>
    </row>
    <row r="77" spans="1:57" ht="13.8" thickBot="1">
      <c r="A77" s="1215"/>
      <c r="B77" s="1215"/>
      <c r="C77" s="1215"/>
      <c r="D77" s="1215"/>
      <c r="E77" s="1215"/>
      <c r="F77" s="1215"/>
      <c r="G77" s="1215"/>
      <c r="H77" s="1215"/>
      <c r="I77" s="1215"/>
      <c r="J77" s="1216">
        <v>11</v>
      </c>
      <c r="K77" s="1215"/>
      <c r="L77" s="1215" t="s">
        <v>2266</v>
      </c>
      <c r="M77" s="1215"/>
      <c r="N77" s="1215"/>
      <c r="O77" s="1215"/>
      <c r="P77" s="1215"/>
      <c r="Q77" s="1215"/>
      <c r="R77" s="1215"/>
      <c r="S77" s="1215"/>
      <c r="T77" s="1215"/>
      <c r="U77" s="1215"/>
      <c r="V77" s="1215"/>
      <c r="W77" s="29"/>
      <c r="X77" s="980" t="s">
        <v>2267</v>
      </c>
      <c r="Y77" s="1963">
        <f>ROUND(Y71*Y75,0)</f>
        <v>1342965</v>
      </c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BE77" s="1639"/>
    </row>
    <row r="78" spans="1:57" ht="13.8" thickTop="1">
      <c r="A78" s="1215"/>
      <c r="B78" s="1215"/>
      <c r="C78" s="1215"/>
      <c r="D78" s="1215"/>
      <c r="E78" s="1215"/>
      <c r="F78" s="1215"/>
      <c r="G78" s="1215"/>
      <c r="H78" s="1215"/>
      <c r="I78" s="1215"/>
      <c r="J78" s="1215"/>
      <c r="K78" s="1215"/>
      <c r="L78" s="1215"/>
      <c r="M78" s="1215"/>
      <c r="N78" s="1215"/>
      <c r="O78" s="1215"/>
      <c r="P78" s="1215"/>
      <c r="Q78" s="1215"/>
      <c r="R78" s="1215"/>
      <c r="S78" s="1215"/>
      <c r="T78" s="1215"/>
      <c r="U78" s="1215"/>
      <c r="V78" s="1215"/>
      <c r="W78" s="1215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BE78" s="1639"/>
    </row>
    <row r="79" spans="1:57">
      <c r="A79" s="1215"/>
      <c r="B79" s="1215"/>
      <c r="C79" s="1215"/>
      <c r="D79" s="1215"/>
      <c r="E79" s="1215"/>
      <c r="F79" s="1215"/>
      <c r="G79" s="1215"/>
      <c r="H79" s="1215"/>
      <c r="I79" s="1215"/>
      <c r="J79" s="1215"/>
      <c r="K79" s="1215"/>
      <c r="L79" s="1215"/>
      <c r="M79" s="1215"/>
      <c r="N79" s="1215"/>
      <c r="O79" s="1215"/>
      <c r="P79" s="1215"/>
      <c r="Q79" s="1215"/>
      <c r="R79" s="1215"/>
      <c r="S79" s="1215"/>
      <c r="T79" s="1215"/>
      <c r="U79" s="1215"/>
      <c r="V79" s="1215"/>
      <c r="W79" s="1215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BE79" s="1639"/>
    </row>
    <row r="80" spans="1:57">
      <c r="A80" s="1215"/>
      <c r="B80" s="1215"/>
      <c r="C80" s="1215"/>
      <c r="D80" s="1215"/>
      <c r="E80" s="1215"/>
      <c r="F80" s="1215"/>
      <c r="G80" s="1215"/>
      <c r="H80" s="1215"/>
      <c r="I80" s="1215"/>
      <c r="J80" s="1215"/>
      <c r="K80" s="1215"/>
      <c r="L80" s="1215"/>
      <c r="M80" s="1215"/>
      <c r="N80" s="1215"/>
      <c r="O80" s="1215"/>
      <c r="P80" s="1215"/>
      <c r="Q80" s="1215"/>
      <c r="R80" s="972"/>
      <c r="S80" s="972"/>
      <c r="T80" s="972"/>
      <c r="U80" s="972"/>
      <c r="V80" s="972"/>
      <c r="W80" s="972"/>
      <c r="X80" s="29"/>
      <c r="Y80" s="29"/>
      <c r="Z80" s="29"/>
      <c r="AA80" s="972" t="str">
        <f>COMPANY</f>
        <v>DUKE ENERGY KENTUCKY, INC.</v>
      </c>
      <c r="AB80" s="972"/>
      <c r="AC80" s="972"/>
      <c r="AD80" s="972"/>
      <c r="AE80" s="972"/>
      <c r="AF80" s="972"/>
      <c r="AG80" s="1215"/>
      <c r="AH80" s="599"/>
      <c r="AI80" s="1215"/>
      <c r="AJ80" s="29"/>
      <c r="AK80" s="778" t="s">
        <v>2268</v>
      </c>
      <c r="AL80" s="29"/>
      <c r="AM80" s="29"/>
      <c r="BE80" s="1639"/>
    </row>
    <row r="81" spans="1:57">
      <c r="A81" s="1215"/>
      <c r="B81" s="1215"/>
      <c r="C81" s="1215"/>
      <c r="D81" s="1215"/>
      <c r="E81" s="1215"/>
      <c r="F81" s="1215"/>
      <c r="G81" s="1215"/>
      <c r="H81" s="1215"/>
      <c r="I81" s="1215"/>
      <c r="J81" s="1215"/>
      <c r="K81" s="1215"/>
      <c r="L81" s="1215"/>
      <c r="M81" s="1215"/>
      <c r="N81" s="1215"/>
      <c r="O81" s="1215"/>
      <c r="P81" s="1215"/>
      <c r="Q81" s="1215"/>
      <c r="R81" s="972"/>
      <c r="S81" s="972"/>
      <c r="T81" s="972"/>
      <c r="U81" s="972"/>
      <c r="V81" s="972"/>
      <c r="W81" s="972"/>
      <c r="X81" s="29"/>
      <c r="Y81" s="29"/>
      <c r="Z81" s="29"/>
      <c r="AA81" s="972" t="str">
        <f>DEPT</f>
        <v>ELECTRIC DEPARTMENT</v>
      </c>
      <c r="AB81" s="972"/>
      <c r="AC81" s="972"/>
      <c r="AD81" s="972"/>
      <c r="AE81" s="972"/>
      <c r="AF81" s="972"/>
      <c r="AG81" s="1215"/>
      <c r="AH81" s="599"/>
      <c r="AI81" s="1215"/>
      <c r="AJ81" s="29"/>
      <c r="AK81" s="778" t="s">
        <v>468</v>
      </c>
      <c r="AL81" s="29"/>
      <c r="AM81" s="29"/>
      <c r="BE81" s="1639"/>
    </row>
    <row r="82" spans="1:57">
      <c r="A82" s="1215"/>
      <c r="B82" s="1215"/>
      <c r="C82" s="1215"/>
      <c r="D82" s="1215"/>
      <c r="E82" s="1215"/>
      <c r="F82" s="1215"/>
      <c r="G82" s="1215"/>
      <c r="H82" s="1215"/>
      <c r="I82" s="1215"/>
      <c r="J82" s="1215"/>
      <c r="K82" s="1215"/>
      <c r="L82" s="1215"/>
      <c r="M82" s="1215"/>
      <c r="N82" s="1215"/>
      <c r="O82" s="1215"/>
      <c r="P82" s="1215"/>
      <c r="Q82" s="1215"/>
      <c r="R82" s="972"/>
      <c r="S82" s="972"/>
      <c r="T82" s="972"/>
      <c r="U82" s="972"/>
      <c r="V82" s="972"/>
      <c r="W82" s="972"/>
      <c r="X82" s="29"/>
      <c r="Y82" s="29"/>
      <c r="Z82" s="29"/>
      <c r="AA82" s="972" t="str">
        <f>CASE</f>
        <v>CASE NO. 2024-00354</v>
      </c>
      <c r="AB82" s="972"/>
      <c r="AC82" s="972"/>
      <c r="AD82" s="972"/>
      <c r="AE82" s="972"/>
      <c r="AF82" s="972"/>
      <c r="AG82" s="1215"/>
      <c r="AH82" s="599"/>
      <c r="AI82" s="1215"/>
      <c r="AJ82" s="29"/>
      <c r="AK82" s="778" t="str">
        <f>_WIT1</f>
        <v>L. D. STEINKUHL</v>
      </c>
      <c r="AL82" s="29"/>
      <c r="AM82" s="29"/>
      <c r="BE82" s="1639"/>
    </row>
    <row r="83" spans="1:57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778" t="str">
        <f>J49</f>
        <v>INCENTIVE COMPENSATION</v>
      </c>
      <c r="AB83" s="972"/>
      <c r="AC83" s="972"/>
      <c r="AD83" s="972"/>
      <c r="AE83" s="972"/>
      <c r="AF83" s="972"/>
      <c r="AG83" s="1215"/>
      <c r="AH83" s="599"/>
      <c r="AI83" s="1215"/>
      <c r="AJ83" s="1215"/>
      <c r="AK83" s="1215"/>
      <c r="AL83" s="29"/>
      <c r="AM83" s="29"/>
      <c r="BE83" s="1639"/>
    </row>
    <row r="84" spans="1:57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972" t="s">
        <v>2269</v>
      </c>
      <c r="AB84" s="972"/>
      <c r="AC84" s="972"/>
      <c r="AD84" s="972"/>
      <c r="AE84" s="972"/>
      <c r="AF84" s="972"/>
      <c r="AG84" s="984"/>
      <c r="AH84" s="599"/>
      <c r="AI84" s="1215"/>
      <c r="AJ84" s="1215"/>
      <c r="AK84" s="1215"/>
      <c r="AL84" s="29"/>
      <c r="AM84" s="29"/>
      <c r="BE84" s="1639"/>
    </row>
    <row r="85" spans="1:57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972"/>
      <c r="AB85" s="972"/>
      <c r="AC85" s="972"/>
      <c r="AD85" s="972"/>
      <c r="AE85" s="972"/>
      <c r="AF85" s="972"/>
      <c r="AG85" s="972"/>
      <c r="AH85" s="599"/>
      <c r="AI85" s="1215"/>
      <c r="AJ85" s="1215"/>
      <c r="AK85" s="1215"/>
      <c r="AL85" s="29"/>
      <c r="AM85" s="29"/>
      <c r="BE85" s="1639"/>
    </row>
    <row r="86" spans="1:57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972"/>
      <c r="AB86" s="972"/>
      <c r="AC86" s="972"/>
      <c r="AD86" s="972"/>
      <c r="AE86" s="978"/>
      <c r="AF86" s="972"/>
      <c r="AG86" s="972"/>
      <c r="AH86" s="599"/>
      <c r="AI86" s="1215"/>
      <c r="AJ86" s="1215"/>
      <c r="AK86" s="1215"/>
      <c r="AL86" s="29"/>
      <c r="AM86" s="29"/>
      <c r="BE86" s="1639"/>
    </row>
    <row r="87" spans="1:57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587"/>
      <c r="AB87" s="587"/>
      <c r="AC87" s="587"/>
      <c r="AD87" s="587"/>
      <c r="AE87" s="1219"/>
      <c r="AF87" s="1219"/>
      <c r="AG87" s="1219"/>
      <c r="AH87" s="1219"/>
      <c r="AI87" s="601"/>
      <c r="AJ87" s="601"/>
      <c r="AK87" s="587"/>
      <c r="AL87" s="29"/>
      <c r="AM87" s="669"/>
      <c r="BE87" s="1639"/>
    </row>
    <row r="88" spans="1:57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601" t="s">
        <v>573</v>
      </c>
      <c r="AB88" s="587"/>
      <c r="AC88" s="601" t="s">
        <v>2248</v>
      </c>
      <c r="AD88" s="587"/>
      <c r="AE88" s="1219"/>
      <c r="AF88" s="1219"/>
      <c r="AG88" s="1220"/>
      <c r="AH88" s="1220"/>
      <c r="AI88" s="1318" t="s">
        <v>844</v>
      </c>
      <c r="AJ88" s="601"/>
      <c r="AK88" s="601"/>
      <c r="AL88" s="29"/>
      <c r="AM88" s="601" t="s">
        <v>2249</v>
      </c>
      <c r="BE88" s="1639"/>
    </row>
    <row r="89" spans="1:57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1221" t="s">
        <v>576</v>
      </c>
      <c r="AB89" s="1222"/>
      <c r="AC89" s="1221" t="s">
        <v>2250</v>
      </c>
      <c r="AD89" s="1008"/>
      <c r="AE89" s="1221" t="s">
        <v>2251</v>
      </c>
      <c r="AF89" s="1221"/>
      <c r="AG89" s="1223" t="s">
        <v>2252</v>
      </c>
      <c r="AH89" s="1221" t="s">
        <v>2253</v>
      </c>
      <c r="AI89" s="1223" t="s">
        <v>605</v>
      </c>
      <c r="AJ89" s="1221" t="s">
        <v>2256</v>
      </c>
      <c r="AK89" s="1221" t="s">
        <v>2258</v>
      </c>
      <c r="AL89" s="29"/>
      <c r="AM89" s="1221" t="s">
        <v>2252</v>
      </c>
      <c r="BE89" s="1639"/>
    </row>
    <row r="90" spans="1:57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587"/>
      <c r="AB90" s="587"/>
      <c r="AC90" s="587"/>
      <c r="AD90" s="587"/>
      <c r="AE90" s="1224"/>
      <c r="AF90" s="587"/>
      <c r="AG90" s="587"/>
      <c r="AH90" s="587"/>
      <c r="AI90" s="1319"/>
      <c r="AJ90" s="587"/>
      <c r="AK90" s="587"/>
      <c r="AL90" s="29"/>
      <c r="AM90" s="29"/>
      <c r="BE90" s="1639"/>
    </row>
    <row r="91" spans="1:57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601">
        <v>1</v>
      </c>
      <c r="AB91" s="587"/>
      <c r="AC91" s="587" t="s">
        <v>2259</v>
      </c>
      <c r="AD91" s="587"/>
      <c r="AE91" s="1225">
        <v>0.4</v>
      </c>
      <c r="AF91" s="1226"/>
      <c r="AG91" s="1319">
        <v>0</v>
      </c>
      <c r="AH91" s="1319">
        <v>0</v>
      </c>
      <c r="AI91" s="1319">
        <v>193478.11</v>
      </c>
      <c r="AJ91" s="1319">
        <v>0</v>
      </c>
      <c r="AK91" s="1319">
        <v>0</v>
      </c>
      <c r="AL91" s="1205"/>
      <c r="AM91" s="1322">
        <f>SUM(AG91:AL91)</f>
        <v>193478.11</v>
      </c>
      <c r="BE91" s="1639"/>
    </row>
    <row r="92" spans="1:57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601"/>
      <c r="AB92" s="587"/>
      <c r="AC92" s="587"/>
      <c r="AD92" s="587"/>
      <c r="AE92" s="1229"/>
      <c r="AF92" s="1226"/>
      <c r="AG92" s="1227"/>
      <c r="AH92" s="1227"/>
      <c r="AI92" s="1231"/>
      <c r="AJ92" s="1227"/>
      <c r="AK92" s="1227"/>
      <c r="AL92" s="1205"/>
      <c r="AM92" s="1232"/>
      <c r="BE92" s="1639"/>
    </row>
    <row r="93" spans="1:57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601">
        <v>2</v>
      </c>
      <c r="AB93" s="587"/>
      <c r="AC93" s="587" t="s">
        <v>2270</v>
      </c>
      <c r="AD93" s="587"/>
      <c r="AE93" s="1225">
        <v>0.4</v>
      </c>
      <c r="AF93" s="1226"/>
      <c r="AG93" s="1227">
        <v>0</v>
      </c>
      <c r="AH93" s="1227">
        <v>0</v>
      </c>
      <c r="AI93" s="1227">
        <v>193478.11</v>
      </c>
      <c r="AJ93" s="1227">
        <v>0</v>
      </c>
      <c r="AK93" s="1227">
        <v>0</v>
      </c>
      <c r="AL93" s="1205"/>
      <c r="AM93" s="1228">
        <f>SUM(AG93:AL93)</f>
        <v>193478.11</v>
      </c>
      <c r="BE93" s="1639"/>
    </row>
    <row r="94" spans="1:57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601"/>
      <c r="AB94" s="587"/>
      <c r="AC94" s="587"/>
      <c r="AD94" s="587"/>
      <c r="AE94" s="1229"/>
      <c r="AF94" s="1226"/>
      <c r="AG94" s="1227"/>
      <c r="AH94" s="1227"/>
      <c r="AI94" s="1231"/>
      <c r="AJ94" s="1227"/>
      <c r="AK94" s="1227"/>
      <c r="AL94" s="1205"/>
      <c r="AM94" s="1232"/>
      <c r="BE94" s="1639"/>
    </row>
    <row r="95" spans="1:57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601">
        <v>3</v>
      </c>
      <c r="AB95" s="587"/>
      <c r="AC95" s="587" t="s">
        <v>2271</v>
      </c>
      <c r="AD95" s="587"/>
      <c r="AE95" s="1225">
        <v>0.2</v>
      </c>
      <c r="AF95" s="1226"/>
      <c r="AG95" s="1227">
        <v>0</v>
      </c>
      <c r="AH95" s="1227">
        <v>0</v>
      </c>
      <c r="AI95" s="1227">
        <v>96739</v>
      </c>
      <c r="AJ95" s="1227">
        <v>0</v>
      </c>
      <c r="AK95" s="1227">
        <v>0</v>
      </c>
      <c r="AL95" s="1205"/>
      <c r="AM95" s="1228">
        <f>SUM(AG95:AL95)</f>
        <v>96739</v>
      </c>
      <c r="BE95" s="1639"/>
    </row>
    <row r="96" spans="1:57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601"/>
      <c r="AB96" s="587"/>
      <c r="AC96" s="587"/>
      <c r="AD96" s="587"/>
      <c r="AE96" s="1229"/>
      <c r="AF96" s="1226"/>
      <c r="AG96" s="1227"/>
      <c r="AH96" s="1227"/>
      <c r="AI96" s="1231"/>
      <c r="AJ96" s="1227"/>
      <c r="AK96" s="1227"/>
      <c r="AL96" s="1205"/>
      <c r="AM96" s="1232"/>
      <c r="BE96" s="1639"/>
    </row>
    <row r="97" spans="1:57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601">
        <v>4</v>
      </c>
      <c r="AB97" s="587"/>
      <c r="AC97" s="587" t="s">
        <v>2272</v>
      </c>
      <c r="AD97" s="587"/>
      <c r="AE97" s="1526">
        <v>0</v>
      </c>
      <c r="AF97" s="1527"/>
      <c r="AG97" s="1528">
        <v>0</v>
      </c>
      <c r="AH97" s="1528">
        <v>0</v>
      </c>
      <c r="AI97" s="1528">
        <v>0</v>
      </c>
      <c r="AJ97" s="1528">
        <v>0</v>
      </c>
      <c r="AK97" s="1528">
        <v>0</v>
      </c>
      <c r="AL97" s="1529"/>
      <c r="AM97" s="1530">
        <f>SUM(AG97:AL97)</f>
        <v>0</v>
      </c>
      <c r="BE97" s="1639"/>
    </row>
    <row r="98" spans="1:57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601"/>
      <c r="AB98" s="587"/>
      <c r="AC98" s="587"/>
      <c r="AD98" s="587"/>
      <c r="AE98" s="1233"/>
      <c r="AF98" s="587"/>
      <c r="AG98" s="587"/>
      <c r="AH98" s="587"/>
      <c r="AI98" s="1010"/>
      <c r="AJ98" s="1010"/>
      <c r="AK98" s="1010"/>
      <c r="AL98" s="29"/>
      <c r="AM98" s="29"/>
      <c r="BE98" s="1639"/>
    </row>
    <row r="99" spans="1:57" ht="13.8" thickBo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601">
        <v>5</v>
      </c>
      <c r="AB99" s="587"/>
      <c r="AC99" s="587" t="s">
        <v>258</v>
      </c>
      <c r="AD99" s="587"/>
      <c r="AE99" s="1957">
        <f>SUM(AE91:AE97)</f>
        <v>1</v>
      </c>
      <c r="AF99" s="1958"/>
      <c r="AG99" s="1959">
        <f>SUM(AG91:AG97)</f>
        <v>0</v>
      </c>
      <c r="AH99" s="1959">
        <f>SUM(AH91:AH97)</f>
        <v>0</v>
      </c>
      <c r="AI99" s="1960">
        <f>SUM(AI91:AI97)</f>
        <v>483695.22</v>
      </c>
      <c r="AJ99" s="1960">
        <f>SUM(AJ91:AJ97)</f>
        <v>0</v>
      </c>
      <c r="AK99" s="1960">
        <f>SUM(AK91:AK97)</f>
        <v>0</v>
      </c>
      <c r="AL99" s="1961"/>
      <c r="AM99" s="1960">
        <f>SUM(AM91:AM97)</f>
        <v>483695.22</v>
      </c>
      <c r="BE99" s="1639"/>
    </row>
    <row r="100" spans="1:57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599"/>
      <c r="AB100" s="599"/>
      <c r="AC100" s="599"/>
      <c r="AD100" s="599"/>
      <c r="AE100" s="599"/>
      <c r="AF100" s="599"/>
      <c r="AG100" s="1235"/>
      <c r="AH100" s="1205"/>
      <c r="AI100" s="1205"/>
      <c r="AJ100" s="1205"/>
      <c r="AK100" s="1205"/>
      <c r="AL100" s="1205"/>
      <c r="AM100" s="1205"/>
      <c r="BE100" s="1639"/>
    </row>
    <row r="101" spans="1:57" ht="13.2" customHeigh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974">
        <v>6</v>
      </c>
      <c r="AB101" s="599"/>
      <c r="AC101" s="2419" t="s">
        <v>2273</v>
      </c>
      <c r="AD101" s="2419"/>
      <c r="AE101" s="2419"/>
      <c r="AF101" s="2419"/>
      <c r="AG101" s="2419"/>
      <c r="AH101" s="2419"/>
      <c r="AI101" s="1215"/>
      <c r="AJ101" s="1215"/>
      <c r="AK101" s="1215"/>
      <c r="AL101" s="29"/>
      <c r="AM101" s="1320">
        <v>19738</v>
      </c>
      <c r="BE101" s="1639"/>
    </row>
    <row r="102" spans="1:57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974"/>
      <c r="AB102" s="599"/>
      <c r="AC102" s="599"/>
      <c r="AD102" s="599"/>
      <c r="AE102" s="599"/>
      <c r="AF102" s="599"/>
      <c r="AG102" s="599"/>
      <c r="AH102" s="599"/>
      <c r="AI102" s="1215"/>
      <c r="AJ102" s="1215"/>
      <c r="AK102" s="1215"/>
      <c r="AL102" s="29"/>
      <c r="AM102" s="1230"/>
      <c r="BE102" s="1639"/>
    </row>
    <row r="103" spans="1:57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974">
        <v>7</v>
      </c>
      <c r="AB103" s="599"/>
      <c r="AC103" s="2418" t="s">
        <v>2264</v>
      </c>
      <c r="AD103" s="2418"/>
      <c r="AE103" s="2418"/>
      <c r="AF103" s="2418"/>
      <c r="AG103" s="2418"/>
      <c r="AH103" s="2418"/>
      <c r="AI103" s="1215"/>
      <c r="AJ103" s="1215"/>
      <c r="AK103" s="1215"/>
      <c r="AL103" s="29"/>
      <c r="AM103" s="1638">
        <v>463957</v>
      </c>
      <c r="BE103" s="1639"/>
    </row>
    <row r="104" spans="1:57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974"/>
      <c r="AB104" s="599"/>
      <c r="AC104" s="599"/>
      <c r="AD104" s="599"/>
      <c r="AE104" s="599"/>
      <c r="AF104" s="599"/>
      <c r="AG104" s="599"/>
      <c r="AH104" s="599"/>
      <c r="AI104" s="1215"/>
      <c r="AJ104" s="1215"/>
      <c r="AK104" s="1215"/>
      <c r="AL104" s="29"/>
      <c r="AM104" s="1228"/>
      <c r="BE104" s="1639"/>
    </row>
    <row r="105" spans="1:57" ht="13.8" thickBo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974">
        <v>8</v>
      </c>
      <c r="AB105" s="599"/>
      <c r="AC105" s="599" t="s">
        <v>258</v>
      </c>
      <c r="AD105" s="599"/>
      <c r="AE105" s="599"/>
      <c r="AF105" s="599"/>
      <c r="AG105" s="599"/>
      <c r="AH105" s="599"/>
      <c r="AI105" s="1215"/>
      <c r="AJ105" s="1215"/>
      <c r="AK105" s="1215"/>
      <c r="AL105" s="29"/>
      <c r="AM105" s="1962">
        <f>SUM(AM101:AM103)</f>
        <v>483695</v>
      </c>
      <c r="BE105" s="1639"/>
    </row>
    <row r="106" spans="1:57" ht="13.8" thickTop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974"/>
      <c r="AB106" s="599"/>
      <c r="AC106" s="599"/>
      <c r="AD106" s="599"/>
      <c r="AE106" s="599"/>
      <c r="AF106" s="599"/>
      <c r="AG106" s="599"/>
      <c r="AH106" s="599"/>
      <c r="AI106" s="1215"/>
      <c r="AJ106" s="1215"/>
      <c r="AK106" s="1215"/>
      <c r="AL106" s="29"/>
      <c r="AM106" s="1228"/>
      <c r="BE106" s="1639"/>
    </row>
    <row r="107" spans="1:57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1216">
        <v>9</v>
      </c>
      <c r="AB107" s="1215"/>
      <c r="AC107" s="1215" t="s">
        <v>2274</v>
      </c>
      <c r="AD107" s="1215"/>
      <c r="AE107" s="1215"/>
      <c r="AF107" s="1215"/>
      <c r="AG107" s="1215"/>
      <c r="AH107" s="1215"/>
      <c r="AI107" s="1215"/>
      <c r="AJ107" s="1215"/>
      <c r="AK107" s="1215"/>
      <c r="AL107" s="29"/>
      <c r="AM107" s="1236">
        <f>AE91+AE93+AE97</f>
        <v>0.8</v>
      </c>
      <c r="BE107" s="1639"/>
    </row>
    <row r="108" spans="1:57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1216"/>
      <c r="AB108" s="1215"/>
      <c r="AC108" s="1215"/>
      <c r="AD108" s="1215"/>
      <c r="AE108" s="1215"/>
      <c r="AF108" s="1215"/>
      <c r="AG108" s="1215"/>
      <c r="AH108" s="1215"/>
      <c r="AI108" s="1215"/>
      <c r="AJ108" s="1215"/>
      <c r="AK108" s="1215"/>
      <c r="AL108" s="29"/>
      <c r="AM108" s="1236"/>
      <c r="BE108" s="1639"/>
    </row>
    <row r="109" spans="1:57" ht="13.8" thickBo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1216">
        <v>10</v>
      </c>
      <c r="AB109" s="1215"/>
      <c r="AC109" s="2417" t="s">
        <v>2275</v>
      </c>
      <c r="AD109" s="2417"/>
      <c r="AE109" s="2417"/>
      <c r="AF109" s="2417"/>
      <c r="AG109" s="2417"/>
      <c r="AH109" s="2417"/>
      <c r="AI109" s="2417"/>
      <c r="AJ109" s="1215"/>
      <c r="AK109" s="29"/>
      <c r="AL109" s="980" t="s">
        <v>2267</v>
      </c>
      <c r="AM109" s="1963">
        <f>ROUND(AM107*AM103,0)</f>
        <v>371166</v>
      </c>
      <c r="BE109" s="1639"/>
    </row>
    <row r="110" spans="1:57" ht="13.8" thickTop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BE110" s="1639"/>
    </row>
    <row r="111" spans="1:57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P111" s="972" t="str">
        <f>COMPANY</f>
        <v>DUKE ENERGY KENTUCKY, INC.</v>
      </c>
      <c r="AQ111" s="972"/>
      <c r="AR111" s="972"/>
      <c r="AS111" s="972"/>
      <c r="AT111" s="972"/>
      <c r="AU111" s="972"/>
      <c r="AV111" s="1215"/>
      <c r="AW111" s="599"/>
      <c r="AX111" s="1215"/>
      <c r="AY111" s="29"/>
      <c r="AZ111" s="778" t="s">
        <v>2276</v>
      </c>
      <c r="BA111" s="29"/>
      <c r="BB111" s="29"/>
      <c r="BE111" s="1640"/>
    </row>
    <row r="112" spans="1:57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P112" s="972" t="str">
        <f>DEPT</f>
        <v>ELECTRIC DEPARTMENT</v>
      </c>
      <c r="AQ112" s="972"/>
      <c r="AR112" s="972"/>
      <c r="AS112" s="972"/>
      <c r="AT112" s="972"/>
      <c r="AU112" s="972"/>
      <c r="AV112" s="1215"/>
      <c r="AW112" s="599"/>
      <c r="AX112" s="1215"/>
      <c r="AY112" s="29"/>
      <c r="AZ112" s="778" t="s">
        <v>468</v>
      </c>
      <c r="BA112" s="29"/>
      <c r="BB112" s="29"/>
      <c r="BE112" s="1640"/>
    </row>
    <row r="113" spans="1:57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P113" s="972" t="str">
        <f>CASE</f>
        <v>CASE NO. 2024-00354</v>
      </c>
      <c r="AQ113" s="972"/>
      <c r="AR113" s="972"/>
      <c r="AS113" s="972"/>
      <c r="AT113" s="972"/>
      <c r="AU113" s="972"/>
      <c r="AV113" s="1215"/>
      <c r="AW113" s="599"/>
      <c r="AX113" s="1215"/>
      <c r="AY113" s="29"/>
      <c r="AZ113" s="778" t="str">
        <f>_WIT1</f>
        <v>L. D. STEINKUHL</v>
      </c>
      <c r="BA113" s="29"/>
      <c r="BB113" s="29"/>
      <c r="BE113" s="1640"/>
    </row>
    <row r="114" spans="1:57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P114" s="778" t="str">
        <f>J49</f>
        <v>INCENTIVE COMPENSATION</v>
      </c>
      <c r="AQ114" s="972"/>
      <c r="AR114" s="972"/>
      <c r="AS114" s="972"/>
      <c r="AT114" s="972"/>
      <c r="AU114" s="972"/>
      <c r="AV114" s="1215"/>
      <c r="AW114" s="599"/>
      <c r="AX114" s="1215"/>
      <c r="AY114" s="1215"/>
      <c r="AZ114" s="1215"/>
      <c r="BA114" s="29"/>
      <c r="BB114" s="29"/>
      <c r="BE114" s="1641"/>
    </row>
    <row r="115" spans="1:57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P115" s="972" t="s">
        <v>2277</v>
      </c>
      <c r="AQ115" s="972"/>
      <c r="AR115" s="972"/>
      <c r="AS115" s="972"/>
      <c r="AT115" s="972"/>
      <c r="AU115" s="972"/>
      <c r="AV115" s="984"/>
      <c r="AW115" s="599"/>
      <c r="AX115" s="1215"/>
      <c r="AY115" s="1215"/>
      <c r="AZ115" s="1215"/>
      <c r="BA115" s="29"/>
      <c r="BB115" s="29"/>
      <c r="BE115" s="1640"/>
    </row>
    <row r="116" spans="1:57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P116" s="972"/>
      <c r="AQ116" s="972"/>
      <c r="AR116" s="972"/>
      <c r="AS116" s="972"/>
      <c r="AT116" s="972"/>
      <c r="AU116" s="972"/>
      <c r="AV116" s="972"/>
      <c r="AW116" s="599"/>
      <c r="AX116" s="1215"/>
      <c r="AY116" s="1215"/>
      <c r="AZ116" s="1215"/>
      <c r="BA116" s="29"/>
      <c r="BB116" s="29"/>
      <c r="BE116" s="1640"/>
    </row>
    <row r="117" spans="1:57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P117" s="972"/>
      <c r="AQ117" s="972"/>
      <c r="AR117" s="972"/>
      <c r="AS117" s="972"/>
      <c r="AT117" s="978"/>
      <c r="AU117" s="972"/>
      <c r="AV117" s="972"/>
      <c r="AW117" s="599"/>
      <c r="AX117" s="1215"/>
      <c r="AY117" s="1215"/>
      <c r="AZ117" s="1215"/>
      <c r="BA117" s="29"/>
      <c r="BB117" s="29"/>
      <c r="BE117" s="1640"/>
    </row>
    <row r="118" spans="1:57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P118" s="587"/>
      <c r="AQ118" s="587"/>
      <c r="AR118" s="587"/>
      <c r="AS118" s="587"/>
      <c r="AT118" s="1219"/>
      <c r="AU118" s="1219"/>
      <c r="AV118" s="1219"/>
      <c r="AW118" s="1219"/>
      <c r="AX118" s="601"/>
      <c r="AY118" s="601"/>
      <c r="AZ118" s="587"/>
      <c r="BA118" s="29"/>
      <c r="BB118" s="669"/>
      <c r="BE118" s="1642"/>
    </row>
    <row r="119" spans="1:57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P119" s="601" t="s">
        <v>573</v>
      </c>
      <c r="AQ119" s="587"/>
      <c r="AR119" s="601" t="s">
        <v>2248</v>
      </c>
      <c r="AS119" s="587"/>
      <c r="AT119" s="1219"/>
      <c r="AU119" s="1219"/>
      <c r="AV119" s="1220"/>
      <c r="AW119" s="1220"/>
      <c r="AX119" s="1318" t="s">
        <v>844</v>
      </c>
      <c r="AY119" s="601"/>
      <c r="AZ119" s="601"/>
      <c r="BA119" s="29"/>
      <c r="BB119" s="601" t="s">
        <v>2249</v>
      </c>
      <c r="BE119" s="1643"/>
    </row>
    <row r="120" spans="1:57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P120" s="1221" t="s">
        <v>576</v>
      </c>
      <c r="AQ120" s="1222"/>
      <c r="AR120" s="1221" t="s">
        <v>2250</v>
      </c>
      <c r="AS120" s="1008"/>
      <c r="AT120" s="1221" t="s">
        <v>2251</v>
      </c>
      <c r="AU120" s="1221"/>
      <c r="AV120" s="1223" t="s">
        <v>2252</v>
      </c>
      <c r="AW120" s="1221" t="s">
        <v>2253</v>
      </c>
      <c r="AX120" s="1223" t="s">
        <v>605</v>
      </c>
      <c r="AY120" s="1221" t="s">
        <v>2256</v>
      </c>
      <c r="AZ120" s="1221" t="s">
        <v>2258</v>
      </c>
      <c r="BA120" s="29"/>
      <c r="BB120" s="1221" t="s">
        <v>2252</v>
      </c>
      <c r="BE120" s="1221"/>
    </row>
    <row r="121" spans="1:57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P121" s="587"/>
      <c r="AQ121" s="587"/>
      <c r="AR121" s="587"/>
      <c r="AS121" s="587"/>
      <c r="AT121" s="1224"/>
      <c r="AU121" s="587"/>
      <c r="AV121" s="587"/>
      <c r="AW121" s="587"/>
      <c r="AX121" s="1319"/>
      <c r="AY121" s="587"/>
      <c r="AZ121" s="587"/>
      <c r="BA121" s="29"/>
      <c r="BB121" s="29"/>
      <c r="BE121" s="1642"/>
    </row>
    <row r="122" spans="1:57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P122" s="601">
        <v>1</v>
      </c>
      <c r="AQ122" s="587"/>
      <c r="AR122" s="587" t="s">
        <v>2278</v>
      </c>
      <c r="AS122" s="587"/>
      <c r="AT122" s="1225">
        <v>1</v>
      </c>
      <c r="AU122" s="1226"/>
      <c r="AV122" s="1319">
        <v>0</v>
      </c>
      <c r="AW122" s="1320">
        <v>0</v>
      </c>
      <c r="AX122" s="1319">
        <v>786345</v>
      </c>
      <c r="AY122" s="1319">
        <v>0</v>
      </c>
      <c r="AZ122" s="1319">
        <v>0</v>
      </c>
      <c r="BA122" s="1321"/>
      <c r="BB122" s="1322">
        <f>SUM(AV122:BA122)</f>
        <v>786345</v>
      </c>
      <c r="BE122" s="1643"/>
    </row>
    <row r="123" spans="1:57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P123" s="601"/>
      <c r="AQ123" s="587"/>
      <c r="AR123" s="587"/>
      <c r="AS123" s="587"/>
      <c r="AT123" s="1229"/>
      <c r="AU123" s="1226"/>
      <c r="AV123" s="1227"/>
      <c r="AW123" s="1230"/>
      <c r="AX123" s="1231"/>
      <c r="AY123" s="1231"/>
      <c r="AZ123" s="1231"/>
      <c r="BA123" s="1205"/>
      <c r="BB123" s="1232"/>
      <c r="BE123" s="1643"/>
    </row>
    <row r="124" spans="1:57" ht="13.8" thickBo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P124" s="601">
        <v>2</v>
      </c>
      <c r="AQ124" s="587"/>
      <c r="AR124" s="587" t="s">
        <v>258</v>
      </c>
      <c r="AS124" s="587"/>
      <c r="AT124" s="1957">
        <f>SUM(AT122:AT123)</f>
        <v>1</v>
      </c>
      <c r="AU124" s="1958"/>
      <c r="AV124" s="1959">
        <f>SUM(AV122:AV123)</f>
        <v>0</v>
      </c>
      <c r="AW124" s="1959">
        <f>SUM(AW122:AW123)</f>
        <v>0</v>
      </c>
      <c r="AX124" s="1960">
        <f>SUM(AX122:AX123)</f>
        <v>786345</v>
      </c>
      <c r="AY124" s="1960">
        <f>SUM(AY122:AY123)</f>
        <v>0</v>
      </c>
      <c r="AZ124" s="1960">
        <f>SUM(AZ122:AZ123)</f>
        <v>0</v>
      </c>
      <c r="BA124" s="1964"/>
      <c r="BB124" s="1960">
        <f>SUM(BB122:BB123)</f>
        <v>786345</v>
      </c>
      <c r="BE124" s="1643"/>
    </row>
    <row r="125" spans="1:57" ht="13.8" thickTop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P125" s="599"/>
      <c r="AQ125" s="599"/>
      <c r="AR125" s="599"/>
      <c r="AS125" s="599"/>
      <c r="AT125" s="599"/>
      <c r="AU125" s="599"/>
      <c r="AV125" s="1235"/>
      <c r="AW125" s="1205"/>
      <c r="AX125" s="1205"/>
      <c r="AY125" s="1205"/>
      <c r="AZ125" s="1205"/>
      <c r="BA125" s="1205"/>
      <c r="BB125" s="1205"/>
      <c r="BE125" s="1644"/>
    </row>
    <row r="126" spans="1:57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P126" s="974">
        <v>3</v>
      </c>
      <c r="AQ126" s="599"/>
      <c r="AR126" s="2419" t="s">
        <v>2279</v>
      </c>
      <c r="AS126" s="2419"/>
      <c r="AT126" s="2419"/>
      <c r="AU126" s="2419"/>
      <c r="AV126" s="2419"/>
      <c r="AW126" s="2419"/>
      <c r="AX126" s="1215"/>
      <c r="AY126" s="1215"/>
      <c r="AZ126" s="1215"/>
      <c r="BA126" s="29"/>
      <c r="BB126" s="1320">
        <v>175645</v>
      </c>
      <c r="BE126" s="1645"/>
    </row>
    <row r="127" spans="1:57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P127" s="974"/>
      <c r="AQ127" s="599"/>
      <c r="AR127" s="599"/>
      <c r="AS127" s="599"/>
      <c r="AT127" s="599"/>
      <c r="AU127" s="599"/>
      <c r="AV127" s="599"/>
      <c r="AW127" s="599"/>
      <c r="AX127" s="1215"/>
      <c r="AY127" s="1215"/>
      <c r="AZ127" s="1215"/>
      <c r="BA127" s="29"/>
      <c r="BB127" s="1230"/>
      <c r="BE127" s="1645"/>
    </row>
    <row r="128" spans="1:57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P128" s="974">
        <v>4</v>
      </c>
      <c r="AQ128" s="599"/>
      <c r="AR128" s="599" t="s">
        <v>2264</v>
      </c>
      <c r="AS128" s="599"/>
      <c r="AT128" s="599"/>
      <c r="AU128" s="599"/>
      <c r="AV128" s="599"/>
      <c r="AW128" s="599"/>
      <c r="AX128" s="1215"/>
      <c r="AY128" s="1215"/>
      <c r="AZ128" s="1215"/>
      <c r="BA128" s="29"/>
      <c r="BB128" s="1638">
        <v>610700</v>
      </c>
      <c r="BE128" s="1645"/>
    </row>
    <row r="129" spans="1:69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P129" s="974"/>
      <c r="AQ129" s="599"/>
      <c r="AR129" s="599"/>
      <c r="AS129" s="599"/>
      <c r="AT129" s="599"/>
      <c r="AU129" s="599"/>
      <c r="AV129" s="599"/>
      <c r="AW129" s="599"/>
      <c r="AX129" s="1215"/>
      <c r="AY129" s="1215"/>
      <c r="AZ129" s="1215"/>
      <c r="BA129" s="29"/>
      <c r="BB129" s="1228"/>
      <c r="BE129" s="1645"/>
    </row>
    <row r="130" spans="1:69" ht="13.8" thickBo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P130" s="974">
        <v>5</v>
      </c>
      <c r="AQ130" s="599"/>
      <c r="AR130" s="599" t="s">
        <v>258</v>
      </c>
      <c r="AS130" s="599"/>
      <c r="AT130" s="599"/>
      <c r="AU130" s="599"/>
      <c r="AV130" s="599"/>
      <c r="AW130" s="599"/>
      <c r="AX130" s="1215"/>
      <c r="AY130" s="1215"/>
      <c r="AZ130" s="29"/>
      <c r="BA130" s="980"/>
      <c r="BB130" s="1962">
        <f>SUM(BB126:BB128)</f>
        <v>786345</v>
      </c>
      <c r="BE130" s="1645"/>
    </row>
    <row r="131" spans="1:69" ht="13.8" thickTop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P131" s="974"/>
      <c r="AQ131" s="599"/>
      <c r="AR131" s="599"/>
      <c r="AS131" s="599"/>
      <c r="AT131" s="599"/>
      <c r="AU131" s="599"/>
      <c r="AV131" s="599"/>
      <c r="AW131" s="599"/>
      <c r="AX131" s="1215"/>
      <c r="AY131" s="1215"/>
      <c r="AZ131" s="1215"/>
      <c r="BA131" s="29"/>
      <c r="BB131" s="1228"/>
      <c r="BE131" s="1645"/>
    </row>
    <row r="132" spans="1:69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P132" s="974">
        <v>6</v>
      </c>
      <c r="AQ132" s="599"/>
      <c r="AR132" s="599" t="s">
        <v>2280</v>
      </c>
      <c r="AS132" s="599"/>
      <c r="AT132" s="599"/>
      <c r="AU132" s="599"/>
      <c r="AV132" s="599"/>
      <c r="AW132" s="599"/>
      <c r="AX132" s="1215"/>
      <c r="AY132" s="1215"/>
      <c r="AZ132" s="1215"/>
      <c r="BA132" s="29"/>
      <c r="BB132" s="1237">
        <f>AT122</f>
        <v>1</v>
      </c>
      <c r="BE132" s="1645"/>
    </row>
    <row r="133" spans="1:69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P133" s="974"/>
      <c r="AQ133" s="599"/>
      <c r="AR133" s="599"/>
      <c r="AS133" s="599"/>
      <c r="AT133" s="599"/>
      <c r="AU133" s="599"/>
      <c r="AV133" s="599"/>
      <c r="AW133" s="599"/>
      <c r="AX133" s="1215"/>
      <c r="AY133" s="1215"/>
      <c r="AZ133" s="1215"/>
      <c r="BA133" s="29"/>
      <c r="BB133" s="1228"/>
      <c r="BE133" s="974"/>
    </row>
    <row r="134" spans="1:69" ht="13.8" thickBo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P134" s="974">
        <v>7</v>
      </c>
      <c r="AR134" s="1215" t="s">
        <v>2281</v>
      </c>
      <c r="AS134" s="1215"/>
      <c r="AT134" s="1215"/>
      <c r="AU134" s="1215"/>
      <c r="AV134" s="1215"/>
      <c r="AW134" s="1215"/>
      <c r="AX134" s="1215"/>
      <c r="AY134" s="1215"/>
      <c r="AZ134" s="29"/>
      <c r="BA134" s="980" t="s">
        <v>2267</v>
      </c>
      <c r="BB134" s="1963">
        <f>ROUND(BB132*BB128,0)</f>
        <v>610700</v>
      </c>
      <c r="BE134" s="974"/>
    </row>
    <row r="135" spans="1:69" ht="13.8" thickTop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</row>
    <row r="136" spans="1:69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BE136" s="972" t="str">
        <f>COMPANY</f>
        <v>DUKE ENERGY KENTUCKY, INC.</v>
      </c>
      <c r="BF136" s="972"/>
      <c r="BG136" s="972"/>
      <c r="BH136" s="972"/>
      <c r="BI136" s="778" t="s">
        <v>2282</v>
      </c>
      <c r="BJ136" s="972"/>
      <c r="BM136" s="1646"/>
      <c r="BN136"/>
      <c r="BP136"/>
      <c r="BQ136"/>
    </row>
    <row r="137" spans="1:69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BE137" s="972" t="str">
        <f>DEPT</f>
        <v>ELECTRIC DEPARTMENT</v>
      </c>
      <c r="BF137" s="972"/>
      <c r="BG137" s="972"/>
      <c r="BH137" s="972"/>
      <c r="BI137" s="778" t="s">
        <v>468</v>
      </c>
      <c r="BJ137" s="972"/>
      <c r="BM137" s="1646"/>
      <c r="BN137"/>
      <c r="BP137"/>
      <c r="BQ137"/>
    </row>
    <row r="138" spans="1:69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BE138" s="972" t="str">
        <f>CASE</f>
        <v>CASE NO. 2024-00354</v>
      </c>
      <c r="BF138" s="972"/>
      <c r="BG138" s="972"/>
      <c r="BH138" s="972"/>
      <c r="BI138" s="778" t="str">
        <f>_WIT1</f>
        <v>L. D. STEINKUHL</v>
      </c>
      <c r="BJ138" s="972"/>
      <c r="BM138" s="1646"/>
      <c r="BN138"/>
      <c r="BP138"/>
      <c r="BQ138"/>
    </row>
    <row r="139" spans="1:69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BE139" s="972" t="s">
        <v>2247</v>
      </c>
      <c r="BF139" s="972"/>
      <c r="BG139" s="972"/>
      <c r="BH139" s="972"/>
      <c r="BI139" s="972"/>
      <c r="BJ139" s="972"/>
      <c r="BK139" s="1215"/>
      <c r="BL139" s="1644"/>
      <c r="BM139" s="1646"/>
      <c r="BN139" s="1646"/>
      <c r="BO139" s="1646"/>
      <c r="BP139"/>
      <c r="BQ139"/>
    </row>
    <row r="140" spans="1:69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BE140" s="972" t="s">
        <v>2283</v>
      </c>
      <c r="BF140" s="972"/>
      <c r="BG140" s="972"/>
      <c r="BH140" s="972"/>
      <c r="BI140" s="972"/>
      <c r="BJ140" s="972"/>
      <c r="BK140" s="984"/>
      <c r="BL140" s="1644"/>
      <c r="BM140" s="1646"/>
      <c r="BN140" s="1646"/>
      <c r="BO140" s="1646"/>
      <c r="BP140"/>
      <c r="BQ140"/>
    </row>
    <row r="141" spans="1:69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BE141" s="972"/>
      <c r="BF141" s="972"/>
      <c r="BG141" s="972"/>
      <c r="BH141" s="972"/>
      <c r="BI141" s="972"/>
      <c r="BJ141" s="972"/>
      <c r="BK141" s="972"/>
      <c r="BL141" s="1644"/>
      <c r="BM141" s="1646"/>
      <c r="BN141" s="1646"/>
      <c r="BO141" s="1646"/>
      <c r="BP141"/>
      <c r="BQ141"/>
    </row>
    <row r="142" spans="1:69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BE142" s="972"/>
      <c r="BF142" s="972"/>
      <c r="BG142" s="972"/>
      <c r="BH142" s="972"/>
      <c r="BI142" s="978"/>
      <c r="BJ142" s="972"/>
      <c r="BK142" s="972"/>
      <c r="BL142" s="1644"/>
      <c r="BM142" s="1646"/>
      <c r="BN142" s="1646"/>
      <c r="BO142" s="1646"/>
      <c r="BP142"/>
      <c r="BQ142"/>
    </row>
    <row r="143" spans="1:69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BE143" s="587"/>
      <c r="BF143" s="587"/>
      <c r="BG143" s="587"/>
      <c r="BH143" s="587"/>
      <c r="BI143" s="1219"/>
      <c r="BJ143" s="1219"/>
      <c r="BK143" s="1219"/>
      <c r="BL143" s="1647"/>
      <c r="BM143" s="1643"/>
      <c r="BN143" s="1643"/>
      <c r="BO143" s="1642"/>
      <c r="BP143"/>
      <c r="BQ143" s="669"/>
    </row>
    <row r="144" spans="1:69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BE144" s="601" t="s">
        <v>573</v>
      </c>
      <c r="BF144" s="587"/>
      <c r="BG144" s="601"/>
      <c r="BH144" s="587"/>
      <c r="BI144" s="1219"/>
    </row>
    <row r="145" spans="1:6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BE145" s="1221" t="s">
        <v>576</v>
      </c>
      <c r="BF145" s="1222"/>
      <c r="BG145" s="1221" t="s">
        <v>2250</v>
      </c>
      <c r="BH145" s="1008"/>
      <c r="BI145" s="1223" t="s">
        <v>2252</v>
      </c>
    </row>
    <row r="146" spans="1:6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BE146" s="587"/>
      <c r="BF146" s="587"/>
      <c r="BG146" s="587"/>
      <c r="BH146" s="587"/>
      <c r="BI146" s="1319"/>
    </row>
    <row r="147" spans="1:6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BE147" s="601">
        <v>1</v>
      </c>
      <c r="BF147" s="587"/>
      <c r="BG147" s="1759" t="s">
        <v>2284</v>
      </c>
      <c r="BH147" s="587"/>
      <c r="BI147" s="1322">
        <f>Y77</f>
        <v>1342965</v>
      </c>
    </row>
    <row r="148" spans="1:6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BE148" s="601"/>
      <c r="BF148" s="587"/>
      <c r="BG148" s="587"/>
      <c r="BH148" s="587"/>
      <c r="BI148" s="1632"/>
    </row>
    <row r="149" spans="1:6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BE149" s="601">
        <v>2</v>
      </c>
      <c r="BF149" s="587"/>
      <c r="BG149" s="1759" t="s">
        <v>2285</v>
      </c>
      <c r="BH149" s="587"/>
      <c r="BI149" s="1891">
        <v>7.4999999999999997E-2</v>
      </c>
    </row>
    <row r="150" spans="1:6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BE150" s="599"/>
      <c r="BF150" s="599"/>
      <c r="BG150" s="599"/>
      <c r="BH150" s="599"/>
      <c r="BI150" s="1648"/>
    </row>
    <row r="151" spans="1:62" ht="13.8" thickBo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BE151" s="974">
        <v>3</v>
      </c>
      <c r="BF151" s="599"/>
      <c r="BG151" s="1754" t="s">
        <v>2286</v>
      </c>
      <c r="BH151" s="599"/>
      <c r="BI151" s="1965">
        <f>BI147*BI149</f>
        <v>100722.375</v>
      </c>
      <c r="BJ151" s="29" t="s">
        <v>2287</v>
      </c>
    </row>
    <row r="152" spans="1:62" ht="13.8" thickTop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BE152" s="974"/>
      <c r="BF152" s="599"/>
      <c r="BG152" s="599"/>
      <c r="BH152" s="599"/>
      <c r="BI152" s="599"/>
    </row>
    <row r="153" spans="1:6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BE153" s="1645"/>
      <c r="BG153" s="1646"/>
      <c r="BH153" s="1646"/>
      <c r="BI153" s="1646"/>
    </row>
    <row r="154" spans="1:6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BE154" s="1639"/>
    </row>
    <row r="155" spans="1:6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BE155" s="1639"/>
    </row>
    <row r="156" spans="1:6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BE156" s="1639"/>
    </row>
    <row r="157" spans="1:6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BE157" s="1639"/>
    </row>
    <row r="158" spans="1:6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BE158" s="1639"/>
    </row>
    <row r="159" spans="1:6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BE159" s="1639"/>
    </row>
    <row r="160" spans="1:6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BE160" s="1639"/>
    </row>
    <row r="161" spans="1:57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BE161" s="1639"/>
    </row>
    <row r="162" spans="1:57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BE162" s="1639"/>
    </row>
    <row r="163" spans="1:57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BE163" s="1639"/>
    </row>
    <row r="164" spans="1:57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BE164" s="1639"/>
    </row>
    <row r="165" spans="1:57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BE165" s="1639"/>
    </row>
    <row r="166" spans="1:57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BE166" s="1639"/>
    </row>
    <row r="167" spans="1:57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BE167" s="1639"/>
    </row>
    <row r="168" spans="1:57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BE168" s="1639"/>
    </row>
    <row r="169" spans="1:57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BE169" s="1639"/>
    </row>
    <row r="170" spans="1:57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BE170" s="1639"/>
    </row>
    <row r="171" spans="1:57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BE171" s="1639"/>
    </row>
    <row r="172" spans="1:57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BE172" s="1639"/>
    </row>
    <row r="173" spans="1:57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BE173" s="1639"/>
    </row>
    <row r="174" spans="1:57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BE174" s="1639"/>
    </row>
    <row r="175" spans="1:57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BE175" s="1639"/>
    </row>
    <row r="176" spans="1:57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BE176" s="1639"/>
    </row>
    <row r="177" spans="1:57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BE177" s="1639"/>
    </row>
    <row r="178" spans="1:57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BE178" s="1639"/>
    </row>
    <row r="179" spans="1:57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BE179" s="1639"/>
    </row>
    <row r="180" spans="1:57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BE180" s="1639"/>
    </row>
    <row r="181" spans="1:57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BE181" s="1639"/>
    </row>
    <row r="182" spans="1:57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BE182" s="1639"/>
    </row>
    <row r="183" spans="1:57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BE183" s="1639"/>
    </row>
    <row r="184" spans="1:57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BE184" s="1639"/>
    </row>
    <row r="185" spans="1:57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BE185" s="1639"/>
    </row>
    <row r="186" spans="1:57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BE186" s="1639"/>
    </row>
    <row r="187" spans="1:57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BE187" s="1639"/>
    </row>
    <row r="188" spans="1:57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BE188" s="1639"/>
    </row>
    <row r="189" spans="1:57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BE189" s="1639"/>
    </row>
    <row r="190" spans="1:57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BE190" s="1639"/>
    </row>
    <row r="191" spans="1:57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BE191" s="1639"/>
    </row>
    <row r="192" spans="1:57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BE192" s="1639"/>
    </row>
    <row r="193" spans="1:57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BE193" s="1639"/>
    </row>
    <row r="194" spans="1:57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BE194" s="1639"/>
    </row>
    <row r="195" spans="1:57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BE195" s="1639"/>
    </row>
    <row r="196" spans="1:57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BE196" s="1639"/>
    </row>
    <row r="197" spans="1:57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BE197" s="1639"/>
    </row>
    <row r="198" spans="1:57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BE198" s="1639"/>
    </row>
    <row r="199" spans="1:57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BE199" s="1639"/>
    </row>
    <row r="200" spans="1:57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BE200" s="1639"/>
    </row>
    <row r="201" spans="1:57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BE201" s="1639"/>
    </row>
    <row r="202" spans="1:57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BE202" s="1639"/>
    </row>
    <row r="203" spans="1:57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BE203" s="1639"/>
    </row>
    <row r="204" spans="1:57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BE204" s="1639"/>
    </row>
    <row r="205" spans="1:57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BE205" s="1639"/>
    </row>
    <row r="206" spans="1:57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BE206" s="1639"/>
    </row>
    <row r="207" spans="1:57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BE207" s="1639"/>
    </row>
    <row r="208" spans="1:57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BE208" s="1639"/>
    </row>
    <row r="209" spans="1:57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BE209" s="1639"/>
    </row>
    <row r="210" spans="1:57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BE210" s="1639"/>
    </row>
    <row r="211" spans="1:57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BE211" s="1639"/>
    </row>
    <row r="212" spans="1:57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BE212" s="1639"/>
    </row>
    <row r="213" spans="1:57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BE213" s="1639"/>
    </row>
    <row r="214" spans="1:57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BE214" s="1639"/>
    </row>
    <row r="215" spans="1:57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BE215" s="1639"/>
    </row>
  </sheetData>
  <mergeCells count="4">
    <mergeCell ref="AC109:AI109"/>
    <mergeCell ref="AC103:AH103"/>
    <mergeCell ref="AC101:AH101"/>
    <mergeCell ref="AR126:AW126"/>
  </mergeCells>
  <phoneticPr fontId="39" type="noConversion"/>
  <pageMargins left="1" right="0.75" top="1" bottom="1" header="0.5" footer="0.5"/>
  <pageSetup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11">
    <tabColor theme="7" tint="-0.249977111117893"/>
    <pageSetUpPr fitToPage="1"/>
  </sheetPr>
  <dimension ref="A1:AD95"/>
  <sheetViews>
    <sheetView zoomScale="96" zoomScaleNormal="96" workbookViewId="0"/>
  </sheetViews>
  <sheetFormatPr defaultColWidth="8" defaultRowHeight="13.2"/>
  <cols>
    <col min="1" max="2" width="16.44140625" customWidth="1"/>
    <col min="3" max="3" width="12.44140625" customWidth="1"/>
    <col min="4" max="4" width="14.5546875" customWidth="1"/>
    <col min="5" max="5" width="19.44140625" customWidth="1"/>
    <col min="6" max="6" width="6.5546875" customWidth="1"/>
    <col min="7" max="7" width="11" customWidth="1"/>
    <col min="8" max="8" width="17.5546875" customWidth="1"/>
    <col min="9" max="9" width="5.44140625" customWidth="1"/>
    <col min="10" max="10" width="8" customWidth="1"/>
    <col min="11" max="11" width="7.5546875" customWidth="1"/>
    <col min="12" max="12" width="2" customWidth="1"/>
    <col min="13" max="13" width="45.5546875" bestFit="1" customWidth="1"/>
    <col min="14" max="14" width="1.5546875" customWidth="1"/>
    <col min="15" max="15" width="15" bestFit="1" customWidth="1"/>
    <col min="16" max="16" width="19.5546875" bestFit="1" customWidth="1"/>
    <col min="17" max="17" width="2.5546875" customWidth="1"/>
    <col min="18" max="18" width="15.44140625" customWidth="1"/>
    <col min="21" max="21" width="6" customWidth="1"/>
    <col min="22" max="22" width="3.33203125" customWidth="1"/>
    <col min="23" max="23" width="31.6640625" customWidth="1"/>
    <col min="24" max="24" width="3.33203125" customWidth="1"/>
    <col min="25" max="25" width="17.88671875" customWidth="1"/>
    <col min="26" max="26" width="3.33203125" customWidth="1"/>
    <col min="27" max="27" width="17.88671875" customWidth="1"/>
    <col min="28" max="28" width="3.33203125" customWidth="1"/>
    <col min="29" max="29" width="17.88671875" customWidth="1"/>
  </cols>
  <sheetData>
    <row r="1" spans="1:18">
      <c r="A1" s="968" t="str">
        <f>COMPANY</f>
        <v>DUKE ENERGY KENTUCKY, INC.</v>
      </c>
      <c r="B1" s="968"/>
      <c r="C1" s="968"/>
      <c r="D1" s="968"/>
      <c r="E1" s="968"/>
      <c r="F1" s="968"/>
      <c r="G1" s="968"/>
      <c r="H1" s="968"/>
      <c r="I1" s="597"/>
      <c r="J1" s="597"/>
      <c r="K1" s="597"/>
      <c r="L1" s="597"/>
      <c r="M1" s="597"/>
      <c r="N1" s="597"/>
      <c r="O1" s="597"/>
      <c r="P1" s="597"/>
      <c r="Q1" s="597"/>
      <c r="R1" s="597"/>
    </row>
    <row r="2" spans="1:18">
      <c r="A2" s="968" t="str">
        <f>CASE</f>
        <v>CASE NO. 2024-00354</v>
      </c>
      <c r="B2" s="968"/>
      <c r="C2" s="968"/>
      <c r="D2" s="968"/>
      <c r="E2" s="968"/>
      <c r="F2" s="968"/>
      <c r="G2" s="968"/>
      <c r="H2" s="968"/>
      <c r="I2" s="597"/>
      <c r="J2" s="597"/>
      <c r="K2" s="597"/>
      <c r="L2" s="597"/>
      <c r="M2" s="597"/>
      <c r="N2" s="597"/>
      <c r="O2" s="597"/>
      <c r="P2" s="597"/>
      <c r="Q2" s="597"/>
      <c r="R2" s="597"/>
    </row>
    <row r="3" spans="1:18">
      <c r="A3" s="125" t="s">
        <v>2288</v>
      </c>
      <c r="B3" s="968"/>
      <c r="C3" s="968"/>
      <c r="D3" s="968"/>
      <c r="E3" s="968"/>
      <c r="F3" s="968"/>
      <c r="G3" s="968"/>
      <c r="H3" s="968"/>
      <c r="I3" s="597"/>
      <c r="J3" s="597"/>
      <c r="K3" s="597"/>
      <c r="L3" s="597"/>
      <c r="M3" s="597"/>
      <c r="N3" s="597"/>
      <c r="O3" s="597"/>
      <c r="P3" s="597"/>
      <c r="Q3" s="597"/>
      <c r="R3" s="597"/>
    </row>
    <row r="4" spans="1:18">
      <c r="A4" s="125" t="str">
        <f>PeriodF</f>
        <v>FOR THE TWELVE MONTHS ENDED JUNE 30, 2026</v>
      </c>
      <c r="B4" s="968"/>
      <c r="C4" s="968"/>
      <c r="D4" s="968"/>
      <c r="E4" s="968"/>
      <c r="F4" s="968"/>
      <c r="G4" s="968"/>
      <c r="H4" s="968"/>
      <c r="I4" s="597"/>
      <c r="J4" s="597"/>
      <c r="K4" s="597"/>
      <c r="L4" s="597"/>
      <c r="M4" s="597"/>
      <c r="N4" s="597"/>
      <c r="O4" s="597"/>
      <c r="P4" s="597"/>
      <c r="Q4" s="597"/>
      <c r="R4" s="597"/>
    </row>
    <row r="5" spans="1:18">
      <c r="A5" s="94"/>
      <c r="B5" s="597"/>
      <c r="C5" s="597"/>
      <c r="D5" s="597"/>
      <c r="E5" s="597"/>
      <c r="F5" s="597"/>
      <c r="G5" s="597"/>
      <c r="H5" s="597"/>
      <c r="I5" s="597"/>
      <c r="J5" s="597"/>
      <c r="K5" s="597"/>
      <c r="L5" s="597"/>
      <c r="M5" s="597"/>
      <c r="N5" s="597"/>
      <c r="O5" s="597"/>
      <c r="P5" s="597"/>
      <c r="Q5" s="597"/>
      <c r="R5" s="597"/>
    </row>
    <row r="6" spans="1:18">
      <c r="A6" s="94" t="str">
        <f>DataF</f>
        <v>DATA:  BASE PERIOD  "X" FORECASTED PERIOD</v>
      </c>
      <c r="B6" s="597"/>
      <c r="C6" s="597"/>
      <c r="D6" s="597"/>
      <c r="E6" s="597"/>
      <c r="F6" s="597"/>
      <c r="G6" s="733" t="s">
        <v>2289</v>
      </c>
      <c r="H6" s="597"/>
      <c r="I6" s="597"/>
      <c r="J6" s="597"/>
      <c r="K6" s="597"/>
      <c r="L6" s="597"/>
      <c r="M6" s="597"/>
      <c r="N6" s="597"/>
      <c r="O6" s="597"/>
      <c r="P6" s="597"/>
      <c r="Q6" s="597"/>
      <c r="R6" s="597"/>
    </row>
    <row r="7" spans="1:18">
      <c r="A7" s="94" t="str">
        <f>Type</f>
        <v xml:space="preserve">TYPE OF FILING:  "X" ORIGINAL   UPDATED    REVISED  </v>
      </c>
      <c r="B7" s="597"/>
      <c r="C7" s="597"/>
      <c r="D7" s="597"/>
      <c r="E7" s="597"/>
      <c r="F7" s="597"/>
      <c r="G7" s="733" t="s">
        <v>466</v>
      </c>
      <c r="H7" s="597"/>
      <c r="I7" s="597"/>
      <c r="J7" s="597"/>
      <c r="K7" s="597"/>
      <c r="L7" s="597"/>
      <c r="M7" s="597"/>
      <c r="N7" s="597"/>
      <c r="O7" s="597"/>
      <c r="P7" s="597"/>
      <c r="Q7" s="597"/>
      <c r="R7" s="597"/>
    </row>
    <row r="8" spans="1:18">
      <c r="A8" s="169" t="s">
        <v>2290</v>
      </c>
      <c r="B8" s="597"/>
      <c r="C8" s="597"/>
      <c r="D8" s="597"/>
      <c r="E8" s="597"/>
      <c r="F8" s="597"/>
      <c r="G8" s="733" t="s">
        <v>468</v>
      </c>
      <c r="H8" s="597"/>
      <c r="I8" s="597"/>
      <c r="J8" s="597"/>
      <c r="K8" s="597"/>
      <c r="L8" s="597"/>
      <c r="M8" s="597"/>
      <c r="N8" s="597"/>
      <c r="O8" s="597"/>
      <c r="P8" s="597"/>
      <c r="Q8" s="597"/>
      <c r="R8" s="597"/>
    </row>
    <row r="9" spans="1:18">
      <c r="A9" s="94"/>
      <c r="B9" s="597"/>
      <c r="C9" s="597"/>
      <c r="D9" s="597"/>
      <c r="E9" s="597"/>
      <c r="F9" s="597"/>
      <c r="G9" s="733" t="str">
        <f>_WIT1</f>
        <v>L. D. STEINKUHL</v>
      </c>
      <c r="H9" s="597"/>
      <c r="I9" s="597"/>
      <c r="J9" s="1424"/>
      <c r="K9" s="597"/>
      <c r="L9" s="597"/>
      <c r="M9" s="597"/>
      <c r="N9" s="597"/>
      <c r="O9" s="597"/>
      <c r="P9" s="597"/>
      <c r="Q9" s="597"/>
      <c r="R9" s="597"/>
    </row>
    <row r="10" spans="1:18">
      <c r="A10" s="98"/>
      <c r="B10" s="1510"/>
      <c r="C10" s="1510"/>
      <c r="D10" s="1510"/>
      <c r="E10" s="1510"/>
      <c r="F10" s="1510"/>
      <c r="G10" s="1510"/>
      <c r="H10" s="1510"/>
      <c r="I10" s="597"/>
      <c r="J10" s="597"/>
      <c r="K10" s="597"/>
      <c r="L10" s="597"/>
      <c r="M10" s="597"/>
      <c r="N10" s="597"/>
      <c r="O10" s="597"/>
      <c r="P10" s="597"/>
      <c r="Q10" s="597"/>
      <c r="R10" s="597"/>
    </row>
    <row r="11" spans="1:18">
      <c r="A11" s="2146"/>
      <c r="B11" s="597"/>
      <c r="C11" s="597"/>
      <c r="D11" s="597"/>
      <c r="E11" s="597"/>
      <c r="F11" s="597"/>
      <c r="G11" s="597"/>
      <c r="H11" s="597"/>
      <c r="I11" s="597"/>
      <c r="J11" s="597"/>
      <c r="K11" s="597"/>
      <c r="L11" s="597"/>
      <c r="M11" s="597"/>
      <c r="N11" s="597"/>
      <c r="O11" s="597"/>
      <c r="P11" s="597"/>
      <c r="Q11" s="597"/>
      <c r="R11" s="597"/>
    </row>
    <row r="12" spans="1:18">
      <c r="A12" s="169" t="s">
        <v>1857</v>
      </c>
      <c r="B12" s="597"/>
      <c r="C12" s="597"/>
      <c r="D12" s="597"/>
      <c r="E12" s="597"/>
      <c r="F12" s="597"/>
      <c r="G12" s="597"/>
      <c r="H12" s="701" t="s">
        <v>975</v>
      </c>
      <c r="I12" s="597"/>
      <c r="J12" s="597"/>
      <c r="K12" s="597"/>
      <c r="L12" s="597"/>
      <c r="M12" s="597"/>
      <c r="N12" s="597"/>
      <c r="O12" s="597"/>
      <c r="P12" s="597"/>
      <c r="Q12" s="597"/>
      <c r="R12" s="597"/>
    </row>
    <row r="13" spans="1:18">
      <c r="A13" s="1515"/>
      <c r="B13" s="1510"/>
      <c r="C13" s="1510"/>
      <c r="D13" s="1510"/>
      <c r="E13" s="1510"/>
      <c r="F13" s="1510"/>
      <c r="G13" s="1510"/>
      <c r="H13" s="1510"/>
      <c r="I13" s="597"/>
      <c r="J13" s="597"/>
      <c r="K13" s="597"/>
      <c r="L13" s="597"/>
      <c r="M13" s="597"/>
      <c r="N13" s="597"/>
      <c r="O13" s="597"/>
      <c r="P13" s="597"/>
      <c r="Q13" s="597"/>
      <c r="R13" s="597"/>
    </row>
    <row r="14" spans="1:18">
      <c r="A14" s="94"/>
      <c r="B14" s="597"/>
      <c r="C14" s="597"/>
      <c r="D14" s="597"/>
      <c r="E14" s="597"/>
      <c r="F14" s="597"/>
      <c r="G14" s="597"/>
      <c r="H14" s="597"/>
      <c r="I14" s="597"/>
      <c r="J14" s="597"/>
      <c r="K14" s="597"/>
      <c r="L14" s="597"/>
      <c r="M14" s="597"/>
      <c r="N14" s="597"/>
      <c r="O14" s="597"/>
      <c r="P14" s="597"/>
      <c r="Q14" s="597"/>
      <c r="R14" s="597"/>
    </row>
    <row r="15" spans="1:18">
      <c r="A15" s="169" t="s">
        <v>2291</v>
      </c>
      <c r="B15" s="599"/>
      <c r="C15" s="599"/>
      <c r="D15" s="599"/>
      <c r="E15" s="599"/>
      <c r="F15" s="599"/>
      <c r="G15" s="599"/>
      <c r="H15" s="599"/>
      <c r="I15" s="599"/>
      <c r="J15" s="597"/>
      <c r="K15" s="597"/>
      <c r="L15" s="597"/>
      <c r="M15" s="597"/>
      <c r="N15" s="597"/>
      <c r="O15" s="597"/>
      <c r="P15" s="597"/>
      <c r="Q15" s="597"/>
      <c r="R15" s="597"/>
    </row>
    <row r="16" spans="1:18">
      <c r="A16" s="169" t="s">
        <v>2292</v>
      </c>
      <c r="B16" s="599"/>
      <c r="C16" s="599"/>
      <c r="D16" s="599"/>
      <c r="E16" s="599"/>
      <c r="F16" s="599"/>
      <c r="G16" s="599"/>
      <c r="H16" s="599"/>
      <c r="I16" s="599"/>
      <c r="J16" s="597"/>
      <c r="K16" s="597"/>
      <c r="L16" s="597"/>
      <c r="M16" s="597"/>
      <c r="N16" s="597"/>
      <c r="O16" s="597"/>
      <c r="P16" s="597"/>
      <c r="Q16" s="597"/>
      <c r="R16" s="597"/>
    </row>
    <row r="17" spans="1:18">
      <c r="A17" s="598" t="s">
        <v>2293</v>
      </c>
      <c r="B17" s="599"/>
      <c r="C17" s="599"/>
      <c r="D17" s="599"/>
      <c r="E17" s="599"/>
      <c r="F17" s="599"/>
      <c r="G17" s="599"/>
      <c r="H17" s="599"/>
      <c r="I17" s="599"/>
      <c r="J17" s="597"/>
      <c r="K17" s="597"/>
      <c r="L17" s="597"/>
      <c r="M17" s="597"/>
      <c r="N17" s="597"/>
      <c r="O17" s="597"/>
      <c r="P17" s="597"/>
      <c r="Q17" s="597"/>
      <c r="R17" s="597"/>
    </row>
    <row r="18" spans="1:18">
      <c r="A18" s="598"/>
      <c r="B18" s="599"/>
      <c r="C18" s="599"/>
      <c r="D18" s="599"/>
      <c r="E18" s="599"/>
      <c r="F18" s="599"/>
      <c r="G18" s="969"/>
      <c r="H18" s="599"/>
      <c r="I18" s="599"/>
      <c r="J18" s="597"/>
      <c r="K18" s="597"/>
      <c r="L18" s="597"/>
      <c r="M18" s="597"/>
      <c r="N18" s="597"/>
      <c r="O18" s="597"/>
      <c r="P18" s="597"/>
      <c r="Q18" s="597"/>
      <c r="R18" s="597"/>
    </row>
    <row r="19" spans="1:18">
      <c r="A19" s="599"/>
      <c r="B19" s="599"/>
      <c r="C19" s="599"/>
      <c r="D19" s="599"/>
      <c r="E19" s="599"/>
      <c r="F19" s="599"/>
      <c r="G19" s="599"/>
      <c r="H19" s="599"/>
      <c r="I19" s="599"/>
      <c r="J19" s="597"/>
      <c r="K19" s="597"/>
      <c r="L19" s="597"/>
      <c r="M19" s="597"/>
      <c r="N19" s="597"/>
      <c r="O19" s="597"/>
      <c r="P19" s="597"/>
      <c r="Q19" s="597"/>
      <c r="R19" s="597"/>
    </row>
    <row r="20" spans="1:18">
      <c r="A20" s="598" t="s">
        <v>1718</v>
      </c>
      <c r="B20" s="599"/>
      <c r="C20" s="599"/>
      <c r="D20" s="599"/>
      <c r="E20" s="599"/>
      <c r="F20" s="599"/>
      <c r="G20" s="599"/>
      <c r="H20" s="682">
        <f>-R69</f>
        <v>-467219.78403344995</v>
      </c>
      <c r="J20" s="597"/>
      <c r="K20" s="597"/>
      <c r="L20" s="597"/>
      <c r="M20" s="597"/>
      <c r="N20" s="597"/>
      <c r="O20" s="597"/>
      <c r="P20" s="597"/>
      <c r="Q20" s="597"/>
      <c r="R20" s="597"/>
    </row>
    <row r="21" spans="1:18">
      <c r="A21" s="599"/>
      <c r="B21" s="599"/>
      <c r="C21" s="599"/>
      <c r="D21" s="599"/>
      <c r="E21" s="599"/>
      <c r="F21" s="599"/>
      <c r="G21" s="599"/>
      <c r="H21" s="1669"/>
      <c r="J21" s="597"/>
      <c r="K21" s="597"/>
      <c r="L21" s="597"/>
      <c r="M21" s="597"/>
      <c r="N21" s="597"/>
      <c r="O21" s="597"/>
      <c r="P21" s="597"/>
      <c r="Q21" s="597"/>
      <c r="R21" s="597"/>
    </row>
    <row r="22" spans="1:18">
      <c r="A22" s="599" t="s">
        <v>2294</v>
      </c>
      <c r="B22" s="599"/>
      <c r="C22" s="599"/>
      <c r="D22" s="599"/>
      <c r="E22" s="599"/>
      <c r="F22" s="599"/>
      <c r="G22" s="599"/>
      <c r="H22" s="1671">
        <f>-AC94</f>
        <v>-66380</v>
      </c>
      <c r="J22" s="597"/>
      <c r="K22" s="597"/>
      <c r="L22" s="597"/>
      <c r="M22" s="597"/>
      <c r="N22" s="597"/>
      <c r="O22" s="597"/>
      <c r="P22" s="597"/>
      <c r="Q22" s="597"/>
      <c r="R22" s="597"/>
    </row>
    <row r="23" spans="1:18">
      <c r="A23" s="599"/>
      <c r="B23" s="599"/>
      <c r="C23" s="599"/>
      <c r="D23" s="599"/>
      <c r="E23" s="599"/>
      <c r="F23" s="599"/>
      <c r="G23" s="599"/>
      <c r="H23" s="599"/>
      <c r="J23" s="597"/>
      <c r="K23" s="597"/>
      <c r="L23" s="597"/>
      <c r="M23" s="597"/>
      <c r="N23" s="597"/>
      <c r="O23" s="597"/>
      <c r="P23" s="597"/>
      <c r="Q23" s="597"/>
      <c r="R23" s="597"/>
    </row>
    <row r="24" spans="1:18">
      <c r="A24" s="599" t="s">
        <v>2295</v>
      </c>
      <c r="B24" s="599"/>
      <c r="C24" s="599"/>
      <c r="D24" s="599"/>
      <c r="E24" s="599"/>
      <c r="F24" s="599"/>
      <c r="G24" s="599"/>
      <c r="H24" s="1670">
        <f>H20+H22</f>
        <v>-533599.78403344995</v>
      </c>
      <c r="J24" s="597"/>
      <c r="K24" s="597"/>
      <c r="L24" s="597"/>
      <c r="M24" s="597"/>
      <c r="N24" s="597"/>
      <c r="O24" s="597"/>
      <c r="P24" s="597"/>
      <c r="Q24" s="597"/>
      <c r="R24" s="597"/>
    </row>
    <row r="25" spans="1:18">
      <c r="A25" s="599"/>
      <c r="B25" s="599"/>
      <c r="C25" s="599"/>
      <c r="D25" s="599"/>
      <c r="E25" s="599"/>
      <c r="F25" s="599"/>
      <c r="G25" s="599"/>
      <c r="H25" s="599"/>
      <c r="J25" s="597"/>
      <c r="K25" s="597"/>
      <c r="L25" s="597"/>
      <c r="M25" s="597"/>
      <c r="N25" s="597"/>
      <c r="O25" s="597"/>
      <c r="P25" s="597"/>
      <c r="Q25" s="597"/>
      <c r="R25" s="597"/>
    </row>
    <row r="26" spans="1:18">
      <c r="A26" s="598" t="s">
        <v>1862</v>
      </c>
      <c r="B26" s="599"/>
      <c r="C26" s="599"/>
      <c r="D26" s="599"/>
      <c r="E26" s="599"/>
      <c r="F26" s="599"/>
      <c r="G26" s="599"/>
      <c r="H26" s="703">
        <f>VLOOKUP(C33,ALLOCTABLE,2)/100</f>
        <v>1</v>
      </c>
      <c r="J26" s="597"/>
      <c r="K26" s="597"/>
      <c r="L26" s="597"/>
      <c r="M26" s="597"/>
      <c r="N26" s="597"/>
      <c r="O26" s="597"/>
      <c r="P26" s="597"/>
      <c r="Q26" s="597"/>
      <c r="R26" s="597"/>
    </row>
    <row r="27" spans="1:18">
      <c r="A27" s="599"/>
      <c r="B27" s="599"/>
      <c r="C27" s="599"/>
      <c r="D27" s="599"/>
      <c r="E27" s="599"/>
      <c r="F27" s="599"/>
      <c r="G27" s="599"/>
      <c r="H27" s="704"/>
    </row>
    <row r="28" spans="1:18">
      <c r="A28" s="599"/>
      <c r="B28" s="599"/>
      <c r="C28" s="599"/>
      <c r="D28" s="599"/>
      <c r="E28" s="599"/>
      <c r="F28" s="599"/>
      <c r="G28" s="599"/>
      <c r="H28" s="599"/>
      <c r="K28" s="811"/>
      <c r="L28" s="29"/>
    </row>
    <row r="29" spans="1:18" ht="15">
      <c r="A29" s="598" t="s">
        <v>1863</v>
      </c>
      <c r="B29" s="599"/>
      <c r="C29" s="599"/>
      <c r="D29" s="599"/>
      <c r="E29" s="598" t="s">
        <v>1876</v>
      </c>
      <c r="G29" s="599"/>
      <c r="H29" s="705">
        <f>ROUND(H24*H26,0)</f>
        <v>-533600</v>
      </c>
    </row>
    <row r="30" spans="1:18">
      <c r="A30" s="599"/>
      <c r="B30" s="599"/>
      <c r="C30" s="599"/>
      <c r="D30" s="599"/>
      <c r="E30" s="599"/>
      <c r="F30" s="599"/>
      <c r="G30" s="599"/>
      <c r="H30" s="599"/>
      <c r="I30" s="704"/>
      <c r="K30" s="970"/>
    </row>
    <row r="31" spans="1:18">
      <c r="A31" s="599"/>
      <c r="B31" s="599"/>
      <c r="C31" s="599"/>
      <c r="D31" s="599"/>
      <c r="E31" s="599"/>
      <c r="F31" s="599"/>
      <c r="G31" s="599"/>
      <c r="H31" s="599"/>
      <c r="I31" s="704"/>
      <c r="M31" s="29"/>
    </row>
    <row r="32" spans="1:18">
      <c r="A32" s="599"/>
      <c r="B32" s="599"/>
      <c r="C32" s="599"/>
      <c r="D32" s="599"/>
      <c r="E32" s="599"/>
      <c r="F32" s="599"/>
      <c r="G32" s="599"/>
      <c r="H32" s="599"/>
      <c r="I32" s="599"/>
      <c r="M32" s="971"/>
    </row>
    <row r="33" spans="1:18">
      <c r="A33" s="598" t="s">
        <v>1864</v>
      </c>
      <c r="B33" s="599"/>
      <c r="C33" s="966" t="s">
        <v>428</v>
      </c>
      <c r="E33" s="599"/>
      <c r="F33" s="599"/>
      <c r="G33" s="599"/>
      <c r="H33" s="599"/>
      <c r="I33" s="599"/>
    </row>
    <row r="40" spans="1:18">
      <c r="K40" s="972" t="str">
        <f>COMPANY</f>
        <v>DUKE ENERGY KENTUCKY, INC.</v>
      </c>
      <c r="L40" s="972"/>
      <c r="M40" s="972"/>
      <c r="N40" s="972"/>
      <c r="O40" s="972"/>
      <c r="P40" s="778" t="s">
        <v>2296</v>
      </c>
      <c r="Q40" s="599"/>
    </row>
    <row r="41" spans="1:18">
      <c r="K41" s="972" t="str">
        <f>DEPT</f>
        <v>ELECTRIC DEPARTMENT</v>
      </c>
      <c r="L41" s="972"/>
      <c r="M41" s="972"/>
      <c r="N41" s="972"/>
      <c r="O41" s="972"/>
      <c r="P41" s="778" t="s">
        <v>468</v>
      </c>
      <c r="Q41" s="599"/>
    </row>
    <row r="42" spans="1:18">
      <c r="K42" s="972" t="str">
        <f>CASE</f>
        <v>CASE NO. 2024-00354</v>
      </c>
      <c r="L42" s="972"/>
      <c r="M42" s="972"/>
      <c r="N42" s="972"/>
      <c r="O42" s="972"/>
      <c r="P42" s="778" t="str">
        <f>_WIT1</f>
        <v>L. D. STEINKUHL</v>
      </c>
      <c r="Q42" s="599"/>
    </row>
    <row r="43" spans="1:18">
      <c r="K43" s="778" t="str">
        <f>A3</f>
        <v>PENSION ADJUSTMENT</v>
      </c>
      <c r="L43" s="972"/>
      <c r="M43" s="972"/>
      <c r="N43" s="972"/>
      <c r="O43" s="972"/>
      <c r="P43" s="599"/>
      <c r="Q43" s="599"/>
      <c r="R43" s="599"/>
    </row>
    <row r="44" spans="1:18">
      <c r="K44" s="778"/>
      <c r="L44" s="972"/>
      <c r="M44" s="972"/>
      <c r="N44" s="972"/>
      <c r="O44" s="972"/>
      <c r="P44" s="599"/>
      <c r="Q44" s="599"/>
      <c r="R44" s="599"/>
    </row>
    <row r="45" spans="1:18">
      <c r="K45" s="778"/>
      <c r="L45" s="972"/>
      <c r="M45" s="972"/>
      <c r="N45" s="972"/>
      <c r="O45" s="972"/>
      <c r="P45" s="599"/>
      <c r="Q45" s="599"/>
      <c r="R45" s="599"/>
    </row>
    <row r="46" spans="1:18">
      <c r="K46" s="778"/>
      <c r="L46" s="972"/>
      <c r="M46" s="972"/>
      <c r="N46" s="972"/>
      <c r="O46" s="972"/>
      <c r="P46" s="599"/>
      <c r="Q46" s="599"/>
      <c r="R46" s="599"/>
    </row>
    <row r="48" spans="1:18">
      <c r="R48" s="33"/>
    </row>
    <row r="49" spans="11:18" ht="39.6">
      <c r="K49" s="1531" t="s">
        <v>2297</v>
      </c>
      <c r="M49" s="1532" t="s">
        <v>2</v>
      </c>
      <c r="N49" s="1207"/>
      <c r="O49" s="1533" t="s">
        <v>2298</v>
      </c>
      <c r="P49" s="1533" t="s">
        <v>2299</v>
      </c>
      <c r="Q49" s="29"/>
      <c r="R49" s="1533" t="s">
        <v>258</v>
      </c>
    </row>
    <row r="50" spans="11:18">
      <c r="K50" s="201"/>
      <c r="L50" s="201"/>
      <c r="M50" s="29"/>
      <c r="N50" s="1207"/>
      <c r="O50" s="1207"/>
      <c r="P50" s="1207"/>
      <c r="Q50" s="29"/>
      <c r="R50" s="29"/>
    </row>
    <row r="51" spans="11:18">
      <c r="K51" s="201"/>
      <c r="L51" s="201"/>
      <c r="M51" s="29"/>
      <c r="N51" s="1207"/>
      <c r="O51" s="1207"/>
      <c r="P51" s="1207"/>
      <c r="Q51" s="29"/>
      <c r="R51" s="29"/>
    </row>
    <row r="52" spans="11:18">
      <c r="K52" s="10">
        <v>1</v>
      </c>
      <c r="M52" s="1207" t="s">
        <v>2300</v>
      </c>
      <c r="N52" s="1207"/>
      <c r="O52" s="1708">
        <v>579570</v>
      </c>
      <c r="P52" s="1708">
        <v>26299095</v>
      </c>
      <c r="Q52" s="29"/>
      <c r="R52" s="29"/>
    </row>
    <row r="53" spans="11:18">
      <c r="M53" s="1208"/>
      <c r="N53" s="1207"/>
      <c r="O53" s="646"/>
      <c r="P53" s="646"/>
      <c r="Q53" s="29"/>
      <c r="R53" s="29"/>
    </row>
    <row r="54" spans="11:18">
      <c r="K54" s="10">
        <v>2</v>
      </c>
      <c r="M54" s="1208" t="s">
        <v>2301</v>
      </c>
      <c r="N54" s="1207"/>
      <c r="O54" s="1323">
        <v>0.73839999999999995</v>
      </c>
      <c r="P54" s="646"/>
      <c r="Q54" s="29"/>
      <c r="R54" s="29"/>
    </row>
    <row r="55" spans="11:18">
      <c r="K55" s="10">
        <v>3</v>
      </c>
      <c r="M55" s="1209" t="s">
        <v>2302</v>
      </c>
      <c r="N55" s="1210"/>
      <c r="O55" s="1323">
        <v>0.48459999999999998</v>
      </c>
      <c r="P55" s="1323">
        <v>0.56410000000000005</v>
      </c>
      <c r="Q55" s="29"/>
      <c r="R55" s="29"/>
    </row>
    <row r="56" spans="11:18">
      <c r="K56" s="10">
        <v>4</v>
      </c>
      <c r="M56" s="1208" t="s">
        <v>2303</v>
      </c>
      <c r="N56" s="1207"/>
      <c r="O56" s="646"/>
      <c r="P56" s="1323">
        <v>2.87E-2</v>
      </c>
      <c r="Q56" s="29"/>
      <c r="R56" s="29"/>
    </row>
    <row r="57" spans="11:18">
      <c r="K57" s="10"/>
      <c r="M57" s="1206"/>
      <c r="N57" s="1206"/>
      <c r="O57" s="1206"/>
      <c r="P57" s="1206"/>
      <c r="Q57" s="29"/>
      <c r="R57" s="29"/>
    </row>
    <row r="58" spans="11:18">
      <c r="K58" s="10">
        <v>5</v>
      </c>
      <c r="M58" s="1208" t="s">
        <v>2304</v>
      </c>
      <c r="N58" s="1207"/>
      <c r="O58" s="2152">
        <f>O52*O54*O55</f>
        <v>207386.74488479996</v>
      </c>
      <c r="P58" s="2152">
        <f>P52*P55*P56</f>
        <v>425773.66934865003</v>
      </c>
      <c r="Q58" s="29"/>
      <c r="R58" s="29"/>
    </row>
    <row r="59" spans="11:18">
      <c r="K59" s="10"/>
      <c r="M59" s="1208"/>
      <c r="N59" s="1207"/>
      <c r="O59" s="1211"/>
      <c r="P59" s="1211"/>
      <c r="Q59" s="29"/>
      <c r="R59" s="29"/>
    </row>
    <row r="60" spans="11:18">
      <c r="K60" s="10">
        <v>6</v>
      </c>
      <c r="M60" s="1207" t="s">
        <v>2305</v>
      </c>
      <c r="N60" s="1207"/>
      <c r="O60" s="1760">
        <v>-190176</v>
      </c>
      <c r="P60" s="1760">
        <v>-7201343</v>
      </c>
      <c r="Q60" s="29"/>
      <c r="R60" s="29"/>
    </row>
    <row r="61" spans="11:18">
      <c r="K61" s="10">
        <v>7</v>
      </c>
      <c r="M61" s="1207" t="s">
        <v>2306</v>
      </c>
      <c r="N61" s="1207"/>
      <c r="O61" s="1870">
        <v>76626</v>
      </c>
      <c r="P61" s="646" t="s">
        <v>2307</v>
      </c>
      <c r="Q61" s="29"/>
      <c r="R61" s="29"/>
    </row>
    <row r="62" spans="11:18">
      <c r="K62" s="10"/>
      <c r="M62" s="1208"/>
      <c r="N62" s="1207"/>
      <c r="O62" s="646"/>
      <c r="P62" s="646"/>
      <c r="Q62" s="29"/>
      <c r="R62" s="29"/>
    </row>
    <row r="63" spans="11:18">
      <c r="K63" s="10">
        <v>8</v>
      </c>
      <c r="M63" s="1208" t="s">
        <v>2301</v>
      </c>
      <c r="N63" s="1207"/>
      <c r="O63" s="1323">
        <v>0.73839999999999995</v>
      </c>
      <c r="P63" s="646"/>
      <c r="Q63" s="29"/>
      <c r="R63" s="29"/>
    </row>
    <row r="64" spans="11:18">
      <c r="K64" s="10">
        <v>9</v>
      </c>
      <c r="M64" s="1209" t="s">
        <v>2302</v>
      </c>
      <c r="N64" s="1207"/>
      <c r="O64" s="1761">
        <v>1</v>
      </c>
      <c r="P64" s="1761">
        <v>1</v>
      </c>
      <c r="Q64" s="29"/>
      <c r="R64" s="29"/>
    </row>
    <row r="65" spans="11:30">
      <c r="K65" s="10">
        <v>10</v>
      </c>
      <c r="M65" s="1208" t="s">
        <v>2308</v>
      </c>
      <c r="N65" s="1207"/>
      <c r="O65" s="646"/>
      <c r="P65" s="1323">
        <v>1.14E-2</v>
      </c>
      <c r="Q65" s="29"/>
      <c r="R65" s="29"/>
    </row>
    <row r="66" spans="11:30">
      <c r="M66" s="1208"/>
      <c r="N66" s="1207"/>
      <c r="O66" s="1534"/>
      <c r="P66" s="1534"/>
      <c r="Q66" s="29"/>
      <c r="R66" s="29"/>
    </row>
    <row r="67" spans="11:30">
      <c r="K67" s="10">
        <v>11</v>
      </c>
      <c r="M67" s="1208" t="s">
        <v>2304</v>
      </c>
      <c r="N67" s="1207"/>
      <c r="O67" s="1212">
        <f>(O60*O63*O64)+(O61*O63*O64)</f>
        <v>-83845.320000000007</v>
      </c>
      <c r="P67" s="1212">
        <f>P60*P64*P65</f>
        <v>-82095.310200000007</v>
      </c>
      <c r="Q67" s="29"/>
      <c r="R67" s="29"/>
    </row>
    <row r="68" spans="11:30">
      <c r="M68" s="1207"/>
      <c r="N68" s="1207"/>
      <c r="O68" s="1211"/>
      <c r="P68" s="1211"/>
      <c r="Q68" s="29"/>
      <c r="R68" s="29"/>
    </row>
    <row r="69" spans="11:30" ht="13.8" thickBot="1">
      <c r="K69" s="10">
        <v>12</v>
      </c>
      <c r="M69" s="1207" t="s">
        <v>2309</v>
      </c>
      <c r="N69" s="1207"/>
      <c r="O69" s="1701">
        <f>O58+O67</f>
        <v>123541.42488479996</v>
      </c>
      <c r="P69" s="1701">
        <f>P58+P67</f>
        <v>343678.35914865002</v>
      </c>
      <c r="Q69" s="29"/>
      <c r="R69" s="1701">
        <f>SUM(O69:Q69)</f>
        <v>467219.78403344995</v>
      </c>
    </row>
    <row r="70" spans="11:30" ht="13.8" thickTop="1"/>
    <row r="73" spans="11:30">
      <c r="U73" s="29" t="s">
        <v>4</v>
      </c>
      <c r="V73" s="29"/>
      <c r="W73" s="29"/>
      <c r="X73" s="29"/>
      <c r="Y73" s="29"/>
      <c r="Z73" s="29"/>
      <c r="AA73" s="29"/>
      <c r="AB73" s="29" t="s">
        <v>2310</v>
      </c>
      <c r="AC73" s="29"/>
      <c r="AD73" s="29"/>
    </row>
    <row r="74" spans="11:30">
      <c r="U74" s="29" t="s">
        <v>22</v>
      </c>
      <c r="V74" s="29"/>
      <c r="W74" s="29"/>
      <c r="X74" s="29"/>
      <c r="Y74" s="29"/>
      <c r="Z74" s="29"/>
      <c r="AA74" s="29"/>
      <c r="AB74" s="29" t="s">
        <v>468</v>
      </c>
      <c r="AC74" s="29"/>
      <c r="AD74" s="29"/>
    </row>
    <row r="75" spans="11:30">
      <c r="U75" s="29" t="str">
        <f>CASE</f>
        <v>CASE NO. 2024-00354</v>
      </c>
      <c r="V75" s="29"/>
      <c r="W75" s="29"/>
      <c r="X75" s="29"/>
      <c r="Y75" s="29"/>
      <c r="Z75" s="29"/>
      <c r="AA75" s="29"/>
      <c r="AB75" s="29" t="s">
        <v>12</v>
      </c>
      <c r="AC75" s="29"/>
      <c r="AD75" s="29"/>
    </row>
    <row r="76" spans="11:30">
      <c r="U76" s="29" t="s">
        <v>2311</v>
      </c>
      <c r="V76" s="29"/>
      <c r="W76" s="29"/>
      <c r="X76" s="29"/>
      <c r="Y76" s="29"/>
      <c r="Z76" s="29"/>
      <c r="AA76" s="29"/>
      <c r="AB76" s="29"/>
      <c r="AC76" s="29"/>
      <c r="AD76" s="29"/>
    </row>
    <row r="77" spans="11:30">
      <c r="U77" s="29"/>
      <c r="V77" s="29"/>
      <c r="W77" s="29"/>
      <c r="X77" s="29"/>
      <c r="Y77" s="29"/>
      <c r="Z77" s="29"/>
      <c r="AA77" s="29"/>
      <c r="AB77" s="29"/>
      <c r="AC77" s="29"/>
      <c r="AD77" s="29"/>
    </row>
    <row r="78" spans="11:30">
      <c r="U78" s="29"/>
      <c r="V78" s="29"/>
      <c r="W78" s="29"/>
      <c r="X78" s="29"/>
      <c r="Y78" s="29"/>
      <c r="Z78" s="29"/>
      <c r="AA78" s="29"/>
      <c r="AB78" s="29"/>
      <c r="AC78" s="29"/>
      <c r="AD78" s="29"/>
    </row>
    <row r="79" spans="11:30" ht="26.4">
      <c r="U79" s="1531" t="s">
        <v>2297</v>
      </c>
      <c r="V79" s="29"/>
      <c r="W79" s="1532" t="s">
        <v>2</v>
      </c>
      <c r="X79" s="29"/>
      <c r="Y79" s="1532" t="s">
        <v>2312</v>
      </c>
      <c r="Z79" s="1532"/>
      <c r="AA79" s="1532" t="s">
        <v>14</v>
      </c>
      <c r="AB79" s="1532"/>
      <c r="AC79" s="1532" t="s">
        <v>258</v>
      </c>
      <c r="AD79" s="29"/>
    </row>
    <row r="80" spans="11:30">
      <c r="U80" s="29"/>
      <c r="V80" s="29"/>
      <c r="W80" s="29"/>
      <c r="X80" s="29"/>
      <c r="Y80" s="29"/>
      <c r="Z80" s="29"/>
      <c r="AA80" s="1760"/>
      <c r="AB80" s="29"/>
      <c r="AC80" s="29"/>
      <c r="AD80" s="29"/>
    </row>
    <row r="81" spans="21:30">
      <c r="U81" s="33">
        <v>1</v>
      </c>
      <c r="V81" s="29"/>
      <c r="W81" s="1754" t="s">
        <v>2313</v>
      </c>
      <c r="X81" s="29"/>
      <c r="Y81" s="1760">
        <v>-173</v>
      </c>
      <c r="Z81" s="1755"/>
      <c r="AA81" s="1760">
        <v>-240</v>
      </c>
      <c r="AB81" s="1755"/>
      <c r="AC81" s="29"/>
      <c r="AD81" s="29"/>
    </row>
    <row r="82" spans="21:30">
      <c r="U82" s="33">
        <v>2</v>
      </c>
      <c r="V82" s="29"/>
      <c r="W82" s="1754" t="s">
        <v>2314</v>
      </c>
      <c r="X82" s="29"/>
      <c r="Y82" s="1323">
        <v>0.72370000000000001</v>
      </c>
      <c r="Z82" s="1761"/>
      <c r="AA82" s="1323">
        <v>0.72370000000000001</v>
      </c>
      <c r="AB82" s="1756"/>
      <c r="AC82" s="29"/>
      <c r="AD82" s="29"/>
    </row>
    <row r="83" spans="21:30">
      <c r="U83" s="33">
        <v>3</v>
      </c>
      <c r="V83" s="29"/>
      <c r="W83" s="1754" t="s">
        <v>2315</v>
      </c>
      <c r="X83" s="29"/>
      <c r="Y83" s="1762">
        <v>1</v>
      </c>
      <c r="Z83" s="1762"/>
      <c r="AA83" s="1762">
        <v>1</v>
      </c>
      <c r="AB83" s="1757"/>
      <c r="AC83" s="1753"/>
      <c r="AD83" s="29"/>
    </row>
    <row r="84" spans="21:30">
      <c r="U84" s="33">
        <v>4</v>
      </c>
      <c r="V84" s="29"/>
      <c r="W84" s="29" t="s">
        <v>2304</v>
      </c>
      <c r="X84" s="29"/>
      <c r="Y84" s="1760">
        <f>ROUND((Y81*Y82*Y83),0)</f>
        <v>-125</v>
      </c>
      <c r="Z84" s="1760"/>
      <c r="AA84" s="1760">
        <f>ROUND((AA81*AA82*AA83),0)</f>
        <v>-174</v>
      </c>
      <c r="AB84" s="1760"/>
      <c r="AC84" s="1760">
        <f>Y84+AA84</f>
        <v>-299</v>
      </c>
      <c r="AD84" s="29"/>
    </row>
    <row r="85" spans="21:30">
      <c r="U85" s="33"/>
      <c r="V85" s="29"/>
      <c r="W85" s="29"/>
      <c r="X85" s="29"/>
      <c r="Y85" s="29"/>
      <c r="Z85" s="29"/>
      <c r="AA85" s="29"/>
      <c r="AB85" s="29"/>
      <c r="AC85" s="29"/>
      <c r="AD85" s="29"/>
    </row>
    <row r="86" spans="21:30">
      <c r="U86" s="33"/>
      <c r="V86" s="29"/>
      <c r="W86" s="29"/>
      <c r="X86" s="29"/>
      <c r="Y86" s="29"/>
      <c r="Z86" s="29"/>
      <c r="AA86" s="29"/>
      <c r="AB86" s="29"/>
      <c r="AC86" s="29"/>
      <c r="AD86" s="29"/>
    </row>
    <row r="87" spans="21:30">
      <c r="U87" s="33"/>
      <c r="V87" s="29"/>
      <c r="W87" s="29"/>
      <c r="X87" s="29"/>
      <c r="Y87" s="29"/>
      <c r="Z87" s="29"/>
      <c r="AA87" s="29"/>
      <c r="AB87" s="29"/>
      <c r="AC87" s="29"/>
      <c r="AD87" s="29"/>
    </row>
    <row r="88" spans="21:30">
      <c r="U88" s="33">
        <v>5</v>
      </c>
      <c r="V88" s="29"/>
      <c r="W88" s="1754" t="s">
        <v>2316</v>
      </c>
      <c r="X88" s="29"/>
      <c r="Y88" s="1708">
        <v>3019020</v>
      </c>
      <c r="Z88" s="1755"/>
      <c r="AA88" s="1708">
        <v>2829966</v>
      </c>
      <c r="AB88" s="1755"/>
      <c r="AC88" s="1754"/>
      <c r="AD88" s="29"/>
    </row>
    <row r="89" spans="21:30">
      <c r="U89" s="33">
        <v>6</v>
      </c>
      <c r="V89" s="29"/>
      <c r="W89" s="1754" t="s">
        <v>2308</v>
      </c>
      <c r="X89" s="29"/>
      <c r="Y89" s="1323">
        <v>1.14E-2</v>
      </c>
      <c r="Z89" s="1323"/>
      <c r="AA89" s="1323">
        <v>1.14E-2</v>
      </c>
      <c r="AB89" s="1756"/>
      <c r="AC89" s="1754"/>
      <c r="AD89" s="29"/>
    </row>
    <row r="90" spans="21:30">
      <c r="U90" s="33">
        <v>7</v>
      </c>
      <c r="V90" s="29"/>
      <c r="W90" s="1754" t="s">
        <v>2315</v>
      </c>
      <c r="X90" s="29"/>
      <c r="Y90" s="1762">
        <v>1</v>
      </c>
      <c r="Z90" s="1762"/>
      <c r="AA90" s="1762">
        <v>1</v>
      </c>
      <c r="AB90" s="1757"/>
      <c r="AC90" s="1753" t="s">
        <v>2228</v>
      </c>
      <c r="AD90" s="29"/>
    </row>
    <row r="91" spans="21:30">
      <c r="U91" s="33">
        <v>8</v>
      </c>
      <c r="V91" s="29"/>
      <c r="W91" s="29" t="s">
        <v>2304</v>
      </c>
      <c r="X91" s="29"/>
      <c r="Y91" s="1755">
        <f>ROUND((Y88*Y89*Y90),0)</f>
        <v>34417</v>
      </c>
      <c r="Z91" s="1755"/>
      <c r="AA91" s="1755">
        <f>ROUND((AA88*AA89*AA90),0)</f>
        <v>32262</v>
      </c>
      <c r="AB91" s="1755"/>
      <c r="AC91" s="1755">
        <f>Y91+AA91</f>
        <v>66679</v>
      </c>
      <c r="AD91" s="29"/>
    </row>
    <row r="92" spans="21:30">
      <c r="U92" s="33"/>
      <c r="V92" s="29"/>
      <c r="W92" s="29"/>
      <c r="X92" s="29"/>
      <c r="Y92" s="29"/>
      <c r="Z92" s="29"/>
      <c r="AA92" s="29"/>
      <c r="AB92" s="29"/>
      <c r="AC92" s="29"/>
      <c r="AD92" s="29"/>
    </row>
    <row r="93" spans="21:30">
      <c r="U93" s="33"/>
      <c r="V93" s="29"/>
      <c r="W93" s="29"/>
      <c r="X93" s="29"/>
      <c r="Y93" s="29"/>
      <c r="Z93" s="29"/>
      <c r="AA93" s="29"/>
      <c r="AB93" s="29"/>
      <c r="AC93" s="29"/>
      <c r="AD93" s="29"/>
    </row>
    <row r="94" spans="21:30" ht="13.8" thickBot="1">
      <c r="U94" s="33">
        <v>9</v>
      </c>
      <c r="V94" s="29"/>
      <c r="W94" s="1207" t="s">
        <v>2317</v>
      </c>
      <c r="X94" s="29"/>
      <c r="Y94" s="1758">
        <f>Y84+Y91</f>
        <v>34292</v>
      </c>
      <c r="Z94" s="1758"/>
      <c r="AA94" s="1758">
        <f>AA84+AA91</f>
        <v>32088</v>
      </c>
      <c r="AB94" s="1758"/>
      <c r="AC94" s="1758">
        <f>AC84+AC91</f>
        <v>66380</v>
      </c>
      <c r="AD94" s="29"/>
    </row>
    <row r="95" spans="21:30" ht="13.8" thickTop="1">
      <c r="U95" s="33"/>
      <c r="V95" s="29"/>
      <c r="W95" s="29"/>
      <c r="X95" s="29"/>
      <c r="Y95" s="29"/>
      <c r="Z95" s="29"/>
      <c r="AA95" s="29"/>
      <c r="AB95" s="29"/>
      <c r="AC95" s="29"/>
      <c r="AD95" s="29"/>
    </row>
  </sheetData>
  <phoneticPr fontId="19" type="noConversion"/>
  <pageMargins left="1" right="0.75" top="1" bottom="0" header="0" footer="0"/>
  <pageSetup scale="78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09">
    <tabColor theme="7" tint="-0.249977111117893"/>
    <pageSetUpPr fitToPage="1"/>
  </sheetPr>
  <dimension ref="A1:AA74"/>
  <sheetViews>
    <sheetView workbookViewId="0"/>
  </sheetViews>
  <sheetFormatPr defaultColWidth="8" defaultRowHeight="13.2"/>
  <cols>
    <col min="1" max="1" width="34.88671875" style="691" customWidth="1"/>
    <col min="2" max="6" width="8" style="691"/>
    <col min="7" max="7" width="13" style="691" customWidth="1"/>
    <col min="8" max="8" width="12.44140625" style="691" bestFit="1" customWidth="1"/>
    <col min="9" max="9" width="2" style="691" customWidth="1"/>
    <col min="10" max="10" width="8.5546875" style="691" customWidth="1"/>
    <col min="11" max="11" width="1.33203125" style="691" customWidth="1"/>
    <col min="12" max="12" width="21.5546875" style="691" customWidth="1"/>
    <col min="13" max="13" width="14.44140625" style="691" customWidth="1"/>
    <col min="14" max="14" width="10.33203125" style="691" bestFit="1" customWidth="1"/>
    <col min="15" max="15" width="14.109375" style="691" customWidth="1"/>
    <col min="16" max="16" width="11.88671875" style="691" customWidth="1"/>
    <col min="17" max="17" width="14.33203125" style="691" customWidth="1"/>
    <col min="18" max="18" width="3.33203125" style="691" customWidth="1"/>
    <col min="19" max="19" width="8" style="691"/>
    <col min="20" max="20" width="3.33203125" style="691" customWidth="1"/>
    <col min="21" max="21" width="13" style="691" bestFit="1" customWidth="1"/>
    <col min="22" max="22" width="3.33203125" style="691" customWidth="1"/>
    <col min="23" max="23" width="12.5546875" style="691" bestFit="1" customWidth="1"/>
    <col min="24" max="24" width="7" style="691" customWidth="1"/>
    <col min="25" max="25" width="17" style="691" customWidth="1"/>
    <col min="26" max="16384" width="8" style="691"/>
  </cols>
  <sheetData>
    <row r="1" spans="1:27">
      <c r="A1" s="951" t="str">
        <f>LOGO!B5</f>
        <v>DUKE ENERGY KENTUCKY, INC.</v>
      </c>
      <c r="B1" s="710"/>
      <c r="C1" s="710"/>
      <c r="D1" s="709"/>
      <c r="E1" s="709"/>
      <c r="F1" s="709"/>
      <c r="G1" s="709"/>
      <c r="H1" s="709"/>
      <c r="I1"/>
      <c r="J1"/>
      <c r="K1"/>
      <c r="L1"/>
      <c r="M1"/>
      <c r="N1"/>
      <c r="O1"/>
      <c r="P1"/>
      <c r="Q1"/>
      <c r="R1"/>
    </row>
    <row r="2" spans="1:27">
      <c r="A2" s="951" t="str">
        <f>LOGO!B6</f>
        <v>CASE NO. 2024-00354</v>
      </c>
      <c r="B2" s="710"/>
      <c r="C2" s="710"/>
      <c r="D2" s="709"/>
      <c r="E2" s="709"/>
      <c r="F2" s="709"/>
      <c r="G2" s="709"/>
      <c r="H2" s="709"/>
      <c r="I2"/>
      <c r="J2"/>
      <c r="K2"/>
      <c r="L2"/>
      <c r="M2"/>
      <c r="N2"/>
      <c r="O2"/>
      <c r="P2"/>
      <c r="Q2"/>
      <c r="R2"/>
    </row>
    <row r="3" spans="1:27">
      <c r="A3" s="709" t="s">
        <v>2318</v>
      </c>
      <c r="B3" s="709"/>
      <c r="C3" s="709"/>
      <c r="D3" s="709"/>
      <c r="E3" s="709"/>
      <c r="F3" s="709"/>
      <c r="G3" s="709"/>
      <c r="H3" s="709"/>
      <c r="I3"/>
      <c r="J3"/>
      <c r="K3"/>
      <c r="L3"/>
      <c r="M3"/>
      <c r="N3"/>
      <c r="O3"/>
      <c r="P3"/>
      <c r="Q3"/>
      <c r="R3"/>
    </row>
    <row r="4" spans="1:27">
      <c r="A4" s="710" t="str">
        <f>PeriodF</f>
        <v>FOR THE TWELVE MONTHS ENDED JUNE 30, 2026</v>
      </c>
      <c r="B4" s="710"/>
      <c r="C4" s="710"/>
      <c r="D4" s="709"/>
      <c r="E4" s="709"/>
      <c r="F4" s="709"/>
      <c r="G4" s="709"/>
      <c r="H4" s="709"/>
      <c r="I4"/>
      <c r="J4"/>
      <c r="K4"/>
      <c r="L4"/>
      <c r="M4"/>
      <c r="N4"/>
      <c r="O4"/>
      <c r="P4"/>
      <c r="Q4"/>
      <c r="R4"/>
    </row>
    <row r="5" spans="1:27">
      <c r="A5" s="252"/>
      <c r="B5" s="252"/>
      <c r="C5" s="252"/>
      <c r="D5" s="252"/>
      <c r="E5" s="252"/>
      <c r="F5" s="252"/>
      <c r="G5" s="252"/>
      <c r="H5" s="252"/>
      <c r="I5"/>
      <c r="J5"/>
      <c r="K5"/>
      <c r="L5"/>
      <c r="M5"/>
      <c r="N5"/>
      <c r="O5"/>
      <c r="P5"/>
      <c r="Q5"/>
      <c r="R5"/>
    </row>
    <row r="6" spans="1:27">
      <c r="A6" s="711" t="str">
        <f>DataF</f>
        <v>DATA:  BASE PERIOD  "X" FORECASTED PERIOD</v>
      </c>
      <c r="B6" s="711"/>
      <c r="C6" s="711"/>
      <c r="D6" s="252"/>
      <c r="E6" s="252"/>
      <c r="F6" s="252"/>
      <c r="G6" s="220" t="s">
        <v>2319</v>
      </c>
      <c r="H6" s="252"/>
      <c r="I6"/>
      <c r="J6"/>
      <c r="K6"/>
      <c r="L6"/>
      <c r="M6"/>
      <c r="N6"/>
      <c r="O6"/>
      <c r="P6"/>
      <c r="Q6"/>
      <c r="R6"/>
    </row>
    <row r="7" spans="1:27">
      <c r="A7" s="711" t="str">
        <f>Type</f>
        <v xml:space="preserve">TYPE OF FILING:  "X" ORIGINAL   UPDATED    REVISED  </v>
      </c>
      <c r="B7" s="711"/>
      <c r="C7" s="711"/>
      <c r="D7" s="252"/>
      <c r="E7" s="252"/>
      <c r="F7" s="252"/>
      <c r="G7" s="220" t="s">
        <v>466</v>
      </c>
      <c r="H7" s="252"/>
      <c r="I7"/>
      <c r="J7"/>
      <c r="K7"/>
      <c r="L7"/>
      <c r="M7"/>
      <c r="N7"/>
      <c r="O7"/>
      <c r="P7"/>
      <c r="Q7"/>
      <c r="R7"/>
    </row>
    <row r="8" spans="1:27">
      <c r="A8" s="220" t="s">
        <v>2320</v>
      </c>
      <c r="B8" s="220"/>
      <c r="C8" s="220"/>
      <c r="D8" s="252"/>
      <c r="E8" s="252"/>
      <c r="F8" s="252"/>
      <c r="G8" s="220" t="s">
        <v>468</v>
      </c>
      <c r="H8" s="252"/>
      <c r="I8"/>
      <c r="J8"/>
      <c r="K8"/>
      <c r="L8"/>
      <c r="M8"/>
      <c r="N8"/>
      <c r="O8"/>
      <c r="P8"/>
      <c r="Q8"/>
      <c r="R8"/>
    </row>
    <row r="9" spans="1:27">
      <c r="A9" s="252"/>
      <c r="B9" s="252"/>
      <c r="C9" s="252"/>
      <c r="D9" s="252"/>
      <c r="E9" s="252"/>
      <c r="F9" s="252"/>
      <c r="G9" s="220" t="str">
        <f>_WIT1</f>
        <v>L. D. STEINKUHL</v>
      </c>
      <c r="H9" s="252"/>
      <c r="I9"/>
      <c r="J9"/>
      <c r="K9"/>
      <c r="L9"/>
      <c r="M9"/>
      <c r="N9"/>
      <c r="O9"/>
      <c r="P9"/>
      <c r="Q9"/>
      <c r="R9"/>
    </row>
    <row r="10" spans="1:27">
      <c r="A10" s="712"/>
      <c r="B10" s="712"/>
      <c r="C10" s="712"/>
      <c r="D10" s="712"/>
      <c r="E10" s="712"/>
      <c r="F10" s="712"/>
      <c r="G10" s="712"/>
      <c r="H10" s="712"/>
      <c r="I10"/>
      <c r="J10"/>
      <c r="K10"/>
      <c r="L10"/>
      <c r="M10"/>
      <c r="N10"/>
      <c r="O10"/>
      <c r="P10"/>
      <c r="Q10"/>
      <c r="R10"/>
    </row>
    <row r="11" spans="1:27">
      <c r="A11" s="2145"/>
      <c r="B11" s="2145"/>
      <c r="C11" s="2145"/>
      <c r="D11" s="2145"/>
      <c r="E11" s="2145"/>
      <c r="F11" s="2145"/>
      <c r="G11" s="2145"/>
      <c r="H11" s="2145"/>
      <c r="I11"/>
      <c r="J11"/>
      <c r="K11"/>
      <c r="L11"/>
      <c r="M11"/>
      <c r="N11"/>
      <c r="O11"/>
      <c r="P11"/>
      <c r="Q11"/>
      <c r="R11"/>
    </row>
    <row r="12" spans="1:27">
      <c r="A12" s="709" t="s">
        <v>1857</v>
      </c>
      <c r="B12" s="255"/>
      <c r="C12" s="255"/>
      <c r="D12" s="252"/>
      <c r="E12" s="252"/>
      <c r="F12" s="252"/>
      <c r="G12" s="252"/>
      <c r="H12" s="255" t="s">
        <v>975</v>
      </c>
      <c r="I12"/>
      <c r="J12"/>
      <c r="K12"/>
      <c r="L12"/>
      <c r="M12"/>
      <c r="N12"/>
      <c r="O12"/>
      <c r="P12"/>
      <c r="Q12"/>
      <c r="R12"/>
    </row>
    <row r="13" spans="1:27">
      <c r="A13" s="712"/>
      <c r="B13" s="712"/>
      <c r="C13" s="712"/>
      <c r="D13" s="712"/>
      <c r="E13" s="712"/>
      <c r="F13" s="712"/>
      <c r="G13" s="712"/>
      <c r="H13" s="712"/>
      <c r="I13"/>
      <c r="J13"/>
      <c r="K13"/>
      <c r="L13"/>
      <c r="M13"/>
      <c r="N13"/>
      <c r="O13"/>
      <c r="P13"/>
      <c r="Q13"/>
      <c r="R13"/>
    </row>
    <row r="14" spans="1:27">
      <c r="A14" s="2145"/>
      <c r="B14" s="2145"/>
      <c r="C14" s="2145"/>
      <c r="D14" s="2145"/>
      <c r="E14" s="2145"/>
      <c r="F14" s="2145"/>
      <c r="G14" s="2145"/>
      <c r="H14" s="2145"/>
      <c r="I14"/>
      <c r="J14"/>
      <c r="K14"/>
      <c r="L14"/>
      <c r="M14"/>
      <c r="N14"/>
      <c r="O14"/>
      <c r="P14"/>
      <c r="Q14"/>
      <c r="R14"/>
    </row>
    <row r="15" spans="1:27">
      <c r="A15" s="252" t="s">
        <v>2321</v>
      </c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/>
      <c r="U15"/>
      <c r="V15"/>
      <c r="W15"/>
      <c r="X15"/>
      <c r="Y15"/>
      <c r="Z15"/>
      <c r="AA15"/>
    </row>
    <row r="16" spans="1:27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/>
      <c r="U16"/>
      <c r="V16"/>
      <c r="W16"/>
      <c r="X16"/>
      <c r="Y16"/>
      <c r="Z16"/>
      <c r="AA16"/>
    </row>
    <row r="17" spans="1:27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/>
      <c r="U17"/>
      <c r="V17"/>
      <c r="W17"/>
      <c r="X17"/>
      <c r="Y17"/>
      <c r="Z17"/>
      <c r="AA17"/>
    </row>
    <row r="18" spans="1:27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/>
      <c r="U18"/>
      <c r="V18"/>
      <c r="W18"/>
      <c r="X18"/>
      <c r="Y18"/>
      <c r="Z18"/>
      <c r="AA18"/>
    </row>
    <row r="19" spans="1:27">
      <c r="A19" s="252"/>
      <c r="B19" s="252"/>
      <c r="C19" s="252"/>
      <c r="D19" s="252"/>
      <c r="E19" s="252"/>
      <c r="F19" s="252"/>
      <c r="G19" s="252"/>
      <c r="H19" s="256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/>
      <c r="U19"/>
      <c r="V19"/>
      <c r="W19"/>
      <c r="X19"/>
      <c r="Y19"/>
      <c r="Z19"/>
      <c r="AA19"/>
    </row>
    <row r="20" spans="1:27">
      <c r="A20" s="252" t="s">
        <v>1720</v>
      </c>
      <c r="B20" s="252"/>
      <c r="C20" s="252"/>
      <c r="D20" s="252"/>
      <c r="E20" s="252"/>
      <c r="F20" s="252"/>
      <c r="G20" s="714"/>
      <c r="H20" s="254">
        <f>Q53</f>
        <v>-2414473</v>
      </c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/>
      <c r="U20"/>
      <c r="V20"/>
      <c r="W20"/>
      <c r="X20"/>
      <c r="Y20"/>
      <c r="Z20"/>
      <c r="AA20"/>
    </row>
    <row r="21" spans="1:27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/>
      <c r="U21"/>
      <c r="V21"/>
      <c r="W21"/>
      <c r="X21"/>
      <c r="Y21"/>
      <c r="Z21"/>
      <c r="AA21"/>
    </row>
    <row r="22" spans="1:27">
      <c r="A22" s="252" t="s">
        <v>1862</v>
      </c>
      <c r="B22" s="252"/>
      <c r="C22" s="252"/>
      <c r="D22" s="252"/>
      <c r="E22" s="252"/>
      <c r="F22" s="252"/>
      <c r="G22" s="252"/>
      <c r="H22" s="713">
        <f>VLOOKUP(B27,ALLOCTABLE,2,FALSE)/100</f>
        <v>1</v>
      </c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/>
      <c r="U22"/>
      <c r="V22"/>
      <c r="W22"/>
      <c r="X22"/>
      <c r="Y22"/>
      <c r="Z22"/>
      <c r="AA22"/>
    </row>
    <row r="23" spans="1:27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/>
      <c r="U23"/>
      <c r="V23"/>
      <c r="W23"/>
      <c r="X23"/>
      <c r="Y23"/>
      <c r="Z23"/>
      <c r="AA23"/>
    </row>
    <row r="24" spans="1:27" ht="15">
      <c r="A24" s="252" t="s">
        <v>1863</v>
      </c>
      <c r="B24" s="252"/>
      <c r="C24" s="252"/>
      <c r="D24" s="255" t="s">
        <v>1995</v>
      </c>
      <c r="E24" s="252"/>
      <c r="F24" s="252"/>
      <c r="G24" s="714"/>
      <c r="H24" s="705">
        <f>ROUND(H20*H22,0)</f>
        <v>-2414473</v>
      </c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/>
      <c r="U24"/>
      <c r="V24"/>
      <c r="W24"/>
      <c r="X24"/>
      <c r="Y24"/>
      <c r="Z24"/>
      <c r="AA24"/>
    </row>
    <row r="25" spans="1:27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/>
      <c r="U25"/>
      <c r="V25"/>
      <c r="W25"/>
      <c r="X25"/>
      <c r="Y25"/>
      <c r="Z25"/>
      <c r="AA25"/>
    </row>
    <row r="26" spans="1:27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/>
      <c r="U26"/>
      <c r="V26"/>
      <c r="W26"/>
      <c r="X26"/>
      <c r="Y26"/>
      <c r="Z26"/>
      <c r="AA26"/>
    </row>
    <row r="27" spans="1:27">
      <c r="A27" s="721" t="s">
        <v>1864</v>
      </c>
      <c r="B27" s="722" t="s">
        <v>428</v>
      </c>
      <c r="C27" s="723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/>
      <c r="U27"/>
      <c r="V27"/>
      <c r="W27"/>
      <c r="X27"/>
      <c r="Y27"/>
      <c r="Z27"/>
      <c r="AA27"/>
    </row>
    <row r="28" spans="1:27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/>
      <c r="U28"/>
      <c r="V28"/>
      <c r="W28"/>
      <c r="X28"/>
      <c r="Y28"/>
      <c r="Z28"/>
      <c r="AA28"/>
    </row>
    <row r="29" spans="1:27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/>
      <c r="U29"/>
      <c r="V29"/>
      <c r="W29"/>
      <c r="X29"/>
      <c r="Y29"/>
      <c r="Z29"/>
      <c r="AA29"/>
    </row>
    <row r="30" spans="1:27">
      <c r="A30" s="252"/>
      <c r="B30" s="252"/>
      <c r="C30" s="252"/>
      <c r="D30" s="252"/>
      <c r="E30" s="252"/>
      <c r="F30" s="252"/>
      <c r="G30" s="252"/>
      <c r="H30" s="252"/>
      <c r="I30" s="252"/>
      <c r="J30" s="779" t="s">
        <v>2027</v>
      </c>
      <c r="K30" s="253"/>
      <c r="L30" s="253"/>
      <c r="M30" s="253"/>
      <c r="N30"/>
      <c r="O30"/>
      <c r="P30" s="960" t="s">
        <v>2322</v>
      </c>
      <c r="Q30"/>
      <c r="R30" s="252"/>
      <c r="S30" s="252"/>
      <c r="T30"/>
      <c r="U30"/>
      <c r="V30"/>
      <c r="W30"/>
      <c r="X30"/>
      <c r="Y30"/>
      <c r="Z30"/>
      <c r="AA30"/>
    </row>
    <row r="31" spans="1:27">
      <c r="A31" s="252"/>
      <c r="B31" s="252"/>
      <c r="C31" s="252"/>
      <c r="D31" s="252"/>
      <c r="E31" s="252"/>
      <c r="F31" s="252"/>
      <c r="G31" s="252"/>
      <c r="H31" s="252"/>
      <c r="I31" s="252"/>
      <c r="J31" s="779" t="s">
        <v>22</v>
      </c>
      <c r="K31" s="253"/>
      <c r="L31" s="253"/>
      <c r="M31" s="253"/>
      <c r="N31"/>
      <c r="O31"/>
      <c r="P31" s="779" t="s">
        <v>1866</v>
      </c>
      <c r="Q31"/>
      <c r="R31" s="252"/>
      <c r="S31" s="252"/>
      <c r="T31"/>
      <c r="U31"/>
      <c r="V31"/>
      <c r="W31"/>
      <c r="X31"/>
      <c r="Y31"/>
      <c r="Z31"/>
      <c r="AA31"/>
    </row>
    <row r="32" spans="1:27">
      <c r="A32" s="252"/>
      <c r="B32" s="252"/>
      <c r="C32" s="252"/>
      <c r="D32" s="252"/>
      <c r="E32" s="252"/>
      <c r="F32" s="252"/>
      <c r="G32" s="252"/>
      <c r="H32" s="252"/>
      <c r="I32" s="252"/>
      <c r="J32" s="779" t="str">
        <f>CASE</f>
        <v>CASE NO. 2024-00354</v>
      </c>
      <c r="K32" s="253"/>
      <c r="L32" s="253"/>
      <c r="M32" s="253"/>
      <c r="N32"/>
      <c r="O32"/>
      <c r="P32" s="253" t="str">
        <f>_WIT1</f>
        <v>L. D. STEINKUHL</v>
      </c>
      <c r="Q32"/>
      <c r="R32" s="252"/>
      <c r="S32" s="252"/>
      <c r="T32"/>
      <c r="U32"/>
      <c r="V32"/>
      <c r="W32"/>
      <c r="X32"/>
      <c r="Y32"/>
      <c r="Z32"/>
      <c r="AA32"/>
    </row>
    <row r="33" spans="1:27">
      <c r="A33" s="252"/>
      <c r="B33" s="252"/>
      <c r="C33" s="252"/>
      <c r="D33" s="252"/>
      <c r="E33" s="252"/>
      <c r="F33" s="252"/>
      <c r="G33" s="252"/>
      <c r="H33" s="252"/>
      <c r="I33" s="252"/>
      <c r="J33" s="779" t="str">
        <f>A3</f>
        <v>NORMALIZATION OF PLANNED OUTAGE O&amp;M</v>
      </c>
      <c r="K33" s="253"/>
      <c r="L33" s="253"/>
      <c r="M33" s="253"/>
      <c r="N33" s="253"/>
      <c r="O33" s="961"/>
      <c r="P33" s="961"/>
      <c r="Q33" s="961"/>
      <c r="R33" s="252"/>
      <c r="S33" s="252"/>
      <c r="T33"/>
      <c r="U33"/>
      <c r="V33"/>
      <c r="W33"/>
      <c r="X33"/>
      <c r="Y33"/>
      <c r="Z33"/>
      <c r="AA33"/>
    </row>
    <row r="34" spans="1:27">
      <c r="A34" s="252"/>
      <c r="B34" s="252"/>
      <c r="C34" s="252"/>
      <c r="D34" s="252"/>
      <c r="E34" s="252"/>
      <c r="F34" s="252"/>
      <c r="G34" s="252"/>
      <c r="H34" s="252"/>
      <c r="I34" s="252"/>
      <c r="J34" s="779"/>
      <c r="K34" s="253"/>
      <c r="L34" s="253"/>
      <c r="M34" s="253"/>
      <c r="N34" s="253"/>
      <c r="O34" s="961"/>
      <c r="P34" s="961"/>
      <c r="Q34" s="961"/>
      <c r="R34" s="252"/>
      <c r="S34" s="252"/>
      <c r="T34"/>
      <c r="U34"/>
      <c r="V34"/>
      <c r="W34"/>
      <c r="X34"/>
      <c r="Y34"/>
      <c r="Z34"/>
      <c r="AA34"/>
    </row>
    <row r="35" spans="1:27">
      <c r="A35" s="252"/>
      <c r="B35" s="252"/>
      <c r="C35" s="252"/>
      <c r="D35" s="252"/>
      <c r="E35" s="252"/>
      <c r="F35" s="252"/>
      <c r="G35" s="252"/>
      <c r="H35" s="252"/>
      <c r="I35" s="252"/>
      <c r="J35" s="779"/>
      <c r="K35" s="253"/>
      <c r="L35" s="253"/>
      <c r="M35" s="253"/>
      <c r="N35" s="253"/>
      <c r="O35" s="961"/>
      <c r="P35" s="962" t="s">
        <v>2323</v>
      </c>
      <c r="Q35" s="961"/>
      <c r="R35"/>
      <c r="S35" s="252"/>
      <c r="T35"/>
      <c r="U35"/>
      <c r="V35"/>
      <c r="W35"/>
      <c r="X35"/>
      <c r="Y35"/>
      <c r="Z35"/>
      <c r="AA35"/>
    </row>
    <row r="36" spans="1:27">
      <c r="A36" s="252"/>
      <c r="B36" s="252"/>
      <c r="C36" s="252"/>
      <c r="D36" s="252"/>
      <c r="E36" s="252"/>
      <c r="F36" s="252"/>
      <c r="G36" s="252"/>
      <c r="H36" s="252"/>
      <c r="I36" s="252"/>
      <c r="J36" s="779"/>
      <c r="K36" s="253"/>
      <c r="L36" s="253"/>
      <c r="M36" s="253"/>
      <c r="N36" s="253"/>
      <c r="O36" s="961"/>
      <c r="P36" s="2351" t="s">
        <v>2324</v>
      </c>
      <c r="Q36" s="961"/>
      <c r="R36"/>
      <c r="S36" s="252"/>
      <c r="T36"/>
      <c r="U36"/>
      <c r="V36"/>
      <c r="W36"/>
      <c r="X36"/>
      <c r="Y36"/>
      <c r="Z36"/>
      <c r="AA36"/>
    </row>
    <row r="37" spans="1:27">
      <c r="A37" s="252"/>
      <c r="B37" s="252"/>
      <c r="C37" s="252"/>
      <c r="D37" s="252"/>
      <c r="E37" s="252"/>
      <c r="F37" s="252"/>
      <c r="G37" s="252"/>
      <c r="H37" s="252"/>
      <c r="I37" s="252"/>
      <c r="J37" s="958" t="s">
        <v>2325</v>
      </c>
      <c r="K37" s="252"/>
      <c r="L37" s="959" t="s">
        <v>2</v>
      </c>
      <c r="M37" s="958" t="s">
        <v>2326</v>
      </c>
      <c r="N37" s="958" t="s">
        <v>1073</v>
      </c>
      <c r="O37" s="958" t="s">
        <v>258</v>
      </c>
      <c r="P37" s="958" t="s">
        <v>2327</v>
      </c>
      <c r="Q37" s="958" t="s">
        <v>258</v>
      </c>
      <c r="R37"/>
      <c r="S37" s="252"/>
      <c r="T37"/>
      <c r="U37"/>
      <c r="V37"/>
      <c r="W37"/>
      <c r="X37"/>
      <c r="Y37"/>
      <c r="Z37"/>
      <c r="AA37"/>
    </row>
    <row r="38" spans="1:27">
      <c r="A38" s="252"/>
      <c r="B38" s="252"/>
      <c r="C38" s="252"/>
      <c r="D38" s="252"/>
      <c r="E38" s="252"/>
      <c r="F38" s="252"/>
      <c r="G38" s="252"/>
      <c r="H38" s="252"/>
      <c r="I38" s="252"/>
      <c r="J38" s="255">
        <v>2020</v>
      </c>
      <c r="K38" s="252"/>
      <c r="L38" s="252" t="s">
        <v>1720</v>
      </c>
      <c r="M38" s="719">
        <v>6916095</v>
      </c>
      <c r="N38" s="719">
        <v>845490</v>
      </c>
      <c r="O38" s="2342">
        <f t="shared" ref="O38:O45" si="0">SUM(M38:N38)</f>
        <v>7761585</v>
      </c>
      <c r="P38" s="2352">
        <f>Y68</f>
        <v>0.84899999999999998</v>
      </c>
      <c r="Q38" s="682">
        <f t="shared" ref="Q38:Q43" si="1">ROUND(O38/P38,0)</f>
        <v>9142032</v>
      </c>
      <c r="R38"/>
      <c r="S38" s="252"/>
      <c r="T38"/>
      <c r="U38"/>
      <c r="V38"/>
      <c r="W38"/>
      <c r="X38"/>
      <c r="Y38"/>
      <c r="Z38"/>
      <c r="AA38"/>
    </row>
    <row r="39" spans="1:27">
      <c r="A39" s="252"/>
      <c r="B39" s="252"/>
      <c r="C39" s="252"/>
      <c r="D39" s="252"/>
      <c r="E39" s="252"/>
      <c r="F39" s="252"/>
      <c r="G39" s="252"/>
      <c r="H39" s="252"/>
      <c r="I39" s="252"/>
      <c r="J39" s="701">
        <v>2021</v>
      </c>
      <c r="K39" s="701"/>
      <c r="L39" s="252" t="s">
        <v>1720</v>
      </c>
      <c r="M39" s="718">
        <v>10409808</v>
      </c>
      <c r="N39" s="718">
        <v>638725</v>
      </c>
      <c r="O39" s="256">
        <f t="shared" si="0"/>
        <v>11048533</v>
      </c>
      <c r="P39" s="2352">
        <f>Y69</f>
        <v>0.90900000000000003</v>
      </c>
      <c r="Q39" s="256">
        <f t="shared" si="1"/>
        <v>12154602</v>
      </c>
      <c r="R39"/>
      <c r="S39" s="252"/>
      <c r="T39"/>
      <c r="U39"/>
      <c r="V39"/>
      <c r="W39"/>
      <c r="X39"/>
      <c r="Y39"/>
      <c r="Z39"/>
      <c r="AA39"/>
    </row>
    <row r="40" spans="1:27">
      <c r="A40" s="252"/>
      <c r="B40" s="252"/>
      <c r="C40" s="252"/>
      <c r="D40" s="252"/>
      <c r="E40" s="252"/>
      <c r="F40" s="252"/>
      <c r="G40" s="252"/>
      <c r="H40" s="252"/>
      <c r="I40" s="252"/>
      <c r="J40" s="701">
        <v>2022</v>
      </c>
      <c r="K40" s="702"/>
      <c r="L40" s="252" t="s">
        <v>1720</v>
      </c>
      <c r="M40" s="718">
        <v>7960822</v>
      </c>
      <c r="N40" s="718">
        <v>464577</v>
      </c>
      <c r="O40" s="256">
        <f t="shared" si="0"/>
        <v>8425399</v>
      </c>
      <c r="P40" s="2352">
        <f>Y70</f>
        <v>0.96799999999999997</v>
      </c>
      <c r="Q40" s="256">
        <f t="shared" si="1"/>
        <v>8703925</v>
      </c>
      <c r="R40"/>
      <c r="S40" s="252"/>
      <c r="T40"/>
      <c r="U40"/>
      <c r="V40"/>
      <c r="W40"/>
      <c r="X40"/>
      <c r="Y40"/>
      <c r="Z40"/>
      <c r="AA40"/>
    </row>
    <row r="41" spans="1:27">
      <c r="A41" s="252"/>
      <c r="B41" s="252"/>
      <c r="C41" s="252"/>
      <c r="D41" s="252"/>
      <c r="E41" s="252"/>
      <c r="F41" s="252"/>
      <c r="G41" s="252"/>
      <c r="H41" s="252"/>
      <c r="I41" s="252"/>
      <c r="J41" s="255">
        <v>2023</v>
      </c>
      <c r="K41" s="252"/>
      <c r="L41" s="252" t="s">
        <v>1720</v>
      </c>
      <c r="M41" s="718">
        <v>11408243</v>
      </c>
      <c r="N41" s="718">
        <v>716017</v>
      </c>
      <c r="O41" s="256">
        <f t="shared" si="0"/>
        <v>12124260</v>
      </c>
      <c r="P41" s="2352">
        <f>Y71</f>
        <v>1</v>
      </c>
      <c r="Q41" s="256">
        <f t="shared" si="1"/>
        <v>12124260</v>
      </c>
      <c r="R41"/>
      <c r="S41" s="1426"/>
      <c r="T41"/>
      <c r="U41"/>
      <c r="V41"/>
      <c r="W41"/>
      <c r="X41"/>
      <c r="Y41"/>
      <c r="Z41"/>
      <c r="AA41"/>
    </row>
    <row r="42" spans="1:27">
      <c r="A42" s="252"/>
      <c r="B42" s="252"/>
      <c r="C42" s="252"/>
      <c r="D42" s="252"/>
      <c r="E42" s="252"/>
      <c r="F42" s="252"/>
      <c r="G42" s="252"/>
      <c r="H42" s="252"/>
      <c r="I42" s="252"/>
      <c r="J42" s="255">
        <v>2024</v>
      </c>
      <c r="K42" s="252"/>
      <c r="L42" s="252" t="s">
        <v>1720</v>
      </c>
      <c r="M42" s="718">
        <v>4122034</v>
      </c>
      <c r="N42" s="718">
        <v>462340</v>
      </c>
      <c r="O42" s="256">
        <f t="shared" si="0"/>
        <v>4584374</v>
      </c>
      <c r="P42" s="1882">
        <f>P41</f>
        <v>1</v>
      </c>
      <c r="Q42" s="256">
        <f t="shared" si="1"/>
        <v>4584374</v>
      </c>
      <c r="R42"/>
      <c r="S42" s="1426"/>
      <c r="T42"/>
      <c r="U42"/>
      <c r="V42"/>
      <c r="W42"/>
      <c r="X42"/>
      <c r="Y42"/>
      <c r="Z42"/>
      <c r="AA42"/>
    </row>
    <row r="43" spans="1:27">
      <c r="A43" s="252"/>
      <c r="B43" s="252"/>
      <c r="C43" s="252"/>
      <c r="D43" s="252"/>
      <c r="E43" s="252"/>
      <c r="F43" s="252"/>
      <c r="G43" s="252"/>
      <c r="H43" s="252"/>
      <c r="I43" s="252"/>
      <c r="J43" s="255">
        <v>2025</v>
      </c>
      <c r="K43" s="252"/>
      <c r="L43" s="252" t="s">
        <v>1720</v>
      </c>
      <c r="M43" s="718">
        <v>8228256</v>
      </c>
      <c r="N43" s="718">
        <v>2685000</v>
      </c>
      <c r="O43" s="256">
        <f t="shared" si="0"/>
        <v>10913256</v>
      </c>
      <c r="P43" s="1882">
        <f>P41</f>
        <v>1</v>
      </c>
      <c r="Q43" s="256">
        <f t="shared" si="1"/>
        <v>10913256</v>
      </c>
      <c r="R43"/>
      <c r="S43" s="252"/>
      <c r="T43"/>
      <c r="U43"/>
      <c r="V43"/>
      <c r="W43"/>
      <c r="X43"/>
      <c r="Y43"/>
      <c r="Z43"/>
      <c r="AA43"/>
    </row>
    <row r="44" spans="1:27">
      <c r="A44" s="252"/>
      <c r="B44" s="252"/>
      <c r="C44" s="252"/>
      <c r="D44" s="252"/>
      <c r="E44" s="252"/>
      <c r="F44" s="252"/>
      <c r="G44" s="252"/>
      <c r="H44" s="252"/>
      <c r="I44" s="252"/>
      <c r="J44" s="255">
        <v>2026</v>
      </c>
      <c r="K44" s="252"/>
      <c r="L44" s="252" t="s">
        <v>1720</v>
      </c>
      <c r="M44" s="718">
        <v>8191270</v>
      </c>
      <c r="N44" s="718">
        <v>4570000</v>
      </c>
      <c r="O44" s="256">
        <f t="shared" si="0"/>
        <v>12761270</v>
      </c>
      <c r="P44" s="1882">
        <f t="shared" ref="P44:P45" si="2">P42</f>
        <v>1</v>
      </c>
      <c r="Q44" s="256">
        <f t="shared" ref="Q44:Q45" si="3">ROUND(O44/P44,0)</f>
        <v>12761270</v>
      </c>
      <c r="R44"/>
      <c r="S44" s="252"/>
      <c r="T44"/>
      <c r="U44"/>
      <c r="V44"/>
      <c r="W44"/>
      <c r="X44"/>
      <c r="Y44"/>
      <c r="Z44"/>
      <c r="AA44"/>
    </row>
    <row r="45" spans="1:27">
      <c r="A45" s="252"/>
      <c r="B45" s="252"/>
      <c r="C45" s="252"/>
      <c r="D45" s="252"/>
      <c r="E45" s="252"/>
      <c r="F45" s="252"/>
      <c r="G45" s="252"/>
      <c r="H45" s="252"/>
      <c r="I45" s="252"/>
      <c r="J45" s="255">
        <v>2027</v>
      </c>
      <c r="K45" s="252"/>
      <c r="L45" s="252" t="s">
        <v>1720</v>
      </c>
      <c r="M45" s="718">
        <v>1262177</v>
      </c>
      <c r="N45" s="718">
        <v>2420000</v>
      </c>
      <c r="O45" s="256">
        <f t="shared" si="0"/>
        <v>3682177</v>
      </c>
      <c r="P45" s="1882">
        <f t="shared" si="2"/>
        <v>1</v>
      </c>
      <c r="Q45" s="256">
        <f t="shared" si="3"/>
        <v>3682177</v>
      </c>
      <c r="R45"/>
      <c r="S45" s="252"/>
      <c r="T45"/>
      <c r="U45"/>
      <c r="V45"/>
      <c r="W45"/>
      <c r="X45"/>
      <c r="Y45"/>
      <c r="Z45"/>
      <c r="AA45"/>
    </row>
    <row r="46" spans="1:27">
      <c r="A46" s="252"/>
      <c r="B46" s="252"/>
      <c r="C46" s="252"/>
      <c r="D46" s="252"/>
      <c r="E46" s="252"/>
      <c r="F46" s="252"/>
      <c r="G46" s="252"/>
      <c r="H46" s="252"/>
      <c r="I46" s="252"/>
      <c r="J46" s="255"/>
      <c r="K46" s="256"/>
      <c r="L46" s="220"/>
      <c r="M46" s="795"/>
      <c r="N46" s="795"/>
      <c r="O46" s="166"/>
      <c r="P46" s="795"/>
      <c r="Q46" s="166"/>
      <c r="R46"/>
      <c r="S46" s="252"/>
      <c r="T46"/>
      <c r="U46"/>
      <c r="V46"/>
      <c r="W46"/>
      <c r="X46"/>
      <c r="Y46"/>
      <c r="Z46"/>
      <c r="AA46"/>
    </row>
    <row r="47" spans="1:27">
      <c r="A47" s="255"/>
      <c r="B47" s="255"/>
      <c r="C47" s="255"/>
      <c r="D47" s="255"/>
      <c r="E47" s="255"/>
      <c r="F47" s="255"/>
      <c r="G47" s="255"/>
      <c r="H47" s="255"/>
      <c r="I47" s="255"/>
      <c r="J47" s="255"/>
      <c r="K47" s="795"/>
      <c r="L47" s="220" t="s">
        <v>2328</v>
      </c>
      <c r="M47" s="795"/>
      <c r="N47" s="795"/>
      <c r="O47" s="2353">
        <f>AVERAGE(O38:O45)</f>
        <v>8912606.75</v>
      </c>
      <c r="P47" s="810"/>
      <c r="Q47" s="2353">
        <f>AVERAGE(Q38:Q46)</f>
        <v>9258237</v>
      </c>
      <c r="R47"/>
      <c r="S47" s="255"/>
      <c r="T47"/>
      <c r="U47"/>
      <c r="V47"/>
      <c r="W47"/>
      <c r="X47"/>
      <c r="Y47"/>
      <c r="Z47"/>
      <c r="AA47"/>
    </row>
    <row r="48" spans="1:27">
      <c r="A48" s="255"/>
      <c r="B48" s="255"/>
      <c r="C48" s="255"/>
      <c r="D48" s="255"/>
      <c r="E48" s="255"/>
      <c r="F48" s="255"/>
      <c r="G48" s="255"/>
      <c r="H48" s="255"/>
      <c r="I48" s="255"/>
      <c r="J48" s="255"/>
      <c r="K48" s="255"/>
      <c r="L48" s="220"/>
      <c r="M48" s="795"/>
      <c r="N48" s="795"/>
      <c r="O48" s="166"/>
      <c r="P48" s="166"/>
      <c r="Q48" s="166"/>
      <c r="R48" s="255"/>
      <c r="S48" s="255"/>
      <c r="T48"/>
      <c r="U48"/>
      <c r="V48"/>
      <c r="W48"/>
      <c r="X48"/>
      <c r="Y48"/>
      <c r="Z48"/>
      <c r="AA48"/>
    </row>
    <row r="49" spans="1:27">
      <c r="A49" s="255"/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32" t="s">
        <v>2329</v>
      </c>
      <c r="M49" s="2354"/>
      <c r="N49" s="2354"/>
      <c r="O49"/>
      <c r="P49" s="2355"/>
      <c r="Q49" s="2355">
        <f>Q47</f>
        <v>9258237</v>
      </c>
      <c r="R49" s="201"/>
      <c r="S49" s="201"/>
      <c r="T49"/>
      <c r="U49"/>
      <c r="V49"/>
      <c r="W49"/>
      <c r="X49"/>
      <c r="Y49"/>
      <c r="Z49"/>
      <c r="AA49"/>
    </row>
    <row r="50" spans="1:27">
      <c r="A50" s="252"/>
      <c r="B50" s="252"/>
      <c r="C50" s="252"/>
      <c r="D50" s="252"/>
      <c r="E50" s="252"/>
      <c r="F50" s="252"/>
      <c r="G50" s="252"/>
      <c r="H50" s="252"/>
      <c r="I50" s="252"/>
      <c r="J50" s="255"/>
      <c r="K50" s="255"/>
      <c r="L50" s="220"/>
      <c r="M50" s="256"/>
      <c r="N50" s="795"/>
      <c r="O50"/>
      <c r="P50" s="2356"/>
      <c r="Q50" s="2356"/>
      <c r="R50" s="255"/>
      <c r="S50" s="255"/>
      <c r="T50"/>
      <c r="U50"/>
      <c r="V50"/>
      <c r="W50"/>
      <c r="X50"/>
      <c r="Y50"/>
      <c r="Z50"/>
      <c r="AA50"/>
    </row>
    <row r="51" spans="1:27">
      <c r="A51" s="252"/>
      <c r="B51" s="252"/>
      <c r="C51" s="252"/>
      <c r="D51" s="252"/>
      <c r="E51" s="252"/>
      <c r="F51" s="252"/>
      <c r="G51" s="252"/>
      <c r="H51" s="252"/>
      <c r="I51" s="252"/>
      <c r="J51" s="255"/>
      <c r="K51" s="29"/>
      <c r="L51" s="220" t="s">
        <v>2330</v>
      </c>
      <c r="M51" s="256"/>
      <c r="N51" s="256"/>
      <c r="O51"/>
      <c r="P51" s="256"/>
      <c r="Q51" s="2357">
        <v>11672710</v>
      </c>
      <c r="R51" s="252"/>
      <c r="S51" s="252"/>
      <c r="T51"/>
      <c r="U51"/>
      <c r="V51"/>
      <c r="W51"/>
      <c r="X51"/>
      <c r="Y51"/>
      <c r="Z51"/>
      <c r="AA51"/>
    </row>
    <row r="52" spans="1:27">
      <c r="A52" s="252"/>
      <c r="B52" s="252"/>
      <c r="C52" s="252"/>
      <c r="D52" s="252"/>
      <c r="E52" s="252"/>
      <c r="F52" s="252"/>
      <c r="G52" s="252"/>
      <c r="H52" s="252"/>
      <c r="I52" s="252"/>
      <c r="J52" s="255"/>
      <c r="K52" s="29"/>
      <c r="L52" s="963"/>
      <c r="M52" s="30"/>
      <c r="N52" s="30"/>
      <c r="O52"/>
      <c r="P52" s="30"/>
      <c r="Q52" s="30"/>
      <c r="R52" s="30"/>
      <c r="S52" s="30"/>
      <c r="T52"/>
      <c r="U52"/>
      <c r="V52"/>
      <c r="W52"/>
      <c r="X52"/>
      <c r="Y52"/>
      <c r="Z52"/>
      <c r="AA52"/>
    </row>
    <row r="53" spans="1:27" ht="13.8" thickBot="1">
      <c r="A53" s="252"/>
      <c r="B53" s="252"/>
      <c r="C53" s="252"/>
      <c r="D53" s="252"/>
      <c r="E53" s="252"/>
      <c r="F53" s="252"/>
      <c r="G53" s="252"/>
      <c r="H53" s="252"/>
      <c r="I53" s="252"/>
      <c r="J53" s="255"/>
      <c r="K53" s="29"/>
      <c r="L53" s="963" t="s">
        <v>2331</v>
      </c>
      <c r="M53" s="30"/>
      <c r="N53" s="30"/>
      <c r="O53"/>
      <c r="P53" s="2356"/>
      <c r="Q53" s="2358">
        <f>Q49-Q51</f>
        <v>-2414473</v>
      </c>
      <c r="R53" s="30"/>
      <c r="S53" s="30"/>
      <c r="T53"/>
      <c r="U53"/>
      <c r="V53"/>
      <c r="W53"/>
      <c r="X53"/>
      <c r="Y53"/>
      <c r="Z53"/>
      <c r="AA53"/>
    </row>
    <row r="54" spans="1:27" ht="13.8" thickTop="1">
      <c r="A54" s="252"/>
      <c r="B54" s="252"/>
      <c r="C54" s="252"/>
      <c r="D54" s="252"/>
      <c r="E54" s="252"/>
      <c r="F54" s="252"/>
      <c r="G54" s="252"/>
      <c r="H54" s="252"/>
      <c r="I54" s="252"/>
      <c r="J54" s="255"/>
      <c r="K54" s="29"/>
      <c r="L54" s="30"/>
      <c r="M54" s="30"/>
      <c r="N54" s="30"/>
      <c r="O54" s="30"/>
      <c r="P54" s="30"/>
      <c r="Q54" s="30"/>
      <c r="R54" s="30"/>
      <c r="S54" s="30"/>
      <c r="T54"/>
      <c r="U54"/>
      <c r="V54"/>
      <c r="W54"/>
      <c r="X54"/>
      <c r="Y54"/>
      <c r="Z54"/>
      <c r="AA54"/>
    </row>
    <row r="55" spans="1:27">
      <c r="A55" s="252"/>
      <c r="B55" s="252"/>
      <c r="C55" s="252"/>
      <c r="D55" s="252"/>
      <c r="E55" s="252"/>
      <c r="F55" s="252"/>
      <c r="G55" s="252"/>
      <c r="H55" s="252"/>
      <c r="I55" s="252"/>
      <c r="J55" s="255"/>
      <c r="K55" s="29"/>
      <c r="L55" s="30"/>
      <c r="M55" s="30"/>
      <c r="N55" s="30"/>
      <c r="O55" s="2359"/>
      <c r="P55" s="2359"/>
      <c r="Q55" s="2359"/>
      <c r="R55" s="30"/>
      <c r="S55" s="30"/>
      <c r="T55"/>
      <c r="U55"/>
      <c r="V55"/>
      <c r="W55"/>
      <c r="X55"/>
      <c r="Y55"/>
      <c r="Z55"/>
      <c r="AA55"/>
    </row>
    <row r="56" spans="1:27">
      <c r="A56" s="252"/>
      <c r="B56" s="252"/>
      <c r="C56" s="252"/>
      <c r="D56" s="252"/>
      <c r="E56" s="252"/>
      <c r="F56" s="252"/>
      <c r="G56" s="252"/>
      <c r="H56" s="252"/>
      <c r="I56" s="252"/>
      <c r="J56" s="255"/>
      <c r="K56" s="29"/>
      <c r="L56" s="30" t="s">
        <v>2332</v>
      </c>
      <c r="M56" s="30"/>
      <c r="N56" s="30"/>
      <c r="O56" s="30"/>
      <c r="P56" s="30"/>
      <c r="Q56" s="30"/>
      <c r="R56" s="30"/>
      <c r="S56" s="30"/>
      <c r="T56"/>
      <c r="U56"/>
      <c r="V56"/>
      <c r="W56"/>
      <c r="X56"/>
      <c r="Y56"/>
      <c r="Z56"/>
      <c r="AA56"/>
    </row>
    <row r="57" spans="1:27">
      <c r="A57" s="252"/>
      <c r="B57" s="252"/>
      <c r="C57" s="252"/>
      <c r="D57" s="252"/>
      <c r="E57" s="252"/>
      <c r="F57" s="252"/>
      <c r="G57" s="252"/>
      <c r="H57" s="252"/>
      <c r="I57" s="252"/>
      <c r="J57" s="255"/>
      <c r="K57" s="29"/>
      <c r="L57" s="30"/>
      <c r="M57" s="30"/>
      <c r="N57" s="30"/>
      <c r="O57" s="30"/>
      <c r="P57" s="30"/>
      <c r="Q57" s="30"/>
      <c r="R57" s="30"/>
      <c r="S57" s="1883" t="str">
        <f>COMPANY</f>
        <v>DUKE ENERGY KENTUCKY, INC.</v>
      </c>
      <c r="T57" s="649"/>
      <c r="U57" s="649"/>
      <c r="V57" s="649"/>
      <c r="W57" s="649"/>
      <c r="X57" s="649"/>
      <c r="Y57" s="1883" t="s">
        <v>2333</v>
      </c>
      <c r="Z57"/>
      <c r="AA57" s="597"/>
    </row>
    <row r="58" spans="1:27">
      <c r="A58" s="252"/>
      <c r="B58" s="252"/>
      <c r="C58" s="252"/>
      <c r="D58" s="252"/>
      <c r="E58" s="252"/>
      <c r="F58" s="252"/>
      <c r="G58" s="252"/>
      <c r="H58" s="252"/>
      <c r="I58" s="252"/>
      <c r="J58" s="255"/>
      <c r="K58" s="29"/>
      <c r="L58" s="30"/>
      <c r="M58" s="30"/>
      <c r="N58" s="30"/>
      <c r="O58" s="30"/>
      <c r="P58" s="30"/>
      <c r="Q58" s="30"/>
      <c r="R58" s="30"/>
      <c r="S58" s="1883" t="str">
        <f>DEPT</f>
        <v>ELECTRIC DEPARTMENT</v>
      </c>
      <c r="T58" s="649"/>
      <c r="U58" s="649"/>
      <c r="V58" s="649"/>
      <c r="W58" s="649"/>
      <c r="X58" s="649"/>
      <c r="Y58" s="1883" t="s">
        <v>1866</v>
      </c>
      <c r="Z58"/>
      <c r="AA58" s="597"/>
    </row>
    <row r="59" spans="1:27">
      <c r="A59" s="252"/>
      <c r="B59" s="252"/>
      <c r="C59" s="252"/>
      <c r="D59" s="252"/>
      <c r="E59" s="252"/>
      <c r="F59" s="252"/>
      <c r="G59" s="252"/>
      <c r="H59" s="252"/>
      <c r="I59" s="252"/>
      <c r="J59" s="29"/>
      <c r="K59" s="29"/>
      <c r="L59" s="29"/>
      <c r="M59" s="29"/>
      <c r="N59" s="29"/>
      <c r="O59" s="29"/>
      <c r="P59" s="29"/>
      <c r="Q59" s="29"/>
      <c r="R59" s="29"/>
      <c r="S59" s="1883" t="str">
        <f>CASE</f>
        <v>CASE NO. 2024-00354</v>
      </c>
      <c r="T59" s="649"/>
      <c r="U59" s="649"/>
      <c r="V59" s="649"/>
      <c r="W59" s="649"/>
      <c r="X59" s="649"/>
      <c r="Y59" s="649" t="str">
        <f>_WIT1</f>
        <v>L. D. STEINKUHL</v>
      </c>
      <c r="Z59"/>
      <c r="AA59" s="597"/>
    </row>
    <row r="60" spans="1:27">
      <c r="A60" s="252"/>
      <c r="B60" s="252"/>
      <c r="C60" s="252"/>
      <c r="D60" s="252"/>
      <c r="E60" s="252"/>
      <c r="F60" s="252"/>
      <c r="G60" s="252"/>
      <c r="H60" s="252"/>
      <c r="I60" s="252"/>
      <c r="J60" s="670"/>
      <c r="K60" s="29"/>
      <c r="L60" s="29"/>
      <c r="M60" s="29"/>
      <c r="N60" s="29"/>
      <c r="O60" s="29"/>
      <c r="P60" s="29"/>
      <c r="Q60" s="29"/>
      <c r="R60" s="29"/>
      <c r="S60" s="1883" t="s">
        <v>2334</v>
      </c>
      <c r="T60" s="649"/>
      <c r="U60" s="649"/>
      <c r="V60" s="649"/>
      <c r="W60" s="649"/>
      <c r="X60" s="649"/>
      <c r="Y60" s="649"/>
      <c r="Z60" s="649"/>
      <c r="AA60" s="649"/>
    </row>
    <row r="61" spans="1:27">
      <c r="A61" s="252"/>
      <c r="B61" s="252"/>
      <c r="C61" s="252"/>
      <c r="D61" s="252"/>
      <c r="E61" s="252"/>
      <c r="F61" s="252"/>
      <c r="G61" s="252"/>
      <c r="H61" s="252"/>
      <c r="I61" s="252"/>
      <c r="J61" s="29"/>
      <c r="K61" s="29"/>
      <c r="L61" s="1884"/>
      <c r="M61" s="1884"/>
      <c r="N61" s="1884"/>
      <c r="O61" s="1884"/>
      <c r="P61" s="1884"/>
      <c r="Q61" s="1884"/>
      <c r="R61" s="1884"/>
      <c r="S61" s="1883" t="s">
        <v>2335</v>
      </c>
      <c r="T61" s="649"/>
      <c r="U61" s="649"/>
      <c r="V61" s="649"/>
      <c r="W61" s="649"/>
      <c r="X61" s="649"/>
      <c r="Y61" s="649"/>
      <c r="Z61" s="649"/>
      <c r="AA61" s="649"/>
    </row>
    <row r="62" spans="1:27">
      <c r="A62" s="252"/>
      <c r="B62" s="252"/>
      <c r="C62" s="252"/>
      <c r="D62" s="252"/>
      <c r="E62" s="252"/>
      <c r="F62" s="252"/>
      <c r="G62" s="252"/>
      <c r="H62" s="252"/>
      <c r="I62" s="252"/>
      <c r="J62" s="29"/>
      <c r="K62" s="29"/>
      <c r="L62" s="1884"/>
      <c r="M62" s="1884"/>
      <c r="N62" s="1884"/>
      <c r="O62" s="1884"/>
      <c r="P62" s="1884"/>
      <c r="Q62" s="1884"/>
      <c r="R62" s="1884"/>
      <c r="S62" s="779" t="s">
        <v>2336</v>
      </c>
      <c r="T62" s="649"/>
      <c r="U62" s="649"/>
      <c r="V62" s="649"/>
      <c r="W62" s="649"/>
      <c r="X62" s="649"/>
      <c r="Y62" s="649"/>
      <c r="Z62" s="649"/>
      <c r="AA62" s="649"/>
    </row>
    <row r="63" spans="1:27">
      <c r="A63" s="252"/>
      <c r="B63" s="252"/>
      <c r="C63" s="252"/>
      <c r="D63" s="252"/>
      <c r="E63" s="252"/>
      <c r="F63" s="252"/>
      <c r="G63" s="252"/>
      <c r="H63" s="252"/>
      <c r="I63" s="252"/>
      <c r="J63" s="29"/>
      <c r="K63" s="29"/>
      <c r="L63" s="1884"/>
      <c r="M63" s="1884"/>
      <c r="N63" s="1884"/>
      <c r="O63" s="1884"/>
      <c r="P63" s="1884"/>
      <c r="Q63" s="1884"/>
      <c r="R63" s="1884"/>
      <c r="S63" s="1883"/>
      <c r="T63" s="649"/>
      <c r="U63" s="649"/>
      <c r="V63" s="649"/>
      <c r="W63" s="649"/>
      <c r="X63" s="649"/>
      <c r="Y63" s="649"/>
      <c r="Z63" s="649"/>
      <c r="AA63" s="649"/>
    </row>
    <row r="64" spans="1:27">
      <c r="A64" s="252"/>
      <c r="B64" s="252"/>
      <c r="C64" s="252"/>
      <c r="D64" s="252"/>
      <c r="E64" s="252"/>
      <c r="F64" s="252"/>
      <c r="G64" s="252"/>
      <c r="H64" s="252"/>
      <c r="I64" s="252"/>
      <c r="J64" s="29"/>
      <c r="K64" s="29"/>
      <c r="L64" s="1884"/>
      <c r="M64" s="1884"/>
      <c r="N64" s="1884"/>
      <c r="O64" s="1884"/>
      <c r="P64" s="1884"/>
      <c r="Q64" s="1884"/>
      <c r="R64" s="1884"/>
      <c r="S64" s="649"/>
      <c r="T64" s="649"/>
      <c r="U64" s="649"/>
      <c r="V64" s="649"/>
      <c r="W64" s="1885" t="s">
        <v>2337</v>
      </c>
      <c r="X64" s="649"/>
      <c r="Y64" s="1885" t="s">
        <v>2323</v>
      </c>
      <c r="Z64" s="1885"/>
      <c r="AA64" s="649"/>
    </row>
    <row r="65" spans="1:27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 s="1886" t="s">
        <v>573</v>
      </c>
      <c r="T65" s="649"/>
      <c r="U65" s="649"/>
      <c r="V65" s="649"/>
      <c r="W65" s="1885" t="s">
        <v>2338</v>
      </c>
      <c r="X65" s="649"/>
      <c r="Y65" s="1885" t="s">
        <v>2339</v>
      </c>
      <c r="Z65" s="1885"/>
      <c r="AA65" s="649"/>
    </row>
    <row r="66" spans="1:27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 s="1887" t="s">
        <v>576</v>
      </c>
      <c r="T66" s="1888"/>
      <c r="U66" s="2360" t="s">
        <v>2325</v>
      </c>
      <c r="V66" s="1888"/>
      <c r="W66" s="2360" t="s">
        <v>2340</v>
      </c>
      <c r="X66" s="1888"/>
      <c r="Y66" s="1874" t="str">
        <f>"Col. 2 / "&amp;TEXT( W71,"###.0")</f>
        <v>Col. 2 / 306.7</v>
      </c>
      <c r="Z66" s="1874"/>
      <c r="AA66" s="649"/>
    </row>
    <row r="67" spans="1:27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 s="1887"/>
      <c r="T67" s="1888"/>
      <c r="U67" s="2360"/>
      <c r="V67" s="1888"/>
      <c r="W67" s="2360"/>
      <c r="X67" s="1888"/>
      <c r="Y67" s="1874"/>
      <c r="Z67" s="253"/>
      <c r="AA67" s="253"/>
    </row>
    <row r="68" spans="1:27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 s="1885">
        <v>1</v>
      </c>
      <c r="T68" s="649"/>
      <c r="U68" s="2361">
        <v>2020</v>
      </c>
      <c r="V68" s="649"/>
      <c r="W68" s="2362">
        <v>260.5</v>
      </c>
      <c r="X68" s="2363"/>
      <c r="Y68" s="2364">
        <f>ROUND(W68/$W$71,3)</f>
        <v>0.84899999999999998</v>
      </c>
      <c r="Z68" s="779"/>
      <c r="AA68" s="253"/>
    </row>
    <row r="69" spans="1:27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 s="1885">
        <v>2</v>
      </c>
      <c r="T69" s="649"/>
      <c r="U69" s="2361">
        <v>2021</v>
      </c>
      <c r="V69" s="649"/>
      <c r="W69" s="2362">
        <v>278.8</v>
      </c>
      <c r="X69" s="2363"/>
      <c r="Y69" s="2364">
        <f>ROUND(W69/$W$71,3)</f>
        <v>0.90900000000000003</v>
      </c>
      <c r="Z69" s="779"/>
      <c r="AA69" s="253"/>
    </row>
    <row r="70" spans="1:27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 s="1885">
        <v>3</v>
      </c>
      <c r="T70" s="649"/>
      <c r="U70" s="2361">
        <v>2022</v>
      </c>
      <c r="V70" s="649"/>
      <c r="W70" s="2362">
        <v>296.8</v>
      </c>
      <c r="X70" s="2363"/>
      <c r="Y70" s="2364">
        <f>ROUND(W70/$W$71,3)</f>
        <v>0.96799999999999997</v>
      </c>
      <c r="Z70" s="779"/>
      <c r="AA70" s="779" t="s">
        <v>2341</v>
      </c>
    </row>
    <row r="71" spans="1:27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 s="1885">
        <v>4</v>
      </c>
      <c r="T71" s="649"/>
      <c r="U71" s="2361">
        <v>2023</v>
      </c>
      <c r="V71" s="1885"/>
      <c r="W71" s="2362">
        <v>306.7</v>
      </c>
      <c r="X71" s="2363"/>
      <c r="Y71" s="2364">
        <f>ROUND(W71/$W$71,3)</f>
        <v>1</v>
      </c>
      <c r="Z71" s="779"/>
      <c r="AA71" s="253"/>
    </row>
    <row r="72" spans="1:27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1:27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 s="779" t="s">
        <v>2342</v>
      </c>
      <c r="T73"/>
      <c r="U73"/>
      <c r="V73"/>
      <c r="W73"/>
      <c r="X73"/>
      <c r="Y73"/>
      <c r="Z73"/>
      <c r="AA73"/>
    </row>
    <row r="74" spans="1:27">
      <c r="A74"/>
      <c r="B74" s="967"/>
    </row>
  </sheetData>
  <pageMargins left="1" right="0.75" top="1" bottom="1" header="0.5" footer="0.5"/>
  <pageSetup scale="84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40">
    <tabColor theme="7" tint="-0.249977111117893"/>
    <pageSetUpPr fitToPage="1"/>
  </sheetPr>
  <dimension ref="A1:N54"/>
  <sheetViews>
    <sheetView workbookViewId="0"/>
  </sheetViews>
  <sheetFormatPr defaultColWidth="8" defaultRowHeight="13.2"/>
  <cols>
    <col min="1" max="1" width="52" bestFit="1" customWidth="1"/>
    <col min="2" max="6" width="8" customWidth="1"/>
    <col min="7" max="7" width="24.109375" bestFit="1" customWidth="1"/>
    <col min="8" max="8" width="12.44140625" customWidth="1"/>
    <col min="9" max="9" width="4.44140625" customWidth="1"/>
    <col min="10" max="10" width="6.44140625" customWidth="1"/>
    <col min="11" max="11" width="15.44140625" bestFit="1" customWidth="1"/>
    <col min="12" max="12" width="16.44140625" customWidth="1"/>
    <col min="13" max="13" width="12.44140625" bestFit="1" customWidth="1"/>
    <col min="14" max="14" width="12.44140625" customWidth="1"/>
  </cols>
  <sheetData>
    <row r="1" spans="1:14">
      <c r="A1" s="1007" t="str">
        <f>LOGO!B5</f>
        <v>DUKE ENERGY KENTUCKY, INC.</v>
      </c>
      <c r="B1" s="1007"/>
      <c r="C1" s="1007"/>
      <c r="D1" s="1007"/>
      <c r="E1" s="1007"/>
      <c r="F1" s="1007"/>
      <c r="G1" s="1007"/>
      <c r="H1" s="1007"/>
      <c r="I1" s="1008"/>
      <c r="J1" s="1008"/>
      <c r="K1" s="1008"/>
      <c r="L1" s="1008"/>
      <c r="M1" s="1008"/>
      <c r="N1" s="1008"/>
    </row>
    <row r="2" spans="1:14">
      <c r="A2" s="1007" t="str">
        <f>LOGO!B6</f>
        <v>CASE NO. 2024-00354</v>
      </c>
      <c r="B2" s="1007"/>
      <c r="C2" s="1007"/>
      <c r="D2" s="1007"/>
      <c r="E2" s="1007"/>
      <c r="F2" s="1007"/>
      <c r="G2" s="1007"/>
      <c r="H2" s="1007"/>
      <c r="I2" s="1008"/>
      <c r="J2" s="1008"/>
      <c r="K2" s="1008"/>
      <c r="L2" s="1008"/>
      <c r="M2" s="1008"/>
      <c r="N2" s="1008"/>
    </row>
    <row r="3" spans="1:14">
      <c r="A3" s="805" t="s">
        <v>1887</v>
      </c>
      <c r="B3" s="1007"/>
      <c r="C3" s="1007"/>
      <c r="D3" s="1007"/>
      <c r="E3" s="1009"/>
      <c r="F3" s="1007"/>
      <c r="G3" s="1007"/>
      <c r="H3" s="1007"/>
      <c r="I3" s="1008"/>
      <c r="J3" s="1008"/>
      <c r="K3" s="1008"/>
      <c r="L3" s="1008"/>
      <c r="M3" s="1008"/>
      <c r="N3" s="1008"/>
    </row>
    <row r="4" spans="1:14">
      <c r="A4" s="1007" t="str">
        <f>LOGO!B8</f>
        <v>FOR THE TWELVE MONTHS ENDED JUNE 30, 2026</v>
      </c>
      <c r="B4" s="1007"/>
      <c r="C4" s="1007"/>
      <c r="D4" s="1007"/>
      <c r="E4" s="1007"/>
      <c r="F4" s="1007"/>
      <c r="G4" s="1007"/>
      <c r="H4" s="1007"/>
      <c r="I4" s="1008"/>
      <c r="J4" s="1008"/>
      <c r="K4" s="1008"/>
      <c r="L4" s="1008"/>
      <c r="M4" s="1008"/>
      <c r="N4" s="1008"/>
    </row>
    <row r="5" spans="1:14">
      <c r="A5" s="1008"/>
      <c r="B5" s="1008"/>
      <c r="C5" s="1008"/>
      <c r="D5" s="1008"/>
      <c r="E5" s="1008"/>
      <c r="F5" s="1008"/>
      <c r="G5" s="1008"/>
      <c r="H5" s="1008"/>
      <c r="I5" s="1008"/>
      <c r="J5" s="1008"/>
      <c r="K5" s="1008"/>
      <c r="L5" s="1008"/>
      <c r="M5" s="1008"/>
      <c r="N5" s="1008"/>
    </row>
    <row r="6" spans="1:14">
      <c r="A6" s="1008" t="str">
        <f>DataF</f>
        <v>DATA:  BASE PERIOD  "X" FORECASTED PERIOD</v>
      </c>
      <c r="B6" s="1008"/>
      <c r="C6" s="1008"/>
      <c r="D6" s="1008"/>
      <c r="E6" s="1008"/>
      <c r="F6" s="1008"/>
      <c r="G6" s="587" t="s">
        <v>2343</v>
      </c>
      <c r="H6" s="1008"/>
      <c r="I6" s="1008"/>
      <c r="J6" s="1008"/>
      <c r="K6" s="1008"/>
      <c r="L6" s="1008"/>
      <c r="M6" s="1008"/>
      <c r="N6" s="1008"/>
    </row>
    <row r="7" spans="1:14">
      <c r="A7" s="1008" t="str">
        <f>LOGO!B15</f>
        <v xml:space="preserve">TYPE OF FILING:  "X" ORIGINAL   UPDATED    REVISED  </v>
      </c>
      <c r="B7" s="1008"/>
      <c r="C7" s="1008"/>
      <c r="D7" s="1008"/>
      <c r="E7" s="1008"/>
      <c r="F7" s="1008"/>
      <c r="G7" s="587" t="s">
        <v>466</v>
      </c>
      <c r="H7" s="1008"/>
      <c r="I7" s="1008"/>
      <c r="J7" s="1008"/>
      <c r="K7" s="1008"/>
      <c r="L7" s="1008"/>
      <c r="M7" s="1008"/>
      <c r="N7" s="1008"/>
    </row>
    <row r="8" spans="1:14">
      <c r="A8" s="587" t="s">
        <v>723</v>
      </c>
      <c r="B8" s="1008"/>
      <c r="C8" s="1008"/>
      <c r="D8" s="1008"/>
      <c r="E8" s="1008"/>
      <c r="F8" s="1008"/>
      <c r="G8" s="587" t="s">
        <v>468</v>
      </c>
      <c r="H8" s="1008"/>
      <c r="I8" s="1008"/>
      <c r="J8" s="1008"/>
      <c r="K8" s="1008"/>
      <c r="L8" s="1008"/>
      <c r="M8" s="1008"/>
      <c r="N8" s="1008"/>
    </row>
    <row r="9" spans="1:14">
      <c r="A9" s="1008"/>
      <c r="B9" s="1008"/>
      <c r="C9" s="1008"/>
      <c r="D9" s="1008"/>
      <c r="E9" s="1008"/>
      <c r="F9" s="1008"/>
      <c r="G9" s="1008" t="str">
        <f>_WIT1</f>
        <v>L. D. STEINKUHL</v>
      </c>
      <c r="H9" s="1008"/>
      <c r="I9" s="1008"/>
      <c r="J9" s="1008"/>
      <c r="K9" s="1008"/>
      <c r="L9" s="1008"/>
      <c r="M9" s="1008"/>
      <c r="N9" s="1008"/>
    </row>
    <row r="10" spans="1:14">
      <c r="A10" s="1520"/>
      <c r="B10" s="1520"/>
      <c r="C10" s="1520"/>
      <c r="D10" s="1520"/>
      <c r="E10" s="1520"/>
      <c r="F10" s="1520"/>
      <c r="G10" s="1520"/>
      <c r="H10" s="1520"/>
      <c r="I10" s="587"/>
      <c r="J10" s="1008"/>
      <c r="K10" s="1008"/>
      <c r="L10" s="1008"/>
      <c r="M10" s="1008"/>
      <c r="N10" s="1008"/>
    </row>
    <row r="11" spans="1:14">
      <c r="A11" s="1008"/>
      <c r="B11" s="1008"/>
      <c r="C11" s="1008"/>
      <c r="D11" s="1008"/>
      <c r="E11" s="1008"/>
      <c r="F11" s="1008"/>
      <c r="G11" s="1008"/>
      <c r="H11" s="1008"/>
      <c r="I11" s="1008"/>
      <c r="J11" s="1008"/>
      <c r="K11" s="1008"/>
      <c r="L11" s="1008"/>
      <c r="M11" s="1008"/>
      <c r="N11" s="1008"/>
    </row>
    <row r="12" spans="1:14">
      <c r="A12" s="601" t="s">
        <v>1857</v>
      </c>
      <c r="B12" s="1008"/>
      <c r="C12" s="1008"/>
      <c r="D12" s="1008"/>
      <c r="E12" s="1008"/>
      <c r="F12" s="1008"/>
      <c r="G12" s="1008"/>
      <c r="H12" s="601" t="s">
        <v>975</v>
      </c>
      <c r="I12" s="1008"/>
      <c r="J12" s="1008"/>
      <c r="K12" s="1008"/>
      <c r="L12" s="1008"/>
      <c r="M12" s="1008"/>
      <c r="N12" s="1008"/>
    </row>
    <row r="13" spans="1:14">
      <c r="A13" s="1520"/>
      <c r="B13" s="1520"/>
      <c r="C13" s="1520"/>
      <c r="D13" s="1520"/>
      <c r="E13" s="1520"/>
      <c r="F13" s="1520"/>
      <c r="G13" s="1520"/>
      <c r="H13" s="1520"/>
      <c r="I13" s="587"/>
      <c r="J13" s="1008"/>
      <c r="K13" s="1008"/>
      <c r="L13" s="1008"/>
      <c r="M13" s="1008"/>
      <c r="N13" s="1008"/>
    </row>
    <row r="14" spans="1:14">
      <c r="A14" s="1008"/>
      <c r="B14" s="1008"/>
      <c r="C14" s="1008"/>
      <c r="D14" s="1008"/>
      <c r="E14" s="1008"/>
      <c r="F14" s="1008"/>
      <c r="G14" s="1008"/>
      <c r="H14" s="601"/>
      <c r="I14" s="1008"/>
      <c r="J14" s="1008"/>
      <c r="K14" s="1008"/>
      <c r="L14" s="1008"/>
      <c r="M14" s="1008"/>
      <c r="N14" s="1008"/>
    </row>
    <row r="15" spans="1:14">
      <c r="A15" s="683" t="s">
        <v>2344</v>
      </c>
      <c r="B15" s="252"/>
      <c r="C15" s="252"/>
      <c r="D15" s="252"/>
      <c r="E15" s="252"/>
      <c r="F15" s="252"/>
      <c r="G15" s="1008"/>
      <c r="H15" s="252"/>
      <c r="I15" s="1008"/>
      <c r="J15" s="1008"/>
      <c r="K15" s="1008"/>
      <c r="L15" s="1008"/>
      <c r="M15" s="1008"/>
      <c r="N15" s="1008"/>
    </row>
    <row r="16" spans="1:14">
      <c r="A16" s="252"/>
      <c r="B16" s="252"/>
      <c r="C16" s="252"/>
      <c r="D16" s="252"/>
      <c r="E16" s="252"/>
      <c r="F16" s="252"/>
      <c r="G16" s="1008"/>
      <c r="H16" s="252"/>
      <c r="I16" s="1008"/>
      <c r="J16" s="1008"/>
      <c r="K16" s="1008"/>
      <c r="L16" s="1008"/>
      <c r="M16" s="1008"/>
      <c r="N16" s="1008"/>
    </row>
    <row r="17" spans="1:14">
      <c r="A17" s="252"/>
      <c r="B17" s="252"/>
      <c r="C17" s="252"/>
      <c r="D17" s="252"/>
      <c r="E17" s="252"/>
      <c r="F17" s="252"/>
      <c r="G17" s="1008"/>
      <c r="H17" s="252"/>
      <c r="I17" s="1008"/>
      <c r="J17" s="1008"/>
      <c r="K17" s="1008"/>
      <c r="L17" s="1008"/>
      <c r="M17" s="1008"/>
      <c r="N17" s="1008"/>
    </row>
    <row r="18" spans="1:14">
      <c r="A18" s="252"/>
      <c r="B18" s="252"/>
      <c r="C18" s="252"/>
      <c r="D18" s="252"/>
      <c r="E18" s="252"/>
      <c r="F18" s="252"/>
      <c r="G18" s="1008"/>
      <c r="H18" s="252"/>
      <c r="I18" s="1008"/>
      <c r="J18" s="1008"/>
      <c r="K18" s="1008"/>
      <c r="L18" s="1008"/>
      <c r="M18" s="1008"/>
      <c r="N18" s="1008"/>
    </row>
    <row r="19" spans="1:14">
      <c r="A19" s="252"/>
      <c r="B19" s="252"/>
      <c r="C19" s="252"/>
      <c r="D19" s="252"/>
      <c r="E19" s="252"/>
      <c r="F19" s="252"/>
      <c r="G19" s="1008"/>
      <c r="H19" s="252"/>
      <c r="I19" s="1008"/>
      <c r="J19" s="1008"/>
      <c r="K19" s="1008"/>
      <c r="L19" s="1008"/>
      <c r="M19" s="1008"/>
      <c r="N19" s="1008"/>
    </row>
    <row r="20" spans="1:14">
      <c r="A20" s="252"/>
      <c r="B20" s="252"/>
      <c r="C20" s="252"/>
      <c r="D20" s="252"/>
      <c r="E20" s="252"/>
      <c r="F20" s="252"/>
      <c r="G20" s="1010"/>
      <c r="H20" s="254"/>
      <c r="I20" s="1008"/>
      <c r="J20" s="1008"/>
      <c r="K20" s="1008"/>
      <c r="L20" s="1008"/>
      <c r="M20" s="1008"/>
      <c r="N20" s="1008"/>
    </row>
    <row r="21" spans="1:14">
      <c r="A21" s="252"/>
      <c r="B21" s="252"/>
      <c r="C21" s="252"/>
      <c r="D21" s="252"/>
      <c r="E21" s="252"/>
      <c r="F21" s="252"/>
      <c r="G21" s="1008"/>
      <c r="H21" s="252"/>
      <c r="I21" s="1008"/>
      <c r="J21" s="1008"/>
      <c r="K21" s="1008"/>
      <c r="L21" s="1008"/>
      <c r="M21" s="1008"/>
      <c r="N21" s="1008"/>
    </row>
    <row r="22" spans="1:14">
      <c r="A22" s="252"/>
      <c r="B22" s="252"/>
      <c r="C22" s="252"/>
      <c r="D22" s="252"/>
      <c r="E22" s="252"/>
      <c r="F22" s="252"/>
      <c r="G22" s="1008"/>
      <c r="H22" s="713"/>
      <c r="I22" s="1008"/>
      <c r="J22" s="1008"/>
      <c r="K22" s="1008"/>
      <c r="L22" s="1008"/>
      <c r="M22" s="1008"/>
      <c r="N22" s="1008"/>
    </row>
    <row r="23" spans="1:14">
      <c r="A23" s="252"/>
      <c r="B23" s="252"/>
      <c r="C23" s="252"/>
      <c r="D23" s="252"/>
      <c r="E23" s="252"/>
      <c r="F23" s="252"/>
      <c r="G23" s="1008"/>
      <c r="H23" s="252"/>
      <c r="I23" s="1008"/>
      <c r="J23" s="1008"/>
      <c r="K23" s="1008"/>
      <c r="L23" s="1008"/>
      <c r="M23" s="1008"/>
      <c r="N23" s="1008"/>
    </row>
    <row r="24" spans="1:14" ht="15">
      <c r="A24" s="252"/>
      <c r="B24" s="252"/>
      <c r="C24" s="252"/>
      <c r="E24" s="252"/>
      <c r="F24" s="255"/>
      <c r="G24" s="1008"/>
      <c r="H24" s="705"/>
      <c r="I24" s="1008"/>
      <c r="J24" s="1008"/>
      <c r="K24" s="1008"/>
      <c r="L24" s="1008"/>
      <c r="M24" s="1008"/>
      <c r="N24" s="1008"/>
    </row>
    <row r="25" spans="1:14">
      <c r="A25" s="252"/>
      <c r="B25" s="252"/>
      <c r="C25" s="252"/>
      <c r="D25" s="252"/>
      <c r="E25" s="252"/>
      <c r="F25" s="252"/>
      <c r="G25" s="1008"/>
      <c r="H25" s="1011"/>
      <c r="I25" s="1008"/>
      <c r="J25" s="1008"/>
      <c r="K25" s="1008"/>
      <c r="L25" s="1008"/>
      <c r="M25" s="1008"/>
      <c r="N25" s="1008"/>
    </row>
    <row r="26" spans="1:14" ht="15">
      <c r="A26" s="252"/>
      <c r="B26" s="252"/>
      <c r="C26" s="252"/>
      <c r="D26" s="252"/>
      <c r="E26" s="252"/>
      <c r="F26" s="252"/>
      <c r="G26" s="1012"/>
      <c r="H26" s="705"/>
      <c r="I26" s="1008"/>
      <c r="J26" s="1008"/>
      <c r="K26" s="1008"/>
      <c r="L26" s="1008"/>
      <c r="M26" s="1008"/>
      <c r="N26" s="1008"/>
    </row>
    <row r="27" spans="1:14">
      <c r="A27" s="252"/>
      <c r="B27" s="252"/>
      <c r="C27" s="252"/>
      <c r="D27" s="252"/>
      <c r="E27" s="252"/>
      <c r="F27" s="252"/>
      <c r="G27" s="1013"/>
      <c r="H27" s="1014"/>
      <c r="I27" s="1008"/>
      <c r="J27" s="1008"/>
      <c r="K27" s="1008"/>
      <c r="L27" s="1008"/>
      <c r="M27" s="1008"/>
      <c r="N27" s="1008"/>
    </row>
    <row r="28" spans="1:14">
      <c r="A28" s="711"/>
      <c r="B28" s="715"/>
      <c r="C28" s="711"/>
      <c r="D28" s="252"/>
      <c r="E28" s="252"/>
      <c r="F28" s="252"/>
      <c r="G28" s="1008"/>
      <c r="H28" s="1008"/>
      <c r="I28" s="1008"/>
      <c r="J28" s="1008"/>
      <c r="K28" s="1008"/>
      <c r="L28" s="1008"/>
      <c r="M28" s="1008"/>
      <c r="N28" s="1008"/>
    </row>
    <row r="29" spans="1:14">
      <c r="A29" s="1008"/>
      <c r="B29" s="1008"/>
      <c r="C29" s="1008"/>
      <c r="D29" s="1008"/>
      <c r="E29" s="1008"/>
      <c r="F29" s="1008"/>
      <c r="G29" s="1008"/>
      <c r="H29" s="1008"/>
      <c r="I29" s="1008"/>
      <c r="J29" s="1008"/>
      <c r="K29" s="1008"/>
      <c r="L29" s="1008"/>
      <c r="M29" s="1008"/>
      <c r="N29" s="1008"/>
    </row>
    <row r="30" spans="1:14">
      <c r="A30" s="1008"/>
      <c r="B30" s="1008"/>
      <c r="C30" s="1008"/>
      <c r="D30" s="1008"/>
      <c r="E30" s="1008"/>
      <c r="F30" s="1008"/>
      <c r="G30" s="1008"/>
      <c r="H30" s="1008"/>
      <c r="I30" s="1008"/>
      <c r="J30" s="1008"/>
      <c r="K30" s="1008"/>
      <c r="L30" s="1008"/>
      <c r="M30" s="1008"/>
      <c r="N30" s="1008"/>
    </row>
    <row r="31" spans="1:14">
      <c r="A31" s="1008"/>
      <c r="B31" s="1008"/>
      <c r="C31" s="1008"/>
      <c r="D31" s="975"/>
      <c r="E31" s="1008"/>
      <c r="F31" s="1008"/>
      <c r="G31" s="1008"/>
      <c r="H31" s="1008"/>
      <c r="I31" s="1008"/>
      <c r="J31" s="1008"/>
      <c r="K31" s="1008"/>
      <c r="L31" s="1008"/>
      <c r="M31" s="1008"/>
      <c r="N31" s="1008"/>
    </row>
    <row r="32" spans="1:14">
      <c r="A32" s="1008"/>
      <c r="B32" s="1008"/>
      <c r="C32" s="1008"/>
      <c r="D32" s="1008"/>
      <c r="E32" s="1008"/>
      <c r="F32" s="1008"/>
      <c r="G32" s="1008"/>
      <c r="H32" s="1008"/>
      <c r="I32" s="1008"/>
      <c r="J32" s="1008"/>
      <c r="K32" s="1008"/>
      <c r="L32" s="1008"/>
      <c r="M32" s="1008"/>
      <c r="N32" s="1008"/>
    </row>
    <row r="33" spans="1:14">
      <c r="A33" s="1008"/>
      <c r="B33" s="1008"/>
      <c r="C33" s="1008"/>
      <c r="D33" s="1008"/>
      <c r="E33" s="1008"/>
      <c r="F33" s="1008"/>
      <c r="G33" s="1008"/>
      <c r="H33" s="1008"/>
      <c r="I33" s="1008"/>
      <c r="J33" s="587"/>
      <c r="K33" s="587"/>
      <c r="L33" s="587"/>
      <c r="M33" s="587"/>
      <c r="N33" s="1008"/>
    </row>
    <row r="34" spans="1:14">
      <c r="A34" s="1008"/>
      <c r="B34" s="1008"/>
      <c r="C34" s="1008"/>
      <c r="D34" s="1008"/>
      <c r="E34" s="1008"/>
      <c r="F34" s="1008"/>
      <c r="G34" s="1008"/>
      <c r="H34" s="1008"/>
      <c r="I34" s="1008"/>
      <c r="J34" s="587"/>
      <c r="K34" s="587"/>
      <c r="L34" s="587"/>
      <c r="M34" s="587"/>
      <c r="N34" s="1008"/>
    </row>
    <row r="35" spans="1:14">
      <c r="A35" s="1008"/>
      <c r="B35" s="1008"/>
      <c r="C35" s="1008"/>
      <c r="D35" s="1008"/>
      <c r="E35" s="1008"/>
      <c r="F35" s="1008"/>
      <c r="G35" s="1008"/>
      <c r="H35" s="1008"/>
      <c r="I35" s="1008"/>
      <c r="J35" s="252"/>
      <c r="K35" s="252"/>
      <c r="L35" s="252"/>
      <c r="M35" s="252"/>
      <c r="N35" s="253"/>
    </row>
    <row r="36" spans="1:14">
      <c r="A36" s="1008"/>
      <c r="B36" s="1008"/>
      <c r="C36" s="1008"/>
      <c r="D36" s="1008"/>
      <c r="E36" s="1008"/>
      <c r="F36" s="1008"/>
      <c r="G36" s="1008"/>
      <c r="H36" s="1008"/>
      <c r="I36" s="1008"/>
      <c r="J36" s="252"/>
      <c r="K36" s="252"/>
      <c r="L36" s="252"/>
      <c r="M36" s="252"/>
      <c r="N36" s="94"/>
    </row>
    <row r="37" spans="1:14">
      <c r="A37" s="1008"/>
      <c r="B37" s="1008"/>
      <c r="C37" s="1008"/>
      <c r="D37" s="1008"/>
      <c r="E37" s="1008"/>
      <c r="F37" s="1008"/>
      <c r="G37" s="1008"/>
      <c r="H37" s="1008"/>
      <c r="I37" s="1008"/>
      <c r="J37" s="252"/>
      <c r="K37" s="252"/>
      <c r="L37" s="252"/>
      <c r="M37" s="252"/>
      <c r="N37" s="252"/>
    </row>
    <row r="38" spans="1:14">
      <c r="A38" s="1008"/>
      <c r="B38" s="1008"/>
      <c r="C38" s="1008"/>
      <c r="D38" s="1008"/>
      <c r="E38" s="1008"/>
      <c r="F38" s="1008"/>
      <c r="G38" s="1008"/>
      <c r="H38" s="1008"/>
      <c r="I38" s="1008"/>
      <c r="J38" s="220"/>
      <c r="K38" s="252"/>
      <c r="L38" s="252"/>
      <c r="M38" s="252"/>
      <c r="N38" s="1008"/>
    </row>
    <row r="39" spans="1:14">
      <c r="A39" s="1008"/>
      <c r="B39" s="1008"/>
      <c r="C39" s="1008"/>
      <c r="D39" s="1008"/>
      <c r="E39" s="1008"/>
      <c r="F39" s="1008"/>
      <c r="G39" s="1008"/>
      <c r="H39" s="1008"/>
      <c r="I39" s="1008"/>
      <c r="J39" s="252"/>
      <c r="K39" s="252"/>
      <c r="L39" s="252"/>
      <c r="M39" s="252"/>
      <c r="N39" s="1008"/>
    </row>
    <row r="40" spans="1:14">
      <c r="A40" s="1008"/>
      <c r="B40" s="1008"/>
      <c r="C40" s="1008"/>
      <c r="D40" s="1008"/>
      <c r="E40" s="1008"/>
      <c r="F40" s="1008"/>
      <c r="G40" s="1008"/>
      <c r="H40" s="1008"/>
      <c r="I40" s="1008"/>
      <c r="J40" s="252"/>
      <c r="K40" s="252"/>
      <c r="L40" s="252"/>
      <c r="M40" s="252"/>
      <c r="N40" s="1008"/>
    </row>
    <row r="41" spans="1:14">
      <c r="A41" s="1008"/>
      <c r="B41" s="1008"/>
      <c r="C41" s="1008"/>
      <c r="D41" s="1008"/>
      <c r="E41" s="1008"/>
      <c r="F41" s="1008"/>
      <c r="G41" s="1008"/>
      <c r="H41" s="1008"/>
      <c r="I41" s="1008"/>
      <c r="J41" s="252"/>
      <c r="K41" s="252"/>
      <c r="L41" s="252"/>
      <c r="M41" s="252"/>
      <c r="N41" s="1008"/>
    </row>
    <row r="42" spans="1:14">
      <c r="A42" s="1008"/>
      <c r="B42" s="1008"/>
      <c r="C42" s="1008"/>
      <c r="D42" s="1008"/>
      <c r="E42" s="1008"/>
      <c r="F42" s="1008"/>
      <c r="G42" s="1008"/>
      <c r="H42" s="1008"/>
      <c r="I42" s="1008"/>
      <c r="K42" s="587"/>
      <c r="L42" s="1415"/>
    </row>
    <row r="43" spans="1:14">
      <c r="A43" s="1008"/>
      <c r="B43" s="1008"/>
      <c r="C43" s="1008"/>
      <c r="D43" s="1008"/>
      <c r="E43" s="1008"/>
      <c r="F43" s="1008"/>
      <c r="G43" s="1008"/>
      <c r="H43" s="1008"/>
      <c r="I43" s="1008"/>
      <c r="J43" s="255"/>
      <c r="K43" s="601"/>
      <c r="L43" s="1415"/>
      <c r="M43" s="1415"/>
      <c r="N43" s="601"/>
    </row>
    <row r="44" spans="1:14">
      <c r="A44" s="1008"/>
      <c r="B44" s="1008"/>
      <c r="C44" s="1008"/>
      <c r="D44" s="1008"/>
      <c r="E44" s="1008"/>
      <c r="F44" s="1008"/>
      <c r="G44" s="1008"/>
      <c r="H44" s="1008"/>
      <c r="I44" s="1008"/>
      <c r="J44" s="255"/>
      <c r="K44" s="601"/>
      <c r="L44" s="1415"/>
      <c r="M44" s="1415"/>
      <c r="N44" s="790"/>
    </row>
    <row r="45" spans="1:14">
      <c r="A45" s="1008"/>
      <c r="B45" s="1008"/>
      <c r="C45" s="1008"/>
      <c r="D45" s="1008"/>
      <c r="E45" s="1008"/>
      <c r="F45" s="1008"/>
      <c r="G45" s="1008"/>
      <c r="H45" s="1008"/>
      <c r="I45" s="1008"/>
      <c r="K45" s="587"/>
      <c r="L45" s="1415"/>
      <c r="M45" s="1415"/>
      <c r="N45" s="1415"/>
    </row>
    <row r="46" spans="1:14">
      <c r="A46" s="1008"/>
      <c r="B46" s="1008"/>
      <c r="C46" s="1008"/>
      <c r="D46" s="1008"/>
      <c r="E46" s="1008"/>
      <c r="F46" s="1008"/>
      <c r="G46" s="1008"/>
      <c r="H46" s="1008"/>
      <c r="I46" s="1008"/>
      <c r="K46" s="587"/>
      <c r="L46" s="1416"/>
      <c r="M46" s="1008"/>
    </row>
    <row r="47" spans="1:14">
      <c r="A47" s="1008"/>
      <c r="B47" s="1008"/>
      <c r="C47" s="1008"/>
      <c r="D47" s="1008"/>
      <c r="E47" s="1008"/>
      <c r="F47" s="1008"/>
      <c r="G47" s="1008"/>
      <c r="H47" s="1008"/>
      <c r="I47" s="1008"/>
      <c r="M47" s="775"/>
      <c r="N47" s="1417"/>
    </row>
    <row r="48" spans="1:14">
      <c r="A48" s="1008"/>
      <c r="B48" s="1008"/>
      <c r="C48" s="1008"/>
      <c r="D48" s="1008"/>
      <c r="E48" s="1008"/>
      <c r="F48" s="1008"/>
      <c r="G48" s="1008"/>
      <c r="H48" s="1008"/>
      <c r="I48" s="1008"/>
      <c r="J48" s="10"/>
      <c r="K48" s="1418"/>
      <c r="L48" s="1419"/>
      <c r="M48" s="1420"/>
      <c r="N48" s="1417"/>
    </row>
    <row r="49" spans="1:14">
      <c r="A49" s="1008"/>
      <c r="B49" s="1008"/>
      <c r="C49" s="1008"/>
      <c r="D49" s="1008"/>
      <c r="E49" s="1008"/>
      <c r="F49" s="1008"/>
      <c r="G49" s="1008"/>
      <c r="H49" s="1008"/>
      <c r="I49" s="1008"/>
      <c r="J49" s="10"/>
      <c r="K49" s="1418"/>
      <c r="L49" s="1419"/>
      <c r="M49" s="1420"/>
      <c r="N49" s="1417"/>
    </row>
    <row r="50" spans="1:14">
      <c r="A50" s="1008"/>
      <c r="B50" s="1008"/>
      <c r="C50" s="1008"/>
      <c r="D50" s="1008"/>
      <c r="E50" s="1008"/>
      <c r="F50" s="1008"/>
      <c r="G50" s="1008"/>
      <c r="H50" s="1008"/>
      <c r="I50" s="1008"/>
      <c r="J50" s="10"/>
      <c r="K50" s="1421"/>
      <c r="L50" s="1422"/>
      <c r="M50" s="1417"/>
      <c r="N50" s="1417"/>
    </row>
    <row r="51" spans="1:14">
      <c r="K51" s="1421"/>
      <c r="L51" s="1423"/>
      <c r="M51" s="1417"/>
      <c r="N51" s="1247"/>
    </row>
    <row r="54" spans="1:14">
      <c r="J54" s="29"/>
    </row>
  </sheetData>
  <phoneticPr fontId="19" type="noConversion"/>
  <pageMargins left="1" right="0.75" top="1" bottom="0" header="0" footer="0"/>
  <pageSetup scale="68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12">
    <tabColor theme="7" tint="-0.249977111117893"/>
    <pageSetUpPr fitToPage="1"/>
  </sheetPr>
  <dimension ref="A1:H23"/>
  <sheetViews>
    <sheetView workbookViewId="0"/>
  </sheetViews>
  <sheetFormatPr defaultColWidth="8" defaultRowHeight="13.2"/>
  <cols>
    <col min="1" max="1" width="52" bestFit="1" customWidth="1"/>
    <col min="7" max="7" width="24.5546875" bestFit="1" customWidth="1"/>
    <col min="8" max="8" width="11.44140625" customWidth="1"/>
  </cols>
  <sheetData>
    <row r="1" spans="1:8">
      <c r="A1" s="951" t="str">
        <f>LOGO!B5</f>
        <v>DUKE ENERGY KENTUCKY, INC.</v>
      </c>
      <c r="B1" s="710"/>
      <c r="C1" s="710"/>
      <c r="D1" s="709"/>
      <c r="E1" s="709"/>
      <c r="F1" s="709"/>
      <c r="G1" s="709"/>
      <c r="H1" s="709"/>
    </row>
    <row r="2" spans="1:8">
      <c r="A2" s="951" t="str">
        <f>LOGO!B6</f>
        <v>CASE NO. 2024-00354</v>
      </c>
      <c r="B2" s="710"/>
      <c r="C2" s="710"/>
      <c r="D2" s="709"/>
      <c r="E2" s="709"/>
      <c r="F2" s="709"/>
      <c r="G2" s="709"/>
      <c r="H2" s="709"/>
    </row>
    <row r="3" spans="1:8">
      <c r="A3" s="805" t="s">
        <v>1887</v>
      </c>
      <c r="B3" s="709"/>
      <c r="C3" s="709"/>
      <c r="D3" s="709"/>
      <c r="E3" s="709"/>
      <c r="F3" s="709"/>
      <c r="G3" s="709"/>
      <c r="H3" s="709"/>
    </row>
    <row r="4" spans="1:8">
      <c r="A4" s="710" t="str">
        <f>PeriodF</f>
        <v>FOR THE TWELVE MONTHS ENDED JUNE 30, 2026</v>
      </c>
      <c r="B4" s="710"/>
      <c r="C4" s="710"/>
      <c r="D4" s="709"/>
      <c r="E4" s="709"/>
      <c r="F4" s="709"/>
      <c r="G4" s="709"/>
      <c r="H4" s="709"/>
    </row>
    <row r="5" spans="1:8">
      <c r="A5" s="252"/>
      <c r="B5" s="252"/>
      <c r="C5" s="252"/>
      <c r="D5" s="252"/>
      <c r="E5" s="252"/>
      <c r="F5" s="252"/>
      <c r="G5" s="252"/>
      <c r="H5" s="252"/>
    </row>
    <row r="6" spans="1:8">
      <c r="A6" s="711" t="str">
        <f>DataF</f>
        <v>DATA:  BASE PERIOD  "X" FORECASTED PERIOD</v>
      </c>
      <c r="B6" s="711"/>
      <c r="C6" s="711"/>
      <c r="D6" s="252"/>
      <c r="E6" s="252"/>
      <c r="F6" s="252"/>
      <c r="G6" s="220" t="s">
        <v>2345</v>
      </c>
      <c r="H6" s="252"/>
    </row>
    <row r="7" spans="1:8">
      <c r="A7" s="711" t="str">
        <f>Type</f>
        <v xml:space="preserve">TYPE OF FILING:  "X" ORIGINAL   UPDATED    REVISED  </v>
      </c>
      <c r="B7" s="711"/>
      <c r="C7" s="711"/>
      <c r="D7" s="252"/>
      <c r="E7" s="252"/>
      <c r="F7" s="252"/>
      <c r="G7" s="220" t="s">
        <v>466</v>
      </c>
      <c r="H7" s="252"/>
    </row>
    <row r="8" spans="1:8">
      <c r="A8" s="220" t="s">
        <v>723</v>
      </c>
      <c r="B8" s="220"/>
      <c r="C8" s="220"/>
      <c r="D8" s="252"/>
      <c r="E8" s="252"/>
      <c r="F8" s="252"/>
      <c r="G8" s="220" t="s">
        <v>468</v>
      </c>
      <c r="H8" s="252"/>
    </row>
    <row r="9" spans="1:8">
      <c r="A9" s="252"/>
      <c r="B9" s="252"/>
      <c r="C9" s="252"/>
      <c r="D9" s="252"/>
      <c r="E9" s="252"/>
      <c r="F9" s="252"/>
      <c r="G9" s="220" t="str">
        <f>_WIT1</f>
        <v>L. D. STEINKUHL</v>
      </c>
      <c r="H9" s="252"/>
    </row>
    <row r="10" spans="1:8">
      <c r="A10" s="712"/>
      <c r="B10" s="712"/>
      <c r="C10" s="712"/>
      <c r="D10" s="712"/>
      <c r="E10" s="712"/>
      <c r="F10" s="712"/>
      <c r="G10" s="712"/>
      <c r="H10" s="712"/>
    </row>
    <row r="11" spans="1:8">
      <c r="A11" s="2145"/>
      <c r="B11" s="2145"/>
      <c r="C11" s="2145"/>
      <c r="D11" s="2145"/>
      <c r="E11" s="2145"/>
      <c r="F11" s="2145"/>
      <c r="G11" s="2145"/>
      <c r="H11" s="2145"/>
    </row>
    <row r="12" spans="1:8">
      <c r="A12" s="709" t="s">
        <v>1857</v>
      </c>
      <c r="B12" s="255"/>
      <c r="C12" s="255"/>
      <c r="D12" s="252"/>
      <c r="E12" s="252"/>
      <c r="F12" s="252"/>
      <c r="G12" s="252"/>
      <c r="H12" s="255" t="s">
        <v>975</v>
      </c>
    </row>
    <row r="13" spans="1:8">
      <c r="A13" s="712"/>
      <c r="B13" s="712"/>
      <c r="C13" s="712"/>
      <c r="D13" s="712"/>
      <c r="E13" s="712"/>
      <c r="F13" s="712"/>
      <c r="G13" s="712"/>
      <c r="H13" s="712"/>
    </row>
    <row r="14" spans="1:8">
      <c r="A14" s="2145"/>
      <c r="B14" s="2145"/>
      <c r="C14" s="2145"/>
      <c r="D14" s="2145"/>
      <c r="E14" s="2145"/>
      <c r="F14" s="2145"/>
      <c r="G14" s="2145"/>
      <c r="H14" s="2147"/>
    </row>
    <row r="15" spans="1:8">
      <c r="A15" s="683" t="s">
        <v>2344</v>
      </c>
      <c r="B15" s="252"/>
      <c r="C15" s="252"/>
      <c r="D15" s="252"/>
      <c r="E15" s="252"/>
      <c r="F15" s="252"/>
      <c r="G15" s="252"/>
      <c r="H15" s="252"/>
    </row>
    <row r="16" spans="1:8">
      <c r="A16" s="252"/>
      <c r="B16" s="252"/>
      <c r="C16" s="252"/>
      <c r="D16" s="252"/>
      <c r="E16" s="252"/>
      <c r="F16" s="252"/>
      <c r="G16" s="252"/>
      <c r="H16" s="252"/>
    </row>
    <row r="17" spans="1:8">
      <c r="A17" s="252"/>
      <c r="B17" s="252"/>
      <c r="C17" s="252"/>
      <c r="D17" s="252"/>
      <c r="E17" s="252"/>
      <c r="F17" s="252"/>
      <c r="G17" s="252"/>
      <c r="H17" s="252"/>
    </row>
    <row r="18" spans="1:8">
      <c r="A18" s="252"/>
      <c r="B18" s="252"/>
      <c r="C18" s="252"/>
      <c r="D18" s="252"/>
      <c r="E18" s="252"/>
      <c r="F18" s="252"/>
      <c r="G18" s="252"/>
      <c r="H18" s="252"/>
    </row>
    <row r="19" spans="1:8">
      <c r="A19" s="252"/>
      <c r="B19" s="252"/>
      <c r="C19" s="252"/>
      <c r="D19" s="252"/>
      <c r="E19" s="252"/>
      <c r="F19" s="252"/>
      <c r="G19" s="252"/>
      <c r="H19" s="252"/>
    </row>
    <row r="20" spans="1:8">
      <c r="A20" s="252"/>
      <c r="B20" s="252"/>
      <c r="C20" s="252"/>
      <c r="D20" s="252"/>
      <c r="E20" s="252"/>
      <c r="F20" s="252"/>
      <c r="G20" s="252"/>
      <c r="H20" s="252"/>
    </row>
    <row r="21" spans="1:8">
      <c r="A21" s="252"/>
      <c r="B21" s="252"/>
      <c r="C21" s="252"/>
      <c r="D21" s="252"/>
      <c r="E21" s="252"/>
      <c r="F21" s="252"/>
      <c r="G21" s="252"/>
      <c r="H21" s="252"/>
    </row>
    <row r="22" spans="1:8">
      <c r="A22" s="252"/>
      <c r="B22" s="252"/>
      <c r="C22" s="252"/>
      <c r="D22" s="252"/>
      <c r="E22" s="252"/>
      <c r="F22" s="252"/>
      <c r="G22" s="252"/>
      <c r="H22" s="252"/>
    </row>
    <row r="23" spans="1:8">
      <c r="A23" s="252"/>
      <c r="B23" s="252"/>
      <c r="C23" s="252"/>
      <c r="D23" s="252"/>
      <c r="E23" s="252"/>
      <c r="F23" s="252"/>
      <c r="G23" s="252"/>
      <c r="H23" s="252"/>
    </row>
  </sheetData>
  <phoneticPr fontId="39" type="noConversion"/>
  <pageMargins left="1" right="0.75" top="1" bottom="1" header="0.5" footer="0.5"/>
  <pageSetup scale="94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7">
    <tabColor theme="7" tint="-0.249977111117893"/>
    <pageSetUpPr fitToPage="1"/>
  </sheetPr>
  <dimension ref="A1:H23"/>
  <sheetViews>
    <sheetView workbookViewId="0"/>
  </sheetViews>
  <sheetFormatPr defaultColWidth="8" defaultRowHeight="13.2"/>
  <cols>
    <col min="1" max="1" width="52" bestFit="1" customWidth="1"/>
    <col min="7" max="7" width="24.5546875" bestFit="1" customWidth="1"/>
    <col min="8" max="8" width="12.44140625" customWidth="1"/>
  </cols>
  <sheetData>
    <row r="1" spans="1:8">
      <c r="A1" s="951" t="str">
        <f>LOGO!B5</f>
        <v>DUKE ENERGY KENTUCKY, INC.</v>
      </c>
      <c r="B1" s="710"/>
      <c r="C1" s="710"/>
      <c r="D1" s="709"/>
      <c r="E1" s="709"/>
      <c r="F1" s="709"/>
      <c r="G1" s="709"/>
      <c r="H1" s="709"/>
    </row>
    <row r="2" spans="1:8">
      <c r="A2" s="951" t="str">
        <f>LOGO!B6</f>
        <v>CASE NO. 2024-00354</v>
      </c>
      <c r="B2" s="710"/>
      <c r="C2" s="710"/>
      <c r="D2" s="709"/>
      <c r="E2" s="709"/>
      <c r="F2" s="709"/>
      <c r="G2" s="709"/>
      <c r="H2" s="709"/>
    </row>
    <row r="3" spans="1:8">
      <c r="A3" s="805" t="s">
        <v>1887</v>
      </c>
      <c r="B3" s="709"/>
      <c r="C3" s="709"/>
      <c r="D3" s="709"/>
      <c r="E3" s="709"/>
      <c r="F3" s="709"/>
      <c r="G3" s="709"/>
      <c r="H3" s="709"/>
    </row>
    <row r="4" spans="1:8">
      <c r="A4" s="710" t="str">
        <f>PeriodF</f>
        <v>FOR THE TWELVE MONTHS ENDED JUNE 30, 2026</v>
      </c>
      <c r="B4" s="710"/>
      <c r="C4" s="710"/>
      <c r="D4" s="709"/>
      <c r="E4" s="709"/>
      <c r="F4" s="709"/>
      <c r="G4" s="709"/>
      <c r="H4" s="709"/>
    </row>
    <row r="5" spans="1:8">
      <c r="A5" s="252"/>
      <c r="B5" s="252"/>
      <c r="C5" s="252"/>
      <c r="D5" s="252"/>
      <c r="E5" s="252"/>
      <c r="F5" s="252"/>
      <c r="G5" s="252"/>
      <c r="H5" s="252"/>
    </row>
    <row r="6" spans="1:8">
      <c r="A6" s="711" t="str">
        <f>DataF</f>
        <v>DATA:  BASE PERIOD  "X" FORECASTED PERIOD</v>
      </c>
      <c r="B6" s="711"/>
      <c r="C6" s="711"/>
      <c r="D6" s="252"/>
      <c r="E6" s="252"/>
      <c r="F6" s="252"/>
      <c r="G6" s="220" t="s">
        <v>2346</v>
      </c>
      <c r="H6" s="252"/>
    </row>
    <row r="7" spans="1:8">
      <c r="A7" s="711" t="str">
        <f>Type</f>
        <v xml:space="preserve">TYPE OF FILING:  "X" ORIGINAL   UPDATED    REVISED  </v>
      </c>
      <c r="B7" s="711"/>
      <c r="C7" s="711"/>
      <c r="D7" s="252"/>
      <c r="E7" s="252"/>
      <c r="F7" s="252"/>
      <c r="G7" s="220" t="s">
        <v>466</v>
      </c>
      <c r="H7" s="252"/>
    </row>
    <row r="8" spans="1:8">
      <c r="A8" s="220" t="s">
        <v>723</v>
      </c>
      <c r="B8" s="220"/>
      <c r="C8" s="220"/>
      <c r="D8" s="252"/>
      <c r="E8" s="252"/>
      <c r="F8" s="252"/>
      <c r="G8" s="220" t="s">
        <v>468</v>
      </c>
      <c r="H8" s="252"/>
    </row>
    <row r="9" spans="1:8">
      <c r="A9" s="252"/>
      <c r="B9" s="252"/>
      <c r="C9" s="252"/>
      <c r="D9" s="252"/>
      <c r="E9" s="252"/>
      <c r="F9" s="252"/>
      <c r="G9" s="220" t="str">
        <f>_WIT1</f>
        <v>L. D. STEINKUHL</v>
      </c>
      <c r="H9" s="252"/>
    </row>
    <row r="10" spans="1:8">
      <c r="A10" s="712"/>
      <c r="B10" s="712"/>
      <c r="C10" s="712"/>
      <c r="D10" s="712"/>
      <c r="E10" s="712"/>
      <c r="F10" s="712"/>
      <c r="G10" s="712"/>
      <c r="H10" s="712"/>
    </row>
    <row r="11" spans="1:8">
      <c r="A11" s="2145"/>
      <c r="B11" s="2145"/>
      <c r="C11" s="2145"/>
      <c r="D11" s="2145"/>
      <c r="E11" s="2145"/>
      <c r="F11" s="2145"/>
      <c r="G11" s="2145"/>
      <c r="H11" s="2145"/>
    </row>
    <row r="12" spans="1:8">
      <c r="A12" s="709" t="s">
        <v>1857</v>
      </c>
      <c r="B12" s="255"/>
      <c r="C12" s="255"/>
      <c r="D12" s="252"/>
      <c r="E12" s="252"/>
      <c r="F12" s="252"/>
      <c r="G12" s="252"/>
      <c r="H12" s="255" t="s">
        <v>975</v>
      </c>
    </row>
    <row r="13" spans="1:8">
      <c r="A13" s="712"/>
      <c r="B13" s="712"/>
      <c r="C13" s="712"/>
      <c r="D13" s="712"/>
      <c r="E13" s="712"/>
      <c r="F13" s="712"/>
      <c r="G13" s="712"/>
      <c r="H13" s="712"/>
    </row>
    <row r="14" spans="1:8">
      <c r="A14" s="2145"/>
      <c r="B14" s="2145"/>
      <c r="C14" s="2145"/>
      <c r="D14" s="2145"/>
      <c r="E14" s="2145"/>
      <c r="F14" s="2145"/>
      <c r="G14" s="2145"/>
      <c r="H14" s="2147"/>
    </row>
    <row r="15" spans="1:8">
      <c r="A15" s="683" t="s">
        <v>2344</v>
      </c>
      <c r="B15" s="252"/>
      <c r="C15" s="252"/>
      <c r="D15" s="252"/>
      <c r="E15" s="252"/>
      <c r="F15" s="252"/>
      <c r="G15" s="252"/>
      <c r="H15" s="252"/>
    </row>
    <row r="16" spans="1:8">
      <c r="A16" s="252"/>
      <c r="B16" s="252"/>
      <c r="C16" s="252"/>
      <c r="D16" s="252"/>
      <c r="E16" s="252"/>
      <c r="F16" s="252"/>
      <c r="G16" s="252"/>
      <c r="H16" s="252"/>
    </row>
    <row r="17" spans="1:8">
      <c r="A17" s="252"/>
      <c r="B17" s="252"/>
      <c r="C17" s="252"/>
      <c r="D17" s="252"/>
      <c r="E17" s="252"/>
      <c r="F17" s="252"/>
      <c r="G17" s="252"/>
      <c r="H17" s="252"/>
    </row>
    <row r="18" spans="1:8">
      <c r="A18" s="252"/>
      <c r="B18" s="252"/>
      <c r="C18" s="252"/>
      <c r="D18" s="252"/>
      <c r="E18" s="252"/>
      <c r="F18" s="252"/>
      <c r="G18" s="252"/>
      <c r="H18" s="252"/>
    </row>
    <row r="19" spans="1:8">
      <c r="A19" s="252"/>
      <c r="B19" s="252"/>
      <c r="C19" s="252"/>
      <c r="D19" s="252"/>
      <c r="E19" s="252"/>
      <c r="F19" s="252"/>
      <c r="G19" s="252"/>
      <c r="H19" s="252"/>
    </row>
    <row r="20" spans="1:8">
      <c r="A20" s="252"/>
      <c r="B20" s="252"/>
      <c r="C20" s="252"/>
      <c r="D20" s="252"/>
      <c r="E20" s="252"/>
      <c r="F20" s="252"/>
      <c r="G20" s="252"/>
      <c r="H20" s="252"/>
    </row>
    <row r="21" spans="1:8">
      <c r="A21" s="252"/>
      <c r="B21" s="252"/>
      <c r="C21" s="252"/>
      <c r="D21" s="252"/>
      <c r="E21" s="252"/>
      <c r="F21" s="252"/>
      <c r="G21" s="252"/>
      <c r="H21" s="252"/>
    </row>
    <row r="22" spans="1:8">
      <c r="A22" s="252"/>
      <c r="B22" s="252"/>
      <c r="C22" s="252"/>
      <c r="D22" s="252"/>
      <c r="E22" s="252"/>
      <c r="F22" s="252"/>
      <c r="G22" s="252"/>
      <c r="H22" s="252"/>
    </row>
    <row r="23" spans="1:8">
      <c r="A23" s="252"/>
      <c r="B23" s="252"/>
      <c r="C23" s="252"/>
      <c r="D23" s="252"/>
      <c r="E23" s="252"/>
      <c r="F23" s="252"/>
      <c r="G23" s="252"/>
      <c r="H23" s="252"/>
    </row>
  </sheetData>
  <phoneticPr fontId="39" type="noConversion"/>
  <pageMargins left="1" right="0.75" top="1" bottom="1" header="0.5" footer="0.5"/>
  <pageSetup scale="7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7">
    <tabColor theme="2" tint="-0.499984740745262"/>
  </sheetPr>
  <dimension ref="A1:AD365"/>
  <sheetViews>
    <sheetView zoomScale="90" zoomScaleNormal="90" workbookViewId="0">
      <pane ySplit="10" topLeftCell="A11" activePane="bottomLeft" state="frozen"/>
      <selection pane="bottomLeft" activeCell="A11" sqref="A11"/>
    </sheetView>
  </sheetViews>
  <sheetFormatPr defaultColWidth="15.5546875" defaultRowHeight="13.2"/>
  <cols>
    <col min="1" max="1" width="9.5546875" customWidth="1"/>
    <col min="2" max="2" width="35.5546875" customWidth="1"/>
    <col min="3" max="4" width="9.5546875" customWidth="1"/>
    <col min="5" max="5" width="15.5546875" customWidth="1"/>
    <col min="6" max="17" width="13" customWidth="1"/>
    <col min="18" max="18" width="15.5546875" customWidth="1"/>
  </cols>
  <sheetData>
    <row r="1" spans="1:18">
      <c r="A1" s="36" t="str">
        <f>COMPANY</f>
        <v>DUKE ENERGY KENTUCKY, INC.</v>
      </c>
      <c r="B1" s="36"/>
      <c r="C1" s="37"/>
      <c r="D1" s="37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</row>
    <row r="2" spans="1:18">
      <c r="A2" s="36" t="str">
        <f>CASE</f>
        <v>CASE NO. 2024-00354</v>
      </c>
      <c r="B2" s="36"/>
      <c r="C2" s="37"/>
      <c r="D2" s="37"/>
      <c r="E2" s="38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8"/>
    </row>
    <row r="3" spans="1:18">
      <c r="A3" s="4" t="s">
        <v>251</v>
      </c>
      <c r="B3" s="4"/>
      <c r="C3" s="37"/>
      <c r="D3" s="37"/>
      <c r="E3" s="1900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8"/>
    </row>
    <row r="4" spans="1:18">
      <c r="A4" s="4" t="s">
        <v>403</v>
      </c>
      <c r="B4" s="36"/>
      <c r="C4" s="37"/>
      <c r="D4" s="37"/>
      <c r="E4" s="1900"/>
      <c r="F4" s="39"/>
      <c r="G4" s="38"/>
      <c r="H4" s="38"/>
      <c r="I4" s="38"/>
      <c r="J4" s="38"/>
      <c r="K4" s="38"/>
      <c r="L4" s="38"/>
      <c r="M4" s="30"/>
      <c r="N4" s="28"/>
      <c r="O4" s="28"/>
      <c r="Q4" s="38"/>
      <c r="R4" s="38"/>
    </row>
    <row r="5" spans="1:18">
      <c r="B5" s="36"/>
      <c r="C5" s="37"/>
      <c r="D5" s="37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</row>
    <row r="6" spans="1:18">
      <c r="A6" s="36" t="str">
        <f>DataF</f>
        <v>DATA:  BASE PERIOD  "X" FORECASTED PERIOD</v>
      </c>
      <c r="B6" s="36"/>
      <c r="C6" s="37"/>
      <c r="D6" s="37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</row>
    <row r="7" spans="1:18">
      <c r="A7" s="36" t="str">
        <f>Type</f>
        <v xml:space="preserve">TYPE OF FILING:  "X" ORIGINAL   UPDATED    REVISED  </v>
      </c>
      <c r="B7" s="36"/>
      <c r="C7" s="37"/>
      <c r="D7" s="37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</row>
    <row r="8" spans="1:18">
      <c r="A8" s="36"/>
      <c r="B8" s="36"/>
      <c r="C8" s="37"/>
      <c r="D8" s="37"/>
      <c r="E8" s="38"/>
      <c r="F8" s="1333">
        <v>3</v>
      </c>
      <c r="G8" s="1333">
        <v>4</v>
      </c>
      <c r="H8" s="1333">
        <v>5</v>
      </c>
      <c r="I8" s="1333">
        <v>6</v>
      </c>
      <c r="J8" s="1333">
        <v>7</v>
      </c>
      <c r="K8" s="1333">
        <v>8</v>
      </c>
      <c r="L8" s="1333">
        <v>9</v>
      </c>
      <c r="M8" s="1333">
        <v>10</v>
      </c>
      <c r="N8" s="1333">
        <v>11</v>
      </c>
      <c r="O8" s="1333">
        <v>12</v>
      </c>
      <c r="P8" s="1333">
        <v>13</v>
      </c>
      <c r="Q8" s="1333">
        <v>14</v>
      </c>
      <c r="R8" s="38"/>
    </row>
    <row r="9" spans="1:18" ht="13.8" thickBot="1">
      <c r="A9" s="37"/>
      <c r="B9" s="37"/>
      <c r="C9" s="37"/>
      <c r="D9" s="37"/>
      <c r="E9" s="5"/>
      <c r="F9" s="653" t="s">
        <v>254</v>
      </c>
      <c r="G9" s="653" t="s">
        <v>254</v>
      </c>
      <c r="H9" s="653" t="s">
        <v>254</v>
      </c>
      <c r="I9" s="653" t="s">
        <v>254</v>
      </c>
      <c r="J9" s="653" t="s">
        <v>254</v>
      </c>
      <c r="K9" s="653" t="s">
        <v>254</v>
      </c>
      <c r="L9" s="653" t="s">
        <v>254</v>
      </c>
      <c r="M9" s="653" t="s">
        <v>254</v>
      </c>
      <c r="N9" s="653" t="s">
        <v>254</v>
      </c>
      <c r="O9" s="653" t="s">
        <v>254</v>
      </c>
      <c r="P9" s="653" t="s">
        <v>254</v>
      </c>
      <c r="Q9" s="653" t="s">
        <v>254</v>
      </c>
      <c r="R9" s="38"/>
    </row>
    <row r="10" spans="1:18" ht="13.8" thickBot="1">
      <c r="A10" s="34" t="s">
        <v>255</v>
      </c>
      <c r="B10" s="34" t="s">
        <v>2</v>
      </c>
      <c r="C10" s="34" t="s">
        <v>256</v>
      </c>
      <c r="D10" s="34" t="s">
        <v>257</v>
      </c>
      <c r="E10" s="34" t="s">
        <v>258</v>
      </c>
      <c r="F10" s="3">
        <f>LOGO!J7</f>
        <v>45869</v>
      </c>
      <c r="G10" s="3">
        <f>LOGO!J8</f>
        <v>45900</v>
      </c>
      <c r="H10" s="3">
        <f>LOGO!J9</f>
        <v>45930</v>
      </c>
      <c r="I10" s="3">
        <f>LOGO!J10</f>
        <v>45961</v>
      </c>
      <c r="J10" s="3">
        <f>LOGO!J11</f>
        <v>45991</v>
      </c>
      <c r="K10" s="3">
        <f>LOGO!J12</f>
        <v>46022</v>
      </c>
      <c r="L10" s="3">
        <f>LOGO!J13</f>
        <v>46053</v>
      </c>
      <c r="M10" s="3">
        <f>LOGO!J14</f>
        <v>46081</v>
      </c>
      <c r="N10" s="3">
        <f>LOGO!J15</f>
        <v>46112</v>
      </c>
      <c r="O10" s="3">
        <f>LOGO!J16</f>
        <v>46142</v>
      </c>
      <c r="P10" s="3">
        <f>LOGO!J17</f>
        <v>46173</v>
      </c>
      <c r="Q10" s="3">
        <f>LOGO!J18</f>
        <v>46203</v>
      </c>
      <c r="R10" s="38"/>
    </row>
    <row r="11" spans="1:18">
      <c r="A11" s="37">
        <f>'BASE PERIOD'!A11</f>
        <v>403002</v>
      </c>
      <c r="B11" s="36" t="str">
        <f>'BASE PERIOD'!B11</f>
        <v>Depr-Expense</v>
      </c>
      <c r="C11" s="37" t="str">
        <f>'BASE PERIOD'!C11</f>
        <v>DEPR</v>
      </c>
      <c r="D11" s="37">
        <f t="shared" ref="D11:D64" si="0">VALUE(LEFT(A11,3))</f>
        <v>403</v>
      </c>
      <c r="E11" s="166">
        <f t="shared" ref="E11:E104" si="1">SUM(F11:Q11)</f>
        <v>69838170</v>
      </c>
      <c r="F11" s="41">
        <v>5673851</v>
      </c>
      <c r="G11" s="41">
        <v>5673109</v>
      </c>
      <c r="H11" s="41">
        <v>5671975</v>
      </c>
      <c r="I11" s="41">
        <v>5702278</v>
      </c>
      <c r="J11" s="41">
        <v>5737994</v>
      </c>
      <c r="K11" s="41">
        <v>5801795</v>
      </c>
      <c r="L11" s="41">
        <v>5913782</v>
      </c>
      <c r="M11" s="41">
        <v>5914154</v>
      </c>
      <c r="N11" s="41">
        <v>5914526</v>
      </c>
      <c r="O11" s="41">
        <v>5933717</v>
      </c>
      <c r="P11" s="41">
        <v>5934095</v>
      </c>
      <c r="Q11" s="41">
        <v>5966894</v>
      </c>
      <c r="R11" s="38"/>
    </row>
    <row r="12" spans="1:18">
      <c r="A12" s="37">
        <f>'BASE PERIOD'!A12</f>
        <v>404200</v>
      </c>
      <c r="B12" s="36" t="str">
        <f>'BASE PERIOD'!B12</f>
        <v>Amort of Elec Plt - Software</v>
      </c>
      <c r="C12" s="37" t="str">
        <f>'BASE PERIOD'!C12</f>
        <v>DEPR</v>
      </c>
      <c r="D12" s="37">
        <f t="shared" si="0"/>
        <v>404</v>
      </c>
      <c r="E12" s="166">
        <f t="shared" si="1"/>
        <v>3607878</v>
      </c>
      <c r="F12" s="41">
        <v>300677</v>
      </c>
      <c r="G12" s="41">
        <v>298978</v>
      </c>
      <c r="H12" s="41">
        <v>297857</v>
      </c>
      <c r="I12" s="41">
        <v>305712</v>
      </c>
      <c r="J12" s="41">
        <v>305145</v>
      </c>
      <c r="K12" s="41">
        <v>305145</v>
      </c>
      <c r="L12" s="41">
        <v>309889</v>
      </c>
      <c r="M12" s="41">
        <v>298552</v>
      </c>
      <c r="N12" s="41">
        <v>292656</v>
      </c>
      <c r="O12" s="41">
        <v>298016</v>
      </c>
      <c r="P12" s="41">
        <v>297756</v>
      </c>
      <c r="Q12" s="41">
        <v>297495</v>
      </c>
      <c r="R12" s="38"/>
    </row>
    <row r="13" spans="1:18">
      <c r="A13" s="37">
        <f>'BASE PERIOD'!A13</f>
        <v>407115</v>
      </c>
      <c r="B13" s="36" t="str">
        <f>'BASE PERIOD'!B13</f>
        <v>Meter Amortization</v>
      </c>
      <c r="C13" s="37" t="str">
        <f>'BASE PERIOD'!C13</f>
        <v>AMORT</v>
      </c>
      <c r="D13" s="37">
        <f t="shared" ref="D13:D15" si="2">VALUE(LEFT(A13,3))</f>
        <v>407</v>
      </c>
      <c r="E13" s="166">
        <f t="shared" ref="E13:E15" si="3">SUM(F13:Q13)</f>
        <v>463932</v>
      </c>
      <c r="F13" s="41">
        <v>38661</v>
      </c>
      <c r="G13" s="41">
        <v>38661</v>
      </c>
      <c r="H13" s="41">
        <v>38661</v>
      </c>
      <c r="I13" s="41">
        <v>38661</v>
      </c>
      <c r="J13" s="41">
        <v>38661</v>
      </c>
      <c r="K13" s="41">
        <v>38661</v>
      </c>
      <c r="L13" s="41">
        <v>38661</v>
      </c>
      <c r="M13" s="41">
        <v>38661</v>
      </c>
      <c r="N13" s="41">
        <v>38661</v>
      </c>
      <c r="O13" s="41">
        <v>38661</v>
      </c>
      <c r="P13" s="41">
        <v>38661</v>
      </c>
      <c r="Q13" s="41">
        <v>38661</v>
      </c>
      <c r="R13" s="38"/>
    </row>
    <row r="14" spans="1:18">
      <c r="A14" s="37">
        <f>'BASE PERIOD'!A14</f>
        <v>407305</v>
      </c>
      <c r="B14" s="36" t="str">
        <f>'BASE PERIOD'!B14</f>
        <v>Regulatory Debits</v>
      </c>
      <c r="C14" s="37" t="str">
        <f>'BASE PERIOD'!C14</f>
        <v>AMORT</v>
      </c>
      <c r="D14" s="37">
        <f t="shared" si="2"/>
        <v>407</v>
      </c>
      <c r="E14" s="166">
        <f t="shared" si="3"/>
        <v>6716022</v>
      </c>
      <c r="F14" s="41">
        <v>559669</v>
      </c>
      <c r="G14" s="41">
        <v>559669</v>
      </c>
      <c r="H14" s="41">
        <v>559669</v>
      </c>
      <c r="I14" s="41">
        <v>559669</v>
      </c>
      <c r="J14" s="41">
        <v>559669</v>
      </c>
      <c r="K14" s="41">
        <v>559669</v>
      </c>
      <c r="L14" s="41">
        <v>559668</v>
      </c>
      <c r="M14" s="41">
        <v>559668</v>
      </c>
      <c r="N14" s="41">
        <v>559668</v>
      </c>
      <c r="O14" s="41">
        <v>559668</v>
      </c>
      <c r="P14" s="41">
        <v>559668</v>
      </c>
      <c r="Q14" s="41">
        <v>559668</v>
      </c>
      <c r="R14" s="38"/>
    </row>
    <row r="15" spans="1:18">
      <c r="A15" s="37">
        <f>'BASE PERIOD'!A15</f>
        <v>407324</v>
      </c>
      <c r="B15" s="36" t="str">
        <f>'BASE PERIOD'!B15</f>
        <v>NC &amp; MW Coal As Amort Exp</v>
      </c>
      <c r="C15" s="37" t="str">
        <f>'BASE PERIOD'!C15</f>
        <v>AMORT</v>
      </c>
      <c r="D15" s="37">
        <f t="shared" si="2"/>
        <v>407</v>
      </c>
      <c r="E15" s="166">
        <f t="shared" si="3"/>
        <v>5681148</v>
      </c>
      <c r="F15" s="41">
        <v>555352</v>
      </c>
      <c r="G15" s="41">
        <v>555352</v>
      </c>
      <c r="H15" s="41">
        <v>555352</v>
      </c>
      <c r="I15" s="41">
        <v>555352</v>
      </c>
      <c r="J15" s="41">
        <v>555352</v>
      </c>
      <c r="K15" s="41">
        <v>555352</v>
      </c>
      <c r="L15" s="41">
        <v>391506</v>
      </c>
      <c r="M15" s="41">
        <v>391506</v>
      </c>
      <c r="N15" s="41">
        <v>391506</v>
      </c>
      <c r="O15" s="41">
        <v>391506</v>
      </c>
      <c r="P15" s="41">
        <v>391506</v>
      </c>
      <c r="Q15" s="41">
        <v>391506</v>
      </c>
      <c r="R15" s="38"/>
    </row>
    <row r="16" spans="1:18">
      <c r="A16" s="37">
        <f>'BASE PERIOD'!A16</f>
        <v>407354</v>
      </c>
      <c r="B16" s="36" t="str">
        <f>'BASE PERIOD'!B16</f>
        <v>DSM Deferral - Electric</v>
      </c>
      <c r="C16" s="37" t="str">
        <f>'BASE PERIOD'!C16</f>
        <v>OTH</v>
      </c>
      <c r="D16" s="37">
        <f t="shared" si="0"/>
        <v>407</v>
      </c>
      <c r="E16" s="166">
        <f t="shared" si="1"/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38"/>
    </row>
    <row r="17" spans="1:18">
      <c r="A17" s="37">
        <f>'BASE PERIOD'!A17</f>
        <v>407407</v>
      </c>
      <c r="B17" s="36" t="str">
        <f>'BASE PERIOD'!B17</f>
        <v>Carrying Charges</v>
      </c>
      <c r="C17" s="37" t="str">
        <f>'BASE PERIOD'!C17</f>
        <v>OTH</v>
      </c>
      <c r="D17" s="37">
        <f t="shared" si="0"/>
        <v>407</v>
      </c>
      <c r="E17" s="166">
        <f t="shared" si="1"/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38"/>
    </row>
    <row r="18" spans="1:18">
      <c r="A18" s="37">
        <f>'BASE PERIOD'!A18</f>
        <v>408040</v>
      </c>
      <c r="B18" s="36" t="str">
        <f>'BASE PERIOD'!B18</f>
        <v>Taxes Property-Allocated</v>
      </c>
      <c r="C18" s="37" t="str">
        <f>'BASE PERIOD'!C18</f>
        <v>OTHTX</v>
      </c>
      <c r="D18" s="37">
        <f t="shared" si="0"/>
        <v>408</v>
      </c>
      <c r="E18" s="166">
        <f>SUM(F18:Q18)</f>
        <v>96384</v>
      </c>
      <c r="F18" s="41">
        <v>8032</v>
      </c>
      <c r="G18" s="41">
        <v>8032</v>
      </c>
      <c r="H18" s="41">
        <v>8032</v>
      </c>
      <c r="I18" s="41">
        <v>8032</v>
      </c>
      <c r="J18" s="41">
        <v>8032</v>
      </c>
      <c r="K18" s="41">
        <v>8032</v>
      </c>
      <c r="L18" s="41">
        <v>8032</v>
      </c>
      <c r="M18" s="41">
        <v>8032</v>
      </c>
      <c r="N18" s="41">
        <v>8032</v>
      </c>
      <c r="O18" s="41">
        <v>8032</v>
      </c>
      <c r="P18" s="41">
        <v>8032</v>
      </c>
      <c r="Q18" s="41">
        <v>8032</v>
      </c>
      <c r="R18" s="1673"/>
    </row>
    <row r="19" spans="1:18">
      <c r="A19" s="37">
        <f>'BASE PERIOD'!A19</f>
        <v>408120</v>
      </c>
      <c r="B19" s="36" t="str">
        <f>'BASE PERIOD'!B19</f>
        <v>Franchise Tax - Non Electric</v>
      </c>
      <c r="C19" s="37" t="str">
        <f>'BASE PERIOD'!C19</f>
        <v>OTHTX</v>
      </c>
      <c r="D19" s="37">
        <f t="shared" si="0"/>
        <v>408</v>
      </c>
      <c r="E19" s="166">
        <f t="shared" si="1"/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38"/>
    </row>
    <row r="20" spans="1:18">
      <c r="A20" s="37">
        <f>'BASE PERIOD'!A20</f>
        <v>408121</v>
      </c>
      <c r="B20" s="36" t="str">
        <f>'BASE PERIOD'!B20</f>
        <v>Taxes Property-Operating</v>
      </c>
      <c r="C20" s="37" t="str">
        <f>'BASE PERIOD'!C20</f>
        <v>OTHTX</v>
      </c>
      <c r="D20" s="37">
        <f t="shared" si="0"/>
        <v>408</v>
      </c>
      <c r="E20" s="166">
        <f t="shared" si="1"/>
        <v>16318986</v>
      </c>
      <c r="F20" s="41">
        <v>1293393</v>
      </c>
      <c r="G20" s="41">
        <v>1293393</v>
      </c>
      <c r="H20" s="41">
        <v>1293393</v>
      </c>
      <c r="I20" s="41">
        <v>1293393</v>
      </c>
      <c r="J20" s="41">
        <v>1293393</v>
      </c>
      <c r="K20" s="41">
        <v>1293393</v>
      </c>
      <c r="L20" s="41">
        <v>1426438</v>
      </c>
      <c r="M20" s="41">
        <v>1426438</v>
      </c>
      <c r="N20" s="41">
        <v>1426438</v>
      </c>
      <c r="O20" s="41">
        <v>1426438</v>
      </c>
      <c r="P20" s="41">
        <v>1426438</v>
      </c>
      <c r="Q20" s="41">
        <v>1426438</v>
      </c>
      <c r="R20" s="1672"/>
    </row>
    <row r="21" spans="1:18">
      <c r="A21" s="37">
        <f>'BASE PERIOD'!A21</f>
        <v>408150</v>
      </c>
      <c r="B21" s="36" t="str">
        <f>'BASE PERIOD'!B21</f>
        <v>State Unemployment Tax</v>
      </c>
      <c r="C21" s="37" t="str">
        <f>'BASE PERIOD'!C21</f>
        <v>OTHTX</v>
      </c>
      <c r="D21" s="37">
        <f t="shared" si="0"/>
        <v>408</v>
      </c>
      <c r="E21" s="166">
        <f t="shared" si="1"/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38"/>
    </row>
    <row r="22" spans="1:18">
      <c r="A22" s="37">
        <f>'BASE PERIOD'!A22</f>
        <v>408151</v>
      </c>
      <c r="B22" s="36" t="str">
        <f>'BASE PERIOD'!B22</f>
        <v>Federal Unemployment Tax</v>
      </c>
      <c r="C22" s="37" t="str">
        <f>'BASE PERIOD'!C22</f>
        <v>OTHTX</v>
      </c>
      <c r="D22" s="37">
        <f t="shared" si="0"/>
        <v>408</v>
      </c>
      <c r="E22" s="166">
        <f t="shared" si="1"/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38"/>
    </row>
    <row r="23" spans="1:18">
      <c r="A23" s="37">
        <f>'BASE PERIOD'!A23</f>
        <v>408152</v>
      </c>
      <c r="B23" s="36" t="str">
        <f>'BASE PERIOD'!B23</f>
        <v>Employer FICA Tax</v>
      </c>
      <c r="C23" s="37" t="str">
        <f>'BASE PERIOD'!C23</f>
        <v>OTHTX</v>
      </c>
      <c r="D23" s="37">
        <f t="shared" si="0"/>
        <v>408</v>
      </c>
      <c r="E23" s="166">
        <f t="shared" si="1"/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38"/>
    </row>
    <row r="24" spans="1:18">
      <c r="A24" s="37">
        <f>'BASE PERIOD'!A24</f>
        <v>408205</v>
      </c>
      <c r="B24" s="36" t="str">
        <f>'BASE PERIOD'!B24</f>
        <v>Highway Use Tax</v>
      </c>
      <c r="C24" s="37" t="str">
        <f>'BASE PERIOD'!C24</f>
        <v>OTHTX</v>
      </c>
      <c r="D24" s="37">
        <f t="shared" si="0"/>
        <v>408</v>
      </c>
      <c r="E24" s="166">
        <f t="shared" si="1"/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38"/>
    </row>
    <row r="25" spans="1:18">
      <c r="A25" s="37">
        <v>408470</v>
      </c>
      <c r="B25" s="36" t="s">
        <v>78</v>
      </c>
      <c r="C25" s="37" t="str">
        <f>'BASE PERIOD'!C25</f>
        <v>OTHTX</v>
      </c>
      <c r="D25" s="37">
        <f t="shared" si="0"/>
        <v>408</v>
      </c>
      <c r="E25" s="166">
        <f>SUM(F25:Q25)</f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1673"/>
    </row>
    <row r="26" spans="1:18">
      <c r="A26" s="37">
        <f>'BASE PERIOD'!A26</f>
        <v>408700</v>
      </c>
      <c r="B26" s="36" t="str">
        <f>'BASE PERIOD'!B26</f>
        <v>Fed Social Security Tax-Elec</v>
      </c>
      <c r="C26" s="37" t="str">
        <f>'BASE PERIOD'!C26</f>
        <v>OTHTX</v>
      </c>
      <c r="D26" s="37">
        <f t="shared" si="0"/>
        <v>408</v>
      </c>
      <c r="E26" s="166">
        <f t="shared" si="1"/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38"/>
    </row>
    <row r="27" spans="1:18">
      <c r="A27" s="37">
        <f>'BASE PERIOD'!A27</f>
        <v>408800</v>
      </c>
      <c r="B27" s="36" t="str">
        <f>'BASE PERIOD'!B27</f>
        <v>Federal Highway Use Tax-Elec</v>
      </c>
      <c r="C27" s="37" t="str">
        <f>'BASE PERIOD'!C27</f>
        <v>OTHTX</v>
      </c>
      <c r="D27" s="37">
        <f t="shared" si="0"/>
        <v>408</v>
      </c>
      <c r="E27" s="166">
        <f t="shared" si="1"/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38"/>
    </row>
    <row r="28" spans="1:18">
      <c r="A28" s="37">
        <f>'BASE PERIOD'!A29</f>
        <v>408851</v>
      </c>
      <c r="B28" s="36" t="str">
        <f>'BASE PERIOD'!B29</f>
        <v>Sales &amp; Use Tax Exp</v>
      </c>
      <c r="C28" s="37" t="str">
        <f>'BASE PERIOD'!C29</f>
        <v>OTHTX</v>
      </c>
      <c r="D28" s="37">
        <f t="shared" si="0"/>
        <v>408</v>
      </c>
      <c r="E28" s="166">
        <f t="shared" si="1"/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38"/>
    </row>
    <row r="29" spans="1:18">
      <c r="A29" s="37">
        <f>'BASE PERIOD'!A30</f>
        <v>408960</v>
      </c>
      <c r="B29" s="36" t="str">
        <f>'BASE PERIOD'!B30</f>
        <v>Allocated Payroll Taxes</v>
      </c>
      <c r="C29" s="37" t="str">
        <f>'BASE PERIOD'!C30</f>
        <v>OTHTX</v>
      </c>
      <c r="D29" s="37">
        <f t="shared" si="0"/>
        <v>408</v>
      </c>
      <c r="E29" s="166">
        <f t="shared" si="1"/>
        <v>1905396</v>
      </c>
      <c r="F29" s="41">
        <v>158783</v>
      </c>
      <c r="G29" s="41">
        <v>158783</v>
      </c>
      <c r="H29" s="41">
        <v>158783</v>
      </c>
      <c r="I29" s="41">
        <v>158783</v>
      </c>
      <c r="J29" s="41">
        <v>158783</v>
      </c>
      <c r="K29" s="41">
        <v>158783</v>
      </c>
      <c r="L29" s="41">
        <v>158783</v>
      </c>
      <c r="M29" s="41">
        <v>158783</v>
      </c>
      <c r="N29" s="41">
        <v>158783</v>
      </c>
      <c r="O29" s="41">
        <v>158783</v>
      </c>
      <c r="P29" s="41">
        <v>158783</v>
      </c>
      <c r="Q29" s="41">
        <v>158783</v>
      </c>
      <c r="R29" s="38"/>
    </row>
    <row r="30" spans="1:18">
      <c r="A30" s="37">
        <f>'BASE PERIOD'!A31</f>
        <v>409102</v>
      </c>
      <c r="B30" s="36" t="str">
        <f>'BASE PERIOD'!B31</f>
        <v>SIT Exp-Utility</v>
      </c>
      <c r="C30" s="37" t="str">
        <f>'BASE PERIOD'!C31</f>
        <v>FIT</v>
      </c>
      <c r="D30" s="37">
        <f t="shared" si="0"/>
        <v>409</v>
      </c>
      <c r="E30" s="166">
        <f t="shared" si="1"/>
        <v>-437041</v>
      </c>
      <c r="F30" s="41">
        <v>-36420</v>
      </c>
      <c r="G30" s="41">
        <v>-36420</v>
      </c>
      <c r="H30" s="41">
        <v>-36420</v>
      </c>
      <c r="I30" s="41">
        <v>-36420</v>
      </c>
      <c r="J30" s="41">
        <v>-36420</v>
      </c>
      <c r="K30" s="41">
        <v>-36420</v>
      </c>
      <c r="L30" s="41">
        <v>-36420</v>
      </c>
      <c r="M30" s="41">
        <v>-36420</v>
      </c>
      <c r="N30" s="41">
        <v>-36420</v>
      </c>
      <c r="O30" s="41">
        <v>-36420</v>
      </c>
      <c r="P30" s="41">
        <v>-36420</v>
      </c>
      <c r="Q30" s="41">
        <v>-36421</v>
      </c>
      <c r="R30" s="38"/>
    </row>
    <row r="31" spans="1:18">
      <c r="A31" s="37">
        <f>'BASE PERIOD'!A32</f>
        <v>409104</v>
      </c>
      <c r="B31" s="36" t="str">
        <f>'BASE PERIOD'!B32</f>
        <v>Current State Income Tax - PY</v>
      </c>
      <c r="C31" s="37" t="str">
        <f>'BASE PERIOD'!C32</f>
        <v>FIT</v>
      </c>
      <c r="D31" s="37">
        <f t="shared" si="0"/>
        <v>409</v>
      </c>
      <c r="E31" s="166">
        <f t="shared" si="1"/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38"/>
    </row>
    <row r="32" spans="1:18">
      <c r="A32" s="37">
        <f>'BASE PERIOD'!A33</f>
        <v>409190</v>
      </c>
      <c r="B32" s="36" t="str">
        <f>'BASE PERIOD'!B33</f>
        <v>Federal Income Tax-Electric-CY</v>
      </c>
      <c r="C32" s="37" t="str">
        <f>'BASE PERIOD'!C33</f>
        <v>FIT</v>
      </c>
      <c r="D32" s="37">
        <f t="shared" si="0"/>
        <v>409</v>
      </c>
      <c r="E32" s="166">
        <f t="shared" si="1"/>
        <v>1614652</v>
      </c>
      <c r="F32" s="41">
        <v>134554</v>
      </c>
      <c r="G32" s="41">
        <v>134554</v>
      </c>
      <c r="H32" s="41">
        <v>134554</v>
      </c>
      <c r="I32" s="41">
        <v>134554</v>
      </c>
      <c r="J32" s="41">
        <v>134554</v>
      </c>
      <c r="K32" s="41">
        <v>134554</v>
      </c>
      <c r="L32" s="41">
        <v>134554</v>
      </c>
      <c r="M32" s="41">
        <v>134554</v>
      </c>
      <c r="N32" s="41">
        <v>134554</v>
      </c>
      <c r="O32" s="41">
        <v>134554</v>
      </c>
      <c r="P32" s="41">
        <v>134554</v>
      </c>
      <c r="Q32" s="41">
        <v>134558</v>
      </c>
      <c r="R32" s="38"/>
    </row>
    <row r="33" spans="1:18">
      <c r="A33" s="37">
        <f>'BASE PERIOD'!A34</f>
        <v>409191</v>
      </c>
      <c r="B33" s="36" t="str">
        <f>'BASE PERIOD'!B34</f>
        <v>Fed Income Tax-Electric-PY</v>
      </c>
      <c r="C33" s="37" t="str">
        <f>'BASE PERIOD'!C34</f>
        <v>FIT</v>
      </c>
      <c r="D33" s="37">
        <f t="shared" si="0"/>
        <v>409</v>
      </c>
      <c r="E33" s="166">
        <f t="shared" si="1"/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38"/>
    </row>
    <row r="34" spans="1:18">
      <c r="A34" s="37">
        <f>'BASE PERIOD'!A35</f>
        <v>409194</v>
      </c>
      <c r="B34" s="36" t="str">
        <f>'BASE PERIOD'!B35</f>
        <v>Current FIT Elec - PY Audit</v>
      </c>
      <c r="C34" s="37" t="str">
        <f>'BASE PERIOD'!C35</f>
        <v>FIT</v>
      </c>
      <c r="D34" s="37">
        <f t="shared" si="0"/>
        <v>409</v>
      </c>
      <c r="E34" s="166">
        <f t="shared" si="1"/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1673"/>
    </row>
    <row r="35" spans="1:18">
      <c r="A35" s="37">
        <f>'BASE PERIOD'!A36</f>
        <v>409195</v>
      </c>
      <c r="B35" s="36" t="str">
        <f>'BASE PERIOD'!B36</f>
        <v>UTP Tax Expense: Fed Util-PY</v>
      </c>
      <c r="C35" s="37" t="str">
        <f>'BASE PERIOD'!C36</f>
        <v>FIT</v>
      </c>
      <c r="D35" s="37">
        <f t="shared" si="0"/>
        <v>409</v>
      </c>
      <c r="E35" s="166">
        <f t="shared" si="1"/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38"/>
    </row>
    <row r="36" spans="1:18">
      <c r="A36" s="37">
        <f>'BASE PERIOD'!A37</f>
        <v>409197</v>
      </c>
      <c r="B36" s="36" t="str">
        <f>'BASE PERIOD'!B37</f>
        <v>Current State Inc Tax-Util</v>
      </c>
      <c r="C36" s="37" t="str">
        <f>'BASE PERIOD'!C37</f>
        <v>FIT</v>
      </c>
      <c r="D36" s="37">
        <f t="shared" si="0"/>
        <v>409</v>
      </c>
      <c r="E36" s="166">
        <f>SUM(F36:Q36)</f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38"/>
    </row>
    <row r="37" spans="1:18">
      <c r="A37" s="37">
        <f>'BASE PERIOD'!A38</f>
        <v>410100</v>
      </c>
      <c r="B37" s="36" t="str">
        <f>'BASE PERIOD'!B38</f>
        <v>DFIT: Utility: Current Year</v>
      </c>
      <c r="C37" s="37" t="str">
        <f>'BASE PERIOD'!C38</f>
        <v>FIT</v>
      </c>
      <c r="D37" s="37">
        <f t="shared" si="0"/>
        <v>410</v>
      </c>
      <c r="E37" s="166">
        <f t="shared" si="1"/>
        <v>2173281</v>
      </c>
      <c r="F37" s="41">
        <v>181107</v>
      </c>
      <c r="G37" s="41">
        <v>181107</v>
      </c>
      <c r="H37" s="41">
        <v>181107</v>
      </c>
      <c r="I37" s="41">
        <v>181107</v>
      </c>
      <c r="J37" s="41">
        <v>181107</v>
      </c>
      <c r="K37" s="41">
        <v>181107</v>
      </c>
      <c r="L37" s="41">
        <v>181107</v>
      </c>
      <c r="M37" s="41">
        <v>181107</v>
      </c>
      <c r="N37" s="41">
        <v>181107</v>
      </c>
      <c r="O37" s="41">
        <v>181107</v>
      </c>
      <c r="P37" s="41">
        <v>181107</v>
      </c>
      <c r="Q37" s="41">
        <v>181104</v>
      </c>
      <c r="R37" s="38"/>
    </row>
    <row r="38" spans="1:18">
      <c r="A38" s="37">
        <f>'BASE PERIOD'!A39</f>
        <v>410102</v>
      </c>
      <c r="B38" s="36" t="str">
        <f>'BASE PERIOD'!B39</f>
        <v>DSIT: Utility: Current Year</v>
      </c>
      <c r="C38" s="37" t="str">
        <f>'BASE PERIOD'!C39</f>
        <v>FIT</v>
      </c>
      <c r="D38" s="37">
        <f t="shared" si="0"/>
        <v>410</v>
      </c>
      <c r="E38" s="166">
        <f t="shared" si="1"/>
        <v>1569720</v>
      </c>
      <c r="F38" s="41">
        <v>130810</v>
      </c>
      <c r="G38" s="41">
        <v>130810</v>
      </c>
      <c r="H38" s="41">
        <v>130810</v>
      </c>
      <c r="I38" s="41">
        <v>130810</v>
      </c>
      <c r="J38" s="41">
        <v>130810</v>
      </c>
      <c r="K38" s="41">
        <v>130810</v>
      </c>
      <c r="L38" s="41">
        <v>130810</v>
      </c>
      <c r="M38" s="41">
        <v>130810</v>
      </c>
      <c r="N38" s="41">
        <v>130810</v>
      </c>
      <c r="O38" s="41">
        <v>130810</v>
      </c>
      <c r="P38" s="41">
        <v>130810</v>
      </c>
      <c r="Q38" s="41">
        <v>130810</v>
      </c>
      <c r="R38" s="38"/>
    </row>
    <row r="39" spans="1:18">
      <c r="A39" s="37">
        <f>'BASE PERIOD'!A40</f>
        <v>410105</v>
      </c>
      <c r="B39" s="36" t="str">
        <f>'BASE PERIOD'!B40</f>
        <v>DFIT: Utility: Prior Year</v>
      </c>
      <c r="C39" s="37" t="str">
        <f>'BASE PERIOD'!C40</f>
        <v>FIT</v>
      </c>
      <c r="D39" s="37">
        <f t="shared" si="0"/>
        <v>410</v>
      </c>
      <c r="E39" s="166">
        <f t="shared" si="1"/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38"/>
    </row>
    <row r="40" spans="1:18">
      <c r="A40" s="37">
        <f>'BASE PERIOD'!A41</f>
        <v>410106</v>
      </c>
      <c r="B40" s="36" t="str">
        <f>'BASE PERIOD'!B41</f>
        <v>DSIT: Utility: Prior Year</v>
      </c>
      <c r="C40" s="37" t="str">
        <f>'BASE PERIOD'!C41</f>
        <v>FIT</v>
      </c>
      <c r="D40" s="37">
        <f t="shared" si="0"/>
        <v>410</v>
      </c>
      <c r="E40" s="166">
        <f t="shared" si="1"/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38"/>
    </row>
    <row r="41" spans="1:18">
      <c r="A41" s="37">
        <f>'BASE PERIOD'!A42</f>
        <v>411051</v>
      </c>
      <c r="B41" s="36" t="str">
        <f>'BASE PERIOD'!B42</f>
        <v>Accretion Expense-ARO Ash Pond</v>
      </c>
      <c r="C41" s="37" t="str">
        <f>'BASE PERIOD'!C42</f>
        <v>OTH</v>
      </c>
      <c r="D41" s="37">
        <f t="shared" si="0"/>
        <v>411</v>
      </c>
      <c r="E41" s="166">
        <f t="shared" si="1"/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38"/>
    </row>
    <row r="42" spans="1:18">
      <c r="A42" s="37">
        <f>'BASE PERIOD'!A43</f>
        <v>411100</v>
      </c>
      <c r="B42" s="36" t="str">
        <f>'BASE PERIOD'!B43</f>
        <v>DFIT: Utility: Curr Year CR</v>
      </c>
      <c r="C42" s="37" t="str">
        <f>'BASE PERIOD'!C43</f>
        <v>FIT</v>
      </c>
      <c r="D42" s="37">
        <f t="shared" si="0"/>
        <v>411</v>
      </c>
      <c r="E42" s="166">
        <f t="shared" si="1"/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38"/>
    </row>
    <row r="43" spans="1:18">
      <c r="A43" s="37">
        <f>'BASE PERIOD'!A44</f>
        <v>411101</v>
      </c>
      <c r="B43" s="36" t="str">
        <f>'BASE PERIOD'!B44</f>
        <v>DSIT: Utility: Curr Year CR</v>
      </c>
      <c r="C43" s="37" t="str">
        <f>'BASE PERIOD'!C44</f>
        <v>FIT</v>
      </c>
      <c r="D43" s="37">
        <f t="shared" si="0"/>
        <v>411</v>
      </c>
      <c r="E43" s="166">
        <f t="shared" si="1"/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38"/>
    </row>
    <row r="44" spans="1:18">
      <c r="A44" s="37">
        <f>'BASE PERIOD'!A45</f>
        <v>411102</v>
      </c>
      <c r="B44" s="36" t="str">
        <f>'BASE PERIOD'!B45</f>
        <v>DFIT: Utility: Prior Year CR</v>
      </c>
      <c r="C44" s="37" t="str">
        <f>'BASE PERIOD'!C45</f>
        <v>FIT</v>
      </c>
      <c r="D44" s="37">
        <f t="shared" si="0"/>
        <v>411</v>
      </c>
      <c r="E44" s="166">
        <f t="shared" si="1"/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38"/>
    </row>
    <row r="45" spans="1:18">
      <c r="A45" s="37">
        <f>'BASE PERIOD'!A46</f>
        <v>411103</v>
      </c>
      <c r="B45" s="36" t="str">
        <f>'BASE PERIOD'!B46</f>
        <v>DSIT: Utility: Prior Year CR</v>
      </c>
      <c r="C45" s="37" t="str">
        <f>'BASE PERIOD'!C46</f>
        <v>FIT</v>
      </c>
      <c r="D45" s="37">
        <f t="shared" si="0"/>
        <v>411</v>
      </c>
      <c r="E45" s="166">
        <f t="shared" si="1"/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38"/>
    </row>
    <row r="46" spans="1:18">
      <c r="A46" s="37">
        <f>'BASE PERIOD'!A47</f>
        <v>411106</v>
      </c>
      <c r="B46" s="36" t="str">
        <f>'BASE PERIOD'!B47</f>
        <v>DFIT:Utility:Prior year</v>
      </c>
      <c r="C46" s="37" t="str">
        <f>'BASE PERIOD'!C47</f>
        <v>FIT</v>
      </c>
      <c r="D46" s="37">
        <f t="shared" si="0"/>
        <v>411</v>
      </c>
      <c r="E46" s="166">
        <f t="shared" si="1"/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38"/>
    </row>
    <row r="47" spans="1:18">
      <c r="A47" s="37">
        <f>'BASE PERIOD'!A48</f>
        <v>411410</v>
      </c>
      <c r="B47" s="36" t="str">
        <f>'BASE PERIOD'!B48</f>
        <v>Invest Tax Credit Adj-Electric</v>
      </c>
      <c r="C47" s="37" t="str">
        <f>'BASE PERIOD'!C48</f>
        <v>FIT</v>
      </c>
      <c r="D47" s="37">
        <f t="shared" si="0"/>
        <v>411</v>
      </c>
      <c r="E47" s="166">
        <f>SUM(F47:Q47)</f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38"/>
    </row>
    <row r="48" spans="1:18">
      <c r="A48" s="37">
        <v>411834</v>
      </c>
      <c r="B48" s="36" t="s">
        <v>86</v>
      </c>
      <c r="C48" s="37" t="s">
        <v>282</v>
      </c>
      <c r="D48" s="37">
        <v>411</v>
      </c>
      <c r="E48" s="166">
        <f>SUM(F48:Q48)</f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38"/>
    </row>
    <row r="49" spans="1:18">
      <c r="A49" s="37">
        <v>411835</v>
      </c>
      <c r="B49" s="36" t="s">
        <v>87</v>
      </c>
      <c r="C49" s="37" t="s">
        <v>282</v>
      </c>
      <c r="D49" s="37">
        <v>411</v>
      </c>
      <c r="E49" s="166">
        <f t="shared" ref="E49" si="4">SUM(F49:Q49)</f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38"/>
    </row>
    <row r="50" spans="1:18">
      <c r="A50" s="37">
        <v>426509</v>
      </c>
      <c r="B50" s="36" t="s">
        <v>88</v>
      </c>
      <c r="C50" s="37" t="str">
        <f>'BASE PERIOD'!C52</f>
        <v>CO</v>
      </c>
      <c r="D50" s="37">
        <f t="shared" ref="D50" si="5">VALUE(LEFT(A50,3))</f>
        <v>426</v>
      </c>
      <c r="E50" s="166">
        <f t="shared" si="1"/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38"/>
    </row>
    <row r="51" spans="1:18">
      <c r="A51" s="37">
        <v>426591</v>
      </c>
      <c r="B51" s="29" t="s">
        <v>89</v>
      </c>
      <c r="C51" s="37" t="str">
        <f>'BASE PERIOD'!C53</f>
        <v>CO</v>
      </c>
      <c r="D51" s="37">
        <f t="shared" ref="D51" si="6">VALUE(LEFT(A51,3))</f>
        <v>426</v>
      </c>
      <c r="E51" s="166">
        <f t="shared" si="1"/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</row>
    <row r="52" spans="1:18">
      <c r="A52" s="37">
        <v>426891</v>
      </c>
      <c r="B52" s="36" t="s">
        <v>90</v>
      </c>
      <c r="C52" s="37" t="str">
        <f>'BASE PERIOD'!C54</f>
        <v>CO</v>
      </c>
      <c r="D52" s="37">
        <f t="shared" si="0"/>
        <v>426</v>
      </c>
      <c r="E52" s="166">
        <f t="shared" si="1"/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38"/>
    </row>
    <row r="53" spans="1:18">
      <c r="A53" s="37">
        <f>'BASE PERIOD'!A55</f>
        <v>440000</v>
      </c>
      <c r="B53" s="36" t="str">
        <f>'BASE PERIOD'!B55</f>
        <v>Residential</v>
      </c>
      <c r="C53" s="37" t="str">
        <f>'BASE PERIOD'!C55</f>
        <v>REV</v>
      </c>
      <c r="D53" s="37">
        <f t="shared" si="0"/>
        <v>440</v>
      </c>
      <c r="E53" s="166">
        <f t="shared" si="1"/>
        <v>188335485</v>
      </c>
      <c r="F53" s="41">
        <v>17662118</v>
      </c>
      <c r="G53" s="41">
        <v>18330537</v>
      </c>
      <c r="H53" s="41">
        <v>17575100</v>
      </c>
      <c r="I53" s="41">
        <v>12455422</v>
      </c>
      <c r="J53" s="41">
        <v>13105336</v>
      </c>
      <c r="K53" s="41">
        <v>18464005</v>
      </c>
      <c r="L53" s="41">
        <v>19639692</v>
      </c>
      <c r="M53" s="41">
        <v>16572882</v>
      </c>
      <c r="N53" s="41">
        <v>15914040</v>
      </c>
      <c r="O53" s="41">
        <v>13019990</v>
      </c>
      <c r="P53" s="41">
        <v>10899653</v>
      </c>
      <c r="Q53" s="41">
        <v>14696710</v>
      </c>
      <c r="R53" s="38"/>
    </row>
    <row r="54" spans="1:18">
      <c r="A54" s="37">
        <f>'BASE PERIOD'!A56</f>
        <v>440990</v>
      </c>
      <c r="B54" s="36" t="str">
        <f>'BASE PERIOD'!B56</f>
        <v>Residential Unbilled Rev</v>
      </c>
      <c r="C54" s="37" t="str">
        <f>'BASE PERIOD'!C56</f>
        <v>REV</v>
      </c>
      <c r="D54" s="37">
        <f t="shared" si="0"/>
        <v>440</v>
      </c>
      <c r="E54" s="166">
        <f t="shared" si="1"/>
        <v>286072</v>
      </c>
      <c r="F54" s="41">
        <v>39246</v>
      </c>
      <c r="G54" s="41">
        <v>36618</v>
      </c>
      <c r="H54" s="41">
        <v>-1861921</v>
      </c>
      <c r="I54" s="41">
        <v>-117079</v>
      </c>
      <c r="J54" s="41">
        <v>2217107</v>
      </c>
      <c r="K54" s="41">
        <v>1847111</v>
      </c>
      <c r="L54" s="41">
        <v>-2023859</v>
      </c>
      <c r="M54" s="41">
        <v>-304049</v>
      </c>
      <c r="N54" s="41">
        <v>-2011248</v>
      </c>
      <c r="O54" s="41">
        <v>-1319225</v>
      </c>
      <c r="P54" s="41">
        <v>2026219</v>
      </c>
      <c r="Q54" s="41">
        <v>1757152</v>
      </c>
      <c r="R54" s="38"/>
    </row>
    <row r="55" spans="1:18">
      <c r="A55" s="37">
        <f>'BASE PERIOD'!A57</f>
        <v>442100</v>
      </c>
      <c r="B55" s="36" t="str">
        <f>'BASE PERIOD'!B57</f>
        <v>General Service</v>
      </c>
      <c r="C55" s="37" t="str">
        <f>'BASE PERIOD'!C57</f>
        <v>REV</v>
      </c>
      <c r="D55" s="37">
        <f t="shared" si="0"/>
        <v>442</v>
      </c>
      <c r="E55" s="166">
        <f t="shared" si="1"/>
        <v>155504193</v>
      </c>
      <c r="F55" s="41">
        <v>14135976</v>
      </c>
      <c r="G55" s="41">
        <v>13936607</v>
      </c>
      <c r="H55" s="41">
        <v>14503316</v>
      </c>
      <c r="I55" s="41">
        <v>12650428</v>
      </c>
      <c r="J55" s="41">
        <v>13024237</v>
      </c>
      <c r="K55" s="41">
        <v>14322170</v>
      </c>
      <c r="L55" s="41">
        <v>13294755</v>
      </c>
      <c r="M55" s="41">
        <v>11229278</v>
      </c>
      <c r="N55" s="41">
        <v>12189211</v>
      </c>
      <c r="O55" s="41">
        <v>11804376</v>
      </c>
      <c r="P55" s="41">
        <v>11161701</v>
      </c>
      <c r="Q55" s="41">
        <v>13252138</v>
      </c>
      <c r="R55" s="38"/>
    </row>
    <row r="56" spans="1:18">
      <c r="A56" s="37">
        <f>'BASE PERIOD'!A58</f>
        <v>442190</v>
      </c>
      <c r="B56" s="36" t="str">
        <f>'BASE PERIOD'!B58</f>
        <v>General Service Unbilled Rev</v>
      </c>
      <c r="C56" s="37" t="str">
        <f>'BASE PERIOD'!C58</f>
        <v>REV</v>
      </c>
      <c r="D56" s="37">
        <f t="shared" si="0"/>
        <v>442</v>
      </c>
      <c r="E56" s="166">
        <f t="shared" si="1"/>
        <v>25883</v>
      </c>
      <c r="F56" s="41">
        <v>-542827</v>
      </c>
      <c r="G56" s="41">
        <v>459256</v>
      </c>
      <c r="H56" s="41">
        <v>201384</v>
      </c>
      <c r="I56" s="41">
        <v>-492352</v>
      </c>
      <c r="J56" s="41">
        <v>804487</v>
      </c>
      <c r="K56" s="41">
        <v>-231217</v>
      </c>
      <c r="L56" s="41">
        <v>-1478804</v>
      </c>
      <c r="M56" s="41">
        <v>156211</v>
      </c>
      <c r="N56" s="41">
        <v>-325120</v>
      </c>
      <c r="O56" s="41">
        <v>-961849</v>
      </c>
      <c r="P56" s="41">
        <v>1059627</v>
      </c>
      <c r="Q56" s="41">
        <v>1377087</v>
      </c>
      <c r="R56" s="38"/>
    </row>
    <row r="57" spans="1:18">
      <c r="A57" s="37">
        <f>'BASE PERIOD'!A59</f>
        <v>442200</v>
      </c>
      <c r="B57" s="36" t="str">
        <f>'BASE PERIOD'!B59</f>
        <v>Industrial Service</v>
      </c>
      <c r="C57" s="37" t="str">
        <f>'BASE PERIOD'!C59</f>
        <v>REV</v>
      </c>
      <c r="D57" s="37">
        <f t="shared" si="0"/>
        <v>442</v>
      </c>
      <c r="E57" s="166">
        <f t="shared" si="1"/>
        <v>72676749</v>
      </c>
      <c r="F57" s="41">
        <v>6267087</v>
      </c>
      <c r="G57" s="41">
        <v>6525675</v>
      </c>
      <c r="H57" s="41">
        <v>6894622</v>
      </c>
      <c r="I57" s="41">
        <v>6032064</v>
      </c>
      <c r="J57" s="41">
        <v>6604934</v>
      </c>
      <c r="K57" s="41">
        <v>6723787</v>
      </c>
      <c r="L57" s="41">
        <v>5805233</v>
      </c>
      <c r="M57" s="41">
        <v>5527957</v>
      </c>
      <c r="N57" s="41">
        <v>5329488</v>
      </c>
      <c r="O57" s="41">
        <v>5263470</v>
      </c>
      <c r="P57" s="41">
        <v>5552523</v>
      </c>
      <c r="Q57" s="41">
        <v>6149909</v>
      </c>
      <c r="R57" s="38"/>
    </row>
    <row r="58" spans="1:18">
      <c r="A58" s="37">
        <f>'BASE PERIOD'!A60</f>
        <v>442290</v>
      </c>
      <c r="B58" s="36" t="str">
        <f>'BASE PERIOD'!B60</f>
        <v>Industrial Svc Unbilled Rev</v>
      </c>
      <c r="C58" s="37" t="str">
        <f>'BASE PERIOD'!C60</f>
        <v>REV</v>
      </c>
      <c r="D58" s="37">
        <f t="shared" si="0"/>
        <v>442</v>
      </c>
      <c r="E58" s="166">
        <f t="shared" si="1"/>
        <v>-10082</v>
      </c>
      <c r="F58" s="41">
        <v>-6140</v>
      </c>
      <c r="G58" s="41">
        <v>331786</v>
      </c>
      <c r="H58" s="41">
        <v>-62736</v>
      </c>
      <c r="I58" s="41">
        <v>6357</v>
      </c>
      <c r="J58" s="41">
        <v>272142</v>
      </c>
      <c r="K58" s="41">
        <v>-164272</v>
      </c>
      <c r="L58" s="41">
        <v>-728083</v>
      </c>
      <c r="M58" s="41">
        <v>-307112</v>
      </c>
      <c r="N58" s="41">
        <v>223118</v>
      </c>
      <c r="O58" s="41">
        <v>-71920</v>
      </c>
      <c r="P58" s="41">
        <v>415961</v>
      </c>
      <c r="Q58" s="41">
        <v>80817</v>
      </c>
      <c r="R58" s="38"/>
    </row>
    <row r="59" spans="1:18">
      <c r="A59" s="37">
        <f>'BASE PERIOD'!A61</f>
        <v>444000</v>
      </c>
      <c r="B59" s="36" t="str">
        <f>'BASE PERIOD'!B61</f>
        <v>Public St &amp; Highway Lighting</v>
      </c>
      <c r="C59" s="37" t="str">
        <f>'BASE PERIOD'!C61</f>
        <v>REV</v>
      </c>
      <c r="D59" s="37">
        <f t="shared" si="0"/>
        <v>444</v>
      </c>
      <c r="E59" s="166">
        <f t="shared" si="1"/>
        <v>1768975</v>
      </c>
      <c r="F59" s="41">
        <v>148758</v>
      </c>
      <c r="G59" s="41">
        <v>104859</v>
      </c>
      <c r="H59" s="41">
        <v>192523</v>
      </c>
      <c r="I59" s="41">
        <v>141232</v>
      </c>
      <c r="J59" s="41">
        <v>166858</v>
      </c>
      <c r="K59" s="41">
        <v>152599</v>
      </c>
      <c r="L59" s="41">
        <v>152906</v>
      </c>
      <c r="M59" s="41">
        <v>140308</v>
      </c>
      <c r="N59" s="41">
        <v>141668</v>
      </c>
      <c r="O59" s="41">
        <v>134963</v>
      </c>
      <c r="P59" s="41">
        <v>132426</v>
      </c>
      <c r="Q59" s="41">
        <v>159875</v>
      </c>
      <c r="R59" s="38"/>
    </row>
    <row r="60" spans="1:18">
      <c r="A60" s="37">
        <f>'BASE PERIOD'!A62</f>
        <v>445000</v>
      </c>
      <c r="B60" s="36" t="str">
        <f>'BASE PERIOD'!B62</f>
        <v>Other Sales to Public Auth</v>
      </c>
      <c r="C60" s="37" t="str">
        <f>'BASE PERIOD'!C62</f>
        <v>REV</v>
      </c>
      <c r="D60" s="37">
        <f t="shared" si="0"/>
        <v>445</v>
      </c>
      <c r="E60" s="166">
        <f t="shared" si="1"/>
        <v>26886889</v>
      </c>
      <c r="F60" s="41">
        <v>2358574</v>
      </c>
      <c r="G60" s="41">
        <v>2416066</v>
      </c>
      <c r="H60" s="41">
        <v>2654284</v>
      </c>
      <c r="I60" s="41">
        <v>2269839</v>
      </c>
      <c r="J60" s="41">
        <v>2164274</v>
      </c>
      <c r="K60" s="41">
        <v>2542281</v>
      </c>
      <c r="L60" s="41">
        <v>2302386</v>
      </c>
      <c r="M60" s="41">
        <v>2300418</v>
      </c>
      <c r="N60" s="41">
        <v>1956721</v>
      </c>
      <c r="O60" s="41">
        <v>1754808</v>
      </c>
      <c r="P60" s="41">
        <v>1950928</v>
      </c>
      <c r="Q60" s="41">
        <v>2216310</v>
      </c>
      <c r="R60" s="38"/>
    </row>
    <row r="61" spans="1:18">
      <c r="A61" s="37">
        <f>'BASE PERIOD'!A63</f>
        <v>445090</v>
      </c>
      <c r="B61" s="36" t="str">
        <f>'BASE PERIOD'!B63</f>
        <v>OPA Unbilled</v>
      </c>
      <c r="C61" s="37" t="str">
        <f>'BASE PERIOD'!C63</f>
        <v>REV</v>
      </c>
      <c r="D61" s="37">
        <f t="shared" si="0"/>
        <v>445</v>
      </c>
      <c r="E61" s="166">
        <f t="shared" si="1"/>
        <v>28915</v>
      </c>
      <c r="F61" s="41">
        <v>-64533</v>
      </c>
      <c r="G61" s="41">
        <v>84305</v>
      </c>
      <c r="H61" s="41">
        <v>-66481</v>
      </c>
      <c r="I61" s="41">
        <v>28369</v>
      </c>
      <c r="J61" s="41">
        <v>187237</v>
      </c>
      <c r="K61" s="41">
        <v>-91086</v>
      </c>
      <c r="L61" s="41">
        <v>-302259</v>
      </c>
      <c r="M61" s="41">
        <v>-113757</v>
      </c>
      <c r="N61" s="41">
        <v>-59782</v>
      </c>
      <c r="O61" s="41">
        <v>268420</v>
      </c>
      <c r="P61" s="41">
        <v>60239</v>
      </c>
      <c r="Q61" s="41">
        <v>98243</v>
      </c>
      <c r="R61" s="38"/>
    </row>
    <row r="62" spans="1:18">
      <c r="A62" s="37">
        <f>'BASE PERIOD'!A64</f>
        <v>447150</v>
      </c>
      <c r="B62" s="36" t="str">
        <f>'BASE PERIOD'!B64</f>
        <v>Sales For Resale - Outside</v>
      </c>
      <c r="C62" s="37" t="str">
        <f>'BASE PERIOD'!C64</f>
        <v>REV</v>
      </c>
      <c r="D62" s="37">
        <f t="shared" si="0"/>
        <v>447</v>
      </c>
      <c r="E62" s="166">
        <f t="shared" si="1"/>
        <v>31560809</v>
      </c>
      <c r="F62" s="41">
        <v>6255559</v>
      </c>
      <c r="G62" s="41">
        <v>3872948</v>
      </c>
      <c r="H62" s="41">
        <v>426653</v>
      </c>
      <c r="I62" s="41">
        <v>640</v>
      </c>
      <c r="J62" s="41">
        <v>1212317</v>
      </c>
      <c r="K62" s="41">
        <v>2624771</v>
      </c>
      <c r="L62" s="41">
        <v>6085846</v>
      </c>
      <c r="M62" s="41">
        <v>2642341</v>
      </c>
      <c r="N62" s="41">
        <v>2342229</v>
      </c>
      <c r="O62" s="41">
        <v>1906971</v>
      </c>
      <c r="P62" s="41">
        <v>2194989</v>
      </c>
      <c r="Q62" s="41">
        <v>1995545</v>
      </c>
      <c r="R62" s="38"/>
    </row>
    <row r="63" spans="1:18">
      <c r="A63" s="37">
        <f>'BASE PERIOD'!A65</f>
        <v>448000</v>
      </c>
      <c r="B63" s="36" t="str">
        <f>'BASE PERIOD'!B65</f>
        <v>Interdepartmental Sales-Elec</v>
      </c>
      <c r="C63" s="37" t="str">
        <f>'BASE PERIOD'!C65</f>
        <v>REV</v>
      </c>
      <c r="D63" s="37">
        <f t="shared" si="0"/>
        <v>448</v>
      </c>
      <c r="E63" s="166">
        <f t="shared" si="1"/>
        <v>33541</v>
      </c>
      <c r="F63" s="41">
        <v>1517</v>
      </c>
      <c r="G63" s="41">
        <v>1546</v>
      </c>
      <c r="H63" s="41">
        <v>1640</v>
      </c>
      <c r="I63" s="41">
        <v>1609</v>
      </c>
      <c r="J63" s="41">
        <v>1756</v>
      </c>
      <c r="K63" s="41">
        <v>3401</v>
      </c>
      <c r="L63" s="41">
        <v>7691</v>
      </c>
      <c r="M63" s="41">
        <v>5866</v>
      </c>
      <c r="N63" s="41">
        <v>3863</v>
      </c>
      <c r="O63" s="41">
        <v>1501</v>
      </c>
      <c r="P63" s="41">
        <v>1560</v>
      </c>
      <c r="Q63" s="41">
        <v>1591</v>
      </c>
      <c r="R63" s="38"/>
    </row>
    <row r="64" spans="1:18">
      <c r="A64" s="37">
        <f>'BASE PERIOD'!A66</f>
        <v>449100</v>
      </c>
      <c r="B64" s="36" t="str">
        <f>'BASE PERIOD'!B66</f>
        <v>Provisions For Rate Refunds</v>
      </c>
      <c r="C64" s="37" t="str">
        <f>'BASE PERIOD'!C66</f>
        <v>REV</v>
      </c>
      <c r="D64" s="37">
        <f t="shared" si="0"/>
        <v>449</v>
      </c>
      <c r="E64" s="166">
        <f t="shared" si="1"/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38"/>
    </row>
    <row r="65" spans="1:18">
      <c r="A65" s="37">
        <f>'BASE PERIOD'!A67</f>
        <v>449111</v>
      </c>
      <c r="B65" s="36" t="str">
        <f>'BASE PERIOD'!B67</f>
        <v>Tax Reform - Residential</v>
      </c>
      <c r="C65" s="37" t="str">
        <f>'BASE PERIOD'!C67</f>
        <v>REV</v>
      </c>
      <c r="D65" s="37">
        <f t="shared" ref="D65:D132" si="7">VALUE(LEFT(A65,3))</f>
        <v>449</v>
      </c>
      <c r="E65" s="166">
        <f t="shared" ref="E65" si="8">SUM(F65:Q65)</f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38"/>
    </row>
    <row r="66" spans="1:18">
      <c r="A66" s="37">
        <f>'BASE PERIOD'!A68</f>
        <v>450100</v>
      </c>
      <c r="B66" s="36" t="str">
        <f>'BASE PERIOD'!B68</f>
        <v>Late Payment Fees</v>
      </c>
      <c r="C66" s="37" t="str">
        <f>'BASE PERIOD'!C68</f>
        <v>REV</v>
      </c>
      <c r="D66" s="37">
        <f t="shared" si="7"/>
        <v>450</v>
      </c>
      <c r="E66" s="166">
        <f>SUM(F66:Q66)</f>
        <v>1155060</v>
      </c>
      <c r="F66" s="41">
        <v>142710</v>
      </c>
      <c r="G66" s="41">
        <v>140840</v>
      </c>
      <c r="H66" s="41">
        <v>171160</v>
      </c>
      <c r="I66" s="41">
        <v>106100</v>
      </c>
      <c r="J66" s="41">
        <v>51860</v>
      </c>
      <c r="K66" s="41">
        <v>63670</v>
      </c>
      <c r="L66" s="41">
        <v>70460</v>
      </c>
      <c r="M66" s="41">
        <v>95670</v>
      </c>
      <c r="N66" s="41">
        <v>84040</v>
      </c>
      <c r="O66" s="41">
        <v>73170</v>
      </c>
      <c r="P66" s="41">
        <v>75210</v>
      </c>
      <c r="Q66" s="41">
        <v>80170</v>
      </c>
      <c r="R66" s="1673"/>
    </row>
    <row r="67" spans="1:18">
      <c r="A67" s="37">
        <f>'BASE PERIOD'!A69</f>
        <v>451100</v>
      </c>
      <c r="B67" s="36" t="str">
        <f>'BASE PERIOD'!B69</f>
        <v>Misc Service Revenue</v>
      </c>
      <c r="C67" s="37" t="str">
        <f>'BASE PERIOD'!C69</f>
        <v>REV</v>
      </c>
      <c r="D67" s="37">
        <f t="shared" si="7"/>
        <v>451</v>
      </c>
      <c r="E67" s="166">
        <f>SUM(F67:Q67)</f>
        <v>249996</v>
      </c>
      <c r="F67" s="41">
        <v>20833</v>
      </c>
      <c r="G67" s="41">
        <v>20833</v>
      </c>
      <c r="H67" s="41">
        <v>20833</v>
      </c>
      <c r="I67" s="41">
        <v>20833</v>
      </c>
      <c r="J67" s="41">
        <v>20833</v>
      </c>
      <c r="K67" s="41">
        <v>20833</v>
      </c>
      <c r="L67" s="41">
        <v>20833</v>
      </c>
      <c r="M67" s="41">
        <v>20833</v>
      </c>
      <c r="N67" s="41">
        <v>20833</v>
      </c>
      <c r="O67" s="41">
        <v>20833</v>
      </c>
      <c r="P67" s="41">
        <v>20833</v>
      </c>
      <c r="Q67" s="41">
        <v>20833</v>
      </c>
      <c r="R67" s="1673"/>
    </row>
    <row r="68" spans="1:18">
      <c r="A68" s="37">
        <f>'BASE PERIOD'!A70</f>
        <v>454004</v>
      </c>
      <c r="B68" s="36" t="str">
        <f>'BASE PERIOD'!B70</f>
        <v>Rent - Joint Use</v>
      </c>
      <c r="C68" s="37" t="str">
        <f>'BASE PERIOD'!C70</f>
        <v>REV</v>
      </c>
      <c r="D68" s="37">
        <f t="shared" si="7"/>
        <v>454</v>
      </c>
      <c r="E68" s="166">
        <f>SUM(F68:Q68)</f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38"/>
    </row>
    <row r="69" spans="1:18">
      <c r="A69" s="37">
        <v>454100</v>
      </c>
      <c r="B69" s="36" t="s">
        <v>107</v>
      </c>
      <c r="C69" s="37" t="s">
        <v>284</v>
      </c>
      <c r="D69" s="37">
        <f>VALUE(LEFT(A69,3))</f>
        <v>454</v>
      </c>
      <c r="E69" s="166">
        <f t="shared" ref="E69:E72" si="9">SUM(F69:Q69)</f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38"/>
    </row>
    <row r="70" spans="1:18">
      <c r="A70" s="37">
        <f>'BASE PERIOD'!A72</f>
        <v>454200</v>
      </c>
      <c r="B70" s="36" t="str">
        <f>'BASE PERIOD'!B72</f>
        <v>Pole &amp; Line Attachments</v>
      </c>
      <c r="C70" s="37" t="str">
        <f>'BASE PERIOD'!C72</f>
        <v>REV</v>
      </c>
      <c r="D70" s="37">
        <f t="shared" si="7"/>
        <v>454</v>
      </c>
      <c r="E70" s="166">
        <f t="shared" si="9"/>
        <v>699996</v>
      </c>
      <c r="F70" s="41">
        <v>58333</v>
      </c>
      <c r="G70" s="41">
        <v>58333</v>
      </c>
      <c r="H70" s="41">
        <v>58333</v>
      </c>
      <c r="I70" s="41">
        <v>58333</v>
      </c>
      <c r="J70" s="41">
        <v>58333</v>
      </c>
      <c r="K70" s="41">
        <v>58333</v>
      </c>
      <c r="L70" s="41">
        <v>58333</v>
      </c>
      <c r="M70" s="41">
        <v>58333</v>
      </c>
      <c r="N70" s="41">
        <v>58333</v>
      </c>
      <c r="O70" s="41">
        <v>58333</v>
      </c>
      <c r="P70" s="41">
        <v>58333</v>
      </c>
      <c r="Q70" s="41">
        <v>58333</v>
      </c>
      <c r="R70" s="38"/>
    </row>
    <row r="71" spans="1:18">
      <c r="A71" s="37">
        <v>454210</v>
      </c>
      <c r="B71" s="36" t="s">
        <v>109</v>
      </c>
      <c r="C71" s="37" t="s">
        <v>284</v>
      </c>
      <c r="D71" s="37">
        <f t="shared" si="7"/>
        <v>454</v>
      </c>
      <c r="E71" s="166">
        <f t="shared" si="9"/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38"/>
    </row>
    <row r="72" spans="1:18">
      <c r="A72" s="37">
        <f>'BASE PERIOD'!A74</f>
        <v>454300</v>
      </c>
      <c r="B72" s="36" t="str">
        <f>'BASE PERIOD'!B74</f>
        <v>Tower Lease Revenues</v>
      </c>
      <c r="C72" s="37" t="str">
        <f>'BASE PERIOD'!C74</f>
        <v>REV</v>
      </c>
      <c r="D72" s="37">
        <f t="shared" si="7"/>
        <v>454</v>
      </c>
      <c r="E72" s="166">
        <f t="shared" si="9"/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38"/>
    </row>
    <row r="73" spans="1:18">
      <c r="A73" s="37">
        <f>'BASE PERIOD'!A75</f>
        <v>454400</v>
      </c>
      <c r="B73" s="36" t="str">
        <f>'BASE PERIOD'!B75</f>
        <v>Other Electric Rents</v>
      </c>
      <c r="C73" s="37" t="str">
        <f>'BASE PERIOD'!C75</f>
        <v>REV</v>
      </c>
      <c r="D73" s="37">
        <f t="shared" si="7"/>
        <v>454</v>
      </c>
      <c r="E73" s="166">
        <f t="shared" si="1"/>
        <v>1299996</v>
      </c>
      <c r="F73" s="41">
        <v>108333</v>
      </c>
      <c r="G73" s="41">
        <v>108333</v>
      </c>
      <c r="H73" s="41">
        <v>108333</v>
      </c>
      <c r="I73" s="41">
        <v>108333</v>
      </c>
      <c r="J73" s="41">
        <v>108333</v>
      </c>
      <c r="K73" s="41">
        <v>108333</v>
      </c>
      <c r="L73" s="41">
        <v>108333</v>
      </c>
      <c r="M73" s="41">
        <v>108333</v>
      </c>
      <c r="N73" s="41">
        <v>108333</v>
      </c>
      <c r="O73" s="41">
        <v>108333</v>
      </c>
      <c r="P73" s="41">
        <v>108333</v>
      </c>
      <c r="Q73" s="41">
        <v>108333</v>
      </c>
      <c r="R73" s="38"/>
    </row>
    <row r="74" spans="1:18">
      <c r="A74" s="37">
        <f>'BASE PERIOD'!A76</f>
        <v>456025</v>
      </c>
      <c r="B74" s="36" t="str">
        <f>'BASE PERIOD'!B76</f>
        <v>RSG Rev - MISO Make Whole</v>
      </c>
      <c r="C74" s="37" t="str">
        <f>'BASE PERIOD'!C76</f>
        <v>REV</v>
      </c>
      <c r="D74" s="37">
        <f t="shared" si="7"/>
        <v>456</v>
      </c>
      <c r="E74" s="166">
        <f>SUM(F74:Q74)</f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38"/>
    </row>
    <row r="75" spans="1:18">
      <c r="A75" s="37">
        <f>'BASE PERIOD'!A77</f>
        <v>456040</v>
      </c>
      <c r="B75" s="36" t="str">
        <f>'BASE PERIOD'!B77</f>
        <v>Sales Use Tax Coll Fee</v>
      </c>
      <c r="C75" s="37" t="str">
        <f>'BASE PERIOD'!C77</f>
        <v>REV</v>
      </c>
      <c r="D75" s="37">
        <f t="shared" si="7"/>
        <v>456</v>
      </c>
      <c r="E75" s="166">
        <f t="shared" si="1"/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38"/>
    </row>
    <row r="76" spans="1:18">
      <c r="A76" s="37">
        <f>'BASE PERIOD'!A78</f>
        <v>456075</v>
      </c>
      <c r="B76" s="36" t="str">
        <f>'BASE PERIOD'!B78</f>
        <v>Data Processing Service</v>
      </c>
      <c r="C76" s="37" t="str">
        <f>'BASE PERIOD'!C78</f>
        <v>REV</v>
      </c>
      <c r="D76" s="37">
        <f t="shared" si="7"/>
        <v>456</v>
      </c>
      <c r="E76" s="166">
        <f t="shared" ref="E76" si="10">SUM(F76:Q76)</f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38"/>
    </row>
    <row r="77" spans="1:18">
      <c r="A77" s="37">
        <f>'BASE PERIOD'!A79</f>
        <v>456110</v>
      </c>
      <c r="B77" s="36" t="str">
        <f>'BASE PERIOD'!B79</f>
        <v>Transmission Charge PTP</v>
      </c>
      <c r="C77" s="37" t="str">
        <f>'BASE PERIOD'!C79</f>
        <v>REV</v>
      </c>
      <c r="D77" s="37">
        <f t="shared" si="7"/>
        <v>456</v>
      </c>
      <c r="E77" s="166">
        <f t="shared" si="1"/>
        <v>144996</v>
      </c>
      <c r="F77" s="41">
        <v>12083</v>
      </c>
      <c r="G77" s="41">
        <v>12083</v>
      </c>
      <c r="H77" s="41">
        <v>12083</v>
      </c>
      <c r="I77" s="41">
        <v>12083</v>
      </c>
      <c r="J77" s="41">
        <v>12083</v>
      </c>
      <c r="K77" s="41">
        <v>12083</v>
      </c>
      <c r="L77" s="41">
        <v>12083</v>
      </c>
      <c r="M77" s="41">
        <v>12083</v>
      </c>
      <c r="N77" s="41">
        <v>12083</v>
      </c>
      <c r="O77" s="41">
        <v>12083</v>
      </c>
      <c r="P77" s="41">
        <v>12083</v>
      </c>
      <c r="Q77" s="41">
        <v>12083</v>
      </c>
      <c r="R77" s="38"/>
    </row>
    <row r="78" spans="1:18">
      <c r="A78" s="37">
        <f>'BASE PERIOD'!A80</f>
        <v>456111</v>
      </c>
      <c r="B78" s="36" t="str">
        <f>'BASE PERIOD'!B80</f>
        <v>Other Transmission Revenues</v>
      </c>
      <c r="C78" s="37" t="str">
        <f>'BASE PERIOD'!C80</f>
        <v>REV</v>
      </c>
      <c r="D78" s="37">
        <f t="shared" si="7"/>
        <v>456</v>
      </c>
      <c r="E78" s="166">
        <f>SUM(F78:Q78)</f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38"/>
    </row>
    <row r="79" spans="1:18">
      <c r="A79" s="37">
        <f>'BASE PERIOD'!A81</f>
        <v>456610</v>
      </c>
      <c r="B79" s="36" t="str">
        <f>'BASE PERIOD'!B81</f>
        <v>Other Electric Revenues</v>
      </c>
      <c r="C79" s="37" t="str">
        <f>'BASE PERIOD'!C81</f>
        <v>REV</v>
      </c>
      <c r="D79" s="37">
        <f t="shared" si="7"/>
        <v>456</v>
      </c>
      <c r="E79" s="166">
        <f>SUM(F79:Q79)</f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38"/>
    </row>
    <row r="80" spans="1:18">
      <c r="A80" s="37">
        <f>'BASE PERIOD'!A82</f>
        <v>456970</v>
      </c>
      <c r="B80" s="36" t="str">
        <f>'BASE PERIOD'!B82</f>
        <v>Wheel Transmission Rev - ED</v>
      </c>
      <c r="C80" s="37" t="str">
        <f>'BASE PERIOD'!C82</f>
        <v>REV</v>
      </c>
      <c r="D80" s="37">
        <f t="shared" si="7"/>
        <v>456</v>
      </c>
      <c r="E80" s="166">
        <f t="shared" si="1"/>
        <v>24504</v>
      </c>
      <c r="F80" s="41">
        <v>2042</v>
      </c>
      <c r="G80" s="41">
        <v>2042</v>
      </c>
      <c r="H80" s="41">
        <v>2042</v>
      </c>
      <c r="I80" s="41">
        <v>2042</v>
      </c>
      <c r="J80" s="41">
        <v>2042</v>
      </c>
      <c r="K80" s="41">
        <v>2042</v>
      </c>
      <c r="L80" s="41">
        <v>2042</v>
      </c>
      <c r="M80" s="41">
        <v>2042</v>
      </c>
      <c r="N80" s="41">
        <v>2042</v>
      </c>
      <c r="O80" s="41">
        <v>2042</v>
      </c>
      <c r="P80" s="41">
        <v>2042</v>
      </c>
      <c r="Q80" s="41">
        <v>2042</v>
      </c>
      <c r="R80" s="38"/>
    </row>
    <row r="81" spans="1:30">
      <c r="A81" s="37">
        <f>'BASE PERIOD'!A83</f>
        <v>457100</v>
      </c>
      <c r="B81" s="36" t="str">
        <f>'BASE PERIOD'!B83</f>
        <v>Regional Transmission Service</v>
      </c>
      <c r="C81" s="37" t="str">
        <f>'BASE PERIOD'!C83</f>
        <v>REV</v>
      </c>
      <c r="D81" s="37">
        <f t="shared" si="7"/>
        <v>457</v>
      </c>
      <c r="E81" s="166">
        <f>SUM(F81:Q81)</f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38"/>
    </row>
    <row r="82" spans="1:30">
      <c r="A82" s="37">
        <f>'BASE PERIOD'!A84</f>
        <v>457105</v>
      </c>
      <c r="B82" s="36" t="str">
        <f>'BASE PERIOD'!B84</f>
        <v>Scheduling &amp; Dispatch Revenues</v>
      </c>
      <c r="C82" s="37" t="str">
        <f>'BASE PERIOD'!C84</f>
        <v>REV</v>
      </c>
      <c r="D82" s="37">
        <f t="shared" si="7"/>
        <v>457</v>
      </c>
      <c r="E82" s="166">
        <f>SUM(F82:Q82)</f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38"/>
    </row>
    <row r="83" spans="1:30">
      <c r="A83" s="37">
        <f>'BASE PERIOD'!A85</f>
        <v>457204</v>
      </c>
      <c r="B83" s="36" t="str">
        <f>'BASE PERIOD'!B85</f>
        <v>PJM Reactive Rev</v>
      </c>
      <c r="C83" s="37" t="str">
        <f>'BASE PERIOD'!C85</f>
        <v>REV</v>
      </c>
      <c r="D83" s="37">
        <f t="shared" si="7"/>
        <v>457</v>
      </c>
      <c r="E83" s="166">
        <f>SUM(F83:Q83)</f>
        <v>1881000</v>
      </c>
      <c r="F83" s="41">
        <v>156750</v>
      </c>
      <c r="G83" s="41">
        <v>156750</v>
      </c>
      <c r="H83" s="41">
        <v>156750</v>
      </c>
      <c r="I83" s="41">
        <v>156750</v>
      </c>
      <c r="J83" s="41">
        <v>156750</v>
      </c>
      <c r="K83" s="41">
        <v>156750</v>
      </c>
      <c r="L83" s="41">
        <v>156750</v>
      </c>
      <c r="M83" s="41">
        <v>156750</v>
      </c>
      <c r="N83" s="41">
        <v>156750</v>
      </c>
      <c r="O83" s="41">
        <v>156750</v>
      </c>
      <c r="P83" s="41">
        <v>156750</v>
      </c>
      <c r="Q83" s="41">
        <v>156750</v>
      </c>
      <c r="R83" s="38"/>
    </row>
    <row r="84" spans="1:30">
      <c r="A84" s="37">
        <f>'BASE PERIOD'!A86</f>
        <v>500000</v>
      </c>
      <c r="B84" s="36" t="str">
        <f>'BASE PERIOD'!B86</f>
        <v>Suprvsn and Engrg - Steam Oper</v>
      </c>
      <c r="C84" s="37" t="str">
        <f>'BASE PERIOD'!C86</f>
        <v>PO</v>
      </c>
      <c r="D84" s="37">
        <f t="shared" si="7"/>
        <v>500</v>
      </c>
      <c r="E84" s="166">
        <f>SUM(F84:Q84)</f>
        <v>506647</v>
      </c>
      <c r="F84" s="41">
        <v>41481</v>
      </c>
      <c r="G84" s="41">
        <v>41503</v>
      </c>
      <c r="H84" s="41">
        <v>41462</v>
      </c>
      <c r="I84" s="41">
        <v>44491</v>
      </c>
      <c r="J84" s="41">
        <v>41487</v>
      </c>
      <c r="K84" s="41">
        <v>41586</v>
      </c>
      <c r="L84" s="41">
        <v>41085</v>
      </c>
      <c r="M84" s="41">
        <v>40274</v>
      </c>
      <c r="N84" s="41">
        <v>42565</v>
      </c>
      <c r="O84" s="41">
        <v>42503</v>
      </c>
      <c r="P84" s="41">
        <v>45653</v>
      </c>
      <c r="Q84" s="41">
        <v>42557</v>
      </c>
      <c r="R84" s="38"/>
    </row>
    <row r="85" spans="1:30">
      <c r="A85" s="37">
        <f>'BASE PERIOD'!A87</f>
        <v>501110</v>
      </c>
      <c r="B85" s="36" t="str">
        <f>'BASE PERIOD'!B87</f>
        <v>Coal Consumed-Fossil Steam</v>
      </c>
      <c r="C85" s="37" t="str">
        <f>'BASE PERIOD'!C87</f>
        <v>Fuel</v>
      </c>
      <c r="D85" s="37">
        <f t="shared" si="7"/>
        <v>501</v>
      </c>
      <c r="E85" s="166">
        <f>SUM(F85:Q85)</f>
        <v>48545844</v>
      </c>
      <c r="F85" s="41">
        <v>6439315</v>
      </c>
      <c r="G85" s="41">
        <v>5265019</v>
      </c>
      <c r="H85" s="41">
        <v>1218960</v>
      </c>
      <c r="I85" s="41">
        <v>113676</v>
      </c>
      <c r="J85" s="41">
        <v>2319803</v>
      </c>
      <c r="K85" s="41">
        <v>7612273</v>
      </c>
      <c r="L85" s="41">
        <v>7868884</v>
      </c>
      <c r="M85" s="41">
        <v>6609974</v>
      </c>
      <c r="N85" s="41">
        <v>2830435</v>
      </c>
      <c r="O85" s="41">
        <v>2309383</v>
      </c>
      <c r="P85" s="41">
        <v>2373841</v>
      </c>
      <c r="Q85" s="41">
        <v>3584281</v>
      </c>
      <c r="R85" s="3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</row>
    <row r="86" spans="1:30">
      <c r="A86" s="37">
        <f>'BASE PERIOD'!A88</f>
        <v>501150</v>
      </c>
      <c r="B86" s="36" t="str">
        <f>'BASE PERIOD'!B88</f>
        <v>Coal &amp; Other Fuel Handling</v>
      </c>
      <c r="C86" s="37" t="str">
        <f>'BASE PERIOD'!C88</f>
        <v>PO</v>
      </c>
      <c r="D86" s="37">
        <f t="shared" si="7"/>
        <v>501</v>
      </c>
      <c r="E86" s="166">
        <f t="shared" si="1"/>
        <v>1063874</v>
      </c>
      <c r="F86" s="41">
        <v>83890</v>
      </c>
      <c r="G86" s="41">
        <v>83929</v>
      </c>
      <c r="H86" s="41">
        <v>83923</v>
      </c>
      <c r="I86" s="41">
        <v>106979</v>
      </c>
      <c r="J86" s="41">
        <v>84237</v>
      </c>
      <c r="K86" s="41">
        <v>84065</v>
      </c>
      <c r="L86" s="41">
        <v>83745</v>
      </c>
      <c r="M86" s="41">
        <v>83385</v>
      </c>
      <c r="N86" s="41">
        <v>86388</v>
      </c>
      <c r="O86" s="41">
        <v>86321</v>
      </c>
      <c r="P86" s="41">
        <v>110566</v>
      </c>
      <c r="Q86" s="41">
        <v>86446</v>
      </c>
      <c r="R86" s="38"/>
    </row>
    <row r="87" spans="1:30">
      <c r="A87" s="37">
        <f>'BASE PERIOD'!A89</f>
        <v>501160</v>
      </c>
      <c r="B87" s="36" t="str">
        <f>'BASE PERIOD'!B89</f>
        <v>Coal Sampling &amp; Testing</v>
      </c>
      <c r="C87" s="37" t="str">
        <f>'BASE PERIOD'!C89</f>
        <v>PO</v>
      </c>
      <c r="D87" s="37">
        <f t="shared" si="7"/>
        <v>501</v>
      </c>
      <c r="E87" s="166">
        <f t="shared" si="1"/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38"/>
    </row>
    <row r="88" spans="1:30">
      <c r="A88" s="37">
        <v>501180</v>
      </c>
      <c r="B88" s="36" t="s">
        <v>291</v>
      </c>
      <c r="C88" s="37" t="str">
        <f>'BASE PERIOD'!C90</f>
        <v>PO</v>
      </c>
      <c r="D88" s="37">
        <f t="shared" si="7"/>
        <v>501</v>
      </c>
      <c r="E88" s="166">
        <f t="shared" ref="E88" si="11">SUM(F88:Q88)</f>
        <v>3780</v>
      </c>
      <c r="F88" s="41">
        <v>0</v>
      </c>
      <c r="G88" s="41">
        <v>0</v>
      </c>
      <c r="H88" s="41">
        <v>945</v>
      </c>
      <c r="I88" s="41">
        <v>0</v>
      </c>
      <c r="J88" s="41">
        <v>0</v>
      </c>
      <c r="K88" s="41">
        <v>945</v>
      </c>
      <c r="L88" s="41">
        <v>0</v>
      </c>
      <c r="M88" s="41">
        <v>0</v>
      </c>
      <c r="N88" s="41">
        <v>945</v>
      </c>
      <c r="O88" s="41">
        <v>0</v>
      </c>
      <c r="P88" s="41">
        <v>0</v>
      </c>
      <c r="Q88" s="41">
        <v>945</v>
      </c>
      <c r="R88" s="38"/>
    </row>
    <row r="89" spans="1:30">
      <c r="A89" s="37">
        <f>'BASE PERIOD'!A91</f>
        <v>501190</v>
      </c>
      <c r="B89" s="36" t="str">
        <f>'BASE PERIOD'!B91</f>
        <v>Sale of Fly Ash-Expenses</v>
      </c>
      <c r="C89" s="37" t="str">
        <f>'BASE PERIOD'!C91</f>
        <v>PO</v>
      </c>
      <c r="D89" s="37">
        <f t="shared" si="7"/>
        <v>501</v>
      </c>
      <c r="E89" s="166">
        <f>SUM(F89:Q89)</f>
        <v>282096</v>
      </c>
      <c r="F89" s="41">
        <v>23508</v>
      </c>
      <c r="G89" s="41">
        <v>23508</v>
      </c>
      <c r="H89" s="41">
        <v>23508</v>
      </c>
      <c r="I89" s="41">
        <v>23508</v>
      </c>
      <c r="J89" s="41">
        <v>23508</v>
      </c>
      <c r="K89" s="41">
        <v>23508</v>
      </c>
      <c r="L89" s="41">
        <v>23508</v>
      </c>
      <c r="M89" s="41">
        <v>23508</v>
      </c>
      <c r="N89" s="41">
        <v>23508</v>
      </c>
      <c r="O89" s="41">
        <v>23508</v>
      </c>
      <c r="P89" s="41">
        <v>23508</v>
      </c>
      <c r="Q89" s="41">
        <v>23508</v>
      </c>
      <c r="R89" s="38"/>
    </row>
    <row r="90" spans="1:30">
      <c r="A90" s="37">
        <f>'BASE PERIOD'!A92</f>
        <v>501310</v>
      </c>
      <c r="B90" s="36" t="str">
        <f>'BASE PERIOD'!B92</f>
        <v>Oil Consumed-Fossil Steam</v>
      </c>
      <c r="C90" s="37" t="str">
        <f>'BASE PERIOD'!C92</f>
        <v>Fuel</v>
      </c>
      <c r="D90" s="37">
        <f t="shared" si="7"/>
        <v>501</v>
      </c>
      <c r="E90" s="166">
        <f>SUM(F90:Q90)</f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38"/>
    </row>
    <row r="91" spans="1:30">
      <c r="A91" s="37">
        <f>'BASE PERIOD'!A93</f>
        <v>501350</v>
      </c>
      <c r="B91" s="36" t="str">
        <f>'BASE PERIOD'!B93</f>
        <v>Oil Handling Expense</v>
      </c>
      <c r="C91" s="37" t="str">
        <f>'BASE PERIOD'!C93</f>
        <v>PO</v>
      </c>
      <c r="D91" s="37">
        <f t="shared" si="7"/>
        <v>501</v>
      </c>
      <c r="E91" s="166">
        <f>SUM(F91:Q91)</f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38"/>
    </row>
    <row r="92" spans="1:30">
      <c r="A92" s="37">
        <f>'BASE PERIOD'!A94</f>
        <v>501996</v>
      </c>
      <c r="B92" s="36" t="str">
        <f>'BASE PERIOD'!B94</f>
        <v>Fuel Expense</v>
      </c>
      <c r="C92" s="37" t="str">
        <f>'BASE PERIOD'!C94</f>
        <v>Fuel</v>
      </c>
      <c r="D92" s="37">
        <f t="shared" si="7"/>
        <v>501</v>
      </c>
      <c r="E92" s="166">
        <f>SUM(F92:Q92)</f>
        <v>16120437</v>
      </c>
      <c r="F92" s="41">
        <v>3470000</v>
      </c>
      <c r="G92" s="41">
        <v>2162000</v>
      </c>
      <c r="H92" s="41">
        <v>225000</v>
      </c>
      <c r="I92" s="41">
        <v>0</v>
      </c>
      <c r="J92" s="41">
        <v>603000</v>
      </c>
      <c r="K92" s="41">
        <v>1327000</v>
      </c>
      <c r="L92" s="41">
        <v>3010498</v>
      </c>
      <c r="M92" s="41">
        <v>1153180</v>
      </c>
      <c r="N92" s="41">
        <v>1099859</v>
      </c>
      <c r="O92" s="41">
        <v>910253</v>
      </c>
      <c r="P92" s="41">
        <v>1077551</v>
      </c>
      <c r="Q92" s="41">
        <v>1082096</v>
      </c>
      <c r="R92" s="3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</row>
    <row r="93" spans="1:30">
      <c r="A93" s="37">
        <v>502020</v>
      </c>
      <c r="B93" s="36" t="s">
        <v>125</v>
      </c>
      <c r="C93" s="37" t="s">
        <v>289</v>
      </c>
      <c r="D93" s="37">
        <f t="shared" si="7"/>
        <v>502</v>
      </c>
      <c r="E93" s="166">
        <f t="shared" si="1"/>
        <v>285500</v>
      </c>
      <c r="F93" s="41">
        <v>8500</v>
      </c>
      <c r="G93" s="41">
        <v>0</v>
      </c>
      <c r="H93" s="41">
        <v>0</v>
      </c>
      <c r="I93" s="41">
        <v>0</v>
      </c>
      <c r="J93" s="41">
        <v>2600</v>
      </c>
      <c r="K93" s="41">
        <v>57000</v>
      </c>
      <c r="L93" s="41">
        <v>72800</v>
      </c>
      <c r="M93" s="41">
        <v>70200</v>
      </c>
      <c r="N93" s="41">
        <v>46700</v>
      </c>
      <c r="O93" s="41">
        <v>27700</v>
      </c>
      <c r="P93" s="41">
        <v>0</v>
      </c>
      <c r="Q93" s="41">
        <v>0</v>
      </c>
      <c r="R93" s="38"/>
    </row>
    <row r="94" spans="1:30">
      <c r="A94" s="37">
        <f>'BASE PERIOD'!A96</f>
        <v>502040</v>
      </c>
      <c r="B94" s="36" t="str">
        <f>'BASE PERIOD'!B96</f>
        <v>Cost of Lime</v>
      </c>
      <c r="C94" s="37" t="str">
        <f>'BASE PERIOD'!C96</f>
        <v>PO</v>
      </c>
      <c r="D94" s="37">
        <f t="shared" si="7"/>
        <v>502</v>
      </c>
      <c r="E94" s="166">
        <f t="shared" si="1"/>
        <v>13133400</v>
      </c>
      <c r="F94" s="41">
        <v>389000</v>
      </c>
      <c r="G94" s="41">
        <v>0</v>
      </c>
      <c r="H94" s="41">
        <v>0</v>
      </c>
      <c r="I94" s="41">
        <v>0</v>
      </c>
      <c r="J94" s="41">
        <v>120400</v>
      </c>
      <c r="K94" s="41">
        <v>2623500</v>
      </c>
      <c r="L94" s="41">
        <v>3347700</v>
      </c>
      <c r="M94" s="41">
        <v>3230100</v>
      </c>
      <c r="N94" s="41">
        <v>2147400</v>
      </c>
      <c r="O94" s="41">
        <v>1275300</v>
      </c>
      <c r="P94" s="41">
        <v>0</v>
      </c>
      <c r="Q94" s="41">
        <v>0</v>
      </c>
      <c r="R94" s="38"/>
    </row>
    <row r="95" spans="1:30">
      <c r="A95" s="37">
        <f>'BASE PERIOD'!A97</f>
        <v>502070</v>
      </c>
      <c r="B95" s="36" t="str">
        <f>'BASE PERIOD'!B97</f>
        <v>Gypsum - Qualifying</v>
      </c>
      <c r="C95" s="37" t="str">
        <f>'BASE PERIOD'!C97</f>
        <v>PO</v>
      </c>
      <c r="D95" s="37">
        <f t="shared" si="7"/>
        <v>502</v>
      </c>
      <c r="E95" s="166">
        <f>SUM(F95:Q95)</f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38"/>
    </row>
    <row r="96" spans="1:30">
      <c r="A96" s="37">
        <f>'BASE PERIOD'!A98</f>
        <v>502100</v>
      </c>
      <c r="B96" s="36" t="str">
        <f>'BASE PERIOD'!B98</f>
        <v>Fossil Steam Exp-Other</v>
      </c>
      <c r="C96" s="37" t="str">
        <f>'BASE PERIOD'!C98</f>
        <v>PO</v>
      </c>
      <c r="D96" s="37">
        <f t="shared" si="7"/>
        <v>502</v>
      </c>
      <c r="E96" s="166">
        <f t="shared" si="1"/>
        <v>4442315</v>
      </c>
      <c r="F96" s="41">
        <v>341806</v>
      </c>
      <c r="G96" s="41">
        <v>354984</v>
      </c>
      <c r="H96" s="41">
        <v>342294</v>
      </c>
      <c r="I96" s="41">
        <v>467865</v>
      </c>
      <c r="J96" s="41">
        <v>356983</v>
      </c>
      <c r="K96" s="41">
        <v>342914</v>
      </c>
      <c r="L96" s="41">
        <v>342470</v>
      </c>
      <c r="M96" s="41">
        <v>341986</v>
      </c>
      <c r="N96" s="41">
        <v>351624</v>
      </c>
      <c r="O96" s="41">
        <v>364029</v>
      </c>
      <c r="P96" s="41">
        <v>483397</v>
      </c>
      <c r="Q96" s="41">
        <v>351963</v>
      </c>
      <c r="R96" s="38"/>
    </row>
    <row r="97" spans="1:18">
      <c r="A97" s="37">
        <f>'BASE PERIOD'!A99</f>
        <v>502410</v>
      </c>
      <c r="B97" s="36" t="str">
        <f>'BASE PERIOD'!B99</f>
        <v>Steam Oper-Bottom Ash/Fly Ash</v>
      </c>
      <c r="C97" s="37" t="str">
        <f>'BASE PERIOD'!C99</f>
        <v>PO</v>
      </c>
      <c r="D97" s="37">
        <f t="shared" si="7"/>
        <v>502</v>
      </c>
      <c r="E97" s="166">
        <f t="shared" ref="E97" si="12">SUM(F97:Q97)</f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38"/>
    </row>
    <row r="98" spans="1:18">
      <c r="A98" s="37">
        <f>'BASE PERIOD'!A100</f>
        <v>505000</v>
      </c>
      <c r="B98" s="36" t="str">
        <f>'BASE PERIOD'!B100</f>
        <v>Electric Expenses-Steam Oper</v>
      </c>
      <c r="C98" s="37" t="str">
        <f>'BASE PERIOD'!C100</f>
        <v>PO</v>
      </c>
      <c r="D98" s="37">
        <f t="shared" si="7"/>
        <v>505</v>
      </c>
      <c r="E98" s="166">
        <f t="shared" ref="E98:E103" si="13">SUM(F98:Q98)</f>
        <v>1296582</v>
      </c>
      <c r="F98" s="41">
        <v>98651</v>
      </c>
      <c r="G98" s="41">
        <v>98725</v>
      </c>
      <c r="H98" s="41">
        <v>98739</v>
      </c>
      <c r="I98" s="41">
        <v>146409</v>
      </c>
      <c r="J98" s="41">
        <v>99374</v>
      </c>
      <c r="K98" s="41">
        <v>98973</v>
      </c>
      <c r="L98" s="41">
        <v>98918</v>
      </c>
      <c r="M98" s="41">
        <v>98630</v>
      </c>
      <c r="N98" s="41">
        <v>102032</v>
      </c>
      <c r="O98" s="41">
        <v>101919</v>
      </c>
      <c r="P98" s="41">
        <v>152051</v>
      </c>
      <c r="Q98" s="41">
        <v>102161</v>
      </c>
      <c r="R98" s="38"/>
    </row>
    <row r="99" spans="1:18">
      <c r="A99" s="37">
        <f>'BASE PERIOD'!A101</f>
        <v>506000</v>
      </c>
      <c r="B99" s="36" t="str">
        <f>'BASE PERIOD'!B101</f>
        <v>Misc Fossil Power Expenses</v>
      </c>
      <c r="C99" s="37" t="str">
        <f>'BASE PERIOD'!C101</f>
        <v>PO</v>
      </c>
      <c r="D99" s="37">
        <f t="shared" si="7"/>
        <v>506</v>
      </c>
      <c r="E99" s="166">
        <f t="shared" si="13"/>
        <v>1616855</v>
      </c>
      <c r="F99" s="41">
        <v>77468</v>
      </c>
      <c r="G99" s="41">
        <v>77448</v>
      </c>
      <c r="H99" s="41">
        <v>108479</v>
      </c>
      <c r="I99" s="41">
        <v>66667</v>
      </c>
      <c r="J99" s="41">
        <v>67201</v>
      </c>
      <c r="K99" s="41">
        <v>721360</v>
      </c>
      <c r="L99" s="41">
        <v>67522</v>
      </c>
      <c r="M99" s="41">
        <v>67879</v>
      </c>
      <c r="N99" s="41">
        <v>71089</v>
      </c>
      <c r="O99" s="41">
        <v>103453</v>
      </c>
      <c r="P99" s="41">
        <v>78541</v>
      </c>
      <c r="Q99" s="41">
        <v>109748</v>
      </c>
      <c r="R99" s="38"/>
    </row>
    <row r="100" spans="1:18">
      <c r="A100" s="37">
        <f>'BASE PERIOD'!A102</f>
        <v>507000</v>
      </c>
      <c r="B100" s="36" t="str">
        <f>'BASE PERIOD'!B102</f>
        <v>Steam Power Gen Op Rents</v>
      </c>
      <c r="C100" s="37" t="str">
        <f>'BASE PERIOD'!C102</f>
        <v>PO</v>
      </c>
      <c r="D100" s="37">
        <f t="shared" si="7"/>
        <v>507</v>
      </c>
      <c r="E100" s="166">
        <f t="shared" ref="E100" si="14">SUM(F100:Q100)</f>
        <v>0</v>
      </c>
      <c r="F100" s="41">
        <v>0</v>
      </c>
      <c r="G100" s="41">
        <v>0</v>
      </c>
      <c r="H100" s="41">
        <v>0</v>
      </c>
      <c r="I100" s="41">
        <v>0</v>
      </c>
      <c r="J100" s="41">
        <v>0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>
        <v>0</v>
      </c>
      <c r="R100" s="38"/>
    </row>
    <row r="101" spans="1:18">
      <c r="A101" s="37">
        <f>'BASE PERIOD'!A103</f>
        <v>509030</v>
      </c>
      <c r="B101" s="36" t="str">
        <f>'BASE PERIOD'!B103</f>
        <v>SO2 Emission Expense</v>
      </c>
      <c r="C101" s="37" t="str">
        <f>'BASE PERIOD'!C103</f>
        <v>EA</v>
      </c>
      <c r="D101" s="37">
        <f t="shared" si="7"/>
        <v>509</v>
      </c>
      <c r="E101" s="166">
        <f t="shared" si="13"/>
        <v>0</v>
      </c>
      <c r="F101" s="41">
        <v>0</v>
      </c>
      <c r="G101" s="41">
        <v>0</v>
      </c>
      <c r="H101" s="41">
        <v>0</v>
      </c>
      <c r="I101" s="41">
        <v>0</v>
      </c>
      <c r="J101" s="41">
        <v>0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>
        <v>0</v>
      </c>
      <c r="R101" s="38"/>
    </row>
    <row r="102" spans="1:18">
      <c r="A102" s="37">
        <f>'BASE PERIOD'!A104</f>
        <v>509212</v>
      </c>
      <c r="B102" s="36" t="str">
        <f>'BASE PERIOD'!B104</f>
        <v>Annual NOx Emission Expense</v>
      </c>
      <c r="C102" s="37" t="str">
        <f>'BASE PERIOD'!C104</f>
        <v>EA</v>
      </c>
      <c r="D102" s="37">
        <f t="shared" si="7"/>
        <v>509</v>
      </c>
      <c r="E102" s="166">
        <f t="shared" si="13"/>
        <v>0</v>
      </c>
      <c r="F102" s="41">
        <v>0</v>
      </c>
      <c r="G102" s="41">
        <v>0</v>
      </c>
      <c r="H102" s="41">
        <v>0</v>
      </c>
      <c r="I102" s="41">
        <v>0</v>
      </c>
      <c r="J102" s="41">
        <v>0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>
        <v>0</v>
      </c>
      <c r="R102" s="38"/>
    </row>
    <row r="103" spans="1:18">
      <c r="A103" s="37">
        <f>'BASE PERIOD'!A105</f>
        <v>510000</v>
      </c>
      <c r="B103" s="36" t="str">
        <f>'BASE PERIOD'!B105</f>
        <v>Suprvsn and Engrng-Steam Maint</v>
      </c>
      <c r="C103" s="37" t="str">
        <f>'BASE PERIOD'!C105</f>
        <v>PM</v>
      </c>
      <c r="D103" s="37">
        <f t="shared" si="7"/>
        <v>510</v>
      </c>
      <c r="E103" s="166">
        <f t="shared" si="13"/>
        <v>4379585</v>
      </c>
      <c r="F103" s="41">
        <v>360893</v>
      </c>
      <c r="G103" s="41">
        <v>361111</v>
      </c>
      <c r="H103" s="41">
        <v>361146</v>
      </c>
      <c r="I103" s="41">
        <v>362043</v>
      </c>
      <c r="J103" s="41">
        <v>359544</v>
      </c>
      <c r="K103" s="41">
        <v>361846</v>
      </c>
      <c r="L103" s="41">
        <v>361912</v>
      </c>
      <c r="M103" s="41">
        <v>360951</v>
      </c>
      <c r="N103" s="41">
        <v>373031</v>
      </c>
      <c r="O103" s="41">
        <v>372198</v>
      </c>
      <c r="P103" s="41">
        <v>372003</v>
      </c>
      <c r="Q103" s="41">
        <v>372907</v>
      </c>
      <c r="R103" s="38"/>
    </row>
    <row r="104" spans="1:18">
      <c r="A104" s="37">
        <f>'BASE PERIOD'!A106</f>
        <v>510100</v>
      </c>
      <c r="B104" s="36" t="str">
        <f>'BASE PERIOD'!B106</f>
        <v>Suprvsn &amp; Engrng-Steam Maint R</v>
      </c>
      <c r="C104" s="37" t="str">
        <f>'BASE PERIOD'!C106</f>
        <v>PM</v>
      </c>
      <c r="D104" s="37">
        <f t="shared" si="7"/>
        <v>510</v>
      </c>
      <c r="E104" s="166">
        <f t="shared" si="1"/>
        <v>476068</v>
      </c>
      <c r="F104" s="41">
        <v>39372</v>
      </c>
      <c r="G104" s="41">
        <v>39372</v>
      </c>
      <c r="H104" s="41">
        <v>39372</v>
      </c>
      <c r="I104" s="41">
        <v>39446</v>
      </c>
      <c r="J104" s="41">
        <v>39404</v>
      </c>
      <c r="K104" s="41">
        <v>39372</v>
      </c>
      <c r="L104" s="41">
        <v>39075</v>
      </c>
      <c r="M104" s="41">
        <v>39075</v>
      </c>
      <c r="N104" s="41">
        <v>40368</v>
      </c>
      <c r="O104" s="41">
        <v>40368</v>
      </c>
      <c r="P104" s="41">
        <v>40476</v>
      </c>
      <c r="Q104" s="41">
        <v>40368</v>
      </c>
      <c r="R104" s="38"/>
    </row>
    <row r="105" spans="1:18">
      <c r="A105" s="37">
        <f>'BASE PERIOD'!A107</f>
        <v>511000</v>
      </c>
      <c r="B105" s="36" t="str">
        <f>'BASE PERIOD'!B107</f>
        <v>Maint of Structures-Steam</v>
      </c>
      <c r="C105" s="37" t="str">
        <f>'BASE PERIOD'!C107</f>
        <v>PM</v>
      </c>
      <c r="D105" s="37">
        <f t="shared" si="7"/>
        <v>511</v>
      </c>
      <c r="E105" s="166">
        <f>SUM(F105:Q105)</f>
        <v>2523605</v>
      </c>
      <c r="F105" s="41">
        <v>197085</v>
      </c>
      <c r="G105" s="41">
        <v>311135</v>
      </c>
      <c r="H105" s="41">
        <v>200637</v>
      </c>
      <c r="I105" s="41">
        <v>197044</v>
      </c>
      <c r="J105" s="41">
        <v>196773</v>
      </c>
      <c r="K105" s="41">
        <v>200664</v>
      </c>
      <c r="L105" s="41">
        <v>189867</v>
      </c>
      <c r="M105" s="41">
        <v>189635</v>
      </c>
      <c r="N105" s="41">
        <v>244716</v>
      </c>
      <c r="O105" s="41">
        <v>197658</v>
      </c>
      <c r="P105" s="41">
        <v>197248</v>
      </c>
      <c r="Q105" s="41">
        <v>201143</v>
      </c>
      <c r="R105" s="38"/>
    </row>
    <row r="106" spans="1:18">
      <c r="A106" s="37">
        <f>'BASE PERIOD'!A108</f>
        <v>512100</v>
      </c>
      <c r="B106" s="36" t="str">
        <f>'BASE PERIOD'!B108</f>
        <v>Maint of Boiler Plant-Other</v>
      </c>
      <c r="C106" s="37" t="str">
        <f>'BASE PERIOD'!C108</f>
        <v>PM</v>
      </c>
      <c r="D106" s="37">
        <f t="shared" si="7"/>
        <v>512</v>
      </c>
      <c r="E106" s="166">
        <f>SUM(F106:Q106)</f>
        <v>11526453</v>
      </c>
      <c r="F106" s="41">
        <v>564388</v>
      </c>
      <c r="G106" s="41">
        <v>1722027</v>
      </c>
      <c r="H106" s="41">
        <v>2108707</v>
      </c>
      <c r="I106" s="41">
        <v>1946476</v>
      </c>
      <c r="J106" s="41">
        <v>1137449</v>
      </c>
      <c r="K106" s="41">
        <v>566438</v>
      </c>
      <c r="L106" s="41">
        <v>874718</v>
      </c>
      <c r="M106" s="41">
        <v>486232</v>
      </c>
      <c r="N106" s="41">
        <v>550028</v>
      </c>
      <c r="O106" s="41">
        <v>588316</v>
      </c>
      <c r="P106" s="41">
        <v>527374</v>
      </c>
      <c r="Q106" s="41">
        <v>454300</v>
      </c>
      <c r="R106" s="38"/>
    </row>
    <row r="107" spans="1:18">
      <c r="A107" s="37">
        <f>'BASE PERIOD'!A109</f>
        <v>513100</v>
      </c>
      <c r="B107" s="36" t="str">
        <f>'BASE PERIOD'!B109</f>
        <v>Maint of Electric Plant-Other</v>
      </c>
      <c r="C107" s="37" t="str">
        <f>'BASE PERIOD'!C109</f>
        <v>PM</v>
      </c>
      <c r="D107" s="37">
        <f t="shared" si="7"/>
        <v>513</v>
      </c>
      <c r="E107" s="166">
        <f t="shared" ref="E107:E142" si="15">SUM(F107:Q107)</f>
        <v>2751064</v>
      </c>
      <c r="F107" s="41">
        <v>77293</v>
      </c>
      <c r="G107" s="41">
        <v>486469</v>
      </c>
      <c r="H107" s="41">
        <v>615356</v>
      </c>
      <c r="I107" s="41">
        <v>544362</v>
      </c>
      <c r="J107" s="41">
        <v>291455</v>
      </c>
      <c r="K107" s="41">
        <v>102663</v>
      </c>
      <c r="L107" s="41">
        <v>337896</v>
      </c>
      <c r="M107" s="41">
        <v>58507</v>
      </c>
      <c r="N107" s="41">
        <v>45971</v>
      </c>
      <c r="O107" s="41">
        <v>91309</v>
      </c>
      <c r="P107" s="41">
        <v>45989</v>
      </c>
      <c r="Q107" s="41">
        <v>53794</v>
      </c>
      <c r="R107" s="38"/>
    </row>
    <row r="108" spans="1:18">
      <c r="A108" s="37">
        <f>'BASE PERIOD'!A110</f>
        <v>514000</v>
      </c>
      <c r="B108" s="36" t="str">
        <f>'BASE PERIOD'!B110</f>
        <v>Maintenance - Misc Steam Plant</v>
      </c>
      <c r="C108" s="37" t="str">
        <f>'BASE PERIOD'!C110</f>
        <v>PM</v>
      </c>
      <c r="D108" s="37">
        <f t="shared" si="7"/>
        <v>514</v>
      </c>
      <c r="E108" s="166">
        <f t="shared" si="15"/>
        <v>561107</v>
      </c>
      <c r="F108" s="41">
        <v>46758</v>
      </c>
      <c r="G108" s="41">
        <v>46763</v>
      </c>
      <c r="H108" s="41">
        <v>46764</v>
      </c>
      <c r="I108" s="41">
        <v>46755</v>
      </c>
      <c r="J108" s="41">
        <v>46725</v>
      </c>
      <c r="K108" s="41">
        <v>46780</v>
      </c>
      <c r="L108" s="41">
        <v>46787</v>
      </c>
      <c r="M108" s="41">
        <v>46764</v>
      </c>
      <c r="N108" s="41">
        <v>46769</v>
      </c>
      <c r="O108" s="41">
        <v>46754</v>
      </c>
      <c r="P108" s="41">
        <v>46717</v>
      </c>
      <c r="Q108" s="41">
        <v>46771</v>
      </c>
      <c r="R108" s="38"/>
    </row>
    <row r="109" spans="1:18">
      <c r="A109" s="37">
        <f>'BASE PERIOD'!A111</f>
        <v>514300</v>
      </c>
      <c r="B109" s="36" t="str">
        <f>'BASE PERIOD'!B111</f>
        <v>Maintenance - Misc Steam Plant</v>
      </c>
      <c r="C109" s="37" t="str">
        <f>'BASE PERIOD'!C111</f>
        <v>PM</v>
      </c>
      <c r="D109" s="37">
        <f t="shared" si="7"/>
        <v>514</v>
      </c>
      <c r="E109" s="166">
        <f t="shared" si="15"/>
        <v>0</v>
      </c>
      <c r="F109" s="41">
        <v>0</v>
      </c>
      <c r="G109" s="41">
        <v>0</v>
      </c>
      <c r="H109" s="41">
        <v>0</v>
      </c>
      <c r="I109" s="41">
        <v>0</v>
      </c>
      <c r="J109" s="41">
        <v>0</v>
      </c>
      <c r="K109" s="41">
        <v>0</v>
      </c>
      <c r="L109" s="41">
        <v>0</v>
      </c>
      <c r="M109" s="41">
        <v>0</v>
      </c>
      <c r="N109" s="41">
        <v>0</v>
      </c>
      <c r="O109" s="41">
        <v>0</v>
      </c>
      <c r="P109" s="41">
        <v>0</v>
      </c>
      <c r="Q109" s="41">
        <v>0</v>
      </c>
      <c r="R109" s="38"/>
    </row>
    <row r="110" spans="1:18">
      <c r="A110" s="37">
        <f>'BASE PERIOD'!A112</f>
        <v>546000</v>
      </c>
      <c r="B110" s="36" t="str">
        <f>'BASE PERIOD'!B112</f>
        <v>Suprvsn and Enginring-CT Oper</v>
      </c>
      <c r="C110" s="37" t="str">
        <f>'BASE PERIOD'!C112</f>
        <v>PO</v>
      </c>
      <c r="D110" s="37">
        <f t="shared" si="7"/>
        <v>546</v>
      </c>
      <c r="E110" s="166">
        <f t="shared" si="15"/>
        <v>703683</v>
      </c>
      <c r="F110" s="41">
        <v>58533</v>
      </c>
      <c r="G110" s="41">
        <v>58540</v>
      </c>
      <c r="H110" s="41">
        <v>58538</v>
      </c>
      <c r="I110" s="41">
        <v>58531</v>
      </c>
      <c r="J110" s="41">
        <v>58489</v>
      </c>
      <c r="K110" s="41">
        <v>58567</v>
      </c>
      <c r="L110" s="41">
        <v>58518</v>
      </c>
      <c r="M110" s="41">
        <v>58432</v>
      </c>
      <c r="N110" s="41">
        <v>58906</v>
      </c>
      <c r="O110" s="41">
        <v>58883</v>
      </c>
      <c r="P110" s="41">
        <v>58839</v>
      </c>
      <c r="Q110" s="41">
        <v>58907</v>
      </c>
      <c r="R110" s="38"/>
    </row>
    <row r="111" spans="1:18">
      <c r="A111" s="37">
        <f>'BASE PERIOD'!A113</f>
        <v>547100</v>
      </c>
      <c r="B111" s="36" t="str">
        <f>'BASE PERIOD'!B113</f>
        <v>Natural Gas</v>
      </c>
      <c r="C111" s="37" t="str">
        <f>'BASE PERIOD'!C113</f>
        <v>Fuel</v>
      </c>
      <c r="D111" s="37">
        <f t="shared" si="7"/>
        <v>547</v>
      </c>
      <c r="E111" s="166">
        <f t="shared" si="15"/>
        <v>0</v>
      </c>
      <c r="F111" s="41">
        <v>0</v>
      </c>
      <c r="G111" s="41">
        <v>0</v>
      </c>
      <c r="H111" s="41">
        <v>0</v>
      </c>
      <c r="I111" s="41">
        <v>0</v>
      </c>
      <c r="J111" s="41">
        <v>0</v>
      </c>
      <c r="K111" s="41">
        <v>0</v>
      </c>
      <c r="L111" s="41">
        <v>0</v>
      </c>
      <c r="M111" s="41">
        <v>0</v>
      </c>
      <c r="N111" s="41">
        <v>0</v>
      </c>
      <c r="O111" s="41">
        <v>0</v>
      </c>
      <c r="P111" s="41">
        <v>0</v>
      </c>
      <c r="Q111" s="41">
        <v>0</v>
      </c>
      <c r="R111" s="38"/>
    </row>
    <row r="112" spans="1:18">
      <c r="A112" s="37">
        <f>'BASE PERIOD'!A114</f>
        <v>547150</v>
      </c>
      <c r="B112" s="36" t="str">
        <f>'BASE PERIOD'!B114</f>
        <v>Natural Gas Handling-CT</v>
      </c>
      <c r="C112" s="37" t="s">
        <v>289</v>
      </c>
      <c r="D112" s="37">
        <f t="shared" si="7"/>
        <v>547</v>
      </c>
      <c r="E112" s="166">
        <f t="shared" si="15"/>
        <v>33876</v>
      </c>
      <c r="F112" s="41">
        <v>2808</v>
      </c>
      <c r="G112" s="41">
        <v>2808</v>
      </c>
      <c r="H112" s="41">
        <v>2807</v>
      </c>
      <c r="I112" s="41">
        <v>2809</v>
      </c>
      <c r="J112" s="41">
        <v>2808</v>
      </c>
      <c r="K112" s="41">
        <v>2809</v>
      </c>
      <c r="L112" s="41">
        <v>2777</v>
      </c>
      <c r="M112" s="41">
        <v>2763</v>
      </c>
      <c r="N112" s="41">
        <v>2872</v>
      </c>
      <c r="O112" s="41">
        <v>2871</v>
      </c>
      <c r="P112" s="41">
        <v>2872</v>
      </c>
      <c r="Q112" s="41">
        <v>2872</v>
      </c>
      <c r="R112" s="38"/>
    </row>
    <row r="113" spans="1:30">
      <c r="A113" s="37">
        <f>'BASE PERIOD'!A115</f>
        <v>547200</v>
      </c>
      <c r="B113" s="36" t="str">
        <f>'BASE PERIOD'!B115</f>
        <v>Oil</v>
      </c>
      <c r="C113" s="37" t="s">
        <v>289</v>
      </c>
      <c r="D113" s="37">
        <f t="shared" ref="D113" si="16">VALUE(LEFT(A113,3))</f>
        <v>547</v>
      </c>
      <c r="E113" s="166">
        <f t="shared" ref="E113" si="17">SUM(F113:Q113)</f>
        <v>0</v>
      </c>
      <c r="F113" s="41">
        <v>0</v>
      </c>
      <c r="G113" s="41">
        <v>0</v>
      </c>
      <c r="H113" s="41">
        <v>0</v>
      </c>
      <c r="I113" s="41">
        <v>0</v>
      </c>
      <c r="J113" s="41">
        <v>0</v>
      </c>
      <c r="K113" s="41">
        <v>0</v>
      </c>
      <c r="L113" s="41">
        <v>0</v>
      </c>
      <c r="M113" s="41">
        <v>0</v>
      </c>
      <c r="N113" s="41">
        <v>0</v>
      </c>
      <c r="O113" s="41">
        <v>0</v>
      </c>
      <c r="P113" s="41">
        <v>0</v>
      </c>
      <c r="Q113" s="41">
        <v>0</v>
      </c>
      <c r="R113" s="38"/>
    </row>
    <row r="114" spans="1:30">
      <c r="A114" s="37">
        <f>'BASE PERIOD'!A116</f>
        <v>548100</v>
      </c>
      <c r="B114" s="36" t="str">
        <f>'BASE PERIOD'!B116</f>
        <v>Generation Expenses-Other CT</v>
      </c>
      <c r="C114" s="37" t="str">
        <f>'BASE PERIOD'!C116</f>
        <v>PO</v>
      </c>
      <c r="D114" s="37">
        <f t="shared" si="7"/>
        <v>548</v>
      </c>
      <c r="E114" s="166">
        <f t="shared" si="15"/>
        <v>45205</v>
      </c>
      <c r="F114" s="41">
        <v>3714</v>
      </c>
      <c r="G114" s="41">
        <v>3709</v>
      </c>
      <c r="H114" s="41">
        <v>3723</v>
      </c>
      <c r="I114" s="41">
        <v>3710</v>
      </c>
      <c r="J114" s="41">
        <v>3790</v>
      </c>
      <c r="K114" s="41">
        <v>3723</v>
      </c>
      <c r="L114" s="41">
        <v>3702</v>
      </c>
      <c r="M114" s="41">
        <v>3780</v>
      </c>
      <c r="N114" s="41">
        <v>3847</v>
      </c>
      <c r="O114" s="41">
        <v>3827</v>
      </c>
      <c r="P114" s="41">
        <v>3834</v>
      </c>
      <c r="Q114" s="41">
        <v>3846</v>
      </c>
      <c r="R114" s="38"/>
    </row>
    <row r="115" spans="1:30">
      <c r="A115" s="37">
        <f>'BASE PERIOD'!A117</f>
        <v>548200</v>
      </c>
      <c r="B115" s="36" t="str">
        <f>'BASE PERIOD'!B117</f>
        <v>Prime Movers - Generators- CT</v>
      </c>
      <c r="C115" s="37" t="str">
        <f>'BASE PERIOD'!C117</f>
        <v>PO</v>
      </c>
      <c r="D115" s="37">
        <f t="shared" si="7"/>
        <v>548</v>
      </c>
      <c r="E115" s="166">
        <f t="shared" si="15"/>
        <v>313153</v>
      </c>
      <c r="F115" s="41">
        <v>23832</v>
      </c>
      <c r="G115" s="41">
        <v>23850</v>
      </c>
      <c r="H115" s="41">
        <v>23853</v>
      </c>
      <c r="I115" s="41">
        <v>35336</v>
      </c>
      <c r="J115" s="41">
        <v>24006</v>
      </c>
      <c r="K115" s="41">
        <v>23910</v>
      </c>
      <c r="L115" s="41">
        <v>23896</v>
      </c>
      <c r="M115" s="41">
        <v>23826</v>
      </c>
      <c r="N115" s="41">
        <v>24648</v>
      </c>
      <c r="O115" s="41">
        <v>24621</v>
      </c>
      <c r="P115" s="41">
        <v>36696</v>
      </c>
      <c r="Q115" s="41">
        <v>24679</v>
      </c>
      <c r="R115" s="38"/>
    </row>
    <row r="116" spans="1:30">
      <c r="A116" s="37">
        <f>'BASE PERIOD'!A118</f>
        <v>549000</v>
      </c>
      <c r="B116" s="36" t="str">
        <f>'BASE PERIOD'!B118</f>
        <v>Misc-Power Generation Expenses</v>
      </c>
      <c r="C116" s="37" t="str">
        <f>'BASE PERIOD'!C118</f>
        <v>PO</v>
      </c>
      <c r="D116" s="37">
        <f>VALUE(LEFT(A116,3))</f>
        <v>549</v>
      </c>
      <c r="E116" s="166">
        <f>SUM(F116:Q116)</f>
        <v>799349</v>
      </c>
      <c r="F116" s="41">
        <v>63904</v>
      </c>
      <c r="G116" s="41">
        <v>81068</v>
      </c>
      <c r="H116" s="41">
        <v>60051</v>
      </c>
      <c r="I116" s="41">
        <v>73497</v>
      </c>
      <c r="J116" s="41">
        <v>60317</v>
      </c>
      <c r="K116" s="41">
        <v>60150</v>
      </c>
      <c r="L116" s="41">
        <v>60071</v>
      </c>
      <c r="M116" s="41">
        <v>69326</v>
      </c>
      <c r="N116" s="41">
        <v>61222</v>
      </c>
      <c r="O116" s="41">
        <v>61137</v>
      </c>
      <c r="P116" s="41">
        <v>75290</v>
      </c>
      <c r="Q116" s="41">
        <v>73316</v>
      </c>
      <c r="R116" s="38"/>
    </row>
    <row r="117" spans="1:30">
      <c r="A117" s="1898">
        <f>'BASE PERIOD'!A119</f>
        <v>550001</v>
      </c>
      <c r="B117" s="1897" t="str">
        <f>'BASE PERIOD'!B119</f>
        <v>Other Power Gen Op Rents</v>
      </c>
      <c r="C117" s="1898" t="str">
        <f>'BASE PERIOD'!C119</f>
        <v>PM</v>
      </c>
      <c r="D117" s="1898">
        <f>VALUE(LEFT(A117,3))</f>
        <v>550</v>
      </c>
      <c r="E117" s="1741">
        <f>SUM(F117:Q117)</f>
        <v>0</v>
      </c>
      <c r="F117" s="41">
        <v>0</v>
      </c>
      <c r="G117" s="41">
        <v>0</v>
      </c>
      <c r="H117" s="41">
        <v>0</v>
      </c>
      <c r="I117" s="41">
        <v>0</v>
      </c>
      <c r="J117" s="41">
        <v>0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>
        <v>0</v>
      </c>
      <c r="R117" s="38"/>
    </row>
    <row r="118" spans="1:30">
      <c r="A118" s="37">
        <f>'BASE PERIOD'!A120</f>
        <v>551000</v>
      </c>
      <c r="B118" s="36" t="str">
        <f>'BASE PERIOD'!B120</f>
        <v>Suprvsn and Enginring-CT Maint</v>
      </c>
      <c r="C118" s="37" t="str">
        <f>'BASE PERIOD'!C120</f>
        <v>PM</v>
      </c>
      <c r="D118" s="37">
        <f t="shared" si="7"/>
        <v>551</v>
      </c>
      <c r="E118" s="166">
        <f t="shared" si="15"/>
        <v>139930</v>
      </c>
      <c r="F118" s="41">
        <v>11531</v>
      </c>
      <c r="G118" s="41">
        <v>11538</v>
      </c>
      <c r="H118" s="41">
        <v>11539</v>
      </c>
      <c r="I118" s="41">
        <v>11527</v>
      </c>
      <c r="J118" s="41">
        <v>11487</v>
      </c>
      <c r="K118" s="41">
        <v>11560</v>
      </c>
      <c r="L118" s="41">
        <v>11558</v>
      </c>
      <c r="M118" s="41">
        <v>11531</v>
      </c>
      <c r="N118" s="41">
        <v>11936</v>
      </c>
      <c r="O118" s="41">
        <v>11917</v>
      </c>
      <c r="P118" s="41">
        <v>11868</v>
      </c>
      <c r="Q118" s="41">
        <v>11938</v>
      </c>
      <c r="R118" s="38"/>
    </row>
    <row r="119" spans="1:30">
      <c r="A119" s="37">
        <f>'BASE PERIOD'!A121</f>
        <v>552000</v>
      </c>
      <c r="B119" s="36" t="str">
        <f>'BASE PERIOD'!B121</f>
        <v>Maintenance of Structures-CT</v>
      </c>
      <c r="C119" s="37" t="str">
        <f>'BASE PERIOD'!C121</f>
        <v>PM</v>
      </c>
      <c r="D119" s="37">
        <f t="shared" si="7"/>
        <v>552</v>
      </c>
      <c r="E119" s="166">
        <f t="shared" si="15"/>
        <v>374608</v>
      </c>
      <c r="F119" s="41">
        <v>31218</v>
      </c>
      <c r="G119" s="41">
        <v>31218</v>
      </c>
      <c r="H119" s="41">
        <v>31218</v>
      </c>
      <c r="I119" s="41">
        <v>31218</v>
      </c>
      <c r="J119" s="41">
        <v>31218</v>
      </c>
      <c r="K119" s="41">
        <v>31218</v>
      </c>
      <c r="L119" s="41">
        <v>31210</v>
      </c>
      <c r="M119" s="41">
        <v>31218</v>
      </c>
      <c r="N119" s="41">
        <v>31218</v>
      </c>
      <c r="O119" s="41">
        <v>31218</v>
      </c>
      <c r="P119" s="41">
        <v>31218</v>
      </c>
      <c r="Q119" s="41">
        <v>31218</v>
      </c>
      <c r="R119" s="38"/>
    </row>
    <row r="120" spans="1:30">
      <c r="A120" s="37">
        <f>'BASE PERIOD'!A122</f>
        <v>552220</v>
      </c>
      <c r="B120" s="36" t="str">
        <f>'BASE PERIOD'!B122</f>
        <v>Solar: Maint of Structures</v>
      </c>
      <c r="C120" s="37" t="str">
        <f>'BASE PERIOD'!C122</f>
        <v>PM</v>
      </c>
      <c r="D120" s="37">
        <f t="shared" si="7"/>
        <v>552</v>
      </c>
      <c r="E120" s="166">
        <f t="shared" ref="E120" si="18">SUM(F120:Q120)</f>
        <v>0</v>
      </c>
      <c r="F120" s="41">
        <v>0</v>
      </c>
      <c r="G120" s="41">
        <v>0</v>
      </c>
      <c r="H120" s="41">
        <v>0</v>
      </c>
      <c r="I120" s="41">
        <v>0</v>
      </c>
      <c r="J120" s="41">
        <v>0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>
        <v>0</v>
      </c>
      <c r="R120" s="38"/>
    </row>
    <row r="121" spans="1:30">
      <c r="A121" s="37">
        <f>'BASE PERIOD'!A123</f>
        <v>553000</v>
      </c>
      <c r="B121" s="36" t="str">
        <f>'BASE PERIOD'!B123</f>
        <v>Maint-Gentg and Elect Equip-CT</v>
      </c>
      <c r="C121" s="37" t="str">
        <f>'BASE PERIOD'!C123</f>
        <v>PM</v>
      </c>
      <c r="D121" s="37">
        <f t="shared" si="7"/>
        <v>553</v>
      </c>
      <c r="E121" s="166">
        <f t="shared" si="15"/>
        <v>3285442</v>
      </c>
      <c r="F121" s="41">
        <v>36909</v>
      </c>
      <c r="G121" s="41">
        <v>36909</v>
      </c>
      <c r="H121" s="41">
        <v>211909</v>
      </c>
      <c r="I121" s="41">
        <v>161909</v>
      </c>
      <c r="J121" s="41">
        <v>36909</v>
      </c>
      <c r="K121" s="41">
        <v>1436929</v>
      </c>
      <c r="L121" s="41">
        <v>13173</v>
      </c>
      <c r="M121" s="41">
        <v>13159</v>
      </c>
      <c r="N121" s="41">
        <v>813159</v>
      </c>
      <c r="O121" s="41">
        <v>498159</v>
      </c>
      <c r="P121" s="41">
        <v>13159</v>
      </c>
      <c r="Q121" s="41">
        <v>13159</v>
      </c>
      <c r="R121" s="38"/>
    </row>
    <row r="122" spans="1:30">
      <c r="A122" s="37">
        <f>'BASE PERIOD'!A124</f>
        <v>554000</v>
      </c>
      <c r="B122" s="36" t="str">
        <f>'BASE PERIOD'!B124</f>
        <v>Misc Power Generation Plant-CT</v>
      </c>
      <c r="C122" s="37" t="str">
        <f>'BASE PERIOD'!C124</f>
        <v>PM</v>
      </c>
      <c r="D122" s="37">
        <f t="shared" si="7"/>
        <v>554</v>
      </c>
      <c r="E122" s="166">
        <f>SUM(F122:Q122)</f>
        <v>130077</v>
      </c>
      <c r="F122" s="41">
        <v>10839</v>
      </c>
      <c r="G122" s="41">
        <v>10839</v>
      </c>
      <c r="H122" s="41">
        <v>10839</v>
      </c>
      <c r="I122" s="41">
        <v>10839</v>
      </c>
      <c r="J122" s="41">
        <v>10839</v>
      </c>
      <c r="K122" s="41">
        <v>10839</v>
      </c>
      <c r="L122" s="41">
        <v>10848</v>
      </c>
      <c r="M122" s="41">
        <v>10839</v>
      </c>
      <c r="N122" s="41">
        <v>10839</v>
      </c>
      <c r="O122" s="41">
        <v>10839</v>
      </c>
      <c r="P122" s="41">
        <v>10839</v>
      </c>
      <c r="Q122" s="41">
        <v>10839</v>
      </c>
      <c r="R122" s="38"/>
    </row>
    <row r="123" spans="1:30">
      <c r="A123" s="37">
        <f>'BASE PERIOD'!A125</f>
        <v>555028</v>
      </c>
      <c r="B123" s="36" t="str">
        <f>'BASE PERIOD'!B125</f>
        <v>Purch Pwr - Non-native - net</v>
      </c>
      <c r="C123" s="37" t="str">
        <f>'BASE PERIOD'!C125</f>
        <v>PP</v>
      </c>
      <c r="D123" s="37">
        <f t="shared" si="7"/>
        <v>555</v>
      </c>
      <c r="E123" s="166">
        <f t="shared" si="15"/>
        <v>0</v>
      </c>
      <c r="F123" s="41">
        <v>0</v>
      </c>
      <c r="G123" s="41">
        <v>0</v>
      </c>
      <c r="H123" s="41">
        <v>0</v>
      </c>
      <c r="I123" s="41">
        <v>0</v>
      </c>
      <c r="J123" s="41">
        <v>0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>
        <v>0</v>
      </c>
      <c r="R123" s="38"/>
    </row>
    <row r="124" spans="1:30">
      <c r="A124" s="37">
        <f>'BASE PERIOD'!A126</f>
        <v>555190</v>
      </c>
      <c r="B124" s="36" t="str">
        <f>'BASE PERIOD'!B126</f>
        <v>Capacity Purchase Expense</v>
      </c>
      <c r="C124" s="37" t="str">
        <f>'BASE PERIOD'!C126</f>
        <v>PP</v>
      </c>
      <c r="D124" s="37">
        <f t="shared" si="7"/>
        <v>555</v>
      </c>
      <c r="E124" s="166">
        <f t="shared" si="15"/>
        <v>0</v>
      </c>
      <c r="F124" s="41">
        <v>0</v>
      </c>
      <c r="G124" s="41">
        <v>0</v>
      </c>
      <c r="H124" s="41">
        <v>0</v>
      </c>
      <c r="I124" s="41">
        <v>0</v>
      </c>
      <c r="J124" s="41">
        <v>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>
        <v>0</v>
      </c>
      <c r="R124" s="38"/>
    </row>
    <row r="125" spans="1:30">
      <c r="A125" s="37">
        <f>'BASE PERIOD'!A127</f>
        <v>555202</v>
      </c>
      <c r="B125" s="36" t="str">
        <f>'BASE PERIOD'!B127</f>
        <v>Purch Power-Fuel Clause</v>
      </c>
      <c r="C125" s="37" t="str">
        <f>'BASE PERIOD'!C127</f>
        <v>PP</v>
      </c>
      <c r="D125" s="37">
        <f t="shared" si="7"/>
        <v>555</v>
      </c>
      <c r="E125" s="166">
        <f>SUM(F125:Q125)</f>
        <v>99073890</v>
      </c>
      <c r="F125" s="41">
        <v>7636860</v>
      </c>
      <c r="G125" s="41">
        <v>8581326</v>
      </c>
      <c r="H125" s="41">
        <v>13453787</v>
      </c>
      <c r="I125" s="41">
        <v>13662247</v>
      </c>
      <c r="J125" s="41">
        <v>10674137</v>
      </c>
      <c r="K125" s="41">
        <v>4763988</v>
      </c>
      <c r="L125" s="41">
        <v>4292188</v>
      </c>
      <c r="M125" s="41">
        <v>4592280</v>
      </c>
      <c r="N125" s="41">
        <v>8227781</v>
      </c>
      <c r="O125" s="41">
        <v>7446490</v>
      </c>
      <c r="P125" s="41">
        <v>7532695</v>
      </c>
      <c r="Q125" s="41">
        <v>8210111</v>
      </c>
      <c r="R125" s="3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</row>
    <row r="126" spans="1:30">
      <c r="A126" s="37">
        <f>'BASE PERIOD'!A128</f>
        <v>556000</v>
      </c>
      <c r="B126" s="36" t="str">
        <f>'BASE PERIOD'!B128</f>
        <v>System Cnts &amp; Load Dispatching</v>
      </c>
      <c r="C126" s="37" t="str">
        <f>'BASE PERIOD'!C128</f>
        <v>OPS</v>
      </c>
      <c r="D126" s="37">
        <f t="shared" si="7"/>
        <v>556</v>
      </c>
      <c r="E126" s="166">
        <f>SUM(F126:Q126)</f>
        <v>840</v>
      </c>
      <c r="F126" s="41">
        <v>70</v>
      </c>
      <c r="G126" s="41">
        <v>70</v>
      </c>
      <c r="H126" s="41">
        <v>70</v>
      </c>
      <c r="I126" s="41">
        <v>70</v>
      </c>
      <c r="J126" s="41">
        <v>70</v>
      </c>
      <c r="K126" s="41">
        <v>70</v>
      </c>
      <c r="L126" s="41">
        <v>70</v>
      </c>
      <c r="M126" s="41">
        <v>70</v>
      </c>
      <c r="N126" s="41">
        <v>70</v>
      </c>
      <c r="O126" s="41">
        <v>70</v>
      </c>
      <c r="P126" s="41">
        <v>70</v>
      </c>
      <c r="Q126" s="41">
        <v>70</v>
      </c>
      <c r="R126" s="38"/>
    </row>
    <row r="127" spans="1:30">
      <c r="A127" s="37">
        <f>'BASE PERIOD'!A129</f>
        <v>557000</v>
      </c>
      <c r="B127" s="36" t="str">
        <f>'BASE PERIOD'!B129</f>
        <v>Other Expenses-Oper</v>
      </c>
      <c r="C127" s="37" t="str">
        <f>'BASE PERIOD'!C129</f>
        <v>OPS</v>
      </c>
      <c r="D127" s="37">
        <f t="shared" si="7"/>
        <v>557</v>
      </c>
      <c r="E127" s="166">
        <f>SUM(F127:Q127)</f>
        <v>8287106</v>
      </c>
      <c r="F127" s="41">
        <v>1227134</v>
      </c>
      <c r="G127" s="41">
        <v>671650</v>
      </c>
      <c r="H127" s="41">
        <v>627765</v>
      </c>
      <c r="I127" s="41">
        <v>643597</v>
      </c>
      <c r="J127" s="41">
        <v>570272</v>
      </c>
      <c r="K127" s="41">
        <v>744292</v>
      </c>
      <c r="L127" s="41">
        <v>570568</v>
      </c>
      <c r="M127" s="41">
        <v>695133</v>
      </c>
      <c r="N127" s="41">
        <v>743862</v>
      </c>
      <c r="O127" s="41">
        <v>613168</v>
      </c>
      <c r="P127" s="41">
        <v>562895</v>
      </c>
      <c r="Q127" s="41">
        <v>616770</v>
      </c>
      <c r="R127" s="38"/>
    </row>
    <row r="128" spans="1:30">
      <c r="A128" s="37">
        <f>'BASE PERIOD'!A130</f>
        <v>557450</v>
      </c>
      <c r="B128" s="36" t="str">
        <f>'BASE PERIOD'!B130</f>
        <v>Commissions/Brokerage Expense</v>
      </c>
      <c r="C128" s="37" t="str">
        <f>'BASE PERIOD'!C130</f>
        <v>OPS</v>
      </c>
      <c r="D128" s="37">
        <f t="shared" si="7"/>
        <v>557</v>
      </c>
      <c r="E128" s="166">
        <f t="shared" si="15"/>
        <v>11232</v>
      </c>
      <c r="F128" s="41">
        <v>936</v>
      </c>
      <c r="G128" s="41">
        <v>936</v>
      </c>
      <c r="H128" s="41">
        <v>936</v>
      </c>
      <c r="I128" s="41">
        <v>936</v>
      </c>
      <c r="J128" s="41">
        <v>936</v>
      </c>
      <c r="K128" s="41">
        <v>936</v>
      </c>
      <c r="L128" s="41">
        <v>936</v>
      </c>
      <c r="M128" s="41">
        <v>936</v>
      </c>
      <c r="N128" s="41">
        <v>936</v>
      </c>
      <c r="O128" s="41">
        <v>936</v>
      </c>
      <c r="P128" s="41">
        <v>936</v>
      </c>
      <c r="Q128" s="41">
        <v>936</v>
      </c>
      <c r="R128" s="38"/>
    </row>
    <row r="129" spans="1:30">
      <c r="A129" s="37">
        <f>'BASE PERIOD'!A131</f>
        <v>557451</v>
      </c>
      <c r="B129" s="36" t="str">
        <f>'BASE PERIOD'!B131</f>
        <v>EA &amp; Coal Broker Fees</v>
      </c>
      <c r="C129" s="37" t="str">
        <f>'BASE PERIOD'!C131</f>
        <v>OPS</v>
      </c>
      <c r="D129" s="37">
        <f t="shared" si="7"/>
        <v>557</v>
      </c>
      <c r="E129" s="166">
        <f t="shared" ref="E129" si="19">SUM(F129:Q129)</f>
        <v>0</v>
      </c>
      <c r="F129" s="41">
        <v>0</v>
      </c>
      <c r="G129" s="41">
        <v>0</v>
      </c>
      <c r="H129" s="41">
        <v>0</v>
      </c>
      <c r="I129" s="41">
        <v>0</v>
      </c>
      <c r="J129" s="41">
        <v>0</v>
      </c>
      <c r="K129" s="41">
        <v>0</v>
      </c>
      <c r="L129" s="41">
        <v>0</v>
      </c>
      <c r="M129" s="41">
        <v>0</v>
      </c>
      <c r="N129" s="41">
        <v>0</v>
      </c>
      <c r="O129" s="41">
        <v>0</v>
      </c>
      <c r="P129" s="41">
        <v>0</v>
      </c>
      <c r="Q129" s="41">
        <v>0</v>
      </c>
      <c r="R129" s="38"/>
    </row>
    <row r="130" spans="1:30">
      <c r="A130" s="37">
        <f>'BASE PERIOD'!A132</f>
        <v>557980</v>
      </c>
      <c r="B130" s="36" t="str">
        <f>'BASE PERIOD'!B132</f>
        <v>Retail Deferred Fuel Expenses</v>
      </c>
      <c r="C130" s="37" t="str">
        <f>'BASE PERIOD'!C132</f>
        <v>Fuel</v>
      </c>
      <c r="D130" s="37">
        <f t="shared" si="7"/>
        <v>557</v>
      </c>
      <c r="E130" s="166">
        <f>SUM(F130:Q130)</f>
        <v>1086449</v>
      </c>
      <c r="F130" s="41">
        <v>-890369</v>
      </c>
      <c r="G130" s="41">
        <v>-486223</v>
      </c>
      <c r="H130" s="41">
        <v>-2154575</v>
      </c>
      <c r="I130" s="41">
        <v>-3144286</v>
      </c>
      <c r="J130" s="41">
        <v>1727874</v>
      </c>
      <c r="K130" s="41">
        <v>4479444</v>
      </c>
      <c r="L130" s="41">
        <v>2305407</v>
      </c>
      <c r="M130" s="41">
        <v>-1120162</v>
      </c>
      <c r="N130" s="41">
        <v>-314430</v>
      </c>
      <c r="O130" s="41">
        <v>-296010</v>
      </c>
      <c r="P130" s="41">
        <v>927247</v>
      </c>
      <c r="Q130" s="41">
        <v>52532</v>
      </c>
      <c r="R130" s="3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</row>
    <row r="131" spans="1:30">
      <c r="A131" s="37">
        <f>'BASE PERIOD'!A133</f>
        <v>560000</v>
      </c>
      <c r="B131" s="36" t="str">
        <f>'BASE PERIOD'!B133</f>
        <v>Supervsn and Engrng-Trans Oper</v>
      </c>
      <c r="C131" s="37" t="str">
        <f>'BASE PERIOD'!C133</f>
        <v>TO</v>
      </c>
      <c r="D131" s="37">
        <f t="shared" si="7"/>
        <v>560</v>
      </c>
      <c r="E131" s="166">
        <f t="shared" si="15"/>
        <v>0</v>
      </c>
      <c r="F131" s="41">
        <v>0</v>
      </c>
      <c r="G131" s="41">
        <v>0</v>
      </c>
      <c r="H131" s="41">
        <v>0</v>
      </c>
      <c r="I131" s="41">
        <v>0</v>
      </c>
      <c r="J131" s="41">
        <v>0</v>
      </c>
      <c r="K131" s="41">
        <v>0</v>
      </c>
      <c r="L131" s="41">
        <v>0</v>
      </c>
      <c r="M131" s="41">
        <v>0</v>
      </c>
      <c r="N131" s="41">
        <v>0</v>
      </c>
      <c r="O131" s="41">
        <v>0</v>
      </c>
      <c r="P131" s="41">
        <v>0</v>
      </c>
      <c r="Q131" s="41">
        <v>0</v>
      </c>
      <c r="R131" s="38"/>
    </row>
    <row r="132" spans="1:30">
      <c r="A132" s="37">
        <f>'BASE PERIOD'!A134</f>
        <v>561100</v>
      </c>
      <c r="B132" s="36" t="str">
        <f>'BASE PERIOD'!B134</f>
        <v>Load Dispatch-Reliability</v>
      </c>
      <c r="C132" s="37" t="str">
        <f>'BASE PERIOD'!C134</f>
        <v>TO</v>
      </c>
      <c r="D132" s="37">
        <f t="shared" si="7"/>
        <v>561</v>
      </c>
      <c r="E132" s="166">
        <f t="shared" si="15"/>
        <v>71987</v>
      </c>
      <c r="F132" s="41">
        <v>5813</v>
      </c>
      <c r="G132" s="41">
        <v>5882</v>
      </c>
      <c r="H132" s="41">
        <v>5838</v>
      </c>
      <c r="I132" s="41">
        <v>6223</v>
      </c>
      <c r="J132" s="41">
        <v>5794</v>
      </c>
      <c r="K132" s="41">
        <v>5742</v>
      </c>
      <c r="L132" s="41">
        <v>5836</v>
      </c>
      <c r="M132" s="41">
        <v>6351</v>
      </c>
      <c r="N132" s="41">
        <v>6071</v>
      </c>
      <c r="O132" s="41">
        <v>6014</v>
      </c>
      <c r="P132" s="41">
        <v>6440</v>
      </c>
      <c r="Q132" s="41">
        <v>5983</v>
      </c>
      <c r="R132" s="38"/>
    </row>
    <row r="133" spans="1:30">
      <c r="A133" s="37">
        <f>'BASE PERIOD'!A135</f>
        <v>561200</v>
      </c>
      <c r="B133" s="36" t="str">
        <f>'BASE PERIOD'!B135</f>
        <v>Load Dispatch-Mnitor&amp;OprTrnSys</v>
      </c>
      <c r="C133" s="37" t="str">
        <f>'BASE PERIOD'!C135</f>
        <v>TO</v>
      </c>
      <c r="D133" s="37">
        <f t="shared" ref="D133:D203" si="20">VALUE(LEFT(A133,3))</f>
        <v>561</v>
      </c>
      <c r="E133" s="166">
        <f t="shared" si="15"/>
        <v>344471</v>
      </c>
      <c r="F133" s="41">
        <v>27990</v>
      </c>
      <c r="G133" s="41">
        <v>28209</v>
      </c>
      <c r="H133" s="41">
        <v>28054</v>
      </c>
      <c r="I133" s="41">
        <v>29403</v>
      </c>
      <c r="J133" s="41">
        <v>27903</v>
      </c>
      <c r="K133" s="41">
        <v>27726</v>
      </c>
      <c r="L133" s="41">
        <v>28200</v>
      </c>
      <c r="M133" s="41">
        <v>29851</v>
      </c>
      <c r="N133" s="41">
        <v>29086</v>
      </c>
      <c r="O133" s="41">
        <v>28882</v>
      </c>
      <c r="P133" s="41">
        <v>30382</v>
      </c>
      <c r="Q133" s="41">
        <v>28785</v>
      </c>
      <c r="R133" s="38"/>
    </row>
    <row r="134" spans="1:30">
      <c r="A134" s="37">
        <f>'BASE PERIOD'!A136</f>
        <v>561300</v>
      </c>
      <c r="B134" s="36" t="str">
        <f>'BASE PERIOD'!B136</f>
        <v>Load Dispatch - TransSvc&amp;Sch</v>
      </c>
      <c r="C134" s="37" t="str">
        <f>'BASE PERIOD'!C136</f>
        <v>TO</v>
      </c>
      <c r="D134" s="37">
        <f t="shared" si="20"/>
        <v>561</v>
      </c>
      <c r="E134" s="166">
        <f t="shared" si="15"/>
        <v>46601</v>
      </c>
      <c r="F134" s="41">
        <v>3783</v>
      </c>
      <c r="G134" s="41">
        <v>3815</v>
      </c>
      <c r="H134" s="41">
        <v>3793</v>
      </c>
      <c r="I134" s="41">
        <v>3986</v>
      </c>
      <c r="J134" s="41">
        <v>3771</v>
      </c>
      <c r="K134" s="41">
        <v>3746</v>
      </c>
      <c r="L134" s="41">
        <v>3809</v>
      </c>
      <c r="M134" s="41">
        <v>4050</v>
      </c>
      <c r="N134" s="41">
        <v>3934</v>
      </c>
      <c r="O134" s="41">
        <v>3905</v>
      </c>
      <c r="P134" s="41">
        <v>4119</v>
      </c>
      <c r="Q134" s="41">
        <v>3890</v>
      </c>
      <c r="R134" s="38"/>
    </row>
    <row r="135" spans="1:30">
      <c r="A135" s="37">
        <f>'BASE PERIOD'!A137</f>
        <v>561400</v>
      </c>
      <c r="B135" s="36" t="str">
        <f>'BASE PERIOD'!B137</f>
        <v>Scheduling-Sys Cntrl&amp;Disp Svs</v>
      </c>
      <c r="C135" s="37" t="str">
        <f>'BASE PERIOD'!C137</f>
        <v>TO</v>
      </c>
      <c r="D135" s="37">
        <f t="shared" si="20"/>
        <v>561</v>
      </c>
      <c r="E135" s="166">
        <f>SUM(F135:Q135)</f>
        <v>1200000</v>
      </c>
      <c r="F135" s="41">
        <v>100000</v>
      </c>
      <c r="G135" s="41">
        <v>100000</v>
      </c>
      <c r="H135" s="41">
        <v>100000</v>
      </c>
      <c r="I135" s="41">
        <v>100000</v>
      </c>
      <c r="J135" s="41">
        <v>100000</v>
      </c>
      <c r="K135" s="41">
        <v>100000</v>
      </c>
      <c r="L135" s="41">
        <v>100000</v>
      </c>
      <c r="M135" s="41">
        <v>100000</v>
      </c>
      <c r="N135" s="41">
        <v>100000</v>
      </c>
      <c r="O135" s="41">
        <v>100000</v>
      </c>
      <c r="P135" s="41">
        <v>100000</v>
      </c>
      <c r="Q135" s="41">
        <v>100000</v>
      </c>
      <c r="R135" s="38"/>
    </row>
    <row r="136" spans="1:30">
      <c r="A136" s="37">
        <f>'BASE PERIOD'!A138</f>
        <v>561500</v>
      </c>
      <c r="B136" s="36" t="str">
        <f>'BASE PERIOD'!B138</f>
        <v>Reliability Planning and Stdsdev</v>
      </c>
      <c r="C136" s="37" t="str">
        <f>'BASE PERIOD'!C138</f>
        <v>TO</v>
      </c>
      <c r="D136" s="37">
        <f>VALUE(LEFT(A136,3))</f>
        <v>561</v>
      </c>
      <c r="E136" s="166">
        <f>SUM(F136:Q136)</f>
        <v>0</v>
      </c>
      <c r="F136" s="41">
        <v>0</v>
      </c>
      <c r="G136" s="41">
        <v>0</v>
      </c>
      <c r="H136" s="41">
        <v>0</v>
      </c>
      <c r="I136" s="41">
        <v>0</v>
      </c>
      <c r="J136" s="41">
        <v>0</v>
      </c>
      <c r="K136" s="41">
        <v>0</v>
      </c>
      <c r="L136" s="41">
        <v>0</v>
      </c>
      <c r="M136" s="41">
        <v>0</v>
      </c>
      <c r="N136" s="41">
        <v>0</v>
      </c>
      <c r="O136" s="41">
        <v>0</v>
      </c>
      <c r="P136" s="41">
        <v>0</v>
      </c>
      <c r="Q136" s="41">
        <v>0</v>
      </c>
      <c r="R136" s="38"/>
    </row>
    <row r="137" spans="1:30">
      <c r="A137" s="37">
        <f>'BASE PERIOD'!A139</f>
        <v>561800</v>
      </c>
      <c r="B137" s="36" t="str">
        <f>'BASE PERIOD'!B139</f>
        <v>ReliabilityPlanning&amp;StdsDev</v>
      </c>
      <c r="C137" s="37" t="str">
        <f>'BASE PERIOD'!C139</f>
        <v>TO</v>
      </c>
      <c r="D137" s="37">
        <f t="shared" si="20"/>
        <v>561</v>
      </c>
      <c r="E137" s="166">
        <f t="shared" ref="E137" si="21">SUM(F137:Q137)</f>
        <v>2307336</v>
      </c>
      <c r="F137" s="41">
        <v>189436</v>
      </c>
      <c r="G137" s="41">
        <v>189436</v>
      </c>
      <c r="H137" s="41">
        <v>189436</v>
      </c>
      <c r="I137" s="41">
        <v>189436</v>
      </c>
      <c r="J137" s="41">
        <v>189436</v>
      </c>
      <c r="K137" s="41">
        <v>189436</v>
      </c>
      <c r="L137" s="41">
        <v>195120</v>
      </c>
      <c r="M137" s="41">
        <v>195120</v>
      </c>
      <c r="N137" s="41">
        <v>195120</v>
      </c>
      <c r="O137" s="41">
        <v>195120</v>
      </c>
      <c r="P137" s="41">
        <v>195120</v>
      </c>
      <c r="Q137" s="41">
        <v>195120</v>
      </c>
      <c r="R137" s="38"/>
    </row>
    <row r="138" spans="1:30">
      <c r="A138" s="37">
        <f>'BASE PERIOD'!A140</f>
        <v>562000</v>
      </c>
      <c r="B138" s="36" t="str">
        <f>'BASE PERIOD'!B140</f>
        <v>Station Expenses</v>
      </c>
      <c r="C138" s="37" t="str">
        <f>'BASE PERIOD'!C140</f>
        <v>TO</v>
      </c>
      <c r="D138" s="37">
        <f t="shared" si="20"/>
        <v>562</v>
      </c>
      <c r="E138" s="166">
        <f t="shared" si="15"/>
        <v>86871</v>
      </c>
      <c r="F138" s="41">
        <v>11776</v>
      </c>
      <c r="G138" s="41">
        <v>11611</v>
      </c>
      <c r="H138" s="41">
        <v>11983</v>
      </c>
      <c r="I138" s="41">
        <v>14946</v>
      </c>
      <c r="J138" s="41">
        <v>2085</v>
      </c>
      <c r="K138" s="41">
        <v>1700</v>
      </c>
      <c r="L138" s="41">
        <v>1599</v>
      </c>
      <c r="M138" s="41">
        <v>1689</v>
      </c>
      <c r="N138" s="41">
        <v>1586</v>
      </c>
      <c r="O138" s="41">
        <v>1753</v>
      </c>
      <c r="P138" s="41">
        <v>14094</v>
      </c>
      <c r="Q138" s="41">
        <v>12049</v>
      </c>
      <c r="R138" s="38"/>
    </row>
    <row r="139" spans="1:30">
      <c r="A139" s="37">
        <f>'BASE PERIOD'!A141</f>
        <v>563000</v>
      </c>
      <c r="B139" s="36" t="str">
        <f>'BASE PERIOD'!B141</f>
        <v>Overhead Line Expenses-Trans</v>
      </c>
      <c r="C139" s="37" t="str">
        <f>'BASE PERIOD'!C141</f>
        <v>TO</v>
      </c>
      <c r="D139" s="37">
        <f t="shared" si="20"/>
        <v>563</v>
      </c>
      <c r="E139" s="166">
        <f t="shared" si="15"/>
        <v>9090</v>
      </c>
      <c r="F139" s="41">
        <v>0</v>
      </c>
      <c r="G139" s="41">
        <v>0</v>
      </c>
      <c r="H139" s="41">
        <v>0</v>
      </c>
      <c r="I139" s="41">
        <v>0</v>
      </c>
      <c r="J139" s="41">
        <v>0</v>
      </c>
      <c r="K139" s="41">
        <v>0</v>
      </c>
      <c r="L139" s="41">
        <v>2913</v>
      </c>
      <c r="M139" s="41">
        <v>0</v>
      </c>
      <c r="N139" s="41">
        <v>0</v>
      </c>
      <c r="O139" s="41">
        <v>647</v>
      </c>
      <c r="P139" s="41">
        <v>5530</v>
      </c>
      <c r="Q139" s="41">
        <v>0</v>
      </c>
      <c r="R139" s="38"/>
    </row>
    <row r="140" spans="1:30">
      <c r="A140" s="37">
        <f>'BASE PERIOD'!A142</f>
        <v>565000</v>
      </c>
      <c r="B140" s="36" t="str">
        <f>'BASE PERIOD'!B142</f>
        <v>Transm of Elec By Others</v>
      </c>
      <c r="C140" s="37" t="str">
        <f>'BASE PERIOD'!C142</f>
        <v>TO</v>
      </c>
      <c r="D140" s="37">
        <f t="shared" si="20"/>
        <v>565</v>
      </c>
      <c r="E140" s="166">
        <f t="shared" si="15"/>
        <v>29352086</v>
      </c>
      <c r="F140" s="41">
        <v>2267151</v>
      </c>
      <c r="G140" s="41">
        <v>2267151</v>
      </c>
      <c r="H140" s="41">
        <v>2406401</v>
      </c>
      <c r="I140" s="41">
        <v>2267151</v>
      </c>
      <c r="J140" s="41">
        <v>2267151</v>
      </c>
      <c r="K140" s="41">
        <v>2406401</v>
      </c>
      <c r="L140" s="41">
        <v>2532030</v>
      </c>
      <c r="M140" s="41">
        <v>2532030</v>
      </c>
      <c r="N140" s="41">
        <v>2671280</v>
      </c>
      <c r="O140" s="41">
        <v>2532030</v>
      </c>
      <c r="P140" s="41">
        <v>2532030</v>
      </c>
      <c r="Q140" s="41">
        <v>2671280</v>
      </c>
      <c r="R140" s="38"/>
    </row>
    <row r="141" spans="1:30">
      <c r="A141" s="37">
        <f>'BASE PERIOD'!A143</f>
        <v>566000</v>
      </c>
      <c r="B141" s="36" t="str">
        <f>'BASE PERIOD'!B143</f>
        <v>Misc Trans Exp-Other</v>
      </c>
      <c r="C141" s="37" t="str">
        <f>'BASE PERIOD'!C143</f>
        <v>TO</v>
      </c>
      <c r="D141" s="37">
        <f t="shared" si="20"/>
        <v>566</v>
      </c>
      <c r="E141" s="166">
        <f t="shared" si="15"/>
        <v>126260</v>
      </c>
      <c r="F141" s="41">
        <v>11221</v>
      </c>
      <c r="G141" s="41">
        <v>9777</v>
      </c>
      <c r="H141" s="41">
        <v>9719</v>
      </c>
      <c r="I141" s="41">
        <v>12302</v>
      </c>
      <c r="J141" s="41">
        <v>9932</v>
      </c>
      <c r="K141" s="41">
        <v>9675</v>
      </c>
      <c r="L141" s="41">
        <v>11272</v>
      </c>
      <c r="M141" s="41">
        <v>9777</v>
      </c>
      <c r="N141" s="41">
        <v>9801</v>
      </c>
      <c r="O141" s="41">
        <v>11561</v>
      </c>
      <c r="P141" s="41">
        <v>11084</v>
      </c>
      <c r="Q141" s="41">
        <v>10139</v>
      </c>
      <c r="R141" s="38"/>
    </row>
    <row r="142" spans="1:30">
      <c r="A142" s="37">
        <f>'BASE PERIOD'!A144</f>
        <v>566100</v>
      </c>
      <c r="B142" s="36" t="str">
        <f>'BASE PERIOD'!B144</f>
        <v>Misc Trans-Trans Lines Related</v>
      </c>
      <c r="C142" s="37" t="str">
        <f>'BASE PERIOD'!C144</f>
        <v>TO</v>
      </c>
      <c r="D142" s="37">
        <f t="shared" si="20"/>
        <v>566</v>
      </c>
      <c r="E142" s="166">
        <f t="shared" si="15"/>
        <v>3504</v>
      </c>
      <c r="F142" s="41">
        <v>292</v>
      </c>
      <c r="G142" s="41">
        <v>292</v>
      </c>
      <c r="H142" s="41">
        <v>292</v>
      </c>
      <c r="I142" s="41">
        <v>292</v>
      </c>
      <c r="J142" s="41">
        <v>292</v>
      </c>
      <c r="K142" s="41">
        <v>292</v>
      </c>
      <c r="L142" s="41">
        <v>292</v>
      </c>
      <c r="M142" s="41">
        <v>292</v>
      </c>
      <c r="N142" s="41">
        <v>292</v>
      </c>
      <c r="O142" s="41">
        <v>292</v>
      </c>
      <c r="P142" s="41">
        <v>292</v>
      </c>
      <c r="Q142" s="41">
        <v>292</v>
      </c>
      <c r="R142" s="38"/>
      <c r="S142" s="1427"/>
    </row>
    <row r="143" spans="1:30">
      <c r="A143" s="37">
        <f>'BASE PERIOD'!A145</f>
        <v>567000</v>
      </c>
      <c r="B143" s="36" t="str">
        <f>'BASE PERIOD'!B145</f>
        <v>Rents-Trans Oper</v>
      </c>
      <c r="C143" s="37" t="str">
        <f>'BASE PERIOD'!C145</f>
        <v>TO</v>
      </c>
      <c r="D143" s="37">
        <f>VALUE(LEFT(A143,3))</f>
        <v>567</v>
      </c>
      <c r="E143" s="166">
        <f>SUM(F143:Q143)</f>
        <v>7500</v>
      </c>
      <c r="F143" s="41">
        <v>625</v>
      </c>
      <c r="G143" s="41">
        <v>625</v>
      </c>
      <c r="H143" s="41">
        <v>625</v>
      </c>
      <c r="I143" s="41">
        <v>625</v>
      </c>
      <c r="J143" s="41">
        <v>625</v>
      </c>
      <c r="K143" s="41">
        <v>625</v>
      </c>
      <c r="L143" s="41">
        <v>625</v>
      </c>
      <c r="M143" s="41">
        <v>625</v>
      </c>
      <c r="N143" s="41">
        <v>625</v>
      </c>
      <c r="O143" s="41">
        <v>625</v>
      </c>
      <c r="P143" s="41">
        <v>625</v>
      </c>
      <c r="Q143" s="41">
        <v>625</v>
      </c>
      <c r="R143" s="38"/>
      <c r="S143" s="1427"/>
    </row>
    <row r="144" spans="1:30">
      <c r="A144" s="37">
        <f>'BASE PERIOD'!A146</f>
        <v>569000</v>
      </c>
      <c r="B144" s="36" t="str">
        <f>'BASE PERIOD'!B146</f>
        <v>Maint of Structures-Trans</v>
      </c>
      <c r="C144" s="37" t="str">
        <f>'BASE PERIOD'!C146</f>
        <v>TM</v>
      </c>
      <c r="D144" s="37">
        <f t="shared" si="20"/>
        <v>569</v>
      </c>
      <c r="E144" s="166">
        <f t="shared" ref="E144:E187" si="22">SUM(F144:Q144)</f>
        <v>29877</v>
      </c>
      <c r="F144" s="41">
        <v>2382</v>
      </c>
      <c r="G144" s="41">
        <v>2486</v>
      </c>
      <c r="H144" s="41">
        <v>2085</v>
      </c>
      <c r="I144" s="41">
        <v>3722</v>
      </c>
      <c r="J144" s="41">
        <v>2467</v>
      </c>
      <c r="K144" s="41">
        <v>2174</v>
      </c>
      <c r="L144" s="41">
        <v>2275</v>
      </c>
      <c r="M144" s="41">
        <v>2192</v>
      </c>
      <c r="N144" s="41">
        <v>2149</v>
      </c>
      <c r="O144" s="41">
        <v>2258</v>
      </c>
      <c r="P144" s="41">
        <v>3342</v>
      </c>
      <c r="Q144" s="41">
        <v>2345</v>
      </c>
      <c r="R144" s="38"/>
    </row>
    <row r="145" spans="1:18">
      <c r="A145" s="37">
        <f>'BASE PERIOD'!A147</f>
        <v>569100</v>
      </c>
      <c r="B145" s="36" t="str">
        <f>'BASE PERIOD'!B147</f>
        <v>Maint of Computer Hardware</v>
      </c>
      <c r="C145" s="37" t="str">
        <f>'BASE PERIOD'!C147</f>
        <v>TM</v>
      </c>
      <c r="D145" s="37">
        <f>VALUE(LEFT(A145,3))</f>
        <v>569</v>
      </c>
      <c r="E145" s="166">
        <f>SUM(F145:Q145)</f>
        <v>0</v>
      </c>
      <c r="F145" s="41">
        <v>0</v>
      </c>
      <c r="G145" s="41">
        <v>0</v>
      </c>
      <c r="H145" s="41">
        <v>0</v>
      </c>
      <c r="I145" s="41">
        <v>0</v>
      </c>
      <c r="J145" s="41">
        <v>0</v>
      </c>
      <c r="K145" s="41">
        <v>0</v>
      </c>
      <c r="L145" s="41">
        <v>0</v>
      </c>
      <c r="M145" s="41">
        <v>0</v>
      </c>
      <c r="N145" s="41">
        <v>0</v>
      </c>
      <c r="O145" s="41">
        <v>0</v>
      </c>
      <c r="P145" s="41">
        <v>0</v>
      </c>
      <c r="Q145" s="41">
        <v>0</v>
      </c>
      <c r="R145" s="38"/>
    </row>
    <row r="146" spans="1:18">
      <c r="A146" s="37">
        <f>'BASE PERIOD'!A148</f>
        <v>569200</v>
      </c>
      <c r="B146" s="36" t="str">
        <f>'BASE PERIOD'!B148</f>
        <v>Maint of Computer Software</v>
      </c>
      <c r="C146" s="37" t="str">
        <f>'BASE PERIOD'!C148</f>
        <v>TM</v>
      </c>
      <c r="D146" s="37">
        <f t="shared" si="20"/>
        <v>569</v>
      </c>
      <c r="E146" s="166">
        <f t="shared" si="22"/>
        <v>73962</v>
      </c>
      <c r="F146" s="41">
        <v>5558</v>
      </c>
      <c r="G146" s="41">
        <v>5558</v>
      </c>
      <c r="H146" s="41">
        <v>5558</v>
      </c>
      <c r="I146" s="41">
        <v>5558</v>
      </c>
      <c r="J146" s="41">
        <v>5558</v>
      </c>
      <c r="K146" s="41">
        <v>5558</v>
      </c>
      <c r="L146" s="41">
        <v>5547</v>
      </c>
      <c r="M146" s="41">
        <v>12272</v>
      </c>
      <c r="N146" s="41">
        <v>5708</v>
      </c>
      <c r="O146" s="41">
        <v>5708</v>
      </c>
      <c r="P146" s="41">
        <v>5708</v>
      </c>
      <c r="Q146" s="41">
        <v>5671</v>
      </c>
      <c r="R146" s="38"/>
    </row>
    <row r="147" spans="1:18">
      <c r="A147" s="37">
        <f>'BASE PERIOD'!A149</f>
        <v>570100</v>
      </c>
      <c r="B147" s="36" t="str">
        <f>'BASE PERIOD'!B149</f>
        <v>Maint  Stat Equip-Other- Trans</v>
      </c>
      <c r="C147" s="37" t="str">
        <f>'BASE PERIOD'!C149</f>
        <v>TM</v>
      </c>
      <c r="D147" s="37">
        <f t="shared" si="20"/>
        <v>570</v>
      </c>
      <c r="E147" s="166">
        <f t="shared" si="22"/>
        <v>18530</v>
      </c>
      <c r="F147" s="41">
        <v>1104</v>
      </c>
      <c r="G147" s="41">
        <v>713</v>
      </c>
      <c r="H147" s="41">
        <v>793</v>
      </c>
      <c r="I147" s="41">
        <v>2516</v>
      </c>
      <c r="J147" s="41">
        <v>1006</v>
      </c>
      <c r="K147" s="41">
        <v>548</v>
      </c>
      <c r="L147" s="41">
        <v>2815</v>
      </c>
      <c r="M147" s="41">
        <v>1600</v>
      </c>
      <c r="N147" s="41">
        <v>1582</v>
      </c>
      <c r="O147" s="41">
        <v>1600</v>
      </c>
      <c r="P147" s="41">
        <v>3165</v>
      </c>
      <c r="Q147" s="41">
        <v>1088</v>
      </c>
      <c r="R147" s="38"/>
    </row>
    <row r="148" spans="1:18">
      <c r="A148" s="37">
        <f>'BASE PERIOD'!A150</f>
        <v>570200</v>
      </c>
      <c r="B148" s="36" t="str">
        <f>'BASE PERIOD'!B150</f>
        <v>Main-Cir BrkrsTrnsf Mtrs-Trans</v>
      </c>
      <c r="C148" s="37" t="str">
        <f>'BASE PERIOD'!C150</f>
        <v>TM</v>
      </c>
      <c r="D148" s="37">
        <f t="shared" si="20"/>
        <v>570</v>
      </c>
      <c r="E148" s="166">
        <f t="shared" si="22"/>
        <v>98526</v>
      </c>
      <c r="F148" s="41">
        <v>9580</v>
      </c>
      <c r="G148" s="41">
        <v>9639</v>
      </c>
      <c r="H148" s="41">
        <v>9063</v>
      </c>
      <c r="I148" s="41">
        <v>11776</v>
      </c>
      <c r="J148" s="41">
        <v>6277</v>
      </c>
      <c r="K148" s="41">
        <v>5996</v>
      </c>
      <c r="L148" s="41">
        <v>6171</v>
      </c>
      <c r="M148" s="41">
        <v>5906</v>
      </c>
      <c r="N148" s="41">
        <v>6083</v>
      </c>
      <c r="O148" s="41">
        <v>6233</v>
      </c>
      <c r="P148" s="41">
        <v>12332</v>
      </c>
      <c r="Q148" s="41">
        <v>9470</v>
      </c>
      <c r="R148" s="38"/>
    </row>
    <row r="149" spans="1:18">
      <c r="A149" s="37">
        <f>'BASE PERIOD'!A151</f>
        <v>571000</v>
      </c>
      <c r="B149" s="36" t="str">
        <f>'BASE PERIOD'!B151</f>
        <v>Maint of Overhead Lines-Trans</v>
      </c>
      <c r="C149" s="37" t="str">
        <f>'BASE PERIOD'!C151</f>
        <v>TM</v>
      </c>
      <c r="D149" s="37">
        <f t="shared" si="20"/>
        <v>571</v>
      </c>
      <c r="E149" s="166">
        <f t="shared" si="22"/>
        <v>1037403</v>
      </c>
      <c r="F149" s="41">
        <v>122299</v>
      </c>
      <c r="G149" s="41">
        <v>150851</v>
      </c>
      <c r="H149" s="41">
        <v>54725</v>
      </c>
      <c r="I149" s="41">
        <v>66656</v>
      </c>
      <c r="J149" s="41">
        <v>76611</v>
      </c>
      <c r="K149" s="41">
        <v>63686</v>
      </c>
      <c r="L149" s="41">
        <v>84445</v>
      </c>
      <c r="M149" s="41">
        <v>43135</v>
      </c>
      <c r="N149" s="41">
        <v>57577</v>
      </c>
      <c r="O149" s="41">
        <v>64430</v>
      </c>
      <c r="P149" s="41">
        <v>108840</v>
      </c>
      <c r="Q149" s="41">
        <v>144148</v>
      </c>
      <c r="R149" s="38"/>
    </row>
    <row r="150" spans="1:18">
      <c r="A150" s="37">
        <f>'BASE PERIOD'!A152</f>
        <v>575700</v>
      </c>
      <c r="B150" s="36" t="str">
        <f>'BASE PERIOD'!B152</f>
        <v>Market Faciliation-Mntr&amp;Comp</v>
      </c>
      <c r="C150" s="37" t="str">
        <f>'BASE PERIOD'!C152</f>
        <v>RMO</v>
      </c>
      <c r="D150" s="37">
        <f t="shared" si="20"/>
        <v>575</v>
      </c>
      <c r="E150" s="166">
        <f t="shared" si="22"/>
        <v>3440220</v>
      </c>
      <c r="F150" s="41">
        <v>286685</v>
      </c>
      <c r="G150" s="41">
        <v>286685</v>
      </c>
      <c r="H150" s="41">
        <v>286685</v>
      </c>
      <c r="I150" s="41">
        <v>286685</v>
      </c>
      <c r="J150" s="41">
        <v>286685</v>
      </c>
      <c r="K150" s="41">
        <v>286685</v>
      </c>
      <c r="L150" s="41">
        <v>286685</v>
      </c>
      <c r="M150" s="41">
        <v>286685</v>
      </c>
      <c r="N150" s="41">
        <v>286685</v>
      </c>
      <c r="O150" s="41">
        <v>286685</v>
      </c>
      <c r="P150" s="41">
        <v>286685</v>
      </c>
      <c r="Q150" s="41">
        <v>286685</v>
      </c>
      <c r="R150" s="38"/>
    </row>
    <row r="151" spans="1:18">
      <c r="A151" s="37">
        <f>'BASE PERIOD'!A153</f>
        <v>580000</v>
      </c>
      <c r="B151" s="36" t="str">
        <f>'BASE PERIOD'!B153</f>
        <v>Supervsn and Engring-Dist Oper</v>
      </c>
      <c r="C151" s="37" t="str">
        <f>'BASE PERIOD'!C153</f>
        <v>DO</v>
      </c>
      <c r="D151" s="37">
        <f t="shared" si="20"/>
        <v>580</v>
      </c>
      <c r="E151" s="166">
        <f t="shared" si="22"/>
        <v>23748</v>
      </c>
      <c r="F151" s="41">
        <v>1956</v>
      </c>
      <c r="G151" s="41">
        <v>1956</v>
      </c>
      <c r="H151" s="41">
        <v>1956</v>
      </c>
      <c r="I151" s="41">
        <v>1956</v>
      </c>
      <c r="J151" s="41">
        <v>1956</v>
      </c>
      <c r="K151" s="41">
        <v>1956</v>
      </c>
      <c r="L151" s="41">
        <v>1956</v>
      </c>
      <c r="M151" s="41">
        <v>1956</v>
      </c>
      <c r="N151" s="41">
        <v>2025</v>
      </c>
      <c r="O151" s="41">
        <v>2025</v>
      </c>
      <c r="P151" s="41">
        <v>2025</v>
      </c>
      <c r="Q151" s="41">
        <v>2025</v>
      </c>
      <c r="R151" s="38"/>
    </row>
    <row r="152" spans="1:18">
      <c r="A152" s="37">
        <f>'BASE PERIOD'!A154</f>
        <v>581004</v>
      </c>
      <c r="B152" s="36" t="str">
        <f>'BASE PERIOD'!B154</f>
        <v>Load Dispatch-Dist of Elec</v>
      </c>
      <c r="C152" s="37" t="str">
        <f>'BASE PERIOD'!C154</f>
        <v>DO</v>
      </c>
      <c r="D152" s="37">
        <f t="shared" si="20"/>
        <v>581</v>
      </c>
      <c r="E152" s="166">
        <f t="shared" si="22"/>
        <v>480602</v>
      </c>
      <c r="F152" s="41">
        <v>52910</v>
      </c>
      <c r="G152" s="41">
        <v>33800</v>
      </c>
      <c r="H152" s="41">
        <v>33800</v>
      </c>
      <c r="I152" s="41">
        <v>47143</v>
      </c>
      <c r="J152" s="41">
        <v>33800</v>
      </c>
      <c r="K152" s="41">
        <v>33800</v>
      </c>
      <c r="L152" s="41">
        <v>57807</v>
      </c>
      <c r="M152" s="41">
        <v>33800</v>
      </c>
      <c r="N152" s="41">
        <v>34983</v>
      </c>
      <c r="O152" s="41">
        <v>34983</v>
      </c>
      <c r="P152" s="41">
        <v>48793</v>
      </c>
      <c r="Q152" s="41">
        <v>34983</v>
      </c>
      <c r="R152" s="38"/>
    </row>
    <row r="153" spans="1:18">
      <c r="A153" s="37">
        <f>'BASE PERIOD'!A155</f>
        <v>582100</v>
      </c>
      <c r="B153" s="36" t="str">
        <f>'BASE PERIOD'!B155</f>
        <v>Station Expenses-Other-Dist</v>
      </c>
      <c r="C153" s="37" t="str">
        <f>'BASE PERIOD'!C155</f>
        <v>DO</v>
      </c>
      <c r="D153" s="37">
        <f t="shared" si="20"/>
        <v>582</v>
      </c>
      <c r="E153" s="166">
        <f t="shared" si="22"/>
        <v>54453</v>
      </c>
      <c r="F153" s="41">
        <v>4271</v>
      </c>
      <c r="G153" s="41">
        <v>3427</v>
      </c>
      <c r="H153" s="41">
        <v>4362</v>
      </c>
      <c r="I153" s="41">
        <v>7545</v>
      </c>
      <c r="J153" s="41">
        <v>4543</v>
      </c>
      <c r="K153" s="41">
        <v>4279</v>
      </c>
      <c r="L153" s="41">
        <v>4158</v>
      </c>
      <c r="M153" s="41">
        <v>3740</v>
      </c>
      <c r="N153" s="41">
        <v>4181</v>
      </c>
      <c r="O153" s="41">
        <v>4351</v>
      </c>
      <c r="P153" s="41">
        <v>5316</v>
      </c>
      <c r="Q153" s="41">
        <v>4280</v>
      </c>
      <c r="R153" s="38"/>
    </row>
    <row r="154" spans="1:18">
      <c r="A154" s="37">
        <f>'BASE PERIOD'!A156</f>
        <v>583100</v>
      </c>
      <c r="B154" s="36" t="str">
        <f>'BASE PERIOD'!B156</f>
        <v>Overhead Line Exps-Other-Dist</v>
      </c>
      <c r="C154" s="37" t="str">
        <f>'BASE PERIOD'!C156</f>
        <v>DO</v>
      </c>
      <c r="D154" s="37">
        <f t="shared" si="20"/>
        <v>583</v>
      </c>
      <c r="E154" s="166">
        <f t="shared" si="22"/>
        <v>209242</v>
      </c>
      <c r="F154" s="41">
        <v>11677</v>
      </c>
      <c r="G154" s="41">
        <v>5965</v>
      </c>
      <c r="H154" s="41">
        <v>5957</v>
      </c>
      <c r="I154" s="41">
        <v>9156</v>
      </c>
      <c r="J154" s="41">
        <v>6072</v>
      </c>
      <c r="K154" s="41">
        <v>6071</v>
      </c>
      <c r="L154" s="41">
        <v>6585</v>
      </c>
      <c r="M154" s="41">
        <v>6618</v>
      </c>
      <c r="N154" s="41">
        <v>6034</v>
      </c>
      <c r="O154" s="41">
        <v>7073</v>
      </c>
      <c r="P154" s="41">
        <v>7890</v>
      </c>
      <c r="Q154" s="41">
        <v>130144</v>
      </c>
      <c r="R154" s="38"/>
    </row>
    <row r="155" spans="1:18">
      <c r="A155" s="37">
        <f>'BASE PERIOD'!A157</f>
        <v>583200</v>
      </c>
      <c r="B155" s="36" t="str">
        <f>'BASE PERIOD'!B157</f>
        <v>Transf Set Rem Reset Test-Dist</v>
      </c>
      <c r="C155" s="37" t="str">
        <f>'BASE PERIOD'!C157</f>
        <v>DO</v>
      </c>
      <c r="D155" s="37">
        <f t="shared" si="20"/>
        <v>583</v>
      </c>
      <c r="E155" s="166">
        <f t="shared" si="22"/>
        <v>301233</v>
      </c>
      <c r="F155" s="41">
        <v>23258</v>
      </c>
      <c r="G155" s="41">
        <v>23258</v>
      </c>
      <c r="H155" s="41">
        <v>23258</v>
      </c>
      <c r="I155" s="41">
        <v>25434</v>
      </c>
      <c r="J155" s="41">
        <v>38595</v>
      </c>
      <c r="K155" s="41">
        <v>38279</v>
      </c>
      <c r="L155" s="41">
        <v>9250</v>
      </c>
      <c r="M155" s="41">
        <v>23250</v>
      </c>
      <c r="N155" s="41">
        <v>23529</v>
      </c>
      <c r="O155" s="41">
        <v>23529</v>
      </c>
      <c r="P155" s="41">
        <v>26064</v>
      </c>
      <c r="Q155" s="41">
        <v>23529</v>
      </c>
      <c r="R155" s="38"/>
    </row>
    <row r="156" spans="1:18">
      <c r="A156" s="37">
        <f>'BASE PERIOD'!A158</f>
        <v>584000</v>
      </c>
      <c r="B156" s="36" t="str">
        <f>'BASE PERIOD'!B158</f>
        <v>Underground Line Expenses-Dist</v>
      </c>
      <c r="C156" s="37" t="str">
        <f>'BASE PERIOD'!C158</f>
        <v>DO</v>
      </c>
      <c r="D156" s="37">
        <f t="shared" si="20"/>
        <v>584</v>
      </c>
      <c r="E156" s="166">
        <f t="shared" si="22"/>
        <v>642890</v>
      </c>
      <c r="F156" s="41">
        <v>74091</v>
      </c>
      <c r="G156" s="41">
        <v>42488</v>
      </c>
      <c r="H156" s="41">
        <v>31350</v>
      </c>
      <c r="I156" s="41">
        <v>58413</v>
      </c>
      <c r="J156" s="41">
        <v>38839</v>
      </c>
      <c r="K156" s="41">
        <v>30632</v>
      </c>
      <c r="L156" s="41">
        <v>33555</v>
      </c>
      <c r="M156" s="41">
        <v>32093</v>
      </c>
      <c r="N156" s="41">
        <v>31741</v>
      </c>
      <c r="O156" s="41">
        <v>28677</v>
      </c>
      <c r="P156" s="41">
        <v>38659</v>
      </c>
      <c r="Q156" s="41">
        <v>202352</v>
      </c>
      <c r="R156" s="38"/>
    </row>
    <row r="157" spans="1:18">
      <c r="A157" s="37">
        <f>'BASE PERIOD'!A159</f>
        <v>586000</v>
      </c>
      <c r="B157" s="36" t="str">
        <f>'BASE PERIOD'!B159</f>
        <v>Meter Expenses-Dist</v>
      </c>
      <c r="C157" s="37" t="str">
        <f>'BASE PERIOD'!C159</f>
        <v>DO</v>
      </c>
      <c r="D157" s="37">
        <f t="shared" si="20"/>
        <v>586</v>
      </c>
      <c r="E157" s="166">
        <f t="shared" si="22"/>
        <v>660959</v>
      </c>
      <c r="F157" s="41">
        <v>51249</v>
      </c>
      <c r="G157" s="41">
        <v>51547</v>
      </c>
      <c r="H157" s="41">
        <v>53652</v>
      </c>
      <c r="I157" s="41">
        <v>66482</v>
      </c>
      <c r="J157" s="41">
        <v>55492</v>
      </c>
      <c r="K157" s="41">
        <v>51671</v>
      </c>
      <c r="L157" s="41">
        <v>52047</v>
      </c>
      <c r="M157" s="41">
        <v>50587</v>
      </c>
      <c r="N157" s="41">
        <v>53565</v>
      </c>
      <c r="O157" s="41">
        <v>52656</v>
      </c>
      <c r="P157" s="41">
        <v>68621</v>
      </c>
      <c r="Q157" s="41">
        <v>53390</v>
      </c>
      <c r="R157" s="38"/>
    </row>
    <row r="158" spans="1:18">
      <c r="A158" s="37">
        <f>'BASE PERIOD'!A160</f>
        <v>587000</v>
      </c>
      <c r="B158" s="36" t="str">
        <f>'BASE PERIOD'!B160</f>
        <v>Cust Install Exp-Other Dist</v>
      </c>
      <c r="C158" s="37" t="str">
        <f>'BASE PERIOD'!C160</f>
        <v>DO</v>
      </c>
      <c r="D158" s="37">
        <f t="shared" si="20"/>
        <v>587</v>
      </c>
      <c r="E158" s="166">
        <f t="shared" si="22"/>
        <v>695935</v>
      </c>
      <c r="F158" s="41">
        <v>56674</v>
      </c>
      <c r="G158" s="41">
        <v>57195</v>
      </c>
      <c r="H158" s="41">
        <v>56444</v>
      </c>
      <c r="I158" s="41">
        <v>72196</v>
      </c>
      <c r="J158" s="41">
        <v>53637</v>
      </c>
      <c r="K158" s="41">
        <v>52353</v>
      </c>
      <c r="L158" s="41">
        <v>52996</v>
      </c>
      <c r="M158" s="41">
        <v>54875</v>
      </c>
      <c r="N158" s="41">
        <v>55574</v>
      </c>
      <c r="O158" s="41">
        <v>55723</v>
      </c>
      <c r="P158" s="41">
        <v>67306</v>
      </c>
      <c r="Q158" s="41">
        <v>60962</v>
      </c>
      <c r="R158" s="38"/>
    </row>
    <row r="159" spans="1:18">
      <c r="A159" s="37">
        <f>'BASE PERIOD'!A161</f>
        <v>588100</v>
      </c>
      <c r="B159" s="36" t="str">
        <f>'BASE PERIOD'!B161</f>
        <v>Misc Distribution Exp-Other</v>
      </c>
      <c r="C159" s="37" t="str">
        <f>'BASE PERIOD'!C161</f>
        <v>DO</v>
      </c>
      <c r="D159" s="37">
        <f t="shared" si="20"/>
        <v>588</v>
      </c>
      <c r="E159" s="166">
        <f t="shared" si="22"/>
        <v>2022105</v>
      </c>
      <c r="F159" s="41">
        <v>158961</v>
      </c>
      <c r="G159" s="41">
        <v>163866</v>
      </c>
      <c r="H159" s="41">
        <v>156389</v>
      </c>
      <c r="I159" s="41">
        <v>198179</v>
      </c>
      <c r="J159" s="41">
        <v>174635</v>
      </c>
      <c r="K159" s="41">
        <v>199777</v>
      </c>
      <c r="L159" s="41">
        <v>137586</v>
      </c>
      <c r="M159" s="41">
        <v>140126</v>
      </c>
      <c r="N159" s="41">
        <v>141990</v>
      </c>
      <c r="O159" s="41">
        <v>155274</v>
      </c>
      <c r="P159" s="41">
        <v>211094</v>
      </c>
      <c r="Q159" s="41">
        <v>184228</v>
      </c>
      <c r="R159" s="38"/>
    </row>
    <row r="160" spans="1:18">
      <c r="A160" s="37">
        <v>588300</v>
      </c>
      <c r="B160" s="36" t="s">
        <v>178</v>
      </c>
      <c r="C160" s="37" t="str">
        <f>'BASE PERIOD'!C162</f>
        <v>DO</v>
      </c>
      <c r="D160" s="37">
        <f t="shared" si="20"/>
        <v>588</v>
      </c>
      <c r="E160" s="166">
        <f t="shared" ref="E160:E161" si="23">SUM(F160:Q160)</f>
        <v>0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1">
        <v>0</v>
      </c>
      <c r="N160" s="41">
        <v>0</v>
      </c>
      <c r="O160" s="41">
        <v>0</v>
      </c>
      <c r="P160" s="41">
        <v>0</v>
      </c>
      <c r="Q160" s="41">
        <v>0</v>
      </c>
      <c r="R160" s="38"/>
    </row>
    <row r="161" spans="1:18">
      <c r="A161" s="37">
        <v>588700</v>
      </c>
      <c r="B161" s="36" t="s">
        <v>179</v>
      </c>
      <c r="C161" s="37" t="s">
        <v>315</v>
      </c>
      <c r="D161" s="37">
        <f t="shared" si="20"/>
        <v>588</v>
      </c>
      <c r="E161" s="166">
        <f t="shared" si="23"/>
        <v>0</v>
      </c>
      <c r="F161" s="41">
        <v>0</v>
      </c>
      <c r="G161" s="41"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0</v>
      </c>
      <c r="N161" s="41">
        <v>0</v>
      </c>
      <c r="O161" s="41">
        <v>0</v>
      </c>
      <c r="P161" s="41">
        <v>0</v>
      </c>
      <c r="Q161" s="41">
        <v>0</v>
      </c>
      <c r="R161" s="38"/>
    </row>
    <row r="162" spans="1:18">
      <c r="A162" s="37">
        <f>'BASE PERIOD'!A164</f>
        <v>589000</v>
      </c>
      <c r="B162" s="36" t="str">
        <f>'BASE PERIOD'!B164</f>
        <v>Rents-Dist Oper</v>
      </c>
      <c r="C162" s="37" t="str">
        <f>'BASE PERIOD'!C164</f>
        <v>DO</v>
      </c>
      <c r="D162" s="37">
        <f t="shared" si="20"/>
        <v>589</v>
      </c>
      <c r="E162" s="166">
        <f t="shared" si="22"/>
        <v>0</v>
      </c>
      <c r="F162" s="41">
        <v>0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38"/>
    </row>
    <row r="163" spans="1:18">
      <c r="A163" s="37">
        <v>590000</v>
      </c>
      <c r="B163" s="36" t="s">
        <v>181</v>
      </c>
      <c r="C163" s="37" t="str">
        <f>'BASE PERIOD'!C165</f>
        <v>DM</v>
      </c>
      <c r="D163" s="37">
        <f t="shared" si="20"/>
        <v>590</v>
      </c>
      <c r="E163" s="166">
        <f t="shared" ref="E163" si="24">SUM(F163:Q163)</f>
        <v>11520</v>
      </c>
      <c r="F163" s="41">
        <v>960</v>
      </c>
      <c r="G163" s="41">
        <v>960</v>
      </c>
      <c r="H163" s="41">
        <v>960</v>
      </c>
      <c r="I163" s="41">
        <v>960</v>
      </c>
      <c r="J163" s="41">
        <v>960</v>
      </c>
      <c r="K163" s="41">
        <v>960</v>
      </c>
      <c r="L163" s="41">
        <v>960</v>
      </c>
      <c r="M163" s="41">
        <v>960</v>
      </c>
      <c r="N163" s="41">
        <v>960</v>
      </c>
      <c r="O163" s="41">
        <v>960</v>
      </c>
      <c r="P163" s="41">
        <v>960</v>
      </c>
      <c r="Q163" s="41">
        <v>960</v>
      </c>
      <c r="R163" s="38"/>
    </row>
    <row r="164" spans="1:18">
      <c r="A164" s="37">
        <f>'BASE PERIOD'!A166</f>
        <v>591000</v>
      </c>
      <c r="B164" s="36" t="str">
        <f>'BASE PERIOD'!B166</f>
        <v>Maintenance of Structures-Dist</v>
      </c>
      <c r="C164" s="37" t="str">
        <f>'BASE PERIOD'!C166</f>
        <v>DM</v>
      </c>
      <c r="D164" s="37">
        <f t="shared" si="20"/>
        <v>591</v>
      </c>
      <c r="E164" s="166">
        <f t="shared" si="22"/>
        <v>7860</v>
      </c>
      <c r="F164" s="41">
        <v>492</v>
      </c>
      <c r="G164" s="41">
        <v>460</v>
      </c>
      <c r="H164" s="41">
        <v>359</v>
      </c>
      <c r="I164" s="41">
        <v>2247</v>
      </c>
      <c r="J164" s="41">
        <v>822</v>
      </c>
      <c r="K164" s="41">
        <v>573</v>
      </c>
      <c r="L164" s="41">
        <v>410</v>
      </c>
      <c r="M164" s="41">
        <v>592</v>
      </c>
      <c r="N164" s="41">
        <v>352</v>
      </c>
      <c r="O164" s="41">
        <v>347</v>
      </c>
      <c r="P164" s="41">
        <v>794</v>
      </c>
      <c r="Q164" s="41">
        <v>412</v>
      </c>
      <c r="R164" s="38"/>
    </row>
    <row r="165" spans="1:18">
      <c r="A165" s="37">
        <f>'BASE PERIOD'!A167</f>
        <v>592100</v>
      </c>
      <c r="B165" s="36" t="str">
        <f>'BASE PERIOD'!B167</f>
        <v>Maint Station Equip-Other-Dist</v>
      </c>
      <c r="C165" s="37" t="str">
        <f>'BASE PERIOD'!C167</f>
        <v>DM</v>
      </c>
      <c r="D165" s="37">
        <f t="shared" si="20"/>
        <v>592</v>
      </c>
      <c r="E165" s="166">
        <f t="shared" si="22"/>
        <v>85444</v>
      </c>
      <c r="F165" s="41">
        <v>5186</v>
      </c>
      <c r="G165" s="41">
        <v>5099</v>
      </c>
      <c r="H165" s="41">
        <v>5462</v>
      </c>
      <c r="I165" s="41">
        <v>9992</v>
      </c>
      <c r="J165" s="41">
        <v>5536</v>
      </c>
      <c r="K165" s="41">
        <v>4362</v>
      </c>
      <c r="L165" s="41">
        <v>8177</v>
      </c>
      <c r="M165" s="41">
        <v>7483</v>
      </c>
      <c r="N165" s="41">
        <v>7237</v>
      </c>
      <c r="O165" s="41">
        <v>7782</v>
      </c>
      <c r="P165" s="41">
        <v>11336</v>
      </c>
      <c r="Q165" s="41">
        <v>7792</v>
      </c>
      <c r="R165" s="38"/>
    </row>
    <row r="166" spans="1:18">
      <c r="A166" s="37">
        <f>'BASE PERIOD'!A168</f>
        <v>592200</v>
      </c>
      <c r="B166" s="36" t="str">
        <f>'BASE PERIOD'!B168</f>
        <v>Cir BrkrsTrnsf Mters Rely-Dist</v>
      </c>
      <c r="C166" s="37" t="str">
        <f>'BASE PERIOD'!C168</f>
        <v>DM</v>
      </c>
      <c r="D166" s="37">
        <f t="shared" si="20"/>
        <v>592</v>
      </c>
      <c r="E166" s="166">
        <f>SUM(F166:Q166)</f>
        <v>236729</v>
      </c>
      <c r="F166" s="41">
        <v>19543</v>
      </c>
      <c r="G166" s="41">
        <v>21038</v>
      </c>
      <c r="H166" s="41">
        <v>16709</v>
      </c>
      <c r="I166" s="41">
        <v>25791</v>
      </c>
      <c r="J166" s="41">
        <v>18796</v>
      </c>
      <c r="K166" s="41">
        <v>16783</v>
      </c>
      <c r="L166" s="41">
        <v>18739</v>
      </c>
      <c r="M166" s="41">
        <v>16903</v>
      </c>
      <c r="N166" s="41">
        <v>17348</v>
      </c>
      <c r="O166" s="41">
        <v>18674</v>
      </c>
      <c r="P166" s="41">
        <v>26997</v>
      </c>
      <c r="Q166" s="41">
        <v>19408</v>
      </c>
      <c r="R166" s="38"/>
    </row>
    <row r="167" spans="1:18">
      <c r="A167" s="37">
        <f>'BASE PERIOD'!A169</f>
        <v>593000</v>
      </c>
      <c r="B167" s="36" t="str">
        <f>'BASE PERIOD'!B169</f>
        <v>Maint Overhd Lines-Other-Dist</v>
      </c>
      <c r="C167" s="37" t="str">
        <f>'BASE PERIOD'!C169</f>
        <v>DM</v>
      </c>
      <c r="D167" s="37">
        <f t="shared" si="20"/>
        <v>593</v>
      </c>
      <c r="E167" s="166">
        <f t="shared" si="22"/>
        <v>3197149</v>
      </c>
      <c r="F167" s="41">
        <v>599088</v>
      </c>
      <c r="G167" s="41">
        <v>208408</v>
      </c>
      <c r="H167" s="41">
        <v>294399</v>
      </c>
      <c r="I167" s="41">
        <v>230221</v>
      </c>
      <c r="J167" s="41">
        <v>205080</v>
      </c>
      <c r="K167" s="41">
        <v>185837</v>
      </c>
      <c r="L167" s="41">
        <v>160446</v>
      </c>
      <c r="M167" s="41">
        <v>211242</v>
      </c>
      <c r="N167" s="41">
        <v>252003</v>
      </c>
      <c r="O167" s="41">
        <v>333330</v>
      </c>
      <c r="P167" s="41">
        <v>232109</v>
      </c>
      <c r="Q167" s="41">
        <v>284986</v>
      </c>
      <c r="R167" s="38"/>
    </row>
    <row r="168" spans="1:18">
      <c r="A168" s="37">
        <f>'BASE PERIOD'!A170</f>
        <v>593100</v>
      </c>
      <c r="B168" s="36" t="str">
        <f>'BASE PERIOD'!B170</f>
        <v>Right-of-Way Maintenance-Dist</v>
      </c>
      <c r="C168" s="37" t="str">
        <f>'BASE PERIOD'!C170</f>
        <v>DM</v>
      </c>
      <c r="D168" s="37">
        <f t="shared" si="20"/>
        <v>593</v>
      </c>
      <c r="E168" s="166">
        <f t="shared" si="22"/>
        <v>4954953</v>
      </c>
      <c r="F168" s="41">
        <v>366554</v>
      </c>
      <c r="G168" s="41">
        <v>366554</v>
      </c>
      <c r="H168" s="41">
        <v>427309</v>
      </c>
      <c r="I168" s="41">
        <v>427200</v>
      </c>
      <c r="J168" s="41">
        <v>440499</v>
      </c>
      <c r="K168" s="41">
        <v>440571</v>
      </c>
      <c r="L168" s="41">
        <v>423414</v>
      </c>
      <c r="M168" s="41">
        <v>439374</v>
      </c>
      <c r="N168" s="41">
        <v>438228</v>
      </c>
      <c r="O168" s="41">
        <v>438228</v>
      </c>
      <c r="P168" s="41">
        <v>381399</v>
      </c>
      <c r="Q168" s="41">
        <v>365623</v>
      </c>
      <c r="R168" s="38"/>
    </row>
    <row r="169" spans="1:18">
      <c r="A169" s="37">
        <f>'BASE PERIOD'!A171</f>
        <v>594000</v>
      </c>
      <c r="B169" s="36" t="str">
        <f>'BASE PERIOD'!B171</f>
        <v>Maint-Underground Lines-Dist</v>
      </c>
      <c r="C169" s="37" t="str">
        <f>'BASE PERIOD'!C171</f>
        <v>DM</v>
      </c>
      <c r="D169" s="37">
        <f t="shared" si="20"/>
        <v>594</v>
      </c>
      <c r="E169" s="166">
        <f t="shared" si="22"/>
        <v>106096</v>
      </c>
      <c r="F169" s="41">
        <v>8932</v>
      </c>
      <c r="G169" s="41">
        <v>6364</v>
      </c>
      <c r="H169" s="41">
        <v>6862</v>
      </c>
      <c r="I169" s="41">
        <v>11498</v>
      </c>
      <c r="J169" s="41">
        <v>6903</v>
      </c>
      <c r="K169" s="41">
        <v>6004</v>
      </c>
      <c r="L169" s="41">
        <v>11342</v>
      </c>
      <c r="M169" s="41">
        <v>6672</v>
      </c>
      <c r="N169" s="41">
        <v>9876</v>
      </c>
      <c r="O169" s="41">
        <v>7056</v>
      </c>
      <c r="P169" s="41">
        <v>15296</v>
      </c>
      <c r="Q169" s="41">
        <v>9291</v>
      </c>
      <c r="R169" s="38"/>
    </row>
    <row r="170" spans="1:18">
      <c r="A170" s="37">
        <f>'BASE PERIOD'!A172</f>
        <v>595100</v>
      </c>
      <c r="B170" s="36" t="str">
        <f>'BASE PERIOD'!B172</f>
        <v>Maint Line Transfrs-Other-Dist</v>
      </c>
      <c r="C170" s="37" t="str">
        <f>'BASE PERIOD'!C172</f>
        <v>DM</v>
      </c>
      <c r="D170" s="37">
        <f t="shared" si="20"/>
        <v>595</v>
      </c>
      <c r="E170" s="166">
        <f t="shared" si="22"/>
        <v>0</v>
      </c>
      <c r="F170" s="41">
        <v>0</v>
      </c>
      <c r="G170" s="41">
        <v>0</v>
      </c>
      <c r="H170" s="41">
        <v>0</v>
      </c>
      <c r="I170" s="41">
        <v>0</v>
      </c>
      <c r="J170" s="41">
        <v>0</v>
      </c>
      <c r="K170" s="41">
        <v>0</v>
      </c>
      <c r="L170" s="41">
        <v>0</v>
      </c>
      <c r="M170" s="41">
        <v>0</v>
      </c>
      <c r="N170" s="41">
        <v>0</v>
      </c>
      <c r="O170" s="41">
        <v>0</v>
      </c>
      <c r="P170" s="41">
        <v>0</v>
      </c>
      <c r="Q170" s="41">
        <v>0</v>
      </c>
      <c r="R170" s="38"/>
    </row>
    <row r="171" spans="1:18">
      <c r="A171" s="37">
        <f>'BASE PERIOD'!A173</f>
        <v>596000</v>
      </c>
      <c r="B171" s="36" t="str">
        <f>'BASE PERIOD'!B173</f>
        <v>Maint-StreetLightng/Signl-Dist</v>
      </c>
      <c r="C171" s="37" t="str">
        <f>'BASE PERIOD'!C173</f>
        <v>DM</v>
      </c>
      <c r="D171" s="37">
        <f t="shared" si="20"/>
        <v>596</v>
      </c>
      <c r="E171" s="166">
        <f t="shared" si="22"/>
        <v>293324</v>
      </c>
      <c r="F171" s="41">
        <v>16589</v>
      </c>
      <c r="G171" s="41">
        <v>20441</v>
      </c>
      <c r="H171" s="41">
        <v>19157</v>
      </c>
      <c r="I171" s="41">
        <v>26159</v>
      </c>
      <c r="J171" s="41">
        <v>44172</v>
      </c>
      <c r="K171" s="41">
        <v>48026</v>
      </c>
      <c r="L171" s="41">
        <v>26467</v>
      </c>
      <c r="M171" s="41">
        <v>19460</v>
      </c>
      <c r="N171" s="41">
        <v>21248</v>
      </c>
      <c r="O171" s="41">
        <v>22155</v>
      </c>
      <c r="P171" s="41">
        <v>11008</v>
      </c>
      <c r="Q171" s="41">
        <v>18442</v>
      </c>
      <c r="R171" s="38"/>
    </row>
    <row r="172" spans="1:18">
      <c r="A172" s="37">
        <f>'BASE PERIOD'!A174</f>
        <v>597000</v>
      </c>
      <c r="B172" s="36" t="str">
        <f>'BASE PERIOD'!B174</f>
        <v>Maintenance of Meters-Dist</v>
      </c>
      <c r="C172" s="37" t="str">
        <f>'BASE PERIOD'!C174</f>
        <v>DM</v>
      </c>
      <c r="D172" s="37">
        <f t="shared" si="20"/>
        <v>597</v>
      </c>
      <c r="E172" s="166">
        <f t="shared" si="22"/>
        <v>430329</v>
      </c>
      <c r="F172" s="41">
        <v>34262</v>
      </c>
      <c r="G172" s="41">
        <v>34262</v>
      </c>
      <c r="H172" s="41">
        <v>34262</v>
      </c>
      <c r="I172" s="41">
        <v>40087</v>
      </c>
      <c r="J172" s="41">
        <v>36796</v>
      </c>
      <c r="K172" s="41">
        <v>34262</v>
      </c>
      <c r="L172" s="41">
        <v>33944</v>
      </c>
      <c r="M172" s="41">
        <v>33944</v>
      </c>
      <c r="N172" s="41">
        <v>34867</v>
      </c>
      <c r="O172" s="41">
        <v>35027</v>
      </c>
      <c r="P172" s="41">
        <v>43589</v>
      </c>
      <c r="Q172" s="41">
        <v>35027</v>
      </c>
      <c r="R172" s="38"/>
    </row>
    <row r="173" spans="1:18">
      <c r="A173" s="37">
        <f>'BASE PERIOD'!A175</f>
        <v>598100</v>
      </c>
      <c r="B173" s="36" t="str">
        <f>'BASE PERIOD'!B175</f>
        <v>Main Misc Dist Plt - Other - Dist</v>
      </c>
      <c r="C173" s="37" t="str">
        <f>'BASE PERIOD'!C175</f>
        <v>DM</v>
      </c>
      <c r="D173" s="37">
        <f t="shared" ref="D173" si="25">VALUE(LEFT(A173,3))</f>
        <v>598</v>
      </c>
      <c r="E173" s="166">
        <f t="shared" ref="E173" si="26">SUM(F173:Q173)</f>
        <v>19105</v>
      </c>
      <c r="F173" s="41">
        <v>1540</v>
      </c>
      <c r="G173" s="41">
        <v>1540</v>
      </c>
      <c r="H173" s="41">
        <v>1540</v>
      </c>
      <c r="I173" s="41">
        <v>1556</v>
      </c>
      <c r="J173" s="41">
        <v>1834</v>
      </c>
      <c r="K173" s="41">
        <v>1540</v>
      </c>
      <c r="L173" s="41">
        <v>1540</v>
      </c>
      <c r="M173" s="41">
        <v>1540</v>
      </c>
      <c r="N173" s="41">
        <v>1541</v>
      </c>
      <c r="O173" s="41">
        <v>1541</v>
      </c>
      <c r="P173" s="41">
        <v>1852</v>
      </c>
      <c r="Q173" s="41">
        <v>1541</v>
      </c>
      <c r="R173" s="38"/>
    </row>
    <row r="174" spans="1:18">
      <c r="A174" s="37">
        <f>'BASE PERIOD'!A176</f>
        <v>901000</v>
      </c>
      <c r="B174" s="36" t="str">
        <f>'BASE PERIOD'!B176</f>
        <v>Supervision-Cust Accts</v>
      </c>
      <c r="C174" s="37" t="str">
        <f>'BASE PERIOD'!C176</f>
        <v>CO</v>
      </c>
      <c r="D174" s="37">
        <f t="shared" si="20"/>
        <v>901</v>
      </c>
      <c r="E174" s="166">
        <f t="shared" si="22"/>
        <v>83817</v>
      </c>
      <c r="F174" s="41">
        <v>6770</v>
      </c>
      <c r="G174" s="41">
        <v>6770</v>
      </c>
      <c r="H174" s="41">
        <v>6770</v>
      </c>
      <c r="I174" s="41">
        <v>7467</v>
      </c>
      <c r="J174" s="41">
        <v>7099</v>
      </c>
      <c r="K174" s="41">
        <v>6770</v>
      </c>
      <c r="L174" s="41">
        <v>6702</v>
      </c>
      <c r="M174" s="41">
        <v>6702</v>
      </c>
      <c r="N174" s="41">
        <v>6915</v>
      </c>
      <c r="O174" s="41">
        <v>6934</v>
      </c>
      <c r="P174" s="41">
        <v>7984</v>
      </c>
      <c r="Q174" s="41">
        <v>6934</v>
      </c>
      <c r="R174" s="38"/>
    </row>
    <row r="175" spans="1:18">
      <c r="A175" s="37">
        <f>'BASE PERIOD'!A177</f>
        <v>902000</v>
      </c>
      <c r="B175" s="36" t="str">
        <f>'BASE PERIOD'!B177</f>
        <v>Meter Reading Expense</v>
      </c>
      <c r="C175" s="37" t="str">
        <f>'BASE PERIOD'!C177</f>
        <v>CO</v>
      </c>
      <c r="D175" s="37">
        <f t="shared" si="20"/>
        <v>902</v>
      </c>
      <c r="E175" s="166">
        <f t="shared" si="22"/>
        <v>147507</v>
      </c>
      <c r="F175" s="41">
        <v>11312</v>
      </c>
      <c r="G175" s="41">
        <v>11312</v>
      </c>
      <c r="H175" s="41">
        <v>11312</v>
      </c>
      <c r="I175" s="41">
        <v>15711</v>
      </c>
      <c r="J175" s="41">
        <v>12108</v>
      </c>
      <c r="K175" s="41">
        <v>11312</v>
      </c>
      <c r="L175" s="41">
        <v>11265</v>
      </c>
      <c r="M175" s="41">
        <v>11265</v>
      </c>
      <c r="N175" s="41">
        <v>11605</v>
      </c>
      <c r="O175" s="41">
        <v>11652</v>
      </c>
      <c r="P175" s="41">
        <v>17001</v>
      </c>
      <c r="Q175" s="41">
        <v>11652</v>
      </c>
      <c r="R175" s="38"/>
    </row>
    <row r="176" spans="1:18">
      <c r="A176" s="37">
        <f>'BASE PERIOD'!A178</f>
        <v>903000</v>
      </c>
      <c r="B176" s="36" t="str">
        <f>'BASE PERIOD'!B178</f>
        <v>Cust Records &amp; Collection Exp</v>
      </c>
      <c r="C176" s="37" t="str">
        <f>'BASE PERIOD'!C178</f>
        <v>CO</v>
      </c>
      <c r="D176" s="37">
        <f t="shared" si="20"/>
        <v>903</v>
      </c>
      <c r="E176" s="166">
        <f t="shared" si="22"/>
        <v>1435270</v>
      </c>
      <c r="F176" s="41">
        <v>113972</v>
      </c>
      <c r="G176" s="41">
        <v>124441</v>
      </c>
      <c r="H176" s="41">
        <v>100222</v>
      </c>
      <c r="I176" s="41">
        <v>126101</v>
      </c>
      <c r="J176" s="41">
        <v>107910</v>
      </c>
      <c r="K176" s="41">
        <v>101101</v>
      </c>
      <c r="L176" s="41">
        <v>206602</v>
      </c>
      <c r="M176" s="41">
        <v>114635</v>
      </c>
      <c r="N176" s="41">
        <v>101337</v>
      </c>
      <c r="O176" s="41">
        <v>106996</v>
      </c>
      <c r="P176" s="41">
        <v>124890</v>
      </c>
      <c r="Q176" s="41">
        <v>107063</v>
      </c>
      <c r="R176" s="38"/>
    </row>
    <row r="177" spans="1:18">
      <c r="A177" s="37">
        <f>'BASE PERIOD'!A179</f>
        <v>903100</v>
      </c>
      <c r="B177" s="36" t="str">
        <f>'BASE PERIOD'!B179</f>
        <v>Cust Contracts &amp; Orders-Local</v>
      </c>
      <c r="C177" s="37" t="str">
        <f>'BASE PERIOD'!C179</f>
        <v>CO</v>
      </c>
      <c r="D177" s="37">
        <f t="shared" si="20"/>
        <v>903</v>
      </c>
      <c r="E177" s="166">
        <f t="shared" si="22"/>
        <v>712724</v>
      </c>
      <c r="F177" s="41">
        <v>60084</v>
      </c>
      <c r="G177" s="41">
        <v>58362</v>
      </c>
      <c r="H177" s="41">
        <v>56185</v>
      </c>
      <c r="I177" s="41">
        <v>62355</v>
      </c>
      <c r="J177" s="41">
        <v>50937</v>
      </c>
      <c r="K177" s="41">
        <v>56578</v>
      </c>
      <c r="L177" s="41">
        <v>61940</v>
      </c>
      <c r="M177" s="41">
        <v>63282</v>
      </c>
      <c r="N177" s="41">
        <v>57813</v>
      </c>
      <c r="O177" s="41">
        <v>62838</v>
      </c>
      <c r="P177" s="41">
        <v>63659</v>
      </c>
      <c r="Q177" s="41">
        <v>58691</v>
      </c>
      <c r="R177" s="38"/>
    </row>
    <row r="178" spans="1:18">
      <c r="A178" s="37">
        <f>'BASE PERIOD'!A180</f>
        <v>903200</v>
      </c>
      <c r="B178" s="36" t="str">
        <f>'BASE PERIOD'!B180</f>
        <v>Cust Billing &amp; Acct</v>
      </c>
      <c r="C178" s="37" t="str">
        <f>'BASE PERIOD'!C180</f>
        <v>CO</v>
      </c>
      <c r="D178" s="37">
        <f t="shared" si="20"/>
        <v>903</v>
      </c>
      <c r="E178" s="166">
        <f t="shared" si="22"/>
        <v>849904</v>
      </c>
      <c r="F178" s="41">
        <v>70839</v>
      </c>
      <c r="G178" s="41">
        <v>69211</v>
      </c>
      <c r="H178" s="41">
        <v>67151</v>
      </c>
      <c r="I178" s="41">
        <v>75939</v>
      </c>
      <c r="J178" s="41">
        <v>61854</v>
      </c>
      <c r="K178" s="41">
        <v>67522</v>
      </c>
      <c r="L178" s="41">
        <v>72534</v>
      </c>
      <c r="M178" s="41">
        <v>73803</v>
      </c>
      <c r="N178" s="41">
        <v>69046</v>
      </c>
      <c r="O178" s="41">
        <v>73799</v>
      </c>
      <c r="P178" s="41">
        <v>78332</v>
      </c>
      <c r="Q178" s="41">
        <v>69874</v>
      </c>
      <c r="R178" s="38"/>
    </row>
    <row r="179" spans="1:18">
      <c r="A179" s="37">
        <f>'BASE PERIOD'!A181</f>
        <v>903300</v>
      </c>
      <c r="B179" s="36" t="str">
        <f>'BASE PERIOD'!B181</f>
        <v>Cust Collecting-Local</v>
      </c>
      <c r="C179" s="37" t="str">
        <f>'BASE PERIOD'!C181</f>
        <v>CO</v>
      </c>
      <c r="D179" s="37">
        <f t="shared" si="20"/>
        <v>903</v>
      </c>
      <c r="E179" s="166">
        <f t="shared" si="22"/>
        <v>656159</v>
      </c>
      <c r="F179" s="41">
        <v>51974</v>
      </c>
      <c r="G179" s="41">
        <v>50667</v>
      </c>
      <c r="H179" s="41">
        <v>49019</v>
      </c>
      <c r="I179" s="41">
        <v>55248</v>
      </c>
      <c r="J179" s="41">
        <v>44530</v>
      </c>
      <c r="K179" s="41">
        <v>49258</v>
      </c>
      <c r="L179" s="41">
        <v>64540</v>
      </c>
      <c r="M179" s="41">
        <v>65850</v>
      </c>
      <c r="N179" s="41">
        <v>62850</v>
      </c>
      <c r="O179" s="41">
        <v>54684</v>
      </c>
      <c r="P179" s="41">
        <v>56500</v>
      </c>
      <c r="Q179" s="41">
        <v>51039</v>
      </c>
      <c r="R179" s="38"/>
    </row>
    <row r="180" spans="1:18">
      <c r="A180" s="37">
        <f>'BASE PERIOD'!A182</f>
        <v>903400</v>
      </c>
      <c r="B180" s="36" t="str">
        <f>'BASE PERIOD'!B182</f>
        <v>Cust Receiv &amp; Collect Exp-Edp</v>
      </c>
      <c r="C180" s="37" t="str">
        <f>'BASE PERIOD'!C182</f>
        <v>CO</v>
      </c>
      <c r="D180" s="37">
        <f t="shared" si="20"/>
        <v>903</v>
      </c>
      <c r="E180" s="166">
        <f t="shared" si="22"/>
        <v>80259</v>
      </c>
      <c r="F180" s="41">
        <v>7052</v>
      </c>
      <c r="G180" s="41">
        <v>6987</v>
      </c>
      <c r="H180" s="41">
        <v>6538</v>
      </c>
      <c r="I180" s="41">
        <v>6572</v>
      </c>
      <c r="J180" s="41">
        <v>6508</v>
      </c>
      <c r="K180" s="41">
        <v>6538</v>
      </c>
      <c r="L180" s="41">
        <v>6269</v>
      </c>
      <c r="M180" s="41">
        <v>6269</v>
      </c>
      <c r="N180" s="41">
        <v>6285</v>
      </c>
      <c r="O180" s="41">
        <v>6887</v>
      </c>
      <c r="P180" s="41">
        <v>7363</v>
      </c>
      <c r="Q180" s="41">
        <v>6991</v>
      </c>
      <c r="R180" s="38"/>
    </row>
    <row r="181" spans="1:18">
      <c r="A181" s="37">
        <f>'BASE PERIOD'!A183</f>
        <v>903891</v>
      </c>
      <c r="B181" s="36" t="str">
        <f>'BASE PERIOD'!B183</f>
        <v>IC Collection Agent Revenue</v>
      </c>
      <c r="C181" s="37" t="str">
        <f>'BASE PERIOD'!C183</f>
        <v>CO</v>
      </c>
      <c r="D181" s="37">
        <f t="shared" si="20"/>
        <v>903</v>
      </c>
      <c r="E181" s="166">
        <f>SUM(F181:Q181)</f>
        <v>0</v>
      </c>
      <c r="F181" s="41">
        <v>0</v>
      </c>
      <c r="G181" s="41">
        <v>0</v>
      </c>
      <c r="H181" s="41">
        <v>0</v>
      </c>
      <c r="I181" s="41">
        <v>0</v>
      </c>
      <c r="J181" s="41">
        <v>0</v>
      </c>
      <c r="K181" s="41">
        <v>0</v>
      </c>
      <c r="L181" s="41">
        <v>0</v>
      </c>
      <c r="M181" s="41">
        <v>0</v>
      </c>
      <c r="N181" s="41">
        <v>0</v>
      </c>
      <c r="O181" s="41">
        <v>0</v>
      </c>
      <c r="P181" s="41">
        <v>0</v>
      </c>
      <c r="Q181" s="41">
        <v>0</v>
      </c>
      <c r="R181" s="38"/>
    </row>
    <row r="182" spans="1:18">
      <c r="A182" s="37">
        <v>904000</v>
      </c>
      <c r="B182" s="36" t="s">
        <v>197</v>
      </c>
      <c r="C182" s="37" t="s">
        <v>283</v>
      </c>
      <c r="D182" s="37">
        <f t="shared" si="20"/>
        <v>904</v>
      </c>
      <c r="E182" s="166">
        <f>SUM(F182:Q182)</f>
        <v>2366517</v>
      </c>
      <c r="F182" s="41">
        <v>291745</v>
      </c>
      <c r="G182" s="41">
        <v>270229</v>
      </c>
      <c r="H182" s="41">
        <v>160115</v>
      </c>
      <c r="I182" s="41">
        <v>254360</v>
      </c>
      <c r="J182" s="41">
        <v>168740</v>
      </c>
      <c r="K182" s="41">
        <v>208675</v>
      </c>
      <c r="L182" s="41">
        <v>180541</v>
      </c>
      <c r="M182" s="41">
        <v>134432</v>
      </c>
      <c r="N182" s="41">
        <v>81960</v>
      </c>
      <c r="O182" s="41">
        <v>96167</v>
      </c>
      <c r="P182" s="41">
        <v>234270</v>
      </c>
      <c r="Q182" s="41">
        <v>285283</v>
      </c>
      <c r="R182" s="38"/>
    </row>
    <row r="183" spans="1:18">
      <c r="A183" s="37">
        <f>'BASE PERIOD'!A185</f>
        <v>904001</v>
      </c>
      <c r="B183" s="36" t="str">
        <f>'BASE PERIOD'!B185</f>
        <v>Bad Debt Expense</v>
      </c>
      <c r="C183" s="37" t="str">
        <f>'BASE PERIOD'!C185</f>
        <v>CO</v>
      </c>
      <c r="D183" s="37">
        <f t="shared" si="20"/>
        <v>904</v>
      </c>
      <c r="E183" s="166">
        <f t="shared" si="22"/>
        <v>0</v>
      </c>
      <c r="F183" s="41">
        <v>0</v>
      </c>
      <c r="G183" s="41">
        <v>0</v>
      </c>
      <c r="H183" s="41">
        <v>0</v>
      </c>
      <c r="I183" s="41">
        <v>0</v>
      </c>
      <c r="J183" s="41">
        <v>0</v>
      </c>
      <c r="K183" s="41">
        <v>0</v>
      </c>
      <c r="L183" s="41">
        <v>0</v>
      </c>
      <c r="M183" s="41">
        <v>0</v>
      </c>
      <c r="N183" s="41">
        <v>0</v>
      </c>
      <c r="O183" s="41">
        <v>0</v>
      </c>
      <c r="P183" s="41">
        <v>0</v>
      </c>
      <c r="Q183" s="41">
        <v>0</v>
      </c>
      <c r="R183" s="38"/>
    </row>
    <row r="184" spans="1:18">
      <c r="A184" s="37">
        <f>'BASE PERIOD'!A186</f>
        <v>904003</v>
      </c>
      <c r="B184" s="36" t="str">
        <f>'BASE PERIOD'!B186</f>
        <v>Cust Acctg-Loss On Sale-A/R</v>
      </c>
      <c r="C184" s="37" t="str">
        <f>'BASE PERIOD'!C186</f>
        <v>CO</v>
      </c>
      <c r="D184" s="37">
        <f t="shared" si="20"/>
        <v>904</v>
      </c>
      <c r="E184" s="166">
        <f t="shared" si="22"/>
        <v>0</v>
      </c>
      <c r="F184" s="41">
        <v>0</v>
      </c>
      <c r="G184" s="41">
        <v>0</v>
      </c>
      <c r="H184" s="41">
        <v>0</v>
      </c>
      <c r="I184" s="41">
        <v>0</v>
      </c>
      <c r="J184" s="41">
        <v>0</v>
      </c>
      <c r="K184" s="41">
        <v>0</v>
      </c>
      <c r="L184" s="41">
        <v>0</v>
      </c>
      <c r="M184" s="41">
        <v>0</v>
      </c>
      <c r="N184" s="41">
        <v>0</v>
      </c>
      <c r="O184" s="41">
        <v>0</v>
      </c>
      <c r="P184" s="41">
        <v>0</v>
      </c>
      <c r="Q184" s="41">
        <v>0</v>
      </c>
      <c r="R184" s="38"/>
    </row>
    <row r="185" spans="1:18">
      <c r="A185" s="37">
        <f>'BASE PERIOD'!A188</f>
        <v>905000</v>
      </c>
      <c r="B185" s="36" t="str">
        <f>'BASE PERIOD'!B188</f>
        <v>Misc Customer Accts Expenses</v>
      </c>
      <c r="C185" s="37" t="str">
        <f>'BASE PERIOD'!C188</f>
        <v>CO</v>
      </c>
      <c r="D185" s="37">
        <f t="shared" si="20"/>
        <v>905</v>
      </c>
      <c r="E185" s="166">
        <f t="shared" si="22"/>
        <v>0</v>
      </c>
      <c r="F185" s="41">
        <v>0</v>
      </c>
      <c r="G185" s="41">
        <v>0</v>
      </c>
      <c r="H185" s="41">
        <v>0</v>
      </c>
      <c r="I185" s="41">
        <v>0</v>
      </c>
      <c r="J185" s="41">
        <v>0</v>
      </c>
      <c r="K185" s="41">
        <v>0</v>
      </c>
      <c r="L185" s="41">
        <v>0</v>
      </c>
      <c r="M185" s="41">
        <v>0</v>
      </c>
      <c r="N185" s="41">
        <v>0</v>
      </c>
      <c r="O185" s="41">
        <v>0</v>
      </c>
      <c r="P185" s="41">
        <v>0</v>
      </c>
      <c r="Q185" s="41">
        <v>0</v>
      </c>
      <c r="R185" s="38"/>
    </row>
    <row r="186" spans="1:18">
      <c r="A186" s="37">
        <f>'BASE PERIOD'!A189</f>
        <v>908000</v>
      </c>
      <c r="B186" s="36" t="str">
        <f>'BASE PERIOD'!B189</f>
        <v>Cust Asst Exp-Conservation Pro</v>
      </c>
      <c r="C186" s="37" t="str">
        <f>'BASE PERIOD'!C189</f>
        <v>CSI</v>
      </c>
      <c r="D186" s="37">
        <f t="shared" si="20"/>
        <v>908</v>
      </c>
      <c r="E186" s="166">
        <f t="shared" si="22"/>
        <v>0</v>
      </c>
      <c r="F186" s="41">
        <v>0</v>
      </c>
      <c r="G186" s="41">
        <v>0</v>
      </c>
      <c r="H186" s="41">
        <v>0</v>
      </c>
      <c r="I186" s="41">
        <v>0</v>
      </c>
      <c r="J186" s="41">
        <v>0</v>
      </c>
      <c r="K186" s="41">
        <v>0</v>
      </c>
      <c r="L186" s="41">
        <v>0</v>
      </c>
      <c r="M186" s="41">
        <v>0</v>
      </c>
      <c r="N186" s="41">
        <v>0</v>
      </c>
      <c r="O186" s="41">
        <v>0</v>
      </c>
      <c r="P186" s="41">
        <v>0</v>
      </c>
      <c r="Q186" s="41">
        <v>0</v>
      </c>
      <c r="R186" s="38"/>
    </row>
    <row r="187" spans="1:18">
      <c r="A187" s="37">
        <f>'BASE PERIOD'!A190</f>
        <v>909650</v>
      </c>
      <c r="B187" s="36" t="str">
        <f>'BASE PERIOD'!B190</f>
        <v>Misc Advertising Expenses</v>
      </c>
      <c r="C187" s="37" t="str">
        <f>'BASE PERIOD'!C190</f>
        <v>CSI</v>
      </c>
      <c r="D187" s="37">
        <f t="shared" si="20"/>
        <v>909</v>
      </c>
      <c r="E187" s="166">
        <f t="shared" si="22"/>
        <v>0</v>
      </c>
      <c r="F187" s="41">
        <v>0</v>
      </c>
      <c r="G187" s="41">
        <v>0</v>
      </c>
      <c r="H187" s="41">
        <v>0</v>
      </c>
      <c r="I187" s="41">
        <v>0</v>
      </c>
      <c r="J187" s="41">
        <v>0</v>
      </c>
      <c r="K187" s="41">
        <v>0</v>
      </c>
      <c r="L187" s="41">
        <v>0</v>
      </c>
      <c r="M187" s="41">
        <v>0</v>
      </c>
      <c r="N187" s="41">
        <v>0</v>
      </c>
      <c r="O187" s="41">
        <v>0</v>
      </c>
      <c r="P187" s="41">
        <v>0</v>
      </c>
      <c r="Q187" s="41">
        <v>0</v>
      </c>
      <c r="R187" s="38"/>
    </row>
    <row r="188" spans="1:18">
      <c r="A188" s="37">
        <f>'BASE PERIOD'!A191</f>
        <v>910000</v>
      </c>
      <c r="B188" s="36" t="str">
        <f>'BASE PERIOD'!B191</f>
        <v>Misc Cust Serv/Inform Exp</v>
      </c>
      <c r="C188" s="37" t="str">
        <f>'BASE PERIOD'!C191</f>
        <v>CSI</v>
      </c>
      <c r="D188" s="37">
        <f t="shared" si="20"/>
        <v>910</v>
      </c>
      <c r="E188" s="166">
        <f t="shared" ref="E188:E232" si="27">SUM(F188:Q188)</f>
        <v>1474167</v>
      </c>
      <c r="F188" s="41">
        <v>121385</v>
      </c>
      <c r="G188" s="41">
        <v>122995</v>
      </c>
      <c r="H188" s="41">
        <v>121063</v>
      </c>
      <c r="I188" s="41">
        <v>126935</v>
      </c>
      <c r="J188" s="41">
        <v>114501</v>
      </c>
      <c r="K188" s="41">
        <v>121843</v>
      </c>
      <c r="L188" s="41">
        <v>120044</v>
      </c>
      <c r="M188" s="41">
        <v>120109</v>
      </c>
      <c r="N188" s="41">
        <v>124490</v>
      </c>
      <c r="O188" s="41">
        <v>122677</v>
      </c>
      <c r="P188" s="41">
        <v>133486</v>
      </c>
      <c r="Q188" s="41">
        <v>124639</v>
      </c>
      <c r="R188" s="38"/>
    </row>
    <row r="189" spans="1:18">
      <c r="A189" s="37">
        <f>'BASE PERIOD'!A192</f>
        <v>910100</v>
      </c>
      <c r="B189" s="36" t="str">
        <f>'BASE PERIOD'!B192</f>
        <v>Exp-Rs Reg Prod/Svces-CstAccts</v>
      </c>
      <c r="C189" s="37" t="str">
        <f>'BASE PERIOD'!C192</f>
        <v>CSI</v>
      </c>
      <c r="D189" s="37">
        <f t="shared" si="20"/>
        <v>910</v>
      </c>
      <c r="E189" s="166">
        <f t="shared" si="27"/>
        <v>40113</v>
      </c>
      <c r="F189" s="41">
        <v>830</v>
      </c>
      <c r="G189" s="41">
        <v>-1426</v>
      </c>
      <c r="H189" s="41">
        <v>-2433</v>
      </c>
      <c r="I189" s="41">
        <v>1307</v>
      </c>
      <c r="J189" s="41">
        <v>23608</v>
      </c>
      <c r="K189" s="41">
        <v>1482</v>
      </c>
      <c r="L189" s="41">
        <v>10495</v>
      </c>
      <c r="M189" s="41">
        <v>-3268</v>
      </c>
      <c r="N189" s="41">
        <v>1404</v>
      </c>
      <c r="O189" s="41">
        <v>2280</v>
      </c>
      <c r="P189" s="41">
        <v>2280</v>
      </c>
      <c r="Q189" s="41">
        <v>3554</v>
      </c>
      <c r="R189" s="38"/>
    </row>
    <row r="190" spans="1:18">
      <c r="A190" s="37">
        <f>'BASE PERIOD'!A193</f>
        <v>911000</v>
      </c>
      <c r="B190" s="36" t="str">
        <f>'BASE PERIOD'!B193</f>
        <v>Supervision</v>
      </c>
      <c r="C190" s="37" t="str">
        <f>'BASE PERIOD'!C193</f>
        <v>CSI</v>
      </c>
      <c r="D190" s="37">
        <f t="shared" si="20"/>
        <v>911</v>
      </c>
      <c r="E190" s="166">
        <f t="shared" ref="E190" si="28">SUM(F190:Q190)</f>
        <v>0</v>
      </c>
      <c r="F190" s="41">
        <v>0</v>
      </c>
      <c r="G190" s="41">
        <v>0</v>
      </c>
      <c r="H190" s="41">
        <v>0</v>
      </c>
      <c r="I190" s="41">
        <v>0</v>
      </c>
      <c r="J190" s="41">
        <v>0</v>
      </c>
      <c r="K190" s="41">
        <v>0</v>
      </c>
      <c r="L190" s="41">
        <v>0</v>
      </c>
      <c r="M190" s="41">
        <v>0</v>
      </c>
      <c r="N190" s="41">
        <v>0</v>
      </c>
      <c r="O190" s="41">
        <v>0</v>
      </c>
      <c r="P190" s="41">
        <v>0</v>
      </c>
      <c r="Q190" s="41">
        <v>0</v>
      </c>
      <c r="R190" s="38"/>
    </row>
    <row r="191" spans="1:18">
      <c r="A191" s="37">
        <f>'BASE PERIOD'!A194</f>
        <v>912000</v>
      </c>
      <c r="B191" s="36" t="str">
        <f>'BASE PERIOD'!B194</f>
        <v>Demonstrating &amp; Selling Exp</v>
      </c>
      <c r="C191" s="37" t="str">
        <f>'BASE PERIOD'!C194</f>
        <v>SE</v>
      </c>
      <c r="D191" s="37">
        <f t="shared" si="20"/>
        <v>912</v>
      </c>
      <c r="E191" s="166">
        <f t="shared" si="27"/>
        <v>102807</v>
      </c>
      <c r="F191" s="41">
        <v>10431</v>
      </c>
      <c r="G191" s="41">
        <v>10431</v>
      </c>
      <c r="H191" s="41">
        <v>10429</v>
      </c>
      <c r="I191" s="41">
        <v>10432</v>
      </c>
      <c r="J191" s="41">
        <v>10431</v>
      </c>
      <c r="K191" s="41">
        <v>10434</v>
      </c>
      <c r="L191" s="41">
        <v>6587</v>
      </c>
      <c r="M191" s="41">
        <v>6554</v>
      </c>
      <c r="N191" s="41">
        <v>6770</v>
      </c>
      <c r="O191" s="41">
        <v>6768</v>
      </c>
      <c r="P191" s="41">
        <v>6771</v>
      </c>
      <c r="Q191" s="41">
        <v>6769</v>
      </c>
      <c r="R191" s="38"/>
    </row>
    <row r="192" spans="1:18">
      <c r="A192" s="37">
        <f>'BASE PERIOD'!A195</f>
        <v>913001</v>
      </c>
      <c r="B192" s="36" t="str">
        <f>'BASE PERIOD'!B195</f>
        <v>Advertising Expense</v>
      </c>
      <c r="C192" s="37" t="str">
        <f>'BASE PERIOD'!C195</f>
        <v>SE</v>
      </c>
      <c r="D192" s="37">
        <f t="shared" si="20"/>
        <v>913</v>
      </c>
      <c r="E192" s="166">
        <f t="shared" si="27"/>
        <v>153352</v>
      </c>
      <c r="F192" s="41">
        <v>12700</v>
      </c>
      <c r="G192" s="41">
        <v>12700</v>
      </c>
      <c r="H192" s="41">
        <v>12938</v>
      </c>
      <c r="I192" s="41">
        <v>12700</v>
      </c>
      <c r="J192" s="41">
        <v>12700</v>
      </c>
      <c r="K192" s="41">
        <v>12938</v>
      </c>
      <c r="L192" s="41">
        <v>12700</v>
      </c>
      <c r="M192" s="41">
        <v>12700</v>
      </c>
      <c r="N192" s="41">
        <v>12938</v>
      </c>
      <c r="O192" s="41">
        <v>12700</v>
      </c>
      <c r="P192" s="41">
        <v>12700</v>
      </c>
      <c r="Q192" s="41">
        <v>12938</v>
      </c>
      <c r="R192" s="38"/>
    </row>
    <row r="193" spans="1:18">
      <c r="A193" s="37">
        <f>'BASE PERIOD'!A196</f>
        <v>920000</v>
      </c>
      <c r="B193" s="36" t="str">
        <f>'BASE PERIOD'!B196</f>
        <v>A &amp; G Salaries</v>
      </c>
      <c r="C193" s="37" t="str">
        <f>'BASE PERIOD'!C196</f>
        <v>AGO</v>
      </c>
      <c r="D193" s="37">
        <f t="shared" si="20"/>
        <v>920</v>
      </c>
      <c r="E193" s="166">
        <f t="shared" si="27"/>
        <v>8788381</v>
      </c>
      <c r="F193" s="41">
        <v>725097</v>
      </c>
      <c r="G193" s="41">
        <v>721628</v>
      </c>
      <c r="H193" s="41">
        <v>917854</v>
      </c>
      <c r="I193" s="41">
        <v>735850</v>
      </c>
      <c r="J193" s="41">
        <v>720191</v>
      </c>
      <c r="K193" s="41">
        <v>595235</v>
      </c>
      <c r="L193" s="41">
        <v>695173</v>
      </c>
      <c r="M193" s="41">
        <v>692705</v>
      </c>
      <c r="N193" s="41">
        <v>929740</v>
      </c>
      <c r="O193" s="41">
        <v>722878</v>
      </c>
      <c r="P193" s="41">
        <v>735397</v>
      </c>
      <c r="Q193" s="41">
        <v>596633</v>
      </c>
      <c r="R193" s="38"/>
    </row>
    <row r="194" spans="1:18">
      <c r="A194" s="37">
        <f>'BASE PERIOD'!A197</f>
        <v>920100</v>
      </c>
      <c r="B194" s="36" t="str">
        <f>'BASE PERIOD'!B197</f>
        <v>Salaries &amp; Wages-Proj Supt-NCRC Rec</v>
      </c>
      <c r="C194" s="37" t="str">
        <f>'BASE PERIOD'!C197</f>
        <v>AGO</v>
      </c>
      <c r="D194" s="37">
        <f t="shared" ref="D194" si="29">VALUE(LEFT(A194,3))</f>
        <v>920</v>
      </c>
      <c r="E194" s="166">
        <f t="shared" ref="E194" si="30">SUM(F194:Q194)</f>
        <v>0</v>
      </c>
      <c r="F194" s="41">
        <v>0</v>
      </c>
      <c r="G194" s="41">
        <v>0</v>
      </c>
      <c r="H194" s="41">
        <v>0</v>
      </c>
      <c r="I194" s="41">
        <v>0</v>
      </c>
      <c r="J194" s="41">
        <v>0</v>
      </c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38"/>
    </row>
    <row r="195" spans="1:18">
      <c r="A195" s="37">
        <v>920300</v>
      </c>
      <c r="B195" s="36" t="s">
        <v>209</v>
      </c>
      <c r="C195" s="37" t="s">
        <v>323</v>
      </c>
      <c r="D195" s="37">
        <f t="shared" si="20"/>
        <v>920</v>
      </c>
      <c r="E195" s="166">
        <f t="shared" ref="E195" si="31">SUM(F195:Q195)</f>
        <v>0</v>
      </c>
      <c r="F195" s="41">
        <v>0</v>
      </c>
      <c r="G195" s="41">
        <v>0</v>
      </c>
      <c r="H195" s="41">
        <v>0</v>
      </c>
      <c r="I195" s="41">
        <v>0</v>
      </c>
      <c r="J195" s="41">
        <v>0</v>
      </c>
      <c r="K195" s="41">
        <v>0</v>
      </c>
      <c r="L195" s="41">
        <v>0</v>
      </c>
      <c r="M195" s="41">
        <v>0</v>
      </c>
      <c r="N195" s="41">
        <v>0</v>
      </c>
      <c r="O195" s="41">
        <v>0</v>
      </c>
      <c r="P195" s="41">
        <v>0</v>
      </c>
      <c r="Q195" s="41">
        <v>0</v>
      </c>
      <c r="R195" s="38"/>
    </row>
    <row r="196" spans="1:18">
      <c r="A196" s="37">
        <f>'BASE PERIOD'!A199</f>
        <v>921100</v>
      </c>
      <c r="B196" s="36" t="str">
        <f>'BASE PERIOD'!B199</f>
        <v>Employee Expenses</v>
      </c>
      <c r="C196" s="37" t="str">
        <f>'BASE PERIOD'!C199</f>
        <v>AGO</v>
      </c>
      <c r="D196" s="37">
        <f t="shared" si="20"/>
        <v>921</v>
      </c>
      <c r="E196" s="166">
        <f t="shared" si="27"/>
        <v>261531</v>
      </c>
      <c r="F196" s="41">
        <v>21071</v>
      </c>
      <c r="G196" s="41">
        <v>21393</v>
      </c>
      <c r="H196" s="41">
        <v>21714</v>
      </c>
      <c r="I196" s="41">
        <v>21087</v>
      </c>
      <c r="J196" s="41">
        <v>21213</v>
      </c>
      <c r="K196" s="41">
        <v>21249</v>
      </c>
      <c r="L196" s="41">
        <v>23106</v>
      </c>
      <c r="M196" s="41">
        <v>23436</v>
      </c>
      <c r="N196" s="41">
        <v>23857</v>
      </c>
      <c r="O196" s="41">
        <v>20799</v>
      </c>
      <c r="P196" s="41">
        <v>21192</v>
      </c>
      <c r="Q196" s="41">
        <v>21414</v>
      </c>
      <c r="R196" s="38"/>
    </row>
    <row r="197" spans="1:18">
      <c r="A197" s="37">
        <f>'BASE PERIOD'!A200</f>
        <v>921101</v>
      </c>
      <c r="B197" s="36" t="str">
        <f>'BASE PERIOD'!B200</f>
        <v>Employee Exp - NC</v>
      </c>
      <c r="C197" s="37" t="str">
        <f>'BASE PERIOD'!C200</f>
        <v>AGO</v>
      </c>
      <c r="D197" s="37">
        <f t="shared" si="20"/>
        <v>921</v>
      </c>
      <c r="E197" s="166">
        <f t="shared" si="27"/>
        <v>0</v>
      </c>
      <c r="F197" s="41">
        <v>0</v>
      </c>
      <c r="G197" s="41">
        <v>0</v>
      </c>
      <c r="H197" s="41">
        <v>0</v>
      </c>
      <c r="I197" s="41">
        <v>0</v>
      </c>
      <c r="J197" s="41">
        <v>0</v>
      </c>
      <c r="K197" s="41">
        <v>0</v>
      </c>
      <c r="L197" s="41">
        <v>0</v>
      </c>
      <c r="M197" s="41">
        <v>0</v>
      </c>
      <c r="N197" s="41">
        <v>0</v>
      </c>
      <c r="O197" s="41">
        <v>0</v>
      </c>
      <c r="P197" s="41">
        <v>0</v>
      </c>
      <c r="Q197" s="41">
        <v>0</v>
      </c>
      <c r="R197" s="38"/>
    </row>
    <row r="198" spans="1:18">
      <c r="A198" s="37">
        <f>'BASE PERIOD'!A201</f>
        <v>921110</v>
      </c>
      <c r="B198" s="36" t="str">
        <f>'BASE PERIOD'!B201</f>
        <v>Relocation Expenses</v>
      </c>
      <c r="C198" s="37" t="str">
        <f>'BASE PERIOD'!C201</f>
        <v>AGO</v>
      </c>
      <c r="D198" s="37">
        <f t="shared" si="20"/>
        <v>921</v>
      </c>
      <c r="E198" s="166">
        <f t="shared" si="27"/>
        <v>0</v>
      </c>
      <c r="F198" s="41">
        <v>0</v>
      </c>
      <c r="G198" s="41">
        <v>0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1">
        <v>0</v>
      </c>
      <c r="N198" s="41">
        <v>0</v>
      </c>
      <c r="O198" s="41">
        <v>0</v>
      </c>
      <c r="P198" s="41">
        <v>0</v>
      </c>
      <c r="Q198" s="41">
        <v>0</v>
      </c>
      <c r="R198" s="38"/>
    </row>
    <row r="199" spans="1:18">
      <c r="A199" s="37">
        <f>'BASE PERIOD'!A202</f>
        <v>921200</v>
      </c>
      <c r="B199" s="36" t="str">
        <f>'BASE PERIOD'!B202</f>
        <v>Office Expenses</v>
      </c>
      <c r="C199" s="37" t="str">
        <f>'BASE PERIOD'!C202</f>
        <v>AGO</v>
      </c>
      <c r="D199" s="37">
        <f t="shared" si="20"/>
        <v>921</v>
      </c>
      <c r="E199" s="166">
        <f t="shared" si="27"/>
        <v>427649</v>
      </c>
      <c r="F199" s="41">
        <v>28426</v>
      </c>
      <c r="G199" s="41">
        <v>28222</v>
      </c>
      <c r="H199" s="41">
        <v>52356</v>
      </c>
      <c r="I199" s="41">
        <v>30299</v>
      </c>
      <c r="J199" s="41">
        <v>31782</v>
      </c>
      <c r="K199" s="41">
        <v>51278</v>
      </c>
      <c r="L199" s="41">
        <v>18668</v>
      </c>
      <c r="M199" s="41">
        <v>13689</v>
      </c>
      <c r="N199" s="41">
        <v>43188</v>
      </c>
      <c r="O199" s="41">
        <v>14758</v>
      </c>
      <c r="P199" s="41">
        <v>35560</v>
      </c>
      <c r="Q199" s="41">
        <v>79423</v>
      </c>
      <c r="R199" s="38"/>
    </row>
    <row r="200" spans="1:18">
      <c r="A200" s="37">
        <f>'BASE PERIOD'!A203</f>
        <v>921300</v>
      </c>
      <c r="B200" s="36" t="str">
        <f>'BASE PERIOD'!B203</f>
        <v>Telephone And Telegraph Exp</v>
      </c>
      <c r="C200" s="37" t="str">
        <f>'BASE PERIOD'!C203</f>
        <v>AGO</v>
      </c>
      <c r="D200" s="37">
        <f t="shared" si="20"/>
        <v>921</v>
      </c>
      <c r="E200" s="166">
        <f t="shared" si="27"/>
        <v>0</v>
      </c>
      <c r="F200" s="41">
        <v>0</v>
      </c>
      <c r="G200" s="41">
        <v>0</v>
      </c>
      <c r="H200" s="41">
        <v>0</v>
      </c>
      <c r="I200" s="41">
        <v>0</v>
      </c>
      <c r="J200" s="41">
        <v>0</v>
      </c>
      <c r="K200" s="41">
        <v>0</v>
      </c>
      <c r="L200" s="41">
        <v>0</v>
      </c>
      <c r="M200" s="41">
        <v>0</v>
      </c>
      <c r="N200" s="41">
        <v>0</v>
      </c>
      <c r="O200" s="41">
        <v>0</v>
      </c>
      <c r="P200" s="41">
        <v>0</v>
      </c>
      <c r="Q200" s="41">
        <v>0</v>
      </c>
      <c r="R200" s="38"/>
    </row>
    <row r="201" spans="1:18">
      <c r="A201" s="37">
        <f>'BASE PERIOD'!A204</f>
        <v>921400</v>
      </c>
      <c r="B201" s="36" t="str">
        <f>'BASE PERIOD'!B204</f>
        <v>Computer Services Expenses</v>
      </c>
      <c r="C201" s="37" t="str">
        <f>'BASE PERIOD'!C204</f>
        <v>AGO</v>
      </c>
      <c r="D201" s="37">
        <f t="shared" si="20"/>
        <v>921</v>
      </c>
      <c r="E201" s="166">
        <f t="shared" si="27"/>
        <v>185227</v>
      </c>
      <c r="F201" s="41">
        <v>18520</v>
      </c>
      <c r="G201" s="41">
        <v>10181</v>
      </c>
      <c r="H201" s="41">
        <v>12696</v>
      </c>
      <c r="I201" s="41">
        <v>29138</v>
      </c>
      <c r="J201" s="41">
        <v>16128</v>
      </c>
      <c r="K201" s="41">
        <v>13321</v>
      </c>
      <c r="L201" s="41">
        <v>23561</v>
      </c>
      <c r="M201" s="41">
        <v>9891</v>
      </c>
      <c r="N201" s="41">
        <v>15026</v>
      </c>
      <c r="O201" s="41">
        <v>15504</v>
      </c>
      <c r="P201" s="41">
        <v>8421</v>
      </c>
      <c r="Q201" s="41">
        <v>12840</v>
      </c>
      <c r="R201" s="38"/>
    </row>
    <row r="202" spans="1:18">
      <c r="A202" s="37">
        <f>'BASE PERIOD'!A205</f>
        <v>921540</v>
      </c>
      <c r="B202" s="36" t="str">
        <f>'BASE PERIOD'!B205</f>
        <v>Computer Rent (Go Only)</v>
      </c>
      <c r="C202" s="37" t="str">
        <f>'BASE PERIOD'!C205</f>
        <v>AGO</v>
      </c>
      <c r="D202" s="37">
        <f t="shared" si="20"/>
        <v>921</v>
      </c>
      <c r="E202" s="166">
        <f t="shared" si="27"/>
        <v>67642</v>
      </c>
      <c r="F202" s="41">
        <v>4411</v>
      </c>
      <c r="G202" s="41">
        <v>4366</v>
      </c>
      <c r="H202" s="41">
        <v>4391</v>
      </c>
      <c r="I202" s="41">
        <v>6295</v>
      </c>
      <c r="J202" s="41">
        <v>7272</v>
      </c>
      <c r="K202" s="41">
        <v>5336</v>
      </c>
      <c r="L202" s="41">
        <v>7947</v>
      </c>
      <c r="M202" s="41">
        <v>6881</v>
      </c>
      <c r="N202" s="41">
        <v>4524</v>
      </c>
      <c r="O202" s="41">
        <v>4875</v>
      </c>
      <c r="P202" s="41">
        <v>4824</v>
      </c>
      <c r="Q202" s="41">
        <v>6520</v>
      </c>
      <c r="R202" s="38"/>
    </row>
    <row r="203" spans="1:18">
      <c r="A203" s="37">
        <f>'BASE PERIOD'!A206</f>
        <v>921600</v>
      </c>
      <c r="B203" s="36" t="str">
        <f>'BASE PERIOD'!B206</f>
        <v>Other</v>
      </c>
      <c r="C203" s="37" t="str">
        <f>'BASE PERIOD'!C206</f>
        <v>AGO</v>
      </c>
      <c r="D203" s="37">
        <f t="shared" si="20"/>
        <v>921</v>
      </c>
      <c r="E203" s="166">
        <f t="shared" si="27"/>
        <v>-4</v>
      </c>
      <c r="F203" s="41">
        <v>0</v>
      </c>
      <c r="G203" s="41">
        <v>0</v>
      </c>
      <c r="H203" s="41">
        <v>-1</v>
      </c>
      <c r="I203" s="41">
        <v>0</v>
      </c>
      <c r="J203" s="41">
        <v>0</v>
      </c>
      <c r="K203" s="41">
        <v>-1</v>
      </c>
      <c r="L203" s="41">
        <v>0</v>
      </c>
      <c r="M203" s="41">
        <v>0</v>
      </c>
      <c r="N203" s="41">
        <v>-1</v>
      </c>
      <c r="O203" s="41">
        <v>0</v>
      </c>
      <c r="P203" s="41">
        <v>0</v>
      </c>
      <c r="Q203" s="41">
        <v>-1</v>
      </c>
      <c r="R203" s="38"/>
    </row>
    <row r="204" spans="1:18">
      <c r="A204" s="37">
        <f>'BASE PERIOD'!A207</f>
        <v>921980</v>
      </c>
      <c r="B204" s="36" t="str">
        <f>'BASE PERIOD'!B207</f>
        <v>Office Supplies &amp; Expenses</v>
      </c>
      <c r="C204" s="37" t="str">
        <f>'BASE PERIOD'!C207</f>
        <v>AGO</v>
      </c>
      <c r="D204" s="37">
        <f t="shared" ref="D204:D243" si="32">VALUE(LEFT(A204,3))</f>
        <v>921</v>
      </c>
      <c r="E204" s="166">
        <f t="shared" si="27"/>
        <v>2963481</v>
      </c>
      <c r="F204" s="41">
        <v>244889</v>
      </c>
      <c r="G204" s="41">
        <v>244889</v>
      </c>
      <c r="H204" s="41">
        <v>244889</v>
      </c>
      <c r="I204" s="41">
        <v>242886</v>
      </c>
      <c r="J204" s="41">
        <v>244889</v>
      </c>
      <c r="K204" s="41">
        <v>244889</v>
      </c>
      <c r="L204" s="41">
        <v>250288</v>
      </c>
      <c r="M204" s="41">
        <v>250288</v>
      </c>
      <c r="N204" s="41">
        <v>249412</v>
      </c>
      <c r="O204" s="41">
        <v>249412</v>
      </c>
      <c r="P204" s="41">
        <v>247338</v>
      </c>
      <c r="Q204" s="41">
        <v>249412</v>
      </c>
      <c r="R204" s="38"/>
    </row>
    <row r="205" spans="1:18">
      <c r="A205" s="37">
        <f>'BASE PERIOD'!A208</f>
        <v>922000</v>
      </c>
      <c r="B205" s="36" t="str">
        <f>'BASE PERIOD'!B208</f>
        <v>Admin Expense Transfer</v>
      </c>
      <c r="C205" s="37" t="str">
        <f>'BASE PERIOD'!C208</f>
        <v>AGO</v>
      </c>
      <c r="D205" s="37">
        <f t="shared" si="32"/>
        <v>922</v>
      </c>
      <c r="E205" s="166">
        <f>SUM(F205:Q205)</f>
        <v>0</v>
      </c>
      <c r="F205" s="41">
        <v>0</v>
      </c>
      <c r="G205" s="41">
        <v>0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38"/>
    </row>
    <row r="206" spans="1:18">
      <c r="A206" s="37">
        <f>'BASE PERIOD'!A209</f>
        <v>923000</v>
      </c>
      <c r="B206" s="36" t="str">
        <f>'BASE PERIOD'!B209</f>
        <v>Outside Services Employed</v>
      </c>
      <c r="C206" s="37" t="str">
        <f>'BASE PERIOD'!C209</f>
        <v>AGO</v>
      </c>
      <c r="D206" s="37">
        <f t="shared" si="32"/>
        <v>923</v>
      </c>
      <c r="E206" s="166">
        <f t="shared" si="27"/>
        <v>2151690</v>
      </c>
      <c r="F206" s="41">
        <v>164887</v>
      </c>
      <c r="G206" s="41">
        <v>182544</v>
      </c>
      <c r="H206" s="41">
        <v>189154</v>
      </c>
      <c r="I206" s="41">
        <v>168037</v>
      </c>
      <c r="J206" s="41">
        <v>186624</v>
      </c>
      <c r="K206" s="41">
        <v>163710</v>
      </c>
      <c r="L206" s="41">
        <v>170544</v>
      </c>
      <c r="M206" s="41">
        <v>184241</v>
      </c>
      <c r="N206" s="41">
        <v>184931</v>
      </c>
      <c r="O206" s="41">
        <v>171328</v>
      </c>
      <c r="P206" s="41">
        <v>202135</v>
      </c>
      <c r="Q206" s="41">
        <v>183555</v>
      </c>
      <c r="R206" s="38"/>
    </row>
    <row r="207" spans="1:18">
      <c r="A207" s="37">
        <f>'BASE PERIOD'!A210</f>
        <v>923980</v>
      </c>
      <c r="B207" s="36" t="str">
        <f>'BASE PERIOD'!B210</f>
        <v>Outside Services Employee &amp;</v>
      </c>
      <c r="C207" s="37" t="str">
        <f>'BASE PERIOD'!C210</f>
        <v>AGO</v>
      </c>
      <c r="D207" s="37">
        <f t="shared" si="32"/>
        <v>923</v>
      </c>
      <c r="E207" s="166">
        <f t="shared" si="27"/>
        <v>0</v>
      </c>
      <c r="F207" s="41">
        <v>0</v>
      </c>
      <c r="G207" s="41">
        <v>0</v>
      </c>
      <c r="H207" s="41">
        <v>0</v>
      </c>
      <c r="I207" s="41">
        <v>0</v>
      </c>
      <c r="J207" s="41">
        <v>0</v>
      </c>
      <c r="K207" s="41">
        <v>0</v>
      </c>
      <c r="L207" s="41">
        <v>0</v>
      </c>
      <c r="M207" s="41">
        <v>0</v>
      </c>
      <c r="N207" s="41">
        <v>0</v>
      </c>
      <c r="O207" s="41">
        <v>0</v>
      </c>
      <c r="P207" s="41">
        <v>0</v>
      </c>
      <c r="Q207" s="41">
        <v>0</v>
      </c>
      <c r="R207" s="38"/>
    </row>
    <row r="208" spans="1:18">
      <c r="A208" s="37">
        <f>'BASE PERIOD'!A211</f>
        <v>924000</v>
      </c>
      <c r="B208" s="36" t="str">
        <f>'BASE PERIOD'!B211</f>
        <v>Property Insurance</v>
      </c>
      <c r="C208" s="37" t="str">
        <f>'BASE PERIOD'!C211</f>
        <v>AGO</v>
      </c>
      <c r="D208" s="37">
        <f t="shared" si="32"/>
        <v>924</v>
      </c>
      <c r="E208" s="166">
        <f t="shared" si="27"/>
        <v>23053</v>
      </c>
      <c r="F208" s="41">
        <v>6267</v>
      </c>
      <c r="G208" s="41">
        <v>1526</v>
      </c>
      <c r="H208" s="41">
        <v>1526</v>
      </c>
      <c r="I208" s="41">
        <v>1526</v>
      </c>
      <c r="J208" s="41">
        <v>1526</v>
      </c>
      <c r="K208" s="41">
        <v>1526</v>
      </c>
      <c r="L208" s="41">
        <v>1526</v>
      </c>
      <c r="M208" s="41">
        <v>1526</v>
      </c>
      <c r="N208" s="41">
        <v>1526</v>
      </c>
      <c r="O208" s="41">
        <v>1526</v>
      </c>
      <c r="P208" s="41">
        <v>1526</v>
      </c>
      <c r="Q208" s="41">
        <v>1526</v>
      </c>
      <c r="R208" s="38"/>
    </row>
    <row r="209" spans="1:18">
      <c r="A209" s="37">
        <f>'BASE PERIOD'!A212</f>
        <v>924050</v>
      </c>
      <c r="B209" s="36" t="str">
        <f>'BASE PERIOD'!B212</f>
        <v>Inter-Co Prop Ins Exp</v>
      </c>
      <c r="C209" s="37" t="str">
        <f>'BASE PERIOD'!C212</f>
        <v>AGO</v>
      </c>
      <c r="D209" s="37">
        <f t="shared" si="32"/>
        <v>924</v>
      </c>
      <c r="E209" s="166">
        <f t="shared" si="27"/>
        <v>1385676</v>
      </c>
      <c r="F209" s="41">
        <v>115473</v>
      </c>
      <c r="G209" s="41">
        <v>115473</v>
      </c>
      <c r="H209" s="41">
        <v>115473</v>
      </c>
      <c r="I209" s="41">
        <v>115473</v>
      </c>
      <c r="J209" s="41">
        <v>115473</v>
      </c>
      <c r="K209" s="41">
        <v>115473</v>
      </c>
      <c r="L209" s="41">
        <v>115473</v>
      </c>
      <c r="M209" s="41">
        <v>115473</v>
      </c>
      <c r="N209" s="41">
        <v>115473</v>
      </c>
      <c r="O209" s="41">
        <v>115473</v>
      </c>
      <c r="P209" s="41">
        <v>115473</v>
      </c>
      <c r="Q209" s="41">
        <v>115473</v>
      </c>
      <c r="R209" s="38"/>
    </row>
    <row r="210" spans="1:18">
      <c r="A210" s="37">
        <f>'BASE PERIOD'!A213</f>
        <v>924110</v>
      </c>
      <c r="B210" s="36" t="str">
        <f>'BASE PERIOD'!B213</f>
        <v>Admin-Insurance Expense</v>
      </c>
      <c r="C210" s="37" t="str">
        <f>'BASE PERIOD'!C213</f>
        <v>AGO</v>
      </c>
      <c r="D210" s="37">
        <f>VALUE(LEFT(A210,3))</f>
        <v>924</v>
      </c>
      <c r="E210" s="166">
        <f>SUM(F210:Q210)</f>
        <v>-9900</v>
      </c>
      <c r="F210" s="41">
        <v>-825</v>
      </c>
      <c r="G210" s="41">
        <v>-825</v>
      </c>
      <c r="H210" s="41">
        <v>-825</v>
      </c>
      <c r="I210" s="41">
        <v>-825</v>
      </c>
      <c r="J210" s="41">
        <v>-825</v>
      </c>
      <c r="K210" s="41">
        <v>-825</v>
      </c>
      <c r="L210" s="41">
        <v>-825</v>
      </c>
      <c r="M210" s="41">
        <v>-825</v>
      </c>
      <c r="N210" s="41">
        <v>-825</v>
      </c>
      <c r="O210" s="41">
        <v>-825</v>
      </c>
      <c r="P210" s="41">
        <v>-825</v>
      </c>
      <c r="Q210" s="41">
        <v>-825</v>
      </c>
      <c r="R210" s="38"/>
    </row>
    <row r="211" spans="1:18">
      <c r="A211" s="37">
        <f>'BASE PERIOD'!A214</f>
        <v>924980</v>
      </c>
      <c r="B211" s="36" t="str">
        <f>'BASE PERIOD'!B214</f>
        <v>Property Insurance For Corp.</v>
      </c>
      <c r="C211" s="37" t="str">
        <f>'BASE PERIOD'!C214</f>
        <v>AGO</v>
      </c>
      <c r="D211" s="37">
        <f t="shared" si="32"/>
        <v>924</v>
      </c>
      <c r="E211" s="166">
        <f t="shared" si="27"/>
        <v>183324</v>
      </c>
      <c r="F211" s="41">
        <v>15277</v>
      </c>
      <c r="G211" s="41">
        <v>15277</v>
      </c>
      <c r="H211" s="41">
        <v>15277</v>
      </c>
      <c r="I211" s="41">
        <v>15277</v>
      </c>
      <c r="J211" s="41">
        <v>15277</v>
      </c>
      <c r="K211" s="41">
        <v>15277</v>
      </c>
      <c r="L211" s="41">
        <v>15277</v>
      </c>
      <c r="M211" s="41">
        <v>15277</v>
      </c>
      <c r="N211" s="41">
        <v>15277</v>
      </c>
      <c r="O211" s="41">
        <v>15277</v>
      </c>
      <c r="P211" s="41">
        <v>15277</v>
      </c>
      <c r="Q211" s="41">
        <v>15277</v>
      </c>
      <c r="R211" s="38"/>
    </row>
    <row r="212" spans="1:18">
      <c r="A212" s="37">
        <f>'BASE PERIOD'!A215</f>
        <v>925000</v>
      </c>
      <c r="B212" s="36" t="str">
        <f>'BASE PERIOD'!B215</f>
        <v>Injuries &amp; Damages</v>
      </c>
      <c r="C212" s="37" t="str">
        <f>'BASE PERIOD'!C215</f>
        <v>AGO</v>
      </c>
      <c r="D212" s="37">
        <f t="shared" si="32"/>
        <v>925</v>
      </c>
      <c r="E212" s="166">
        <f t="shared" si="27"/>
        <v>45164</v>
      </c>
      <c r="F212" s="41">
        <v>2583</v>
      </c>
      <c r="G212" s="41">
        <v>3123</v>
      </c>
      <c r="H212" s="41">
        <v>5553</v>
      </c>
      <c r="I212" s="41">
        <v>3123</v>
      </c>
      <c r="J212" s="41">
        <v>3187</v>
      </c>
      <c r="K212" s="41">
        <v>7443</v>
      </c>
      <c r="L212" s="41">
        <v>2043</v>
      </c>
      <c r="M212" s="41">
        <v>2313</v>
      </c>
      <c r="N212" s="41">
        <v>4473</v>
      </c>
      <c r="O212" s="41">
        <v>3123</v>
      </c>
      <c r="P212" s="41">
        <v>3187</v>
      </c>
      <c r="Q212" s="41">
        <v>5013</v>
      </c>
      <c r="R212" s="38"/>
    </row>
    <row r="213" spans="1:18">
      <c r="A213" s="37">
        <f>'BASE PERIOD'!A216</f>
        <v>925050</v>
      </c>
      <c r="B213" s="36" t="str">
        <f>'BASE PERIOD'!B216</f>
        <v>Intercompany Non-Prop Ins Exp</v>
      </c>
      <c r="C213" s="37" t="str">
        <f>'BASE PERIOD'!C216</f>
        <v>AGO</v>
      </c>
      <c r="D213" s="37">
        <f t="shared" si="32"/>
        <v>925</v>
      </c>
      <c r="E213" s="166">
        <f>SUM(F213:Q213)</f>
        <v>0</v>
      </c>
      <c r="F213" s="41">
        <v>0</v>
      </c>
      <c r="G213" s="41">
        <v>0</v>
      </c>
      <c r="H213" s="41">
        <v>0</v>
      </c>
      <c r="I213" s="41">
        <v>0</v>
      </c>
      <c r="J213" s="41">
        <v>0</v>
      </c>
      <c r="K213" s="41">
        <v>0</v>
      </c>
      <c r="L213" s="41">
        <v>0</v>
      </c>
      <c r="M213" s="41">
        <v>0</v>
      </c>
      <c r="N213" s="41">
        <v>0</v>
      </c>
      <c r="O213" s="41">
        <v>0</v>
      </c>
      <c r="P213" s="41">
        <v>0</v>
      </c>
      <c r="Q213" s="41">
        <v>0</v>
      </c>
      <c r="R213" s="38"/>
    </row>
    <row r="214" spans="1:18">
      <c r="A214" s="37">
        <f>'BASE PERIOD'!A217</f>
        <v>925051</v>
      </c>
      <c r="B214" s="36" t="str">
        <f>'BASE PERIOD'!B217</f>
        <v>Intercompany Gen Liab Expense</v>
      </c>
      <c r="C214" s="37" t="str">
        <f>'BASE PERIOD'!C217</f>
        <v>AGO</v>
      </c>
      <c r="D214" s="37">
        <f t="shared" si="32"/>
        <v>925</v>
      </c>
      <c r="E214" s="166">
        <f t="shared" si="27"/>
        <v>350100</v>
      </c>
      <c r="F214" s="41">
        <v>29175</v>
      </c>
      <c r="G214" s="41">
        <v>29175</v>
      </c>
      <c r="H214" s="41">
        <v>29175</v>
      </c>
      <c r="I214" s="41">
        <v>29175</v>
      </c>
      <c r="J214" s="41">
        <v>29175</v>
      </c>
      <c r="K214" s="41">
        <v>29175</v>
      </c>
      <c r="L214" s="41">
        <v>29175</v>
      </c>
      <c r="M214" s="41">
        <v>29175</v>
      </c>
      <c r="N214" s="41">
        <v>29175</v>
      </c>
      <c r="O214" s="41">
        <v>29175</v>
      </c>
      <c r="P214" s="41">
        <v>29175</v>
      </c>
      <c r="Q214" s="41">
        <v>29175</v>
      </c>
      <c r="R214" s="38"/>
    </row>
    <row r="215" spans="1:18">
      <c r="A215" s="37">
        <f>'BASE PERIOD'!A218</f>
        <v>925052</v>
      </c>
      <c r="B215" s="36" t="str">
        <f>'BASE PERIOD'!B218</f>
        <v>Inter-Co Worker Comp Insur Exp</v>
      </c>
      <c r="C215" s="37" t="str">
        <f>'BASE PERIOD'!C218</f>
        <v>AGO</v>
      </c>
      <c r="D215" s="37">
        <f>VALUE(LEFT(A215,3))</f>
        <v>925</v>
      </c>
      <c r="E215" s="166">
        <f>SUM(F215:Q215)</f>
        <v>68892</v>
      </c>
      <c r="F215" s="41">
        <v>5741</v>
      </c>
      <c r="G215" s="41">
        <v>5741</v>
      </c>
      <c r="H215" s="41">
        <v>5741</v>
      </c>
      <c r="I215" s="41">
        <v>5741</v>
      </c>
      <c r="J215" s="41">
        <v>5741</v>
      </c>
      <c r="K215" s="41">
        <v>5741</v>
      </c>
      <c r="L215" s="41">
        <v>5741</v>
      </c>
      <c r="M215" s="41">
        <v>5741</v>
      </c>
      <c r="N215" s="41">
        <v>5741</v>
      </c>
      <c r="O215" s="41">
        <v>5741</v>
      </c>
      <c r="P215" s="41">
        <v>5741</v>
      </c>
      <c r="Q215" s="41">
        <v>5741</v>
      </c>
      <c r="R215" s="38"/>
    </row>
    <row r="216" spans="1:18">
      <c r="A216" s="37">
        <f>'BASE PERIOD'!A219</f>
        <v>925100</v>
      </c>
      <c r="B216" s="36" t="str">
        <f>'BASE PERIOD'!B219</f>
        <v>Accrued Inj and Damages</v>
      </c>
      <c r="C216" s="37" t="str">
        <f>'BASE PERIOD'!C219</f>
        <v>AGO</v>
      </c>
      <c r="D216" s="37">
        <f t="shared" ref="D216" si="33">VALUE(LEFT(A216,3))</f>
        <v>925</v>
      </c>
      <c r="E216" s="166">
        <f t="shared" ref="E216" si="34">SUM(F216:Q216)</f>
        <v>0</v>
      </c>
      <c r="F216" s="41">
        <v>0</v>
      </c>
      <c r="G216" s="41"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>
        <v>0</v>
      </c>
      <c r="N216" s="41">
        <v>0</v>
      </c>
      <c r="O216" s="41">
        <v>0</v>
      </c>
      <c r="P216" s="41">
        <v>0</v>
      </c>
      <c r="Q216" s="41">
        <v>0</v>
      </c>
      <c r="R216" s="38"/>
    </row>
    <row r="217" spans="1:18">
      <c r="A217" s="37">
        <f>'BASE PERIOD'!A220</f>
        <v>925200</v>
      </c>
      <c r="B217" s="36" t="str">
        <f>'BASE PERIOD'!B220</f>
        <v>Injuries And Damages-Other</v>
      </c>
      <c r="C217" s="37" t="str">
        <f>'BASE PERIOD'!C220</f>
        <v>AGO</v>
      </c>
      <c r="D217" s="37">
        <f t="shared" si="32"/>
        <v>925</v>
      </c>
      <c r="E217" s="166">
        <f t="shared" si="27"/>
        <v>6196</v>
      </c>
      <c r="F217" s="41">
        <v>511</v>
      </c>
      <c r="G217" s="41">
        <v>511</v>
      </c>
      <c r="H217" s="41">
        <v>511</v>
      </c>
      <c r="I217" s="41">
        <v>511</v>
      </c>
      <c r="J217" s="41">
        <v>511</v>
      </c>
      <c r="K217" s="41">
        <v>511</v>
      </c>
      <c r="L217" s="41">
        <v>511</v>
      </c>
      <c r="M217" s="41">
        <v>511</v>
      </c>
      <c r="N217" s="41">
        <v>527</v>
      </c>
      <c r="O217" s="41">
        <v>527</v>
      </c>
      <c r="P217" s="41">
        <v>527</v>
      </c>
      <c r="Q217" s="41">
        <v>527</v>
      </c>
      <c r="R217" s="38"/>
    </row>
    <row r="218" spans="1:18">
      <c r="A218" s="37">
        <f>'BASE PERIOD'!A221</f>
        <v>925980</v>
      </c>
      <c r="B218" s="36" t="str">
        <f>'BASE PERIOD'!B221</f>
        <v>Injuries And Damages For Corp.</v>
      </c>
      <c r="C218" s="37" t="str">
        <f>'BASE PERIOD'!C221</f>
        <v>AGO</v>
      </c>
      <c r="D218" s="37">
        <f t="shared" si="32"/>
        <v>925</v>
      </c>
      <c r="E218" s="166">
        <f t="shared" si="27"/>
        <v>13344</v>
      </c>
      <c r="F218" s="41">
        <v>1112</v>
      </c>
      <c r="G218" s="41">
        <v>1112</v>
      </c>
      <c r="H218" s="41">
        <v>1112</v>
      </c>
      <c r="I218" s="41">
        <v>1112</v>
      </c>
      <c r="J218" s="41">
        <v>1112</v>
      </c>
      <c r="K218" s="41">
        <v>1112</v>
      </c>
      <c r="L218" s="41">
        <v>1112</v>
      </c>
      <c r="M218" s="41">
        <v>1112</v>
      </c>
      <c r="N218" s="41">
        <v>1112</v>
      </c>
      <c r="O218" s="41">
        <v>1112</v>
      </c>
      <c r="P218" s="41">
        <v>1112</v>
      </c>
      <c r="Q218" s="41">
        <v>1112</v>
      </c>
      <c r="R218" s="38"/>
    </row>
    <row r="219" spans="1:18">
      <c r="A219" s="37">
        <f>'BASE PERIOD'!A222</f>
        <v>926000</v>
      </c>
      <c r="B219" s="36" t="str">
        <f>'BASE PERIOD'!B222</f>
        <v>Employee Benefits</v>
      </c>
      <c r="C219" s="37" t="str">
        <f>'BASE PERIOD'!C222</f>
        <v>AGO</v>
      </c>
      <c r="D219" s="37">
        <f t="shared" si="32"/>
        <v>926</v>
      </c>
      <c r="E219" s="166">
        <f t="shared" si="27"/>
        <v>4214099</v>
      </c>
      <c r="F219" s="41">
        <v>275166</v>
      </c>
      <c r="G219" s="41">
        <v>279616</v>
      </c>
      <c r="H219" s="41">
        <v>511625</v>
      </c>
      <c r="I219" s="41">
        <v>326393</v>
      </c>
      <c r="J219" s="41">
        <v>319788</v>
      </c>
      <c r="K219" s="41">
        <v>448226</v>
      </c>
      <c r="L219" s="41">
        <v>443950</v>
      </c>
      <c r="M219" s="41">
        <v>250299</v>
      </c>
      <c r="N219" s="41">
        <v>467797</v>
      </c>
      <c r="O219" s="41">
        <v>284574</v>
      </c>
      <c r="P219" s="41">
        <v>308219</v>
      </c>
      <c r="Q219" s="41">
        <v>298446</v>
      </c>
      <c r="R219" s="38"/>
    </row>
    <row r="220" spans="1:18">
      <c r="A220" s="37">
        <f>'BASE PERIOD'!A223</f>
        <v>926430</v>
      </c>
      <c r="B220" s="36" t="str">
        <f>'BASE PERIOD'!B223</f>
        <v>Employees'Recreation Expense</v>
      </c>
      <c r="C220" s="37" t="str">
        <f>'BASE PERIOD'!C223</f>
        <v>AGO</v>
      </c>
      <c r="D220" s="37">
        <f t="shared" si="32"/>
        <v>926</v>
      </c>
      <c r="E220" s="166">
        <f>SUM(F220:Q220)</f>
        <v>0</v>
      </c>
      <c r="F220" s="41">
        <v>0</v>
      </c>
      <c r="G220" s="41">
        <v>0</v>
      </c>
      <c r="H220" s="41">
        <v>0</v>
      </c>
      <c r="I220" s="41">
        <v>0</v>
      </c>
      <c r="J220" s="41">
        <v>0</v>
      </c>
      <c r="K220" s="41">
        <v>0</v>
      </c>
      <c r="L220" s="41">
        <v>0</v>
      </c>
      <c r="M220" s="41">
        <v>0</v>
      </c>
      <c r="N220" s="41">
        <v>0</v>
      </c>
      <c r="O220" s="41">
        <v>0</v>
      </c>
      <c r="P220" s="41">
        <v>0</v>
      </c>
      <c r="Q220" s="41">
        <v>0</v>
      </c>
      <c r="R220" s="38"/>
    </row>
    <row r="221" spans="1:18">
      <c r="A221" s="37">
        <f>'BASE PERIOD'!A224</f>
        <v>926600</v>
      </c>
      <c r="B221" s="36" t="str">
        <f>'BASE PERIOD'!B224</f>
        <v>Employee Benefits-Transferred</v>
      </c>
      <c r="C221" s="37" t="str">
        <f>'BASE PERIOD'!C224</f>
        <v>AGO</v>
      </c>
      <c r="D221" s="37">
        <f t="shared" si="32"/>
        <v>926</v>
      </c>
      <c r="E221" s="166">
        <f t="shared" si="27"/>
        <v>2414795</v>
      </c>
      <c r="F221" s="41">
        <v>211157</v>
      </c>
      <c r="G221" s="41">
        <v>211259</v>
      </c>
      <c r="H221" s="41">
        <v>194711</v>
      </c>
      <c r="I221" s="41">
        <v>212630</v>
      </c>
      <c r="J221" s="41">
        <v>189854</v>
      </c>
      <c r="K221" s="41">
        <v>203198</v>
      </c>
      <c r="L221" s="41">
        <v>185981</v>
      </c>
      <c r="M221" s="41">
        <v>196366</v>
      </c>
      <c r="N221" s="41">
        <v>201077</v>
      </c>
      <c r="O221" s="41">
        <v>205613</v>
      </c>
      <c r="P221" s="41">
        <v>200587</v>
      </c>
      <c r="Q221" s="41">
        <v>202362</v>
      </c>
      <c r="R221" s="38"/>
    </row>
    <row r="222" spans="1:18">
      <c r="A222" s="37">
        <f>'BASE PERIOD'!A225</f>
        <v>926999</v>
      </c>
      <c r="B222" s="36" t="str">
        <f>'BASE PERIOD'!B225</f>
        <v>Non Serv Pension (ASU 2017-07)</v>
      </c>
      <c r="C222" s="37" t="str">
        <f>'BASE PERIOD'!C225</f>
        <v>AGO</v>
      </c>
      <c r="D222" s="37">
        <f t="shared" ref="D222:D223" si="35">VALUE(LEFT(A222,3))</f>
        <v>926</v>
      </c>
      <c r="E222" s="166">
        <f t="shared" ref="E222:E223" si="36">SUM(F222:Q222)</f>
        <v>-412332</v>
      </c>
      <c r="F222" s="41">
        <v>-63086</v>
      </c>
      <c r="G222" s="41">
        <v>-63086</v>
      </c>
      <c r="H222" s="41">
        <v>-63086</v>
      </c>
      <c r="I222" s="41">
        <v>-63086</v>
      </c>
      <c r="J222" s="41">
        <v>-63086</v>
      </c>
      <c r="K222" s="41">
        <v>-63086</v>
      </c>
      <c r="L222" s="41">
        <v>-5636</v>
      </c>
      <c r="M222" s="41">
        <v>-5636</v>
      </c>
      <c r="N222" s="41">
        <v>-5636</v>
      </c>
      <c r="O222" s="41">
        <v>-5636</v>
      </c>
      <c r="P222" s="41">
        <v>-5636</v>
      </c>
      <c r="Q222" s="41">
        <v>-5636</v>
      </c>
      <c r="R222" s="1673"/>
    </row>
    <row r="223" spans="1:18">
      <c r="A223" s="37">
        <v>928000</v>
      </c>
      <c r="B223" s="36" t="s">
        <v>234</v>
      </c>
      <c r="C223" s="37" t="s">
        <v>323</v>
      </c>
      <c r="D223" s="37">
        <f t="shared" si="35"/>
        <v>928</v>
      </c>
      <c r="E223" s="166">
        <f t="shared" si="36"/>
        <v>0</v>
      </c>
      <c r="F223" s="41">
        <v>0</v>
      </c>
      <c r="G223" s="41">
        <v>0</v>
      </c>
      <c r="H223" s="41">
        <v>0</v>
      </c>
      <c r="I223" s="41">
        <v>0</v>
      </c>
      <c r="J223" s="41">
        <v>0</v>
      </c>
      <c r="K223" s="41">
        <v>0</v>
      </c>
      <c r="L223" s="41">
        <v>0</v>
      </c>
      <c r="M223" s="41">
        <v>0</v>
      </c>
      <c r="N223" s="41">
        <v>0</v>
      </c>
      <c r="O223" s="41">
        <v>0</v>
      </c>
      <c r="P223" s="41">
        <v>0</v>
      </c>
      <c r="Q223" s="41">
        <v>0</v>
      </c>
      <c r="R223" s="38"/>
    </row>
    <row r="224" spans="1:18">
      <c r="A224" s="37">
        <f>'BASE PERIOD'!A227</f>
        <v>928006</v>
      </c>
      <c r="B224" s="36" t="str">
        <f>'BASE PERIOD'!B227</f>
        <v>State Reg Comm Proceeding</v>
      </c>
      <c r="C224" s="37" t="str">
        <f>'BASE PERIOD'!C227</f>
        <v>AGO</v>
      </c>
      <c r="D224" s="37">
        <f t="shared" si="32"/>
        <v>928</v>
      </c>
      <c r="E224" s="166">
        <f t="shared" si="27"/>
        <v>755244</v>
      </c>
      <c r="F224" s="41">
        <v>62937</v>
      </c>
      <c r="G224" s="41">
        <v>62937</v>
      </c>
      <c r="H224" s="41">
        <v>62937</v>
      </c>
      <c r="I224" s="41">
        <v>62937</v>
      </c>
      <c r="J224" s="41">
        <v>62937</v>
      </c>
      <c r="K224" s="41">
        <v>62937</v>
      </c>
      <c r="L224" s="41">
        <v>62937</v>
      </c>
      <c r="M224" s="41">
        <v>62937</v>
      </c>
      <c r="N224" s="41">
        <v>62937</v>
      </c>
      <c r="O224" s="41">
        <v>62937</v>
      </c>
      <c r="P224" s="41">
        <v>62937</v>
      </c>
      <c r="Q224" s="41">
        <v>62937</v>
      </c>
      <c r="R224" s="38"/>
    </row>
    <row r="225" spans="1:18">
      <c r="A225" s="37">
        <f>'BASE PERIOD'!A228</f>
        <v>928053</v>
      </c>
      <c r="B225" s="36" t="str">
        <f>'BASE PERIOD'!B228</f>
        <v>Travel Expense</v>
      </c>
      <c r="C225" s="37" t="str">
        <f>'BASE PERIOD'!C228</f>
        <v>AGO</v>
      </c>
      <c r="D225" s="37">
        <f t="shared" ref="D225" si="37">VALUE(LEFT(A225,3))</f>
        <v>928</v>
      </c>
      <c r="E225" s="166">
        <f t="shared" ref="E225" si="38">SUM(F225:Q225)</f>
        <v>0</v>
      </c>
      <c r="F225" s="41">
        <v>0</v>
      </c>
      <c r="G225" s="41">
        <v>0</v>
      </c>
      <c r="H225" s="41">
        <v>0</v>
      </c>
      <c r="I225" s="41">
        <v>0</v>
      </c>
      <c r="J225" s="41">
        <v>0</v>
      </c>
      <c r="K225" s="41">
        <v>0</v>
      </c>
      <c r="L225" s="41">
        <v>0</v>
      </c>
      <c r="M225" s="41">
        <v>0</v>
      </c>
      <c r="N225" s="41">
        <v>0</v>
      </c>
      <c r="O225" s="41">
        <v>0</v>
      </c>
      <c r="P225" s="41">
        <v>0</v>
      </c>
      <c r="Q225" s="41">
        <v>0</v>
      </c>
      <c r="R225" s="38"/>
    </row>
    <row r="226" spans="1:18">
      <c r="A226" s="37">
        <f>'BASE PERIOD'!A229</f>
        <v>929000</v>
      </c>
      <c r="B226" s="36" t="str">
        <f>'BASE PERIOD'!B229</f>
        <v>Duplicate Chrgs-Enrgy To Exp</v>
      </c>
      <c r="C226" s="37" t="str">
        <f>'BASE PERIOD'!C229</f>
        <v>AGO</v>
      </c>
      <c r="D226" s="37">
        <f t="shared" si="32"/>
        <v>929</v>
      </c>
      <c r="E226" s="166">
        <f t="shared" si="27"/>
        <v>0</v>
      </c>
      <c r="F226" s="41">
        <v>0</v>
      </c>
      <c r="G226" s="41">
        <v>0</v>
      </c>
      <c r="H226" s="41">
        <v>0</v>
      </c>
      <c r="I226" s="41">
        <v>0</v>
      </c>
      <c r="J226" s="41">
        <v>0</v>
      </c>
      <c r="K226" s="41">
        <v>0</v>
      </c>
      <c r="L226" s="41">
        <v>0</v>
      </c>
      <c r="M226" s="41">
        <v>0</v>
      </c>
      <c r="N226" s="41">
        <v>0</v>
      </c>
      <c r="O226" s="41">
        <v>0</v>
      </c>
      <c r="P226" s="41">
        <v>0</v>
      </c>
      <c r="Q226" s="41">
        <v>0</v>
      </c>
      <c r="R226" s="38"/>
    </row>
    <row r="227" spans="1:18">
      <c r="A227" s="37">
        <f>'BASE PERIOD'!A230</f>
        <v>929500</v>
      </c>
      <c r="B227" s="36" t="str">
        <f>'BASE PERIOD'!B230</f>
        <v>Admin Exp Transf</v>
      </c>
      <c r="C227" s="37" t="str">
        <f>'BASE PERIOD'!C230</f>
        <v>AGO</v>
      </c>
      <c r="D227" s="37">
        <f t="shared" si="32"/>
        <v>929</v>
      </c>
      <c r="E227" s="166">
        <f t="shared" si="27"/>
        <v>-434247</v>
      </c>
      <c r="F227" s="41">
        <v>-33721</v>
      </c>
      <c r="G227" s="41">
        <v>-33721</v>
      </c>
      <c r="H227" s="41">
        <v>-33721</v>
      </c>
      <c r="I227" s="41">
        <v>-33721</v>
      </c>
      <c r="J227" s="41">
        <v>-50176</v>
      </c>
      <c r="K227" s="41">
        <v>-33721</v>
      </c>
      <c r="L227" s="41">
        <v>-32616</v>
      </c>
      <c r="M227" s="41">
        <v>-32616</v>
      </c>
      <c r="N227" s="41">
        <v>-32616</v>
      </c>
      <c r="O227" s="41">
        <v>-33721</v>
      </c>
      <c r="P227" s="41">
        <v>-50176</v>
      </c>
      <c r="Q227" s="41">
        <v>-33721</v>
      </c>
      <c r="R227" s="38"/>
    </row>
    <row r="228" spans="1:18">
      <c r="A228" s="37">
        <f>'BASE PERIOD'!A231</f>
        <v>930150</v>
      </c>
      <c r="B228" s="36" t="str">
        <f>'BASE PERIOD'!B231</f>
        <v>Miscellaneous Advertising Exp</v>
      </c>
      <c r="C228" s="37" t="str">
        <f>'BASE PERIOD'!C231</f>
        <v>AGO</v>
      </c>
      <c r="D228" s="37">
        <f t="shared" si="32"/>
        <v>930</v>
      </c>
      <c r="E228" s="166">
        <f t="shared" si="27"/>
        <v>231622</v>
      </c>
      <c r="F228" s="41">
        <v>18768</v>
      </c>
      <c r="G228" s="41">
        <v>18768</v>
      </c>
      <c r="H228" s="41">
        <v>20255</v>
      </c>
      <c r="I228" s="41">
        <v>18768</v>
      </c>
      <c r="J228" s="41">
        <v>18768</v>
      </c>
      <c r="K228" s="41">
        <v>20256</v>
      </c>
      <c r="L228" s="41">
        <v>18768</v>
      </c>
      <c r="M228" s="41">
        <v>18765</v>
      </c>
      <c r="N228" s="41">
        <v>20657</v>
      </c>
      <c r="O228" s="41">
        <v>18787</v>
      </c>
      <c r="P228" s="41">
        <v>18787</v>
      </c>
      <c r="Q228" s="41">
        <v>20275</v>
      </c>
      <c r="R228" s="38"/>
    </row>
    <row r="229" spans="1:18">
      <c r="A229" s="37">
        <f>'BASE PERIOD'!A232</f>
        <v>930200</v>
      </c>
      <c r="B229" s="36" t="str">
        <f>'BASE PERIOD'!B232</f>
        <v>Misc General Expenses</v>
      </c>
      <c r="C229" s="37" t="str">
        <f>'BASE PERIOD'!C232</f>
        <v>AGO</v>
      </c>
      <c r="D229" s="37">
        <f t="shared" si="32"/>
        <v>930</v>
      </c>
      <c r="E229" s="166">
        <f t="shared" si="27"/>
        <v>813131</v>
      </c>
      <c r="F229" s="41">
        <v>65702</v>
      </c>
      <c r="G229" s="41">
        <v>65663</v>
      </c>
      <c r="H229" s="41">
        <v>65597</v>
      </c>
      <c r="I229" s="41">
        <v>71863</v>
      </c>
      <c r="J229" s="41">
        <v>67317</v>
      </c>
      <c r="K229" s="41">
        <v>65535</v>
      </c>
      <c r="L229" s="41">
        <v>64798</v>
      </c>
      <c r="M229" s="41">
        <v>64863</v>
      </c>
      <c r="N229" s="41">
        <v>68463</v>
      </c>
      <c r="O229" s="41">
        <v>68547</v>
      </c>
      <c r="P229" s="41">
        <v>76372</v>
      </c>
      <c r="Q229" s="41">
        <v>68411</v>
      </c>
      <c r="R229" s="38"/>
    </row>
    <row r="230" spans="1:18">
      <c r="A230" s="37">
        <f>'BASE PERIOD'!A233</f>
        <v>930210</v>
      </c>
      <c r="B230" s="36" t="str">
        <f>'BASE PERIOD'!B233</f>
        <v>Industry Association Dues</v>
      </c>
      <c r="C230" s="37" t="str">
        <f>'BASE PERIOD'!C233</f>
        <v>AGO</v>
      </c>
      <c r="D230" s="37">
        <f t="shared" si="32"/>
        <v>930</v>
      </c>
      <c r="E230" s="166">
        <f t="shared" si="27"/>
        <v>42956</v>
      </c>
      <c r="F230" s="41">
        <v>0</v>
      </c>
      <c r="G230" s="41">
        <v>0</v>
      </c>
      <c r="H230" s="41">
        <v>0</v>
      </c>
      <c r="I230" s="41">
        <v>0</v>
      </c>
      <c r="J230" s="41">
        <v>0</v>
      </c>
      <c r="K230" s="41">
        <v>0</v>
      </c>
      <c r="L230" s="41">
        <v>42956</v>
      </c>
      <c r="M230" s="41">
        <v>0</v>
      </c>
      <c r="N230" s="41">
        <v>0</v>
      </c>
      <c r="O230" s="41">
        <v>0</v>
      </c>
      <c r="P230" s="41">
        <v>0</v>
      </c>
      <c r="Q230" s="41">
        <v>0</v>
      </c>
      <c r="R230" s="38"/>
    </row>
    <row r="231" spans="1:18">
      <c r="A231" s="37">
        <f>'BASE PERIOD'!A234</f>
        <v>930220</v>
      </c>
      <c r="B231" s="36" t="str">
        <f>'BASE PERIOD'!B234</f>
        <v>Exp of Servicing Securities</v>
      </c>
      <c r="C231" s="37" t="str">
        <f>'BASE PERIOD'!C234</f>
        <v>AGO</v>
      </c>
      <c r="D231" s="37">
        <f t="shared" si="32"/>
        <v>930</v>
      </c>
      <c r="E231" s="166">
        <f t="shared" si="27"/>
        <v>95000</v>
      </c>
      <c r="F231" s="41">
        <v>0</v>
      </c>
      <c r="G231" s="41">
        <v>0</v>
      </c>
      <c r="H231" s="41">
        <v>0</v>
      </c>
      <c r="I231" s="41">
        <v>0</v>
      </c>
      <c r="J231" s="41">
        <v>0</v>
      </c>
      <c r="K231" s="41">
        <v>0</v>
      </c>
      <c r="L231" s="41">
        <v>0</v>
      </c>
      <c r="M231" s="41">
        <v>0</v>
      </c>
      <c r="N231" s="41">
        <v>0</v>
      </c>
      <c r="O231" s="41">
        <v>0</v>
      </c>
      <c r="P231" s="41">
        <v>0</v>
      </c>
      <c r="Q231" s="41">
        <v>95000</v>
      </c>
      <c r="R231" s="38"/>
    </row>
    <row r="232" spans="1:18">
      <c r="A232" s="37">
        <f>'BASE PERIOD'!A235</f>
        <v>930230</v>
      </c>
      <c r="B232" s="36" t="str">
        <f>'BASE PERIOD'!B235</f>
        <v>Dues To Various Organizations</v>
      </c>
      <c r="C232" s="37" t="str">
        <f>'BASE PERIOD'!C235</f>
        <v>AGO</v>
      </c>
      <c r="D232" s="37">
        <f t="shared" si="32"/>
        <v>930</v>
      </c>
      <c r="E232" s="166">
        <f t="shared" si="27"/>
        <v>21760</v>
      </c>
      <c r="F232" s="41">
        <v>1755</v>
      </c>
      <c r="G232" s="41">
        <v>1374</v>
      </c>
      <c r="H232" s="41">
        <v>1696</v>
      </c>
      <c r="I232" s="41">
        <v>1279</v>
      </c>
      <c r="J232" s="41">
        <v>1630</v>
      </c>
      <c r="K232" s="41">
        <v>3287</v>
      </c>
      <c r="L232" s="41">
        <v>1279</v>
      </c>
      <c r="M232" s="41">
        <v>1279</v>
      </c>
      <c r="N232" s="41">
        <v>1577</v>
      </c>
      <c r="O232" s="41">
        <v>4046</v>
      </c>
      <c r="P232" s="41">
        <v>1279</v>
      </c>
      <c r="Q232" s="41">
        <v>1279</v>
      </c>
      <c r="R232" s="38"/>
    </row>
    <row r="233" spans="1:18">
      <c r="A233" s="37">
        <f>'BASE PERIOD'!A236</f>
        <v>930240</v>
      </c>
      <c r="B233" s="36" t="str">
        <f>'BASE PERIOD'!B236</f>
        <v>Director'S Expenses</v>
      </c>
      <c r="C233" s="37" t="str">
        <f>'BASE PERIOD'!C236</f>
        <v>AGO</v>
      </c>
      <c r="D233" s="37">
        <f t="shared" si="32"/>
        <v>930</v>
      </c>
      <c r="E233" s="166">
        <f t="shared" ref="E233:E243" si="39">SUM(F233:Q233)</f>
        <v>52479</v>
      </c>
      <c r="F233" s="41">
        <v>5831</v>
      </c>
      <c r="G233" s="41">
        <v>0</v>
      </c>
      <c r="H233" s="41">
        <v>0</v>
      </c>
      <c r="I233" s="41">
        <v>5831</v>
      </c>
      <c r="J233" s="41">
        <v>0</v>
      </c>
      <c r="K233" s="41">
        <v>5831</v>
      </c>
      <c r="L233" s="41">
        <v>0</v>
      </c>
      <c r="M233" s="41">
        <v>0</v>
      </c>
      <c r="N233" s="41">
        <v>0</v>
      </c>
      <c r="O233" s="41">
        <v>5831</v>
      </c>
      <c r="P233" s="41">
        <v>29155</v>
      </c>
      <c r="Q233" s="41">
        <v>0</v>
      </c>
      <c r="R233" s="38"/>
    </row>
    <row r="234" spans="1:18">
      <c r="A234" s="37">
        <f>'BASE PERIOD'!A237</f>
        <v>930250</v>
      </c>
      <c r="B234" s="36" t="str">
        <f>'BASE PERIOD'!B237</f>
        <v>Buy\Sell Transf Employee Homes</v>
      </c>
      <c r="C234" s="37" t="str">
        <f>'BASE PERIOD'!C237</f>
        <v>AGO</v>
      </c>
      <c r="D234" s="37">
        <f t="shared" si="32"/>
        <v>930</v>
      </c>
      <c r="E234" s="166">
        <f t="shared" si="39"/>
        <v>0</v>
      </c>
      <c r="F234" s="41">
        <v>0</v>
      </c>
      <c r="G234" s="41"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0</v>
      </c>
      <c r="O234" s="41">
        <v>0</v>
      </c>
      <c r="P234" s="41">
        <v>0</v>
      </c>
      <c r="Q234" s="41">
        <v>0</v>
      </c>
      <c r="R234" s="38"/>
    </row>
    <row r="235" spans="1:18">
      <c r="A235" s="37">
        <v>930600</v>
      </c>
      <c r="B235" s="36" t="s">
        <v>330</v>
      </c>
      <c r="C235" s="37" t="s">
        <v>323</v>
      </c>
      <c r="D235" s="37">
        <f t="shared" si="32"/>
        <v>930</v>
      </c>
      <c r="E235" s="166">
        <f t="shared" si="39"/>
        <v>0</v>
      </c>
      <c r="F235" s="41">
        <v>0</v>
      </c>
      <c r="G235" s="41">
        <v>0</v>
      </c>
      <c r="H235" s="41">
        <v>0</v>
      </c>
      <c r="I235" s="41">
        <v>0</v>
      </c>
      <c r="J235" s="41">
        <v>0</v>
      </c>
      <c r="K235" s="41">
        <v>0</v>
      </c>
      <c r="L235" s="41">
        <v>0</v>
      </c>
      <c r="M235" s="41">
        <v>0</v>
      </c>
      <c r="N235" s="41">
        <v>0</v>
      </c>
      <c r="O235" s="41">
        <v>0</v>
      </c>
      <c r="P235" s="41">
        <v>0</v>
      </c>
      <c r="Q235" s="41">
        <v>0</v>
      </c>
      <c r="R235" s="38"/>
    </row>
    <row r="236" spans="1:18">
      <c r="A236" s="37">
        <f>'BASE PERIOD'!A239</f>
        <v>930700</v>
      </c>
      <c r="B236" s="36" t="str">
        <f>'BASE PERIOD'!B239</f>
        <v>Research &amp; Development</v>
      </c>
      <c r="C236" s="37" t="str">
        <f>'BASE PERIOD'!C239</f>
        <v>AGO</v>
      </c>
      <c r="D236" s="37">
        <f t="shared" si="32"/>
        <v>930</v>
      </c>
      <c r="E236" s="166">
        <f t="shared" si="39"/>
        <v>0</v>
      </c>
      <c r="F236" s="41">
        <v>0</v>
      </c>
      <c r="G236" s="41">
        <v>0</v>
      </c>
      <c r="H236" s="41">
        <v>0</v>
      </c>
      <c r="I236" s="41">
        <v>0</v>
      </c>
      <c r="J236" s="41">
        <v>0</v>
      </c>
      <c r="K236" s="41">
        <v>0</v>
      </c>
      <c r="L236" s="41">
        <v>0</v>
      </c>
      <c r="M236" s="41">
        <v>0</v>
      </c>
      <c r="N236" s="41">
        <v>0</v>
      </c>
      <c r="O236" s="41">
        <v>0</v>
      </c>
      <c r="P236" s="41">
        <v>0</v>
      </c>
      <c r="Q236" s="41">
        <v>0</v>
      </c>
      <c r="R236" s="38"/>
    </row>
    <row r="237" spans="1:18">
      <c r="A237" s="37">
        <f>'BASE PERIOD'!A240</f>
        <v>930940</v>
      </c>
      <c r="B237" s="36" t="str">
        <f>'BASE PERIOD'!B240</f>
        <v>General Expenses</v>
      </c>
      <c r="C237" s="37" t="str">
        <f>'BASE PERIOD'!C240</f>
        <v>AGO</v>
      </c>
      <c r="D237" s="37">
        <f t="shared" si="32"/>
        <v>930</v>
      </c>
      <c r="E237" s="166">
        <f t="shared" si="39"/>
        <v>0</v>
      </c>
      <c r="F237" s="41">
        <v>0</v>
      </c>
      <c r="G237" s="41">
        <v>0</v>
      </c>
      <c r="H237" s="41">
        <v>0</v>
      </c>
      <c r="I237" s="41">
        <v>0</v>
      </c>
      <c r="J237" s="41">
        <v>0</v>
      </c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38"/>
    </row>
    <row r="238" spans="1:18">
      <c r="A238" s="37">
        <f>'BASE PERIOD'!A241</f>
        <v>931001</v>
      </c>
      <c r="B238" s="36" t="str">
        <f>'BASE PERIOD'!B241</f>
        <v>Rents-A&amp;G</v>
      </c>
      <c r="C238" s="37" t="str">
        <f>'BASE PERIOD'!C241</f>
        <v>AGO</v>
      </c>
      <c r="D238" s="37">
        <f t="shared" si="32"/>
        <v>931</v>
      </c>
      <c r="E238" s="166">
        <f t="shared" si="39"/>
        <v>135543</v>
      </c>
      <c r="F238" s="41">
        <v>11322</v>
      </c>
      <c r="G238" s="41">
        <v>11331</v>
      </c>
      <c r="H238" s="41">
        <v>11320</v>
      </c>
      <c r="I238" s="41">
        <v>11325</v>
      </c>
      <c r="J238" s="41">
        <v>11329</v>
      </c>
      <c r="K238" s="41">
        <v>11323</v>
      </c>
      <c r="L238" s="41">
        <v>10977</v>
      </c>
      <c r="M238" s="41">
        <v>11312</v>
      </c>
      <c r="N238" s="41">
        <v>11308</v>
      </c>
      <c r="O238" s="41">
        <v>11357</v>
      </c>
      <c r="P238" s="41">
        <v>11319</v>
      </c>
      <c r="Q238" s="41">
        <v>11320</v>
      </c>
      <c r="R238" s="38"/>
    </row>
    <row r="239" spans="1:18">
      <c r="A239" s="37">
        <f>'BASE PERIOD'!A242</f>
        <v>931003</v>
      </c>
      <c r="B239" s="36" t="str">
        <f>'BASE PERIOD'!B242</f>
        <v>Lease Amortization Expense</v>
      </c>
      <c r="C239" s="37" t="str">
        <f>'BASE PERIOD'!C242</f>
        <v>AGO</v>
      </c>
      <c r="D239" s="37">
        <f t="shared" ref="D239" si="40">VALUE(LEFT(A239,3))</f>
        <v>931</v>
      </c>
      <c r="E239" s="166">
        <f t="shared" ref="E239" si="41">SUM(F239:Q239)</f>
        <v>0</v>
      </c>
      <c r="F239" s="41">
        <v>0</v>
      </c>
      <c r="G239" s="41">
        <v>0</v>
      </c>
      <c r="H239" s="41">
        <v>0</v>
      </c>
      <c r="I239" s="41">
        <v>0</v>
      </c>
      <c r="J239" s="41">
        <v>0</v>
      </c>
      <c r="K239" s="41">
        <v>0</v>
      </c>
      <c r="L239" s="41">
        <v>0</v>
      </c>
      <c r="M239" s="41">
        <v>0</v>
      </c>
      <c r="N239" s="41">
        <v>0</v>
      </c>
      <c r="O239" s="41">
        <v>0</v>
      </c>
      <c r="P239" s="41">
        <v>0</v>
      </c>
      <c r="Q239" s="41">
        <v>0</v>
      </c>
      <c r="R239" s="38"/>
    </row>
    <row r="240" spans="1:18">
      <c r="A240" s="37">
        <f>'BASE PERIOD'!A243</f>
        <v>931008</v>
      </c>
      <c r="B240" s="36" t="str">
        <f>'BASE PERIOD'!B243</f>
        <v>A&amp;G Rents-IC</v>
      </c>
      <c r="C240" s="37" t="str">
        <f>'BASE PERIOD'!C243</f>
        <v>AGO</v>
      </c>
      <c r="D240" s="37">
        <f t="shared" si="32"/>
        <v>931</v>
      </c>
      <c r="E240" s="166">
        <f t="shared" si="39"/>
        <v>2383716</v>
      </c>
      <c r="F240" s="41">
        <v>198643</v>
      </c>
      <c r="G240" s="41">
        <v>198643</v>
      </c>
      <c r="H240" s="41">
        <v>198643</v>
      </c>
      <c r="I240" s="41">
        <v>198643</v>
      </c>
      <c r="J240" s="41">
        <v>198643</v>
      </c>
      <c r="K240" s="41">
        <v>198643</v>
      </c>
      <c r="L240" s="41">
        <v>198643</v>
      </c>
      <c r="M240" s="41">
        <v>198643</v>
      </c>
      <c r="N240" s="41">
        <v>198643</v>
      </c>
      <c r="O240" s="41">
        <v>198643</v>
      </c>
      <c r="P240" s="41">
        <v>198643</v>
      </c>
      <c r="Q240" s="41">
        <v>198643</v>
      </c>
      <c r="R240" s="38"/>
    </row>
    <row r="241" spans="1:18">
      <c r="A241" s="37">
        <f>'BASE PERIOD'!A244</f>
        <v>932000</v>
      </c>
      <c r="B241" s="36" t="str">
        <f>'BASE PERIOD'!B244</f>
        <v>Maintenance of General Plant</v>
      </c>
      <c r="C241" s="37" t="str">
        <f>'BASE PERIOD'!C244</f>
        <v>AGM</v>
      </c>
      <c r="D241" s="37">
        <f>VALUE(LEFT(A241,3))</f>
        <v>932</v>
      </c>
      <c r="E241" s="166">
        <f>SUM(F241:Q241)</f>
        <v>0</v>
      </c>
      <c r="F241" s="41">
        <v>0</v>
      </c>
      <c r="G241" s="41">
        <v>0</v>
      </c>
      <c r="H241" s="41">
        <v>0</v>
      </c>
      <c r="I241" s="41">
        <v>0</v>
      </c>
      <c r="J241" s="41">
        <v>0</v>
      </c>
      <c r="K241" s="41">
        <v>0</v>
      </c>
      <c r="L241" s="41">
        <v>0</v>
      </c>
      <c r="M241" s="41">
        <v>0</v>
      </c>
      <c r="N241" s="41">
        <v>0</v>
      </c>
      <c r="O241" s="41">
        <v>0</v>
      </c>
      <c r="P241" s="41">
        <v>0</v>
      </c>
      <c r="Q241" s="41">
        <v>0</v>
      </c>
      <c r="R241" s="38"/>
    </row>
    <row r="242" spans="1:18">
      <c r="A242" s="37">
        <f>'BASE PERIOD'!A245</f>
        <v>935100</v>
      </c>
      <c r="B242" s="36" t="str">
        <f>'BASE PERIOD'!B245</f>
        <v>Maint General Plant-Elec</v>
      </c>
      <c r="C242" s="37" t="str">
        <f>'BASE PERIOD'!C245</f>
        <v>AGM</v>
      </c>
      <c r="D242" s="37">
        <f t="shared" si="32"/>
        <v>935</v>
      </c>
      <c r="E242" s="166">
        <f t="shared" si="39"/>
        <v>0</v>
      </c>
      <c r="F242" s="41">
        <v>0</v>
      </c>
      <c r="G242" s="41">
        <v>0</v>
      </c>
      <c r="H242" s="41">
        <v>0</v>
      </c>
      <c r="I242" s="41">
        <v>0</v>
      </c>
      <c r="J242" s="41">
        <v>0</v>
      </c>
      <c r="K242" s="41">
        <v>0</v>
      </c>
      <c r="L242" s="41">
        <v>0</v>
      </c>
      <c r="M242" s="41">
        <v>0</v>
      </c>
      <c r="N242" s="41">
        <v>0</v>
      </c>
      <c r="O242" s="41">
        <v>0</v>
      </c>
      <c r="P242" s="41">
        <v>0</v>
      </c>
      <c r="Q242" s="41">
        <v>0</v>
      </c>
      <c r="R242" s="38"/>
    </row>
    <row r="243" spans="1:18">
      <c r="A243" s="37">
        <f>'BASE PERIOD'!A246</f>
        <v>935200</v>
      </c>
      <c r="B243" s="36" t="str">
        <f>'BASE PERIOD'!B246</f>
        <v>Cust Infor &amp; Computer Control</v>
      </c>
      <c r="C243" s="37" t="str">
        <f>'BASE PERIOD'!C246</f>
        <v>AGM</v>
      </c>
      <c r="D243" s="37">
        <f t="shared" si="32"/>
        <v>935</v>
      </c>
      <c r="E243" s="166">
        <f t="shared" si="39"/>
        <v>60</v>
      </c>
      <c r="F243" s="41">
        <v>5</v>
      </c>
      <c r="G243" s="41">
        <v>5</v>
      </c>
      <c r="H243" s="41">
        <v>5</v>
      </c>
      <c r="I243" s="41">
        <v>5</v>
      </c>
      <c r="J243" s="41">
        <v>5</v>
      </c>
      <c r="K243" s="41">
        <v>5</v>
      </c>
      <c r="L243" s="41">
        <v>5</v>
      </c>
      <c r="M243" s="41">
        <v>5</v>
      </c>
      <c r="N243" s="41">
        <v>5</v>
      </c>
      <c r="O243" s="41">
        <v>5</v>
      </c>
      <c r="P243" s="41">
        <v>5</v>
      </c>
      <c r="Q243" s="41">
        <v>5</v>
      </c>
      <c r="R243" s="38"/>
    </row>
    <row r="244" spans="1:18">
      <c r="A244" s="37"/>
      <c r="B244" s="1432"/>
      <c r="C244" s="37"/>
      <c r="D244" s="37"/>
      <c r="E244" s="42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38"/>
    </row>
    <row r="245" spans="1:18">
      <c r="A245" s="37"/>
      <c r="B245" s="1433" t="s">
        <v>333</v>
      </c>
      <c r="C245" s="44" t="s">
        <v>284</v>
      </c>
      <c r="D245" s="1438"/>
      <c r="E245" s="166">
        <f>SUM(F245:Q245)</f>
        <v>482552977</v>
      </c>
      <c r="F245" s="39">
        <f>SUMIF(CodeF,C245,Forecast1)</f>
        <v>46756419</v>
      </c>
      <c r="G245" s="39">
        <f>SUMIF(CodeF,C245,Forecast2)</f>
        <v>46599417</v>
      </c>
      <c r="H245" s="39">
        <f>SUMIF(CodeF,C245,Forecast3)</f>
        <v>40987918</v>
      </c>
      <c r="I245" s="39">
        <f>SUMIF(CodeF,C245,forecast4)</f>
        <v>33441003</v>
      </c>
      <c r="J245" s="39">
        <f>SUMIF(CodeF,C245,Forecast5)</f>
        <v>40170919</v>
      </c>
      <c r="K245" s="39">
        <f>SUMIF(CodeF,C245,Forecast6)</f>
        <v>46615594</v>
      </c>
      <c r="L245" s="39">
        <f>SUMIF(CodeF,C245,Forecast7)</f>
        <v>43184338</v>
      </c>
      <c r="M245" s="39">
        <f>SUMIF(CodeF,C245,Forecast8)</f>
        <v>38304387</v>
      </c>
      <c r="N245" s="39">
        <f>SUMIF(CodeF,C245,Forecast9)</f>
        <v>36146602</v>
      </c>
      <c r="O245" s="39">
        <f>SUMIF(CodeF,C245,Forecast10)</f>
        <v>32233049</v>
      </c>
      <c r="P245" s="39">
        <f>SUMIF(CodeF,C245,Forecast11)</f>
        <v>35889410</v>
      </c>
      <c r="Q245" s="39">
        <f>SUMIF(CodeF,C245,Forecast12)</f>
        <v>42223921</v>
      </c>
      <c r="R245" s="38"/>
    </row>
    <row r="246" spans="1:18">
      <c r="A246" s="37"/>
      <c r="B246" s="2" t="s">
        <v>334</v>
      </c>
      <c r="C246" s="44"/>
      <c r="D246" s="1438"/>
      <c r="E246" s="39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</row>
    <row r="247" spans="1:18">
      <c r="A247" s="37"/>
      <c r="B247" s="43" t="s">
        <v>124</v>
      </c>
      <c r="C247" s="44" t="s">
        <v>282</v>
      </c>
      <c r="D247" s="1438"/>
      <c r="E247" s="166">
        <f>SUM(F247:Q247)</f>
        <v>65752730</v>
      </c>
      <c r="F247" s="39">
        <f>SUMIF(CodeF,C247,Forecast1)</f>
        <v>9018946</v>
      </c>
      <c r="G247" s="39">
        <f>SUMIF(CodeF,C247,Forecast2)</f>
        <v>6940796</v>
      </c>
      <c r="H247" s="39">
        <f>SUMIF(CodeF,C247,Forecast3)</f>
        <v>-710615</v>
      </c>
      <c r="I247" s="39">
        <f>SUMIF(CodeF,C247,forecast4)</f>
        <v>-3030610</v>
      </c>
      <c r="J247" s="39">
        <f>SUMIF(CodeF,C247,Forecast5)</f>
        <v>4650677</v>
      </c>
      <c r="K247" s="39">
        <f>SUMIF(CodeF,C247,Forecast6)</f>
        <v>13418717</v>
      </c>
      <c r="L247" s="39">
        <f>SUMIF(CodeF,C247,Forecast7)</f>
        <v>13184789</v>
      </c>
      <c r="M247" s="39">
        <f>SUMIF(CodeF,C247,Forecast8)</f>
        <v>6642992</v>
      </c>
      <c r="N247" s="39">
        <f>SUMIF(CodeF,C247,Forecast9)</f>
        <v>3615864</v>
      </c>
      <c r="O247" s="39">
        <f>SUMIF(CodeF,C247,Forecast10)</f>
        <v>2923626</v>
      </c>
      <c r="P247" s="39">
        <f>SUMIF(CodeF,C247,Forecast11)</f>
        <v>4378639</v>
      </c>
      <c r="Q247" s="39">
        <f>SUMIF(CodeF,C247,Forecast12)</f>
        <v>4718909</v>
      </c>
      <c r="R247" s="38"/>
    </row>
    <row r="248" spans="1:18">
      <c r="A248" s="37"/>
      <c r="B248" s="43" t="s">
        <v>335</v>
      </c>
      <c r="C248" s="44" t="s">
        <v>304</v>
      </c>
      <c r="D248" s="1438"/>
      <c r="E248" s="166">
        <f>SUM(F248:Q248)</f>
        <v>99073890</v>
      </c>
      <c r="F248" s="39">
        <f>SUMIF(CodeF,C248,Forecast1)</f>
        <v>7636860</v>
      </c>
      <c r="G248" s="39">
        <f>SUMIF(CodeF,C248,Forecast2)</f>
        <v>8581326</v>
      </c>
      <c r="H248" s="39">
        <f>SUMIF(CodeF,C248,Forecast3)</f>
        <v>13453787</v>
      </c>
      <c r="I248" s="39">
        <f>SUMIF(CodeF,C248,forecast4)</f>
        <v>13662247</v>
      </c>
      <c r="J248" s="39">
        <f>SUMIF(CodeF,C248,Forecast5)</f>
        <v>10674137</v>
      </c>
      <c r="K248" s="39">
        <f>SUMIF(CodeF,C248,Forecast6)</f>
        <v>4763988</v>
      </c>
      <c r="L248" s="39">
        <f>SUMIF(CodeF,C248,Forecast7)</f>
        <v>4292188</v>
      </c>
      <c r="M248" s="39">
        <f>SUMIF(CodeF,C248,Forecast8)</f>
        <v>4592280</v>
      </c>
      <c r="N248" s="39">
        <f>SUMIF(CodeF,C248,Forecast9)</f>
        <v>8227781</v>
      </c>
      <c r="O248" s="39">
        <f>SUMIF(CodeF,C248,Forecast10)</f>
        <v>7446490</v>
      </c>
      <c r="P248" s="39">
        <f>SUMIF(CodeF,C248,Forecast11)</f>
        <v>7532695</v>
      </c>
      <c r="Q248" s="39">
        <f>SUMIF(CodeF,C248,Forecast12)</f>
        <v>8210111</v>
      </c>
      <c r="R248" s="38"/>
    </row>
    <row r="249" spans="1:18">
      <c r="A249" s="37"/>
      <c r="B249" s="43" t="s">
        <v>336</v>
      </c>
      <c r="C249" s="44" t="s">
        <v>306</v>
      </c>
      <c r="D249" s="1438"/>
      <c r="E249" s="166">
        <f>SUM(F249:Q249)</f>
        <v>8299178</v>
      </c>
      <c r="F249" s="39">
        <f>SUMIF(CodeF,C249,Forecast1)</f>
        <v>1228140</v>
      </c>
      <c r="G249" s="39">
        <f>SUMIF(CodeF,C249,Forecast2)</f>
        <v>672656</v>
      </c>
      <c r="H249" s="39">
        <f>SUMIF(CodeF,C249,Forecast3)</f>
        <v>628771</v>
      </c>
      <c r="I249" s="39">
        <f>SUMIF(CodeF,C249,forecast4)</f>
        <v>644603</v>
      </c>
      <c r="J249" s="39">
        <f>SUMIF(CodeF,C249,Forecast5)</f>
        <v>571278</v>
      </c>
      <c r="K249" s="39">
        <f>SUMIF(CodeF,C249,Forecast6)</f>
        <v>745298</v>
      </c>
      <c r="L249" s="39">
        <f>SUMIF(CodeF,C249,Forecast7)</f>
        <v>571574</v>
      </c>
      <c r="M249" s="39">
        <f>SUMIF(CodeF,C249,Forecast8)</f>
        <v>696139</v>
      </c>
      <c r="N249" s="39">
        <f>SUMIF(CodeF,C249,Forecast9)</f>
        <v>744868</v>
      </c>
      <c r="O249" s="39">
        <f>SUMIF(CodeF,C249,Forecast10)</f>
        <v>614174</v>
      </c>
      <c r="P249" s="39">
        <f>SUMIF(CodeF,C249,Forecast11)</f>
        <v>563901</v>
      </c>
      <c r="Q249" s="39">
        <f>SUMIF(CodeF,C249,Forecast12)</f>
        <v>617776</v>
      </c>
      <c r="R249" s="38"/>
    </row>
    <row r="250" spans="1:18">
      <c r="A250" s="37"/>
      <c r="B250" s="43" t="s">
        <v>337</v>
      </c>
      <c r="C250" s="44" t="s">
        <v>298</v>
      </c>
      <c r="D250" s="1438"/>
      <c r="E250" s="166">
        <f>SUM(F250:Q250)</f>
        <v>0</v>
      </c>
      <c r="F250" s="39">
        <f>SUMIF(CodeF,C250,Forecast1)</f>
        <v>0</v>
      </c>
      <c r="G250" s="39">
        <f>SUMIF(CodeF,C250,Forecast2)</f>
        <v>0</v>
      </c>
      <c r="H250" s="39">
        <f>SUMIF(CodeF,C250,Forecast3)</f>
        <v>0</v>
      </c>
      <c r="I250" s="39">
        <f>SUMIF(CodeF,C250,forecast4)</f>
        <v>0</v>
      </c>
      <c r="J250" s="39">
        <f>SUMIF(CodeF,C250,Forecast5)</f>
        <v>0</v>
      </c>
      <c r="K250" s="39">
        <f>SUMIF(CodeF,C250,Forecast6)</f>
        <v>0</v>
      </c>
      <c r="L250" s="39">
        <f>SUMIF(CodeF,C250,Forecast7)</f>
        <v>0</v>
      </c>
      <c r="M250" s="39">
        <f>SUMIF(CodeF,C250,Forecast8)</f>
        <v>0</v>
      </c>
      <c r="N250" s="39">
        <f>SUMIF(CodeF,C250,Forecast9)</f>
        <v>0</v>
      </c>
      <c r="O250" s="39">
        <f>SUMIF(CodeF,C250,Forecast10)</f>
        <v>0</v>
      </c>
      <c r="P250" s="39">
        <f>SUMIF(CodeF,C250,Forecast11)</f>
        <v>0</v>
      </c>
      <c r="Q250" s="39">
        <f>SUMIF(CodeF,C250,Forecast12)</f>
        <v>0</v>
      </c>
      <c r="R250" s="38"/>
    </row>
    <row r="251" spans="1:18">
      <c r="A251" s="37"/>
      <c r="B251" s="2" t="s">
        <v>338</v>
      </c>
      <c r="C251" s="44"/>
      <c r="D251" s="1438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8"/>
    </row>
    <row r="252" spans="1:18">
      <c r="A252" s="37"/>
      <c r="B252" s="43" t="s">
        <v>339</v>
      </c>
      <c r="C252" s="44" t="s">
        <v>289</v>
      </c>
      <c r="D252" s="1438"/>
      <c r="E252" s="166">
        <f t="shared" ref="E252:E260" si="42">SUM(F252:Q252)</f>
        <v>24526315</v>
      </c>
      <c r="F252" s="39">
        <f t="shared" ref="F252:F260" si="43">SUMIF(CodeF,C252,Forecast1)</f>
        <v>1217095</v>
      </c>
      <c r="G252" s="39">
        <f t="shared" ref="G252:G260" si="44">SUMIF(CodeF,C252,Forecast2)</f>
        <v>850072</v>
      </c>
      <c r="H252" s="39">
        <f t="shared" ref="H252:H260" si="45">SUMIF(CodeF,C252,Forecast3)</f>
        <v>848322</v>
      </c>
      <c r="I252" s="39">
        <f t="shared" ref="I252:I260" si="46">SUMIF(CodeF,C252,forecast4)</f>
        <v>1029802</v>
      </c>
      <c r="J252" s="39">
        <f t="shared" ref="J252:J260" si="47">SUMIF(CodeF,C252,Forecast5)</f>
        <v>945200</v>
      </c>
      <c r="K252" s="39">
        <f t="shared" ref="K252:K260" si="48">SUMIF(CodeF,C252,Forecast6)</f>
        <v>4143010</v>
      </c>
      <c r="L252" s="39">
        <f t="shared" ref="L252:L260" si="49">SUMIF(CodeF,C252,Forecast7)</f>
        <v>4226712</v>
      </c>
      <c r="M252" s="39">
        <f t="shared" ref="M252:M260" si="50">SUMIF(CodeF,C252,Forecast8)</f>
        <v>4114089</v>
      </c>
      <c r="N252" s="39">
        <f t="shared" ref="N252:N260" si="51">SUMIF(CodeF,C252,Forecast9)</f>
        <v>3023746</v>
      </c>
      <c r="O252" s="39">
        <f t="shared" ref="O252:O260" si="52">SUMIF(CodeF,C252,Forecast10)</f>
        <v>2176072</v>
      </c>
      <c r="P252" s="39">
        <f t="shared" ref="P252:P260" si="53">SUMIF(CodeF,C252,Forecast11)</f>
        <v>1071247</v>
      </c>
      <c r="Q252" s="39">
        <f t="shared" ref="Q252:Q260" si="54">SUMIF(CodeF,C252,Forecast12)</f>
        <v>880948</v>
      </c>
      <c r="R252" s="38"/>
    </row>
    <row r="253" spans="1:18">
      <c r="A253" s="37"/>
      <c r="B253" s="43" t="s">
        <v>340</v>
      </c>
      <c r="C253" s="44" t="s">
        <v>283</v>
      </c>
      <c r="D253" s="1438"/>
      <c r="E253" s="166">
        <f t="shared" si="42"/>
        <v>6332157</v>
      </c>
      <c r="F253" s="39">
        <f t="shared" si="43"/>
        <v>613748</v>
      </c>
      <c r="G253" s="39">
        <f t="shared" si="44"/>
        <v>597979</v>
      </c>
      <c r="H253" s="39">
        <f t="shared" si="45"/>
        <v>457312</v>
      </c>
      <c r="I253" s="39">
        <f t="shared" si="46"/>
        <v>603753</v>
      </c>
      <c r="J253" s="39">
        <f t="shared" si="47"/>
        <v>459686</v>
      </c>
      <c r="K253" s="39">
        <f t="shared" si="48"/>
        <v>507754</v>
      </c>
      <c r="L253" s="39">
        <f t="shared" si="49"/>
        <v>610393</v>
      </c>
      <c r="M253" s="39">
        <f t="shared" si="50"/>
        <v>476238</v>
      </c>
      <c r="N253" s="39">
        <f t="shared" si="51"/>
        <v>397811</v>
      </c>
      <c r="O253" s="39">
        <f t="shared" si="52"/>
        <v>419957</v>
      </c>
      <c r="P253" s="39">
        <f t="shared" si="53"/>
        <v>589999</v>
      </c>
      <c r="Q253" s="39">
        <f t="shared" si="54"/>
        <v>597527</v>
      </c>
      <c r="R253" s="38"/>
    </row>
    <row r="254" spans="1:18">
      <c r="A254" s="37"/>
      <c r="B254" s="43" t="s">
        <v>341</v>
      </c>
      <c r="C254" s="44" t="s">
        <v>321</v>
      </c>
      <c r="D254" s="1438"/>
      <c r="E254" s="166">
        <f t="shared" si="42"/>
        <v>1514280</v>
      </c>
      <c r="F254" s="39">
        <f t="shared" si="43"/>
        <v>122215</v>
      </c>
      <c r="G254" s="39">
        <f t="shared" si="44"/>
        <v>121569</v>
      </c>
      <c r="H254" s="39">
        <f t="shared" si="45"/>
        <v>118630</v>
      </c>
      <c r="I254" s="39">
        <f t="shared" si="46"/>
        <v>128242</v>
      </c>
      <c r="J254" s="39">
        <f t="shared" si="47"/>
        <v>138109</v>
      </c>
      <c r="K254" s="39">
        <f t="shared" si="48"/>
        <v>123325</v>
      </c>
      <c r="L254" s="39">
        <f t="shared" si="49"/>
        <v>130539</v>
      </c>
      <c r="M254" s="39">
        <f t="shared" si="50"/>
        <v>116841</v>
      </c>
      <c r="N254" s="39">
        <f t="shared" si="51"/>
        <v>125894</v>
      </c>
      <c r="O254" s="39">
        <f t="shared" si="52"/>
        <v>124957</v>
      </c>
      <c r="P254" s="39">
        <f t="shared" si="53"/>
        <v>135766</v>
      </c>
      <c r="Q254" s="39">
        <f t="shared" si="54"/>
        <v>128193</v>
      </c>
      <c r="R254" s="38"/>
    </row>
    <row r="255" spans="1:18">
      <c r="A255" s="37"/>
      <c r="B255" s="43" t="s">
        <v>342</v>
      </c>
      <c r="C255" s="44" t="s">
        <v>322</v>
      </c>
      <c r="D255" s="1438"/>
      <c r="E255" s="166">
        <f t="shared" si="42"/>
        <v>256159</v>
      </c>
      <c r="F255" s="39">
        <f t="shared" si="43"/>
        <v>23131</v>
      </c>
      <c r="G255" s="39">
        <f t="shared" si="44"/>
        <v>23131</v>
      </c>
      <c r="H255" s="39">
        <f t="shared" si="45"/>
        <v>23367</v>
      </c>
      <c r="I255" s="39">
        <f t="shared" si="46"/>
        <v>23132</v>
      </c>
      <c r="J255" s="39">
        <f t="shared" si="47"/>
        <v>23131</v>
      </c>
      <c r="K255" s="39">
        <f t="shared" si="48"/>
        <v>23372</v>
      </c>
      <c r="L255" s="39">
        <f t="shared" si="49"/>
        <v>19287</v>
      </c>
      <c r="M255" s="39">
        <f t="shared" si="50"/>
        <v>19254</v>
      </c>
      <c r="N255" s="39">
        <f t="shared" si="51"/>
        <v>19708</v>
      </c>
      <c r="O255" s="39">
        <f t="shared" si="52"/>
        <v>19468</v>
      </c>
      <c r="P255" s="39">
        <f t="shared" si="53"/>
        <v>19471</v>
      </c>
      <c r="Q255" s="39">
        <f t="shared" si="54"/>
        <v>19707</v>
      </c>
      <c r="R255" s="38"/>
    </row>
    <row r="256" spans="1:18">
      <c r="A256" s="37"/>
      <c r="B256" s="43" t="s">
        <v>343</v>
      </c>
      <c r="C256" s="44" t="s">
        <v>307</v>
      </c>
      <c r="D256" s="1438"/>
      <c r="E256" s="166">
        <f t="shared" si="42"/>
        <v>33555706</v>
      </c>
      <c r="F256" s="39">
        <f t="shared" si="43"/>
        <v>2618087</v>
      </c>
      <c r="G256" s="39">
        <f t="shared" si="44"/>
        <v>2616798</v>
      </c>
      <c r="H256" s="39">
        <f t="shared" si="45"/>
        <v>2756141</v>
      </c>
      <c r="I256" s="39">
        <f t="shared" si="46"/>
        <v>2624364</v>
      </c>
      <c r="J256" s="39">
        <f t="shared" si="47"/>
        <v>2606989</v>
      </c>
      <c r="K256" s="39">
        <f t="shared" si="48"/>
        <v>2745343</v>
      </c>
      <c r="L256" s="39">
        <f t="shared" si="49"/>
        <v>2881696</v>
      </c>
      <c r="M256" s="39">
        <f t="shared" si="50"/>
        <v>2879785</v>
      </c>
      <c r="N256" s="39">
        <f t="shared" si="51"/>
        <v>3017795</v>
      </c>
      <c r="O256" s="39">
        <f t="shared" si="52"/>
        <v>2880829</v>
      </c>
      <c r="P256" s="39">
        <f t="shared" si="53"/>
        <v>2899716</v>
      </c>
      <c r="Q256" s="39">
        <f t="shared" si="54"/>
        <v>3028163</v>
      </c>
      <c r="R256" s="38"/>
    </row>
    <row r="257" spans="1:18">
      <c r="A257" s="37"/>
      <c r="B257" s="43" t="s">
        <v>344</v>
      </c>
      <c r="C257" s="44" t="s">
        <v>314</v>
      </c>
      <c r="D257" s="1438"/>
      <c r="E257" s="166">
        <f t="shared" si="42"/>
        <v>3440220</v>
      </c>
      <c r="F257" s="39">
        <f t="shared" si="43"/>
        <v>286685</v>
      </c>
      <c r="G257" s="39">
        <f t="shared" si="44"/>
        <v>286685</v>
      </c>
      <c r="H257" s="39">
        <f t="shared" si="45"/>
        <v>286685</v>
      </c>
      <c r="I257" s="39">
        <f t="shared" si="46"/>
        <v>286685</v>
      </c>
      <c r="J257" s="39">
        <f t="shared" si="47"/>
        <v>286685</v>
      </c>
      <c r="K257" s="39">
        <f t="shared" si="48"/>
        <v>286685</v>
      </c>
      <c r="L257" s="39">
        <f t="shared" si="49"/>
        <v>286685</v>
      </c>
      <c r="M257" s="39">
        <f t="shared" si="50"/>
        <v>286685</v>
      </c>
      <c r="N257" s="39">
        <f t="shared" si="51"/>
        <v>286685</v>
      </c>
      <c r="O257" s="39">
        <f t="shared" si="52"/>
        <v>286685</v>
      </c>
      <c r="P257" s="39">
        <f t="shared" si="53"/>
        <v>286685</v>
      </c>
      <c r="Q257" s="39">
        <f t="shared" si="54"/>
        <v>286685</v>
      </c>
      <c r="R257" s="38"/>
    </row>
    <row r="258" spans="1:18">
      <c r="A258" s="37"/>
      <c r="B258" s="43" t="s">
        <v>345</v>
      </c>
      <c r="C258" s="44" t="s">
        <v>315</v>
      </c>
      <c r="D258" s="1438"/>
      <c r="E258" s="166">
        <f t="shared" si="42"/>
        <v>5091167</v>
      </c>
      <c r="F258" s="39">
        <f t="shared" si="43"/>
        <v>435047</v>
      </c>
      <c r="G258" s="39">
        <f t="shared" si="44"/>
        <v>383502</v>
      </c>
      <c r="H258" s="39">
        <f t="shared" si="45"/>
        <v>367168</v>
      </c>
      <c r="I258" s="39">
        <f t="shared" si="46"/>
        <v>486504</v>
      </c>
      <c r="J258" s="39">
        <f t="shared" si="47"/>
        <v>407569</v>
      </c>
      <c r="K258" s="39">
        <f t="shared" si="48"/>
        <v>418818</v>
      </c>
      <c r="L258" s="39">
        <f t="shared" si="49"/>
        <v>355940</v>
      </c>
      <c r="M258" s="39">
        <f t="shared" si="50"/>
        <v>347045</v>
      </c>
      <c r="N258" s="39">
        <f t="shared" si="51"/>
        <v>353622</v>
      </c>
      <c r="O258" s="39">
        <f t="shared" si="52"/>
        <v>364291</v>
      </c>
      <c r="P258" s="39">
        <f t="shared" si="53"/>
        <v>475768</v>
      </c>
      <c r="Q258" s="39">
        <f t="shared" si="54"/>
        <v>695893</v>
      </c>
      <c r="R258" s="38"/>
    </row>
    <row r="259" spans="1:18">
      <c r="A259" s="37"/>
      <c r="B259" s="43" t="s">
        <v>346</v>
      </c>
      <c r="C259" s="44" t="s">
        <v>323</v>
      </c>
      <c r="D259" s="1438"/>
      <c r="E259" s="166">
        <f t="shared" si="42"/>
        <v>27225212</v>
      </c>
      <c r="F259" s="39">
        <f t="shared" si="43"/>
        <v>2137089</v>
      </c>
      <c r="G259" s="39">
        <f t="shared" si="44"/>
        <v>2137120</v>
      </c>
      <c r="H259" s="39">
        <f t="shared" si="45"/>
        <v>2586573</v>
      </c>
      <c r="I259" s="39">
        <f t="shared" si="46"/>
        <v>2217567</v>
      </c>
      <c r="J259" s="39">
        <f t="shared" si="47"/>
        <v>2156280</v>
      </c>
      <c r="K259" s="39">
        <f t="shared" si="48"/>
        <v>2192879</v>
      </c>
      <c r="L259" s="39">
        <f t="shared" si="49"/>
        <v>2351357</v>
      </c>
      <c r="M259" s="39">
        <f t="shared" si="50"/>
        <v>2117646</v>
      </c>
      <c r="N259" s="39">
        <f t="shared" si="51"/>
        <v>2617363</v>
      </c>
      <c r="O259" s="39">
        <f t="shared" si="52"/>
        <v>2191661</v>
      </c>
      <c r="P259" s="39">
        <f t="shared" si="53"/>
        <v>2277546</v>
      </c>
      <c r="Q259" s="39">
        <f t="shared" si="54"/>
        <v>2242131</v>
      </c>
      <c r="R259" s="38"/>
    </row>
    <row r="260" spans="1:18">
      <c r="A260" s="37"/>
      <c r="B260" s="43" t="s">
        <v>217</v>
      </c>
      <c r="C260" s="44" t="s">
        <v>262</v>
      </c>
      <c r="D260" s="1438"/>
      <c r="E260" s="166">
        <f t="shared" si="42"/>
        <v>0</v>
      </c>
      <c r="F260" s="39">
        <f t="shared" si="43"/>
        <v>0</v>
      </c>
      <c r="G260" s="39">
        <f t="shared" si="44"/>
        <v>0</v>
      </c>
      <c r="H260" s="39">
        <f t="shared" si="45"/>
        <v>0</v>
      </c>
      <c r="I260" s="39">
        <f t="shared" si="46"/>
        <v>0</v>
      </c>
      <c r="J260" s="39">
        <f t="shared" si="47"/>
        <v>0</v>
      </c>
      <c r="K260" s="39">
        <f t="shared" si="48"/>
        <v>0</v>
      </c>
      <c r="L260" s="39">
        <f t="shared" si="49"/>
        <v>0</v>
      </c>
      <c r="M260" s="39">
        <f t="shared" si="50"/>
        <v>0</v>
      </c>
      <c r="N260" s="39">
        <f t="shared" si="51"/>
        <v>0</v>
      </c>
      <c r="O260" s="39">
        <f t="shared" si="52"/>
        <v>0</v>
      </c>
      <c r="P260" s="39">
        <f t="shared" si="53"/>
        <v>0</v>
      </c>
      <c r="Q260" s="39">
        <f t="shared" si="54"/>
        <v>0</v>
      </c>
      <c r="R260" s="38"/>
    </row>
    <row r="261" spans="1:18">
      <c r="A261" s="37"/>
      <c r="B261" s="2" t="s">
        <v>347</v>
      </c>
      <c r="C261" s="44"/>
      <c r="D261" s="1438"/>
      <c r="E261" s="39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</row>
    <row r="262" spans="1:18">
      <c r="A262" s="37"/>
      <c r="B262" s="43" t="s">
        <v>339</v>
      </c>
      <c r="C262" s="44" t="s">
        <v>299</v>
      </c>
      <c r="D262" s="1438"/>
      <c r="E262" s="166">
        <f>SUM(F262:Q262)</f>
        <v>26147939</v>
      </c>
      <c r="F262" s="39">
        <f>SUMIF(CodeF,C262,Forecast1)</f>
        <v>1376286</v>
      </c>
      <c r="G262" s="39">
        <f>SUMIF(CodeF,C262,Forecast2)</f>
        <v>3057381</v>
      </c>
      <c r="H262" s="39">
        <f>SUMIF(CodeF,C262,Forecast3)</f>
        <v>3637487</v>
      </c>
      <c r="I262" s="39">
        <f>SUMIF(CodeF,C262,forecast4)</f>
        <v>3351619</v>
      </c>
      <c r="J262" s="39">
        <f>SUMIF(CodeF,C262,Forecast5)</f>
        <v>2161803</v>
      </c>
      <c r="K262" s="39">
        <f>SUMIF(CodeF,C262,Forecast6)</f>
        <v>2808309</v>
      </c>
      <c r="L262" s="39">
        <f>SUMIF(CodeF,C262,Forecast7)</f>
        <v>1917044</v>
      </c>
      <c r="M262" s="39">
        <f>SUMIF(CodeF,C262,Forecast8)</f>
        <v>1247911</v>
      </c>
      <c r="N262" s="39">
        <f>SUMIF(CodeF,C262,Forecast9)</f>
        <v>2168035</v>
      </c>
      <c r="O262" s="39">
        <f>SUMIF(CodeF,C262,Forecast10)</f>
        <v>1888736</v>
      </c>
      <c r="P262" s="39">
        <f>SUMIF(CodeF,C262,Forecast11)</f>
        <v>1296891</v>
      </c>
      <c r="Q262" s="39">
        <f>SUMIF(CodeF,C262,Forecast12)</f>
        <v>1236437</v>
      </c>
      <c r="R262" s="38"/>
    </row>
    <row r="263" spans="1:18">
      <c r="A263" s="37"/>
      <c r="B263" s="43" t="s">
        <v>343</v>
      </c>
      <c r="C263" s="44" t="s">
        <v>311</v>
      </c>
      <c r="D263" s="1438"/>
      <c r="E263" s="166">
        <f>SUM(F263:Q263)</f>
        <v>1258298</v>
      </c>
      <c r="F263" s="39">
        <f>SUMIF(CodeF,C263,Forecast1)</f>
        <v>140923</v>
      </c>
      <c r="G263" s="39">
        <f>SUMIF(CodeF,C263,Forecast2)</f>
        <v>169247</v>
      </c>
      <c r="H263" s="39">
        <f>SUMIF(CodeF,C263,Forecast3)</f>
        <v>72224</v>
      </c>
      <c r="I263" s="39">
        <f>SUMIF(CodeF,C263,forecast4)</f>
        <v>90228</v>
      </c>
      <c r="J263" s="39">
        <f>SUMIF(CodeF,C263,Forecast5)</f>
        <v>91919</v>
      </c>
      <c r="K263" s="39">
        <f>SUMIF(CodeF,C263,Forecast6)</f>
        <v>77962</v>
      </c>
      <c r="L263" s="39">
        <f>SUMIF(CodeF,C263,Forecast7)</f>
        <v>101253</v>
      </c>
      <c r="M263" s="39">
        <f>SUMIF(CodeF,C263,Forecast8)</f>
        <v>65105</v>
      </c>
      <c r="N263" s="39">
        <f>SUMIF(CodeF,C263,Forecast9)</f>
        <v>73099</v>
      </c>
      <c r="O263" s="39">
        <f>SUMIF(CodeF,C263,Forecast10)</f>
        <v>80229</v>
      </c>
      <c r="P263" s="39">
        <f>SUMIF(CodeF,C263,Forecast11)</f>
        <v>133387</v>
      </c>
      <c r="Q263" s="39">
        <f>SUMIF(CodeF,C263,Forecast12)</f>
        <v>162722</v>
      </c>
      <c r="R263" s="38"/>
    </row>
    <row r="264" spans="1:18">
      <c r="A264" s="37"/>
      <c r="B264" s="43" t="s">
        <v>344</v>
      </c>
      <c r="C264" s="44" t="s">
        <v>348</v>
      </c>
      <c r="D264" s="1438"/>
      <c r="E264" s="166">
        <f>SUM(F264:Q264)</f>
        <v>0</v>
      </c>
      <c r="F264" s="39">
        <f>SUMIF(CodeF,C264,Forecast1)</f>
        <v>0</v>
      </c>
      <c r="G264" s="39">
        <f>SUMIF(CodeF,C264,Forecast2)</f>
        <v>0</v>
      </c>
      <c r="H264" s="39">
        <f>SUMIF(CodeF,C264,Forecast3)</f>
        <v>0</v>
      </c>
      <c r="I264" s="39">
        <f>SUMIF(CodeF,C264,forecast4)</f>
        <v>0</v>
      </c>
      <c r="J264" s="39">
        <f>SUMIF(CodeF,C264,Forecast5)</f>
        <v>0</v>
      </c>
      <c r="K264" s="39">
        <f>SUMIF(CodeF,C264,Forecast6)</f>
        <v>0</v>
      </c>
      <c r="L264" s="39">
        <f>SUMIF(CodeF,C264,Forecast7)</f>
        <v>0</v>
      </c>
      <c r="M264" s="39">
        <f>SUMIF(CodeF,C264,Forecast8)</f>
        <v>0</v>
      </c>
      <c r="N264" s="39">
        <f>SUMIF(CodeF,C264,Forecast9)</f>
        <v>0</v>
      </c>
      <c r="O264" s="39">
        <f>SUMIF(CodeF,C264,Forecast10)</f>
        <v>0</v>
      </c>
      <c r="P264" s="39">
        <f>SUMIF(CodeF,C264,Forecast11)</f>
        <v>0</v>
      </c>
      <c r="Q264" s="39">
        <f>SUMIF(CodeF,C264,Forecast12)</f>
        <v>0</v>
      </c>
      <c r="R264" s="38"/>
    </row>
    <row r="265" spans="1:18">
      <c r="A265" s="37"/>
      <c r="B265" s="43" t="s">
        <v>345</v>
      </c>
      <c r="C265" s="44" t="s">
        <v>316</v>
      </c>
      <c r="D265" s="1438"/>
      <c r="E265" s="166">
        <f>SUM(F265:Q265)</f>
        <v>9342509</v>
      </c>
      <c r="F265" s="39">
        <f>SUMIF(CodeF,C265,Forecast1)</f>
        <v>1053146</v>
      </c>
      <c r="G265" s="39">
        <f>SUMIF(CodeF,C265,Forecast2)</f>
        <v>665126</v>
      </c>
      <c r="H265" s="39">
        <f>SUMIF(CodeF,C265,Forecast3)</f>
        <v>807019</v>
      </c>
      <c r="I265" s="39">
        <f>SUMIF(CodeF,C265,forecast4)</f>
        <v>775711</v>
      </c>
      <c r="J265" s="39">
        <f>SUMIF(CodeF,C265,Forecast5)</f>
        <v>761398</v>
      </c>
      <c r="K265" s="39">
        <f>SUMIF(CodeF,C265,Forecast6)</f>
        <v>738918</v>
      </c>
      <c r="L265" s="39">
        <f>SUMIF(CodeF,C265,Forecast7)</f>
        <v>685439</v>
      </c>
      <c r="M265" s="39">
        <f>SUMIF(CodeF,C265,Forecast8)</f>
        <v>738170</v>
      </c>
      <c r="N265" s="39">
        <f>SUMIF(CodeF,C265,Forecast9)</f>
        <v>783660</v>
      </c>
      <c r="O265" s="39">
        <f>SUMIF(CodeF,C265,Forecast10)</f>
        <v>865100</v>
      </c>
      <c r="P265" s="39">
        <f>SUMIF(CodeF,C265,Forecast11)</f>
        <v>725340</v>
      </c>
      <c r="Q265" s="39">
        <f>SUMIF(CodeF,C265,Forecast12)</f>
        <v>743482</v>
      </c>
      <c r="R265" s="38"/>
    </row>
    <row r="266" spans="1:18">
      <c r="A266" s="37"/>
      <c r="B266" s="43" t="s">
        <v>346</v>
      </c>
      <c r="C266" s="44" t="s">
        <v>332</v>
      </c>
      <c r="D266" s="1438"/>
      <c r="E266" s="166">
        <f>SUM(F266:Q266)</f>
        <v>60</v>
      </c>
      <c r="F266" s="39">
        <f>SUMIF(CodeF,C266,Forecast1)</f>
        <v>5</v>
      </c>
      <c r="G266" s="39">
        <f>SUMIF(CodeF,C266,Forecast2)</f>
        <v>5</v>
      </c>
      <c r="H266" s="39">
        <f>SUMIF(CodeF,C266,Forecast3)</f>
        <v>5</v>
      </c>
      <c r="I266" s="39">
        <f>SUMIF(CodeF,C266,forecast4)</f>
        <v>5</v>
      </c>
      <c r="J266" s="39">
        <f>SUMIF(CodeF,C266,Forecast5)</f>
        <v>5</v>
      </c>
      <c r="K266" s="39">
        <f>SUMIF(CodeF,C266,Forecast6)</f>
        <v>5</v>
      </c>
      <c r="L266" s="39">
        <f>SUMIF(CodeF,C266,Forecast7)</f>
        <v>5</v>
      </c>
      <c r="M266" s="39">
        <f>SUMIF(CodeF,C266,Forecast8)</f>
        <v>5</v>
      </c>
      <c r="N266" s="39">
        <f>SUMIF(CodeF,C266,Forecast9)</f>
        <v>5</v>
      </c>
      <c r="O266" s="39">
        <f>SUMIF(CodeF,C266,Forecast10)</f>
        <v>5</v>
      </c>
      <c r="P266" s="39">
        <f>SUMIF(CodeF,C266,Forecast11)</f>
        <v>5</v>
      </c>
      <c r="Q266" s="39">
        <f>SUMIF(CodeF,C266,Forecast12)</f>
        <v>5</v>
      </c>
      <c r="R266" s="38"/>
    </row>
    <row r="267" spans="1:18">
      <c r="A267" s="37"/>
      <c r="B267" s="1435" t="s">
        <v>349</v>
      </c>
      <c r="C267" s="44"/>
      <c r="D267" s="1438"/>
      <c r="E267" s="39">
        <f>SUM(E252:E260)+SUM(E262:E266)</f>
        <v>138690022</v>
      </c>
      <c r="F267" s="39">
        <f>SUM(F252:F260)+SUM(F262:F266)</f>
        <v>10023457</v>
      </c>
      <c r="G267" s="39">
        <f>SUM(G252:G260)+SUM(G262:G266)</f>
        <v>10908615</v>
      </c>
      <c r="H267" s="39">
        <f t="shared" ref="H267:Q267" si="55">SUM(H252:H260)+SUM(H262:H266)</f>
        <v>11960933</v>
      </c>
      <c r="I267" s="39">
        <f t="shared" si="55"/>
        <v>11617612</v>
      </c>
      <c r="J267" s="39">
        <f t="shared" si="55"/>
        <v>10038774</v>
      </c>
      <c r="K267" s="39">
        <f t="shared" si="55"/>
        <v>14066380</v>
      </c>
      <c r="L267" s="39">
        <f t="shared" si="55"/>
        <v>13566350</v>
      </c>
      <c r="M267" s="39">
        <f t="shared" si="55"/>
        <v>12408774</v>
      </c>
      <c r="N267" s="39">
        <f t="shared" si="55"/>
        <v>12867423</v>
      </c>
      <c r="O267" s="39">
        <f t="shared" si="55"/>
        <v>11297990</v>
      </c>
      <c r="P267" s="39">
        <f t="shared" si="55"/>
        <v>9911821</v>
      </c>
      <c r="Q267" s="39">
        <f t="shared" si="55"/>
        <v>10021893</v>
      </c>
      <c r="R267" s="38"/>
    </row>
    <row r="268" spans="1:18">
      <c r="A268" s="37"/>
      <c r="B268" s="1436" t="s">
        <v>350</v>
      </c>
      <c r="C268" s="44"/>
      <c r="D268" s="1438"/>
      <c r="E268" s="39">
        <f>E267+E247+E248+E249+E250</f>
        <v>311815820</v>
      </c>
      <c r="F268" s="39">
        <f>F267+F247+F248+F249+F250</f>
        <v>27907403</v>
      </c>
      <c r="G268" s="39">
        <f t="shared" ref="G268:Q268" si="56">G267+G247+G248+G249+G250</f>
        <v>27103393</v>
      </c>
      <c r="H268" s="39">
        <f t="shared" si="56"/>
        <v>25332876</v>
      </c>
      <c r="I268" s="39">
        <f t="shared" si="56"/>
        <v>22893852</v>
      </c>
      <c r="J268" s="39">
        <f t="shared" si="56"/>
        <v>25934866</v>
      </c>
      <c r="K268" s="39">
        <f t="shared" si="56"/>
        <v>32994383</v>
      </c>
      <c r="L268" s="39">
        <f t="shared" si="56"/>
        <v>31614901</v>
      </c>
      <c r="M268" s="39">
        <f t="shared" si="56"/>
        <v>24340185</v>
      </c>
      <c r="N268" s="39">
        <f t="shared" si="56"/>
        <v>25455936</v>
      </c>
      <c r="O268" s="39">
        <f t="shared" si="56"/>
        <v>22282280</v>
      </c>
      <c r="P268" s="39">
        <f t="shared" si="56"/>
        <v>22387056</v>
      </c>
      <c r="Q268" s="39">
        <f t="shared" si="56"/>
        <v>23568689</v>
      </c>
      <c r="R268" s="38"/>
    </row>
    <row r="269" spans="1:18">
      <c r="A269" s="37"/>
      <c r="B269" s="1433" t="s">
        <v>351</v>
      </c>
      <c r="C269" s="44" t="s">
        <v>259</v>
      </c>
      <c r="D269" s="1438"/>
      <c r="E269" s="166">
        <f>SUM(F269:Q269)</f>
        <v>73446048</v>
      </c>
      <c r="F269" s="39">
        <f>SUMIF(CodeF,C269,Forecast1)</f>
        <v>5974528</v>
      </c>
      <c r="G269" s="39">
        <f>SUMIF(CodeF,C269,Forecast2)</f>
        <v>5972087</v>
      </c>
      <c r="H269" s="39">
        <f>SUMIF(CodeF,C269,Forecast3)</f>
        <v>5969832</v>
      </c>
      <c r="I269" s="39">
        <f>SUMIF(CodeF,C269,forecast4)</f>
        <v>6007990</v>
      </c>
      <c r="J269" s="39">
        <f>SUMIF(CodeF,C269,Forecast5)</f>
        <v>6043139</v>
      </c>
      <c r="K269" s="39">
        <f>SUMIF(CodeF,C269,Forecast6)</f>
        <v>6106940</v>
      </c>
      <c r="L269" s="39">
        <f>SUMIF(CodeF,C269,Forecast7)</f>
        <v>6223671</v>
      </c>
      <c r="M269" s="39">
        <f>SUMIF(CodeF,C269,Forecast8)</f>
        <v>6212706</v>
      </c>
      <c r="N269" s="39">
        <f>SUMIF(CodeF,C269,Forecast9)</f>
        <v>6207182</v>
      </c>
      <c r="O269" s="39">
        <f>SUMIF(CodeF,C269,Forecast10)</f>
        <v>6231733</v>
      </c>
      <c r="P269" s="39">
        <f>SUMIF(CodeF,C269,Forecast11)</f>
        <v>6231851</v>
      </c>
      <c r="Q269" s="39">
        <f>SUMIF(CodeF,C269,Forecast12)</f>
        <v>6264389</v>
      </c>
      <c r="R269" s="38"/>
    </row>
    <row r="270" spans="1:18">
      <c r="A270" s="37"/>
      <c r="B270" s="1433" t="s">
        <v>352</v>
      </c>
      <c r="C270" s="44" t="s">
        <v>261</v>
      </c>
      <c r="D270" s="1438"/>
      <c r="E270" s="166">
        <f>SUM(F270:Q270)</f>
        <v>12861102</v>
      </c>
      <c r="F270" s="39">
        <f>SUMIF(CodeF,C270,Forecast1)</f>
        <v>1153682</v>
      </c>
      <c r="G270" s="39">
        <f>SUMIF(CodeF,C270,Forecast2)</f>
        <v>1153682</v>
      </c>
      <c r="H270" s="39">
        <f>SUMIF(CodeF,C270,Forecast3)</f>
        <v>1153682</v>
      </c>
      <c r="I270" s="39">
        <f>SUMIF(CodeF,C270,forecast4)</f>
        <v>1153682</v>
      </c>
      <c r="J270" s="39">
        <f>SUMIF(CodeF,C270,Forecast5)</f>
        <v>1153682</v>
      </c>
      <c r="K270" s="39">
        <f>SUMIF(CodeF,C270,Forecast6)</f>
        <v>1153682</v>
      </c>
      <c r="L270" s="39">
        <f>SUMIF(CodeF,C270,Forecast7)</f>
        <v>989835</v>
      </c>
      <c r="M270" s="39">
        <f>SUMIF(CodeF,C270,Forecast8)</f>
        <v>989835</v>
      </c>
      <c r="N270" s="39">
        <f>SUMIF(CodeF,C270,Forecast9)</f>
        <v>989835</v>
      </c>
      <c r="O270" s="39">
        <f>SUMIF(CodeF,C270,Forecast10)</f>
        <v>989835</v>
      </c>
      <c r="P270" s="39">
        <f>SUMIF(CodeF,C270,Forecast11)</f>
        <v>989835</v>
      </c>
      <c r="Q270" s="39">
        <f>SUMIF(CodeF,C270,Forecast12)</f>
        <v>989835</v>
      </c>
      <c r="R270" s="38"/>
    </row>
    <row r="271" spans="1:18">
      <c r="A271" s="37"/>
      <c r="B271" s="1433" t="s">
        <v>353</v>
      </c>
      <c r="C271" s="44" t="s">
        <v>263</v>
      </c>
      <c r="D271" s="1438"/>
      <c r="E271" s="166">
        <f>SUM(F271:Q271)</f>
        <v>18320766</v>
      </c>
      <c r="F271" s="39">
        <f>SUMIF(CodeF,C271,Forecast1)</f>
        <v>1460208</v>
      </c>
      <c r="G271" s="39">
        <f>SUMIF(CodeF,C271,Forecast2)</f>
        <v>1460208</v>
      </c>
      <c r="H271" s="39">
        <f>SUMIF(CodeF,C271,Forecast3)</f>
        <v>1460208</v>
      </c>
      <c r="I271" s="39">
        <f>SUMIF(CodeF,C271,forecast4)</f>
        <v>1460208</v>
      </c>
      <c r="J271" s="39">
        <f>SUMIF(CodeF,C271,Forecast5)</f>
        <v>1460208</v>
      </c>
      <c r="K271" s="39">
        <f>SUMIF(CodeF,C271,Forecast6)</f>
        <v>1460208</v>
      </c>
      <c r="L271" s="39">
        <f>SUMIF(CodeF,C271,Forecast7)</f>
        <v>1593253</v>
      </c>
      <c r="M271" s="39">
        <f>SUMIF(CodeF,C271,Forecast8)</f>
        <v>1593253</v>
      </c>
      <c r="N271" s="39">
        <f>SUMIF(CodeF,C271,Forecast9)</f>
        <v>1593253</v>
      </c>
      <c r="O271" s="39">
        <f>SUMIF(CodeF,C271,Forecast10)</f>
        <v>1593253</v>
      </c>
      <c r="P271" s="39">
        <f>SUMIF(CodeF,C271,Forecast11)</f>
        <v>1593253</v>
      </c>
      <c r="Q271" s="39">
        <f>SUMIF(CodeF,C271,Forecast12)</f>
        <v>1593253</v>
      </c>
      <c r="R271" s="38"/>
    </row>
    <row r="272" spans="1:18">
      <c r="A272" s="37"/>
      <c r="B272" s="1433" t="s">
        <v>354</v>
      </c>
      <c r="C272" s="44" t="s">
        <v>265</v>
      </c>
      <c r="D272" s="1438"/>
      <c r="E272" s="166">
        <f>SUM(F272:Q272)</f>
        <v>4920612</v>
      </c>
      <c r="F272" s="39">
        <f>SUMIF(CodeF,C272,Forecast1)</f>
        <v>410051</v>
      </c>
      <c r="G272" s="39">
        <f>SUMIF(CodeF,C272,Forecast2)</f>
        <v>410051</v>
      </c>
      <c r="H272" s="39">
        <f>SUMIF(CodeF,C272,Forecast3)</f>
        <v>410051</v>
      </c>
      <c r="I272" s="39">
        <f>SUMIF(CodeF,C272,forecast4)</f>
        <v>410051</v>
      </c>
      <c r="J272" s="39">
        <f>SUMIF(CodeF,C272,Forecast5)</f>
        <v>410051</v>
      </c>
      <c r="K272" s="39">
        <f>SUMIF(CodeF,C272,Forecast6)</f>
        <v>410051</v>
      </c>
      <c r="L272" s="39">
        <f>SUMIF(CodeF,C272,Forecast7)</f>
        <v>410051</v>
      </c>
      <c r="M272" s="39">
        <f>SUMIF(CodeF,C272,Forecast8)</f>
        <v>410051</v>
      </c>
      <c r="N272" s="39">
        <f>SUMIF(CodeF,C272,Forecast9)</f>
        <v>410051</v>
      </c>
      <c r="O272" s="39">
        <f>SUMIF(CodeF,C272,Forecast10)</f>
        <v>410051</v>
      </c>
      <c r="P272" s="39">
        <f>SUMIF(CodeF,C272,Forecast11)</f>
        <v>410051</v>
      </c>
      <c r="Q272" s="39">
        <f>SUMIF(CodeF,C272,Forecast12)</f>
        <v>410051</v>
      </c>
      <c r="R272" s="38"/>
    </row>
    <row r="273" spans="1:18">
      <c r="A273" s="37"/>
      <c r="B273" s="1433"/>
      <c r="C273" s="44"/>
      <c r="D273" s="44"/>
      <c r="E273" s="39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</row>
    <row r="274" spans="1:18">
      <c r="A274" s="37"/>
      <c r="B274" s="1433" t="s">
        <v>355</v>
      </c>
      <c r="C274" s="44"/>
      <c r="D274" s="44"/>
      <c r="E274" s="39">
        <f>E245-E247-E248-E249-E250-E267-E269-E270-E271-E272</f>
        <v>61188629</v>
      </c>
      <c r="F274" s="742">
        <f>F245-F247-F248-F249-F250-F267-F269-F270-F271-F272</f>
        <v>9850547</v>
      </c>
      <c r="G274" s="39">
        <f t="shared" ref="G274:Q274" si="57">G245-G247-G248-G249-G250-G267-G269-G270-G271-G272</f>
        <v>10499996</v>
      </c>
      <c r="H274" s="39">
        <f t="shared" si="57"/>
        <v>6661269</v>
      </c>
      <c r="I274" s="39">
        <f t="shared" si="57"/>
        <v>1515220</v>
      </c>
      <c r="J274" s="39">
        <f t="shared" si="57"/>
        <v>5168973</v>
      </c>
      <c r="K274" s="39">
        <f t="shared" si="57"/>
        <v>4490330</v>
      </c>
      <c r="L274" s="39">
        <f t="shared" si="57"/>
        <v>2352627</v>
      </c>
      <c r="M274" s="39">
        <f t="shared" si="57"/>
        <v>4758357</v>
      </c>
      <c r="N274" s="39">
        <f t="shared" si="57"/>
        <v>1490345</v>
      </c>
      <c r="O274" s="39">
        <f t="shared" si="57"/>
        <v>725897</v>
      </c>
      <c r="P274" s="39">
        <f t="shared" si="57"/>
        <v>4277364</v>
      </c>
      <c r="Q274" s="39">
        <f t="shared" si="57"/>
        <v>9397704</v>
      </c>
      <c r="R274" s="38"/>
    </row>
    <row r="275" spans="1:18">
      <c r="A275" s="37"/>
      <c r="B275" s="1433"/>
      <c r="C275" s="44"/>
      <c r="D275" s="44"/>
      <c r="E275" s="39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</row>
    <row r="276" spans="1:18">
      <c r="A276" s="37"/>
      <c r="B276" s="1433" t="s">
        <v>356</v>
      </c>
      <c r="C276" s="44"/>
      <c r="D276" s="44"/>
      <c r="E276" s="39">
        <f>E274+E272</f>
        <v>66109241</v>
      </c>
      <c r="F276" s="742">
        <f>F245-F247-F248-F249-F250-F267-F269-F270-F271</f>
        <v>10260598</v>
      </c>
      <c r="G276" s="742">
        <f t="shared" ref="G276:Q276" si="58">G245-G247-G248-G249-G250-G267-G269-G270-G271</f>
        <v>10910047</v>
      </c>
      <c r="H276" s="742">
        <f t="shared" si="58"/>
        <v>7071320</v>
      </c>
      <c r="I276" s="742">
        <f t="shared" si="58"/>
        <v>1925271</v>
      </c>
      <c r="J276" s="742">
        <f t="shared" si="58"/>
        <v>5579024</v>
      </c>
      <c r="K276" s="742">
        <f t="shared" si="58"/>
        <v>4900381</v>
      </c>
      <c r="L276" s="742">
        <f t="shared" si="58"/>
        <v>2762678</v>
      </c>
      <c r="M276" s="742">
        <f t="shared" si="58"/>
        <v>5168408</v>
      </c>
      <c r="N276" s="742">
        <f t="shared" si="58"/>
        <v>1900396</v>
      </c>
      <c r="O276" s="742">
        <f t="shared" si="58"/>
        <v>1135948</v>
      </c>
      <c r="P276" s="742">
        <f t="shared" si="58"/>
        <v>4687415</v>
      </c>
      <c r="Q276" s="742">
        <f t="shared" si="58"/>
        <v>9807755</v>
      </c>
      <c r="R276" s="38"/>
    </row>
    <row r="277" spans="1:18">
      <c r="A277" s="37"/>
      <c r="B277" s="1432"/>
      <c r="C277" s="37"/>
      <c r="D277" s="37"/>
      <c r="E277" s="39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</row>
    <row r="278" spans="1:18">
      <c r="A278" s="37"/>
      <c r="B278" s="1432"/>
      <c r="C278" s="37"/>
      <c r="D278" s="37"/>
      <c r="E278" s="39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38"/>
    </row>
    <row r="279" spans="1:18">
      <c r="E279" s="71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</row>
    <row r="280" spans="1:18">
      <c r="E280" s="71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</row>
    <row r="281" spans="1:18">
      <c r="E281" s="71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</row>
    <row r="282" spans="1:18">
      <c r="E282" s="71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</row>
    <row r="283" spans="1:18">
      <c r="B283" s="29"/>
      <c r="E283" s="643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</row>
    <row r="284" spans="1:18">
      <c r="B284" s="29"/>
      <c r="E284" s="643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</row>
    <row r="285" spans="1:18"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</row>
    <row r="286" spans="1:18"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</row>
    <row r="287" spans="1:18"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</row>
    <row r="288" spans="1:18"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</row>
    <row r="289" spans="6:17"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</row>
    <row r="290" spans="6:17"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</row>
    <row r="291" spans="6:17"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</row>
    <row r="292" spans="6:17"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</row>
    <row r="293" spans="6:17"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</row>
    <row r="294" spans="6:17"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</row>
    <row r="295" spans="6:17"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</row>
    <row r="296" spans="6:17"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</row>
    <row r="297" spans="6:17"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</row>
    <row r="298" spans="6:17"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</row>
    <row r="299" spans="6:17">
      <c r="F299" s="28"/>
    </row>
    <row r="300" spans="6:17">
      <c r="F300" s="28"/>
    </row>
    <row r="365" spans="8:8">
      <c r="H365">
        <f>SUM(E373:E392)</f>
        <v>0</v>
      </c>
    </row>
  </sheetData>
  <phoneticPr fontId="19" type="noConversion"/>
  <pageMargins left="0.5" right="0.5" top="1" bottom="0.5" header="1" footer="0.5"/>
  <pageSetup scale="71" fitToHeight="10" orientation="landscape" blackAndWhite="1" r:id="rId1"/>
  <headerFooter alignWithMargins="0">
    <oddHeader>&amp;RWPC-2.1a_FP
WITNESS RESPONSIBLE:
L. D. STEINKUHL
PAGE &amp;P OF &amp;N</oddHeader>
  </headerFooter>
  <rowBreaks count="5" manualBreakCount="5">
    <brk id="57" max="16" man="1"/>
    <brk id="104" max="16" man="1"/>
    <brk id="151" max="16" man="1"/>
    <brk id="198" max="16" man="1"/>
    <brk id="243" max="16" man="1"/>
  </rowBreaks>
  <colBreaks count="1" manualBreakCount="1">
    <brk id="11" max="242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13">
    <tabColor theme="7" tint="-0.249977111117893"/>
    <pageSetUpPr fitToPage="1"/>
  </sheetPr>
  <dimension ref="A1:H23"/>
  <sheetViews>
    <sheetView workbookViewId="0"/>
  </sheetViews>
  <sheetFormatPr defaultColWidth="8.5546875" defaultRowHeight="13.2"/>
  <cols>
    <col min="1" max="1" width="52" bestFit="1" customWidth="1"/>
    <col min="2" max="6" width="8" customWidth="1"/>
    <col min="7" max="7" width="24.5546875" bestFit="1" customWidth="1"/>
    <col min="8" max="8" width="11.5546875" customWidth="1"/>
  </cols>
  <sheetData>
    <row r="1" spans="1:8">
      <c r="A1" s="951" t="str">
        <f>LOGO!B5</f>
        <v>DUKE ENERGY KENTUCKY, INC.</v>
      </c>
      <c r="B1" s="710"/>
      <c r="C1" s="710"/>
      <c r="D1" s="709"/>
      <c r="E1" s="709"/>
      <c r="F1" s="709"/>
      <c r="G1" s="709"/>
      <c r="H1" s="709"/>
    </row>
    <row r="2" spans="1:8">
      <c r="A2" s="951" t="str">
        <f>LOGO!B6</f>
        <v>CASE NO. 2024-00354</v>
      </c>
      <c r="B2" s="710"/>
      <c r="C2" s="710"/>
      <c r="D2" s="709"/>
      <c r="E2" s="709"/>
      <c r="F2" s="709"/>
      <c r="G2" s="709"/>
      <c r="H2" s="709"/>
    </row>
    <row r="3" spans="1:8">
      <c r="A3" s="805" t="s">
        <v>1887</v>
      </c>
      <c r="B3" s="709"/>
      <c r="C3" s="709"/>
      <c r="D3" s="709"/>
      <c r="E3" s="709"/>
      <c r="F3" s="709"/>
      <c r="G3" s="709"/>
      <c r="H3" s="709"/>
    </row>
    <row r="4" spans="1:8">
      <c r="A4" s="710" t="str">
        <f>PeriodF</f>
        <v>FOR THE TWELVE MONTHS ENDED JUNE 30, 2026</v>
      </c>
      <c r="B4" s="710"/>
      <c r="C4" s="710"/>
      <c r="D4" s="709"/>
      <c r="E4" s="709"/>
      <c r="F4" s="709"/>
      <c r="G4" s="709"/>
      <c r="H4" s="709"/>
    </row>
    <row r="5" spans="1:8">
      <c r="A5" s="252"/>
      <c r="B5" s="252"/>
      <c r="C5" s="252"/>
      <c r="D5" s="252"/>
      <c r="E5" s="252"/>
      <c r="F5" s="252"/>
      <c r="G5" s="252"/>
      <c r="H5" s="252"/>
    </row>
    <row r="6" spans="1:8">
      <c r="A6" s="711" t="str">
        <f>DataF</f>
        <v>DATA:  BASE PERIOD  "X" FORECASTED PERIOD</v>
      </c>
      <c r="B6" s="711"/>
      <c r="C6" s="711"/>
      <c r="D6" s="252"/>
      <c r="E6" s="252"/>
      <c r="F6" s="252"/>
      <c r="G6" s="220" t="s">
        <v>2347</v>
      </c>
      <c r="H6" s="252"/>
    </row>
    <row r="7" spans="1:8">
      <c r="A7" s="711" t="str">
        <f>Type</f>
        <v xml:space="preserve">TYPE OF FILING:  "X" ORIGINAL   UPDATED    REVISED  </v>
      </c>
      <c r="B7" s="711"/>
      <c r="C7" s="711"/>
      <c r="D7" s="252"/>
      <c r="E7" s="252"/>
      <c r="F7" s="252"/>
      <c r="G7" s="220" t="s">
        <v>466</v>
      </c>
      <c r="H7" s="252"/>
    </row>
    <row r="8" spans="1:8">
      <c r="A8" s="220" t="s">
        <v>723</v>
      </c>
      <c r="B8" s="220"/>
      <c r="C8" s="220"/>
      <c r="D8" s="252"/>
      <c r="E8" s="252"/>
      <c r="F8" s="252"/>
      <c r="G8" s="220" t="s">
        <v>468</v>
      </c>
      <c r="H8" s="252"/>
    </row>
    <row r="9" spans="1:8">
      <c r="A9" s="252"/>
      <c r="B9" s="252"/>
      <c r="C9" s="252"/>
      <c r="D9" s="252"/>
      <c r="E9" s="252"/>
      <c r="F9" s="252"/>
      <c r="G9" s="220" t="str">
        <f>_WIT1</f>
        <v>L. D. STEINKUHL</v>
      </c>
      <c r="H9" s="252"/>
    </row>
    <row r="10" spans="1:8">
      <c r="A10" s="712"/>
      <c r="B10" s="712"/>
      <c r="C10" s="712"/>
      <c r="D10" s="712"/>
      <c r="E10" s="712"/>
      <c r="F10" s="712"/>
      <c r="G10" s="712"/>
      <c r="H10" s="712"/>
    </row>
    <row r="11" spans="1:8">
      <c r="A11" s="2145"/>
      <c r="B11" s="2145"/>
      <c r="C11" s="2145"/>
      <c r="D11" s="2145"/>
      <c r="E11" s="2145"/>
      <c r="F11" s="2145"/>
      <c r="G11" s="2145"/>
      <c r="H11" s="2145"/>
    </row>
    <row r="12" spans="1:8">
      <c r="A12" s="709" t="s">
        <v>1857</v>
      </c>
      <c r="B12" s="255"/>
      <c r="C12" s="255"/>
      <c r="D12" s="252"/>
      <c r="E12" s="252"/>
      <c r="F12" s="252"/>
      <c r="G12" s="252"/>
      <c r="H12" s="255" t="s">
        <v>975</v>
      </c>
    </row>
    <row r="13" spans="1:8">
      <c r="A13" s="712"/>
      <c r="B13" s="712"/>
      <c r="C13" s="712"/>
      <c r="D13" s="712"/>
      <c r="E13" s="712"/>
      <c r="F13" s="712"/>
      <c r="G13" s="712"/>
      <c r="H13" s="712"/>
    </row>
    <row r="14" spans="1:8">
      <c r="A14" s="2145"/>
      <c r="B14" s="2145"/>
      <c r="C14" s="2145"/>
      <c r="D14" s="2145"/>
      <c r="E14" s="2145"/>
      <c r="F14" s="2145"/>
      <c r="G14" s="2145"/>
      <c r="H14" s="2147"/>
    </row>
    <row r="15" spans="1:8">
      <c r="A15" s="683" t="s">
        <v>2344</v>
      </c>
      <c r="B15" s="252"/>
      <c r="C15" s="252"/>
      <c r="D15" s="252"/>
      <c r="E15" s="252"/>
      <c r="F15" s="252"/>
      <c r="G15" s="252"/>
      <c r="H15" s="252"/>
    </row>
    <row r="16" spans="1:8">
      <c r="A16" s="252"/>
      <c r="B16" s="252"/>
      <c r="C16" s="252"/>
      <c r="D16" s="252"/>
      <c r="E16" s="252"/>
      <c r="F16" s="252"/>
      <c r="G16" s="252"/>
      <c r="H16" s="252"/>
    </row>
    <row r="17" spans="1:8">
      <c r="A17" s="252"/>
      <c r="B17" s="252"/>
      <c r="C17" s="252"/>
      <c r="D17" s="252"/>
      <c r="E17" s="252"/>
      <c r="F17" s="252"/>
      <c r="G17" s="252"/>
      <c r="H17" s="252"/>
    </row>
    <row r="18" spans="1:8">
      <c r="A18" s="252"/>
      <c r="B18" s="252"/>
      <c r="C18" s="252"/>
      <c r="D18" s="252"/>
      <c r="E18" s="252"/>
      <c r="F18" s="252"/>
      <c r="G18" s="252"/>
      <c r="H18" s="252"/>
    </row>
    <row r="19" spans="1:8">
      <c r="A19" s="252"/>
      <c r="B19" s="252"/>
      <c r="C19" s="252"/>
      <c r="D19" s="252"/>
      <c r="E19" s="252"/>
      <c r="F19" s="252"/>
      <c r="G19" s="252"/>
      <c r="H19" s="252"/>
    </row>
    <row r="20" spans="1:8">
      <c r="A20" s="252"/>
      <c r="B20" s="252"/>
      <c r="C20" s="252"/>
      <c r="D20" s="252"/>
      <c r="E20" s="252"/>
      <c r="F20" s="252"/>
      <c r="G20" s="252"/>
      <c r="H20" s="252"/>
    </row>
    <row r="21" spans="1:8">
      <c r="A21" s="252"/>
      <c r="B21" s="252"/>
      <c r="C21" s="252"/>
      <c r="D21" s="252"/>
      <c r="E21" s="252"/>
      <c r="F21" s="252"/>
      <c r="G21" s="252"/>
      <c r="H21" s="252"/>
    </row>
    <row r="22" spans="1:8">
      <c r="A22" s="252"/>
      <c r="B22" s="252"/>
      <c r="C22" s="252"/>
      <c r="D22" s="252"/>
      <c r="E22" s="252"/>
      <c r="F22" s="252"/>
      <c r="G22" s="252"/>
      <c r="H22" s="252"/>
    </row>
    <row r="23" spans="1:8">
      <c r="A23" s="252"/>
      <c r="B23" s="252"/>
      <c r="C23" s="252"/>
      <c r="D23" s="252"/>
      <c r="E23" s="252"/>
      <c r="F23" s="252"/>
      <c r="G23" s="252"/>
      <c r="H23" s="252"/>
    </row>
  </sheetData>
  <phoneticPr fontId="39" type="noConversion"/>
  <pageMargins left="1" right="0.75" top="1" bottom="1" header="0.5" footer="0.5"/>
  <pageSetup scale="6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15">
    <tabColor theme="7" tint="-0.249977111117893"/>
    <pageSetUpPr fitToPage="1"/>
  </sheetPr>
  <dimension ref="A1:H23"/>
  <sheetViews>
    <sheetView workbookViewId="0"/>
  </sheetViews>
  <sheetFormatPr defaultColWidth="8" defaultRowHeight="13.2"/>
  <cols>
    <col min="1" max="1" width="52" bestFit="1" customWidth="1"/>
    <col min="7" max="7" width="24.5546875" bestFit="1" customWidth="1"/>
    <col min="8" max="8" width="12.44140625" customWidth="1"/>
  </cols>
  <sheetData>
    <row r="1" spans="1:8">
      <c r="A1" s="951" t="str">
        <f>LOGO!B5</f>
        <v>DUKE ENERGY KENTUCKY, INC.</v>
      </c>
      <c r="B1" s="710"/>
      <c r="C1" s="710"/>
      <c r="D1" s="709"/>
      <c r="E1" s="709"/>
      <c r="F1" s="709"/>
      <c r="G1" s="709"/>
      <c r="H1" s="709"/>
    </row>
    <row r="2" spans="1:8">
      <c r="A2" s="951" t="str">
        <f>LOGO!B6</f>
        <v>CASE NO. 2024-00354</v>
      </c>
      <c r="B2" s="710"/>
      <c r="C2" s="710"/>
      <c r="D2" s="709"/>
      <c r="E2" s="709"/>
      <c r="F2" s="709"/>
      <c r="G2" s="709"/>
      <c r="H2" s="709"/>
    </row>
    <row r="3" spans="1:8">
      <c r="A3" s="805" t="s">
        <v>1887</v>
      </c>
      <c r="B3" s="709"/>
      <c r="C3" s="709"/>
      <c r="D3" s="709"/>
      <c r="E3" s="709"/>
      <c r="F3" s="709"/>
      <c r="G3" s="709"/>
      <c r="H3" s="709"/>
    </row>
    <row r="4" spans="1:8">
      <c r="A4" s="710" t="str">
        <f>PeriodF</f>
        <v>FOR THE TWELVE MONTHS ENDED JUNE 30, 2026</v>
      </c>
      <c r="B4" s="710"/>
      <c r="C4" s="710"/>
      <c r="D4" s="709"/>
      <c r="E4" s="709"/>
      <c r="F4" s="709"/>
      <c r="G4" s="709"/>
      <c r="H4" s="709"/>
    </row>
    <row r="5" spans="1:8">
      <c r="A5" s="252"/>
      <c r="B5" s="252"/>
      <c r="C5" s="252"/>
      <c r="D5" s="252"/>
      <c r="E5" s="252"/>
      <c r="F5" s="252"/>
      <c r="G5" s="252"/>
      <c r="H5" s="252"/>
    </row>
    <row r="6" spans="1:8">
      <c r="A6" s="711" t="str">
        <f>DataF</f>
        <v>DATA:  BASE PERIOD  "X" FORECASTED PERIOD</v>
      </c>
      <c r="B6" s="711"/>
      <c r="C6" s="711"/>
      <c r="D6" s="252"/>
      <c r="E6" s="252"/>
      <c r="F6" s="252"/>
      <c r="G6" s="220" t="s">
        <v>2348</v>
      </c>
      <c r="H6" s="252"/>
    </row>
    <row r="7" spans="1:8">
      <c r="A7" s="711" t="str">
        <f>Type</f>
        <v xml:space="preserve">TYPE OF FILING:  "X" ORIGINAL   UPDATED    REVISED  </v>
      </c>
      <c r="B7" s="711"/>
      <c r="C7" s="711"/>
      <c r="D7" s="252"/>
      <c r="E7" s="252"/>
      <c r="F7" s="252"/>
      <c r="G7" s="220" t="s">
        <v>466</v>
      </c>
      <c r="H7" s="252"/>
    </row>
    <row r="8" spans="1:8">
      <c r="A8" s="220" t="s">
        <v>723</v>
      </c>
      <c r="B8" s="220"/>
      <c r="C8" s="220"/>
      <c r="D8" s="252"/>
      <c r="E8" s="252"/>
      <c r="F8" s="252"/>
      <c r="G8" s="220" t="s">
        <v>468</v>
      </c>
      <c r="H8" s="252"/>
    </row>
    <row r="9" spans="1:8">
      <c r="A9" s="252"/>
      <c r="B9" s="252"/>
      <c r="C9" s="252"/>
      <c r="D9" s="252"/>
      <c r="E9" s="252"/>
      <c r="F9" s="252"/>
      <c r="G9" s="220" t="str">
        <f>_WIT1</f>
        <v>L. D. STEINKUHL</v>
      </c>
      <c r="H9" s="252"/>
    </row>
    <row r="10" spans="1:8">
      <c r="A10" s="712"/>
      <c r="B10" s="712"/>
      <c r="C10" s="712"/>
      <c r="D10" s="712"/>
      <c r="E10" s="712"/>
      <c r="F10" s="712"/>
      <c r="G10" s="712"/>
      <c r="H10" s="712"/>
    </row>
    <row r="11" spans="1:8">
      <c r="A11" s="2145"/>
      <c r="B11" s="2145"/>
      <c r="C11" s="2145"/>
      <c r="D11" s="2145"/>
      <c r="E11" s="2145"/>
      <c r="F11" s="2145"/>
      <c r="G11" s="2145"/>
      <c r="H11" s="2145"/>
    </row>
    <row r="12" spans="1:8">
      <c r="A12" s="709" t="s">
        <v>1857</v>
      </c>
      <c r="B12" s="255"/>
      <c r="C12" s="255"/>
      <c r="D12" s="252"/>
      <c r="E12" s="252"/>
      <c r="F12" s="252"/>
      <c r="G12" s="252"/>
      <c r="H12" s="255" t="s">
        <v>975</v>
      </c>
    </row>
    <row r="13" spans="1:8">
      <c r="A13" s="712"/>
      <c r="B13" s="712"/>
      <c r="C13" s="712"/>
      <c r="D13" s="712"/>
      <c r="E13" s="712"/>
      <c r="F13" s="712"/>
      <c r="G13" s="712"/>
      <c r="H13" s="712"/>
    </row>
    <row r="14" spans="1:8">
      <c r="A14" s="2145"/>
      <c r="B14" s="2145"/>
      <c r="C14" s="2145"/>
      <c r="D14" s="2145"/>
      <c r="E14" s="2145"/>
      <c r="F14" s="2145"/>
      <c r="G14" s="2145"/>
      <c r="H14" s="2147"/>
    </row>
    <row r="15" spans="1:8">
      <c r="A15" s="683" t="s">
        <v>2344</v>
      </c>
      <c r="B15" s="252"/>
      <c r="C15" s="252"/>
      <c r="D15" s="252"/>
      <c r="E15" s="252"/>
      <c r="F15" s="252"/>
      <c r="G15" s="252"/>
      <c r="H15" s="252"/>
    </row>
    <row r="16" spans="1:8">
      <c r="A16" s="252"/>
      <c r="B16" s="252"/>
      <c r="C16" s="252"/>
      <c r="D16" s="252"/>
      <c r="E16" s="252"/>
      <c r="F16" s="252"/>
      <c r="G16" s="252"/>
      <c r="H16" s="252"/>
    </row>
    <row r="17" spans="1:8">
      <c r="A17" s="252"/>
      <c r="B17" s="252"/>
      <c r="C17" s="252"/>
      <c r="D17" s="252"/>
      <c r="E17" s="252"/>
      <c r="F17" s="252"/>
      <c r="G17" s="252"/>
      <c r="H17" s="252"/>
    </row>
    <row r="18" spans="1:8">
      <c r="A18" s="252"/>
      <c r="B18" s="252"/>
      <c r="C18" s="252"/>
      <c r="D18" s="252"/>
      <c r="E18" s="252"/>
      <c r="F18" s="252"/>
      <c r="G18" s="252"/>
      <c r="H18" s="252"/>
    </row>
    <row r="19" spans="1:8">
      <c r="A19" s="252"/>
      <c r="B19" s="252"/>
      <c r="C19" s="252"/>
      <c r="D19" s="252"/>
      <c r="E19" s="252"/>
      <c r="F19" s="252"/>
      <c r="G19" s="252"/>
      <c r="H19" s="252"/>
    </row>
    <row r="20" spans="1:8">
      <c r="A20" s="252"/>
      <c r="B20" s="252"/>
      <c r="C20" s="252"/>
      <c r="D20" s="252"/>
      <c r="E20" s="252"/>
      <c r="F20" s="252"/>
      <c r="G20" s="252"/>
      <c r="H20" s="252"/>
    </row>
    <row r="21" spans="1:8">
      <c r="A21" s="252"/>
      <c r="B21" s="252"/>
      <c r="C21" s="252"/>
      <c r="D21" s="252"/>
      <c r="E21" s="252"/>
      <c r="F21" s="252"/>
      <c r="G21" s="252"/>
      <c r="H21" s="252"/>
    </row>
    <row r="22" spans="1:8">
      <c r="A22" s="252"/>
      <c r="B22" s="252"/>
      <c r="C22" s="252"/>
      <c r="D22" s="252"/>
      <c r="E22" s="252"/>
      <c r="F22" s="252"/>
      <c r="G22" s="252"/>
      <c r="H22" s="252"/>
    </row>
    <row r="23" spans="1:8">
      <c r="A23" s="252"/>
      <c r="B23" s="252"/>
      <c r="C23" s="252"/>
      <c r="D23" s="252"/>
      <c r="E23" s="252"/>
      <c r="F23" s="252"/>
      <c r="G23" s="252"/>
      <c r="H23" s="252"/>
    </row>
  </sheetData>
  <phoneticPr fontId="39" type="noConversion"/>
  <pageMargins left="1" right="0.75" top="1" bottom="1" header="0.5" footer="0.5"/>
  <pageSetup scale="93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116">
    <tabColor theme="7" tint="-0.249977111117893"/>
    <pageSetUpPr fitToPage="1"/>
  </sheetPr>
  <dimension ref="A1:H23"/>
  <sheetViews>
    <sheetView workbookViewId="0"/>
  </sheetViews>
  <sheetFormatPr defaultColWidth="8" defaultRowHeight="13.2"/>
  <cols>
    <col min="1" max="1" width="52" bestFit="1" customWidth="1"/>
    <col min="2" max="6" width="8" customWidth="1"/>
    <col min="7" max="7" width="24.109375" bestFit="1" customWidth="1"/>
    <col min="8" max="8" width="12.44140625" customWidth="1"/>
  </cols>
  <sheetData>
    <row r="1" spans="1:8">
      <c r="A1" s="951" t="str">
        <f>LOGO!B5</f>
        <v>DUKE ENERGY KENTUCKY, INC.</v>
      </c>
      <c r="B1" s="710"/>
      <c r="C1" s="710"/>
      <c r="D1" s="709"/>
      <c r="E1" s="709"/>
      <c r="F1" s="709"/>
      <c r="G1" s="709"/>
      <c r="H1" s="709"/>
    </row>
    <row r="2" spans="1:8">
      <c r="A2" s="951" t="str">
        <f>LOGO!B6</f>
        <v>CASE NO. 2024-00354</v>
      </c>
      <c r="B2" s="710"/>
      <c r="C2" s="710"/>
      <c r="D2" s="709"/>
      <c r="E2" s="709"/>
      <c r="F2" s="709"/>
      <c r="G2" s="709"/>
      <c r="H2" s="709"/>
    </row>
    <row r="3" spans="1:8">
      <c r="A3" s="805" t="s">
        <v>1887</v>
      </c>
      <c r="B3" s="709"/>
      <c r="C3" s="709"/>
      <c r="D3" s="709"/>
      <c r="E3" s="709"/>
      <c r="F3" s="709"/>
      <c r="G3" s="709"/>
      <c r="H3" s="709"/>
    </row>
    <row r="4" spans="1:8">
      <c r="A4" s="710" t="str">
        <f>PeriodF</f>
        <v>FOR THE TWELVE MONTHS ENDED JUNE 30, 2026</v>
      </c>
      <c r="B4" s="710"/>
      <c r="C4" s="710"/>
      <c r="D4" s="709"/>
      <c r="E4" s="709"/>
      <c r="F4" s="709"/>
      <c r="G4" s="709"/>
      <c r="H4" s="709"/>
    </row>
    <row r="5" spans="1:8">
      <c r="A5" s="252"/>
      <c r="B5" s="252"/>
      <c r="C5" s="252"/>
      <c r="D5" s="252"/>
      <c r="E5" s="252"/>
      <c r="F5" s="252"/>
      <c r="G5" s="252"/>
      <c r="H5" s="252"/>
    </row>
    <row r="6" spans="1:8">
      <c r="A6" s="711" t="str">
        <f>DataF</f>
        <v>DATA:  BASE PERIOD  "X" FORECASTED PERIOD</v>
      </c>
      <c r="B6" s="711"/>
      <c r="C6" s="711"/>
      <c r="D6" s="252"/>
      <c r="E6" s="252"/>
      <c r="F6" s="252"/>
      <c r="G6" s="220" t="s">
        <v>2349</v>
      </c>
      <c r="H6" s="252"/>
    </row>
    <row r="7" spans="1:8">
      <c r="A7" s="711" t="str">
        <f>Type</f>
        <v xml:space="preserve">TYPE OF FILING:  "X" ORIGINAL   UPDATED    REVISED  </v>
      </c>
      <c r="B7" s="711"/>
      <c r="C7" s="711"/>
      <c r="D7" s="252"/>
      <c r="E7" s="252"/>
      <c r="F7" s="252"/>
      <c r="G7" s="220" t="s">
        <v>466</v>
      </c>
      <c r="H7" s="252"/>
    </row>
    <row r="8" spans="1:8">
      <c r="A8" s="220" t="s">
        <v>723</v>
      </c>
      <c r="B8" s="220"/>
      <c r="C8" s="220"/>
      <c r="D8" s="252"/>
      <c r="E8" s="252"/>
      <c r="F8" s="252"/>
      <c r="G8" s="220" t="s">
        <v>468</v>
      </c>
      <c r="H8" s="252"/>
    </row>
    <row r="9" spans="1:8">
      <c r="A9" s="252"/>
      <c r="B9" s="252"/>
      <c r="C9" s="252"/>
      <c r="D9" s="252"/>
      <c r="E9" s="252"/>
      <c r="F9" s="252"/>
      <c r="G9" s="220" t="str">
        <f>_WIT1</f>
        <v>L. D. STEINKUHL</v>
      </c>
      <c r="H9" s="252"/>
    </row>
    <row r="10" spans="1:8">
      <c r="A10" s="712"/>
      <c r="B10" s="712"/>
      <c r="C10" s="712"/>
      <c r="D10" s="712"/>
      <c r="E10" s="712"/>
      <c r="F10" s="712"/>
      <c r="G10" s="712"/>
      <c r="H10" s="712"/>
    </row>
    <row r="11" spans="1:8">
      <c r="A11" s="2145"/>
      <c r="B11" s="2145"/>
      <c r="C11" s="2145"/>
      <c r="D11" s="2145"/>
      <c r="E11" s="2145"/>
      <c r="F11" s="2145"/>
      <c r="G11" s="2145"/>
      <c r="H11" s="2145"/>
    </row>
    <row r="12" spans="1:8">
      <c r="A12" s="709" t="s">
        <v>1857</v>
      </c>
      <c r="B12" s="255"/>
      <c r="C12" s="255"/>
      <c r="D12" s="252"/>
      <c r="E12" s="252"/>
      <c r="F12" s="252"/>
      <c r="G12" s="252"/>
      <c r="H12" s="255" t="s">
        <v>975</v>
      </c>
    </row>
    <row r="13" spans="1:8">
      <c r="A13" s="712"/>
      <c r="B13" s="712"/>
      <c r="C13" s="712"/>
      <c r="D13" s="712"/>
      <c r="E13" s="712"/>
      <c r="F13" s="712"/>
      <c r="G13" s="712"/>
      <c r="H13" s="712"/>
    </row>
    <row r="14" spans="1:8">
      <c r="A14" s="2145"/>
      <c r="B14" s="2145"/>
      <c r="C14" s="2145"/>
      <c r="D14" s="2145"/>
      <c r="E14" s="2145"/>
      <c r="F14" s="2145"/>
      <c r="G14" s="2145"/>
      <c r="H14" s="2147"/>
    </row>
    <row r="15" spans="1:8">
      <c r="A15" s="683" t="s">
        <v>2344</v>
      </c>
      <c r="B15" s="252"/>
      <c r="C15" s="252"/>
      <c r="D15" s="252"/>
      <c r="E15" s="252"/>
      <c r="F15" s="252"/>
      <c r="G15" s="252"/>
      <c r="H15" s="252"/>
    </row>
    <row r="16" spans="1:8">
      <c r="A16" s="252"/>
      <c r="B16" s="252"/>
      <c r="C16" s="252"/>
      <c r="D16" s="252"/>
      <c r="E16" s="252"/>
      <c r="F16" s="252"/>
      <c r="G16" s="252"/>
      <c r="H16" s="252"/>
    </row>
    <row r="17" spans="1:8">
      <c r="A17" s="252"/>
      <c r="B17" s="252"/>
      <c r="C17" s="252"/>
      <c r="D17" s="252"/>
      <c r="E17" s="252"/>
      <c r="F17" s="252"/>
      <c r="G17" s="252"/>
      <c r="H17" s="252"/>
    </row>
    <row r="18" spans="1:8">
      <c r="A18" s="252"/>
      <c r="B18" s="252"/>
      <c r="C18" s="252"/>
      <c r="D18" s="252"/>
      <c r="E18" s="252"/>
      <c r="F18" s="252"/>
      <c r="G18" s="252"/>
      <c r="H18" s="252"/>
    </row>
    <row r="19" spans="1:8">
      <c r="A19" s="252"/>
      <c r="B19" s="252"/>
      <c r="C19" s="252"/>
      <c r="D19" s="252"/>
      <c r="E19" s="252"/>
      <c r="F19" s="252"/>
      <c r="G19" s="252"/>
      <c r="H19" s="252"/>
    </row>
    <row r="20" spans="1:8">
      <c r="A20" s="252"/>
      <c r="B20" s="252"/>
      <c r="C20" s="252"/>
      <c r="D20" s="252"/>
      <c r="E20" s="252"/>
      <c r="F20" s="252"/>
      <c r="G20" s="252"/>
      <c r="H20" s="252"/>
    </row>
    <row r="21" spans="1:8">
      <c r="A21" s="252"/>
      <c r="B21" s="252"/>
      <c r="C21" s="252"/>
      <c r="D21" s="252"/>
      <c r="E21" s="252"/>
      <c r="F21" s="252"/>
      <c r="G21" s="252"/>
      <c r="H21" s="252"/>
    </row>
    <row r="22" spans="1:8">
      <c r="A22" s="252"/>
      <c r="B22" s="252"/>
      <c r="C22" s="252"/>
      <c r="D22" s="252"/>
      <c r="E22" s="252"/>
      <c r="F22" s="252"/>
      <c r="G22" s="252"/>
      <c r="H22" s="252"/>
    </row>
    <row r="23" spans="1:8">
      <c r="A23" s="252"/>
      <c r="B23" s="252"/>
      <c r="C23" s="252"/>
      <c r="D23" s="252"/>
      <c r="E23" s="252"/>
      <c r="F23" s="252"/>
      <c r="G23" s="252"/>
      <c r="H23" s="252"/>
    </row>
  </sheetData>
  <phoneticPr fontId="39" type="noConversion"/>
  <pageMargins left="1" right="0.75" top="1" bottom="1" header="0.5" footer="0.5"/>
  <pageSetup scale="68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18">
    <tabColor theme="7" tint="-0.249977111117893"/>
    <pageSetUpPr fitToPage="1"/>
  </sheetPr>
  <dimension ref="A1:I321"/>
  <sheetViews>
    <sheetView workbookViewId="0"/>
  </sheetViews>
  <sheetFormatPr defaultColWidth="9.44140625" defaultRowHeight="13.2"/>
  <cols>
    <col min="1" max="1" width="52" bestFit="1" customWidth="1"/>
    <col min="2" max="6" width="8" customWidth="1"/>
    <col min="7" max="7" width="24.109375" bestFit="1" customWidth="1"/>
    <col min="8" max="8" width="12.44140625" customWidth="1"/>
    <col min="9" max="9" width="10.5546875" customWidth="1"/>
  </cols>
  <sheetData>
    <row r="1" spans="1:9">
      <c r="A1" s="956" t="str">
        <f>COMPANY</f>
        <v>DUKE ENERGY KENTUCKY, INC.</v>
      </c>
      <c r="B1" s="957"/>
      <c r="C1" s="957"/>
      <c r="D1" s="957"/>
      <c r="E1" s="957"/>
      <c r="F1" s="957"/>
      <c r="G1" s="957"/>
      <c r="H1" s="957"/>
      <c r="I1" s="588"/>
    </row>
    <row r="2" spans="1:9">
      <c r="A2" s="957" t="str">
        <f>CASE</f>
        <v>CASE NO. 2024-00354</v>
      </c>
      <c r="B2" s="957"/>
      <c r="C2" s="957"/>
      <c r="D2" s="957"/>
      <c r="E2" s="957"/>
      <c r="F2" s="957"/>
      <c r="G2" s="957"/>
      <c r="H2" s="957"/>
      <c r="I2" s="588"/>
    </row>
    <row r="3" spans="1:9">
      <c r="A3" s="805" t="s">
        <v>1887</v>
      </c>
      <c r="B3" s="957"/>
      <c r="C3" s="957"/>
      <c r="D3" s="957"/>
      <c r="E3" s="957"/>
      <c r="F3" s="957"/>
      <c r="G3" s="957"/>
      <c r="H3" s="957"/>
      <c r="I3" s="588"/>
    </row>
    <row r="4" spans="1:9">
      <c r="A4" s="957" t="str">
        <f>PeriodF</f>
        <v>FOR THE TWELVE MONTHS ENDED JUNE 30, 2026</v>
      </c>
      <c r="B4" s="957"/>
      <c r="C4" s="957"/>
      <c r="D4" s="957"/>
      <c r="E4" s="957"/>
      <c r="F4" s="957"/>
      <c r="G4" s="957"/>
      <c r="H4" s="957"/>
      <c r="I4" s="588"/>
    </row>
    <row r="5" spans="1:9">
      <c r="A5" s="588"/>
      <c r="B5" s="588"/>
      <c r="C5" s="588"/>
      <c r="D5" s="588"/>
      <c r="E5" s="588"/>
      <c r="F5" s="588"/>
      <c r="G5" s="588"/>
      <c r="H5" s="588"/>
      <c r="I5" s="588"/>
    </row>
    <row r="6" spans="1:9">
      <c r="A6" s="588" t="str">
        <f>DataF</f>
        <v>DATA:  BASE PERIOD  "X" FORECASTED PERIOD</v>
      </c>
      <c r="B6" s="588"/>
      <c r="C6" s="588"/>
      <c r="D6" s="588"/>
      <c r="E6" s="588"/>
      <c r="F6" s="588"/>
      <c r="G6" s="683" t="s">
        <v>2350</v>
      </c>
      <c r="H6" s="588"/>
      <c r="I6" s="588"/>
    </row>
    <row r="7" spans="1:9">
      <c r="A7" s="588" t="str">
        <f>Type</f>
        <v xml:space="preserve">TYPE OF FILING:  "X" ORIGINAL   UPDATED    REVISED  </v>
      </c>
      <c r="B7" s="588"/>
      <c r="C7" s="588"/>
      <c r="D7" s="588"/>
      <c r="E7" s="588"/>
      <c r="F7" s="588"/>
      <c r="G7" s="683" t="s">
        <v>466</v>
      </c>
      <c r="H7" s="588"/>
      <c r="I7" s="588"/>
    </row>
    <row r="8" spans="1:9">
      <c r="A8" s="683" t="s">
        <v>723</v>
      </c>
      <c r="B8" s="588"/>
      <c r="C8" s="588"/>
      <c r="D8" s="588"/>
      <c r="E8" s="588"/>
      <c r="F8" s="588"/>
      <c r="G8" s="683" t="s">
        <v>468</v>
      </c>
      <c r="H8" s="588"/>
      <c r="I8" s="588"/>
    </row>
    <row r="9" spans="1:9">
      <c r="A9" s="588"/>
      <c r="B9" s="588"/>
      <c r="C9" s="588"/>
      <c r="D9" s="588"/>
      <c r="E9" s="588"/>
      <c r="F9" s="588"/>
      <c r="G9" s="683" t="str">
        <f>_WIT1</f>
        <v>L. D. STEINKUHL</v>
      </c>
      <c r="H9" s="588"/>
      <c r="I9" s="588"/>
    </row>
    <row r="10" spans="1:9">
      <c r="A10" s="1535"/>
      <c r="B10" s="1535"/>
      <c r="C10" s="1535"/>
      <c r="D10" s="1535"/>
      <c r="E10" s="1535"/>
      <c r="F10" s="1535"/>
      <c r="G10" s="1535"/>
      <c r="H10" s="1535"/>
      <c r="I10" s="952"/>
    </row>
    <row r="11" spans="1:9">
      <c r="A11" s="588"/>
      <c r="B11" s="588"/>
      <c r="C11" s="588"/>
      <c r="D11" s="588"/>
      <c r="E11" s="588"/>
      <c r="F11" s="588"/>
      <c r="G11" s="588"/>
      <c r="H11" s="588"/>
      <c r="I11" s="588"/>
    </row>
    <row r="12" spans="1:9">
      <c r="A12" s="709" t="s">
        <v>1857</v>
      </c>
      <c r="B12" s="588"/>
      <c r="C12" s="588"/>
      <c r="D12" s="588"/>
      <c r="E12" s="588"/>
      <c r="F12" s="588"/>
      <c r="G12" s="588"/>
      <c r="H12" s="953" t="s">
        <v>975</v>
      </c>
      <c r="I12" s="953"/>
    </row>
    <row r="13" spans="1:9">
      <c r="A13" s="1535"/>
      <c r="B13" s="1535"/>
      <c r="C13" s="1535"/>
      <c r="D13" s="1535"/>
      <c r="E13" s="1535"/>
      <c r="F13" s="1535"/>
      <c r="G13" s="1535"/>
      <c r="H13" s="1535"/>
      <c r="I13" s="952"/>
    </row>
    <row r="14" spans="1:9">
      <c r="A14" s="588"/>
      <c r="B14" s="588"/>
      <c r="C14" s="588"/>
      <c r="D14" s="588"/>
      <c r="E14" s="588"/>
      <c r="F14" s="588"/>
      <c r="G14" s="588"/>
      <c r="H14" s="953"/>
      <c r="I14" s="588"/>
    </row>
    <row r="15" spans="1:9">
      <c r="A15" s="683" t="s">
        <v>2344</v>
      </c>
      <c r="B15" s="588"/>
      <c r="C15" s="588"/>
      <c r="D15" s="588"/>
      <c r="E15" s="588"/>
      <c r="F15" s="588"/>
      <c r="G15" s="588"/>
      <c r="H15" s="588"/>
      <c r="I15" s="588"/>
    </row>
    <row r="16" spans="1:9">
      <c r="A16" s="683"/>
      <c r="B16" s="588"/>
      <c r="C16" s="588"/>
      <c r="D16" s="588"/>
      <c r="E16" s="588"/>
      <c r="F16" s="588"/>
      <c r="G16" s="588"/>
      <c r="H16" s="588"/>
      <c r="I16" s="588"/>
    </row>
    <row r="17" spans="1:9">
      <c r="A17" s="683"/>
      <c r="B17" s="588"/>
      <c r="C17" s="588"/>
      <c r="D17" s="588"/>
      <c r="E17" s="588"/>
      <c r="F17" s="588"/>
      <c r="G17" s="588"/>
      <c r="H17" s="588"/>
      <c r="I17" s="588"/>
    </row>
    <row r="18" spans="1:9">
      <c r="A18" s="588"/>
      <c r="B18" s="588"/>
      <c r="C18" s="588"/>
      <c r="D18" s="588"/>
      <c r="E18" s="588"/>
      <c r="F18" s="588"/>
      <c r="G18" s="588"/>
      <c r="H18" s="588"/>
      <c r="I18" s="588"/>
    </row>
    <row r="19" spans="1:9">
      <c r="A19" s="588"/>
      <c r="B19" s="588"/>
      <c r="C19" s="588"/>
      <c r="D19" s="588"/>
      <c r="E19" s="588"/>
      <c r="F19" s="588"/>
      <c r="G19" s="588"/>
      <c r="H19" s="588"/>
      <c r="I19" s="588"/>
    </row>
    <row r="20" spans="1:9">
      <c r="A20" s="683"/>
      <c r="B20" s="588"/>
      <c r="C20" s="588"/>
      <c r="D20" s="588"/>
      <c r="E20" s="588"/>
      <c r="F20" s="588"/>
      <c r="G20" s="684"/>
      <c r="H20" s="682"/>
      <c r="I20" s="588"/>
    </row>
    <row r="21" spans="1:9">
      <c r="A21" s="588"/>
      <c r="B21" s="588"/>
      <c r="C21" s="588"/>
      <c r="D21" s="588"/>
      <c r="E21" s="588"/>
      <c r="F21" s="588"/>
      <c r="G21" s="588"/>
      <c r="H21" s="685"/>
      <c r="I21" s="588"/>
    </row>
    <row r="22" spans="1:9">
      <c r="A22" s="588"/>
      <c r="B22" s="588"/>
      <c r="C22" s="588"/>
      <c r="D22" s="588"/>
      <c r="E22" s="588"/>
      <c r="F22" s="588"/>
      <c r="G22" s="588"/>
      <c r="H22" s="686"/>
      <c r="I22" s="588"/>
    </row>
    <row r="23" spans="1:9">
      <c r="A23" s="683"/>
      <c r="B23" s="588"/>
      <c r="C23" s="588"/>
      <c r="D23" s="588"/>
      <c r="E23" s="588"/>
      <c r="F23" s="588"/>
      <c r="G23" s="588"/>
      <c r="H23" s="687"/>
      <c r="I23" s="954"/>
    </row>
    <row r="24" spans="1:9">
      <c r="A24" s="588"/>
      <c r="B24" s="588"/>
      <c r="C24" s="588"/>
      <c r="D24" s="588"/>
      <c r="E24" s="588"/>
      <c r="F24" s="588"/>
      <c r="G24" s="588"/>
      <c r="H24" s="685"/>
      <c r="I24" s="684"/>
    </row>
    <row r="25" spans="1:9">
      <c r="A25" s="588"/>
      <c r="B25" s="588"/>
      <c r="C25" s="588"/>
      <c r="D25" s="588"/>
      <c r="E25" s="588"/>
      <c r="F25" s="588"/>
      <c r="G25" s="588"/>
      <c r="H25" s="686"/>
      <c r="I25" s="588"/>
    </row>
    <row r="26" spans="1:9" ht="15">
      <c r="A26" s="683"/>
      <c r="B26" s="588"/>
      <c r="C26" s="588"/>
      <c r="D26" s="588"/>
      <c r="E26" s="588"/>
      <c r="F26" s="683"/>
      <c r="G26" s="684"/>
      <c r="H26" s="688"/>
      <c r="I26" s="955"/>
    </row>
    <row r="27" spans="1:9">
      <c r="A27" s="588"/>
      <c r="B27" s="588"/>
      <c r="C27" s="588"/>
      <c r="D27" s="588"/>
      <c r="E27" s="588"/>
      <c r="F27" s="588"/>
      <c r="G27" s="588"/>
      <c r="H27" s="684"/>
      <c r="I27" s="684"/>
    </row>
    <row r="28" spans="1:9">
      <c r="A28" s="683"/>
      <c r="B28" s="588"/>
      <c r="C28" s="588"/>
      <c r="D28" s="588"/>
      <c r="E28" s="588"/>
      <c r="F28" s="588"/>
      <c r="G28" s="588"/>
      <c r="H28" s="588"/>
      <c r="I28" s="588"/>
    </row>
    <row r="29" spans="1:9">
      <c r="A29" s="588"/>
      <c r="B29" s="588"/>
      <c r="C29" s="588"/>
      <c r="D29" s="588"/>
      <c r="E29" s="588"/>
      <c r="F29" s="588"/>
      <c r="G29" s="588"/>
      <c r="H29" s="588"/>
      <c r="I29" s="588"/>
    </row>
    <row r="30" spans="1:9">
      <c r="A30" s="683"/>
      <c r="B30" s="588"/>
      <c r="C30" s="588"/>
      <c r="D30" s="689"/>
      <c r="E30" s="588"/>
      <c r="F30" s="588"/>
      <c r="G30" s="588"/>
      <c r="H30" s="588"/>
      <c r="I30" s="588"/>
    </row>
    <row r="31" spans="1:9">
      <c r="A31" s="588"/>
      <c r="B31" s="588"/>
      <c r="C31" s="588"/>
      <c r="D31" s="588"/>
      <c r="E31" s="588"/>
      <c r="F31" s="588"/>
      <c r="G31" s="588"/>
      <c r="H31" s="588"/>
      <c r="I31" s="588"/>
    </row>
    <row r="32" spans="1:9">
      <c r="A32" s="588"/>
      <c r="B32" s="588"/>
      <c r="C32" s="588"/>
      <c r="D32" s="588"/>
      <c r="E32" s="588"/>
      <c r="F32" s="588"/>
      <c r="G32" s="588"/>
      <c r="H32" s="588"/>
      <c r="I32" s="588"/>
    </row>
    <row r="33" spans="1:9">
      <c r="A33" s="588"/>
      <c r="B33" s="588"/>
      <c r="C33" s="588"/>
      <c r="D33" s="588"/>
      <c r="E33" s="588"/>
      <c r="F33" s="588"/>
      <c r="G33" s="588"/>
      <c r="H33" s="588"/>
      <c r="I33" s="588"/>
    </row>
    <row r="34" spans="1:9">
      <c r="A34" s="588"/>
      <c r="B34" s="588"/>
      <c r="C34" s="588"/>
      <c r="D34" s="588"/>
      <c r="E34" s="588"/>
      <c r="F34" s="588"/>
      <c r="G34" s="588"/>
      <c r="H34" s="588"/>
      <c r="I34" s="588"/>
    </row>
    <row r="35" spans="1:9">
      <c r="A35" s="588"/>
      <c r="B35" s="588"/>
      <c r="C35" s="588"/>
      <c r="D35" s="588"/>
      <c r="E35" s="588"/>
      <c r="F35" s="588"/>
      <c r="G35" s="588"/>
      <c r="H35" s="588"/>
      <c r="I35" s="588"/>
    </row>
    <row r="36" spans="1:9">
      <c r="A36" s="588"/>
      <c r="B36" s="588"/>
      <c r="C36" s="588"/>
      <c r="D36" s="588"/>
      <c r="E36" s="588"/>
      <c r="F36" s="588"/>
      <c r="G36" s="588"/>
      <c r="H36" s="588"/>
      <c r="I36" s="588"/>
    </row>
    <row r="37" spans="1:9">
      <c r="A37" s="588"/>
      <c r="B37" s="588"/>
      <c r="C37" s="588"/>
      <c r="D37" s="588"/>
      <c r="E37" s="588"/>
      <c r="F37" s="588"/>
      <c r="G37" s="588"/>
      <c r="H37" s="588"/>
      <c r="I37" s="588"/>
    </row>
    <row r="38" spans="1:9">
      <c r="A38" s="588"/>
      <c r="B38" s="588"/>
      <c r="C38" s="588"/>
      <c r="D38" s="588"/>
      <c r="E38" s="588"/>
      <c r="F38" s="588"/>
      <c r="G38" s="588"/>
      <c r="H38" s="588"/>
      <c r="I38" s="588"/>
    </row>
    <row r="39" spans="1:9">
      <c r="A39" s="588"/>
      <c r="B39" s="588"/>
      <c r="C39" s="588"/>
      <c r="D39" s="588"/>
      <c r="E39" s="588"/>
      <c r="F39" s="588"/>
      <c r="G39" s="588"/>
      <c r="H39" s="588"/>
      <c r="I39" s="588"/>
    </row>
    <row r="40" spans="1:9">
      <c r="A40" s="588"/>
      <c r="B40" s="588"/>
      <c r="C40" s="588"/>
      <c r="D40" s="588"/>
      <c r="E40" s="588"/>
      <c r="F40" s="588"/>
      <c r="G40" s="588"/>
      <c r="H40" s="588"/>
      <c r="I40" s="588"/>
    </row>
    <row r="41" spans="1:9">
      <c r="A41" s="588"/>
      <c r="B41" s="588"/>
      <c r="C41" s="588"/>
      <c r="D41" s="588"/>
      <c r="E41" s="588"/>
      <c r="F41" s="588"/>
      <c r="G41" s="588"/>
      <c r="H41" s="588"/>
      <c r="I41" s="588"/>
    </row>
    <row r="42" spans="1:9">
      <c r="A42" s="588"/>
      <c r="B42" s="588"/>
      <c r="C42" s="588"/>
      <c r="D42" s="588"/>
      <c r="E42" s="588"/>
      <c r="F42" s="588"/>
      <c r="G42" s="588"/>
      <c r="H42" s="588"/>
      <c r="I42" s="588"/>
    </row>
    <row r="43" spans="1:9">
      <c r="A43" s="588"/>
      <c r="B43" s="588"/>
      <c r="C43" s="588"/>
      <c r="D43" s="588"/>
      <c r="E43" s="588"/>
      <c r="F43" s="588"/>
      <c r="G43" s="588"/>
      <c r="H43" s="588"/>
      <c r="I43" s="588"/>
    </row>
    <row r="44" spans="1:9">
      <c r="A44" s="588"/>
      <c r="B44" s="588"/>
      <c r="C44" s="588"/>
      <c r="D44" s="588"/>
      <c r="E44" s="588"/>
      <c r="F44" s="588"/>
      <c r="G44" s="588"/>
      <c r="H44" s="588"/>
      <c r="I44" s="588"/>
    </row>
    <row r="45" spans="1:9">
      <c r="A45" s="588"/>
      <c r="B45" s="588"/>
      <c r="C45" s="588"/>
      <c r="D45" s="588"/>
      <c r="E45" s="588"/>
      <c r="F45" s="588"/>
      <c r="G45" s="588"/>
      <c r="H45" s="588"/>
      <c r="I45" s="588"/>
    </row>
    <row r="46" spans="1:9">
      <c r="A46" s="588"/>
      <c r="B46" s="588"/>
      <c r="C46" s="588"/>
      <c r="D46" s="588"/>
      <c r="E46" s="588"/>
      <c r="F46" s="588"/>
      <c r="G46" s="588"/>
      <c r="H46" s="588"/>
      <c r="I46" s="588"/>
    </row>
    <row r="47" spans="1:9">
      <c r="A47" s="588"/>
      <c r="B47" s="588"/>
      <c r="C47" s="588"/>
      <c r="D47" s="588"/>
      <c r="E47" s="588"/>
      <c r="F47" s="588"/>
      <c r="G47" s="588"/>
      <c r="H47" s="588"/>
      <c r="I47" s="588"/>
    </row>
    <row r="48" spans="1:9">
      <c r="A48" s="588"/>
      <c r="B48" s="588"/>
      <c r="C48" s="588"/>
      <c r="D48" s="588"/>
      <c r="E48" s="588"/>
      <c r="F48" s="588"/>
      <c r="G48" s="588"/>
      <c r="H48" s="588"/>
      <c r="I48" s="588"/>
    </row>
    <row r="49" spans="1:9">
      <c r="A49" s="588"/>
      <c r="B49" s="588"/>
      <c r="C49" s="588"/>
      <c r="D49" s="588"/>
      <c r="E49" s="588"/>
      <c r="F49" s="588"/>
      <c r="G49" s="588"/>
      <c r="H49" s="588"/>
      <c r="I49" s="588"/>
    </row>
    <row r="50" spans="1:9">
      <c r="A50" s="588"/>
      <c r="B50" s="588"/>
      <c r="C50" s="588"/>
      <c r="D50" s="588"/>
      <c r="E50" s="588"/>
      <c r="F50" s="588"/>
      <c r="G50" s="588"/>
      <c r="H50" s="588"/>
      <c r="I50" s="588"/>
    </row>
    <row r="51" spans="1:9">
      <c r="A51" s="588"/>
      <c r="B51" s="588"/>
      <c r="C51" s="588"/>
      <c r="D51" s="588"/>
      <c r="E51" s="588"/>
      <c r="F51" s="588"/>
      <c r="G51" s="588"/>
      <c r="H51" s="588"/>
      <c r="I51" s="588"/>
    </row>
    <row r="52" spans="1:9">
      <c r="A52" s="588"/>
      <c r="B52" s="588"/>
      <c r="C52" s="588"/>
      <c r="D52" s="588"/>
      <c r="E52" s="588"/>
      <c r="F52" s="588"/>
      <c r="G52" s="588"/>
      <c r="H52" s="588"/>
      <c r="I52" s="588"/>
    </row>
    <row r="53" spans="1:9">
      <c r="A53" s="588"/>
      <c r="B53" s="588"/>
      <c r="C53" s="588"/>
      <c r="D53" s="588"/>
      <c r="E53" s="588"/>
      <c r="F53" s="588"/>
      <c r="G53" s="588"/>
      <c r="H53" s="588"/>
      <c r="I53" s="588"/>
    </row>
    <row r="54" spans="1:9">
      <c r="A54" s="588"/>
      <c r="B54" s="588"/>
      <c r="C54" s="588"/>
      <c r="D54" s="588"/>
      <c r="E54" s="588"/>
      <c r="F54" s="588"/>
      <c r="G54" s="588"/>
      <c r="H54" s="588"/>
      <c r="I54" s="588"/>
    </row>
    <row r="55" spans="1:9">
      <c r="A55" s="588"/>
      <c r="B55" s="588"/>
      <c r="C55" s="588"/>
      <c r="D55" s="588"/>
      <c r="E55" s="588"/>
      <c r="F55" s="588"/>
      <c r="G55" s="588"/>
      <c r="H55" s="588"/>
      <c r="I55" s="588"/>
    </row>
    <row r="56" spans="1:9">
      <c r="A56" s="588"/>
      <c r="B56" s="588"/>
      <c r="C56" s="588"/>
      <c r="D56" s="588"/>
      <c r="E56" s="588"/>
      <c r="F56" s="588"/>
      <c r="G56" s="588"/>
      <c r="H56" s="588"/>
      <c r="I56" s="588"/>
    </row>
    <row r="57" spans="1:9">
      <c r="A57" s="588"/>
      <c r="B57" s="588"/>
      <c r="C57" s="588"/>
      <c r="D57" s="588"/>
      <c r="E57" s="588"/>
      <c r="F57" s="588"/>
      <c r="G57" s="588"/>
      <c r="H57" s="588"/>
      <c r="I57" s="588"/>
    </row>
    <row r="58" spans="1:9">
      <c r="A58" s="588"/>
      <c r="B58" s="588"/>
      <c r="C58" s="588"/>
      <c r="D58" s="588"/>
      <c r="E58" s="588"/>
      <c r="F58" s="588"/>
      <c r="G58" s="588"/>
      <c r="H58" s="588"/>
      <c r="I58" s="588"/>
    </row>
    <row r="59" spans="1:9">
      <c r="A59" s="588"/>
      <c r="B59" s="588"/>
      <c r="C59" s="588"/>
      <c r="D59" s="588"/>
      <c r="E59" s="588"/>
      <c r="F59" s="588"/>
      <c r="G59" s="588"/>
      <c r="H59" s="588"/>
      <c r="I59" s="588"/>
    </row>
    <row r="60" spans="1:9">
      <c r="A60" s="588"/>
      <c r="B60" s="588"/>
      <c r="C60" s="588"/>
      <c r="D60" s="588"/>
      <c r="E60" s="588"/>
      <c r="F60" s="588"/>
      <c r="G60" s="588"/>
      <c r="H60" s="588"/>
      <c r="I60" s="588"/>
    </row>
    <row r="61" spans="1:9">
      <c r="A61" s="588"/>
      <c r="B61" s="588"/>
      <c r="C61" s="588"/>
      <c r="D61" s="588"/>
      <c r="E61" s="588"/>
      <c r="F61" s="588"/>
      <c r="G61" s="588"/>
      <c r="H61" s="588"/>
      <c r="I61" s="588"/>
    </row>
    <row r="62" spans="1:9">
      <c r="A62" s="588"/>
      <c r="B62" s="588"/>
      <c r="C62" s="588"/>
      <c r="D62" s="588"/>
      <c r="E62" s="588"/>
      <c r="F62" s="588"/>
      <c r="G62" s="588"/>
      <c r="H62" s="588"/>
      <c r="I62" s="588"/>
    </row>
    <row r="63" spans="1:9">
      <c r="A63" s="588"/>
      <c r="B63" s="588"/>
      <c r="C63" s="588"/>
      <c r="D63" s="588"/>
      <c r="E63" s="588"/>
      <c r="F63" s="588"/>
      <c r="G63" s="588"/>
      <c r="H63" s="588"/>
      <c r="I63" s="588"/>
    </row>
    <row r="64" spans="1:9">
      <c r="A64" s="588"/>
      <c r="B64" s="588"/>
      <c r="C64" s="588"/>
      <c r="D64" s="588"/>
      <c r="E64" s="588"/>
      <c r="F64" s="588"/>
      <c r="G64" s="588"/>
      <c r="H64" s="588"/>
      <c r="I64" s="588"/>
    </row>
    <row r="65" spans="1:9">
      <c r="A65" s="588"/>
      <c r="B65" s="588"/>
      <c r="C65" s="588"/>
      <c r="D65" s="588"/>
      <c r="E65" s="588"/>
      <c r="F65" s="588"/>
      <c r="G65" s="588"/>
      <c r="H65" s="588"/>
      <c r="I65" s="588"/>
    </row>
    <row r="66" spans="1:9">
      <c r="A66" s="588"/>
      <c r="B66" s="588"/>
      <c r="C66" s="588"/>
      <c r="D66" s="588"/>
      <c r="E66" s="588"/>
      <c r="F66" s="588"/>
      <c r="G66" s="588"/>
      <c r="H66" s="588"/>
      <c r="I66" s="588"/>
    </row>
    <row r="67" spans="1:9">
      <c r="A67" s="588"/>
      <c r="B67" s="588"/>
      <c r="C67" s="588"/>
      <c r="D67" s="588"/>
      <c r="E67" s="588"/>
      <c r="F67" s="588"/>
      <c r="G67" s="588"/>
      <c r="H67" s="588"/>
      <c r="I67" s="588"/>
    </row>
    <row r="68" spans="1:9">
      <c r="A68" s="588"/>
      <c r="B68" s="588"/>
      <c r="C68" s="588"/>
      <c r="D68" s="588"/>
      <c r="E68" s="588"/>
      <c r="F68" s="588"/>
      <c r="G68" s="588"/>
      <c r="H68" s="588"/>
      <c r="I68" s="588"/>
    </row>
    <row r="69" spans="1:9">
      <c r="A69" s="588"/>
      <c r="B69" s="588"/>
      <c r="C69" s="588"/>
      <c r="D69" s="588"/>
      <c r="E69" s="588"/>
      <c r="F69" s="588"/>
      <c r="G69" s="588"/>
      <c r="H69" s="588"/>
      <c r="I69" s="588"/>
    </row>
    <row r="70" spans="1:9">
      <c r="A70" s="588"/>
      <c r="B70" s="588"/>
      <c r="C70" s="588"/>
      <c r="D70" s="588"/>
      <c r="E70" s="588"/>
      <c r="F70" s="588"/>
      <c r="G70" s="588"/>
      <c r="H70" s="588"/>
      <c r="I70" s="588"/>
    </row>
    <row r="71" spans="1:9">
      <c r="A71" s="588"/>
      <c r="B71" s="588"/>
      <c r="C71" s="588"/>
      <c r="D71" s="588"/>
      <c r="E71" s="588"/>
      <c r="F71" s="588"/>
      <c r="G71" s="588"/>
      <c r="H71" s="588"/>
      <c r="I71" s="588"/>
    </row>
    <row r="72" spans="1:9">
      <c r="A72" s="588"/>
      <c r="B72" s="588"/>
      <c r="C72" s="588"/>
      <c r="D72" s="588"/>
      <c r="E72" s="588"/>
      <c r="F72" s="588"/>
      <c r="G72" s="588"/>
      <c r="H72" s="588"/>
      <c r="I72" s="588"/>
    </row>
    <row r="73" spans="1:9">
      <c r="A73" s="588"/>
      <c r="B73" s="588"/>
      <c r="C73" s="588"/>
      <c r="D73" s="588"/>
      <c r="E73" s="588"/>
      <c r="F73" s="588"/>
      <c r="G73" s="588"/>
      <c r="H73" s="588"/>
      <c r="I73" s="588"/>
    </row>
    <row r="74" spans="1:9">
      <c r="A74" s="588"/>
      <c r="B74" s="588"/>
      <c r="C74" s="588"/>
      <c r="D74" s="588"/>
      <c r="E74" s="588"/>
      <c r="F74" s="588"/>
      <c r="G74" s="588"/>
      <c r="H74" s="588"/>
      <c r="I74" s="588"/>
    </row>
    <row r="75" spans="1:9">
      <c r="A75" s="588"/>
      <c r="B75" s="588"/>
      <c r="C75" s="588"/>
      <c r="D75" s="588"/>
      <c r="E75" s="588"/>
      <c r="F75" s="588"/>
      <c r="G75" s="588"/>
      <c r="H75" s="588"/>
      <c r="I75" s="588"/>
    </row>
    <row r="76" spans="1:9">
      <c r="A76" s="588"/>
      <c r="B76" s="588"/>
      <c r="C76" s="588"/>
      <c r="D76" s="588"/>
      <c r="E76" s="588"/>
      <c r="F76" s="588"/>
      <c r="G76" s="588"/>
      <c r="H76" s="588"/>
      <c r="I76" s="588"/>
    </row>
    <row r="77" spans="1:9">
      <c r="A77" s="588"/>
      <c r="B77" s="588"/>
      <c r="C77" s="588"/>
      <c r="D77" s="588"/>
      <c r="E77" s="588"/>
      <c r="F77" s="588"/>
      <c r="G77" s="588"/>
      <c r="H77" s="588"/>
      <c r="I77" s="588"/>
    </row>
    <row r="78" spans="1:9">
      <c r="A78" s="588"/>
      <c r="B78" s="588"/>
      <c r="C78" s="588"/>
      <c r="D78" s="588"/>
      <c r="E78" s="588"/>
      <c r="F78" s="588"/>
      <c r="G78" s="588"/>
      <c r="H78" s="588"/>
      <c r="I78" s="588"/>
    </row>
    <row r="79" spans="1:9">
      <c r="A79" s="588"/>
      <c r="B79" s="588"/>
      <c r="C79" s="588"/>
      <c r="D79" s="588"/>
      <c r="E79" s="588"/>
      <c r="F79" s="588"/>
      <c r="G79" s="588"/>
      <c r="H79" s="588"/>
      <c r="I79" s="588"/>
    </row>
    <row r="80" spans="1:9">
      <c r="A80" s="588"/>
      <c r="B80" s="588"/>
      <c r="C80" s="588"/>
      <c r="D80" s="588"/>
      <c r="E80" s="588"/>
      <c r="F80" s="588"/>
      <c r="G80" s="588"/>
      <c r="H80" s="588"/>
      <c r="I80" s="588"/>
    </row>
    <row r="81" spans="1:9">
      <c r="A81" s="588"/>
      <c r="B81" s="588"/>
      <c r="C81" s="588"/>
      <c r="D81" s="588"/>
      <c r="E81" s="588"/>
      <c r="F81" s="588"/>
      <c r="G81" s="588"/>
      <c r="H81" s="588"/>
      <c r="I81" s="588"/>
    </row>
    <row r="82" spans="1:9">
      <c r="A82" s="588"/>
      <c r="B82" s="588"/>
      <c r="C82" s="588"/>
      <c r="D82" s="588"/>
      <c r="E82" s="588"/>
      <c r="F82" s="588"/>
      <c r="G82" s="588"/>
      <c r="H82" s="588"/>
      <c r="I82" s="588"/>
    </row>
    <row r="83" spans="1:9">
      <c r="A83" s="588"/>
      <c r="B83" s="588"/>
      <c r="C83" s="588"/>
      <c r="D83" s="588"/>
      <c r="E83" s="588"/>
      <c r="F83" s="588"/>
      <c r="G83" s="588"/>
      <c r="H83" s="588"/>
      <c r="I83" s="588"/>
    </row>
    <row r="84" spans="1:9">
      <c r="A84" s="588"/>
      <c r="B84" s="588"/>
      <c r="C84" s="588"/>
      <c r="D84" s="588"/>
      <c r="E84" s="588"/>
      <c r="F84" s="588"/>
      <c r="G84" s="588"/>
      <c r="H84" s="588"/>
      <c r="I84" s="588"/>
    </row>
    <row r="85" spans="1:9">
      <c r="A85" s="588"/>
      <c r="B85" s="588"/>
      <c r="C85" s="588"/>
      <c r="D85" s="588"/>
      <c r="E85" s="588"/>
      <c r="F85" s="588"/>
      <c r="G85" s="588"/>
      <c r="H85" s="588"/>
      <c r="I85" s="588"/>
    </row>
    <row r="86" spans="1:9">
      <c r="A86" s="588"/>
      <c r="B86" s="588"/>
      <c r="C86" s="588"/>
      <c r="D86" s="588"/>
      <c r="E86" s="588"/>
      <c r="F86" s="588"/>
      <c r="G86" s="588"/>
      <c r="H86" s="588"/>
      <c r="I86" s="588"/>
    </row>
    <row r="87" spans="1:9">
      <c r="A87" s="588"/>
      <c r="B87" s="588"/>
      <c r="C87" s="588"/>
      <c r="D87" s="588"/>
      <c r="E87" s="588"/>
      <c r="F87" s="588"/>
      <c r="G87" s="588"/>
      <c r="H87" s="588"/>
      <c r="I87" s="588"/>
    </row>
    <row r="88" spans="1:9">
      <c r="A88" s="588"/>
      <c r="B88" s="588"/>
      <c r="C88" s="588"/>
      <c r="D88" s="588"/>
      <c r="E88" s="588"/>
      <c r="F88" s="588"/>
      <c r="G88" s="588"/>
      <c r="H88" s="588"/>
      <c r="I88" s="588"/>
    </row>
    <row r="89" spans="1:9">
      <c r="A89" s="588"/>
      <c r="B89" s="588"/>
      <c r="C89" s="588"/>
      <c r="D89" s="588"/>
      <c r="E89" s="588"/>
      <c r="F89" s="588"/>
      <c r="G89" s="588"/>
      <c r="H89" s="588"/>
      <c r="I89" s="588"/>
    </row>
    <row r="90" spans="1:9">
      <c r="A90" s="588"/>
      <c r="B90" s="588"/>
      <c r="C90" s="588"/>
      <c r="D90" s="588"/>
      <c r="E90" s="588"/>
      <c r="F90" s="588"/>
      <c r="G90" s="588"/>
      <c r="H90" s="588"/>
      <c r="I90" s="588"/>
    </row>
    <row r="91" spans="1:9">
      <c r="A91" s="588"/>
      <c r="B91" s="588"/>
      <c r="C91" s="588"/>
      <c r="D91" s="588"/>
      <c r="E91" s="588"/>
      <c r="F91" s="588"/>
      <c r="G91" s="588"/>
      <c r="H91" s="588"/>
      <c r="I91" s="588"/>
    </row>
    <row r="92" spans="1:9">
      <c r="A92" s="588"/>
      <c r="B92" s="588"/>
      <c r="C92" s="588"/>
      <c r="D92" s="588"/>
      <c r="E92" s="588"/>
      <c r="F92" s="588"/>
      <c r="G92" s="588"/>
      <c r="H92" s="588"/>
      <c r="I92" s="588"/>
    </row>
    <row r="93" spans="1:9">
      <c r="A93" s="588"/>
      <c r="B93" s="588"/>
      <c r="C93" s="588"/>
      <c r="D93" s="588"/>
      <c r="E93" s="588"/>
      <c r="F93" s="588"/>
      <c r="G93" s="588"/>
      <c r="H93" s="588"/>
      <c r="I93" s="588"/>
    </row>
    <row r="94" spans="1:9">
      <c r="A94" s="588"/>
      <c r="B94" s="588"/>
      <c r="C94" s="588"/>
      <c r="D94" s="588"/>
      <c r="E94" s="588"/>
      <c r="F94" s="588"/>
      <c r="G94" s="588"/>
      <c r="H94" s="588"/>
      <c r="I94" s="588"/>
    </row>
    <row r="95" spans="1:9">
      <c r="A95" s="588"/>
      <c r="B95" s="588"/>
      <c r="C95" s="588"/>
      <c r="D95" s="588"/>
      <c r="E95" s="588"/>
      <c r="F95" s="588"/>
      <c r="G95" s="588"/>
      <c r="H95" s="588"/>
      <c r="I95" s="588"/>
    </row>
    <row r="96" spans="1:9">
      <c r="A96" s="588"/>
      <c r="B96" s="588"/>
      <c r="C96" s="588"/>
      <c r="D96" s="588"/>
      <c r="E96" s="588"/>
      <c r="F96" s="588"/>
      <c r="G96" s="588"/>
      <c r="H96" s="588"/>
      <c r="I96" s="588"/>
    </row>
    <row r="97" spans="1:9">
      <c r="A97" s="588"/>
      <c r="B97" s="588"/>
      <c r="C97" s="588"/>
      <c r="D97" s="588"/>
      <c r="E97" s="588"/>
      <c r="F97" s="588"/>
      <c r="G97" s="588"/>
      <c r="H97" s="588"/>
      <c r="I97" s="588"/>
    </row>
    <row r="98" spans="1:9">
      <c r="A98" s="588"/>
      <c r="B98" s="588"/>
      <c r="C98" s="588"/>
      <c r="D98" s="588"/>
      <c r="E98" s="588"/>
      <c r="F98" s="588"/>
      <c r="G98" s="588"/>
      <c r="H98" s="588"/>
      <c r="I98" s="588"/>
    </row>
    <row r="99" spans="1:9">
      <c r="A99" s="588"/>
      <c r="B99" s="588"/>
      <c r="C99" s="588"/>
      <c r="D99" s="588"/>
      <c r="E99" s="588"/>
      <c r="F99" s="588"/>
      <c r="G99" s="588"/>
      <c r="H99" s="588"/>
      <c r="I99" s="588"/>
    </row>
    <row r="100" spans="1:9">
      <c r="A100" s="588"/>
      <c r="B100" s="588"/>
      <c r="C100" s="588"/>
      <c r="D100" s="588"/>
      <c r="E100" s="588"/>
      <c r="F100" s="588"/>
      <c r="G100" s="588"/>
      <c r="H100" s="588"/>
      <c r="I100" s="588"/>
    </row>
    <row r="101" spans="1:9">
      <c r="A101" s="588"/>
      <c r="B101" s="588"/>
      <c r="C101" s="588"/>
      <c r="D101" s="588"/>
      <c r="E101" s="588"/>
      <c r="F101" s="588"/>
      <c r="G101" s="588"/>
      <c r="H101" s="588"/>
      <c r="I101" s="588"/>
    </row>
    <row r="102" spans="1:9">
      <c r="A102" s="588"/>
      <c r="B102" s="588"/>
      <c r="C102" s="588"/>
      <c r="D102" s="588"/>
      <c r="E102" s="588"/>
      <c r="F102" s="588"/>
      <c r="G102" s="588"/>
      <c r="H102" s="588"/>
      <c r="I102" s="588"/>
    </row>
    <row r="103" spans="1:9">
      <c r="A103" s="588"/>
      <c r="B103" s="588"/>
      <c r="C103" s="588"/>
      <c r="D103" s="588"/>
      <c r="E103" s="588"/>
      <c r="F103" s="588"/>
      <c r="G103" s="588"/>
      <c r="H103" s="588"/>
      <c r="I103" s="588"/>
    </row>
    <row r="104" spans="1:9">
      <c r="A104" s="588"/>
      <c r="B104" s="588"/>
      <c r="C104" s="588"/>
      <c r="D104" s="588"/>
      <c r="E104" s="588"/>
      <c r="F104" s="588"/>
      <c r="G104" s="588"/>
      <c r="H104" s="588"/>
      <c r="I104" s="588"/>
    </row>
    <row r="105" spans="1:9">
      <c r="A105" s="588"/>
      <c r="B105" s="588"/>
      <c r="C105" s="588"/>
      <c r="D105" s="588"/>
      <c r="E105" s="588"/>
      <c r="F105" s="588"/>
      <c r="G105" s="588"/>
      <c r="H105" s="588"/>
      <c r="I105" s="588"/>
    </row>
    <row r="106" spans="1:9">
      <c r="A106" s="588"/>
      <c r="B106" s="588"/>
      <c r="C106" s="588"/>
      <c r="D106" s="588"/>
      <c r="E106" s="588"/>
      <c r="F106" s="588"/>
      <c r="G106" s="588"/>
      <c r="H106" s="588"/>
      <c r="I106" s="588"/>
    </row>
    <row r="107" spans="1:9">
      <c r="A107" s="588"/>
      <c r="B107" s="588"/>
      <c r="C107" s="588"/>
      <c r="D107" s="588"/>
      <c r="E107" s="588"/>
      <c r="F107" s="588"/>
      <c r="G107" s="588"/>
      <c r="H107" s="588"/>
      <c r="I107" s="588"/>
    </row>
    <row r="108" spans="1:9">
      <c r="A108" s="588"/>
      <c r="B108" s="588"/>
      <c r="C108" s="588"/>
      <c r="D108" s="588"/>
      <c r="E108" s="588"/>
      <c r="F108" s="588"/>
      <c r="G108" s="588"/>
      <c r="H108" s="588"/>
      <c r="I108" s="588"/>
    </row>
    <row r="109" spans="1:9">
      <c r="A109" s="588"/>
      <c r="B109" s="588"/>
      <c r="C109" s="588"/>
      <c r="D109" s="588"/>
      <c r="E109" s="588"/>
      <c r="F109" s="588"/>
      <c r="G109" s="588"/>
      <c r="H109" s="588"/>
      <c r="I109" s="588"/>
    </row>
    <row r="110" spans="1:9">
      <c r="A110" s="588"/>
      <c r="B110" s="588"/>
      <c r="C110" s="588"/>
      <c r="D110" s="588"/>
      <c r="E110" s="588"/>
      <c r="F110" s="588"/>
      <c r="G110" s="588"/>
      <c r="H110" s="588"/>
      <c r="I110" s="588"/>
    </row>
    <row r="111" spans="1:9">
      <c r="A111" s="588"/>
      <c r="B111" s="588"/>
      <c r="C111" s="588"/>
      <c r="D111" s="588"/>
      <c r="E111" s="588"/>
      <c r="F111" s="588"/>
      <c r="G111" s="588"/>
      <c r="H111" s="588"/>
      <c r="I111" s="588"/>
    </row>
    <row r="112" spans="1:9">
      <c r="A112" s="588"/>
      <c r="B112" s="588"/>
      <c r="C112" s="588"/>
      <c r="D112" s="588"/>
      <c r="E112" s="588"/>
      <c r="F112" s="588"/>
      <c r="G112" s="588"/>
      <c r="H112" s="588"/>
      <c r="I112" s="588"/>
    </row>
    <row r="113" spans="1:9">
      <c r="A113" s="588"/>
      <c r="B113" s="588"/>
      <c r="C113" s="588"/>
      <c r="D113" s="588"/>
      <c r="E113" s="588"/>
      <c r="F113" s="588"/>
      <c r="G113" s="588"/>
      <c r="H113" s="588"/>
      <c r="I113" s="588"/>
    </row>
    <row r="114" spans="1:9">
      <c r="A114" s="588"/>
      <c r="B114" s="588"/>
      <c r="C114" s="588"/>
      <c r="D114" s="588"/>
      <c r="E114" s="588"/>
      <c r="F114" s="588"/>
      <c r="G114" s="588"/>
      <c r="H114" s="588"/>
      <c r="I114" s="588"/>
    </row>
    <row r="115" spans="1:9">
      <c r="A115" s="588"/>
      <c r="B115" s="588"/>
      <c r="C115" s="588"/>
      <c r="D115" s="588"/>
      <c r="E115" s="588"/>
      <c r="F115" s="588"/>
      <c r="G115" s="588"/>
      <c r="H115" s="588"/>
      <c r="I115" s="588"/>
    </row>
    <row r="116" spans="1:9">
      <c r="A116" s="588"/>
      <c r="B116" s="588"/>
      <c r="C116" s="588"/>
      <c r="D116" s="588"/>
      <c r="E116" s="588"/>
      <c r="F116" s="588"/>
      <c r="G116" s="588"/>
      <c r="H116" s="588"/>
      <c r="I116" s="588"/>
    </row>
    <row r="117" spans="1:9">
      <c r="A117" s="588"/>
      <c r="B117" s="588"/>
      <c r="C117" s="588"/>
      <c r="D117" s="588"/>
      <c r="E117" s="588"/>
      <c r="F117" s="588"/>
      <c r="G117" s="588"/>
      <c r="H117" s="588"/>
      <c r="I117" s="588"/>
    </row>
    <row r="118" spans="1:9">
      <c r="A118" s="588"/>
      <c r="B118" s="588"/>
      <c r="C118" s="588"/>
      <c r="D118" s="588"/>
      <c r="E118" s="588"/>
      <c r="F118" s="588"/>
      <c r="G118" s="588"/>
      <c r="H118" s="588"/>
      <c r="I118" s="588"/>
    </row>
    <row r="119" spans="1:9">
      <c r="A119" s="588"/>
      <c r="B119" s="588"/>
      <c r="C119" s="588"/>
      <c r="D119" s="588"/>
      <c r="E119" s="588"/>
      <c r="F119" s="588"/>
      <c r="G119" s="588"/>
      <c r="H119" s="588"/>
      <c r="I119" s="588"/>
    </row>
    <row r="120" spans="1:9">
      <c r="A120" s="588"/>
      <c r="B120" s="588"/>
      <c r="C120" s="588"/>
      <c r="D120" s="588"/>
      <c r="E120" s="588"/>
      <c r="F120" s="588"/>
      <c r="G120" s="588"/>
      <c r="H120" s="588"/>
      <c r="I120" s="588"/>
    </row>
    <row r="121" spans="1:9">
      <c r="A121" s="588"/>
      <c r="B121" s="588"/>
      <c r="C121" s="588"/>
      <c r="D121" s="588"/>
      <c r="E121" s="588"/>
      <c r="F121" s="588"/>
      <c r="G121" s="588"/>
      <c r="H121" s="588"/>
      <c r="I121" s="588"/>
    </row>
    <row r="122" spans="1:9">
      <c r="A122" s="588"/>
      <c r="B122" s="588"/>
      <c r="C122" s="588"/>
      <c r="D122" s="588"/>
      <c r="E122" s="588"/>
      <c r="F122" s="588"/>
      <c r="G122" s="588"/>
      <c r="H122" s="588"/>
      <c r="I122" s="588"/>
    </row>
    <row r="123" spans="1:9">
      <c r="A123" s="588"/>
      <c r="B123" s="588"/>
      <c r="C123" s="588"/>
      <c r="D123" s="588"/>
      <c r="E123" s="588"/>
      <c r="F123" s="588"/>
      <c r="G123" s="588"/>
      <c r="H123" s="588"/>
      <c r="I123" s="588"/>
    </row>
    <row r="124" spans="1:9">
      <c r="A124" s="588"/>
      <c r="B124" s="588"/>
      <c r="C124" s="588"/>
      <c r="D124" s="588"/>
      <c r="E124" s="588"/>
      <c r="F124" s="588"/>
      <c r="G124" s="588"/>
      <c r="H124" s="588"/>
      <c r="I124" s="588"/>
    </row>
    <row r="125" spans="1:9">
      <c r="A125" s="588"/>
      <c r="B125" s="588"/>
      <c r="C125" s="588"/>
      <c r="D125" s="588"/>
      <c r="E125" s="588"/>
      <c r="F125" s="588"/>
      <c r="G125" s="588"/>
      <c r="H125" s="588"/>
      <c r="I125" s="588"/>
    </row>
    <row r="126" spans="1:9">
      <c r="A126" s="588"/>
      <c r="B126" s="588"/>
      <c r="C126" s="588"/>
      <c r="D126" s="588"/>
      <c r="E126" s="588"/>
      <c r="F126" s="588"/>
      <c r="G126" s="588"/>
      <c r="H126" s="588"/>
      <c r="I126" s="588"/>
    </row>
    <row r="127" spans="1:9">
      <c r="A127" s="588"/>
      <c r="B127" s="588"/>
      <c r="C127" s="588"/>
      <c r="D127" s="588"/>
      <c r="E127" s="588"/>
      <c r="F127" s="588"/>
      <c r="G127" s="588"/>
      <c r="H127" s="588"/>
      <c r="I127" s="588"/>
    </row>
    <row r="128" spans="1:9">
      <c r="A128" s="588"/>
      <c r="B128" s="588"/>
      <c r="C128" s="588"/>
      <c r="D128" s="588"/>
      <c r="E128" s="588"/>
      <c r="F128" s="588"/>
      <c r="G128" s="588"/>
      <c r="H128" s="588"/>
      <c r="I128" s="588"/>
    </row>
    <row r="129" spans="1:9">
      <c r="A129" s="588"/>
      <c r="B129" s="588"/>
      <c r="C129" s="588"/>
      <c r="D129" s="588"/>
      <c r="E129" s="588"/>
      <c r="F129" s="588"/>
      <c r="G129" s="588"/>
      <c r="H129" s="588"/>
      <c r="I129" s="588"/>
    </row>
    <row r="130" spans="1:9">
      <c r="A130" s="588"/>
      <c r="B130" s="588"/>
      <c r="C130" s="588"/>
      <c r="D130" s="588"/>
      <c r="E130" s="588"/>
      <c r="F130" s="588"/>
      <c r="G130" s="588"/>
      <c r="H130" s="588"/>
      <c r="I130" s="588"/>
    </row>
    <row r="131" spans="1:9">
      <c r="A131" s="588"/>
      <c r="B131" s="588"/>
      <c r="C131" s="588"/>
      <c r="D131" s="588"/>
      <c r="E131" s="588"/>
      <c r="F131" s="588"/>
      <c r="G131" s="588"/>
      <c r="H131" s="588"/>
      <c r="I131" s="588"/>
    </row>
    <row r="132" spans="1:9">
      <c r="A132" s="588"/>
      <c r="B132" s="588"/>
      <c r="C132" s="588"/>
      <c r="D132" s="588"/>
      <c r="E132" s="588"/>
      <c r="F132" s="588"/>
      <c r="G132" s="588"/>
      <c r="H132" s="588"/>
      <c r="I132" s="588"/>
    </row>
    <row r="133" spans="1:9">
      <c r="A133" s="588"/>
      <c r="B133" s="588"/>
      <c r="C133" s="588"/>
      <c r="D133" s="588"/>
      <c r="E133" s="588"/>
      <c r="F133" s="588"/>
      <c r="G133" s="588"/>
      <c r="H133" s="588"/>
      <c r="I133" s="588"/>
    </row>
    <row r="134" spans="1:9">
      <c r="A134" s="588"/>
      <c r="B134" s="588"/>
      <c r="C134" s="588"/>
      <c r="D134" s="588"/>
      <c r="E134" s="588"/>
      <c r="F134" s="588"/>
      <c r="G134" s="588"/>
      <c r="H134" s="588"/>
      <c r="I134" s="588"/>
    </row>
    <row r="135" spans="1:9">
      <c r="A135" s="588"/>
      <c r="B135" s="588"/>
      <c r="C135" s="588"/>
      <c r="D135" s="588"/>
      <c r="E135" s="588"/>
      <c r="F135" s="588"/>
      <c r="G135" s="588"/>
      <c r="H135" s="588"/>
      <c r="I135" s="588"/>
    </row>
    <row r="136" spans="1:9">
      <c r="A136" s="588"/>
      <c r="B136" s="588"/>
      <c r="C136" s="588"/>
      <c r="D136" s="588"/>
      <c r="E136" s="588"/>
      <c r="F136" s="588"/>
      <c r="G136" s="588"/>
      <c r="H136" s="588"/>
      <c r="I136" s="588"/>
    </row>
    <row r="137" spans="1:9">
      <c r="A137" s="588"/>
      <c r="B137" s="588"/>
      <c r="C137" s="588"/>
      <c r="D137" s="588"/>
      <c r="E137" s="588"/>
      <c r="F137" s="588"/>
      <c r="G137" s="588"/>
      <c r="H137" s="588"/>
      <c r="I137" s="588"/>
    </row>
    <row r="138" spans="1:9">
      <c r="A138" s="588"/>
      <c r="B138" s="588"/>
      <c r="C138" s="588"/>
      <c r="D138" s="588"/>
      <c r="E138" s="588"/>
      <c r="F138" s="588"/>
      <c r="G138" s="588"/>
      <c r="H138" s="588"/>
      <c r="I138" s="588"/>
    </row>
    <row r="139" spans="1:9">
      <c r="A139" s="588"/>
      <c r="B139" s="588"/>
      <c r="C139" s="588"/>
      <c r="D139" s="588"/>
      <c r="E139" s="588"/>
      <c r="F139" s="588"/>
      <c r="G139" s="588"/>
      <c r="H139" s="588"/>
      <c r="I139" s="588"/>
    </row>
    <row r="140" spans="1:9">
      <c r="A140" s="588"/>
      <c r="B140" s="588"/>
      <c r="C140" s="588"/>
      <c r="D140" s="588"/>
      <c r="E140" s="588"/>
      <c r="F140" s="588"/>
      <c r="G140" s="588"/>
      <c r="H140" s="588"/>
      <c r="I140" s="588"/>
    </row>
    <row r="141" spans="1:9">
      <c r="A141" s="588"/>
      <c r="B141" s="588"/>
      <c r="C141" s="588"/>
      <c r="D141" s="588"/>
      <c r="E141" s="588"/>
      <c r="F141" s="588"/>
      <c r="G141" s="588"/>
      <c r="H141" s="588"/>
      <c r="I141" s="588"/>
    </row>
    <row r="142" spans="1:9">
      <c r="A142" s="588"/>
      <c r="B142" s="588"/>
      <c r="C142" s="588"/>
      <c r="D142" s="588"/>
      <c r="E142" s="588"/>
      <c r="F142" s="588"/>
      <c r="G142" s="588"/>
      <c r="H142" s="588"/>
      <c r="I142" s="588"/>
    </row>
    <row r="143" spans="1:9">
      <c r="A143" s="588"/>
      <c r="B143" s="588"/>
      <c r="C143" s="588"/>
      <c r="D143" s="588"/>
      <c r="E143" s="588"/>
      <c r="F143" s="588"/>
      <c r="G143" s="588"/>
      <c r="H143" s="588"/>
      <c r="I143" s="588"/>
    </row>
    <row r="144" spans="1:9">
      <c r="A144" s="588"/>
      <c r="B144" s="588"/>
      <c r="C144" s="588"/>
      <c r="D144" s="588"/>
      <c r="E144" s="588"/>
      <c r="F144" s="588"/>
      <c r="G144" s="588"/>
      <c r="H144" s="588"/>
      <c r="I144" s="588"/>
    </row>
    <row r="145" spans="1:9">
      <c r="A145" s="588"/>
      <c r="B145" s="588"/>
      <c r="C145" s="588"/>
      <c r="D145" s="588"/>
      <c r="E145" s="588"/>
      <c r="F145" s="588"/>
      <c r="G145" s="588"/>
      <c r="H145" s="588"/>
      <c r="I145" s="588"/>
    </row>
    <row r="146" spans="1:9">
      <c r="A146" s="588"/>
      <c r="B146" s="588"/>
      <c r="C146" s="588"/>
      <c r="D146" s="588"/>
      <c r="E146" s="588"/>
      <c r="F146" s="588"/>
      <c r="G146" s="588"/>
      <c r="H146" s="588"/>
      <c r="I146" s="588"/>
    </row>
    <row r="147" spans="1:9">
      <c r="A147" s="588"/>
      <c r="B147" s="588"/>
      <c r="C147" s="588"/>
      <c r="D147" s="588"/>
      <c r="E147" s="588"/>
      <c r="F147" s="588"/>
      <c r="G147" s="588"/>
      <c r="H147" s="588"/>
      <c r="I147" s="588"/>
    </row>
    <row r="148" spans="1:9">
      <c r="A148" s="588"/>
      <c r="B148" s="588"/>
      <c r="C148" s="588"/>
      <c r="D148" s="588"/>
      <c r="E148" s="588"/>
      <c r="F148" s="588"/>
      <c r="G148" s="588"/>
      <c r="H148" s="588"/>
      <c r="I148" s="588"/>
    </row>
    <row r="149" spans="1:9">
      <c r="A149" s="588"/>
      <c r="B149" s="588"/>
      <c r="C149" s="588"/>
      <c r="D149" s="588"/>
      <c r="E149" s="588"/>
      <c r="F149" s="588"/>
      <c r="G149" s="588"/>
      <c r="H149" s="588"/>
      <c r="I149" s="588"/>
    </row>
    <row r="150" spans="1:9">
      <c r="A150" s="588"/>
      <c r="B150" s="588"/>
      <c r="C150" s="588"/>
      <c r="D150" s="588"/>
      <c r="E150" s="588"/>
      <c r="F150" s="588"/>
      <c r="G150" s="588"/>
      <c r="H150" s="588"/>
      <c r="I150" s="588"/>
    </row>
    <row r="151" spans="1:9">
      <c r="A151" s="588"/>
      <c r="B151" s="588"/>
      <c r="C151" s="588"/>
      <c r="D151" s="588"/>
      <c r="E151" s="588"/>
      <c r="F151" s="588"/>
      <c r="G151" s="588"/>
      <c r="H151" s="588"/>
      <c r="I151" s="588"/>
    </row>
    <row r="152" spans="1:9">
      <c r="A152" s="588"/>
      <c r="B152" s="588"/>
      <c r="C152" s="588"/>
      <c r="D152" s="588"/>
      <c r="E152" s="588"/>
      <c r="F152" s="588"/>
      <c r="G152" s="588"/>
      <c r="H152" s="588"/>
      <c r="I152" s="588"/>
    </row>
    <row r="153" spans="1:9">
      <c r="A153" s="588"/>
      <c r="B153" s="588"/>
      <c r="C153" s="588"/>
      <c r="D153" s="588"/>
      <c r="E153" s="588"/>
      <c r="F153" s="588"/>
      <c r="G153" s="588"/>
      <c r="H153" s="588"/>
      <c r="I153" s="588"/>
    </row>
    <row r="154" spans="1:9">
      <c r="A154" s="588"/>
      <c r="B154" s="588"/>
      <c r="C154" s="588"/>
      <c r="D154" s="588"/>
      <c r="E154" s="588"/>
      <c r="F154" s="588"/>
      <c r="G154" s="588"/>
      <c r="H154" s="588"/>
      <c r="I154" s="588"/>
    </row>
    <row r="155" spans="1:9">
      <c r="A155" s="588"/>
      <c r="B155" s="588"/>
      <c r="C155" s="588"/>
      <c r="D155" s="588"/>
      <c r="E155" s="588"/>
      <c r="F155" s="588"/>
      <c r="G155" s="588"/>
      <c r="H155" s="588"/>
      <c r="I155" s="588"/>
    </row>
    <row r="156" spans="1:9">
      <c r="A156" s="588"/>
      <c r="B156" s="588"/>
      <c r="C156" s="588"/>
      <c r="D156" s="588"/>
      <c r="E156" s="588"/>
      <c r="F156" s="588"/>
      <c r="G156" s="588"/>
      <c r="H156" s="588"/>
      <c r="I156" s="588"/>
    </row>
    <row r="157" spans="1:9">
      <c r="A157" s="588"/>
      <c r="B157" s="588"/>
      <c r="C157" s="588"/>
      <c r="D157" s="588"/>
      <c r="E157" s="588"/>
      <c r="F157" s="588"/>
      <c r="G157" s="588"/>
      <c r="H157" s="588"/>
      <c r="I157" s="588"/>
    </row>
    <row r="158" spans="1:9">
      <c r="A158" s="588"/>
      <c r="B158" s="588"/>
      <c r="C158" s="588"/>
      <c r="D158" s="588"/>
      <c r="E158" s="588"/>
      <c r="F158" s="588"/>
      <c r="G158" s="588"/>
      <c r="H158" s="588"/>
      <c r="I158" s="588"/>
    </row>
    <row r="159" spans="1:9">
      <c r="A159" s="588"/>
      <c r="B159" s="588"/>
      <c r="C159" s="588"/>
      <c r="D159" s="588"/>
      <c r="E159" s="588"/>
      <c r="F159" s="588"/>
      <c r="G159" s="588"/>
      <c r="H159" s="588"/>
      <c r="I159" s="588"/>
    </row>
    <row r="160" spans="1:9">
      <c r="A160" s="588"/>
      <c r="B160" s="588"/>
      <c r="C160" s="588"/>
      <c r="D160" s="588"/>
      <c r="E160" s="588"/>
      <c r="F160" s="588"/>
      <c r="G160" s="588"/>
      <c r="H160" s="588"/>
      <c r="I160" s="588"/>
    </row>
    <row r="161" spans="1:9">
      <c r="A161" s="588"/>
      <c r="B161" s="588"/>
      <c r="C161" s="588"/>
      <c r="D161" s="588"/>
      <c r="E161" s="588"/>
      <c r="F161" s="588"/>
      <c r="G161" s="588"/>
      <c r="H161" s="588"/>
      <c r="I161" s="588"/>
    </row>
    <row r="162" spans="1:9">
      <c r="A162" s="588"/>
      <c r="B162" s="588"/>
      <c r="C162" s="588"/>
      <c r="D162" s="588"/>
      <c r="E162" s="588"/>
      <c r="F162" s="588"/>
      <c r="G162" s="588"/>
      <c r="H162" s="588"/>
      <c r="I162" s="588"/>
    </row>
    <row r="163" spans="1:9">
      <c r="A163" s="588"/>
      <c r="B163" s="588"/>
      <c r="C163" s="588"/>
      <c r="D163" s="588"/>
      <c r="E163" s="588"/>
      <c r="F163" s="588"/>
      <c r="G163" s="588"/>
      <c r="H163" s="588"/>
      <c r="I163" s="588"/>
    </row>
    <row r="164" spans="1:9">
      <c r="A164" s="588"/>
      <c r="B164" s="588"/>
      <c r="C164" s="588"/>
      <c r="D164" s="588"/>
      <c r="E164" s="588"/>
      <c r="F164" s="588"/>
      <c r="G164" s="588"/>
      <c r="H164" s="588"/>
      <c r="I164" s="588"/>
    </row>
    <row r="165" spans="1:9">
      <c r="A165" s="588"/>
      <c r="B165" s="588"/>
      <c r="C165" s="588"/>
      <c r="D165" s="588"/>
      <c r="E165" s="588"/>
      <c r="F165" s="588"/>
      <c r="G165" s="588"/>
      <c r="H165" s="588"/>
      <c r="I165" s="588"/>
    </row>
    <row r="166" spans="1:9">
      <c r="A166" s="588"/>
      <c r="B166" s="588"/>
      <c r="C166" s="588"/>
      <c r="D166" s="588"/>
      <c r="E166" s="588"/>
      <c r="F166" s="588"/>
      <c r="G166" s="588"/>
      <c r="H166" s="588"/>
      <c r="I166" s="588"/>
    </row>
    <row r="167" spans="1:9">
      <c r="A167" s="588"/>
      <c r="B167" s="588"/>
      <c r="C167" s="588"/>
      <c r="D167" s="588"/>
      <c r="E167" s="588"/>
      <c r="F167" s="588"/>
      <c r="G167" s="588"/>
      <c r="H167" s="588"/>
      <c r="I167" s="588"/>
    </row>
    <row r="168" spans="1:9">
      <c r="A168" s="588"/>
      <c r="B168" s="588"/>
      <c r="C168" s="588"/>
      <c r="D168" s="588"/>
      <c r="E168" s="588"/>
      <c r="F168" s="588"/>
      <c r="G168" s="588"/>
      <c r="H168" s="588"/>
      <c r="I168" s="588"/>
    </row>
    <row r="169" spans="1:9">
      <c r="A169" s="588"/>
      <c r="B169" s="588"/>
      <c r="C169" s="588"/>
      <c r="D169" s="588"/>
      <c r="E169" s="588"/>
      <c r="F169" s="588"/>
      <c r="G169" s="588"/>
      <c r="H169" s="588"/>
      <c r="I169" s="588"/>
    </row>
    <row r="170" spans="1:9">
      <c r="A170" s="588"/>
      <c r="B170" s="588"/>
      <c r="C170" s="588"/>
      <c r="D170" s="588"/>
      <c r="E170" s="588"/>
      <c r="F170" s="588"/>
      <c r="G170" s="588"/>
      <c r="H170" s="588"/>
      <c r="I170" s="588"/>
    </row>
    <row r="171" spans="1:9">
      <c r="A171" s="588"/>
      <c r="B171" s="588"/>
      <c r="C171" s="588"/>
      <c r="D171" s="588"/>
      <c r="E171" s="588"/>
      <c r="F171" s="588"/>
      <c r="G171" s="588"/>
      <c r="H171" s="588"/>
      <c r="I171" s="588"/>
    </row>
    <row r="172" spans="1:9">
      <c r="A172" s="588"/>
      <c r="B172" s="588"/>
      <c r="C172" s="588"/>
      <c r="D172" s="588"/>
      <c r="E172" s="588"/>
      <c r="F172" s="588"/>
      <c r="G172" s="588"/>
      <c r="H172" s="588"/>
      <c r="I172" s="588"/>
    </row>
    <row r="173" spans="1:9">
      <c r="A173" s="588"/>
      <c r="B173" s="588"/>
      <c r="C173" s="588"/>
      <c r="D173" s="588"/>
      <c r="E173" s="588"/>
      <c r="F173" s="588"/>
      <c r="G173" s="588"/>
      <c r="H173" s="588"/>
      <c r="I173" s="588"/>
    </row>
    <row r="174" spans="1:9">
      <c r="A174" s="588"/>
      <c r="B174" s="588"/>
      <c r="C174" s="588"/>
      <c r="D174" s="588"/>
      <c r="E174" s="588"/>
      <c r="F174" s="588"/>
      <c r="G174" s="588"/>
      <c r="H174" s="588"/>
      <c r="I174" s="588"/>
    </row>
    <row r="175" spans="1:9">
      <c r="A175" s="588"/>
      <c r="B175" s="588"/>
      <c r="C175" s="588"/>
      <c r="D175" s="588"/>
      <c r="E175" s="588"/>
      <c r="F175" s="588"/>
      <c r="G175" s="588"/>
      <c r="H175" s="588"/>
      <c r="I175" s="588"/>
    </row>
    <row r="176" spans="1:9">
      <c r="A176" s="588"/>
      <c r="B176" s="588"/>
      <c r="C176" s="588"/>
      <c r="D176" s="588"/>
      <c r="E176" s="588"/>
      <c r="F176" s="588"/>
      <c r="G176" s="588"/>
      <c r="H176" s="588"/>
      <c r="I176" s="588"/>
    </row>
    <row r="177" spans="1:9">
      <c r="A177" s="588"/>
      <c r="B177" s="588"/>
      <c r="C177" s="588"/>
      <c r="D177" s="588"/>
      <c r="E177" s="588"/>
      <c r="F177" s="588"/>
      <c r="G177" s="588"/>
      <c r="H177" s="588"/>
      <c r="I177" s="588"/>
    </row>
    <row r="178" spans="1:9">
      <c r="A178" s="588"/>
      <c r="B178" s="588"/>
      <c r="C178" s="588"/>
      <c r="D178" s="588"/>
      <c r="E178" s="588"/>
      <c r="F178" s="588"/>
      <c r="G178" s="588"/>
      <c r="H178" s="588"/>
      <c r="I178" s="588"/>
    </row>
    <row r="179" spans="1:9">
      <c r="A179" s="588"/>
      <c r="B179" s="588"/>
      <c r="C179" s="588"/>
      <c r="D179" s="588"/>
      <c r="E179" s="588"/>
      <c r="F179" s="588"/>
      <c r="G179" s="588"/>
      <c r="H179" s="588"/>
      <c r="I179" s="588"/>
    </row>
    <row r="180" spans="1:9">
      <c r="A180" s="588"/>
      <c r="B180" s="588"/>
      <c r="C180" s="588"/>
      <c r="D180" s="588"/>
      <c r="E180" s="588"/>
      <c r="F180" s="588"/>
      <c r="G180" s="588"/>
      <c r="H180" s="588"/>
      <c r="I180" s="588"/>
    </row>
    <row r="181" spans="1:9">
      <c r="A181" s="588"/>
      <c r="B181" s="588"/>
      <c r="C181" s="588"/>
      <c r="D181" s="588"/>
      <c r="E181" s="588"/>
      <c r="F181" s="588"/>
      <c r="G181" s="588"/>
      <c r="H181" s="588"/>
      <c r="I181" s="588"/>
    </row>
    <row r="182" spans="1:9">
      <c r="A182" s="588"/>
      <c r="B182" s="588"/>
      <c r="C182" s="588"/>
      <c r="D182" s="588"/>
      <c r="E182" s="588"/>
      <c r="F182" s="588"/>
      <c r="G182" s="588"/>
      <c r="H182" s="588"/>
      <c r="I182" s="588"/>
    </row>
    <row r="183" spans="1:9">
      <c r="A183" s="588"/>
      <c r="B183" s="588"/>
      <c r="C183" s="588"/>
      <c r="D183" s="588"/>
      <c r="E183" s="588"/>
      <c r="F183" s="588"/>
      <c r="G183" s="588"/>
      <c r="H183" s="588"/>
      <c r="I183" s="588"/>
    </row>
    <row r="184" spans="1:9">
      <c r="A184" s="588"/>
      <c r="B184" s="588"/>
      <c r="C184" s="588"/>
      <c r="D184" s="588"/>
      <c r="E184" s="588"/>
      <c r="F184" s="588"/>
      <c r="G184" s="588"/>
      <c r="H184" s="588"/>
      <c r="I184" s="588"/>
    </row>
    <row r="185" spans="1:9">
      <c r="A185" s="588"/>
      <c r="B185" s="588"/>
      <c r="C185" s="588"/>
      <c r="D185" s="588"/>
      <c r="E185" s="588"/>
      <c r="F185" s="588"/>
      <c r="G185" s="588"/>
      <c r="H185" s="588"/>
      <c r="I185" s="588"/>
    </row>
    <row r="186" spans="1:9">
      <c r="A186" s="588"/>
      <c r="B186" s="588"/>
      <c r="C186" s="588"/>
      <c r="D186" s="588"/>
      <c r="E186" s="588"/>
      <c r="F186" s="588"/>
      <c r="G186" s="588"/>
      <c r="H186" s="588"/>
      <c r="I186" s="588"/>
    </row>
    <row r="187" spans="1:9">
      <c r="A187" s="588"/>
      <c r="B187" s="588"/>
      <c r="C187" s="588"/>
      <c r="D187" s="588"/>
      <c r="E187" s="588"/>
      <c r="F187" s="588"/>
      <c r="G187" s="588"/>
      <c r="H187" s="588"/>
      <c r="I187" s="588"/>
    </row>
    <row r="188" spans="1:9">
      <c r="A188" s="588"/>
      <c r="B188" s="588"/>
      <c r="C188" s="588"/>
      <c r="D188" s="588"/>
      <c r="E188" s="588"/>
      <c r="F188" s="588"/>
      <c r="G188" s="588"/>
      <c r="H188" s="588"/>
      <c r="I188" s="588"/>
    </row>
    <row r="189" spans="1:9">
      <c r="A189" s="588"/>
      <c r="B189" s="588"/>
      <c r="C189" s="588"/>
      <c r="D189" s="588"/>
      <c r="E189" s="588"/>
      <c r="F189" s="588"/>
      <c r="G189" s="588"/>
      <c r="H189" s="588"/>
      <c r="I189" s="588"/>
    </row>
    <row r="190" spans="1:9">
      <c r="A190" s="588"/>
      <c r="B190" s="588"/>
      <c r="C190" s="588"/>
      <c r="D190" s="588"/>
      <c r="E190" s="588"/>
      <c r="F190" s="588"/>
      <c r="G190" s="588"/>
      <c r="H190" s="588"/>
      <c r="I190" s="588"/>
    </row>
    <row r="191" spans="1:9">
      <c r="A191" s="588"/>
      <c r="B191" s="588"/>
      <c r="C191" s="588"/>
      <c r="D191" s="588"/>
      <c r="E191" s="588"/>
      <c r="F191" s="588"/>
      <c r="G191" s="588"/>
      <c r="H191" s="588"/>
      <c r="I191" s="588"/>
    </row>
    <row r="192" spans="1:9">
      <c r="A192" s="588"/>
      <c r="B192" s="588"/>
      <c r="C192" s="588"/>
      <c r="D192" s="588"/>
      <c r="E192" s="588"/>
      <c r="F192" s="588"/>
      <c r="G192" s="588"/>
      <c r="H192" s="588"/>
      <c r="I192" s="588"/>
    </row>
    <row r="193" spans="1:9">
      <c r="A193" s="588"/>
      <c r="B193" s="588"/>
      <c r="C193" s="588"/>
      <c r="D193" s="588"/>
      <c r="E193" s="588"/>
      <c r="F193" s="588"/>
      <c r="G193" s="588"/>
      <c r="H193" s="588"/>
      <c r="I193" s="588"/>
    </row>
    <row r="194" spans="1:9">
      <c r="A194" s="588"/>
      <c r="B194" s="588"/>
      <c r="C194" s="588"/>
      <c r="D194" s="588"/>
      <c r="E194" s="588"/>
      <c r="F194" s="588"/>
      <c r="G194" s="588"/>
      <c r="H194" s="588"/>
      <c r="I194" s="588"/>
    </row>
    <row r="195" spans="1:9">
      <c r="A195" s="588"/>
      <c r="B195" s="588"/>
      <c r="C195" s="588"/>
      <c r="D195" s="588"/>
      <c r="E195" s="588"/>
      <c r="F195" s="588"/>
      <c r="G195" s="588"/>
      <c r="H195" s="588"/>
      <c r="I195" s="588"/>
    </row>
    <row r="196" spans="1:9">
      <c r="A196" s="588"/>
      <c r="B196" s="588"/>
      <c r="C196" s="588"/>
      <c r="D196" s="588"/>
      <c r="E196" s="588"/>
      <c r="F196" s="588"/>
      <c r="G196" s="588"/>
      <c r="H196" s="588"/>
      <c r="I196" s="588"/>
    </row>
    <row r="197" spans="1:9">
      <c r="A197" s="588"/>
      <c r="B197" s="588"/>
      <c r="C197" s="588"/>
      <c r="D197" s="588"/>
      <c r="E197" s="588"/>
      <c r="F197" s="588"/>
      <c r="G197" s="588"/>
      <c r="H197" s="588"/>
      <c r="I197" s="588"/>
    </row>
    <row r="198" spans="1:9">
      <c r="A198" s="588"/>
      <c r="B198" s="588"/>
      <c r="C198" s="588"/>
      <c r="D198" s="588"/>
      <c r="E198" s="588"/>
      <c r="F198" s="588"/>
      <c r="G198" s="588"/>
      <c r="H198" s="588"/>
      <c r="I198" s="588"/>
    </row>
    <row r="199" spans="1:9">
      <c r="A199" s="588"/>
      <c r="B199" s="588"/>
      <c r="C199" s="588"/>
      <c r="D199" s="588"/>
      <c r="E199" s="588"/>
      <c r="F199" s="588"/>
      <c r="G199" s="588"/>
      <c r="H199" s="588"/>
      <c r="I199" s="588"/>
    </row>
    <row r="200" spans="1:9">
      <c r="A200" s="588"/>
      <c r="B200" s="588"/>
      <c r="C200" s="588"/>
      <c r="D200" s="588"/>
      <c r="E200" s="588"/>
      <c r="F200" s="588"/>
      <c r="G200" s="588"/>
      <c r="H200" s="588"/>
      <c r="I200" s="588"/>
    </row>
    <row r="201" spans="1:9">
      <c r="A201" s="588"/>
      <c r="B201" s="588"/>
      <c r="C201" s="588"/>
      <c r="D201" s="588"/>
      <c r="E201" s="588"/>
      <c r="F201" s="588"/>
      <c r="G201" s="588"/>
      <c r="H201" s="588"/>
      <c r="I201" s="588"/>
    </row>
    <row r="202" spans="1:9">
      <c r="A202" s="588"/>
      <c r="B202" s="588"/>
      <c r="C202" s="588"/>
      <c r="D202" s="588"/>
      <c r="E202" s="588"/>
      <c r="F202" s="588"/>
      <c r="G202" s="588"/>
      <c r="H202" s="588"/>
      <c r="I202" s="588"/>
    </row>
    <row r="203" spans="1:9">
      <c r="A203" s="588"/>
      <c r="B203" s="588"/>
      <c r="C203" s="588"/>
      <c r="D203" s="588"/>
      <c r="E203" s="588"/>
      <c r="F203" s="588"/>
      <c r="G203" s="588"/>
      <c r="H203" s="588"/>
      <c r="I203" s="588"/>
    </row>
    <row r="204" spans="1:9">
      <c r="A204" s="588"/>
      <c r="B204" s="588"/>
      <c r="C204" s="588"/>
      <c r="D204" s="588"/>
      <c r="E204" s="588"/>
      <c r="F204" s="588"/>
      <c r="G204" s="588"/>
      <c r="H204" s="588"/>
      <c r="I204" s="588"/>
    </row>
    <row r="205" spans="1:9">
      <c r="A205" s="588"/>
      <c r="B205" s="588"/>
      <c r="C205" s="588"/>
      <c r="D205" s="588"/>
      <c r="E205" s="588"/>
      <c r="F205" s="588"/>
      <c r="G205" s="588"/>
      <c r="H205" s="588"/>
      <c r="I205" s="588"/>
    </row>
    <row r="206" spans="1:9">
      <c r="A206" s="588"/>
      <c r="B206" s="588"/>
      <c r="C206" s="588"/>
      <c r="D206" s="588"/>
      <c r="E206" s="588"/>
      <c r="F206" s="588"/>
      <c r="G206" s="588"/>
      <c r="H206" s="588"/>
      <c r="I206" s="588"/>
    </row>
    <row r="207" spans="1:9">
      <c r="A207" s="588"/>
      <c r="B207" s="588"/>
      <c r="C207" s="588"/>
      <c r="D207" s="588"/>
      <c r="E207" s="588"/>
      <c r="F207" s="588"/>
      <c r="G207" s="588"/>
      <c r="H207" s="588"/>
      <c r="I207" s="588"/>
    </row>
    <row r="208" spans="1:9">
      <c r="A208" s="588"/>
      <c r="B208" s="588"/>
      <c r="C208" s="588"/>
      <c r="D208" s="588"/>
      <c r="E208" s="588"/>
      <c r="F208" s="588"/>
      <c r="G208" s="588"/>
      <c r="H208" s="588"/>
      <c r="I208" s="588"/>
    </row>
    <row r="209" spans="1:9">
      <c r="A209" s="588"/>
      <c r="B209" s="588"/>
      <c r="C209" s="588"/>
      <c r="D209" s="588"/>
      <c r="E209" s="588"/>
      <c r="F209" s="588"/>
      <c r="G209" s="588"/>
      <c r="H209" s="588"/>
      <c r="I209" s="588"/>
    </row>
    <row r="210" spans="1:9">
      <c r="A210" s="588"/>
      <c r="B210" s="588"/>
      <c r="C210" s="588"/>
      <c r="D210" s="588"/>
      <c r="E210" s="588"/>
      <c r="F210" s="588"/>
      <c r="G210" s="588"/>
      <c r="H210" s="588"/>
      <c r="I210" s="588"/>
    </row>
    <row r="211" spans="1:9">
      <c r="A211" s="588"/>
      <c r="B211" s="588"/>
      <c r="C211" s="588"/>
      <c r="D211" s="588"/>
      <c r="E211" s="588"/>
      <c r="F211" s="588"/>
      <c r="G211" s="588"/>
      <c r="H211" s="588"/>
      <c r="I211" s="588"/>
    </row>
    <row r="212" spans="1:9">
      <c r="A212" s="588"/>
      <c r="B212" s="588"/>
      <c r="C212" s="588"/>
      <c r="D212" s="588"/>
      <c r="E212" s="588"/>
      <c r="F212" s="588"/>
      <c r="G212" s="588"/>
      <c r="H212" s="588"/>
      <c r="I212" s="588"/>
    </row>
    <row r="213" spans="1:9">
      <c r="A213" s="588"/>
      <c r="B213" s="588"/>
      <c r="C213" s="588"/>
      <c r="D213" s="588"/>
      <c r="E213" s="588"/>
      <c r="F213" s="588"/>
      <c r="G213" s="588"/>
      <c r="H213" s="588"/>
      <c r="I213" s="588"/>
    </row>
    <row r="214" spans="1:9">
      <c r="A214" s="588"/>
      <c r="B214" s="588"/>
      <c r="C214" s="588"/>
      <c r="D214" s="588"/>
      <c r="E214" s="588"/>
      <c r="F214" s="588"/>
      <c r="G214" s="588"/>
      <c r="H214" s="588"/>
      <c r="I214" s="588"/>
    </row>
    <row r="215" spans="1:9">
      <c r="A215" s="588"/>
      <c r="B215" s="588"/>
      <c r="C215" s="588"/>
      <c r="D215" s="588"/>
      <c r="E215" s="588"/>
      <c r="F215" s="588"/>
      <c r="G215" s="588"/>
      <c r="H215" s="588"/>
      <c r="I215" s="588"/>
    </row>
    <row r="216" spans="1:9">
      <c r="A216" s="588"/>
      <c r="B216" s="588"/>
      <c r="C216" s="588"/>
      <c r="D216" s="588"/>
      <c r="E216" s="588"/>
      <c r="F216" s="588"/>
      <c r="G216" s="588"/>
      <c r="H216" s="588"/>
      <c r="I216" s="588"/>
    </row>
    <row r="217" spans="1:9">
      <c r="A217" s="588"/>
      <c r="B217" s="588"/>
      <c r="C217" s="588"/>
      <c r="D217" s="588"/>
      <c r="E217" s="588"/>
      <c r="F217" s="588"/>
      <c r="G217" s="588"/>
      <c r="H217" s="588"/>
      <c r="I217" s="588"/>
    </row>
    <row r="218" spans="1:9">
      <c r="A218" s="588"/>
      <c r="B218" s="588"/>
      <c r="C218" s="588"/>
      <c r="D218" s="588"/>
      <c r="E218" s="588"/>
      <c r="F218" s="588"/>
      <c r="G218" s="588"/>
      <c r="H218" s="588"/>
      <c r="I218" s="588"/>
    </row>
    <row r="219" spans="1:9">
      <c r="A219" s="588"/>
      <c r="B219" s="588"/>
      <c r="C219" s="588"/>
      <c r="D219" s="588"/>
      <c r="E219" s="588"/>
      <c r="F219" s="588"/>
      <c r="G219" s="588"/>
      <c r="H219" s="588"/>
      <c r="I219" s="588"/>
    </row>
    <row r="220" spans="1:9">
      <c r="A220" s="588"/>
      <c r="B220" s="588"/>
      <c r="C220" s="588"/>
      <c r="D220" s="588"/>
      <c r="E220" s="588"/>
      <c r="F220" s="588"/>
      <c r="G220" s="588"/>
      <c r="H220" s="588"/>
      <c r="I220" s="588"/>
    </row>
    <row r="221" spans="1:9">
      <c r="A221" s="588"/>
      <c r="B221" s="588"/>
      <c r="C221" s="588"/>
      <c r="D221" s="588"/>
      <c r="E221" s="588"/>
      <c r="F221" s="588"/>
      <c r="G221" s="588"/>
      <c r="H221" s="588"/>
      <c r="I221" s="588"/>
    </row>
    <row r="222" spans="1:9">
      <c r="A222" s="588"/>
      <c r="B222" s="588"/>
      <c r="C222" s="588"/>
      <c r="D222" s="588"/>
      <c r="E222" s="588"/>
      <c r="F222" s="588"/>
      <c r="G222" s="588"/>
      <c r="H222" s="588"/>
      <c r="I222" s="588"/>
    </row>
    <row r="223" spans="1:9">
      <c r="A223" s="588"/>
      <c r="B223" s="588"/>
      <c r="C223" s="588"/>
      <c r="D223" s="588"/>
      <c r="E223" s="588"/>
      <c r="F223" s="588"/>
      <c r="G223" s="588"/>
      <c r="H223" s="588"/>
      <c r="I223" s="588"/>
    </row>
    <row r="224" spans="1:9">
      <c r="A224" s="588"/>
      <c r="B224" s="588"/>
      <c r="C224" s="588"/>
      <c r="D224" s="588"/>
      <c r="E224" s="588"/>
      <c r="F224" s="588"/>
      <c r="G224" s="588"/>
      <c r="H224" s="588"/>
      <c r="I224" s="588"/>
    </row>
    <row r="225" spans="1:9">
      <c r="A225" s="588"/>
      <c r="B225" s="588"/>
      <c r="C225" s="588"/>
      <c r="D225" s="588"/>
      <c r="E225" s="588"/>
      <c r="F225" s="588"/>
      <c r="G225" s="588"/>
      <c r="H225" s="588"/>
      <c r="I225" s="588"/>
    </row>
    <row r="226" spans="1:9">
      <c r="A226" s="588"/>
      <c r="B226" s="588"/>
      <c r="C226" s="588"/>
      <c r="D226" s="588"/>
      <c r="E226" s="588"/>
      <c r="F226" s="588"/>
      <c r="G226" s="588"/>
      <c r="H226" s="588"/>
      <c r="I226" s="588"/>
    </row>
    <row r="227" spans="1:9">
      <c r="A227" s="588"/>
      <c r="B227" s="588"/>
      <c r="C227" s="588"/>
      <c r="D227" s="588"/>
      <c r="E227" s="588"/>
      <c r="F227" s="588"/>
      <c r="G227" s="588"/>
      <c r="H227" s="588"/>
      <c r="I227" s="588"/>
    </row>
    <row r="228" spans="1:9">
      <c r="A228" s="588"/>
      <c r="B228" s="588"/>
      <c r="C228" s="588"/>
      <c r="D228" s="588"/>
      <c r="E228" s="588"/>
      <c r="F228" s="588"/>
      <c r="G228" s="588"/>
      <c r="H228" s="588"/>
      <c r="I228" s="588"/>
    </row>
    <row r="229" spans="1:9">
      <c r="A229" s="588"/>
      <c r="B229" s="588"/>
      <c r="C229" s="588"/>
      <c r="D229" s="588"/>
      <c r="E229" s="588"/>
      <c r="F229" s="588"/>
      <c r="G229" s="588"/>
      <c r="H229" s="588"/>
      <c r="I229" s="588"/>
    </row>
    <row r="230" spans="1:9">
      <c r="A230" s="588"/>
      <c r="B230" s="588"/>
      <c r="C230" s="588"/>
      <c r="D230" s="588"/>
      <c r="E230" s="588"/>
      <c r="F230" s="588"/>
      <c r="G230" s="588"/>
      <c r="H230" s="588"/>
      <c r="I230" s="588"/>
    </row>
    <row r="231" spans="1:9">
      <c r="A231" s="588"/>
      <c r="B231" s="588"/>
      <c r="C231" s="588"/>
      <c r="D231" s="588"/>
      <c r="E231" s="588"/>
      <c r="F231" s="588"/>
      <c r="G231" s="588"/>
      <c r="H231" s="588"/>
      <c r="I231" s="588"/>
    </row>
    <row r="232" spans="1:9">
      <c r="A232" s="588"/>
      <c r="B232" s="588"/>
      <c r="C232" s="588"/>
      <c r="D232" s="588"/>
      <c r="E232" s="588"/>
      <c r="F232" s="588"/>
      <c r="G232" s="588"/>
      <c r="H232" s="588"/>
      <c r="I232" s="588"/>
    </row>
    <row r="233" spans="1:9">
      <c r="A233" s="588"/>
      <c r="B233" s="588"/>
      <c r="C233" s="588"/>
      <c r="D233" s="588"/>
      <c r="E233" s="588"/>
      <c r="F233" s="588"/>
      <c r="G233" s="588"/>
      <c r="H233" s="588"/>
      <c r="I233" s="588"/>
    </row>
    <row r="234" spans="1:9">
      <c r="A234" s="588"/>
      <c r="B234" s="588"/>
      <c r="C234" s="588"/>
      <c r="D234" s="588"/>
      <c r="E234" s="588"/>
      <c r="F234" s="588"/>
      <c r="G234" s="588"/>
      <c r="H234" s="588"/>
      <c r="I234" s="588"/>
    </row>
    <row r="235" spans="1:9">
      <c r="A235" s="588"/>
      <c r="B235" s="588"/>
      <c r="C235" s="588"/>
      <c r="D235" s="588"/>
      <c r="E235" s="588"/>
      <c r="F235" s="588"/>
      <c r="G235" s="588"/>
      <c r="H235" s="588"/>
      <c r="I235" s="588"/>
    </row>
    <row r="236" spans="1:9">
      <c r="A236" s="588"/>
      <c r="B236" s="588"/>
      <c r="C236" s="588"/>
      <c r="D236" s="588"/>
      <c r="E236" s="588"/>
      <c r="F236" s="588"/>
      <c r="G236" s="588"/>
      <c r="H236" s="588"/>
      <c r="I236" s="588"/>
    </row>
    <row r="237" spans="1:9">
      <c r="A237" s="588"/>
      <c r="B237" s="588"/>
      <c r="C237" s="588"/>
      <c r="D237" s="588"/>
      <c r="E237" s="588"/>
      <c r="F237" s="588"/>
      <c r="G237" s="588"/>
      <c r="H237" s="588"/>
      <c r="I237" s="588"/>
    </row>
    <row r="238" spans="1:9">
      <c r="A238" s="588"/>
      <c r="B238" s="588"/>
      <c r="C238" s="588"/>
      <c r="D238" s="588"/>
      <c r="E238" s="588"/>
      <c r="F238" s="588"/>
      <c r="G238" s="588"/>
      <c r="H238" s="588"/>
      <c r="I238" s="588"/>
    </row>
    <row r="239" spans="1:9">
      <c r="A239" s="588"/>
      <c r="B239" s="588"/>
      <c r="C239" s="588"/>
      <c r="D239" s="588"/>
      <c r="E239" s="588"/>
      <c r="F239" s="588"/>
      <c r="G239" s="588"/>
      <c r="H239" s="588"/>
      <c r="I239" s="588"/>
    </row>
    <row r="240" spans="1:9">
      <c r="A240" s="588"/>
      <c r="B240" s="588"/>
      <c r="C240" s="588"/>
      <c r="D240" s="588"/>
      <c r="E240" s="588"/>
      <c r="F240" s="588"/>
      <c r="G240" s="588"/>
      <c r="H240" s="588"/>
      <c r="I240" s="588"/>
    </row>
    <row r="241" spans="1:9">
      <c r="A241" s="588"/>
      <c r="B241" s="588"/>
      <c r="C241" s="588"/>
      <c r="D241" s="588"/>
      <c r="E241" s="588"/>
      <c r="F241" s="588"/>
      <c r="G241" s="588"/>
      <c r="H241" s="588"/>
      <c r="I241" s="588"/>
    </row>
    <row r="242" spans="1:9">
      <c r="A242" s="588"/>
      <c r="B242" s="588"/>
      <c r="C242" s="588"/>
      <c r="D242" s="588"/>
      <c r="E242" s="588"/>
      <c r="F242" s="588"/>
      <c r="G242" s="588"/>
      <c r="H242" s="588"/>
      <c r="I242" s="588"/>
    </row>
    <row r="243" spans="1:9">
      <c r="A243" s="588"/>
      <c r="B243" s="588"/>
      <c r="C243" s="588"/>
      <c r="D243" s="588"/>
      <c r="E243" s="588"/>
      <c r="F243" s="588"/>
      <c r="G243" s="588"/>
      <c r="H243" s="588"/>
      <c r="I243" s="588"/>
    </row>
    <row r="244" spans="1:9">
      <c r="A244" s="588"/>
      <c r="B244" s="588"/>
      <c r="C244" s="588"/>
      <c r="D244" s="588"/>
      <c r="E244" s="588"/>
      <c r="F244" s="588"/>
      <c r="G244" s="588"/>
      <c r="H244" s="588"/>
      <c r="I244" s="588"/>
    </row>
    <row r="245" spans="1:9">
      <c r="A245" s="588"/>
      <c r="B245" s="588"/>
      <c r="C245" s="588"/>
      <c r="D245" s="588"/>
      <c r="E245" s="588"/>
      <c r="F245" s="588"/>
      <c r="G245" s="588"/>
      <c r="H245" s="588"/>
      <c r="I245" s="588"/>
    </row>
    <row r="246" spans="1:9">
      <c r="A246" s="588"/>
      <c r="B246" s="588"/>
      <c r="C246" s="588"/>
      <c r="D246" s="588"/>
      <c r="E246" s="588"/>
      <c r="F246" s="588"/>
      <c r="G246" s="588"/>
      <c r="H246" s="588"/>
      <c r="I246" s="588"/>
    </row>
    <row r="247" spans="1:9">
      <c r="A247" s="588"/>
      <c r="B247" s="588"/>
      <c r="C247" s="588"/>
      <c r="D247" s="588"/>
      <c r="E247" s="588"/>
      <c r="F247" s="588"/>
      <c r="G247" s="588"/>
      <c r="H247" s="588"/>
      <c r="I247" s="588"/>
    </row>
    <row r="248" spans="1:9">
      <c r="A248" s="588"/>
      <c r="B248" s="588"/>
      <c r="C248" s="588"/>
      <c r="D248" s="588"/>
      <c r="E248" s="588"/>
      <c r="F248" s="588"/>
      <c r="G248" s="588"/>
      <c r="H248" s="588"/>
      <c r="I248" s="588"/>
    </row>
    <row r="249" spans="1:9">
      <c r="A249" s="588"/>
      <c r="B249" s="588"/>
      <c r="C249" s="588"/>
      <c r="D249" s="588"/>
      <c r="E249" s="588"/>
      <c r="F249" s="588"/>
      <c r="G249" s="588"/>
      <c r="H249" s="588"/>
      <c r="I249" s="588"/>
    </row>
    <row r="250" spans="1:9">
      <c r="A250" s="588"/>
      <c r="B250" s="588"/>
      <c r="C250" s="588"/>
      <c r="D250" s="588"/>
      <c r="E250" s="588"/>
      <c r="F250" s="588"/>
      <c r="G250" s="588"/>
      <c r="H250" s="588"/>
      <c r="I250" s="588"/>
    </row>
    <row r="251" spans="1:9">
      <c r="A251" s="588"/>
      <c r="B251" s="588"/>
      <c r="C251" s="588"/>
      <c r="D251" s="588"/>
      <c r="E251" s="588"/>
      <c r="F251" s="588"/>
      <c r="G251" s="588"/>
      <c r="H251" s="588"/>
      <c r="I251" s="588"/>
    </row>
    <row r="252" spans="1:9">
      <c r="A252" s="588"/>
      <c r="B252" s="588"/>
      <c r="C252" s="588"/>
      <c r="D252" s="588"/>
      <c r="E252" s="588"/>
      <c r="F252" s="588"/>
      <c r="G252" s="588"/>
      <c r="H252" s="588"/>
      <c r="I252" s="588"/>
    </row>
    <row r="253" spans="1:9">
      <c r="A253" s="588"/>
      <c r="B253" s="588"/>
      <c r="C253" s="588"/>
      <c r="D253" s="588"/>
      <c r="E253" s="588"/>
      <c r="F253" s="588"/>
      <c r="G253" s="588"/>
      <c r="H253" s="588"/>
      <c r="I253" s="588"/>
    </row>
    <row r="254" spans="1:9">
      <c r="A254" s="588"/>
      <c r="B254" s="588"/>
      <c r="C254" s="588"/>
      <c r="D254" s="588"/>
      <c r="E254" s="588"/>
      <c r="F254" s="588"/>
      <c r="G254" s="588"/>
      <c r="H254" s="588"/>
      <c r="I254" s="588"/>
    </row>
    <row r="255" spans="1:9">
      <c r="A255" s="588"/>
      <c r="B255" s="588"/>
      <c r="C255" s="588"/>
      <c r="D255" s="588"/>
      <c r="E255" s="588"/>
      <c r="F255" s="588"/>
      <c r="G255" s="588"/>
      <c r="H255" s="588"/>
      <c r="I255" s="588"/>
    </row>
    <row r="256" spans="1:9">
      <c r="A256" s="588"/>
      <c r="B256" s="588"/>
      <c r="C256" s="588"/>
      <c r="D256" s="588"/>
      <c r="E256" s="588"/>
      <c r="F256" s="588"/>
      <c r="G256" s="588"/>
      <c r="H256" s="588"/>
      <c r="I256" s="588"/>
    </row>
    <row r="257" spans="1:9">
      <c r="A257" s="588"/>
      <c r="B257" s="588"/>
      <c r="C257" s="588"/>
      <c r="D257" s="588"/>
      <c r="E257" s="588"/>
      <c r="F257" s="588"/>
      <c r="G257" s="588"/>
      <c r="H257" s="588"/>
      <c r="I257" s="588"/>
    </row>
    <row r="258" spans="1:9">
      <c r="A258" s="588"/>
      <c r="B258" s="588"/>
      <c r="C258" s="588"/>
      <c r="D258" s="588"/>
      <c r="E258" s="588"/>
      <c r="F258" s="588"/>
      <c r="G258" s="588"/>
      <c r="H258" s="588"/>
      <c r="I258" s="588"/>
    </row>
    <row r="259" spans="1:9">
      <c r="A259" s="588"/>
      <c r="B259" s="588"/>
      <c r="C259" s="588"/>
      <c r="D259" s="588"/>
      <c r="E259" s="588"/>
      <c r="F259" s="588"/>
      <c r="G259" s="588"/>
      <c r="H259" s="588"/>
      <c r="I259" s="588"/>
    </row>
    <row r="260" spans="1:9">
      <c r="A260" s="588"/>
      <c r="B260" s="588"/>
      <c r="C260" s="588"/>
      <c r="D260" s="588"/>
      <c r="E260" s="588"/>
      <c r="F260" s="588"/>
      <c r="G260" s="588"/>
      <c r="H260" s="588"/>
      <c r="I260" s="588"/>
    </row>
    <row r="261" spans="1:9">
      <c r="A261" s="588"/>
      <c r="B261" s="588"/>
      <c r="C261" s="588"/>
      <c r="D261" s="588"/>
      <c r="E261" s="588"/>
      <c r="F261" s="588"/>
      <c r="G261" s="588"/>
      <c r="H261" s="588"/>
      <c r="I261" s="588"/>
    </row>
    <row r="262" spans="1:9">
      <c r="A262" s="588"/>
      <c r="B262" s="588"/>
      <c r="C262" s="588"/>
      <c r="D262" s="588"/>
      <c r="E262" s="588"/>
      <c r="F262" s="588"/>
      <c r="G262" s="588"/>
      <c r="H262" s="588"/>
      <c r="I262" s="588"/>
    </row>
    <row r="263" spans="1:9">
      <c r="A263" s="588"/>
      <c r="B263" s="588"/>
      <c r="C263" s="588"/>
      <c r="D263" s="588"/>
      <c r="E263" s="588"/>
      <c r="F263" s="588"/>
      <c r="G263" s="588"/>
      <c r="H263" s="588"/>
      <c r="I263" s="588"/>
    </row>
    <row r="264" spans="1:9">
      <c r="A264" s="588"/>
      <c r="B264" s="588"/>
      <c r="C264" s="588"/>
      <c r="D264" s="588"/>
      <c r="E264" s="588"/>
      <c r="F264" s="588"/>
      <c r="G264" s="588"/>
      <c r="H264" s="588"/>
      <c r="I264" s="588"/>
    </row>
    <row r="265" spans="1:9">
      <c r="A265" s="588"/>
      <c r="B265" s="588"/>
      <c r="C265" s="588"/>
      <c r="D265" s="588"/>
      <c r="E265" s="588"/>
      <c r="F265" s="588"/>
      <c r="G265" s="588"/>
      <c r="H265" s="588"/>
      <c r="I265" s="588"/>
    </row>
    <row r="266" spans="1:9">
      <c r="A266" s="588"/>
      <c r="B266" s="588"/>
      <c r="C266" s="588"/>
      <c r="D266" s="588"/>
      <c r="E266" s="588"/>
      <c r="F266" s="588"/>
      <c r="G266" s="588"/>
      <c r="H266" s="588"/>
      <c r="I266" s="588"/>
    </row>
    <row r="267" spans="1:9">
      <c r="A267" s="588"/>
      <c r="B267" s="588"/>
      <c r="C267" s="588"/>
      <c r="D267" s="588"/>
      <c r="E267" s="588"/>
      <c r="F267" s="588"/>
      <c r="G267" s="588"/>
      <c r="H267" s="588"/>
      <c r="I267" s="588"/>
    </row>
    <row r="268" spans="1:9">
      <c r="A268" s="588"/>
      <c r="B268" s="588"/>
      <c r="C268" s="588"/>
      <c r="D268" s="588"/>
      <c r="E268" s="588"/>
      <c r="F268" s="588"/>
      <c r="G268" s="588"/>
      <c r="H268" s="588"/>
      <c r="I268" s="588"/>
    </row>
    <row r="269" spans="1:9">
      <c r="A269" s="588"/>
      <c r="B269" s="588"/>
      <c r="C269" s="588"/>
      <c r="D269" s="588"/>
      <c r="E269" s="588"/>
      <c r="F269" s="588"/>
      <c r="G269" s="588"/>
      <c r="H269" s="588"/>
      <c r="I269" s="588"/>
    </row>
    <row r="270" spans="1:9">
      <c r="A270" s="588"/>
      <c r="B270" s="588"/>
      <c r="C270" s="588"/>
      <c r="D270" s="588"/>
      <c r="E270" s="588"/>
      <c r="F270" s="588"/>
      <c r="G270" s="588"/>
      <c r="H270" s="588"/>
      <c r="I270" s="588"/>
    </row>
    <row r="271" spans="1:9">
      <c r="A271" s="588"/>
      <c r="B271" s="588"/>
      <c r="C271" s="588"/>
      <c r="D271" s="588"/>
      <c r="E271" s="588"/>
      <c r="F271" s="588"/>
      <c r="G271" s="588"/>
      <c r="H271" s="588"/>
      <c r="I271" s="588"/>
    </row>
    <row r="272" spans="1:9">
      <c r="A272" s="588"/>
      <c r="B272" s="588"/>
      <c r="C272" s="588"/>
      <c r="D272" s="588"/>
      <c r="E272" s="588"/>
      <c r="F272" s="588"/>
      <c r="G272" s="588"/>
      <c r="H272" s="588"/>
      <c r="I272" s="588"/>
    </row>
    <row r="273" spans="1:9">
      <c r="A273" s="588"/>
      <c r="B273" s="588"/>
      <c r="C273" s="588"/>
      <c r="D273" s="588"/>
      <c r="E273" s="588"/>
      <c r="F273" s="588"/>
      <c r="G273" s="588"/>
      <c r="H273" s="588"/>
      <c r="I273" s="588"/>
    </row>
    <row r="274" spans="1:9">
      <c r="A274" s="588"/>
      <c r="B274" s="588"/>
      <c r="C274" s="588"/>
      <c r="D274" s="588"/>
      <c r="E274" s="588"/>
      <c r="F274" s="588"/>
      <c r="G274" s="588"/>
      <c r="H274" s="588"/>
      <c r="I274" s="588"/>
    </row>
    <row r="275" spans="1:9">
      <c r="A275" s="588"/>
      <c r="B275" s="588"/>
      <c r="C275" s="588"/>
      <c r="D275" s="588"/>
      <c r="E275" s="588"/>
      <c r="F275" s="588"/>
      <c r="G275" s="588"/>
      <c r="H275" s="588"/>
      <c r="I275" s="588"/>
    </row>
    <row r="276" spans="1:9">
      <c r="A276" s="588"/>
      <c r="B276" s="588"/>
      <c r="C276" s="588"/>
      <c r="D276" s="588"/>
      <c r="E276" s="588"/>
      <c r="F276" s="588"/>
      <c r="G276" s="588"/>
      <c r="H276" s="588"/>
      <c r="I276" s="588"/>
    </row>
    <row r="277" spans="1:9">
      <c r="A277" s="588"/>
      <c r="B277" s="588"/>
      <c r="C277" s="588"/>
      <c r="D277" s="588"/>
      <c r="E277" s="588"/>
      <c r="F277" s="588"/>
      <c r="G277" s="588"/>
      <c r="H277" s="588"/>
      <c r="I277" s="588"/>
    </row>
    <row r="278" spans="1:9">
      <c r="A278" s="588"/>
      <c r="B278" s="588"/>
      <c r="C278" s="588"/>
      <c r="D278" s="588"/>
      <c r="E278" s="588"/>
      <c r="F278" s="588"/>
      <c r="G278" s="588"/>
      <c r="H278" s="588"/>
      <c r="I278" s="588"/>
    </row>
    <row r="279" spans="1:9">
      <c r="A279" s="588"/>
      <c r="B279" s="588"/>
      <c r="C279" s="588"/>
      <c r="D279" s="588"/>
      <c r="E279" s="588"/>
      <c r="F279" s="588"/>
      <c r="G279" s="588"/>
      <c r="H279" s="588"/>
      <c r="I279" s="588"/>
    </row>
    <row r="280" spans="1:9">
      <c r="A280" s="588"/>
      <c r="B280" s="588"/>
      <c r="C280" s="588"/>
      <c r="D280" s="588"/>
      <c r="E280" s="588"/>
      <c r="F280" s="588"/>
      <c r="G280" s="588"/>
      <c r="H280" s="588"/>
      <c r="I280" s="588"/>
    </row>
    <row r="281" spans="1:9">
      <c r="A281" s="588"/>
      <c r="B281" s="588"/>
      <c r="C281" s="588"/>
      <c r="D281" s="588"/>
      <c r="E281" s="588"/>
      <c r="F281" s="588"/>
      <c r="G281" s="588"/>
      <c r="H281" s="588"/>
      <c r="I281" s="588"/>
    </row>
    <row r="282" spans="1:9">
      <c r="A282" s="588"/>
      <c r="B282" s="588"/>
      <c r="C282" s="588"/>
      <c r="D282" s="588"/>
      <c r="E282" s="588"/>
      <c r="F282" s="588"/>
      <c r="G282" s="588"/>
      <c r="H282" s="588"/>
      <c r="I282" s="588"/>
    </row>
    <row r="283" spans="1:9">
      <c r="A283" s="588"/>
      <c r="B283" s="588"/>
      <c r="C283" s="588"/>
      <c r="D283" s="588"/>
      <c r="E283" s="588"/>
      <c r="F283" s="588"/>
      <c r="G283" s="588"/>
      <c r="H283" s="588"/>
      <c r="I283" s="588"/>
    </row>
    <row r="284" spans="1:9">
      <c r="A284" s="588"/>
      <c r="B284" s="588"/>
      <c r="C284" s="588"/>
      <c r="D284" s="588"/>
      <c r="E284" s="588"/>
      <c r="F284" s="588"/>
      <c r="G284" s="588"/>
      <c r="H284" s="588"/>
      <c r="I284" s="588"/>
    </row>
    <row r="285" spans="1:9">
      <c r="A285" s="588"/>
      <c r="B285" s="588"/>
      <c r="C285" s="588"/>
      <c r="D285" s="588"/>
      <c r="E285" s="588"/>
      <c r="F285" s="588"/>
      <c r="G285" s="588"/>
      <c r="H285" s="588"/>
      <c r="I285" s="588"/>
    </row>
    <row r="286" spans="1:9">
      <c r="A286" s="588"/>
      <c r="B286" s="588"/>
      <c r="C286" s="588"/>
      <c r="D286" s="588"/>
      <c r="E286" s="588"/>
      <c r="F286" s="588"/>
      <c r="G286" s="588"/>
      <c r="H286" s="588"/>
      <c r="I286" s="588"/>
    </row>
    <row r="287" spans="1:9">
      <c r="A287" s="588"/>
      <c r="B287" s="588"/>
      <c r="C287" s="588"/>
      <c r="D287" s="588"/>
      <c r="E287" s="588"/>
      <c r="F287" s="588"/>
      <c r="G287" s="588"/>
      <c r="H287" s="588"/>
      <c r="I287" s="588"/>
    </row>
    <row r="288" spans="1:9">
      <c r="A288" s="588"/>
      <c r="B288" s="588"/>
      <c r="C288" s="588"/>
      <c r="D288" s="588"/>
      <c r="E288" s="588"/>
      <c r="F288" s="588"/>
      <c r="G288" s="588"/>
      <c r="H288" s="588"/>
      <c r="I288" s="588"/>
    </row>
    <row r="289" spans="1:9">
      <c r="A289" s="588"/>
      <c r="B289" s="588"/>
      <c r="C289" s="588"/>
      <c r="D289" s="588"/>
      <c r="E289" s="588"/>
      <c r="F289" s="588"/>
      <c r="G289" s="588"/>
      <c r="H289" s="588"/>
      <c r="I289" s="588"/>
    </row>
    <row r="290" spans="1:9">
      <c r="A290" s="588"/>
      <c r="B290" s="588"/>
      <c r="C290" s="588"/>
      <c r="D290" s="588"/>
      <c r="E290" s="588"/>
      <c r="F290" s="588"/>
      <c r="G290" s="588"/>
      <c r="H290" s="588"/>
      <c r="I290" s="588"/>
    </row>
    <row r="291" spans="1:9">
      <c r="A291" s="588"/>
      <c r="B291" s="588"/>
      <c r="C291" s="588"/>
      <c r="D291" s="588"/>
      <c r="E291" s="588"/>
      <c r="F291" s="588"/>
      <c r="G291" s="588"/>
      <c r="H291" s="588"/>
      <c r="I291" s="588"/>
    </row>
    <row r="292" spans="1:9">
      <c r="A292" s="588"/>
      <c r="B292" s="588"/>
      <c r="C292" s="588"/>
      <c r="D292" s="588"/>
      <c r="E292" s="588"/>
      <c r="F292" s="588"/>
      <c r="G292" s="588"/>
      <c r="H292" s="588"/>
      <c r="I292" s="588"/>
    </row>
    <row r="293" spans="1:9">
      <c r="A293" s="588"/>
      <c r="B293" s="588"/>
      <c r="C293" s="588"/>
      <c r="D293" s="588"/>
      <c r="E293" s="588"/>
      <c r="F293" s="588"/>
      <c r="G293" s="588"/>
      <c r="H293" s="588"/>
      <c r="I293" s="588"/>
    </row>
    <row r="294" spans="1:9">
      <c r="A294" s="588"/>
      <c r="B294" s="588"/>
      <c r="C294" s="588"/>
      <c r="D294" s="588"/>
      <c r="E294" s="588"/>
      <c r="F294" s="588"/>
      <c r="G294" s="588"/>
      <c r="H294" s="588"/>
      <c r="I294" s="588"/>
    </row>
    <row r="295" spans="1:9">
      <c r="A295" s="588"/>
      <c r="B295" s="588"/>
      <c r="C295" s="588"/>
      <c r="D295" s="588"/>
      <c r="E295" s="588"/>
      <c r="F295" s="588"/>
      <c r="G295" s="588"/>
      <c r="H295" s="588"/>
      <c r="I295" s="588"/>
    </row>
    <row r="296" spans="1:9">
      <c r="A296" s="588"/>
      <c r="B296" s="588"/>
      <c r="C296" s="588"/>
      <c r="D296" s="588"/>
      <c r="E296" s="588"/>
      <c r="F296" s="588"/>
      <c r="G296" s="588"/>
      <c r="H296" s="588"/>
      <c r="I296" s="588"/>
    </row>
    <row r="297" spans="1:9">
      <c r="A297" s="588"/>
      <c r="B297" s="588"/>
      <c r="C297" s="588"/>
      <c r="D297" s="588"/>
      <c r="E297" s="588"/>
      <c r="F297" s="588"/>
      <c r="G297" s="588"/>
      <c r="H297" s="588"/>
      <c r="I297" s="588"/>
    </row>
    <row r="298" spans="1:9">
      <c r="A298" s="588"/>
      <c r="B298" s="588"/>
      <c r="C298" s="588"/>
      <c r="D298" s="588"/>
      <c r="E298" s="588"/>
      <c r="F298" s="588"/>
      <c r="G298" s="588"/>
      <c r="H298" s="588"/>
      <c r="I298" s="588"/>
    </row>
    <row r="299" spans="1:9">
      <c r="A299" s="588"/>
      <c r="B299" s="588"/>
      <c r="C299" s="588"/>
      <c r="D299" s="588"/>
      <c r="E299" s="588"/>
      <c r="F299" s="588"/>
      <c r="G299" s="588"/>
      <c r="H299" s="588"/>
      <c r="I299" s="588"/>
    </row>
    <row r="300" spans="1:9">
      <c r="A300" s="588"/>
      <c r="B300" s="588"/>
      <c r="C300" s="588"/>
      <c r="D300" s="588"/>
      <c r="E300" s="588"/>
      <c r="F300" s="588"/>
      <c r="G300" s="588"/>
      <c r="H300" s="588"/>
      <c r="I300" s="588"/>
    </row>
    <row r="301" spans="1:9">
      <c r="A301" s="588"/>
      <c r="B301" s="588"/>
      <c r="C301" s="588"/>
      <c r="D301" s="588"/>
      <c r="E301" s="588"/>
      <c r="F301" s="588"/>
      <c r="G301" s="588"/>
      <c r="H301" s="588"/>
      <c r="I301" s="588"/>
    </row>
    <row r="302" spans="1:9">
      <c r="A302" s="588"/>
      <c r="B302" s="588"/>
      <c r="C302" s="588"/>
      <c r="D302" s="588"/>
      <c r="E302" s="588"/>
      <c r="F302" s="588"/>
      <c r="G302" s="588"/>
      <c r="H302" s="588"/>
      <c r="I302" s="588"/>
    </row>
    <row r="303" spans="1:9">
      <c r="A303" s="588"/>
      <c r="B303" s="588"/>
      <c r="C303" s="588"/>
      <c r="D303" s="588"/>
      <c r="E303" s="588"/>
      <c r="F303" s="588"/>
      <c r="G303" s="588"/>
      <c r="H303" s="588"/>
      <c r="I303" s="588"/>
    </row>
    <row r="304" spans="1:9">
      <c r="A304" s="588"/>
      <c r="B304" s="588"/>
      <c r="C304" s="588"/>
      <c r="D304" s="588"/>
      <c r="E304" s="588"/>
      <c r="F304" s="588"/>
      <c r="G304" s="588"/>
      <c r="H304" s="588"/>
      <c r="I304" s="588"/>
    </row>
    <row r="305" spans="1:9">
      <c r="A305" s="588"/>
      <c r="B305" s="588"/>
      <c r="C305" s="588"/>
      <c r="D305" s="588"/>
      <c r="E305" s="588"/>
      <c r="F305" s="588"/>
      <c r="G305" s="588"/>
      <c r="H305" s="588"/>
      <c r="I305" s="588"/>
    </row>
    <row r="306" spans="1:9">
      <c r="A306" s="588"/>
      <c r="B306" s="588"/>
      <c r="C306" s="588"/>
      <c r="D306" s="588"/>
      <c r="E306" s="588"/>
      <c r="F306" s="588"/>
      <c r="G306" s="588"/>
      <c r="H306" s="588"/>
      <c r="I306" s="588"/>
    </row>
    <row r="307" spans="1:9">
      <c r="A307" s="588"/>
      <c r="B307" s="588"/>
      <c r="C307" s="588"/>
      <c r="D307" s="588"/>
      <c r="E307" s="588"/>
      <c r="F307" s="588"/>
      <c r="G307" s="588"/>
      <c r="H307" s="588"/>
      <c r="I307" s="588"/>
    </row>
    <row r="308" spans="1:9">
      <c r="A308" s="588"/>
      <c r="B308" s="588"/>
      <c r="C308" s="588"/>
      <c r="D308" s="588"/>
      <c r="E308" s="588"/>
      <c r="F308" s="588"/>
      <c r="G308" s="588"/>
      <c r="H308" s="588"/>
      <c r="I308" s="588"/>
    </row>
    <row r="309" spans="1:9">
      <c r="A309" s="588"/>
      <c r="B309" s="588"/>
      <c r="C309" s="588"/>
      <c r="D309" s="588"/>
      <c r="E309" s="588"/>
      <c r="F309" s="588"/>
      <c r="G309" s="588"/>
      <c r="H309" s="588"/>
      <c r="I309" s="588"/>
    </row>
    <row r="310" spans="1:9">
      <c r="A310" s="588"/>
      <c r="B310" s="588"/>
      <c r="C310" s="588"/>
      <c r="D310" s="588"/>
      <c r="E310" s="588"/>
      <c r="F310" s="588"/>
      <c r="G310" s="588"/>
      <c r="H310" s="588"/>
      <c r="I310" s="588"/>
    </row>
    <row r="311" spans="1:9">
      <c r="A311" s="588"/>
      <c r="B311" s="588"/>
      <c r="C311" s="588"/>
      <c r="D311" s="588"/>
      <c r="E311" s="588"/>
      <c r="F311" s="588"/>
      <c r="G311" s="588"/>
      <c r="H311" s="588"/>
      <c r="I311" s="588"/>
    </row>
    <row r="312" spans="1:9">
      <c r="A312" s="588"/>
      <c r="B312" s="588"/>
      <c r="C312" s="588"/>
      <c r="D312" s="588"/>
      <c r="E312" s="588"/>
      <c r="F312" s="588"/>
      <c r="G312" s="588"/>
      <c r="H312" s="588"/>
      <c r="I312" s="588"/>
    </row>
    <row r="313" spans="1:9">
      <c r="A313" s="588"/>
      <c r="B313" s="588"/>
      <c r="C313" s="588"/>
      <c r="D313" s="588"/>
      <c r="E313" s="588"/>
      <c r="F313" s="588"/>
      <c r="G313" s="588"/>
      <c r="H313" s="588"/>
      <c r="I313" s="588"/>
    </row>
    <row r="314" spans="1:9">
      <c r="A314" s="588"/>
      <c r="B314" s="588"/>
      <c r="C314" s="588"/>
      <c r="D314" s="588"/>
      <c r="E314" s="588"/>
      <c r="F314" s="588"/>
      <c r="G314" s="588"/>
      <c r="H314" s="588"/>
      <c r="I314" s="588"/>
    </row>
    <row r="315" spans="1:9">
      <c r="A315" s="588"/>
      <c r="B315" s="588"/>
      <c r="C315" s="588"/>
      <c r="D315" s="588"/>
      <c r="E315" s="588"/>
      <c r="F315" s="588"/>
      <c r="G315" s="588"/>
      <c r="H315" s="588"/>
      <c r="I315" s="588"/>
    </row>
    <row r="316" spans="1:9">
      <c r="A316" s="588"/>
      <c r="B316" s="588"/>
      <c r="C316" s="588"/>
      <c r="D316" s="588"/>
      <c r="E316" s="588"/>
      <c r="F316" s="588"/>
      <c r="G316" s="588"/>
      <c r="H316" s="588"/>
      <c r="I316" s="588"/>
    </row>
    <row r="317" spans="1:9">
      <c r="A317" s="588"/>
      <c r="B317" s="588"/>
      <c r="C317" s="588"/>
      <c r="D317" s="588"/>
      <c r="E317" s="588"/>
      <c r="F317" s="588"/>
      <c r="G317" s="588"/>
      <c r="H317" s="588"/>
      <c r="I317" s="588"/>
    </row>
    <row r="318" spans="1:9">
      <c r="A318" s="588"/>
      <c r="B318" s="588"/>
      <c r="C318" s="588"/>
      <c r="D318" s="588"/>
      <c r="E318" s="588"/>
      <c r="F318" s="588"/>
      <c r="G318" s="588"/>
      <c r="H318" s="588"/>
      <c r="I318" s="588"/>
    </row>
    <row r="319" spans="1:9">
      <c r="A319" s="588"/>
      <c r="B319" s="588"/>
      <c r="C319" s="588"/>
      <c r="D319" s="588"/>
      <c r="E319" s="588"/>
      <c r="F319" s="588"/>
      <c r="G319" s="588"/>
      <c r="H319" s="588"/>
      <c r="I319" s="588"/>
    </row>
    <row r="320" spans="1:9">
      <c r="A320" s="588"/>
      <c r="B320" s="588"/>
      <c r="C320" s="588"/>
      <c r="D320" s="588"/>
      <c r="E320" s="588"/>
      <c r="F320" s="588"/>
      <c r="G320" s="588"/>
      <c r="H320" s="588"/>
      <c r="I320" s="588"/>
    </row>
    <row r="321" spans="1:9">
      <c r="A321" s="588"/>
      <c r="B321" s="588"/>
      <c r="C321" s="588"/>
      <c r="D321" s="588"/>
      <c r="E321" s="588"/>
      <c r="F321" s="588"/>
      <c r="G321" s="588"/>
      <c r="H321" s="588"/>
      <c r="I321" s="588"/>
    </row>
  </sheetData>
  <pageMargins left="1" right="0.7" top="0.75" bottom="0.75" header="0.3" footer="0.3"/>
  <pageSetup scale="87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119">
    <tabColor theme="7" tint="-0.249977111117893"/>
    <pageSetUpPr fitToPage="1"/>
  </sheetPr>
  <dimension ref="A1:Q321"/>
  <sheetViews>
    <sheetView workbookViewId="0"/>
  </sheetViews>
  <sheetFormatPr defaultColWidth="8.5546875" defaultRowHeight="13.2"/>
  <cols>
    <col min="1" max="1" width="52" bestFit="1" customWidth="1"/>
    <col min="2" max="6" width="8" customWidth="1"/>
    <col min="7" max="7" width="24.109375" bestFit="1" customWidth="1"/>
    <col min="8" max="8" width="12.44140625" customWidth="1"/>
    <col min="12" max="12" width="1.5546875" customWidth="1"/>
    <col min="13" max="13" width="23.5546875" customWidth="1"/>
    <col min="14" max="14" width="13.5546875" customWidth="1"/>
    <col min="15" max="15" width="14.5546875" customWidth="1"/>
    <col min="16" max="16" width="14.44140625" customWidth="1"/>
    <col min="17" max="17" width="9.5546875" bestFit="1" customWidth="1"/>
  </cols>
  <sheetData>
    <row r="1" spans="1:17">
      <c r="A1" s="951" t="str">
        <f>LOGO!B5</f>
        <v>DUKE ENERGY KENTUCKY, INC.</v>
      </c>
      <c r="B1" s="710"/>
      <c r="C1" s="710"/>
      <c r="D1" s="709"/>
      <c r="E1" s="709"/>
      <c r="F1" s="709"/>
      <c r="G1" s="709"/>
      <c r="H1" s="709"/>
      <c r="I1" s="252"/>
      <c r="J1" s="252"/>
      <c r="K1" s="252"/>
      <c r="L1" s="252"/>
      <c r="M1" s="252"/>
      <c r="N1" s="252"/>
      <c r="O1" s="252"/>
      <c r="P1" s="252"/>
      <c r="Q1" s="252"/>
    </row>
    <row r="2" spans="1:17">
      <c r="A2" s="951" t="str">
        <f>LOGO!B6</f>
        <v>CASE NO. 2024-00354</v>
      </c>
      <c r="B2" s="710"/>
      <c r="C2" s="710"/>
      <c r="D2" s="709"/>
      <c r="E2" s="709"/>
      <c r="F2" s="709"/>
      <c r="G2" s="709"/>
      <c r="H2" s="709"/>
      <c r="I2" s="252"/>
      <c r="J2" s="252"/>
      <c r="K2" s="252"/>
      <c r="L2" s="252"/>
      <c r="M2" s="252"/>
      <c r="N2" s="252"/>
      <c r="O2" s="252"/>
      <c r="P2" s="252"/>
      <c r="Q2" s="252"/>
    </row>
    <row r="3" spans="1:17">
      <c r="A3" s="805" t="s">
        <v>1887</v>
      </c>
      <c r="B3" s="709"/>
      <c r="C3" s="709"/>
      <c r="D3" s="709"/>
      <c r="E3" s="709"/>
      <c r="F3" s="709"/>
      <c r="G3" s="709"/>
      <c r="H3" s="709"/>
      <c r="I3" s="252"/>
      <c r="J3" s="252"/>
      <c r="K3" s="252"/>
      <c r="L3" s="252"/>
      <c r="M3" s="252"/>
      <c r="N3" s="252"/>
      <c r="O3" s="252"/>
      <c r="P3" s="252"/>
      <c r="Q3" s="252"/>
    </row>
    <row r="4" spans="1:17">
      <c r="A4" s="710" t="str">
        <f>PeriodF</f>
        <v>FOR THE TWELVE MONTHS ENDED JUNE 30, 2026</v>
      </c>
      <c r="B4" s="710"/>
      <c r="C4" s="710"/>
      <c r="D4" s="709"/>
      <c r="E4" s="709"/>
      <c r="F4" s="709"/>
      <c r="G4" s="709"/>
      <c r="H4" s="709"/>
      <c r="I4" s="252"/>
      <c r="J4" s="252"/>
      <c r="K4" s="252"/>
      <c r="L4" s="252"/>
      <c r="M4" s="252"/>
      <c r="N4" s="252"/>
      <c r="O4" s="252"/>
      <c r="P4" s="252"/>
      <c r="Q4" s="252"/>
    </row>
    <row r="5" spans="1:17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</row>
    <row r="6" spans="1:17">
      <c r="A6" s="588" t="str">
        <f>DataF</f>
        <v>DATA:  BASE PERIOD  "X" FORECASTED PERIOD</v>
      </c>
      <c r="B6" s="588"/>
      <c r="C6" s="588"/>
      <c r="D6" s="588"/>
      <c r="E6" s="588"/>
      <c r="F6" s="588"/>
      <c r="G6" s="683" t="s">
        <v>2351</v>
      </c>
      <c r="H6" s="588"/>
      <c r="I6" s="588"/>
    </row>
    <row r="7" spans="1:17">
      <c r="A7" s="588" t="str">
        <f>Type</f>
        <v xml:space="preserve">TYPE OF FILING:  "X" ORIGINAL   UPDATED    REVISED  </v>
      </c>
      <c r="B7" s="588"/>
      <c r="C7" s="588"/>
      <c r="D7" s="588"/>
      <c r="E7" s="588"/>
      <c r="F7" s="588"/>
      <c r="G7" s="683" t="s">
        <v>466</v>
      </c>
      <c r="H7" s="588"/>
      <c r="I7" s="588"/>
    </row>
    <row r="8" spans="1:17">
      <c r="A8" s="683" t="s">
        <v>723</v>
      </c>
      <c r="B8" s="588"/>
      <c r="C8" s="588"/>
      <c r="D8" s="588"/>
      <c r="E8" s="588"/>
      <c r="F8" s="588"/>
      <c r="G8" s="683" t="s">
        <v>468</v>
      </c>
      <c r="H8" s="588"/>
      <c r="I8" s="588"/>
    </row>
    <row r="9" spans="1:17">
      <c r="A9" s="588"/>
      <c r="B9" s="588"/>
      <c r="C9" s="588"/>
      <c r="D9" s="588"/>
      <c r="E9" s="588"/>
      <c r="F9" s="588"/>
      <c r="G9" s="683" t="str">
        <f>_WIT1</f>
        <v>L. D. STEINKUHL</v>
      </c>
      <c r="H9" s="588"/>
      <c r="I9" s="588"/>
    </row>
    <row r="10" spans="1:17">
      <c r="A10" s="1535"/>
      <c r="B10" s="1535"/>
      <c r="C10" s="1535"/>
      <c r="D10" s="1535"/>
      <c r="E10" s="1535"/>
      <c r="F10" s="1535"/>
      <c r="G10" s="1535"/>
      <c r="H10" s="1535"/>
      <c r="I10" s="952"/>
    </row>
    <row r="11" spans="1:17">
      <c r="A11" s="588"/>
      <c r="B11" s="588"/>
      <c r="C11" s="588"/>
      <c r="D11" s="588"/>
      <c r="E11" s="588"/>
      <c r="F11" s="588"/>
      <c r="G11" s="588"/>
      <c r="H11" s="588"/>
      <c r="I11" s="588"/>
    </row>
    <row r="12" spans="1:17">
      <c r="A12" s="709" t="s">
        <v>1857</v>
      </c>
      <c r="B12" s="588"/>
      <c r="C12" s="588"/>
      <c r="D12" s="588"/>
      <c r="E12" s="588"/>
      <c r="F12" s="588"/>
      <c r="G12" s="588"/>
      <c r="H12" s="953" t="s">
        <v>975</v>
      </c>
      <c r="I12" s="953"/>
    </row>
    <row r="13" spans="1:17">
      <c r="A13" s="1535"/>
      <c r="B13" s="1535"/>
      <c r="C13" s="1535"/>
      <c r="D13" s="1535"/>
      <c r="E13" s="1535"/>
      <c r="F13" s="1535"/>
      <c r="G13" s="1535"/>
      <c r="H13" s="1535"/>
      <c r="I13" s="952"/>
    </row>
    <row r="14" spans="1:17">
      <c r="A14" s="588"/>
      <c r="B14" s="588"/>
      <c r="C14" s="588"/>
      <c r="D14" s="588"/>
      <c r="E14" s="588"/>
      <c r="F14" s="588"/>
      <c r="G14" s="588"/>
      <c r="H14" s="953"/>
      <c r="I14" s="588"/>
    </row>
    <row r="15" spans="1:17">
      <c r="A15" s="683" t="s">
        <v>2344</v>
      </c>
      <c r="B15" s="588"/>
      <c r="C15" s="588"/>
      <c r="D15" s="588"/>
      <c r="E15" s="588"/>
      <c r="F15" s="588"/>
      <c r="G15" s="588"/>
      <c r="H15" s="588"/>
      <c r="I15" s="588"/>
    </row>
    <row r="16" spans="1:17">
      <c r="A16" s="683"/>
      <c r="B16" s="588"/>
      <c r="C16" s="588"/>
      <c r="D16" s="588"/>
      <c r="E16" s="588"/>
      <c r="F16" s="588"/>
      <c r="G16" s="588"/>
      <c r="H16" s="588"/>
      <c r="I16" s="588"/>
    </row>
    <row r="17" spans="1:9">
      <c r="A17" s="683"/>
      <c r="B17" s="588"/>
      <c r="C17" s="588"/>
      <c r="D17" s="588"/>
      <c r="E17" s="588"/>
      <c r="F17" s="588"/>
      <c r="G17" s="588"/>
      <c r="H17" s="588"/>
      <c r="I17" s="588"/>
    </row>
    <row r="18" spans="1:9">
      <c r="A18" s="588"/>
      <c r="B18" s="588"/>
      <c r="C18" s="588"/>
      <c r="D18" s="588"/>
      <c r="E18" s="588"/>
      <c r="F18" s="588"/>
      <c r="G18" s="588"/>
      <c r="H18" s="588"/>
      <c r="I18" s="588"/>
    </row>
    <row r="19" spans="1:9">
      <c r="A19" s="588"/>
      <c r="B19" s="588"/>
      <c r="C19" s="588"/>
      <c r="D19" s="588"/>
      <c r="E19" s="588"/>
      <c r="F19" s="588"/>
      <c r="G19" s="588"/>
      <c r="H19" s="588"/>
      <c r="I19" s="588"/>
    </row>
    <row r="20" spans="1:9">
      <c r="A20" s="683"/>
      <c r="B20" s="588"/>
      <c r="C20" s="588"/>
      <c r="D20" s="588"/>
      <c r="E20" s="588"/>
      <c r="F20" s="588"/>
      <c r="G20" s="684"/>
      <c r="H20" s="682"/>
      <c r="I20" s="588"/>
    </row>
    <row r="21" spans="1:9">
      <c r="A21" s="588"/>
      <c r="B21" s="588"/>
      <c r="C21" s="588"/>
      <c r="D21" s="588"/>
      <c r="E21" s="588"/>
      <c r="F21" s="588"/>
      <c r="G21" s="588"/>
      <c r="H21" s="685"/>
      <c r="I21" s="588"/>
    </row>
    <row r="22" spans="1:9">
      <c r="A22" s="588"/>
      <c r="B22" s="588"/>
      <c r="C22" s="588"/>
      <c r="D22" s="588"/>
      <c r="E22" s="588"/>
      <c r="F22" s="588"/>
      <c r="G22" s="588"/>
      <c r="H22" s="686"/>
      <c r="I22" s="588"/>
    </row>
    <row r="23" spans="1:9">
      <c r="A23" s="683"/>
      <c r="B23" s="588"/>
      <c r="C23" s="588"/>
      <c r="D23" s="588"/>
      <c r="E23" s="588"/>
      <c r="F23" s="588"/>
      <c r="G23" s="588"/>
      <c r="H23" s="687"/>
      <c r="I23" s="954"/>
    </row>
    <row r="24" spans="1:9">
      <c r="A24" s="588"/>
      <c r="B24" s="588"/>
      <c r="C24" s="588"/>
      <c r="D24" s="588"/>
      <c r="E24" s="588"/>
      <c r="F24" s="588"/>
      <c r="G24" s="588"/>
      <c r="H24" s="685"/>
      <c r="I24" s="684"/>
    </row>
    <row r="25" spans="1:9">
      <c r="A25" s="588"/>
      <c r="B25" s="588"/>
      <c r="C25" s="588"/>
      <c r="D25" s="588"/>
      <c r="E25" s="588"/>
      <c r="F25" s="588"/>
      <c r="G25" s="588"/>
      <c r="H25" s="686"/>
      <c r="I25" s="588"/>
    </row>
    <row r="26" spans="1:9" ht="15">
      <c r="A26" s="683"/>
      <c r="B26" s="588"/>
      <c r="C26" s="588"/>
      <c r="D26" s="588"/>
      <c r="E26" s="588"/>
      <c r="F26" s="588"/>
      <c r="G26" s="684"/>
      <c r="H26" s="688"/>
      <c r="I26" s="955"/>
    </row>
    <row r="27" spans="1:9">
      <c r="A27" s="588"/>
      <c r="B27" s="588"/>
      <c r="C27" s="588"/>
      <c r="D27" s="588"/>
      <c r="E27" s="588"/>
      <c r="F27" s="588"/>
      <c r="G27" s="588"/>
      <c r="H27" s="684"/>
      <c r="I27" s="684"/>
    </row>
    <row r="28" spans="1:9">
      <c r="A28" s="683"/>
      <c r="B28" s="588"/>
      <c r="C28" s="588"/>
      <c r="D28" s="588"/>
      <c r="E28" s="588"/>
      <c r="F28" s="588"/>
      <c r="G28" s="588"/>
      <c r="H28" s="588"/>
      <c r="I28" s="588"/>
    </row>
    <row r="29" spans="1:9">
      <c r="A29" s="588"/>
      <c r="B29" s="588"/>
      <c r="C29" s="588"/>
      <c r="D29" s="588"/>
      <c r="E29" s="588"/>
      <c r="F29" s="588"/>
      <c r="G29" s="588"/>
      <c r="H29" s="588"/>
      <c r="I29" s="588"/>
    </row>
    <row r="30" spans="1:9">
      <c r="A30" s="683"/>
      <c r="B30" s="588"/>
      <c r="C30" s="588"/>
      <c r="D30" s="689"/>
      <c r="E30" s="588"/>
      <c r="F30" s="588"/>
      <c r="G30" s="588"/>
      <c r="H30" s="588"/>
      <c r="I30" s="588"/>
    </row>
    <row r="31" spans="1:9">
      <c r="A31" s="588"/>
      <c r="B31" s="588"/>
      <c r="C31" s="588"/>
      <c r="D31" s="588"/>
      <c r="E31" s="588"/>
      <c r="F31" s="588"/>
      <c r="G31" s="588"/>
      <c r="H31" s="588"/>
      <c r="I31" s="588"/>
    </row>
    <row r="32" spans="1:9">
      <c r="A32" s="588"/>
      <c r="B32" s="588"/>
      <c r="C32" s="588"/>
      <c r="D32" s="588"/>
      <c r="E32" s="588"/>
      <c r="F32" s="588"/>
      <c r="G32" s="588"/>
      <c r="H32" s="588"/>
      <c r="I32" s="588"/>
    </row>
    <row r="33" spans="1:9">
      <c r="A33" s="588"/>
      <c r="B33" s="588"/>
      <c r="C33" s="588"/>
      <c r="D33" s="588"/>
      <c r="E33" s="588"/>
      <c r="F33" s="588"/>
      <c r="G33" s="588"/>
      <c r="H33" s="588"/>
      <c r="I33" s="588"/>
    </row>
    <row r="34" spans="1:9">
      <c r="A34" s="588"/>
      <c r="B34" s="588"/>
      <c r="C34" s="588"/>
      <c r="D34" s="588"/>
      <c r="E34" s="588"/>
      <c r="F34" s="588"/>
      <c r="G34" s="588"/>
      <c r="H34" s="588"/>
      <c r="I34" s="588"/>
    </row>
    <row r="35" spans="1:9">
      <c r="A35" s="588"/>
      <c r="B35" s="588"/>
      <c r="C35" s="588"/>
      <c r="D35" s="588"/>
      <c r="E35" s="588"/>
      <c r="F35" s="588"/>
      <c r="G35" s="588"/>
      <c r="H35" s="588"/>
      <c r="I35" s="588"/>
    </row>
    <row r="36" spans="1:9">
      <c r="A36" s="588"/>
      <c r="B36" s="588"/>
      <c r="C36" s="588"/>
      <c r="D36" s="588"/>
      <c r="E36" s="588"/>
      <c r="F36" s="588"/>
      <c r="G36" s="588"/>
      <c r="H36" s="588"/>
      <c r="I36" s="588"/>
    </row>
    <row r="37" spans="1:9">
      <c r="A37" s="588"/>
      <c r="B37" s="588"/>
      <c r="C37" s="588"/>
      <c r="D37" s="588"/>
      <c r="E37" s="588"/>
      <c r="F37" s="588"/>
      <c r="G37" s="588"/>
      <c r="H37" s="588"/>
      <c r="I37" s="588"/>
    </row>
    <row r="38" spans="1:9">
      <c r="A38" s="588"/>
      <c r="B38" s="588"/>
      <c r="C38" s="588"/>
      <c r="D38" s="588"/>
      <c r="E38" s="588"/>
      <c r="F38" s="588"/>
      <c r="G38" s="588"/>
      <c r="H38" s="588"/>
      <c r="I38" s="588"/>
    </row>
    <row r="39" spans="1:9">
      <c r="A39" s="588"/>
      <c r="B39" s="588"/>
      <c r="C39" s="588"/>
      <c r="D39" s="588"/>
      <c r="E39" s="588"/>
      <c r="F39" s="588"/>
      <c r="G39" s="588"/>
      <c r="H39" s="588"/>
      <c r="I39" s="588"/>
    </row>
    <row r="40" spans="1:9">
      <c r="A40" s="588"/>
      <c r="B40" s="588"/>
      <c r="C40" s="588"/>
      <c r="D40" s="588"/>
      <c r="E40" s="588"/>
      <c r="F40" s="588"/>
      <c r="G40" s="588"/>
      <c r="H40" s="588"/>
      <c r="I40" s="588"/>
    </row>
    <row r="41" spans="1:9">
      <c r="A41" s="588"/>
      <c r="B41" s="588"/>
      <c r="C41" s="588"/>
      <c r="D41" s="588"/>
      <c r="E41" s="588"/>
      <c r="F41" s="588"/>
      <c r="G41" s="588"/>
      <c r="H41" s="588"/>
      <c r="I41" s="588"/>
    </row>
    <row r="42" spans="1:9">
      <c r="A42" s="588"/>
      <c r="B42" s="588"/>
      <c r="C42" s="588"/>
      <c r="D42" s="588"/>
      <c r="E42" s="588"/>
      <c r="F42" s="588"/>
      <c r="G42" s="588"/>
      <c r="H42" s="588"/>
      <c r="I42" s="588"/>
    </row>
    <row r="43" spans="1:9">
      <c r="A43" s="588"/>
      <c r="B43" s="588"/>
      <c r="C43" s="588"/>
      <c r="D43" s="588"/>
      <c r="E43" s="588"/>
      <c r="F43" s="588"/>
      <c r="G43" s="588"/>
      <c r="H43" s="588"/>
      <c r="I43" s="588"/>
    </row>
    <row r="44" spans="1:9">
      <c r="A44" s="588"/>
      <c r="B44" s="588"/>
      <c r="C44" s="588"/>
      <c r="D44" s="588"/>
      <c r="E44" s="588"/>
      <c r="F44" s="588"/>
      <c r="G44" s="588"/>
      <c r="H44" s="588"/>
      <c r="I44" s="588"/>
    </row>
    <row r="45" spans="1:9">
      <c r="A45" s="588"/>
      <c r="B45" s="588"/>
      <c r="C45" s="588"/>
      <c r="D45" s="588"/>
      <c r="E45" s="588"/>
      <c r="F45" s="588"/>
      <c r="G45" s="588"/>
      <c r="H45" s="588"/>
      <c r="I45" s="588"/>
    </row>
    <row r="46" spans="1:9">
      <c r="A46" s="588"/>
      <c r="B46" s="588"/>
      <c r="C46" s="588"/>
      <c r="D46" s="588"/>
      <c r="E46" s="588"/>
      <c r="F46" s="588"/>
      <c r="G46" s="588"/>
      <c r="H46" s="588"/>
      <c r="I46" s="588"/>
    </row>
    <row r="47" spans="1:9">
      <c r="A47" s="588"/>
      <c r="B47" s="588"/>
      <c r="C47" s="588"/>
      <c r="D47" s="588"/>
      <c r="E47" s="588"/>
      <c r="F47" s="588"/>
      <c r="G47" s="588"/>
      <c r="H47" s="588"/>
      <c r="I47" s="588"/>
    </row>
    <row r="48" spans="1:9">
      <c r="A48" s="588"/>
      <c r="B48" s="588"/>
      <c r="C48" s="588"/>
      <c r="D48" s="588"/>
      <c r="E48" s="588"/>
      <c r="F48" s="588"/>
      <c r="G48" s="588"/>
      <c r="H48" s="588"/>
      <c r="I48" s="588"/>
    </row>
    <row r="49" spans="1:9">
      <c r="A49" s="588"/>
      <c r="B49" s="588"/>
      <c r="C49" s="588"/>
      <c r="D49" s="588"/>
      <c r="E49" s="588"/>
      <c r="F49" s="588"/>
      <c r="G49" s="588"/>
      <c r="H49" s="588"/>
      <c r="I49" s="588"/>
    </row>
    <row r="50" spans="1:9">
      <c r="A50" s="588"/>
      <c r="B50" s="588"/>
      <c r="C50" s="588"/>
      <c r="D50" s="588"/>
      <c r="E50" s="588"/>
      <c r="F50" s="588"/>
      <c r="G50" s="588"/>
      <c r="H50" s="588"/>
      <c r="I50" s="588"/>
    </row>
    <row r="51" spans="1:9">
      <c r="A51" s="588"/>
      <c r="B51" s="588"/>
      <c r="C51" s="588"/>
      <c r="D51" s="588"/>
      <c r="E51" s="588"/>
      <c r="F51" s="588"/>
      <c r="G51" s="588"/>
      <c r="H51" s="588"/>
      <c r="I51" s="588"/>
    </row>
    <row r="52" spans="1:9">
      <c r="A52" s="588"/>
      <c r="B52" s="588"/>
      <c r="C52" s="588"/>
      <c r="D52" s="588"/>
      <c r="E52" s="588"/>
      <c r="F52" s="588"/>
      <c r="G52" s="588"/>
      <c r="H52" s="588"/>
      <c r="I52" s="588"/>
    </row>
    <row r="53" spans="1:9">
      <c r="A53" s="588"/>
      <c r="B53" s="588"/>
      <c r="C53" s="588"/>
      <c r="D53" s="588"/>
      <c r="E53" s="588"/>
      <c r="F53" s="588"/>
      <c r="G53" s="588"/>
      <c r="H53" s="588"/>
      <c r="I53" s="588"/>
    </row>
    <row r="54" spans="1:9">
      <c r="A54" s="588"/>
      <c r="B54" s="588"/>
      <c r="C54" s="588"/>
      <c r="D54" s="588"/>
      <c r="E54" s="588"/>
      <c r="F54" s="588"/>
      <c r="G54" s="588"/>
      <c r="H54" s="588"/>
      <c r="I54" s="588"/>
    </row>
    <row r="55" spans="1:9">
      <c r="A55" s="588"/>
      <c r="B55" s="588"/>
      <c r="C55" s="588"/>
      <c r="D55" s="588"/>
      <c r="E55" s="588"/>
      <c r="F55" s="588"/>
      <c r="G55" s="588"/>
      <c r="H55" s="588"/>
      <c r="I55" s="588"/>
    </row>
    <row r="56" spans="1:9">
      <c r="A56" s="588"/>
      <c r="B56" s="588"/>
      <c r="C56" s="588"/>
      <c r="D56" s="588"/>
      <c r="E56" s="588"/>
      <c r="F56" s="588"/>
      <c r="G56" s="588"/>
      <c r="H56" s="588"/>
      <c r="I56" s="588"/>
    </row>
    <row r="57" spans="1:9">
      <c r="A57" s="588"/>
      <c r="B57" s="588"/>
      <c r="C57" s="588"/>
      <c r="D57" s="588"/>
      <c r="E57" s="588"/>
      <c r="F57" s="588"/>
      <c r="G57" s="588"/>
      <c r="H57" s="588"/>
      <c r="I57" s="588"/>
    </row>
    <row r="58" spans="1:9">
      <c r="A58" s="588"/>
      <c r="B58" s="588"/>
      <c r="C58" s="588"/>
      <c r="D58" s="588"/>
      <c r="E58" s="588"/>
      <c r="F58" s="588"/>
      <c r="G58" s="588"/>
      <c r="H58" s="588"/>
      <c r="I58" s="588"/>
    </row>
    <row r="59" spans="1:9">
      <c r="A59" s="588"/>
      <c r="B59" s="588"/>
      <c r="C59" s="588"/>
      <c r="D59" s="588"/>
      <c r="E59" s="588"/>
      <c r="F59" s="588"/>
      <c r="G59" s="588"/>
      <c r="H59" s="588"/>
      <c r="I59" s="588"/>
    </row>
    <row r="60" spans="1:9">
      <c r="A60" s="588"/>
      <c r="B60" s="588"/>
      <c r="C60" s="588"/>
      <c r="D60" s="588"/>
      <c r="E60" s="588"/>
      <c r="F60" s="588"/>
      <c r="G60" s="588"/>
      <c r="H60" s="588"/>
      <c r="I60" s="588"/>
    </row>
    <row r="61" spans="1:9">
      <c r="A61" s="588"/>
      <c r="B61" s="588"/>
      <c r="C61" s="588"/>
      <c r="D61" s="588"/>
      <c r="E61" s="588"/>
      <c r="F61" s="588"/>
      <c r="G61" s="588"/>
      <c r="H61" s="588"/>
      <c r="I61" s="588"/>
    </row>
    <row r="62" spans="1:9">
      <c r="A62" s="588"/>
      <c r="B62" s="588"/>
      <c r="C62" s="588"/>
      <c r="D62" s="588"/>
      <c r="E62" s="588"/>
      <c r="F62" s="588"/>
      <c r="G62" s="588"/>
      <c r="H62" s="588"/>
      <c r="I62" s="588"/>
    </row>
    <row r="63" spans="1:9">
      <c r="A63" s="588"/>
      <c r="B63" s="588"/>
      <c r="C63" s="588"/>
      <c r="D63" s="588"/>
      <c r="E63" s="588"/>
      <c r="F63" s="588"/>
      <c r="G63" s="588"/>
      <c r="H63" s="588"/>
      <c r="I63" s="588"/>
    </row>
    <row r="64" spans="1:9">
      <c r="A64" s="588"/>
      <c r="B64" s="588"/>
      <c r="C64" s="588"/>
      <c r="D64" s="588"/>
      <c r="E64" s="588"/>
      <c r="F64" s="588"/>
      <c r="G64" s="588"/>
      <c r="H64" s="588"/>
      <c r="I64" s="588"/>
    </row>
    <row r="65" spans="1:9">
      <c r="A65" s="588"/>
      <c r="B65" s="588"/>
      <c r="C65" s="588"/>
      <c r="D65" s="588"/>
      <c r="E65" s="588"/>
      <c r="F65" s="588"/>
      <c r="G65" s="588"/>
      <c r="H65" s="588"/>
      <c r="I65" s="588"/>
    </row>
    <row r="66" spans="1:9">
      <c r="A66" s="588"/>
      <c r="B66" s="588"/>
      <c r="C66" s="588"/>
      <c r="D66" s="588"/>
      <c r="E66" s="588"/>
      <c r="F66" s="588"/>
      <c r="G66" s="588"/>
      <c r="H66" s="588"/>
      <c r="I66" s="588"/>
    </row>
    <row r="67" spans="1:9">
      <c r="A67" s="588"/>
      <c r="B67" s="588"/>
      <c r="C67" s="588"/>
      <c r="D67" s="588"/>
      <c r="E67" s="588"/>
      <c r="F67" s="588"/>
      <c r="G67" s="588"/>
      <c r="H67" s="588"/>
      <c r="I67" s="588"/>
    </row>
    <row r="68" spans="1:9">
      <c r="A68" s="588"/>
      <c r="B68" s="588"/>
      <c r="C68" s="588"/>
      <c r="D68" s="588"/>
      <c r="E68" s="588"/>
      <c r="F68" s="588"/>
      <c r="G68" s="588"/>
      <c r="H68" s="588"/>
      <c r="I68" s="588"/>
    </row>
    <row r="69" spans="1:9">
      <c r="A69" s="588"/>
      <c r="B69" s="588"/>
      <c r="C69" s="588"/>
      <c r="D69" s="588"/>
      <c r="E69" s="588"/>
      <c r="F69" s="588"/>
      <c r="G69" s="588"/>
      <c r="H69" s="588"/>
      <c r="I69" s="588"/>
    </row>
    <row r="70" spans="1:9">
      <c r="A70" s="588"/>
      <c r="B70" s="588"/>
      <c r="C70" s="588"/>
      <c r="D70" s="588"/>
      <c r="E70" s="588"/>
      <c r="F70" s="588"/>
      <c r="G70" s="588"/>
      <c r="H70" s="588"/>
      <c r="I70" s="588"/>
    </row>
    <row r="71" spans="1:9">
      <c r="A71" s="588"/>
      <c r="B71" s="588"/>
      <c r="C71" s="588"/>
      <c r="D71" s="588"/>
      <c r="E71" s="588"/>
      <c r="F71" s="588"/>
      <c r="G71" s="588"/>
      <c r="H71" s="588"/>
      <c r="I71" s="588"/>
    </row>
    <row r="72" spans="1:9">
      <c r="A72" s="588"/>
      <c r="B72" s="588"/>
      <c r="C72" s="588"/>
      <c r="D72" s="588"/>
      <c r="E72" s="588"/>
      <c r="F72" s="588"/>
      <c r="G72" s="588"/>
      <c r="H72" s="588"/>
      <c r="I72" s="588"/>
    </row>
    <row r="73" spans="1:9">
      <c r="A73" s="588"/>
      <c r="B73" s="588"/>
      <c r="C73" s="588"/>
      <c r="D73" s="588"/>
      <c r="E73" s="588"/>
      <c r="F73" s="588"/>
      <c r="G73" s="588"/>
      <c r="H73" s="588"/>
      <c r="I73" s="588"/>
    </row>
    <row r="74" spans="1:9">
      <c r="A74" s="588"/>
      <c r="B74" s="588"/>
      <c r="C74" s="588"/>
      <c r="D74" s="588"/>
      <c r="E74" s="588"/>
      <c r="F74" s="588"/>
      <c r="G74" s="588"/>
      <c r="H74" s="588"/>
      <c r="I74" s="588"/>
    </row>
    <row r="75" spans="1:9">
      <c r="A75" s="588"/>
      <c r="B75" s="588"/>
      <c r="C75" s="588"/>
      <c r="D75" s="588"/>
      <c r="E75" s="588"/>
      <c r="F75" s="588"/>
      <c r="G75" s="588"/>
      <c r="H75" s="588"/>
      <c r="I75" s="588"/>
    </row>
    <row r="76" spans="1:9">
      <c r="A76" s="588"/>
      <c r="B76" s="588"/>
      <c r="C76" s="588"/>
      <c r="D76" s="588"/>
      <c r="E76" s="588"/>
      <c r="F76" s="588"/>
      <c r="G76" s="588"/>
      <c r="H76" s="588"/>
      <c r="I76" s="588"/>
    </row>
    <row r="77" spans="1:9">
      <c r="A77" s="588"/>
      <c r="B77" s="588"/>
      <c r="C77" s="588"/>
      <c r="D77" s="588"/>
      <c r="E77" s="588"/>
      <c r="F77" s="588"/>
      <c r="G77" s="588"/>
      <c r="H77" s="588"/>
      <c r="I77" s="588"/>
    </row>
    <row r="78" spans="1:9">
      <c r="A78" s="588"/>
      <c r="B78" s="588"/>
      <c r="C78" s="588"/>
      <c r="D78" s="588"/>
      <c r="E78" s="588"/>
      <c r="F78" s="588"/>
      <c r="G78" s="588"/>
      <c r="H78" s="588"/>
      <c r="I78" s="588"/>
    </row>
    <row r="79" spans="1:9">
      <c r="A79" s="588"/>
      <c r="B79" s="588"/>
      <c r="C79" s="588"/>
      <c r="D79" s="588"/>
      <c r="E79" s="588"/>
      <c r="F79" s="588"/>
      <c r="G79" s="588"/>
      <c r="H79" s="588"/>
      <c r="I79" s="588"/>
    </row>
    <row r="80" spans="1:9">
      <c r="A80" s="588"/>
      <c r="B80" s="588"/>
      <c r="C80" s="588"/>
      <c r="D80" s="588"/>
      <c r="E80" s="588"/>
      <c r="F80" s="588"/>
      <c r="G80" s="588"/>
      <c r="H80" s="588"/>
      <c r="I80" s="588"/>
    </row>
    <row r="81" spans="1:9">
      <c r="A81" s="588"/>
      <c r="B81" s="588"/>
      <c r="C81" s="588"/>
      <c r="D81" s="588"/>
      <c r="E81" s="588"/>
      <c r="F81" s="588"/>
      <c r="G81" s="588"/>
      <c r="H81" s="588"/>
      <c r="I81" s="588"/>
    </row>
    <row r="82" spans="1:9">
      <c r="A82" s="588"/>
      <c r="B82" s="588"/>
      <c r="C82" s="588"/>
      <c r="D82" s="588"/>
      <c r="E82" s="588"/>
      <c r="F82" s="588"/>
      <c r="G82" s="588"/>
      <c r="H82" s="588"/>
      <c r="I82" s="588"/>
    </row>
    <row r="83" spans="1:9">
      <c r="A83" s="588"/>
      <c r="B83" s="588"/>
      <c r="C83" s="588"/>
      <c r="D83" s="588"/>
      <c r="E83" s="588"/>
      <c r="F83" s="588"/>
      <c r="G83" s="588"/>
      <c r="H83" s="588"/>
      <c r="I83" s="588"/>
    </row>
    <row r="84" spans="1:9">
      <c r="A84" s="588"/>
      <c r="B84" s="588"/>
      <c r="C84" s="588"/>
      <c r="D84" s="588"/>
      <c r="E84" s="588"/>
      <c r="F84" s="588"/>
      <c r="G84" s="588"/>
      <c r="H84" s="588"/>
      <c r="I84" s="588"/>
    </row>
    <row r="85" spans="1:9">
      <c r="A85" s="588"/>
      <c r="B85" s="588"/>
      <c r="C85" s="588"/>
      <c r="D85" s="588"/>
      <c r="E85" s="588"/>
      <c r="F85" s="588"/>
      <c r="G85" s="588"/>
      <c r="H85" s="588"/>
      <c r="I85" s="588"/>
    </row>
    <row r="86" spans="1:9">
      <c r="A86" s="588"/>
      <c r="B86" s="588"/>
      <c r="C86" s="588"/>
      <c r="D86" s="588"/>
      <c r="E86" s="588"/>
      <c r="F86" s="588"/>
      <c r="G86" s="588"/>
      <c r="H86" s="588"/>
      <c r="I86" s="588"/>
    </row>
    <row r="87" spans="1:9">
      <c r="A87" s="588"/>
      <c r="B87" s="588"/>
      <c r="C87" s="588"/>
      <c r="D87" s="588"/>
      <c r="E87" s="588"/>
      <c r="F87" s="588"/>
      <c r="G87" s="588"/>
      <c r="H87" s="588"/>
      <c r="I87" s="588"/>
    </row>
    <row r="88" spans="1:9">
      <c r="A88" s="588"/>
      <c r="B88" s="588"/>
      <c r="C88" s="588"/>
      <c r="D88" s="588"/>
      <c r="E88" s="588"/>
      <c r="F88" s="588"/>
      <c r="G88" s="588"/>
      <c r="H88" s="588"/>
      <c r="I88" s="588"/>
    </row>
    <row r="89" spans="1:9">
      <c r="A89" s="588"/>
      <c r="B89" s="588"/>
      <c r="C89" s="588"/>
      <c r="D89" s="588"/>
      <c r="E89" s="588"/>
      <c r="F89" s="588"/>
      <c r="G89" s="588"/>
      <c r="H89" s="588"/>
      <c r="I89" s="588"/>
    </row>
    <row r="90" spans="1:9">
      <c r="A90" s="588"/>
      <c r="B90" s="588"/>
      <c r="C90" s="588"/>
      <c r="D90" s="588"/>
      <c r="E90" s="588"/>
      <c r="F90" s="588"/>
      <c r="G90" s="588"/>
      <c r="H90" s="588"/>
      <c r="I90" s="588"/>
    </row>
    <row r="91" spans="1:9">
      <c r="A91" s="588"/>
      <c r="B91" s="588"/>
      <c r="C91" s="588"/>
      <c r="D91" s="588"/>
      <c r="E91" s="588"/>
      <c r="F91" s="588"/>
      <c r="G91" s="588"/>
      <c r="H91" s="588"/>
      <c r="I91" s="588"/>
    </row>
    <row r="92" spans="1:9">
      <c r="A92" s="588"/>
      <c r="B92" s="588"/>
      <c r="C92" s="588"/>
      <c r="D92" s="588"/>
      <c r="E92" s="588"/>
      <c r="F92" s="588"/>
      <c r="G92" s="588"/>
      <c r="H92" s="588"/>
      <c r="I92" s="588"/>
    </row>
    <row r="93" spans="1:9">
      <c r="A93" s="588"/>
      <c r="B93" s="588"/>
      <c r="C93" s="588"/>
      <c r="D93" s="588"/>
      <c r="E93" s="588"/>
      <c r="F93" s="588"/>
      <c r="G93" s="588"/>
      <c r="H93" s="588"/>
      <c r="I93" s="588"/>
    </row>
    <row r="94" spans="1:9">
      <c r="A94" s="588"/>
      <c r="B94" s="588"/>
      <c r="C94" s="588"/>
      <c r="D94" s="588"/>
      <c r="E94" s="588"/>
      <c r="F94" s="588"/>
      <c r="G94" s="588"/>
      <c r="H94" s="588"/>
      <c r="I94" s="588"/>
    </row>
    <row r="95" spans="1:9">
      <c r="A95" s="588"/>
      <c r="B95" s="588"/>
      <c r="C95" s="588"/>
      <c r="D95" s="588"/>
      <c r="E95" s="588"/>
      <c r="F95" s="588"/>
      <c r="G95" s="588"/>
      <c r="H95" s="588"/>
      <c r="I95" s="588"/>
    </row>
    <row r="96" spans="1:9">
      <c r="A96" s="588"/>
      <c r="B96" s="588"/>
      <c r="C96" s="588"/>
      <c r="D96" s="588"/>
      <c r="E96" s="588"/>
      <c r="F96" s="588"/>
      <c r="G96" s="588"/>
      <c r="H96" s="588"/>
      <c r="I96" s="588"/>
    </row>
    <row r="97" spans="1:9">
      <c r="A97" s="588"/>
      <c r="B97" s="588"/>
      <c r="C97" s="588"/>
      <c r="D97" s="588"/>
      <c r="E97" s="588"/>
      <c r="F97" s="588"/>
      <c r="G97" s="588"/>
      <c r="H97" s="588"/>
      <c r="I97" s="588"/>
    </row>
    <row r="98" spans="1:9">
      <c r="A98" s="588"/>
      <c r="B98" s="588"/>
      <c r="C98" s="588"/>
      <c r="D98" s="588"/>
      <c r="E98" s="588"/>
      <c r="F98" s="588"/>
      <c r="G98" s="588"/>
      <c r="H98" s="588"/>
      <c r="I98" s="588"/>
    </row>
    <row r="99" spans="1:9">
      <c r="A99" s="588"/>
      <c r="B99" s="588"/>
      <c r="C99" s="588"/>
      <c r="D99" s="588"/>
      <c r="E99" s="588"/>
      <c r="F99" s="588"/>
      <c r="G99" s="588"/>
      <c r="H99" s="588"/>
      <c r="I99" s="588"/>
    </row>
    <row r="100" spans="1:9">
      <c r="A100" s="588"/>
      <c r="B100" s="588"/>
      <c r="C100" s="588"/>
      <c r="D100" s="588"/>
      <c r="E100" s="588"/>
      <c r="F100" s="588"/>
      <c r="G100" s="588"/>
      <c r="H100" s="588"/>
      <c r="I100" s="588"/>
    </row>
    <row r="101" spans="1:9">
      <c r="A101" s="588"/>
      <c r="B101" s="588"/>
      <c r="C101" s="588"/>
      <c r="D101" s="588"/>
      <c r="E101" s="588"/>
      <c r="F101" s="588"/>
      <c r="G101" s="588"/>
      <c r="H101" s="588"/>
      <c r="I101" s="588"/>
    </row>
    <row r="102" spans="1:9">
      <c r="A102" s="588"/>
      <c r="B102" s="588"/>
      <c r="C102" s="588"/>
      <c r="D102" s="588"/>
      <c r="E102" s="588"/>
      <c r="F102" s="588"/>
      <c r="G102" s="588"/>
      <c r="H102" s="588"/>
      <c r="I102" s="588"/>
    </row>
    <row r="103" spans="1:9">
      <c r="A103" s="588"/>
      <c r="B103" s="588"/>
      <c r="C103" s="588"/>
      <c r="D103" s="588"/>
      <c r="E103" s="588"/>
      <c r="F103" s="588"/>
      <c r="G103" s="588"/>
      <c r="H103" s="588"/>
      <c r="I103" s="588"/>
    </row>
    <row r="104" spans="1:9">
      <c r="A104" s="588"/>
      <c r="B104" s="588"/>
      <c r="C104" s="588"/>
      <c r="D104" s="588"/>
      <c r="E104" s="588"/>
      <c r="F104" s="588"/>
      <c r="G104" s="588"/>
      <c r="H104" s="588"/>
      <c r="I104" s="588"/>
    </row>
    <row r="105" spans="1:9">
      <c r="A105" s="588"/>
      <c r="B105" s="588"/>
      <c r="C105" s="588"/>
      <c r="D105" s="588"/>
      <c r="E105" s="588"/>
      <c r="F105" s="588"/>
      <c r="G105" s="588"/>
      <c r="H105" s="588"/>
      <c r="I105" s="588"/>
    </row>
    <row r="106" spans="1:9">
      <c r="A106" s="588"/>
      <c r="B106" s="588"/>
      <c r="C106" s="588"/>
      <c r="D106" s="588"/>
      <c r="E106" s="588"/>
      <c r="F106" s="588"/>
      <c r="G106" s="588"/>
      <c r="H106" s="588"/>
      <c r="I106" s="588"/>
    </row>
    <row r="107" spans="1:9">
      <c r="A107" s="588"/>
      <c r="B107" s="588"/>
      <c r="C107" s="588"/>
      <c r="D107" s="588"/>
      <c r="E107" s="588"/>
      <c r="F107" s="588"/>
      <c r="G107" s="588"/>
      <c r="H107" s="588"/>
      <c r="I107" s="588"/>
    </row>
    <row r="108" spans="1:9">
      <c r="A108" s="588"/>
      <c r="B108" s="588"/>
      <c r="C108" s="588"/>
      <c r="D108" s="588"/>
      <c r="E108" s="588"/>
      <c r="F108" s="588"/>
      <c r="G108" s="588"/>
      <c r="H108" s="588"/>
      <c r="I108" s="588"/>
    </row>
    <row r="109" spans="1:9">
      <c r="A109" s="588"/>
      <c r="B109" s="588"/>
      <c r="C109" s="588"/>
      <c r="D109" s="588"/>
      <c r="E109" s="588"/>
      <c r="F109" s="588"/>
      <c r="G109" s="588"/>
      <c r="H109" s="588"/>
      <c r="I109" s="588"/>
    </row>
    <row r="110" spans="1:9">
      <c r="A110" s="588"/>
      <c r="B110" s="588"/>
      <c r="C110" s="588"/>
      <c r="D110" s="588"/>
      <c r="E110" s="588"/>
      <c r="F110" s="588"/>
      <c r="G110" s="588"/>
      <c r="H110" s="588"/>
      <c r="I110" s="588"/>
    </row>
    <row r="111" spans="1:9">
      <c r="A111" s="588"/>
      <c r="B111" s="588"/>
      <c r="C111" s="588"/>
      <c r="D111" s="588"/>
      <c r="E111" s="588"/>
      <c r="F111" s="588"/>
      <c r="G111" s="588"/>
      <c r="H111" s="588"/>
      <c r="I111" s="588"/>
    </row>
    <row r="112" spans="1:9">
      <c r="A112" s="588"/>
      <c r="B112" s="588"/>
      <c r="C112" s="588"/>
      <c r="D112" s="588"/>
      <c r="E112" s="588"/>
      <c r="F112" s="588"/>
      <c r="G112" s="588"/>
      <c r="H112" s="588"/>
      <c r="I112" s="588"/>
    </row>
    <row r="113" spans="1:9">
      <c r="A113" s="588"/>
      <c r="B113" s="588"/>
      <c r="C113" s="588"/>
      <c r="D113" s="588"/>
      <c r="E113" s="588"/>
      <c r="F113" s="588"/>
      <c r="G113" s="588"/>
      <c r="H113" s="588"/>
      <c r="I113" s="588"/>
    </row>
    <row r="114" spans="1:9">
      <c r="A114" s="588"/>
      <c r="B114" s="588"/>
      <c r="C114" s="588"/>
      <c r="D114" s="588"/>
      <c r="E114" s="588"/>
      <c r="F114" s="588"/>
      <c r="G114" s="588"/>
      <c r="H114" s="588"/>
      <c r="I114" s="588"/>
    </row>
    <row r="115" spans="1:9">
      <c r="A115" s="588"/>
      <c r="B115" s="588"/>
      <c r="C115" s="588"/>
      <c r="D115" s="588"/>
      <c r="E115" s="588"/>
      <c r="F115" s="588"/>
      <c r="G115" s="588"/>
      <c r="H115" s="588"/>
      <c r="I115" s="588"/>
    </row>
    <row r="116" spans="1:9">
      <c r="A116" s="588"/>
      <c r="B116" s="588"/>
      <c r="C116" s="588"/>
      <c r="D116" s="588"/>
      <c r="E116" s="588"/>
      <c r="F116" s="588"/>
      <c r="G116" s="588"/>
      <c r="H116" s="588"/>
      <c r="I116" s="588"/>
    </row>
    <row r="117" spans="1:9">
      <c r="A117" s="588"/>
      <c r="B117" s="588"/>
      <c r="C117" s="588"/>
      <c r="D117" s="588"/>
      <c r="E117" s="588"/>
      <c r="F117" s="588"/>
      <c r="G117" s="588"/>
      <c r="H117" s="588"/>
      <c r="I117" s="588"/>
    </row>
    <row r="118" spans="1:9">
      <c r="A118" s="588"/>
      <c r="B118" s="588"/>
      <c r="C118" s="588"/>
      <c r="D118" s="588"/>
      <c r="E118" s="588"/>
      <c r="F118" s="588"/>
      <c r="G118" s="588"/>
      <c r="H118" s="588"/>
      <c r="I118" s="588"/>
    </row>
    <row r="119" spans="1:9">
      <c r="A119" s="588"/>
      <c r="B119" s="588"/>
      <c r="C119" s="588"/>
      <c r="D119" s="588"/>
      <c r="E119" s="588"/>
      <c r="F119" s="588"/>
      <c r="G119" s="588"/>
      <c r="H119" s="588"/>
      <c r="I119" s="588"/>
    </row>
    <row r="120" spans="1:9">
      <c r="A120" s="588"/>
      <c r="B120" s="588"/>
      <c r="C120" s="588"/>
      <c r="D120" s="588"/>
      <c r="E120" s="588"/>
      <c r="F120" s="588"/>
      <c r="G120" s="588"/>
      <c r="H120" s="588"/>
      <c r="I120" s="588"/>
    </row>
    <row r="121" spans="1:9">
      <c r="A121" s="588"/>
      <c r="B121" s="588"/>
      <c r="C121" s="588"/>
      <c r="D121" s="588"/>
      <c r="E121" s="588"/>
      <c r="F121" s="588"/>
      <c r="G121" s="588"/>
      <c r="H121" s="588"/>
      <c r="I121" s="588"/>
    </row>
    <row r="122" spans="1:9">
      <c r="A122" s="588"/>
      <c r="B122" s="588"/>
      <c r="C122" s="588"/>
      <c r="D122" s="588"/>
      <c r="E122" s="588"/>
      <c r="F122" s="588"/>
      <c r="G122" s="588"/>
      <c r="H122" s="588"/>
      <c r="I122" s="588"/>
    </row>
    <row r="123" spans="1:9">
      <c r="A123" s="588"/>
      <c r="B123" s="588"/>
      <c r="C123" s="588"/>
      <c r="D123" s="588"/>
      <c r="E123" s="588"/>
      <c r="F123" s="588"/>
      <c r="G123" s="588"/>
      <c r="H123" s="588"/>
      <c r="I123" s="588"/>
    </row>
    <row r="124" spans="1:9">
      <c r="A124" s="588"/>
      <c r="B124" s="588"/>
      <c r="C124" s="588"/>
      <c r="D124" s="588"/>
      <c r="E124" s="588"/>
      <c r="F124" s="588"/>
      <c r="G124" s="588"/>
      <c r="H124" s="588"/>
      <c r="I124" s="588"/>
    </row>
    <row r="125" spans="1:9">
      <c r="A125" s="588"/>
      <c r="B125" s="588"/>
      <c r="C125" s="588"/>
      <c r="D125" s="588"/>
      <c r="E125" s="588"/>
      <c r="F125" s="588"/>
      <c r="G125" s="588"/>
      <c r="H125" s="588"/>
      <c r="I125" s="588"/>
    </row>
    <row r="126" spans="1:9">
      <c r="A126" s="588"/>
      <c r="B126" s="588"/>
      <c r="C126" s="588"/>
      <c r="D126" s="588"/>
      <c r="E126" s="588"/>
      <c r="F126" s="588"/>
      <c r="G126" s="588"/>
      <c r="H126" s="588"/>
      <c r="I126" s="588"/>
    </row>
    <row r="127" spans="1:9">
      <c r="A127" s="588"/>
      <c r="B127" s="588"/>
      <c r="C127" s="588"/>
      <c r="D127" s="588"/>
      <c r="E127" s="588"/>
      <c r="F127" s="588"/>
      <c r="G127" s="588"/>
      <c r="H127" s="588"/>
      <c r="I127" s="588"/>
    </row>
    <row r="128" spans="1:9">
      <c r="A128" s="588"/>
      <c r="B128" s="588"/>
      <c r="C128" s="588"/>
      <c r="D128" s="588"/>
      <c r="E128" s="588"/>
      <c r="F128" s="588"/>
      <c r="G128" s="588"/>
      <c r="H128" s="588"/>
      <c r="I128" s="588"/>
    </row>
    <row r="129" spans="1:9">
      <c r="A129" s="588"/>
      <c r="B129" s="588"/>
      <c r="C129" s="588"/>
      <c r="D129" s="588"/>
      <c r="E129" s="588"/>
      <c r="F129" s="588"/>
      <c r="G129" s="588"/>
      <c r="H129" s="588"/>
      <c r="I129" s="588"/>
    </row>
    <row r="130" spans="1:9">
      <c r="A130" s="588"/>
      <c r="B130" s="588"/>
      <c r="C130" s="588"/>
      <c r="D130" s="588"/>
      <c r="E130" s="588"/>
      <c r="F130" s="588"/>
      <c r="G130" s="588"/>
      <c r="H130" s="588"/>
      <c r="I130" s="588"/>
    </row>
    <row r="131" spans="1:9">
      <c r="A131" s="588"/>
      <c r="B131" s="588"/>
      <c r="C131" s="588"/>
      <c r="D131" s="588"/>
      <c r="E131" s="588"/>
      <c r="F131" s="588"/>
      <c r="G131" s="588"/>
      <c r="H131" s="588"/>
      <c r="I131" s="588"/>
    </row>
    <row r="132" spans="1:9">
      <c r="A132" s="588"/>
      <c r="B132" s="588"/>
      <c r="C132" s="588"/>
      <c r="D132" s="588"/>
      <c r="E132" s="588"/>
      <c r="F132" s="588"/>
      <c r="G132" s="588"/>
      <c r="H132" s="588"/>
      <c r="I132" s="588"/>
    </row>
    <row r="133" spans="1:9">
      <c r="A133" s="588"/>
      <c r="B133" s="588"/>
      <c r="C133" s="588"/>
      <c r="D133" s="588"/>
      <c r="E133" s="588"/>
      <c r="F133" s="588"/>
      <c r="G133" s="588"/>
      <c r="H133" s="588"/>
      <c r="I133" s="588"/>
    </row>
    <row r="134" spans="1:9">
      <c r="A134" s="588"/>
      <c r="B134" s="588"/>
      <c r="C134" s="588"/>
      <c r="D134" s="588"/>
      <c r="E134" s="588"/>
      <c r="F134" s="588"/>
      <c r="G134" s="588"/>
      <c r="H134" s="588"/>
      <c r="I134" s="588"/>
    </row>
    <row r="135" spans="1:9">
      <c r="A135" s="588"/>
      <c r="B135" s="588"/>
      <c r="C135" s="588"/>
      <c r="D135" s="588"/>
      <c r="E135" s="588"/>
      <c r="F135" s="588"/>
      <c r="G135" s="588"/>
      <c r="H135" s="588"/>
      <c r="I135" s="588"/>
    </row>
    <row r="136" spans="1:9">
      <c r="A136" s="588"/>
      <c r="B136" s="588"/>
      <c r="C136" s="588"/>
      <c r="D136" s="588"/>
      <c r="E136" s="588"/>
      <c r="F136" s="588"/>
      <c r="G136" s="588"/>
      <c r="H136" s="588"/>
      <c r="I136" s="588"/>
    </row>
    <row r="137" spans="1:9">
      <c r="A137" s="588"/>
      <c r="B137" s="588"/>
      <c r="C137" s="588"/>
      <c r="D137" s="588"/>
      <c r="E137" s="588"/>
      <c r="F137" s="588"/>
      <c r="G137" s="588"/>
      <c r="H137" s="588"/>
      <c r="I137" s="588"/>
    </row>
    <row r="138" spans="1:9">
      <c r="A138" s="588"/>
      <c r="B138" s="588"/>
      <c r="C138" s="588"/>
      <c r="D138" s="588"/>
      <c r="E138" s="588"/>
      <c r="F138" s="588"/>
      <c r="G138" s="588"/>
      <c r="H138" s="588"/>
      <c r="I138" s="588"/>
    </row>
    <row r="139" spans="1:9">
      <c r="A139" s="588"/>
      <c r="B139" s="588"/>
      <c r="C139" s="588"/>
      <c r="D139" s="588"/>
      <c r="E139" s="588"/>
      <c r="F139" s="588"/>
      <c r="G139" s="588"/>
      <c r="H139" s="588"/>
      <c r="I139" s="588"/>
    </row>
    <row r="140" spans="1:9">
      <c r="A140" s="588"/>
      <c r="B140" s="588"/>
      <c r="C140" s="588"/>
      <c r="D140" s="588"/>
      <c r="E140" s="588"/>
      <c r="F140" s="588"/>
      <c r="G140" s="588"/>
      <c r="H140" s="588"/>
      <c r="I140" s="588"/>
    </row>
    <row r="141" spans="1:9">
      <c r="A141" s="588"/>
      <c r="B141" s="588"/>
      <c r="C141" s="588"/>
      <c r="D141" s="588"/>
      <c r="E141" s="588"/>
      <c r="F141" s="588"/>
      <c r="G141" s="588"/>
      <c r="H141" s="588"/>
      <c r="I141" s="588"/>
    </row>
    <row r="142" spans="1:9">
      <c r="A142" s="588"/>
      <c r="B142" s="588"/>
      <c r="C142" s="588"/>
      <c r="D142" s="588"/>
      <c r="E142" s="588"/>
      <c r="F142" s="588"/>
      <c r="G142" s="588"/>
      <c r="H142" s="588"/>
      <c r="I142" s="588"/>
    </row>
    <row r="143" spans="1:9">
      <c r="A143" s="588"/>
      <c r="B143" s="588"/>
      <c r="C143" s="588"/>
      <c r="D143" s="588"/>
      <c r="E143" s="588"/>
      <c r="F143" s="588"/>
      <c r="G143" s="588"/>
      <c r="H143" s="588"/>
      <c r="I143" s="588"/>
    </row>
    <row r="144" spans="1:9">
      <c r="A144" s="588"/>
      <c r="B144" s="588"/>
      <c r="C144" s="588"/>
      <c r="D144" s="588"/>
      <c r="E144" s="588"/>
      <c r="F144" s="588"/>
      <c r="G144" s="588"/>
      <c r="H144" s="588"/>
      <c r="I144" s="588"/>
    </row>
    <row r="145" spans="1:9">
      <c r="A145" s="588"/>
      <c r="B145" s="588"/>
      <c r="C145" s="588"/>
      <c r="D145" s="588"/>
      <c r="E145" s="588"/>
      <c r="F145" s="588"/>
      <c r="G145" s="588"/>
      <c r="H145" s="588"/>
      <c r="I145" s="588"/>
    </row>
    <row r="146" spans="1:9">
      <c r="A146" s="588"/>
      <c r="B146" s="588"/>
      <c r="C146" s="588"/>
      <c r="D146" s="588"/>
      <c r="E146" s="588"/>
      <c r="F146" s="588"/>
      <c r="G146" s="588"/>
      <c r="H146" s="588"/>
      <c r="I146" s="588"/>
    </row>
    <row r="147" spans="1:9">
      <c r="A147" s="588"/>
      <c r="B147" s="588"/>
      <c r="C147" s="588"/>
      <c r="D147" s="588"/>
      <c r="E147" s="588"/>
      <c r="F147" s="588"/>
      <c r="G147" s="588"/>
      <c r="H147" s="588"/>
      <c r="I147" s="588"/>
    </row>
    <row r="148" spans="1:9">
      <c r="A148" s="588"/>
      <c r="B148" s="588"/>
      <c r="C148" s="588"/>
      <c r="D148" s="588"/>
      <c r="E148" s="588"/>
      <c r="F148" s="588"/>
      <c r="G148" s="588"/>
      <c r="H148" s="588"/>
      <c r="I148" s="588"/>
    </row>
    <row r="149" spans="1:9">
      <c r="A149" s="588"/>
      <c r="B149" s="588"/>
      <c r="C149" s="588"/>
      <c r="D149" s="588"/>
      <c r="E149" s="588"/>
      <c r="F149" s="588"/>
      <c r="G149" s="588"/>
      <c r="H149" s="588"/>
      <c r="I149" s="588"/>
    </row>
    <row r="150" spans="1:9">
      <c r="A150" s="588"/>
      <c r="B150" s="588"/>
      <c r="C150" s="588"/>
      <c r="D150" s="588"/>
      <c r="E150" s="588"/>
      <c r="F150" s="588"/>
      <c r="G150" s="588"/>
      <c r="H150" s="588"/>
      <c r="I150" s="588"/>
    </row>
    <row r="151" spans="1:9">
      <c r="A151" s="588"/>
      <c r="B151" s="588"/>
      <c r="C151" s="588"/>
      <c r="D151" s="588"/>
      <c r="E151" s="588"/>
      <c r="F151" s="588"/>
      <c r="G151" s="588"/>
      <c r="H151" s="588"/>
      <c r="I151" s="588"/>
    </row>
    <row r="152" spans="1:9">
      <c r="A152" s="588"/>
      <c r="B152" s="588"/>
      <c r="C152" s="588"/>
      <c r="D152" s="588"/>
      <c r="E152" s="588"/>
      <c r="F152" s="588"/>
      <c r="G152" s="588"/>
      <c r="H152" s="588"/>
      <c r="I152" s="588"/>
    </row>
    <row r="153" spans="1:9">
      <c r="A153" s="588"/>
      <c r="B153" s="588"/>
      <c r="C153" s="588"/>
      <c r="D153" s="588"/>
      <c r="E153" s="588"/>
      <c r="F153" s="588"/>
      <c r="G153" s="588"/>
      <c r="H153" s="588"/>
      <c r="I153" s="588"/>
    </row>
    <row r="154" spans="1:9">
      <c r="A154" s="588"/>
      <c r="B154" s="588"/>
      <c r="C154" s="588"/>
      <c r="D154" s="588"/>
      <c r="E154" s="588"/>
      <c r="F154" s="588"/>
      <c r="G154" s="588"/>
      <c r="H154" s="588"/>
      <c r="I154" s="588"/>
    </row>
    <row r="155" spans="1:9">
      <c r="A155" s="588"/>
      <c r="B155" s="588"/>
      <c r="C155" s="588"/>
      <c r="D155" s="588"/>
      <c r="E155" s="588"/>
      <c r="F155" s="588"/>
      <c r="G155" s="588"/>
      <c r="H155" s="588"/>
      <c r="I155" s="588"/>
    </row>
    <row r="156" spans="1:9">
      <c r="A156" s="588"/>
      <c r="B156" s="588"/>
      <c r="C156" s="588"/>
      <c r="D156" s="588"/>
      <c r="E156" s="588"/>
      <c r="F156" s="588"/>
      <c r="G156" s="588"/>
      <c r="H156" s="588"/>
      <c r="I156" s="588"/>
    </row>
    <row r="157" spans="1:9">
      <c r="A157" s="588"/>
      <c r="B157" s="588"/>
      <c r="C157" s="588"/>
      <c r="D157" s="588"/>
      <c r="E157" s="588"/>
      <c r="F157" s="588"/>
      <c r="G157" s="588"/>
      <c r="H157" s="588"/>
      <c r="I157" s="588"/>
    </row>
    <row r="158" spans="1:9">
      <c r="A158" s="588"/>
      <c r="B158" s="588"/>
      <c r="C158" s="588"/>
      <c r="D158" s="588"/>
      <c r="E158" s="588"/>
      <c r="F158" s="588"/>
      <c r="G158" s="588"/>
      <c r="H158" s="588"/>
      <c r="I158" s="588"/>
    </row>
    <row r="159" spans="1:9">
      <c r="A159" s="588"/>
      <c r="B159" s="588"/>
      <c r="C159" s="588"/>
      <c r="D159" s="588"/>
      <c r="E159" s="588"/>
      <c r="F159" s="588"/>
      <c r="G159" s="588"/>
      <c r="H159" s="588"/>
      <c r="I159" s="588"/>
    </row>
    <row r="160" spans="1:9">
      <c r="A160" s="588"/>
      <c r="B160" s="588"/>
      <c r="C160" s="588"/>
      <c r="D160" s="588"/>
      <c r="E160" s="588"/>
      <c r="F160" s="588"/>
      <c r="G160" s="588"/>
      <c r="H160" s="588"/>
      <c r="I160" s="588"/>
    </row>
    <row r="161" spans="1:9">
      <c r="A161" s="588"/>
      <c r="B161" s="588"/>
      <c r="C161" s="588"/>
      <c r="D161" s="588"/>
      <c r="E161" s="588"/>
      <c r="F161" s="588"/>
      <c r="G161" s="588"/>
      <c r="H161" s="588"/>
      <c r="I161" s="588"/>
    </row>
    <row r="162" spans="1:9">
      <c r="A162" s="588"/>
      <c r="B162" s="588"/>
      <c r="C162" s="588"/>
      <c r="D162" s="588"/>
      <c r="E162" s="588"/>
      <c r="F162" s="588"/>
      <c r="G162" s="588"/>
      <c r="H162" s="588"/>
      <c r="I162" s="588"/>
    </row>
    <row r="163" spans="1:9">
      <c r="A163" s="588"/>
      <c r="B163" s="588"/>
      <c r="C163" s="588"/>
      <c r="D163" s="588"/>
      <c r="E163" s="588"/>
      <c r="F163" s="588"/>
      <c r="G163" s="588"/>
      <c r="H163" s="588"/>
      <c r="I163" s="588"/>
    </row>
    <row r="164" spans="1:9">
      <c r="A164" s="588"/>
      <c r="B164" s="588"/>
      <c r="C164" s="588"/>
      <c r="D164" s="588"/>
      <c r="E164" s="588"/>
      <c r="F164" s="588"/>
      <c r="G164" s="588"/>
      <c r="H164" s="588"/>
      <c r="I164" s="588"/>
    </row>
    <row r="165" spans="1:9">
      <c r="A165" s="588"/>
      <c r="B165" s="588"/>
      <c r="C165" s="588"/>
      <c r="D165" s="588"/>
      <c r="E165" s="588"/>
      <c r="F165" s="588"/>
      <c r="G165" s="588"/>
      <c r="H165" s="588"/>
      <c r="I165" s="588"/>
    </row>
    <row r="166" spans="1:9">
      <c r="A166" s="588"/>
      <c r="B166" s="588"/>
      <c r="C166" s="588"/>
      <c r="D166" s="588"/>
      <c r="E166" s="588"/>
      <c r="F166" s="588"/>
      <c r="G166" s="588"/>
      <c r="H166" s="588"/>
      <c r="I166" s="588"/>
    </row>
    <row r="167" spans="1:9">
      <c r="A167" s="588"/>
      <c r="B167" s="588"/>
      <c r="C167" s="588"/>
      <c r="D167" s="588"/>
      <c r="E167" s="588"/>
      <c r="F167" s="588"/>
      <c r="G167" s="588"/>
      <c r="H167" s="588"/>
      <c r="I167" s="588"/>
    </row>
    <row r="168" spans="1:9">
      <c r="A168" s="588"/>
      <c r="B168" s="588"/>
      <c r="C168" s="588"/>
      <c r="D168" s="588"/>
      <c r="E168" s="588"/>
      <c r="F168" s="588"/>
      <c r="G168" s="588"/>
      <c r="H168" s="588"/>
      <c r="I168" s="588"/>
    </row>
    <row r="169" spans="1:9">
      <c r="A169" s="588"/>
      <c r="B169" s="588"/>
      <c r="C169" s="588"/>
      <c r="D169" s="588"/>
      <c r="E169" s="588"/>
      <c r="F169" s="588"/>
      <c r="G169" s="588"/>
      <c r="H169" s="588"/>
      <c r="I169" s="588"/>
    </row>
    <row r="170" spans="1:9">
      <c r="A170" s="588"/>
      <c r="B170" s="588"/>
      <c r="C170" s="588"/>
      <c r="D170" s="588"/>
      <c r="E170" s="588"/>
      <c r="F170" s="588"/>
      <c r="G170" s="588"/>
      <c r="H170" s="588"/>
      <c r="I170" s="588"/>
    </row>
    <row r="171" spans="1:9">
      <c r="A171" s="588"/>
      <c r="B171" s="588"/>
      <c r="C171" s="588"/>
      <c r="D171" s="588"/>
      <c r="E171" s="588"/>
      <c r="F171" s="588"/>
      <c r="G171" s="588"/>
      <c r="H171" s="588"/>
      <c r="I171" s="588"/>
    </row>
    <row r="172" spans="1:9">
      <c r="A172" s="588"/>
      <c r="B172" s="588"/>
      <c r="C172" s="588"/>
      <c r="D172" s="588"/>
      <c r="E172" s="588"/>
      <c r="F172" s="588"/>
      <c r="G172" s="588"/>
      <c r="H172" s="588"/>
      <c r="I172" s="588"/>
    </row>
    <row r="173" spans="1:9">
      <c r="A173" s="588"/>
      <c r="B173" s="588"/>
      <c r="C173" s="588"/>
      <c r="D173" s="588"/>
      <c r="E173" s="588"/>
      <c r="F173" s="588"/>
      <c r="G173" s="588"/>
      <c r="H173" s="588"/>
      <c r="I173" s="588"/>
    </row>
    <row r="174" spans="1:9">
      <c r="A174" s="588"/>
      <c r="B174" s="588"/>
      <c r="C174" s="588"/>
      <c r="D174" s="588"/>
      <c r="E174" s="588"/>
      <c r="F174" s="588"/>
      <c r="G174" s="588"/>
      <c r="H174" s="588"/>
      <c r="I174" s="588"/>
    </row>
    <row r="175" spans="1:9">
      <c r="A175" s="588"/>
      <c r="B175" s="588"/>
      <c r="C175" s="588"/>
      <c r="D175" s="588"/>
      <c r="E175" s="588"/>
      <c r="F175" s="588"/>
      <c r="G175" s="588"/>
      <c r="H175" s="588"/>
      <c r="I175" s="588"/>
    </row>
    <row r="176" spans="1:9">
      <c r="A176" s="588"/>
      <c r="B176" s="588"/>
      <c r="C176" s="588"/>
      <c r="D176" s="588"/>
      <c r="E176" s="588"/>
      <c r="F176" s="588"/>
      <c r="G176" s="588"/>
      <c r="H176" s="588"/>
      <c r="I176" s="588"/>
    </row>
    <row r="177" spans="1:9">
      <c r="A177" s="588"/>
      <c r="B177" s="588"/>
      <c r="C177" s="588"/>
      <c r="D177" s="588"/>
      <c r="E177" s="588"/>
      <c r="F177" s="588"/>
      <c r="G177" s="588"/>
      <c r="H177" s="588"/>
      <c r="I177" s="588"/>
    </row>
    <row r="178" spans="1:9">
      <c r="A178" s="588"/>
      <c r="B178" s="588"/>
      <c r="C178" s="588"/>
      <c r="D178" s="588"/>
      <c r="E178" s="588"/>
      <c r="F178" s="588"/>
      <c r="G178" s="588"/>
      <c r="H178" s="588"/>
      <c r="I178" s="588"/>
    </row>
    <row r="179" spans="1:9">
      <c r="A179" s="588"/>
      <c r="B179" s="588"/>
      <c r="C179" s="588"/>
      <c r="D179" s="588"/>
      <c r="E179" s="588"/>
      <c r="F179" s="588"/>
      <c r="G179" s="588"/>
      <c r="H179" s="588"/>
      <c r="I179" s="588"/>
    </row>
    <row r="180" spans="1:9">
      <c r="A180" s="588"/>
      <c r="B180" s="588"/>
      <c r="C180" s="588"/>
      <c r="D180" s="588"/>
      <c r="E180" s="588"/>
      <c r="F180" s="588"/>
      <c r="G180" s="588"/>
      <c r="H180" s="588"/>
      <c r="I180" s="588"/>
    </row>
    <row r="181" spans="1:9">
      <c r="A181" s="588"/>
      <c r="B181" s="588"/>
      <c r="C181" s="588"/>
      <c r="D181" s="588"/>
      <c r="E181" s="588"/>
      <c r="F181" s="588"/>
      <c r="G181" s="588"/>
      <c r="H181" s="588"/>
      <c r="I181" s="588"/>
    </row>
    <row r="182" spans="1:9">
      <c r="A182" s="588"/>
      <c r="B182" s="588"/>
      <c r="C182" s="588"/>
      <c r="D182" s="588"/>
      <c r="E182" s="588"/>
      <c r="F182" s="588"/>
      <c r="G182" s="588"/>
      <c r="H182" s="588"/>
      <c r="I182" s="588"/>
    </row>
    <row r="183" spans="1:9">
      <c r="A183" s="588"/>
      <c r="B183" s="588"/>
      <c r="C183" s="588"/>
      <c r="D183" s="588"/>
      <c r="E183" s="588"/>
      <c r="F183" s="588"/>
      <c r="G183" s="588"/>
      <c r="H183" s="588"/>
      <c r="I183" s="588"/>
    </row>
    <row r="184" spans="1:9">
      <c r="A184" s="588"/>
      <c r="B184" s="588"/>
      <c r="C184" s="588"/>
      <c r="D184" s="588"/>
      <c r="E184" s="588"/>
      <c r="F184" s="588"/>
      <c r="G184" s="588"/>
      <c r="H184" s="588"/>
      <c r="I184" s="588"/>
    </row>
    <row r="185" spans="1:9">
      <c r="A185" s="588"/>
      <c r="B185" s="588"/>
      <c r="C185" s="588"/>
      <c r="D185" s="588"/>
      <c r="E185" s="588"/>
      <c r="F185" s="588"/>
      <c r="G185" s="588"/>
      <c r="H185" s="588"/>
      <c r="I185" s="588"/>
    </row>
    <row r="186" spans="1:9">
      <c r="A186" s="588"/>
      <c r="B186" s="588"/>
      <c r="C186" s="588"/>
      <c r="D186" s="588"/>
      <c r="E186" s="588"/>
      <c r="F186" s="588"/>
      <c r="G186" s="588"/>
      <c r="H186" s="588"/>
      <c r="I186" s="588"/>
    </row>
    <row r="187" spans="1:9">
      <c r="A187" s="588"/>
      <c r="B187" s="588"/>
      <c r="C187" s="588"/>
      <c r="D187" s="588"/>
      <c r="E187" s="588"/>
      <c r="F187" s="588"/>
      <c r="G187" s="588"/>
      <c r="H187" s="588"/>
      <c r="I187" s="588"/>
    </row>
    <row r="188" spans="1:9">
      <c r="A188" s="588"/>
      <c r="B188" s="588"/>
      <c r="C188" s="588"/>
      <c r="D188" s="588"/>
      <c r="E188" s="588"/>
      <c r="F188" s="588"/>
      <c r="G188" s="588"/>
      <c r="H188" s="588"/>
      <c r="I188" s="588"/>
    </row>
    <row r="189" spans="1:9">
      <c r="A189" s="588"/>
      <c r="B189" s="588"/>
      <c r="C189" s="588"/>
      <c r="D189" s="588"/>
      <c r="E189" s="588"/>
      <c r="F189" s="588"/>
      <c r="G189" s="588"/>
      <c r="H189" s="588"/>
      <c r="I189" s="588"/>
    </row>
    <row r="190" spans="1:9">
      <c r="A190" s="588"/>
      <c r="B190" s="588"/>
      <c r="C190" s="588"/>
      <c r="D190" s="588"/>
      <c r="E190" s="588"/>
      <c r="F190" s="588"/>
      <c r="G190" s="588"/>
      <c r="H190" s="588"/>
      <c r="I190" s="588"/>
    </row>
    <row r="191" spans="1:9">
      <c r="A191" s="588"/>
      <c r="B191" s="588"/>
      <c r="C191" s="588"/>
      <c r="D191" s="588"/>
      <c r="E191" s="588"/>
      <c r="F191" s="588"/>
      <c r="G191" s="588"/>
      <c r="H191" s="588"/>
      <c r="I191" s="588"/>
    </row>
    <row r="192" spans="1:9">
      <c r="A192" s="588"/>
      <c r="B192" s="588"/>
      <c r="C192" s="588"/>
      <c r="D192" s="588"/>
      <c r="E192" s="588"/>
      <c r="F192" s="588"/>
      <c r="G192" s="588"/>
      <c r="H192" s="588"/>
      <c r="I192" s="588"/>
    </row>
    <row r="193" spans="1:9">
      <c r="A193" s="588"/>
      <c r="B193" s="588"/>
      <c r="C193" s="588"/>
      <c r="D193" s="588"/>
      <c r="E193" s="588"/>
      <c r="F193" s="588"/>
      <c r="G193" s="588"/>
      <c r="H193" s="588"/>
      <c r="I193" s="588"/>
    </row>
    <row r="194" spans="1:9">
      <c r="A194" s="588"/>
      <c r="B194" s="588"/>
      <c r="C194" s="588"/>
      <c r="D194" s="588"/>
      <c r="E194" s="588"/>
      <c r="F194" s="588"/>
      <c r="G194" s="588"/>
      <c r="H194" s="588"/>
      <c r="I194" s="588"/>
    </row>
    <row r="195" spans="1:9">
      <c r="A195" s="588"/>
      <c r="B195" s="588"/>
      <c r="C195" s="588"/>
      <c r="D195" s="588"/>
      <c r="E195" s="588"/>
      <c r="F195" s="588"/>
      <c r="G195" s="588"/>
      <c r="H195" s="588"/>
      <c r="I195" s="588"/>
    </row>
    <row r="196" spans="1:9">
      <c r="A196" s="588"/>
      <c r="B196" s="588"/>
      <c r="C196" s="588"/>
      <c r="D196" s="588"/>
      <c r="E196" s="588"/>
      <c r="F196" s="588"/>
      <c r="G196" s="588"/>
      <c r="H196" s="588"/>
      <c r="I196" s="588"/>
    </row>
    <row r="197" spans="1:9">
      <c r="A197" s="588"/>
      <c r="B197" s="588"/>
      <c r="C197" s="588"/>
      <c r="D197" s="588"/>
      <c r="E197" s="588"/>
      <c r="F197" s="588"/>
      <c r="G197" s="588"/>
      <c r="H197" s="588"/>
      <c r="I197" s="588"/>
    </row>
    <row r="198" spans="1:9">
      <c r="A198" s="588"/>
      <c r="B198" s="588"/>
      <c r="C198" s="588"/>
      <c r="D198" s="588"/>
      <c r="E198" s="588"/>
      <c r="F198" s="588"/>
      <c r="G198" s="588"/>
      <c r="H198" s="588"/>
      <c r="I198" s="588"/>
    </row>
    <row r="199" spans="1:9">
      <c r="A199" s="588"/>
      <c r="B199" s="588"/>
      <c r="C199" s="588"/>
      <c r="D199" s="588"/>
      <c r="E199" s="588"/>
      <c r="F199" s="588"/>
      <c r="G199" s="588"/>
      <c r="H199" s="588"/>
      <c r="I199" s="588"/>
    </row>
    <row r="200" spans="1:9">
      <c r="A200" s="588"/>
      <c r="B200" s="588"/>
      <c r="C200" s="588"/>
      <c r="D200" s="588"/>
      <c r="E200" s="588"/>
      <c r="F200" s="588"/>
      <c r="G200" s="588"/>
      <c r="H200" s="588"/>
      <c r="I200" s="588"/>
    </row>
    <row r="201" spans="1:9">
      <c r="A201" s="588"/>
      <c r="B201" s="588"/>
      <c r="C201" s="588"/>
      <c r="D201" s="588"/>
      <c r="E201" s="588"/>
      <c r="F201" s="588"/>
      <c r="G201" s="588"/>
      <c r="H201" s="588"/>
      <c r="I201" s="588"/>
    </row>
    <row r="202" spans="1:9">
      <c r="A202" s="588"/>
      <c r="B202" s="588"/>
      <c r="C202" s="588"/>
      <c r="D202" s="588"/>
      <c r="E202" s="588"/>
      <c r="F202" s="588"/>
      <c r="G202" s="588"/>
      <c r="H202" s="588"/>
      <c r="I202" s="588"/>
    </row>
    <row r="203" spans="1:9">
      <c r="A203" s="588"/>
      <c r="B203" s="588"/>
      <c r="C203" s="588"/>
      <c r="D203" s="588"/>
      <c r="E203" s="588"/>
      <c r="F203" s="588"/>
      <c r="G203" s="588"/>
      <c r="H203" s="588"/>
      <c r="I203" s="588"/>
    </row>
    <row r="204" spans="1:9">
      <c r="A204" s="588"/>
      <c r="B204" s="588"/>
      <c r="C204" s="588"/>
      <c r="D204" s="588"/>
      <c r="E204" s="588"/>
      <c r="F204" s="588"/>
      <c r="G204" s="588"/>
      <c r="H204" s="588"/>
      <c r="I204" s="588"/>
    </row>
    <row r="205" spans="1:9">
      <c r="A205" s="588"/>
      <c r="B205" s="588"/>
      <c r="C205" s="588"/>
      <c r="D205" s="588"/>
      <c r="E205" s="588"/>
      <c r="F205" s="588"/>
      <c r="G205" s="588"/>
      <c r="H205" s="588"/>
      <c r="I205" s="588"/>
    </row>
    <row r="206" spans="1:9">
      <c r="A206" s="588"/>
      <c r="B206" s="588"/>
      <c r="C206" s="588"/>
      <c r="D206" s="588"/>
      <c r="E206" s="588"/>
      <c r="F206" s="588"/>
      <c r="G206" s="588"/>
      <c r="H206" s="588"/>
      <c r="I206" s="588"/>
    </row>
    <row r="207" spans="1:9">
      <c r="A207" s="588"/>
      <c r="B207" s="588"/>
      <c r="C207" s="588"/>
      <c r="D207" s="588"/>
      <c r="E207" s="588"/>
      <c r="F207" s="588"/>
      <c r="G207" s="588"/>
      <c r="H207" s="588"/>
      <c r="I207" s="588"/>
    </row>
    <row r="208" spans="1:9">
      <c r="A208" s="588"/>
      <c r="B208" s="588"/>
      <c r="C208" s="588"/>
      <c r="D208" s="588"/>
      <c r="E208" s="588"/>
      <c r="F208" s="588"/>
      <c r="G208" s="588"/>
      <c r="H208" s="588"/>
      <c r="I208" s="588"/>
    </row>
    <row r="209" spans="1:9">
      <c r="A209" s="588"/>
      <c r="B209" s="588"/>
      <c r="C209" s="588"/>
      <c r="D209" s="588"/>
      <c r="E209" s="588"/>
      <c r="F209" s="588"/>
      <c r="G209" s="588"/>
      <c r="H209" s="588"/>
      <c r="I209" s="588"/>
    </row>
    <row r="210" spans="1:9">
      <c r="A210" s="588"/>
      <c r="B210" s="588"/>
      <c r="C210" s="588"/>
      <c r="D210" s="588"/>
      <c r="E210" s="588"/>
      <c r="F210" s="588"/>
      <c r="G210" s="588"/>
      <c r="H210" s="588"/>
      <c r="I210" s="588"/>
    </row>
    <row r="211" spans="1:9">
      <c r="A211" s="588"/>
      <c r="B211" s="588"/>
      <c r="C211" s="588"/>
      <c r="D211" s="588"/>
      <c r="E211" s="588"/>
      <c r="F211" s="588"/>
      <c r="G211" s="588"/>
      <c r="H211" s="588"/>
      <c r="I211" s="588"/>
    </row>
    <row r="212" spans="1:9">
      <c r="A212" s="588"/>
      <c r="B212" s="588"/>
      <c r="C212" s="588"/>
      <c r="D212" s="588"/>
      <c r="E212" s="588"/>
      <c r="F212" s="588"/>
      <c r="G212" s="588"/>
      <c r="H212" s="588"/>
      <c r="I212" s="588"/>
    </row>
    <row r="213" spans="1:9">
      <c r="A213" s="588"/>
      <c r="B213" s="588"/>
      <c r="C213" s="588"/>
      <c r="D213" s="588"/>
      <c r="E213" s="588"/>
      <c r="F213" s="588"/>
      <c r="G213" s="588"/>
      <c r="H213" s="588"/>
      <c r="I213" s="588"/>
    </row>
    <row r="214" spans="1:9">
      <c r="A214" s="588"/>
      <c r="B214" s="588"/>
      <c r="C214" s="588"/>
      <c r="D214" s="588"/>
      <c r="E214" s="588"/>
      <c r="F214" s="588"/>
      <c r="G214" s="588"/>
      <c r="H214" s="588"/>
      <c r="I214" s="588"/>
    </row>
    <row r="215" spans="1:9">
      <c r="A215" s="588"/>
      <c r="B215" s="588"/>
      <c r="C215" s="588"/>
      <c r="D215" s="588"/>
      <c r="E215" s="588"/>
      <c r="F215" s="588"/>
      <c r="G215" s="588"/>
      <c r="H215" s="588"/>
      <c r="I215" s="588"/>
    </row>
    <row r="216" spans="1:9">
      <c r="A216" s="588"/>
      <c r="B216" s="588"/>
      <c r="C216" s="588"/>
      <c r="D216" s="588"/>
      <c r="E216" s="588"/>
      <c r="F216" s="588"/>
      <c r="G216" s="588"/>
      <c r="H216" s="588"/>
      <c r="I216" s="588"/>
    </row>
    <row r="217" spans="1:9">
      <c r="A217" s="588"/>
      <c r="B217" s="588"/>
      <c r="C217" s="588"/>
      <c r="D217" s="588"/>
      <c r="E217" s="588"/>
      <c r="F217" s="588"/>
      <c r="G217" s="588"/>
      <c r="H217" s="588"/>
      <c r="I217" s="588"/>
    </row>
    <row r="218" spans="1:9">
      <c r="A218" s="588"/>
      <c r="B218" s="588"/>
      <c r="C218" s="588"/>
      <c r="D218" s="588"/>
      <c r="E218" s="588"/>
      <c r="F218" s="588"/>
      <c r="G218" s="588"/>
      <c r="H218" s="588"/>
      <c r="I218" s="588"/>
    </row>
    <row r="219" spans="1:9">
      <c r="A219" s="588"/>
      <c r="B219" s="588"/>
      <c r="C219" s="588"/>
      <c r="D219" s="588"/>
      <c r="E219" s="588"/>
      <c r="F219" s="588"/>
      <c r="G219" s="588"/>
      <c r="H219" s="588"/>
      <c r="I219" s="588"/>
    </row>
    <row r="220" spans="1:9">
      <c r="A220" s="588"/>
      <c r="B220" s="588"/>
      <c r="C220" s="588"/>
      <c r="D220" s="588"/>
      <c r="E220" s="588"/>
      <c r="F220" s="588"/>
      <c r="G220" s="588"/>
      <c r="H220" s="588"/>
      <c r="I220" s="588"/>
    </row>
    <row r="221" spans="1:9">
      <c r="A221" s="588"/>
      <c r="B221" s="588"/>
      <c r="C221" s="588"/>
      <c r="D221" s="588"/>
      <c r="E221" s="588"/>
      <c r="F221" s="588"/>
      <c r="G221" s="588"/>
      <c r="H221" s="588"/>
      <c r="I221" s="588"/>
    </row>
    <row r="222" spans="1:9">
      <c r="A222" s="588"/>
      <c r="B222" s="588"/>
      <c r="C222" s="588"/>
      <c r="D222" s="588"/>
      <c r="E222" s="588"/>
      <c r="F222" s="588"/>
      <c r="G222" s="588"/>
      <c r="H222" s="588"/>
      <c r="I222" s="588"/>
    </row>
    <row r="223" spans="1:9">
      <c r="A223" s="588"/>
      <c r="B223" s="588"/>
      <c r="C223" s="588"/>
      <c r="D223" s="588"/>
      <c r="E223" s="588"/>
      <c r="F223" s="588"/>
      <c r="G223" s="588"/>
      <c r="H223" s="588"/>
      <c r="I223" s="588"/>
    </row>
    <row r="224" spans="1:9">
      <c r="A224" s="588"/>
      <c r="B224" s="588"/>
      <c r="C224" s="588"/>
      <c r="D224" s="588"/>
      <c r="E224" s="588"/>
      <c r="F224" s="588"/>
      <c r="G224" s="588"/>
      <c r="H224" s="588"/>
      <c r="I224" s="588"/>
    </row>
    <row r="225" spans="1:9">
      <c r="A225" s="588"/>
      <c r="B225" s="588"/>
      <c r="C225" s="588"/>
      <c r="D225" s="588"/>
      <c r="E225" s="588"/>
      <c r="F225" s="588"/>
      <c r="G225" s="588"/>
      <c r="H225" s="588"/>
      <c r="I225" s="588"/>
    </row>
    <row r="226" spans="1:9">
      <c r="A226" s="588"/>
      <c r="B226" s="588"/>
      <c r="C226" s="588"/>
      <c r="D226" s="588"/>
      <c r="E226" s="588"/>
      <c r="F226" s="588"/>
      <c r="G226" s="588"/>
      <c r="H226" s="588"/>
      <c r="I226" s="588"/>
    </row>
    <row r="227" spans="1:9">
      <c r="A227" s="588"/>
      <c r="B227" s="588"/>
      <c r="C227" s="588"/>
      <c r="D227" s="588"/>
      <c r="E227" s="588"/>
      <c r="F227" s="588"/>
      <c r="G227" s="588"/>
      <c r="H227" s="588"/>
      <c r="I227" s="588"/>
    </row>
    <row r="228" spans="1:9">
      <c r="A228" s="588"/>
      <c r="B228" s="588"/>
      <c r="C228" s="588"/>
      <c r="D228" s="588"/>
      <c r="E228" s="588"/>
      <c r="F228" s="588"/>
      <c r="G228" s="588"/>
      <c r="H228" s="588"/>
      <c r="I228" s="588"/>
    </row>
    <row r="229" spans="1:9">
      <c r="A229" s="588"/>
      <c r="B229" s="588"/>
      <c r="C229" s="588"/>
      <c r="D229" s="588"/>
      <c r="E229" s="588"/>
      <c r="F229" s="588"/>
      <c r="G229" s="588"/>
      <c r="H229" s="588"/>
      <c r="I229" s="588"/>
    </row>
    <row r="230" spans="1:9">
      <c r="A230" s="588"/>
      <c r="B230" s="588"/>
      <c r="C230" s="588"/>
      <c r="D230" s="588"/>
      <c r="E230" s="588"/>
      <c r="F230" s="588"/>
      <c r="G230" s="588"/>
      <c r="H230" s="588"/>
      <c r="I230" s="588"/>
    </row>
    <row r="231" spans="1:9">
      <c r="A231" s="588"/>
      <c r="B231" s="588"/>
      <c r="C231" s="588"/>
      <c r="D231" s="588"/>
      <c r="E231" s="588"/>
      <c r="F231" s="588"/>
      <c r="G231" s="588"/>
      <c r="H231" s="588"/>
      <c r="I231" s="588"/>
    </row>
    <row r="232" spans="1:9">
      <c r="A232" s="588"/>
      <c r="B232" s="588"/>
      <c r="C232" s="588"/>
      <c r="D232" s="588"/>
      <c r="E232" s="588"/>
      <c r="F232" s="588"/>
      <c r="G232" s="588"/>
      <c r="H232" s="588"/>
      <c r="I232" s="588"/>
    </row>
    <row r="233" spans="1:9">
      <c r="A233" s="588"/>
      <c r="B233" s="588"/>
      <c r="C233" s="588"/>
      <c r="D233" s="588"/>
      <c r="E233" s="588"/>
      <c r="F233" s="588"/>
      <c r="G233" s="588"/>
      <c r="H233" s="588"/>
      <c r="I233" s="588"/>
    </row>
    <row r="234" spans="1:9">
      <c r="A234" s="588"/>
      <c r="B234" s="588"/>
      <c r="C234" s="588"/>
      <c r="D234" s="588"/>
      <c r="E234" s="588"/>
      <c r="F234" s="588"/>
      <c r="G234" s="588"/>
      <c r="H234" s="588"/>
      <c r="I234" s="588"/>
    </row>
    <row r="235" spans="1:9">
      <c r="A235" s="588"/>
      <c r="B235" s="588"/>
      <c r="C235" s="588"/>
      <c r="D235" s="588"/>
      <c r="E235" s="588"/>
      <c r="F235" s="588"/>
      <c r="G235" s="588"/>
      <c r="H235" s="588"/>
      <c r="I235" s="588"/>
    </row>
    <row r="236" spans="1:9">
      <c r="A236" s="588"/>
      <c r="B236" s="588"/>
      <c r="C236" s="588"/>
      <c r="D236" s="588"/>
      <c r="E236" s="588"/>
      <c r="F236" s="588"/>
      <c r="G236" s="588"/>
      <c r="H236" s="588"/>
      <c r="I236" s="588"/>
    </row>
    <row r="237" spans="1:9">
      <c r="A237" s="588"/>
      <c r="B237" s="588"/>
      <c r="C237" s="588"/>
      <c r="D237" s="588"/>
      <c r="E237" s="588"/>
      <c r="F237" s="588"/>
      <c r="G237" s="588"/>
      <c r="H237" s="588"/>
      <c r="I237" s="588"/>
    </row>
    <row r="238" spans="1:9">
      <c r="A238" s="588"/>
      <c r="B238" s="588"/>
      <c r="C238" s="588"/>
      <c r="D238" s="588"/>
      <c r="E238" s="588"/>
      <c r="F238" s="588"/>
      <c r="G238" s="588"/>
      <c r="H238" s="588"/>
      <c r="I238" s="588"/>
    </row>
    <row r="239" spans="1:9">
      <c r="A239" s="588"/>
      <c r="B239" s="588"/>
      <c r="C239" s="588"/>
      <c r="D239" s="588"/>
      <c r="E239" s="588"/>
      <c r="F239" s="588"/>
      <c r="G239" s="588"/>
      <c r="H239" s="588"/>
      <c r="I239" s="588"/>
    </row>
    <row r="240" spans="1:9">
      <c r="A240" s="588"/>
      <c r="B240" s="588"/>
      <c r="C240" s="588"/>
      <c r="D240" s="588"/>
      <c r="E240" s="588"/>
      <c r="F240" s="588"/>
      <c r="G240" s="588"/>
      <c r="H240" s="588"/>
      <c r="I240" s="588"/>
    </row>
    <row r="241" spans="1:9">
      <c r="A241" s="588"/>
      <c r="B241" s="588"/>
      <c r="C241" s="588"/>
      <c r="D241" s="588"/>
      <c r="E241" s="588"/>
      <c r="F241" s="588"/>
      <c r="G241" s="588"/>
      <c r="H241" s="588"/>
      <c r="I241" s="588"/>
    </row>
    <row r="242" spans="1:9">
      <c r="A242" s="588"/>
      <c r="B242" s="588"/>
      <c r="C242" s="588"/>
      <c r="D242" s="588"/>
      <c r="E242" s="588"/>
      <c r="F242" s="588"/>
      <c r="G242" s="588"/>
      <c r="H242" s="588"/>
      <c r="I242" s="588"/>
    </row>
    <row r="243" spans="1:9">
      <c r="A243" s="588"/>
      <c r="B243" s="588"/>
      <c r="C243" s="588"/>
      <c r="D243" s="588"/>
      <c r="E243" s="588"/>
      <c r="F243" s="588"/>
      <c r="G243" s="588"/>
      <c r="H243" s="588"/>
      <c r="I243" s="588"/>
    </row>
    <row r="244" spans="1:9">
      <c r="A244" s="588"/>
      <c r="B244" s="588"/>
      <c r="C244" s="588"/>
      <c r="D244" s="588"/>
      <c r="E244" s="588"/>
      <c r="F244" s="588"/>
      <c r="G244" s="588"/>
      <c r="H244" s="588"/>
      <c r="I244" s="588"/>
    </row>
    <row r="245" spans="1:9">
      <c r="A245" s="588"/>
      <c r="B245" s="588"/>
      <c r="C245" s="588"/>
      <c r="D245" s="588"/>
      <c r="E245" s="588"/>
      <c r="F245" s="588"/>
      <c r="G245" s="588"/>
      <c r="H245" s="588"/>
      <c r="I245" s="588"/>
    </row>
    <row r="246" spans="1:9">
      <c r="A246" s="588"/>
      <c r="B246" s="588"/>
      <c r="C246" s="588"/>
      <c r="D246" s="588"/>
      <c r="E246" s="588"/>
      <c r="F246" s="588"/>
      <c r="G246" s="588"/>
      <c r="H246" s="588"/>
      <c r="I246" s="588"/>
    </row>
    <row r="247" spans="1:9">
      <c r="A247" s="588"/>
      <c r="B247" s="588"/>
      <c r="C247" s="588"/>
      <c r="D247" s="588"/>
      <c r="E247" s="588"/>
      <c r="F247" s="588"/>
      <c r="G247" s="588"/>
      <c r="H247" s="588"/>
      <c r="I247" s="588"/>
    </row>
    <row r="248" spans="1:9">
      <c r="A248" s="588"/>
      <c r="B248" s="588"/>
      <c r="C248" s="588"/>
      <c r="D248" s="588"/>
      <c r="E248" s="588"/>
      <c r="F248" s="588"/>
      <c r="G248" s="588"/>
      <c r="H248" s="588"/>
      <c r="I248" s="588"/>
    </row>
    <row r="249" spans="1:9">
      <c r="A249" s="588"/>
      <c r="B249" s="588"/>
      <c r="C249" s="588"/>
      <c r="D249" s="588"/>
      <c r="E249" s="588"/>
      <c r="F249" s="588"/>
      <c r="G249" s="588"/>
      <c r="H249" s="588"/>
      <c r="I249" s="588"/>
    </row>
    <row r="250" spans="1:9">
      <c r="A250" s="588"/>
      <c r="B250" s="588"/>
      <c r="C250" s="588"/>
      <c r="D250" s="588"/>
      <c r="E250" s="588"/>
      <c r="F250" s="588"/>
      <c r="G250" s="588"/>
      <c r="H250" s="588"/>
      <c r="I250" s="588"/>
    </row>
    <row r="251" spans="1:9">
      <c r="A251" s="588"/>
      <c r="B251" s="588"/>
      <c r="C251" s="588"/>
      <c r="D251" s="588"/>
      <c r="E251" s="588"/>
      <c r="F251" s="588"/>
      <c r="G251" s="588"/>
      <c r="H251" s="588"/>
      <c r="I251" s="588"/>
    </row>
    <row r="252" spans="1:9">
      <c r="A252" s="588"/>
      <c r="B252" s="588"/>
      <c r="C252" s="588"/>
      <c r="D252" s="588"/>
      <c r="E252" s="588"/>
      <c r="F252" s="588"/>
      <c r="G252" s="588"/>
      <c r="H252" s="588"/>
      <c r="I252" s="588"/>
    </row>
    <row r="253" spans="1:9">
      <c r="A253" s="588"/>
      <c r="B253" s="588"/>
      <c r="C253" s="588"/>
      <c r="D253" s="588"/>
      <c r="E253" s="588"/>
      <c r="F253" s="588"/>
      <c r="G253" s="588"/>
      <c r="H253" s="588"/>
      <c r="I253" s="588"/>
    </row>
    <row r="254" spans="1:9">
      <c r="A254" s="588"/>
      <c r="B254" s="588"/>
      <c r="C254" s="588"/>
      <c r="D254" s="588"/>
      <c r="E254" s="588"/>
      <c r="F254" s="588"/>
      <c r="G254" s="588"/>
      <c r="H254" s="588"/>
      <c r="I254" s="588"/>
    </row>
    <row r="255" spans="1:9">
      <c r="A255" s="588"/>
      <c r="B255" s="588"/>
      <c r="C255" s="588"/>
      <c r="D255" s="588"/>
      <c r="E255" s="588"/>
      <c r="F255" s="588"/>
      <c r="G255" s="588"/>
      <c r="H255" s="588"/>
      <c r="I255" s="588"/>
    </row>
    <row r="256" spans="1:9">
      <c r="A256" s="588"/>
      <c r="B256" s="588"/>
      <c r="C256" s="588"/>
      <c r="D256" s="588"/>
      <c r="E256" s="588"/>
      <c r="F256" s="588"/>
      <c r="G256" s="588"/>
      <c r="H256" s="588"/>
      <c r="I256" s="588"/>
    </row>
    <row r="257" spans="1:9">
      <c r="A257" s="588"/>
      <c r="B257" s="588"/>
      <c r="C257" s="588"/>
      <c r="D257" s="588"/>
      <c r="E257" s="588"/>
      <c r="F257" s="588"/>
      <c r="G257" s="588"/>
      <c r="H257" s="588"/>
      <c r="I257" s="588"/>
    </row>
    <row r="258" spans="1:9">
      <c r="A258" s="588"/>
      <c r="B258" s="588"/>
      <c r="C258" s="588"/>
      <c r="D258" s="588"/>
      <c r="E258" s="588"/>
      <c r="F258" s="588"/>
      <c r="G258" s="588"/>
      <c r="H258" s="588"/>
      <c r="I258" s="588"/>
    </row>
    <row r="259" spans="1:9">
      <c r="A259" s="588"/>
      <c r="B259" s="588"/>
      <c r="C259" s="588"/>
      <c r="D259" s="588"/>
      <c r="E259" s="588"/>
      <c r="F259" s="588"/>
      <c r="G259" s="588"/>
      <c r="H259" s="588"/>
      <c r="I259" s="588"/>
    </row>
    <row r="260" spans="1:9">
      <c r="A260" s="588"/>
      <c r="B260" s="588"/>
      <c r="C260" s="588"/>
      <c r="D260" s="588"/>
      <c r="E260" s="588"/>
      <c r="F260" s="588"/>
      <c r="G260" s="588"/>
      <c r="H260" s="588"/>
      <c r="I260" s="588"/>
    </row>
    <row r="261" spans="1:9">
      <c r="A261" s="588"/>
      <c r="B261" s="588"/>
      <c r="C261" s="588"/>
      <c r="D261" s="588"/>
      <c r="E261" s="588"/>
      <c r="F261" s="588"/>
      <c r="G261" s="588"/>
      <c r="H261" s="588"/>
      <c r="I261" s="588"/>
    </row>
    <row r="262" spans="1:9">
      <c r="A262" s="588"/>
      <c r="B262" s="588"/>
      <c r="C262" s="588"/>
      <c r="D262" s="588"/>
      <c r="E262" s="588"/>
      <c r="F262" s="588"/>
      <c r="G262" s="588"/>
      <c r="H262" s="588"/>
      <c r="I262" s="588"/>
    </row>
    <row r="263" spans="1:9">
      <c r="A263" s="588"/>
      <c r="B263" s="588"/>
      <c r="C263" s="588"/>
      <c r="D263" s="588"/>
      <c r="E263" s="588"/>
      <c r="F263" s="588"/>
      <c r="G263" s="588"/>
      <c r="H263" s="588"/>
      <c r="I263" s="588"/>
    </row>
    <row r="264" spans="1:9">
      <c r="A264" s="588"/>
      <c r="B264" s="588"/>
      <c r="C264" s="588"/>
      <c r="D264" s="588"/>
      <c r="E264" s="588"/>
      <c r="F264" s="588"/>
      <c r="G264" s="588"/>
      <c r="H264" s="588"/>
      <c r="I264" s="588"/>
    </row>
    <row r="265" spans="1:9">
      <c r="A265" s="588"/>
      <c r="B265" s="588"/>
      <c r="C265" s="588"/>
      <c r="D265" s="588"/>
      <c r="E265" s="588"/>
      <c r="F265" s="588"/>
      <c r="G265" s="588"/>
      <c r="H265" s="588"/>
      <c r="I265" s="588"/>
    </row>
    <row r="266" spans="1:9">
      <c r="A266" s="588"/>
      <c r="B266" s="588"/>
      <c r="C266" s="588"/>
      <c r="D266" s="588"/>
      <c r="E266" s="588"/>
      <c r="F266" s="588"/>
      <c r="G266" s="588"/>
      <c r="H266" s="588"/>
      <c r="I266" s="588"/>
    </row>
    <row r="267" spans="1:9">
      <c r="A267" s="588"/>
      <c r="B267" s="588"/>
      <c r="C267" s="588"/>
      <c r="D267" s="588"/>
      <c r="E267" s="588"/>
      <c r="F267" s="588"/>
      <c r="G267" s="588"/>
      <c r="H267" s="588"/>
      <c r="I267" s="588"/>
    </row>
    <row r="268" spans="1:9">
      <c r="A268" s="588"/>
      <c r="B268" s="588"/>
      <c r="C268" s="588"/>
      <c r="D268" s="588"/>
      <c r="E268" s="588"/>
      <c r="F268" s="588"/>
      <c r="G268" s="588"/>
      <c r="H268" s="588"/>
      <c r="I268" s="588"/>
    </row>
    <row r="269" spans="1:9">
      <c r="A269" s="588"/>
      <c r="B269" s="588"/>
      <c r="C269" s="588"/>
      <c r="D269" s="588"/>
      <c r="E269" s="588"/>
      <c r="F269" s="588"/>
      <c r="G269" s="588"/>
      <c r="H269" s="588"/>
      <c r="I269" s="588"/>
    </row>
    <row r="270" spans="1:9">
      <c r="A270" s="588"/>
      <c r="B270" s="588"/>
      <c r="C270" s="588"/>
      <c r="D270" s="588"/>
      <c r="E270" s="588"/>
      <c r="F270" s="588"/>
      <c r="G270" s="588"/>
      <c r="H270" s="588"/>
      <c r="I270" s="588"/>
    </row>
    <row r="271" spans="1:9">
      <c r="A271" s="588"/>
      <c r="B271" s="588"/>
      <c r="C271" s="588"/>
      <c r="D271" s="588"/>
      <c r="E271" s="588"/>
      <c r="F271" s="588"/>
      <c r="G271" s="588"/>
      <c r="H271" s="588"/>
      <c r="I271" s="588"/>
    </row>
    <row r="272" spans="1:9">
      <c r="A272" s="588"/>
      <c r="B272" s="588"/>
      <c r="C272" s="588"/>
      <c r="D272" s="588"/>
      <c r="E272" s="588"/>
      <c r="F272" s="588"/>
      <c r="G272" s="588"/>
      <c r="H272" s="588"/>
      <c r="I272" s="588"/>
    </row>
    <row r="273" spans="1:9">
      <c r="A273" s="588"/>
      <c r="B273" s="588"/>
      <c r="C273" s="588"/>
      <c r="D273" s="588"/>
      <c r="E273" s="588"/>
      <c r="F273" s="588"/>
      <c r="G273" s="588"/>
      <c r="H273" s="588"/>
      <c r="I273" s="588"/>
    </row>
    <row r="274" spans="1:9">
      <c r="A274" s="588"/>
      <c r="B274" s="588"/>
      <c r="C274" s="588"/>
      <c r="D274" s="588"/>
      <c r="E274" s="588"/>
      <c r="F274" s="588"/>
      <c r="G274" s="588"/>
      <c r="H274" s="588"/>
      <c r="I274" s="588"/>
    </row>
    <row r="275" spans="1:9">
      <c r="A275" s="588"/>
      <c r="B275" s="588"/>
      <c r="C275" s="588"/>
      <c r="D275" s="588"/>
      <c r="E275" s="588"/>
      <c r="F275" s="588"/>
      <c r="G275" s="588"/>
      <c r="H275" s="588"/>
      <c r="I275" s="588"/>
    </row>
    <row r="276" spans="1:9">
      <c r="A276" s="588"/>
      <c r="B276" s="588"/>
      <c r="C276" s="588"/>
      <c r="D276" s="588"/>
      <c r="E276" s="588"/>
      <c r="F276" s="588"/>
      <c r="G276" s="588"/>
      <c r="H276" s="588"/>
      <c r="I276" s="588"/>
    </row>
    <row r="277" spans="1:9">
      <c r="A277" s="588"/>
      <c r="B277" s="588"/>
      <c r="C277" s="588"/>
      <c r="D277" s="588"/>
      <c r="E277" s="588"/>
      <c r="F277" s="588"/>
      <c r="G277" s="588"/>
      <c r="H277" s="588"/>
      <c r="I277" s="588"/>
    </row>
    <row r="278" spans="1:9">
      <c r="A278" s="588"/>
      <c r="B278" s="588"/>
      <c r="C278" s="588"/>
      <c r="D278" s="588"/>
      <c r="E278" s="588"/>
      <c r="F278" s="588"/>
      <c r="G278" s="588"/>
      <c r="H278" s="588"/>
      <c r="I278" s="588"/>
    </row>
    <row r="279" spans="1:9">
      <c r="A279" s="588"/>
      <c r="B279" s="588"/>
      <c r="C279" s="588"/>
      <c r="D279" s="588"/>
      <c r="E279" s="588"/>
      <c r="F279" s="588"/>
      <c r="G279" s="588"/>
      <c r="H279" s="588"/>
      <c r="I279" s="588"/>
    </row>
    <row r="280" spans="1:9">
      <c r="A280" s="588"/>
      <c r="B280" s="588"/>
      <c r="C280" s="588"/>
      <c r="D280" s="588"/>
      <c r="E280" s="588"/>
      <c r="F280" s="588"/>
      <c r="G280" s="588"/>
      <c r="H280" s="588"/>
      <c r="I280" s="588"/>
    </row>
    <row r="281" spans="1:9">
      <c r="A281" s="588"/>
      <c r="B281" s="588"/>
      <c r="C281" s="588"/>
      <c r="D281" s="588"/>
      <c r="E281" s="588"/>
      <c r="F281" s="588"/>
      <c r="G281" s="588"/>
      <c r="H281" s="588"/>
      <c r="I281" s="588"/>
    </row>
    <row r="282" spans="1:9">
      <c r="A282" s="588"/>
      <c r="B282" s="588"/>
      <c r="C282" s="588"/>
      <c r="D282" s="588"/>
      <c r="E282" s="588"/>
      <c r="F282" s="588"/>
      <c r="G282" s="588"/>
      <c r="H282" s="588"/>
      <c r="I282" s="588"/>
    </row>
    <row r="283" spans="1:9">
      <c r="A283" s="588"/>
      <c r="B283" s="588"/>
      <c r="C283" s="588"/>
      <c r="D283" s="588"/>
      <c r="E283" s="588"/>
      <c r="F283" s="588"/>
      <c r="G283" s="588"/>
      <c r="H283" s="588"/>
      <c r="I283" s="588"/>
    </row>
    <row r="284" spans="1:9">
      <c r="A284" s="588"/>
      <c r="B284" s="588"/>
      <c r="C284" s="588"/>
      <c r="D284" s="588"/>
      <c r="E284" s="588"/>
      <c r="F284" s="588"/>
      <c r="G284" s="588"/>
      <c r="H284" s="588"/>
      <c r="I284" s="588"/>
    </row>
    <row r="285" spans="1:9">
      <c r="A285" s="588"/>
      <c r="B285" s="588"/>
      <c r="C285" s="588"/>
      <c r="D285" s="588"/>
      <c r="E285" s="588"/>
      <c r="F285" s="588"/>
      <c r="G285" s="588"/>
      <c r="H285" s="588"/>
      <c r="I285" s="588"/>
    </row>
    <row r="286" spans="1:9">
      <c r="A286" s="588"/>
      <c r="B286" s="588"/>
      <c r="C286" s="588"/>
      <c r="D286" s="588"/>
      <c r="E286" s="588"/>
      <c r="F286" s="588"/>
      <c r="G286" s="588"/>
      <c r="H286" s="588"/>
      <c r="I286" s="588"/>
    </row>
    <row r="287" spans="1:9">
      <c r="A287" s="588"/>
      <c r="B287" s="588"/>
      <c r="C287" s="588"/>
      <c r="D287" s="588"/>
      <c r="E287" s="588"/>
      <c r="F287" s="588"/>
      <c r="G287" s="588"/>
      <c r="H287" s="588"/>
      <c r="I287" s="588"/>
    </row>
    <row r="288" spans="1:9">
      <c r="A288" s="588"/>
      <c r="B288" s="588"/>
      <c r="C288" s="588"/>
      <c r="D288" s="588"/>
      <c r="E288" s="588"/>
      <c r="F288" s="588"/>
      <c r="G288" s="588"/>
      <c r="H288" s="588"/>
      <c r="I288" s="588"/>
    </row>
    <row r="289" spans="1:9">
      <c r="A289" s="588"/>
      <c r="B289" s="588"/>
      <c r="C289" s="588"/>
      <c r="D289" s="588"/>
      <c r="E289" s="588"/>
      <c r="F289" s="588"/>
      <c r="G289" s="588"/>
      <c r="H289" s="588"/>
      <c r="I289" s="588"/>
    </row>
    <row r="290" spans="1:9">
      <c r="A290" s="588"/>
      <c r="B290" s="588"/>
      <c r="C290" s="588"/>
      <c r="D290" s="588"/>
      <c r="E290" s="588"/>
      <c r="F290" s="588"/>
      <c r="G290" s="588"/>
      <c r="H290" s="588"/>
      <c r="I290" s="588"/>
    </row>
    <row r="291" spans="1:9">
      <c r="A291" s="588"/>
      <c r="B291" s="588"/>
      <c r="C291" s="588"/>
      <c r="D291" s="588"/>
      <c r="E291" s="588"/>
      <c r="F291" s="588"/>
      <c r="G291" s="588"/>
      <c r="H291" s="588"/>
      <c r="I291" s="588"/>
    </row>
    <row r="292" spans="1:9">
      <c r="A292" s="588"/>
      <c r="B292" s="588"/>
      <c r="C292" s="588"/>
      <c r="D292" s="588"/>
      <c r="E292" s="588"/>
      <c r="F292" s="588"/>
      <c r="G292" s="588"/>
      <c r="H292" s="588"/>
      <c r="I292" s="588"/>
    </row>
    <row r="293" spans="1:9">
      <c r="A293" s="588"/>
      <c r="B293" s="588"/>
      <c r="C293" s="588"/>
      <c r="D293" s="588"/>
      <c r="E293" s="588"/>
      <c r="F293" s="588"/>
      <c r="G293" s="588"/>
      <c r="H293" s="588"/>
      <c r="I293" s="588"/>
    </row>
    <row r="294" spans="1:9">
      <c r="A294" s="588"/>
      <c r="B294" s="588"/>
      <c r="C294" s="588"/>
      <c r="D294" s="588"/>
      <c r="E294" s="588"/>
      <c r="F294" s="588"/>
      <c r="G294" s="588"/>
      <c r="H294" s="588"/>
      <c r="I294" s="588"/>
    </row>
    <row r="295" spans="1:9">
      <c r="A295" s="588"/>
      <c r="B295" s="588"/>
      <c r="C295" s="588"/>
      <c r="D295" s="588"/>
      <c r="E295" s="588"/>
      <c r="F295" s="588"/>
      <c r="G295" s="588"/>
      <c r="H295" s="588"/>
      <c r="I295" s="588"/>
    </row>
    <row r="296" spans="1:9">
      <c r="A296" s="588"/>
      <c r="B296" s="588"/>
      <c r="C296" s="588"/>
      <c r="D296" s="588"/>
      <c r="E296" s="588"/>
      <c r="F296" s="588"/>
      <c r="G296" s="588"/>
      <c r="H296" s="588"/>
      <c r="I296" s="588"/>
    </row>
    <row r="297" spans="1:9">
      <c r="A297" s="588"/>
      <c r="B297" s="588"/>
      <c r="C297" s="588"/>
      <c r="D297" s="588"/>
      <c r="E297" s="588"/>
      <c r="F297" s="588"/>
      <c r="G297" s="588"/>
      <c r="H297" s="588"/>
      <c r="I297" s="588"/>
    </row>
    <row r="298" spans="1:9">
      <c r="A298" s="588"/>
      <c r="B298" s="588"/>
      <c r="C298" s="588"/>
      <c r="D298" s="588"/>
      <c r="E298" s="588"/>
      <c r="F298" s="588"/>
      <c r="G298" s="588"/>
      <c r="H298" s="588"/>
      <c r="I298" s="588"/>
    </row>
    <row r="299" spans="1:9">
      <c r="A299" s="588"/>
      <c r="B299" s="588"/>
      <c r="C299" s="588"/>
      <c r="D299" s="588"/>
      <c r="E299" s="588"/>
      <c r="F299" s="588"/>
      <c r="G299" s="588"/>
      <c r="H299" s="588"/>
      <c r="I299" s="588"/>
    </row>
    <row r="300" spans="1:9">
      <c r="A300" s="588"/>
      <c r="B300" s="588"/>
      <c r="C300" s="588"/>
      <c r="D300" s="588"/>
      <c r="E300" s="588"/>
      <c r="F300" s="588"/>
      <c r="G300" s="588"/>
      <c r="H300" s="588"/>
      <c r="I300" s="588"/>
    </row>
    <row r="301" spans="1:9">
      <c r="A301" s="588"/>
      <c r="B301" s="588"/>
      <c r="C301" s="588"/>
      <c r="D301" s="588"/>
      <c r="E301" s="588"/>
      <c r="F301" s="588"/>
      <c r="G301" s="588"/>
      <c r="H301" s="588"/>
      <c r="I301" s="588"/>
    </row>
    <row r="302" spans="1:9">
      <c r="A302" s="588"/>
      <c r="B302" s="588"/>
      <c r="C302" s="588"/>
      <c r="D302" s="588"/>
      <c r="E302" s="588"/>
      <c r="F302" s="588"/>
      <c r="G302" s="588"/>
      <c r="H302" s="588"/>
      <c r="I302" s="588"/>
    </row>
    <row r="303" spans="1:9">
      <c r="A303" s="588"/>
      <c r="B303" s="588"/>
      <c r="C303" s="588"/>
      <c r="D303" s="588"/>
      <c r="E303" s="588"/>
      <c r="F303" s="588"/>
      <c r="G303" s="588"/>
      <c r="H303" s="588"/>
      <c r="I303" s="588"/>
    </row>
    <row r="304" spans="1:9">
      <c r="A304" s="588"/>
      <c r="B304" s="588"/>
      <c r="C304" s="588"/>
      <c r="D304" s="588"/>
      <c r="E304" s="588"/>
      <c r="F304" s="588"/>
      <c r="G304" s="588"/>
      <c r="H304" s="588"/>
      <c r="I304" s="588"/>
    </row>
    <row r="305" spans="1:9">
      <c r="A305" s="588"/>
      <c r="B305" s="588"/>
      <c r="C305" s="588"/>
      <c r="D305" s="588"/>
      <c r="E305" s="588"/>
      <c r="F305" s="588"/>
      <c r="G305" s="588"/>
      <c r="H305" s="588"/>
      <c r="I305" s="588"/>
    </row>
    <row r="306" spans="1:9">
      <c r="A306" s="588"/>
      <c r="B306" s="588"/>
      <c r="C306" s="588"/>
      <c r="D306" s="588"/>
      <c r="E306" s="588"/>
      <c r="F306" s="588"/>
      <c r="G306" s="588"/>
      <c r="H306" s="588"/>
      <c r="I306" s="588"/>
    </row>
    <row r="307" spans="1:9">
      <c r="A307" s="588"/>
      <c r="B307" s="588"/>
      <c r="C307" s="588"/>
      <c r="D307" s="588"/>
      <c r="E307" s="588"/>
      <c r="F307" s="588"/>
      <c r="G307" s="588"/>
      <c r="H307" s="588"/>
      <c r="I307" s="588"/>
    </row>
    <row r="308" spans="1:9">
      <c r="A308" s="588"/>
      <c r="B308" s="588"/>
      <c r="C308" s="588"/>
      <c r="D308" s="588"/>
      <c r="E308" s="588"/>
      <c r="F308" s="588"/>
      <c r="G308" s="588"/>
      <c r="H308" s="588"/>
      <c r="I308" s="588"/>
    </row>
    <row r="309" spans="1:9">
      <c r="A309" s="588"/>
      <c r="B309" s="588"/>
      <c r="C309" s="588"/>
      <c r="D309" s="588"/>
      <c r="E309" s="588"/>
      <c r="F309" s="588"/>
      <c r="G309" s="588"/>
      <c r="H309" s="588"/>
      <c r="I309" s="588"/>
    </row>
    <row r="310" spans="1:9">
      <c r="A310" s="588"/>
      <c r="B310" s="588"/>
      <c r="C310" s="588"/>
      <c r="D310" s="588"/>
      <c r="E310" s="588"/>
      <c r="F310" s="588"/>
      <c r="G310" s="588"/>
      <c r="H310" s="588"/>
      <c r="I310" s="588"/>
    </row>
    <row r="311" spans="1:9">
      <c r="A311" s="588"/>
      <c r="B311" s="588"/>
      <c r="C311" s="588"/>
      <c r="D311" s="588"/>
      <c r="E311" s="588"/>
      <c r="F311" s="588"/>
      <c r="G311" s="588"/>
      <c r="H311" s="588"/>
      <c r="I311" s="588"/>
    </row>
    <row r="312" spans="1:9">
      <c r="A312" s="588"/>
      <c r="B312" s="588"/>
      <c r="C312" s="588"/>
      <c r="D312" s="588"/>
      <c r="E312" s="588"/>
      <c r="F312" s="588"/>
      <c r="G312" s="588"/>
      <c r="H312" s="588"/>
      <c r="I312" s="588"/>
    </row>
    <row r="313" spans="1:9">
      <c r="A313" s="588"/>
      <c r="B313" s="588"/>
      <c r="C313" s="588"/>
      <c r="D313" s="588"/>
      <c r="E313" s="588"/>
      <c r="F313" s="588"/>
      <c r="G313" s="588"/>
      <c r="H313" s="588"/>
      <c r="I313" s="588"/>
    </row>
    <row r="314" spans="1:9">
      <c r="A314" s="588"/>
      <c r="B314" s="588"/>
      <c r="C314" s="588"/>
      <c r="D314" s="588"/>
      <c r="E314" s="588"/>
      <c r="F314" s="588"/>
      <c r="G314" s="588"/>
      <c r="H314" s="588"/>
      <c r="I314" s="588"/>
    </row>
    <row r="315" spans="1:9">
      <c r="A315" s="588"/>
      <c r="B315" s="588"/>
      <c r="C315" s="588"/>
      <c r="D315" s="588"/>
      <c r="E315" s="588"/>
      <c r="F315" s="588"/>
      <c r="G315" s="588"/>
      <c r="H315" s="588"/>
      <c r="I315" s="588"/>
    </row>
    <row r="316" spans="1:9">
      <c r="A316" s="588"/>
      <c r="B316" s="588"/>
      <c r="C316" s="588"/>
      <c r="D316" s="588"/>
      <c r="E316" s="588"/>
      <c r="F316" s="588"/>
      <c r="G316" s="588"/>
      <c r="H316" s="588"/>
      <c r="I316" s="588"/>
    </row>
    <row r="317" spans="1:9">
      <c r="A317" s="588"/>
      <c r="B317" s="588"/>
      <c r="C317" s="588"/>
      <c r="D317" s="588"/>
      <c r="E317" s="588"/>
      <c r="F317" s="588"/>
      <c r="G317" s="588"/>
      <c r="H317" s="588"/>
      <c r="I317" s="588"/>
    </row>
    <row r="318" spans="1:9">
      <c r="A318" s="588"/>
      <c r="B318" s="588"/>
      <c r="C318" s="588"/>
      <c r="D318" s="588"/>
      <c r="E318" s="588"/>
      <c r="F318" s="588"/>
      <c r="G318" s="588"/>
      <c r="H318" s="588"/>
      <c r="I318" s="588"/>
    </row>
    <row r="319" spans="1:9">
      <c r="A319" s="588"/>
      <c r="B319" s="588"/>
      <c r="C319" s="588"/>
      <c r="D319" s="588"/>
      <c r="E319" s="588"/>
      <c r="F319" s="588"/>
      <c r="G319" s="588"/>
      <c r="H319" s="588"/>
      <c r="I319" s="588"/>
    </row>
    <row r="320" spans="1:9">
      <c r="A320" s="588"/>
      <c r="B320" s="588"/>
      <c r="C320" s="588"/>
      <c r="D320" s="588"/>
      <c r="E320" s="588"/>
      <c r="F320" s="588"/>
      <c r="G320" s="588"/>
      <c r="H320" s="588"/>
      <c r="I320" s="588"/>
    </row>
    <row r="321" spans="1:9">
      <c r="A321" s="588"/>
      <c r="B321" s="588"/>
      <c r="C321" s="588"/>
      <c r="D321" s="588"/>
      <c r="E321" s="588"/>
      <c r="F321" s="588"/>
      <c r="G321" s="588"/>
      <c r="H321" s="588"/>
      <c r="I321" s="588"/>
    </row>
  </sheetData>
  <pageMargins left="1" right="0.7" top="0.75" bottom="0.75" header="0.3" footer="0.3"/>
  <pageSetup scale="57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44">
    <tabColor theme="7" tint="-0.249977111117893"/>
    <pageSetUpPr fitToPage="1"/>
  </sheetPr>
  <dimension ref="A1:M32"/>
  <sheetViews>
    <sheetView workbookViewId="0"/>
  </sheetViews>
  <sheetFormatPr defaultColWidth="8" defaultRowHeight="13.2"/>
  <cols>
    <col min="1" max="1" width="6.44140625" customWidth="1"/>
    <col min="2" max="2" width="1" customWidth="1"/>
    <col min="3" max="3" width="11.44140625" customWidth="1"/>
    <col min="4" max="4" width="1" customWidth="1"/>
    <col min="5" max="5" width="49" customWidth="1"/>
    <col min="6" max="6" width="2.5546875" customWidth="1"/>
    <col min="7" max="7" width="16.44140625" customWidth="1"/>
    <col min="8" max="8" width="0.5546875" customWidth="1"/>
    <col min="9" max="9" width="17.5546875" customWidth="1"/>
    <col min="10" max="10" width="0.5546875" customWidth="1"/>
    <col min="11" max="11" width="57.5546875" customWidth="1"/>
    <col min="12" max="12" width="6.44140625" customWidth="1"/>
    <col min="13" max="13" width="1.44140625" customWidth="1"/>
    <col min="14" max="14" width="16.44140625" customWidth="1"/>
    <col min="15" max="15" width="63" customWidth="1"/>
    <col min="16" max="16" width="23" customWidth="1"/>
    <col min="17" max="17" width="5.44140625" customWidth="1"/>
    <col min="18" max="18" width="2.5546875" customWidth="1"/>
    <col min="19" max="19" width="22.5546875" customWidth="1"/>
    <col min="20" max="20" width="5.44140625" customWidth="1"/>
    <col min="21" max="21" width="19.44140625" customWidth="1"/>
    <col min="22" max="22" width="16.5546875" customWidth="1"/>
    <col min="23" max="23" width="8.44140625" customWidth="1"/>
    <col min="24" max="24" width="2.44140625" customWidth="1"/>
    <col min="25" max="25" width="8" customWidth="1"/>
    <col min="26" max="26" width="3.5546875" customWidth="1"/>
    <col min="27" max="27" width="46.5546875" customWidth="1"/>
    <col min="28" max="28" width="49.5546875" customWidth="1"/>
    <col min="29" max="29" width="5.44140625" customWidth="1"/>
    <col min="30" max="30" width="44.44140625" customWidth="1"/>
  </cols>
  <sheetData>
    <row r="1" spans="1:13">
      <c r="A1" s="945" t="str">
        <f>COMPANY</f>
        <v>DUKE ENERGY KENTUCKY, INC.</v>
      </c>
      <c r="B1" s="945"/>
      <c r="C1" s="945"/>
      <c r="D1" s="945"/>
      <c r="E1" s="945"/>
      <c r="F1" s="945"/>
      <c r="G1" s="945"/>
      <c r="H1" s="945"/>
      <c r="I1" s="945"/>
      <c r="J1" s="945"/>
      <c r="K1" s="945"/>
      <c r="L1" s="945"/>
      <c r="M1" s="946"/>
    </row>
    <row r="2" spans="1:13">
      <c r="A2" s="945" t="str">
        <f>CASE</f>
        <v>CASE NO. 2024-00354</v>
      </c>
      <c r="B2" s="945"/>
      <c r="C2" s="945"/>
      <c r="D2" s="945"/>
      <c r="E2" s="945"/>
      <c r="F2" s="945"/>
      <c r="G2" s="945"/>
      <c r="H2" s="945"/>
      <c r="I2" s="945"/>
      <c r="J2" s="945"/>
      <c r="K2" s="945"/>
      <c r="L2" s="945"/>
      <c r="M2" s="946"/>
    </row>
    <row r="3" spans="1:13">
      <c r="A3" s="945" t="s">
        <v>2352</v>
      </c>
      <c r="B3" s="945"/>
      <c r="C3" s="945"/>
      <c r="D3" s="945"/>
      <c r="E3" s="945"/>
      <c r="F3" s="945"/>
      <c r="G3" s="945"/>
      <c r="H3" s="945"/>
      <c r="I3" s="945"/>
      <c r="J3" s="945"/>
      <c r="K3" s="945"/>
      <c r="L3" s="945"/>
      <c r="M3" s="946"/>
    </row>
    <row r="4" spans="1:13">
      <c r="A4" s="945" t="s">
        <v>2353</v>
      </c>
      <c r="B4" s="945"/>
      <c r="C4" s="945"/>
      <c r="D4" s="945"/>
      <c r="E4" s="945"/>
      <c r="F4" s="945"/>
      <c r="G4" s="945"/>
      <c r="H4" s="945"/>
      <c r="I4" s="945"/>
      <c r="J4" s="945"/>
      <c r="K4" s="945"/>
      <c r="L4" s="945"/>
      <c r="M4" s="946"/>
    </row>
    <row r="5" spans="1:13">
      <c r="A5" s="945" t="str">
        <f>PeriodF</f>
        <v>FOR THE TWELVE MONTHS ENDED JUNE 30, 2026</v>
      </c>
      <c r="B5" s="945"/>
      <c r="C5" s="945"/>
      <c r="D5" s="945"/>
      <c r="E5" s="945"/>
      <c r="F5" s="945"/>
      <c r="G5" s="945"/>
      <c r="H5" s="945"/>
      <c r="I5" s="945"/>
      <c r="J5" s="945"/>
      <c r="K5" s="945"/>
      <c r="L5" s="945"/>
      <c r="M5" s="946"/>
    </row>
    <row r="6" spans="1:13">
      <c r="A6" s="946"/>
      <c r="B6" s="946"/>
      <c r="C6" s="946"/>
      <c r="D6" s="946"/>
      <c r="E6" s="946"/>
      <c r="F6" s="946"/>
      <c r="G6" s="946"/>
      <c r="H6" s="946"/>
      <c r="I6" s="946"/>
      <c r="J6" s="946"/>
      <c r="K6" s="946"/>
      <c r="L6" s="946"/>
      <c r="M6" s="946"/>
    </row>
    <row r="7" spans="1:13">
      <c r="A7" s="946" t="str">
        <f>DataF</f>
        <v>DATA:  BASE PERIOD  "X" FORECASTED PERIOD</v>
      </c>
      <c r="B7" s="946"/>
      <c r="C7" s="946"/>
      <c r="D7" s="946"/>
      <c r="E7" s="946"/>
      <c r="F7" s="946"/>
      <c r="G7" s="946"/>
      <c r="H7" s="946"/>
      <c r="I7" s="946"/>
      <c r="J7" s="946"/>
      <c r="K7" s="938" t="s">
        <v>2354</v>
      </c>
      <c r="L7" s="946"/>
      <c r="M7" s="946"/>
    </row>
    <row r="8" spans="1:13">
      <c r="A8" s="946" t="str">
        <f>Type</f>
        <v xml:space="preserve">TYPE OF FILING:  "X" ORIGINAL   UPDATED    REVISED  </v>
      </c>
      <c r="B8" s="946"/>
      <c r="C8" s="946"/>
      <c r="D8" s="946"/>
      <c r="E8" s="946"/>
      <c r="F8" s="946"/>
      <c r="G8" s="946"/>
      <c r="H8" s="946"/>
      <c r="I8" s="946"/>
      <c r="J8" s="946"/>
      <c r="K8" s="938" t="s">
        <v>2355</v>
      </c>
      <c r="L8" s="946"/>
      <c r="M8" s="946"/>
    </row>
    <row r="9" spans="1:13">
      <c r="A9" s="938" t="s">
        <v>694</v>
      </c>
      <c r="B9" s="946"/>
      <c r="C9" s="946"/>
      <c r="D9" s="946"/>
      <c r="E9" s="946"/>
      <c r="F9" s="946"/>
      <c r="G9" s="946"/>
      <c r="H9" s="946"/>
      <c r="I9" s="946"/>
      <c r="J9" s="946"/>
      <c r="K9" s="938" t="s">
        <v>2356</v>
      </c>
      <c r="L9" s="946"/>
      <c r="M9" s="946"/>
    </row>
    <row r="10" spans="1:13">
      <c r="A10" s="946"/>
      <c r="B10" s="946"/>
      <c r="C10" s="946"/>
      <c r="D10" s="946"/>
      <c r="E10" s="946"/>
      <c r="F10" s="946"/>
      <c r="G10" s="946"/>
      <c r="H10" s="946"/>
      <c r="I10" s="946"/>
      <c r="J10" s="946"/>
      <c r="K10" s="938" t="str">
        <f>"                       "&amp;_WIT2</f>
        <v xml:space="preserve">                       J. E. ZIOLKOWSKI</v>
      </c>
      <c r="L10" s="946"/>
      <c r="M10" s="946"/>
    </row>
    <row r="11" spans="1:13">
      <c r="A11" s="1536"/>
      <c r="B11" s="1536"/>
      <c r="C11" s="1536"/>
      <c r="D11" s="1536"/>
      <c r="E11" s="1536"/>
      <c r="F11" s="1536"/>
      <c r="G11" s="1536"/>
      <c r="H11" s="1536"/>
      <c r="I11" s="1536"/>
      <c r="J11" s="1536"/>
      <c r="K11" s="1536"/>
      <c r="L11" s="947"/>
      <c r="M11" s="946"/>
    </row>
    <row r="12" spans="1:13">
      <c r="A12" s="946"/>
      <c r="B12" s="946"/>
      <c r="C12" s="946"/>
      <c r="D12" s="946"/>
      <c r="E12" s="946"/>
      <c r="F12" s="946"/>
      <c r="G12" s="946"/>
      <c r="H12" s="946"/>
      <c r="I12" s="946"/>
      <c r="J12" s="948"/>
      <c r="K12" s="948" t="s">
        <v>1239</v>
      </c>
      <c r="L12" s="946"/>
      <c r="M12" s="946"/>
    </row>
    <row r="13" spans="1:13">
      <c r="A13" s="948" t="s">
        <v>471</v>
      </c>
      <c r="B13" s="946"/>
      <c r="C13" s="948" t="s">
        <v>1045</v>
      </c>
      <c r="D13" s="946"/>
      <c r="E13" s="948" t="s">
        <v>1045</v>
      </c>
      <c r="F13" s="946"/>
      <c r="G13" s="948" t="s">
        <v>1008</v>
      </c>
      <c r="H13" s="946"/>
      <c r="I13" s="948" t="s">
        <v>937</v>
      </c>
      <c r="J13" s="948"/>
      <c r="K13" s="948" t="s">
        <v>1240</v>
      </c>
      <c r="L13" s="946"/>
      <c r="M13" s="946"/>
    </row>
    <row r="14" spans="1:13">
      <c r="A14" s="948" t="s">
        <v>475</v>
      </c>
      <c r="B14" s="946"/>
      <c r="C14" s="948" t="s">
        <v>941</v>
      </c>
      <c r="D14" s="946"/>
      <c r="E14" s="948" t="s">
        <v>1241</v>
      </c>
      <c r="F14" s="946"/>
      <c r="G14" s="948" t="s">
        <v>1012</v>
      </c>
      <c r="H14" s="946"/>
      <c r="I14" s="948" t="s">
        <v>2357</v>
      </c>
      <c r="J14" s="948"/>
      <c r="K14" s="948" t="s">
        <v>1008</v>
      </c>
      <c r="L14" s="946"/>
      <c r="M14" s="946"/>
    </row>
    <row r="15" spans="1:13">
      <c r="A15" s="1536"/>
      <c r="B15" s="1536"/>
      <c r="C15" s="1536"/>
      <c r="D15" s="1536"/>
      <c r="E15" s="1536"/>
      <c r="F15" s="1536"/>
      <c r="G15" s="1536"/>
      <c r="H15" s="1536"/>
      <c r="I15" s="1536"/>
      <c r="J15" s="1536"/>
      <c r="K15" s="1536"/>
      <c r="L15" s="947"/>
      <c r="M15" s="946"/>
    </row>
    <row r="16" spans="1:13">
      <c r="A16" s="582"/>
      <c r="B16" s="946"/>
      <c r="C16" s="948"/>
      <c r="D16" s="946"/>
      <c r="E16" s="948"/>
      <c r="F16" s="946"/>
      <c r="G16" s="948"/>
      <c r="H16" s="946"/>
      <c r="I16" s="948"/>
      <c r="J16" s="946"/>
      <c r="K16" s="948"/>
      <c r="L16" s="946"/>
      <c r="M16" s="946"/>
    </row>
    <row r="17" spans="1:13">
      <c r="A17" s="946"/>
      <c r="B17" s="946"/>
      <c r="C17" s="946"/>
      <c r="D17" s="946"/>
      <c r="E17" s="946" t="s">
        <v>1242</v>
      </c>
      <c r="F17" s="946"/>
      <c r="G17" s="946"/>
      <c r="H17" s="946"/>
      <c r="I17" s="946"/>
      <c r="J17" s="946"/>
      <c r="K17" s="946"/>
      <c r="L17" s="946"/>
      <c r="M17" s="946"/>
    </row>
    <row r="18" spans="1:13">
      <c r="A18" s="583"/>
      <c r="B18" s="946"/>
      <c r="C18" s="582"/>
      <c r="D18" s="946"/>
      <c r="E18" s="938"/>
      <c r="F18" s="946"/>
      <c r="G18" s="949"/>
      <c r="H18" s="946"/>
      <c r="I18" s="584"/>
      <c r="J18" s="583"/>
      <c r="K18" s="585"/>
      <c r="L18" s="946"/>
      <c r="M18" s="946"/>
    </row>
    <row r="19" spans="1:13">
      <c r="A19" s="583"/>
      <c r="B19" s="946"/>
      <c r="C19" s="582"/>
      <c r="D19" s="946"/>
      <c r="E19" s="946"/>
      <c r="F19" s="946"/>
      <c r="G19" s="950"/>
      <c r="H19" s="946"/>
      <c r="I19" s="583"/>
      <c r="J19" s="946"/>
      <c r="K19" s="946"/>
      <c r="L19" s="946"/>
      <c r="M19" s="946"/>
    </row>
    <row r="20" spans="1:13">
      <c r="A20" s="583"/>
      <c r="B20" s="946"/>
      <c r="C20" s="582"/>
      <c r="D20" s="946"/>
      <c r="E20" s="938"/>
      <c r="F20" s="946"/>
      <c r="G20" s="949"/>
      <c r="H20" s="946"/>
      <c r="I20" s="583"/>
      <c r="J20" s="946"/>
      <c r="K20" s="946"/>
      <c r="L20" s="946"/>
      <c r="M20" s="946"/>
    </row>
    <row r="21" spans="1:13">
      <c r="A21" s="583"/>
      <c r="B21" s="946"/>
      <c r="C21" s="582"/>
      <c r="D21" s="946"/>
      <c r="E21" s="938"/>
      <c r="F21" s="946"/>
      <c r="G21" s="949"/>
      <c r="H21" s="946"/>
      <c r="I21" s="584"/>
      <c r="J21" s="583"/>
      <c r="K21" s="585"/>
      <c r="L21" s="946"/>
      <c r="M21" s="946"/>
    </row>
    <row r="22" spans="1:13">
      <c r="A22" s="583"/>
      <c r="B22" s="946"/>
      <c r="C22" s="582"/>
      <c r="D22" s="946"/>
      <c r="E22" s="946"/>
      <c r="F22" s="946"/>
      <c r="G22" s="950"/>
      <c r="H22" s="946"/>
      <c r="I22" s="583"/>
      <c r="J22" s="946"/>
      <c r="K22" s="946"/>
      <c r="L22" s="946"/>
      <c r="M22" s="946"/>
    </row>
    <row r="23" spans="1:13">
      <c r="A23" s="583"/>
      <c r="B23" s="946"/>
      <c r="C23" s="948"/>
      <c r="D23" s="946"/>
      <c r="E23" s="938"/>
      <c r="F23" s="946"/>
      <c r="G23" s="949"/>
      <c r="H23" s="946"/>
      <c r="I23" s="584"/>
      <c r="J23" s="583"/>
      <c r="K23" s="585"/>
      <c r="L23" s="946"/>
      <c r="M23" s="946"/>
    </row>
    <row r="24" spans="1:13">
      <c r="A24" s="583"/>
      <c r="B24" s="946"/>
      <c r="C24" s="946"/>
      <c r="D24" s="946"/>
      <c r="E24" s="938"/>
      <c r="F24" s="946"/>
      <c r="G24" s="949"/>
      <c r="H24" s="946"/>
      <c r="I24" s="584"/>
      <c r="J24" s="583"/>
      <c r="K24" s="585"/>
      <c r="L24" s="946"/>
      <c r="M24" s="946"/>
    </row>
    <row r="25" spans="1:13">
      <c r="A25" s="583"/>
      <c r="B25" s="946"/>
      <c r="C25" s="946"/>
      <c r="D25" s="946"/>
      <c r="E25" s="946"/>
      <c r="F25" s="946"/>
      <c r="G25" s="950"/>
      <c r="H25" s="946"/>
      <c r="I25" s="583"/>
      <c r="J25" s="946"/>
      <c r="K25" s="946"/>
      <c r="L25" s="946"/>
      <c r="M25" s="946"/>
    </row>
    <row r="26" spans="1:13">
      <c r="A26" s="583"/>
      <c r="B26" s="946"/>
      <c r="C26" s="948"/>
      <c r="D26" s="946"/>
      <c r="E26" s="938"/>
      <c r="F26" s="946"/>
      <c r="G26" s="950"/>
      <c r="H26" s="946"/>
      <c r="I26" s="583"/>
      <c r="J26" s="946"/>
      <c r="K26" s="946"/>
      <c r="L26" s="946"/>
      <c r="M26" s="946"/>
    </row>
    <row r="27" spans="1:13">
      <c r="A27" s="583"/>
      <c r="B27" s="946"/>
      <c r="C27" s="946"/>
      <c r="D27" s="946"/>
      <c r="E27" s="938"/>
      <c r="F27" s="946"/>
      <c r="G27" s="949"/>
      <c r="H27" s="946"/>
      <c r="I27" s="584"/>
      <c r="J27" s="583"/>
      <c r="K27" s="585"/>
      <c r="L27" s="946"/>
      <c r="M27" s="946"/>
    </row>
    <row r="28" spans="1:13">
      <c r="A28" s="583"/>
      <c r="B28" s="946"/>
      <c r="C28" s="946"/>
      <c r="D28" s="946"/>
      <c r="E28" s="938"/>
      <c r="F28" s="946"/>
      <c r="G28" s="949"/>
      <c r="H28" s="946"/>
      <c r="I28" s="584"/>
      <c r="J28" s="583"/>
      <c r="K28" s="585"/>
      <c r="L28" s="946"/>
      <c r="M28" s="946"/>
    </row>
    <row r="29" spans="1:13">
      <c r="A29" s="583"/>
      <c r="B29" s="946"/>
      <c r="C29" s="946"/>
      <c r="D29" s="946"/>
      <c r="E29" s="938"/>
      <c r="F29" s="946"/>
      <c r="G29" s="949"/>
      <c r="H29" s="946"/>
      <c r="I29" s="584"/>
      <c r="J29" s="583"/>
      <c r="K29" s="585"/>
      <c r="L29" s="946"/>
      <c r="M29" s="946"/>
    </row>
    <row r="30" spans="1:13">
      <c r="A30" s="583"/>
      <c r="B30" s="946"/>
      <c r="C30" s="946"/>
      <c r="D30" s="946"/>
      <c r="E30" s="946"/>
      <c r="F30" s="946"/>
      <c r="G30" s="950"/>
      <c r="H30" s="946"/>
      <c r="I30" s="583"/>
      <c r="J30" s="946"/>
      <c r="K30" s="946"/>
      <c r="L30" s="946"/>
      <c r="M30" s="946"/>
    </row>
    <row r="31" spans="1:13">
      <c r="A31" s="583"/>
      <c r="B31" s="946"/>
      <c r="C31" s="948"/>
      <c r="D31" s="946"/>
      <c r="E31" s="938"/>
      <c r="F31" s="946"/>
      <c r="G31" s="950"/>
      <c r="H31" s="946"/>
      <c r="I31" s="583"/>
      <c r="J31" s="946"/>
      <c r="K31" s="946"/>
      <c r="L31" s="946"/>
      <c r="M31" s="946"/>
    </row>
    <row r="32" spans="1:13">
      <c r="A32" s="583"/>
      <c r="B32" s="946"/>
      <c r="C32" s="946"/>
      <c r="D32" s="946"/>
      <c r="E32" s="938"/>
      <c r="F32" s="946"/>
      <c r="G32" s="586"/>
      <c r="H32" s="946"/>
      <c r="I32" s="584"/>
      <c r="J32" s="583"/>
      <c r="K32" s="585"/>
      <c r="L32" s="946"/>
      <c r="M32" s="946"/>
    </row>
  </sheetData>
  <phoneticPr fontId="19" type="noConversion"/>
  <pageMargins left="1" right="0.75" top="0.98425196850393704" bottom="0" header="0" footer="0"/>
  <pageSetup scale="73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45">
    <tabColor theme="7" tint="-0.249977111117893"/>
    <pageSetUpPr fitToPage="1"/>
  </sheetPr>
  <dimension ref="A1:O31"/>
  <sheetViews>
    <sheetView workbookViewId="0"/>
  </sheetViews>
  <sheetFormatPr defaultColWidth="8" defaultRowHeight="13.2"/>
  <cols>
    <col min="1" max="1" width="6.44140625" customWidth="1"/>
    <col min="2" max="2" width="1.44140625" customWidth="1"/>
    <col min="3" max="3" width="16.44140625" customWidth="1"/>
    <col min="4" max="4" width="63" customWidth="1"/>
    <col min="5" max="5" width="23" customWidth="1"/>
    <col min="6" max="6" width="5.44140625" customWidth="1"/>
    <col min="7" max="7" width="2.5546875" customWidth="1"/>
    <col min="8" max="8" width="22.5546875" customWidth="1"/>
    <col min="9" max="9" width="5.44140625" customWidth="1"/>
    <col min="10" max="10" width="19.44140625" customWidth="1"/>
    <col min="11" max="11" width="18.5546875" customWidth="1"/>
    <col min="12" max="12" width="8.44140625" customWidth="1"/>
    <col min="13" max="13" width="2.44140625" customWidth="1"/>
    <col min="14" max="14" width="8" customWidth="1"/>
    <col min="15" max="15" width="3.5546875" customWidth="1"/>
  </cols>
  <sheetData>
    <row r="1" spans="1:15">
      <c r="A1" s="934" t="str">
        <f>COMPANY</f>
        <v>DUKE ENERGY KENTUCKY, INC.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577"/>
      <c r="M1" s="577"/>
      <c r="N1" s="577"/>
      <c r="O1" s="577"/>
    </row>
    <row r="2" spans="1:15">
      <c r="A2" s="934" t="str">
        <f>CASE</f>
        <v>CASE NO. 2024-00354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577"/>
      <c r="M2" s="577"/>
      <c r="N2" s="577"/>
      <c r="O2" s="577"/>
    </row>
    <row r="3" spans="1:15">
      <c r="A3" s="934" t="s">
        <v>2358</v>
      </c>
      <c r="B3" s="934"/>
      <c r="C3" s="934"/>
      <c r="D3" s="934"/>
      <c r="E3" s="934"/>
      <c r="F3" s="934"/>
      <c r="G3" s="934"/>
      <c r="H3" s="934"/>
      <c r="I3" s="934"/>
      <c r="J3" s="934"/>
      <c r="K3" s="934"/>
      <c r="L3" s="577"/>
      <c r="M3" s="577"/>
      <c r="N3" s="577"/>
      <c r="O3" s="577"/>
    </row>
    <row r="4" spans="1:15">
      <c r="A4" s="934" t="s">
        <v>2353</v>
      </c>
      <c r="B4" s="934"/>
      <c r="C4" s="934"/>
      <c r="D4" s="934"/>
      <c r="E4" s="934"/>
      <c r="F4" s="934"/>
      <c r="G4" s="934"/>
      <c r="H4" s="934"/>
      <c r="I4" s="934"/>
      <c r="J4" s="934"/>
      <c r="K4" s="934"/>
      <c r="L4" s="577"/>
      <c r="M4" s="577"/>
      <c r="N4" s="577"/>
      <c r="O4" s="577"/>
    </row>
    <row r="5" spans="1:15">
      <c r="A5" s="934" t="str">
        <f>PeriodF</f>
        <v>FOR THE TWELVE MONTHS ENDED JUNE 30, 2026</v>
      </c>
      <c r="B5" s="934"/>
      <c r="C5" s="934"/>
      <c r="D5" s="934"/>
      <c r="E5" s="934"/>
      <c r="F5" s="934"/>
      <c r="G5" s="934"/>
      <c r="H5" s="934"/>
      <c r="I5" s="934"/>
      <c r="J5" s="934"/>
      <c r="K5" s="934"/>
      <c r="L5" s="577"/>
      <c r="M5" s="577"/>
      <c r="N5" s="577"/>
      <c r="O5" s="577"/>
    </row>
    <row r="6" spans="1:15">
      <c r="A6" s="577"/>
      <c r="B6" s="577"/>
      <c r="C6" s="57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  <c r="O6" s="577"/>
    </row>
    <row r="7" spans="1:15">
      <c r="A7" s="577" t="str">
        <f>DataF</f>
        <v>DATA:  BASE PERIOD  "X" FORECASTED PERIOD</v>
      </c>
      <c r="B7" s="577"/>
      <c r="C7" s="577"/>
      <c r="D7" s="577"/>
      <c r="E7" s="577"/>
      <c r="F7" s="577"/>
      <c r="G7" s="577"/>
      <c r="H7" s="577"/>
      <c r="I7" s="577"/>
      <c r="J7" s="578" t="s">
        <v>2359</v>
      </c>
      <c r="K7" s="577"/>
      <c r="L7" s="577"/>
      <c r="M7" s="577"/>
      <c r="N7" s="577"/>
      <c r="O7" s="577"/>
    </row>
    <row r="8" spans="1:15">
      <c r="A8" s="577" t="str">
        <f>LOGO!B15</f>
        <v xml:space="preserve">TYPE OF FILING:  "X" ORIGINAL   UPDATED    REVISED  </v>
      </c>
      <c r="B8" s="577"/>
      <c r="C8" s="577"/>
      <c r="D8" s="577"/>
      <c r="E8" s="577"/>
      <c r="F8" s="577"/>
      <c r="G8" s="577"/>
      <c r="H8" s="577"/>
      <c r="I8" s="577"/>
      <c r="J8" s="578" t="s">
        <v>2360</v>
      </c>
      <c r="K8" s="577"/>
      <c r="L8" s="577"/>
      <c r="M8" s="577"/>
      <c r="N8" s="577"/>
      <c r="O8" s="577"/>
    </row>
    <row r="9" spans="1:15">
      <c r="A9" s="578" t="s">
        <v>694</v>
      </c>
      <c r="B9" s="577"/>
      <c r="C9" s="577"/>
      <c r="D9" s="577"/>
      <c r="E9" s="577"/>
      <c r="F9" s="577"/>
      <c r="G9" s="577"/>
      <c r="H9" s="577"/>
      <c r="I9" s="577"/>
      <c r="J9" s="578" t="s">
        <v>2361</v>
      </c>
      <c r="K9" s="577"/>
      <c r="L9" s="577"/>
      <c r="M9" s="577"/>
      <c r="N9" s="577"/>
      <c r="O9" s="577"/>
    </row>
    <row r="10" spans="1:15">
      <c r="A10" s="577"/>
      <c r="B10" s="577"/>
      <c r="C10" s="577"/>
      <c r="D10" s="577"/>
      <c r="E10" s="577"/>
      <c r="F10" s="577"/>
      <c r="G10" s="577"/>
      <c r="H10" s="577"/>
      <c r="I10" s="577"/>
      <c r="J10" s="938" t="str">
        <f>"    "&amp;_WIT2</f>
        <v xml:space="preserve">    J. E. ZIOLKOWSKI</v>
      </c>
      <c r="K10" s="577"/>
      <c r="L10" s="577"/>
      <c r="M10" s="577"/>
      <c r="N10" s="577"/>
      <c r="O10" s="577"/>
    </row>
    <row r="11" spans="1:15">
      <c r="A11" s="1537"/>
      <c r="B11" s="1537"/>
      <c r="C11" s="1537"/>
      <c r="D11" s="1537"/>
      <c r="E11" s="1537"/>
      <c r="F11" s="1537"/>
      <c r="G11" s="1537"/>
      <c r="H11" s="1537"/>
      <c r="I11" s="1537"/>
      <c r="J11" s="1537"/>
      <c r="K11" s="1537"/>
      <c r="L11" s="578"/>
      <c r="M11" s="577"/>
      <c r="N11" s="577"/>
      <c r="O11" s="577"/>
    </row>
    <row r="12" spans="1:15">
      <c r="A12" s="577"/>
      <c r="B12" s="577"/>
      <c r="C12" s="577"/>
      <c r="D12" s="577"/>
      <c r="E12" s="935" t="s">
        <v>1245</v>
      </c>
      <c r="F12" s="577"/>
      <c r="G12" s="935"/>
      <c r="H12" s="577"/>
      <c r="I12" s="577"/>
      <c r="J12" s="577"/>
      <c r="K12" s="577"/>
      <c r="L12" s="577"/>
      <c r="M12" s="577"/>
      <c r="N12" s="577"/>
      <c r="O12" s="577"/>
    </row>
    <row r="13" spans="1:15">
      <c r="A13" s="935" t="s">
        <v>471</v>
      </c>
      <c r="B13" s="577"/>
      <c r="C13" s="935" t="s">
        <v>1008</v>
      </c>
      <c r="D13" s="577"/>
      <c r="E13" s="935" t="s">
        <v>972</v>
      </c>
      <c r="F13" s="577"/>
      <c r="G13" s="935"/>
      <c r="H13" s="935" t="s">
        <v>1249</v>
      </c>
      <c r="I13" s="935"/>
      <c r="J13" s="935" t="s">
        <v>1008</v>
      </c>
      <c r="K13" s="935" t="s">
        <v>935</v>
      </c>
      <c r="L13" s="577"/>
      <c r="M13" s="577"/>
      <c r="N13" s="577"/>
      <c r="O13" s="577"/>
    </row>
    <row r="14" spans="1:15">
      <c r="A14" s="935" t="s">
        <v>475</v>
      </c>
      <c r="B14" s="577"/>
      <c r="C14" s="935" t="s">
        <v>2362</v>
      </c>
      <c r="D14" s="577"/>
      <c r="E14" s="935" t="s">
        <v>974</v>
      </c>
      <c r="F14" s="577"/>
      <c r="G14" s="935"/>
      <c r="H14" s="935" t="s">
        <v>1252</v>
      </c>
      <c r="I14" s="935"/>
      <c r="J14" s="935" t="s">
        <v>2362</v>
      </c>
      <c r="K14" s="935" t="s">
        <v>477</v>
      </c>
      <c r="L14" s="577"/>
      <c r="M14" s="577"/>
      <c r="N14" s="577"/>
      <c r="O14" s="577"/>
    </row>
    <row r="15" spans="1:15">
      <c r="A15" s="1537"/>
      <c r="B15" s="1537"/>
      <c r="C15" s="1537"/>
      <c r="D15" s="1537"/>
      <c r="E15" s="1537"/>
      <c r="F15" s="1537"/>
      <c r="G15" s="1537"/>
      <c r="H15" s="1537"/>
      <c r="I15" s="1537"/>
      <c r="J15" s="1538" t="s">
        <v>420</v>
      </c>
      <c r="K15" s="1539"/>
      <c r="L15" s="578"/>
      <c r="M15" s="577"/>
      <c r="N15" s="577"/>
      <c r="O15" s="577"/>
    </row>
    <row r="16" spans="1:15">
      <c r="A16" s="577"/>
      <c r="B16" s="577"/>
      <c r="C16" s="577"/>
      <c r="D16" s="577"/>
      <c r="E16" s="939"/>
      <c r="F16" s="577"/>
      <c r="G16" s="577"/>
      <c r="H16" s="577"/>
      <c r="I16" s="577"/>
      <c r="J16" s="577"/>
      <c r="K16" s="581"/>
      <c r="L16" s="577"/>
      <c r="M16" s="577"/>
      <c r="N16" s="577"/>
      <c r="O16" s="577"/>
    </row>
    <row r="17" spans="1:15">
      <c r="A17" s="577"/>
      <c r="B17" s="577"/>
      <c r="C17" s="935"/>
      <c r="D17" s="578" t="s">
        <v>1242</v>
      </c>
      <c r="E17" s="940"/>
      <c r="F17" s="936"/>
      <c r="G17" s="936"/>
      <c r="H17" s="940"/>
      <c r="I17" s="936"/>
      <c r="J17" s="941"/>
      <c r="K17" s="581"/>
      <c r="L17" s="577"/>
      <c r="M17" s="577"/>
      <c r="N17" s="577"/>
      <c r="O17" s="577"/>
    </row>
    <row r="18" spans="1:15">
      <c r="A18" s="577"/>
      <c r="B18" s="577"/>
      <c r="C18" s="581"/>
      <c r="D18" s="578"/>
      <c r="E18" s="942"/>
      <c r="F18" s="937"/>
      <c r="G18" s="937"/>
      <c r="H18" s="942"/>
      <c r="I18" s="937"/>
      <c r="J18" s="941"/>
      <c r="K18" s="581"/>
      <c r="L18" s="577"/>
      <c r="M18" s="577"/>
      <c r="N18" s="577"/>
      <c r="O18" s="577"/>
    </row>
    <row r="19" spans="1:15">
      <c r="A19" s="577"/>
      <c r="B19" s="577"/>
      <c r="C19" s="935"/>
      <c r="D19" s="578"/>
      <c r="E19" s="943"/>
      <c r="F19" s="936"/>
      <c r="G19" s="936"/>
      <c r="H19" s="943"/>
      <c r="I19" s="936"/>
      <c r="J19" s="941"/>
      <c r="K19" s="581"/>
      <c r="L19" s="577"/>
      <c r="M19" s="577"/>
      <c r="N19" s="577"/>
      <c r="O19" s="577"/>
    </row>
    <row r="20" spans="1:15">
      <c r="A20" s="577"/>
      <c r="B20" s="577"/>
      <c r="C20" s="935"/>
      <c r="D20" s="578"/>
      <c r="E20" s="942"/>
      <c r="F20" s="577"/>
      <c r="G20" s="577"/>
      <c r="H20" s="942"/>
      <c r="I20" s="577"/>
      <c r="J20" s="941"/>
      <c r="K20" s="581"/>
      <c r="L20" s="577"/>
      <c r="M20" s="577"/>
      <c r="N20" s="577"/>
      <c r="O20" s="577"/>
    </row>
    <row r="21" spans="1:15">
      <c r="A21" s="577"/>
      <c r="B21" s="577"/>
      <c r="C21" s="935"/>
      <c r="D21" s="578"/>
      <c r="E21" s="943"/>
      <c r="F21" s="936"/>
      <c r="G21" s="936"/>
      <c r="H21" s="943"/>
      <c r="I21" s="936"/>
      <c r="J21" s="941"/>
      <c r="K21" s="935"/>
      <c r="L21" s="577"/>
      <c r="M21" s="577"/>
      <c r="N21" s="577"/>
      <c r="O21" s="577"/>
    </row>
    <row r="22" spans="1:15">
      <c r="A22" s="577"/>
      <c r="B22" s="577"/>
      <c r="C22" s="581"/>
      <c r="D22" s="578"/>
      <c r="E22" s="580"/>
      <c r="F22" s="578"/>
      <c r="G22" s="578"/>
      <c r="H22" s="580"/>
      <c r="I22" s="578"/>
      <c r="J22" s="941"/>
      <c r="K22" s="581"/>
      <c r="L22" s="577"/>
      <c r="M22" s="577"/>
      <c r="N22" s="577"/>
      <c r="O22" s="577"/>
    </row>
    <row r="23" spans="1:15">
      <c r="A23" s="577"/>
      <c r="B23" s="577"/>
      <c r="C23" s="935"/>
      <c r="D23" s="578"/>
      <c r="E23" s="580"/>
      <c r="F23" s="936"/>
      <c r="G23" s="936"/>
      <c r="H23" s="580"/>
      <c r="I23" s="936"/>
      <c r="J23" s="941"/>
      <c r="K23" s="581"/>
      <c r="L23" s="577"/>
      <c r="M23" s="577"/>
      <c r="N23" s="577"/>
      <c r="O23" s="577"/>
    </row>
    <row r="24" spans="1:15">
      <c r="A24" s="577"/>
      <c r="B24" s="577"/>
      <c r="C24" s="935"/>
      <c r="D24" s="578"/>
      <c r="E24" s="944"/>
      <c r="F24" s="936"/>
      <c r="G24" s="936"/>
      <c r="H24" s="944"/>
      <c r="I24" s="936"/>
      <c r="J24" s="941"/>
      <c r="K24" s="581"/>
      <c r="L24" s="577"/>
      <c r="M24" s="577"/>
      <c r="N24" s="577"/>
      <c r="O24" s="577"/>
    </row>
    <row r="25" spans="1:15">
      <c r="A25" s="577"/>
      <c r="B25" s="577"/>
      <c r="C25" s="581"/>
      <c r="D25" s="578"/>
      <c r="E25" s="942"/>
      <c r="F25" s="937"/>
      <c r="G25" s="937"/>
      <c r="H25" s="942"/>
      <c r="I25" s="937"/>
      <c r="J25" s="941"/>
      <c r="K25" s="581"/>
      <c r="L25" s="577"/>
      <c r="M25" s="577"/>
      <c r="N25" s="577"/>
      <c r="O25" s="577"/>
    </row>
    <row r="26" spans="1:15">
      <c r="A26" s="577"/>
      <c r="B26" s="577"/>
      <c r="C26" s="935"/>
      <c r="D26" s="578"/>
      <c r="E26" s="943"/>
      <c r="F26" s="936"/>
      <c r="G26" s="937"/>
      <c r="H26" s="943"/>
      <c r="I26" s="936"/>
      <c r="J26" s="941"/>
      <c r="K26" s="935"/>
      <c r="L26" s="577"/>
      <c r="M26" s="577"/>
      <c r="N26" s="577"/>
      <c r="O26" s="577"/>
    </row>
    <row r="27" spans="1:15">
      <c r="A27" s="577"/>
      <c r="B27" s="577"/>
      <c r="C27" s="935"/>
      <c r="D27" s="578"/>
      <c r="E27" s="937"/>
      <c r="F27" s="937"/>
      <c r="G27" s="937"/>
      <c r="H27" s="937"/>
      <c r="I27" s="937"/>
      <c r="J27" s="943"/>
      <c r="K27" s="578"/>
      <c r="L27" s="577"/>
      <c r="M27" s="577"/>
      <c r="N27" s="577"/>
      <c r="O27" s="577"/>
    </row>
    <row r="28" spans="1:15">
      <c r="A28" s="577"/>
      <c r="B28" s="577"/>
      <c r="C28" s="935"/>
      <c r="D28" s="578"/>
      <c r="E28" s="937"/>
      <c r="F28" s="937"/>
      <c r="G28" s="937"/>
      <c r="H28" s="937"/>
      <c r="I28" s="937"/>
      <c r="J28" s="943"/>
      <c r="K28" s="578"/>
      <c r="L28" s="577"/>
      <c r="M28" s="577"/>
      <c r="N28" s="577"/>
      <c r="O28" s="577"/>
    </row>
    <row r="29" spans="1:15">
      <c r="A29" s="577"/>
      <c r="B29" s="577"/>
      <c r="C29" s="935"/>
      <c r="D29" s="578"/>
      <c r="E29" s="937"/>
      <c r="F29" s="937"/>
      <c r="G29" s="937"/>
      <c r="H29" s="937"/>
      <c r="I29" s="937"/>
      <c r="J29" s="943"/>
      <c r="K29" s="578"/>
      <c r="L29" s="577"/>
      <c r="M29" s="577"/>
      <c r="N29" s="577"/>
      <c r="O29" s="577"/>
    </row>
    <row r="30" spans="1:15">
      <c r="A30" s="577"/>
      <c r="B30" s="577"/>
      <c r="C30" s="577"/>
      <c r="D30" s="578"/>
      <c r="E30" s="937"/>
      <c r="F30" s="937"/>
      <c r="G30" s="937"/>
      <c r="H30" s="937"/>
      <c r="I30" s="937"/>
      <c r="J30" s="943"/>
      <c r="K30" s="578"/>
      <c r="L30" s="577"/>
      <c r="M30" s="577"/>
      <c r="N30" s="577"/>
      <c r="O30" s="577"/>
    </row>
    <row r="31" spans="1:15">
      <c r="A31" s="577"/>
      <c r="B31" s="577"/>
      <c r="C31" s="577"/>
      <c r="D31" s="577"/>
      <c r="E31" s="577"/>
      <c r="F31" s="577"/>
      <c r="G31" s="577"/>
      <c r="H31" s="577"/>
      <c r="I31" s="577"/>
      <c r="J31" s="577"/>
      <c r="K31" s="577"/>
      <c r="L31" s="577"/>
      <c r="M31" s="577"/>
      <c r="N31" s="577"/>
      <c r="O31" s="577"/>
    </row>
  </sheetData>
  <phoneticPr fontId="19" type="noConversion"/>
  <pageMargins left="1" right="0.75" top="0.98425196850393704" bottom="0" header="0" footer="0"/>
  <pageSetup scale="65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46">
    <tabColor theme="7" tint="-0.249977111117893"/>
    <pageSetUpPr fitToPage="1"/>
  </sheetPr>
  <dimension ref="A1:J29"/>
  <sheetViews>
    <sheetView workbookViewId="0"/>
  </sheetViews>
  <sheetFormatPr defaultColWidth="8" defaultRowHeight="13.2"/>
  <cols>
    <col min="1" max="1" width="8.44140625" customWidth="1"/>
    <col min="2" max="2" width="2.44140625" customWidth="1"/>
    <col min="3" max="3" width="8" customWidth="1"/>
    <col min="4" max="4" width="3.5546875" customWidth="1"/>
    <col min="5" max="5" width="46.5546875" customWidth="1"/>
    <col min="6" max="6" width="49.5546875" customWidth="1"/>
    <col min="7" max="7" width="5.44140625" customWidth="1"/>
    <col min="8" max="8" width="44.44140625" customWidth="1"/>
  </cols>
  <sheetData>
    <row r="1" spans="1:10">
      <c r="A1" s="934" t="str">
        <f>COMPANY</f>
        <v>DUKE ENERGY KENTUCKY, INC.</v>
      </c>
      <c r="B1" s="934"/>
      <c r="C1" s="934"/>
      <c r="D1" s="934"/>
      <c r="E1" s="934"/>
      <c r="F1" s="934"/>
      <c r="G1" s="934"/>
      <c r="H1" s="934"/>
      <c r="I1" s="577"/>
      <c r="J1" s="577"/>
    </row>
    <row r="2" spans="1:10">
      <c r="A2" s="934" t="str">
        <f>CASE</f>
        <v>CASE NO. 2024-00354</v>
      </c>
      <c r="B2" s="934"/>
      <c r="C2" s="934"/>
      <c r="D2" s="934"/>
      <c r="E2" s="934"/>
      <c r="F2" s="934"/>
      <c r="G2" s="934"/>
      <c r="H2" s="934"/>
      <c r="I2" s="577"/>
      <c r="J2" s="577"/>
    </row>
    <row r="3" spans="1:10">
      <c r="A3" s="934" t="s">
        <v>1255</v>
      </c>
      <c r="B3" s="934"/>
      <c r="C3" s="934"/>
      <c r="D3" s="934"/>
      <c r="E3" s="934"/>
      <c r="F3" s="934"/>
      <c r="G3" s="934"/>
      <c r="H3" s="934"/>
      <c r="I3" s="577"/>
      <c r="J3" s="577"/>
    </row>
    <row r="4" spans="1:10">
      <c r="A4" s="934" t="s">
        <v>2353</v>
      </c>
      <c r="B4" s="934"/>
      <c r="C4" s="934"/>
      <c r="D4" s="934"/>
      <c r="E4" s="934"/>
      <c r="F4" s="934"/>
      <c r="G4" s="934"/>
      <c r="H4" s="934"/>
      <c r="I4" s="577"/>
      <c r="J4" s="577"/>
    </row>
    <row r="5" spans="1:10">
      <c r="A5" s="934" t="str">
        <f>PeriodF</f>
        <v>FOR THE TWELVE MONTHS ENDED JUNE 30, 2026</v>
      </c>
      <c r="B5" s="934"/>
      <c r="C5" s="934"/>
      <c r="D5" s="934"/>
      <c r="E5" s="934"/>
      <c r="F5" s="934"/>
      <c r="G5" s="934"/>
      <c r="H5" s="934"/>
      <c r="I5" s="577"/>
      <c r="J5" s="577"/>
    </row>
    <row r="6" spans="1:10">
      <c r="A6" s="577"/>
      <c r="B6" s="577"/>
      <c r="C6" s="577"/>
      <c r="D6" s="577"/>
      <c r="E6" s="577"/>
      <c r="F6" s="577"/>
      <c r="G6" s="577"/>
      <c r="H6" s="577"/>
      <c r="I6" s="577"/>
      <c r="J6" s="577"/>
    </row>
    <row r="7" spans="1:10">
      <c r="A7" s="577"/>
      <c r="B7" s="577"/>
      <c r="C7" s="577"/>
      <c r="D7" s="577"/>
      <c r="E7" s="577"/>
      <c r="F7" s="577"/>
      <c r="G7" s="577"/>
      <c r="H7" s="577"/>
      <c r="I7" s="577"/>
      <c r="J7" s="577"/>
    </row>
    <row r="8" spans="1:10">
      <c r="A8" s="577" t="str">
        <f>DataF</f>
        <v>DATA:  BASE PERIOD  "X" FORECASTED PERIOD</v>
      </c>
      <c r="B8" s="577"/>
      <c r="C8" s="577"/>
      <c r="D8" s="577"/>
      <c r="E8" s="577"/>
      <c r="F8" s="577"/>
      <c r="G8" s="577"/>
      <c r="H8" s="578" t="s">
        <v>2363</v>
      </c>
      <c r="I8" s="577"/>
      <c r="J8" s="577"/>
    </row>
    <row r="9" spans="1:10">
      <c r="A9" s="577" t="str">
        <f>Type</f>
        <v xml:space="preserve">TYPE OF FILING:  "X" ORIGINAL   UPDATED    REVISED  </v>
      </c>
      <c r="B9" s="577"/>
      <c r="C9" s="577"/>
      <c r="D9" s="577"/>
      <c r="E9" s="577"/>
      <c r="F9" s="577"/>
      <c r="G9" s="577"/>
      <c r="H9" s="578" t="s">
        <v>2360</v>
      </c>
      <c r="I9" s="577"/>
      <c r="J9" s="577"/>
    </row>
    <row r="10" spans="1:10">
      <c r="A10" s="578" t="s">
        <v>694</v>
      </c>
      <c r="B10" s="577"/>
      <c r="C10" s="577"/>
      <c r="D10" s="577"/>
      <c r="E10" s="577"/>
      <c r="F10" s="577"/>
      <c r="G10" s="577"/>
      <c r="H10" s="578" t="s">
        <v>2361</v>
      </c>
      <c r="I10" s="577"/>
      <c r="J10" s="577"/>
    </row>
    <row r="11" spans="1:10">
      <c r="A11" s="577"/>
      <c r="B11" s="577"/>
      <c r="C11" s="577"/>
      <c r="D11" s="577"/>
      <c r="E11" s="577"/>
      <c r="F11" s="577"/>
      <c r="G11" s="577"/>
      <c r="H11" s="577" t="str">
        <f>"    "&amp;_WIT2</f>
        <v xml:space="preserve">    J. E. ZIOLKOWSKI</v>
      </c>
      <c r="I11" s="577"/>
      <c r="J11" s="577"/>
    </row>
    <row r="12" spans="1:10">
      <c r="A12" s="1537"/>
      <c r="B12" s="1537"/>
      <c r="C12" s="1537"/>
      <c r="D12" s="1537"/>
      <c r="E12" s="1537"/>
      <c r="F12" s="1537"/>
      <c r="G12" s="1537"/>
      <c r="H12" s="1537"/>
      <c r="I12" s="577"/>
      <c r="J12" s="577"/>
    </row>
    <row r="13" spans="1:10">
      <c r="A13" s="577"/>
      <c r="B13" s="577"/>
      <c r="C13" s="577"/>
      <c r="D13" s="577"/>
      <c r="E13" s="577"/>
      <c r="F13" s="577"/>
      <c r="G13" s="577"/>
      <c r="H13" s="577"/>
      <c r="I13" s="577"/>
      <c r="J13" s="577"/>
    </row>
    <row r="14" spans="1:10">
      <c r="A14" s="935" t="s">
        <v>471</v>
      </c>
      <c r="B14" s="577"/>
      <c r="C14" s="935" t="s">
        <v>1045</v>
      </c>
      <c r="D14" s="577"/>
      <c r="E14" s="577"/>
      <c r="F14" s="935" t="s">
        <v>2364</v>
      </c>
      <c r="G14" s="577"/>
      <c r="H14" s="577"/>
      <c r="I14" s="577"/>
      <c r="J14" s="577"/>
    </row>
    <row r="15" spans="1:10">
      <c r="A15" s="935" t="s">
        <v>475</v>
      </c>
      <c r="B15" s="577"/>
      <c r="C15" s="935" t="s">
        <v>941</v>
      </c>
      <c r="D15" s="577"/>
      <c r="E15" s="935" t="s">
        <v>476</v>
      </c>
      <c r="F15" s="935" t="s">
        <v>2365</v>
      </c>
      <c r="G15" s="577"/>
      <c r="H15" s="935" t="s">
        <v>1259</v>
      </c>
      <c r="I15" s="577"/>
      <c r="J15" s="577"/>
    </row>
    <row r="16" spans="1:10">
      <c r="A16" s="1537"/>
      <c r="B16" s="1537"/>
      <c r="C16" s="1537"/>
      <c r="D16" s="1537"/>
      <c r="E16" s="1537"/>
      <c r="F16" s="1537"/>
      <c r="G16" s="1537"/>
      <c r="H16" s="1537"/>
      <c r="I16" s="577"/>
      <c r="J16" s="577"/>
    </row>
    <row r="17" spans="1:10">
      <c r="A17" s="577"/>
      <c r="B17" s="577"/>
      <c r="C17" s="577"/>
      <c r="D17" s="577"/>
      <c r="E17" s="577"/>
      <c r="F17" s="577"/>
      <c r="G17" s="577"/>
      <c r="H17" s="577"/>
      <c r="I17" s="577"/>
      <c r="J17" s="577"/>
    </row>
    <row r="18" spans="1:10">
      <c r="A18" s="577"/>
      <c r="B18" s="577"/>
      <c r="C18" s="577" t="s">
        <v>2366</v>
      </c>
      <c r="D18" s="578"/>
      <c r="E18" s="579"/>
      <c r="F18" s="580"/>
      <c r="G18" s="580"/>
      <c r="H18" s="580"/>
      <c r="I18" s="577"/>
      <c r="J18" s="577"/>
    </row>
    <row r="19" spans="1:10">
      <c r="A19" s="577"/>
      <c r="B19" s="577"/>
      <c r="C19" s="577"/>
      <c r="D19" s="577"/>
      <c r="E19" s="579"/>
      <c r="F19" s="580"/>
      <c r="G19" s="580"/>
      <c r="H19" s="580"/>
      <c r="I19" s="577"/>
      <c r="J19" s="577"/>
    </row>
    <row r="20" spans="1:10">
      <c r="A20" s="577"/>
      <c r="B20" s="581"/>
      <c r="C20" s="581"/>
      <c r="D20" s="578"/>
      <c r="E20" s="579"/>
      <c r="F20" s="580"/>
      <c r="G20" s="580"/>
      <c r="H20" s="580"/>
      <c r="I20" s="577"/>
      <c r="J20" s="577"/>
    </row>
    <row r="21" spans="1:10">
      <c r="A21" s="577"/>
      <c r="B21" s="581"/>
      <c r="C21" s="581"/>
      <c r="D21" s="578"/>
      <c r="E21" s="577"/>
      <c r="F21" s="579"/>
      <c r="G21" s="580"/>
      <c r="H21" s="936"/>
      <c r="I21" s="577"/>
      <c r="J21" s="577"/>
    </row>
    <row r="22" spans="1:10">
      <c r="A22" s="577"/>
      <c r="B22" s="581"/>
      <c r="C22" s="581"/>
      <c r="D22" s="578"/>
      <c r="E22" s="577"/>
      <c r="F22" s="579"/>
      <c r="G22" s="580"/>
      <c r="H22" s="936"/>
      <c r="I22" s="577"/>
      <c r="J22" s="577"/>
    </row>
    <row r="23" spans="1:10">
      <c r="A23" s="577"/>
      <c r="B23" s="581"/>
      <c r="C23" s="581"/>
      <c r="D23" s="577"/>
      <c r="E23" s="577"/>
      <c r="F23" s="579"/>
      <c r="G23" s="580"/>
      <c r="H23" s="580"/>
      <c r="I23" s="577"/>
      <c r="J23" s="577"/>
    </row>
    <row r="24" spans="1:10">
      <c r="A24" s="577"/>
      <c r="B24" s="581"/>
      <c r="C24" s="581"/>
      <c r="D24" s="578"/>
      <c r="E24" s="577"/>
      <c r="F24" s="579"/>
      <c r="G24" s="580"/>
      <c r="H24" s="580"/>
      <c r="I24" s="577"/>
      <c r="J24" s="577"/>
    </row>
    <row r="25" spans="1:10">
      <c r="A25" s="577"/>
      <c r="B25" s="577"/>
      <c r="C25" s="577"/>
      <c r="D25" s="578"/>
      <c r="E25" s="577"/>
      <c r="F25" s="579"/>
      <c r="G25" s="580"/>
      <c r="H25" s="936"/>
      <c r="I25" s="577"/>
      <c r="J25" s="577"/>
    </row>
    <row r="26" spans="1:10">
      <c r="A26" s="577"/>
      <c r="B26" s="577"/>
      <c r="C26" s="577"/>
      <c r="D26" s="577"/>
      <c r="E26" s="577"/>
      <c r="F26" s="579"/>
      <c r="G26" s="580"/>
      <c r="H26" s="580"/>
      <c r="I26" s="577"/>
      <c r="J26" s="577"/>
    </row>
    <row r="27" spans="1:10">
      <c r="A27" s="577"/>
      <c r="B27" s="577"/>
      <c r="C27" s="577"/>
      <c r="D27" s="577"/>
      <c r="E27" s="577"/>
      <c r="F27" s="579"/>
      <c r="G27" s="580"/>
      <c r="H27" s="937"/>
      <c r="I27" s="577"/>
      <c r="J27" s="577"/>
    </row>
    <row r="28" spans="1:10">
      <c r="A28" s="577"/>
      <c r="B28" s="577"/>
      <c r="C28" s="577"/>
      <c r="D28" s="578"/>
      <c r="E28" s="577"/>
      <c r="F28" s="579"/>
      <c r="G28" s="580"/>
      <c r="H28" s="937"/>
      <c r="I28" s="577"/>
      <c r="J28" s="577"/>
    </row>
    <row r="29" spans="1:10">
      <c r="A29" s="577"/>
      <c r="B29" s="577"/>
      <c r="C29" s="577"/>
      <c r="D29" s="577"/>
      <c r="E29" s="577"/>
      <c r="F29" s="937"/>
      <c r="G29" s="580"/>
      <c r="H29" s="937"/>
      <c r="I29" s="577"/>
      <c r="J29" s="577"/>
    </row>
  </sheetData>
  <phoneticPr fontId="19" type="noConversion"/>
  <pageMargins left="1" right="0.75" top="0.98425196850393704" bottom="0" header="0" footer="0"/>
  <pageSetup scale="71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syncVertical="1" syncRef="A1" transitionEvaluation="1" transitionEntry="1" codeName="Sheet47">
    <tabColor rgb="FFFFFF66"/>
    <pageSetUpPr fitToPage="1"/>
  </sheetPr>
  <dimension ref="A1:BD361"/>
  <sheetViews>
    <sheetView zoomScale="89" zoomScaleNormal="89" workbookViewId="0">
      <selection activeCell="E19" sqref="E19"/>
    </sheetView>
  </sheetViews>
  <sheetFormatPr defaultColWidth="16.44140625" defaultRowHeight="13.2"/>
  <cols>
    <col min="1" max="1" width="10.5546875" customWidth="1"/>
    <col min="2" max="2" width="9.5546875" customWidth="1"/>
    <col min="3" max="3" width="6.44140625" customWidth="1"/>
    <col min="4" max="4" width="1" customWidth="1"/>
    <col min="5" max="5" width="60.44140625" customWidth="1"/>
    <col min="6" max="6" width="1" customWidth="1"/>
    <col min="7" max="7" width="19" customWidth="1"/>
    <col min="8" max="8" width="0.5546875" customWidth="1"/>
    <col min="9" max="9" width="20" customWidth="1"/>
    <col min="10" max="10" width="0.5546875" customWidth="1"/>
    <col min="11" max="13" width="22.5546875" customWidth="1"/>
    <col min="14" max="14" width="1.44140625" customWidth="1"/>
    <col min="15" max="15" width="17.5546875" customWidth="1"/>
    <col min="16" max="16" width="0.5546875" customWidth="1"/>
    <col min="17" max="17" width="20" customWidth="1"/>
    <col min="18" max="18" width="9.5546875" customWidth="1"/>
    <col min="19" max="19" width="7.44140625" customWidth="1"/>
    <col min="20" max="20" width="11.5546875" customWidth="1"/>
    <col min="21" max="21" width="52.5546875" customWidth="1"/>
    <col min="22" max="22" width="1.5546875" customWidth="1"/>
    <col min="23" max="24" width="22.44140625" customWidth="1"/>
    <col min="25" max="25" width="6.44140625" customWidth="1"/>
    <col min="26" max="26" width="8.44140625" customWidth="1"/>
    <col min="27" max="27" width="9.5546875" customWidth="1"/>
    <col min="28" max="28" width="56.44140625" customWidth="1"/>
    <col min="29" max="30" width="20.5546875" customWidth="1"/>
    <col min="31" max="31" width="1.5546875" customWidth="1"/>
    <col min="32" max="33" width="20.5546875" customWidth="1"/>
    <col min="34" max="34" width="20.5546875" style="28" customWidth="1"/>
    <col min="35" max="35" width="18.44140625" customWidth="1"/>
    <col min="36" max="36" width="18.5546875" customWidth="1"/>
    <col min="37" max="37" width="22.5546875" customWidth="1"/>
    <col min="38" max="38" width="25.44140625" customWidth="1"/>
    <col min="40" max="40" width="13" bestFit="1" customWidth="1"/>
    <col min="41" max="41" width="3.44140625" customWidth="1"/>
    <col min="42" max="42" width="13.5546875" customWidth="1"/>
    <col min="43" max="43" width="20" customWidth="1"/>
    <col min="44" max="44" width="2" customWidth="1"/>
    <col min="45" max="45" width="16.44140625" customWidth="1"/>
    <col min="46" max="46" width="3.44140625" customWidth="1"/>
    <col min="47" max="47" width="18.5546875" customWidth="1"/>
    <col min="48" max="48" width="2" customWidth="1"/>
    <col min="49" max="49" width="17.44140625" customWidth="1"/>
    <col min="50" max="50" width="3.44140625" customWidth="1"/>
    <col min="51" max="51" width="14.5546875" customWidth="1"/>
    <col min="52" max="52" width="2" customWidth="1"/>
    <col min="53" max="53" width="18.5546875" customWidth="1"/>
    <col min="54" max="54" width="7.44140625" customWidth="1"/>
    <col min="55" max="55" width="20" customWidth="1"/>
    <col min="56" max="56" width="16.44140625" customWidth="1"/>
    <col min="57" max="57" width="13.5546875" customWidth="1"/>
    <col min="58" max="58" width="5.5546875" customWidth="1"/>
    <col min="59" max="59" width="16.44140625" customWidth="1"/>
    <col min="60" max="60" width="27.5546875" customWidth="1"/>
    <col min="61" max="61" width="9.5546875" customWidth="1"/>
    <col min="62" max="62" width="20" customWidth="1"/>
    <col min="63" max="63" width="11" customWidth="1"/>
    <col min="64" max="64" width="13.5546875" customWidth="1"/>
    <col min="65" max="65" width="5.5546875" customWidth="1"/>
    <col min="66" max="68" width="16.44140625" customWidth="1"/>
  </cols>
  <sheetData>
    <row r="1" spans="1:37">
      <c r="A1" s="1393" t="s">
        <v>55</v>
      </c>
      <c r="B1" s="555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770"/>
      <c r="O1" s="553"/>
      <c r="P1" s="553"/>
      <c r="Q1" s="553"/>
      <c r="R1" s="555"/>
      <c r="S1" s="555"/>
      <c r="T1" s="555"/>
      <c r="U1" s="555"/>
      <c r="V1" s="555"/>
      <c r="W1" s="555"/>
      <c r="X1" s="555"/>
      <c r="Y1" s="555"/>
      <c r="Z1" s="555"/>
      <c r="AA1" s="555"/>
      <c r="AB1" s="555"/>
      <c r="AC1" s="555"/>
      <c r="AD1" s="555"/>
      <c r="AE1" s="555"/>
      <c r="AF1" s="555"/>
      <c r="AG1" s="555"/>
      <c r="AH1" s="557"/>
      <c r="AI1" s="555"/>
      <c r="AJ1" s="555"/>
      <c r="AK1" s="555"/>
    </row>
    <row r="2" spans="1:37">
      <c r="A2" s="555"/>
      <c r="B2" s="555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770"/>
      <c r="O2" s="553"/>
      <c r="P2" s="553"/>
      <c r="Q2" s="553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  <c r="AD2" s="555"/>
      <c r="AE2" s="555"/>
      <c r="AF2" s="555"/>
      <c r="AG2" s="555"/>
      <c r="AH2" s="557"/>
      <c r="AI2" s="555"/>
      <c r="AJ2" s="555"/>
      <c r="AK2" s="555"/>
    </row>
    <row r="3" spans="1:37">
      <c r="A3" s="555"/>
      <c r="B3" s="555"/>
      <c r="C3" s="553" t="str">
        <f>COMPANY</f>
        <v>DUKE ENERGY KENTUCKY, INC.</v>
      </c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  <c r="AD3" s="555"/>
      <c r="AE3" s="555"/>
      <c r="AF3" s="555"/>
      <c r="AG3" s="555"/>
      <c r="AH3" s="557"/>
      <c r="AI3" s="555"/>
      <c r="AJ3" s="555"/>
      <c r="AK3" s="555"/>
    </row>
    <row r="4" spans="1:37">
      <c r="A4" s="555"/>
      <c r="B4" s="555"/>
      <c r="C4" s="553" t="str">
        <f>CASE</f>
        <v>CASE NO. 2024-00354</v>
      </c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  <c r="AD4" s="555"/>
      <c r="AE4" s="555"/>
      <c r="AF4" s="555"/>
      <c r="AG4" s="555"/>
      <c r="AH4" s="557"/>
      <c r="AI4" s="555"/>
      <c r="AJ4" s="555"/>
      <c r="AK4" s="555"/>
    </row>
    <row r="5" spans="1:37">
      <c r="A5" s="555"/>
      <c r="B5" s="555"/>
      <c r="C5" s="553" t="s">
        <v>2367</v>
      </c>
      <c r="D5" s="553"/>
      <c r="E5" s="553"/>
      <c r="F5" s="553"/>
      <c r="G5" s="553"/>
      <c r="H5" s="553"/>
      <c r="I5" s="553"/>
      <c r="J5" s="553"/>
      <c r="K5" s="553"/>
      <c r="L5" s="553"/>
      <c r="M5" s="553"/>
      <c r="N5" s="553"/>
      <c r="O5" s="553"/>
      <c r="P5" s="553"/>
      <c r="Q5" s="553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  <c r="AD5" s="555"/>
      <c r="AE5" s="555"/>
      <c r="AF5" s="555"/>
      <c r="AG5" s="555"/>
      <c r="AH5" s="557"/>
      <c r="AI5" s="555"/>
      <c r="AJ5" s="555"/>
      <c r="AK5" s="555"/>
    </row>
    <row r="6" spans="1:37">
      <c r="A6" s="555"/>
      <c r="B6" s="555"/>
      <c r="C6" s="553" t="str">
        <f>PERIOD</f>
        <v>FOR THE TWELVE MONTHS ENDED FEBRUARY 28, 2025</v>
      </c>
      <c r="D6" s="553"/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5"/>
      <c r="S6" s="555"/>
      <c r="T6" s="555"/>
      <c r="U6" s="555"/>
      <c r="V6" s="555"/>
      <c r="W6" s="555"/>
      <c r="X6" s="555"/>
      <c r="Y6" s="555"/>
      <c r="Z6" s="555"/>
      <c r="AA6" s="555"/>
      <c r="AB6" s="555"/>
      <c r="AC6" s="555"/>
      <c r="AD6" s="555"/>
      <c r="AE6" s="555"/>
      <c r="AF6" s="555"/>
      <c r="AG6" s="555"/>
      <c r="AH6" s="557"/>
      <c r="AI6" s="555"/>
      <c r="AJ6" s="555"/>
      <c r="AK6" s="555"/>
    </row>
    <row r="7" spans="1:37">
      <c r="A7" s="555"/>
      <c r="B7" s="555"/>
      <c r="C7" s="553" t="str">
        <f>PeriodF</f>
        <v>FOR THE TWELVE MONTHS ENDED JUNE 30, 2026</v>
      </c>
      <c r="D7" s="553"/>
      <c r="E7" s="553"/>
      <c r="F7" s="553"/>
      <c r="G7" s="553"/>
      <c r="H7" s="553"/>
      <c r="I7" s="553"/>
      <c r="J7" s="553"/>
      <c r="K7" s="553"/>
      <c r="L7" s="553"/>
      <c r="M7" s="553"/>
      <c r="N7" s="553"/>
      <c r="O7" s="553"/>
      <c r="P7" s="553"/>
      <c r="Q7" s="553"/>
      <c r="R7" s="555"/>
      <c r="S7" s="555"/>
      <c r="T7" s="555"/>
      <c r="U7" s="555"/>
      <c r="V7" s="555"/>
      <c r="W7" s="555"/>
      <c r="X7" s="555"/>
      <c r="Y7" s="555"/>
      <c r="Z7" s="555"/>
      <c r="AA7" s="555"/>
      <c r="AB7" s="555"/>
      <c r="AC7" s="555"/>
      <c r="AD7" s="555"/>
      <c r="AE7" s="555"/>
      <c r="AF7" s="555"/>
      <c r="AG7" s="555"/>
      <c r="AH7" s="557"/>
      <c r="AI7" s="555"/>
      <c r="AJ7" s="555"/>
      <c r="AK7" s="555"/>
    </row>
    <row r="8" spans="1:37">
      <c r="A8" s="555"/>
      <c r="B8" s="555"/>
      <c r="C8" s="555"/>
      <c r="D8" s="555"/>
      <c r="E8" s="554"/>
      <c r="F8" s="555"/>
      <c r="G8" s="555"/>
      <c r="H8" s="555"/>
      <c r="I8" s="555"/>
      <c r="J8" s="555"/>
      <c r="K8" s="555"/>
      <c r="L8" s="555"/>
      <c r="M8" s="555"/>
      <c r="N8" s="555"/>
      <c r="O8" s="555"/>
      <c r="P8" s="555"/>
      <c r="Q8" s="555"/>
      <c r="R8" s="555"/>
      <c r="S8" s="555"/>
      <c r="T8" s="555"/>
      <c r="U8" s="555"/>
      <c r="V8" s="555"/>
      <c r="W8" s="555"/>
      <c r="X8" s="555"/>
      <c r="Y8" s="555"/>
      <c r="Z8" s="555"/>
      <c r="AA8" s="555"/>
      <c r="AB8" s="555"/>
      <c r="AC8" s="555"/>
      <c r="AD8" s="555"/>
      <c r="AE8" s="555"/>
      <c r="AF8" s="555"/>
      <c r="AG8" s="555"/>
      <c r="AH8" s="557"/>
      <c r="AI8" s="555"/>
      <c r="AJ8" s="555"/>
      <c r="AK8" s="555"/>
    </row>
    <row r="9" spans="1:37">
      <c r="A9" s="555"/>
      <c r="B9" s="555"/>
      <c r="C9" s="555" t="str">
        <f>DataB</f>
        <v>DATA: "X" BASE PERIOD  "X" FORECASTED PERIOD</v>
      </c>
      <c r="D9" s="555"/>
      <c r="E9" s="554"/>
      <c r="F9" s="555"/>
      <c r="G9" s="555"/>
      <c r="H9" s="555"/>
      <c r="I9" s="555"/>
      <c r="J9" s="555"/>
      <c r="K9" s="555"/>
      <c r="L9" s="555"/>
      <c r="M9" s="555"/>
      <c r="N9" s="555"/>
      <c r="O9" s="554" t="s">
        <v>2368</v>
      </c>
      <c r="P9" s="554"/>
      <c r="Q9" s="555"/>
      <c r="R9" s="555"/>
      <c r="S9" s="555"/>
      <c r="T9" s="555"/>
      <c r="U9" s="555"/>
      <c r="V9" s="555"/>
      <c r="W9" s="555"/>
      <c r="X9" s="555"/>
      <c r="Y9" s="555"/>
      <c r="Z9" s="555"/>
      <c r="AA9" s="555"/>
      <c r="AB9" s="555"/>
      <c r="AC9" s="555"/>
      <c r="AD9" s="555"/>
      <c r="AE9" s="555"/>
      <c r="AF9" s="555"/>
      <c r="AG9" s="555"/>
      <c r="AH9" s="557"/>
      <c r="AI9" s="555"/>
      <c r="AJ9" s="555"/>
      <c r="AK9" s="555"/>
    </row>
    <row r="10" spans="1:37">
      <c r="A10" s="555"/>
      <c r="B10" s="555"/>
      <c r="C10" s="555" t="str">
        <f>Type</f>
        <v xml:space="preserve">TYPE OF FILING:  "X" ORIGINAL   UPDATED    REVISED  </v>
      </c>
      <c r="D10" s="555"/>
      <c r="E10" s="554"/>
      <c r="F10" s="555"/>
      <c r="G10" s="555"/>
      <c r="H10" s="555"/>
      <c r="I10" s="555"/>
      <c r="J10" s="555"/>
      <c r="K10" s="555"/>
      <c r="L10" s="555"/>
      <c r="M10" s="555"/>
      <c r="N10" s="555"/>
      <c r="O10" s="554" t="s">
        <v>2369</v>
      </c>
      <c r="P10" s="554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7"/>
      <c r="AI10" s="555"/>
      <c r="AJ10" s="555"/>
      <c r="AK10" s="555"/>
    </row>
    <row r="11" spans="1:37">
      <c r="A11" s="555"/>
      <c r="B11" s="555"/>
      <c r="C11" s="554" t="s">
        <v>2370</v>
      </c>
      <c r="D11" s="555"/>
      <c r="E11" s="554"/>
      <c r="F11" s="555"/>
      <c r="G11" s="555"/>
      <c r="H11" s="555"/>
      <c r="I11" s="557"/>
      <c r="J11" s="555"/>
      <c r="K11" s="557"/>
      <c r="L11" s="555"/>
      <c r="M11" s="555"/>
      <c r="N11" s="555"/>
      <c r="O11" s="554" t="s">
        <v>468</v>
      </c>
      <c r="P11" s="554"/>
      <c r="Q11" s="555"/>
      <c r="R11" s="555"/>
      <c r="S11" s="555"/>
      <c r="T11" s="555"/>
      <c r="U11" s="555"/>
      <c r="V11" s="555"/>
      <c r="W11" s="555"/>
      <c r="X11" s="555"/>
      <c r="Y11" s="555"/>
      <c r="Z11" s="555"/>
      <c r="AA11" s="555"/>
      <c r="AB11" s="555"/>
      <c r="AC11" s="555"/>
      <c r="AD11" s="555"/>
      <c r="AE11" s="555"/>
      <c r="AF11" s="555"/>
      <c r="AG11" s="555"/>
      <c r="AH11" s="557"/>
      <c r="AI11" s="555"/>
      <c r="AJ11" s="555"/>
      <c r="AK11" s="555"/>
    </row>
    <row r="12" spans="1:37">
      <c r="A12" s="555"/>
      <c r="B12" s="555"/>
      <c r="C12" s="555"/>
      <c r="D12" s="555"/>
      <c r="E12" s="554"/>
      <c r="F12" s="555"/>
      <c r="G12" s="555"/>
      <c r="H12" s="555"/>
      <c r="I12" s="555"/>
      <c r="J12" s="555"/>
      <c r="K12" s="555"/>
      <c r="L12" s="555"/>
      <c r="M12" s="555"/>
      <c r="N12" s="555"/>
      <c r="O12" s="554" t="str">
        <f>_WIT3</f>
        <v>J. R. PANIZZA</v>
      </c>
      <c r="P12" s="556"/>
      <c r="Q12" s="555"/>
      <c r="R12" s="555"/>
      <c r="S12" s="555"/>
      <c r="T12" s="555"/>
      <c r="U12" s="555"/>
      <c r="V12" s="555"/>
      <c r="W12" s="555"/>
      <c r="X12" s="555"/>
      <c r="Y12" s="555"/>
      <c r="Z12" s="555"/>
      <c r="AA12" s="555"/>
      <c r="AB12" s="555"/>
      <c r="AC12" s="555"/>
      <c r="AD12" s="555"/>
      <c r="AE12" s="555"/>
      <c r="AF12" s="555"/>
      <c r="AG12" s="555"/>
      <c r="AH12" s="557"/>
      <c r="AI12" s="555"/>
      <c r="AJ12" s="555"/>
      <c r="AK12" s="555"/>
    </row>
    <row r="13" spans="1:37">
      <c r="A13" s="555"/>
      <c r="B13" s="555"/>
      <c r="C13" s="555"/>
      <c r="D13" s="555"/>
      <c r="E13" s="554"/>
      <c r="F13" s="555"/>
      <c r="G13" s="555"/>
      <c r="H13" s="555"/>
      <c r="I13" s="555"/>
      <c r="J13" s="555"/>
      <c r="K13" s="555"/>
      <c r="L13" s="555"/>
      <c r="M13" s="555"/>
      <c r="N13" s="555"/>
      <c r="O13" s="554"/>
      <c r="P13" s="556"/>
      <c r="Q13" s="555"/>
      <c r="R13" s="555"/>
      <c r="S13" s="555"/>
      <c r="T13" s="555"/>
      <c r="U13" s="555"/>
      <c r="V13" s="555"/>
      <c r="W13" s="555"/>
      <c r="X13" s="555"/>
      <c r="Y13" s="555"/>
      <c r="Z13" s="555"/>
      <c r="AA13" s="555"/>
      <c r="AB13" s="555"/>
      <c r="AC13" s="555"/>
      <c r="AD13" s="555"/>
      <c r="AE13" s="555"/>
      <c r="AF13" s="555"/>
      <c r="AG13" s="555"/>
      <c r="AH13" s="557"/>
      <c r="AI13" s="555"/>
      <c r="AJ13" s="555"/>
      <c r="AK13" s="555"/>
    </row>
    <row r="14" spans="1:37">
      <c r="A14" s="555"/>
      <c r="B14" s="555"/>
      <c r="C14" s="2153"/>
      <c r="D14" s="2153"/>
      <c r="E14" s="2154"/>
      <c r="F14" s="2153"/>
      <c r="G14" s="2155" t="s">
        <v>2371</v>
      </c>
      <c r="H14" s="2155"/>
      <c r="I14" s="2155"/>
      <c r="J14" s="2155"/>
      <c r="K14" s="2156"/>
      <c r="L14" s="2156"/>
      <c r="M14" s="2156"/>
      <c r="N14" s="2153"/>
      <c r="O14" s="2155" t="s">
        <v>2372</v>
      </c>
      <c r="P14" s="2155"/>
      <c r="Q14" s="2155"/>
      <c r="R14" s="556"/>
      <c r="S14" s="555"/>
      <c r="T14" s="555"/>
      <c r="U14" s="555"/>
      <c r="V14" s="555"/>
      <c r="W14" s="555"/>
      <c r="X14" s="555"/>
      <c r="Y14" s="555"/>
      <c r="Z14" s="555"/>
      <c r="AA14" s="555"/>
      <c r="AB14" s="555"/>
      <c r="AC14" s="555"/>
      <c r="AD14" s="555"/>
      <c r="AE14" s="555"/>
      <c r="AF14" s="555"/>
      <c r="AG14" s="555"/>
      <c r="AH14" s="557"/>
      <c r="AI14" s="555"/>
      <c r="AJ14" s="555"/>
      <c r="AK14" s="555"/>
    </row>
    <row r="15" spans="1:37">
      <c r="A15" s="555"/>
      <c r="B15" s="555"/>
      <c r="C15" s="555"/>
      <c r="D15" s="555"/>
      <c r="E15" s="554"/>
      <c r="F15" s="555"/>
      <c r="G15" s="2155"/>
      <c r="H15" s="2155"/>
      <c r="I15" s="2155"/>
      <c r="J15" s="2155"/>
      <c r="K15" s="553"/>
      <c r="L15" s="553" t="s">
        <v>1404</v>
      </c>
      <c r="M15" s="553" t="s">
        <v>1404</v>
      </c>
      <c r="N15" s="555"/>
      <c r="O15" s="2155"/>
      <c r="P15" s="2155"/>
      <c r="Q15" s="2155"/>
      <c r="R15" s="556"/>
      <c r="S15" s="555"/>
      <c r="T15" s="555"/>
      <c r="U15" s="555"/>
      <c r="V15" s="555"/>
      <c r="W15" s="555"/>
      <c r="X15" s="555"/>
      <c r="Y15" s="555"/>
      <c r="Z15" s="555"/>
      <c r="AA15" s="555"/>
      <c r="AB15" s="555"/>
      <c r="AC15" s="555"/>
      <c r="AD15" s="555"/>
      <c r="AE15" s="555"/>
      <c r="AF15" s="555"/>
      <c r="AG15" s="555"/>
      <c r="AH15" s="557"/>
      <c r="AI15" s="555"/>
      <c r="AJ15" s="555"/>
      <c r="AK15" s="555"/>
    </row>
    <row r="16" spans="1:37">
      <c r="A16" s="555"/>
      <c r="B16" s="555"/>
      <c r="C16" s="556" t="s">
        <v>471</v>
      </c>
      <c r="D16" s="555"/>
      <c r="E16" s="554"/>
      <c r="F16" s="555"/>
      <c r="G16" s="556" t="s">
        <v>473</v>
      </c>
      <c r="H16" s="555"/>
      <c r="I16" s="556"/>
      <c r="J16" s="555"/>
      <c r="K16" s="556" t="s">
        <v>474</v>
      </c>
      <c r="L16" s="556" t="s">
        <v>1729</v>
      </c>
      <c r="M16" s="556" t="s">
        <v>474</v>
      </c>
      <c r="N16" s="555"/>
      <c r="O16" s="556"/>
      <c r="P16" s="556"/>
      <c r="Q16" s="555"/>
      <c r="R16" s="555"/>
      <c r="S16" s="555"/>
      <c r="T16" s="555"/>
      <c r="U16" s="555"/>
      <c r="V16" s="555"/>
      <c r="W16" s="555"/>
      <c r="X16" s="555"/>
      <c r="Y16" s="555"/>
      <c r="Z16" s="555"/>
      <c r="AA16" s="555"/>
      <c r="AB16" s="555"/>
      <c r="AC16" s="555"/>
      <c r="AD16" s="555"/>
      <c r="AE16" s="555"/>
      <c r="AF16" s="555"/>
      <c r="AG16" s="555"/>
      <c r="AH16" s="557"/>
      <c r="AI16" s="555"/>
      <c r="AJ16" s="555"/>
      <c r="AK16" s="555"/>
    </row>
    <row r="17" spans="1:56">
      <c r="A17" s="555"/>
      <c r="B17" s="555"/>
      <c r="C17" s="556" t="s">
        <v>475</v>
      </c>
      <c r="D17" s="555"/>
      <c r="E17" s="554" t="s">
        <v>971</v>
      </c>
      <c r="F17" s="555"/>
      <c r="G17" s="556" t="s">
        <v>478</v>
      </c>
      <c r="H17" s="556"/>
      <c r="I17" s="556" t="s">
        <v>1800</v>
      </c>
      <c r="J17" s="556"/>
      <c r="K17" s="556" t="s">
        <v>478</v>
      </c>
      <c r="L17" s="556" t="s">
        <v>500</v>
      </c>
      <c r="M17" s="556" t="s">
        <v>478</v>
      </c>
      <c r="N17" s="555"/>
      <c r="O17" s="556" t="s">
        <v>1800</v>
      </c>
      <c r="P17" s="556"/>
      <c r="Q17" s="556" t="s">
        <v>1096</v>
      </c>
      <c r="R17" s="556"/>
      <c r="S17" s="555"/>
      <c r="T17" s="555"/>
      <c r="U17" s="555"/>
      <c r="V17" s="555"/>
      <c r="W17" s="555"/>
      <c r="X17" s="555"/>
      <c r="Y17" s="555"/>
      <c r="Z17" s="555"/>
      <c r="AA17" s="555"/>
      <c r="AB17" s="555"/>
      <c r="AC17" s="555"/>
      <c r="AD17" s="555"/>
      <c r="AE17" s="555"/>
      <c r="AF17" s="555"/>
      <c r="AG17" s="555"/>
      <c r="AH17" s="557"/>
      <c r="AI17" s="555"/>
      <c r="AJ17" s="555"/>
      <c r="AK17" s="555"/>
    </row>
    <row r="18" spans="1:56">
      <c r="A18" s="555"/>
      <c r="B18" s="555"/>
      <c r="C18" s="1540"/>
      <c r="D18" s="1540"/>
      <c r="E18" s="1541"/>
      <c r="F18" s="1540"/>
      <c r="G18" s="1542" t="s">
        <v>506</v>
      </c>
      <c r="H18" s="1542"/>
      <c r="I18" s="1543" t="s">
        <v>510</v>
      </c>
      <c r="J18" s="1543"/>
      <c r="K18" s="1543" t="s">
        <v>519</v>
      </c>
      <c r="L18" s="1543" t="s">
        <v>911</v>
      </c>
      <c r="M18" s="1543" t="s">
        <v>976</v>
      </c>
      <c r="N18" s="1540"/>
      <c r="O18" s="1543" t="s">
        <v>977</v>
      </c>
      <c r="P18" s="1543"/>
      <c r="Q18" s="1543" t="s">
        <v>2373</v>
      </c>
      <c r="R18" s="558"/>
      <c r="S18" s="555"/>
      <c r="T18" s="555"/>
      <c r="U18" s="555"/>
      <c r="V18" s="555"/>
      <c r="W18" s="555"/>
      <c r="X18" s="555"/>
      <c r="Y18" s="555"/>
      <c r="Z18" s="555"/>
      <c r="AA18" s="555"/>
      <c r="AB18" s="555"/>
      <c r="AC18" s="555"/>
      <c r="AD18" s="555"/>
      <c r="AE18" s="555"/>
      <c r="AF18" s="555"/>
      <c r="AG18" s="555"/>
      <c r="AH18" s="557"/>
      <c r="AI18" s="555"/>
      <c r="AJ18" s="555"/>
      <c r="AK18" s="555"/>
    </row>
    <row r="19" spans="1:56">
      <c r="A19" s="555"/>
      <c r="B19" s="555"/>
      <c r="C19" s="555"/>
      <c r="D19" s="555"/>
      <c r="E19" s="555"/>
      <c r="F19" s="555"/>
      <c r="G19" s="556" t="s">
        <v>1371</v>
      </c>
      <c r="H19" s="556"/>
      <c r="I19" s="556" t="s">
        <v>1371</v>
      </c>
      <c r="J19" s="556"/>
      <c r="K19" s="556" t="s">
        <v>1371</v>
      </c>
      <c r="L19" s="556" t="s">
        <v>1371</v>
      </c>
      <c r="M19" s="556" t="s">
        <v>1371</v>
      </c>
      <c r="N19" s="556"/>
      <c r="O19" s="556" t="s">
        <v>1371</v>
      </c>
      <c r="P19" s="556"/>
      <c r="Q19" s="556" t="s">
        <v>1371</v>
      </c>
      <c r="R19" s="556"/>
      <c r="S19" s="555"/>
      <c r="T19" s="555"/>
      <c r="U19" s="555"/>
      <c r="V19" s="555"/>
      <c r="W19" s="555"/>
      <c r="X19" s="555"/>
      <c r="Y19" s="555"/>
      <c r="Z19" s="555"/>
      <c r="AA19" s="555"/>
      <c r="AB19" s="555"/>
      <c r="AC19" s="555"/>
      <c r="AD19" s="555"/>
      <c r="AE19" s="555"/>
      <c r="AF19" s="555"/>
      <c r="AG19" s="555"/>
      <c r="AH19" s="557"/>
      <c r="AI19" s="555"/>
      <c r="AJ19" s="555"/>
      <c r="AK19" s="555"/>
    </row>
    <row r="20" spans="1:56">
      <c r="A20" s="555"/>
      <c r="B20" s="555"/>
      <c r="C20" s="556">
        <v>1</v>
      </c>
      <c r="D20" s="555"/>
      <c r="E20" s="554" t="s">
        <v>2374</v>
      </c>
      <c r="F20" s="555"/>
      <c r="G20" s="555"/>
      <c r="H20" s="555"/>
      <c r="I20" s="555"/>
      <c r="J20" s="555"/>
      <c r="K20" s="555"/>
      <c r="L20" s="555"/>
      <c r="M20" s="555"/>
      <c r="N20" s="555"/>
      <c r="O20" s="555"/>
      <c r="P20" s="555"/>
      <c r="Q20" s="555"/>
      <c r="R20" s="555"/>
      <c r="S20" s="555"/>
      <c r="T20" s="555"/>
      <c r="U20" s="555"/>
      <c r="V20" s="555"/>
      <c r="W20" s="555"/>
      <c r="X20" s="555"/>
      <c r="Y20" s="555"/>
      <c r="Z20" s="555"/>
      <c r="AA20" s="555"/>
      <c r="AB20" s="555"/>
      <c r="AC20" s="555"/>
      <c r="AD20" s="555"/>
      <c r="AE20" s="555"/>
      <c r="AF20" s="555"/>
      <c r="AG20" s="555"/>
      <c r="AH20" s="557"/>
      <c r="AI20" s="555"/>
      <c r="AJ20" s="555"/>
      <c r="AK20" s="555"/>
    </row>
    <row r="21" spans="1:56">
      <c r="A21" s="555"/>
      <c r="B21" s="555"/>
      <c r="C21" s="556">
        <v>2</v>
      </c>
      <c r="D21" s="555"/>
      <c r="E21" s="554" t="s">
        <v>2375</v>
      </c>
      <c r="F21" s="555"/>
      <c r="G21" s="560">
        <f>'SCH_C2.1 - Base Period'!$J$53-'SCH_C2.1 - Base Period'!$J$287-'SCH_C2.1 - Base Period'!$J$290-'SCH_C2.1 - Base Period'!$J$298-'SCH_C2.1 - Base Period'!$J$335</f>
        <v>96553041</v>
      </c>
      <c r="H21" s="557"/>
      <c r="I21" s="557">
        <f>K21-G21</f>
        <v>-30443800</v>
      </c>
      <c r="J21" s="557"/>
      <c r="K21" s="560">
        <f>'SCH_C2.1 - Forecasted Period'!$J$47-'SCH_C2.1 - Forecasted Period'!$J$281-'SCH_C2.1 - Forecasted Period'!$J$284-'SCH_C2.1 - Forecasted Period'!$J$293-'SCH_C2.1 - Forecasted Period'!$J$329</f>
        <v>66109241</v>
      </c>
      <c r="L21" s="560">
        <f ca="1">SCH_C2!J20-SCH_C2!J37-SCH_C2!J39-SCH_C2!J44</f>
        <v>-12480274</v>
      </c>
      <c r="M21" s="560">
        <f ca="1">K21+L21</f>
        <v>53628967</v>
      </c>
      <c r="N21" s="557"/>
      <c r="O21" s="557">
        <f>MINCR-C_1_PROEXP</f>
        <v>69254905</v>
      </c>
      <c r="P21" s="557"/>
      <c r="Q21" s="557">
        <f ca="1">M21+O21</f>
        <v>122883872</v>
      </c>
      <c r="R21" s="557"/>
      <c r="S21" s="555"/>
      <c r="T21" s="555"/>
      <c r="U21" s="555"/>
      <c r="V21" s="555"/>
      <c r="W21" s="555"/>
      <c r="X21" s="555"/>
      <c r="Y21" s="555"/>
      <c r="Z21" s="555"/>
      <c r="AA21" s="555"/>
      <c r="AB21" s="555"/>
      <c r="AC21" s="555"/>
      <c r="AD21" s="555"/>
      <c r="AE21" s="555"/>
      <c r="AF21" s="555"/>
      <c r="AG21" s="555"/>
      <c r="AH21" s="557"/>
      <c r="AI21" s="555"/>
      <c r="AJ21" s="555"/>
      <c r="AK21" s="555"/>
    </row>
    <row r="22" spans="1:56">
      <c r="A22" s="555"/>
      <c r="B22" s="555"/>
      <c r="C22" s="556">
        <v>3</v>
      </c>
      <c r="D22" s="555"/>
      <c r="E22" s="555"/>
      <c r="F22" s="555"/>
      <c r="G22" s="561"/>
      <c r="H22" s="561"/>
      <c r="I22" s="561"/>
      <c r="J22" s="561"/>
      <c r="K22" s="561"/>
      <c r="L22" s="561"/>
      <c r="M22" s="561"/>
      <c r="N22" s="557"/>
      <c r="O22" s="561"/>
      <c r="P22" s="561"/>
      <c r="Q22" s="561"/>
      <c r="R22" s="561"/>
      <c r="S22" s="555"/>
      <c r="T22" s="555"/>
      <c r="U22" s="555"/>
      <c r="V22" s="555"/>
      <c r="W22" s="555"/>
      <c r="X22" s="555"/>
      <c r="Y22" s="555"/>
      <c r="Z22" s="555"/>
      <c r="AA22" s="555"/>
      <c r="AB22" s="555"/>
      <c r="AC22" s="555"/>
      <c r="AD22" s="555"/>
      <c r="AE22" s="555"/>
      <c r="AF22" s="555"/>
      <c r="AG22" s="555"/>
      <c r="AH22" s="557"/>
      <c r="AI22" s="555"/>
      <c r="AJ22" s="555"/>
      <c r="AK22" s="555"/>
    </row>
    <row r="23" spans="1:56">
      <c r="A23" s="555"/>
      <c r="B23" s="555"/>
      <c r="C23" s="556">
        <v>4</v>
      </c>
      <c r="D23" s="555"/>
      <c r="E23" s="554" t="s">
        <v>2376</v>
      </c>
      <c r="F23" s="555"/>
      <c r="G23" s="557"/>
      <c r="H23" s="557"/>
      <c r="I23" s="557"/>
      <c r="J23" s="557"/>
      <c r="K23" s="557"/>
      <c r="L23" s="557"/>
      <c r="M23" s="557"/>
      <c r="N23" s="557"/>
      <c r="O23" s="557"/>
      <c r="P23" s="557"/>
      <c r="Q23" s="557"/>
      <c r="R23" s="557"/>
      <c r="S23" s="555"/>
      <c r="T23" s="555"/>
      <c r="U23" s="555"/>
      <c r="V23" s="555"/>
      <c r="W23" s="555"/>
      <c r="X23" s="555"/>
      <c r="Y23" s="555"/>
      <c r="Z23" s="555"/>
      <c r="AA23" s="555"/>
      <c r="AB23" s="555"/>
      <c r="AC23" s="555"/>
      <c r="AD23" s="555"/>
      <c r="AE23" s="555"/>
      <c r="AF23" s="555"/>
      <c r="AG23" s="555"/>
      <c r="AH23" s="557"/>
      <c r="AI23" s="555"/>
      <c r="AJ23" s="555"/>
      <c r="AK23" s="555"/>
    </row>
    <row r="24" spans="1:56">
      <c r="A24" s="542"/>
      <c r="B24" s="542">
        <v>1107</v>
      </c>
      <c r="C24" s="556">
        <v>5</v>
      </c>
      <c r="D24" s="555"/>
      <c r="E24" s="554" t="s">
        <v>2377</v>
      </c>
      <c r="F24" s="555"/>
      <c r="G24" s="543">
        <f>VLOOKUP(B24,T160:X168,4)</f>
        <v>-26462225</v>
      </c>
      <c r="H24" s="557"/>
      <c r="I24" s="1544">
        <f>K24-G24</f>
        <v>-11454522</v>
      </c>
      <c r="J24" s="557"/>
      <c r="K24" s="543">
        <f>VLOOKUP(B24,T160:X168,5,)</f>
        <v>-37916747</v>
      </c>
      <c r="L24" s="543">
        <f>-D_1_INTADJ</f>
        <v>9293487</v>
      </c>
      <c r="M24" s="543">
        <f>K24+L24</f>
        <v>-28623260</v>
      </c>
      <c r="N24" s="557"/>
      <c r="O24" s="557">
        <v>0</v>
      </c>
      <c r="P24" s="557"/>
      <c r="Q24" s="557">
        <f>M24+O24</f>
        <v>-28623260</v>
      </c>
      <c r="R24" s="557"/>
      <c r="S24" s="555"/>
      <c r="T24" s="555"/>
      <c r="U24" s="555"/>
      <c r="V24" s="555"/>
      <c r="W24" s="555"/>
      <c r="X24" s="555"/>
      <c r="Y24" s="555"/>
      <c r="Z24" s="555"/>
      <c r="AA24" s="555"/>
      <c r="AB24" s="555"/>
      <c r="AC24" s="555"/>
      <c r="AD24" s="555"/>
      <c r="AE24" s="555"/>
      <c r="AF24" s="555"/>
      <c r="AG24" s="555"/>
      <c r="AH24" s="557"/>
      <c r="AI24" s="555"/>
      <c r="AJ24" s="555"/>
      <c r="AK24" s="555"/>
    </row>
    <row r="25" spans="1:56">
      <c r="A25" s="542"/>
      <c r="B25" s="542"/>
      <c r="C25" s="556">
        <v>6</v>
      </c>
      <c r="D25" s="555"/>
      <c r="E25" s="554" t="s">
        <v>2378</v>
      </c>
      <c r="F25" s="555"/>
      <c r="G25" s="2157">
        <f>SUM(G24:G24)</f>
        <v>-26462225</v>
      </c>
      <c r="H25" s="557"/>
      <c r="I25" s="2157">
        <f>SUM(I24:I24)</f>
        <v>-11454522</v>
      </c>
      <c r="J25" s="561"/>
      <c r="K25" s="2157">
        <f>SUM(K24:K24)</f>
        <v>-37916747</v>
      </c>
      <c r="L25" s="2157">
        <f>SUM(L24:L24)</f>
        <v>9293487</v>
      </c>
      <c r="M25" s="2157">
        <f>SUM(M24:M24)</f>
        <v>-28623260</v>
      </c>
      <c r="N25" s="557"/>
      <c r="O25" s="2157">
        <f>SUM(O24:O24)</f>
        <v>0</v>
      </c>
      <c r="P25" s="561"/>
      <c r="Q25" s="2157">
        <f>SUM(Q24:Q24)</f>
        <v>-28623260</v>
      </c>
      <c r="R25" s="561"/>
      <c r="S25" s="555"/>
      <c r="T25" s="555"/>
      <c r="U25" s="555"/>
      <c r="V25" s="555"/>
      <c r="W25" s="555"/>
      <c r="X25" s="555"/>
      <c r="Y25" s="555"/>
      <c r="Z25" s="555"/>
      <c r="AA25" s="555"/>
      <c r="AB25" s="555"/>
      <c r="AC25" s="555"/>
      <c r="AD25" s="555"/>
      <c r="AE25" s="555"/>
      <c r="AF25" s="555"/>
      <c r="AG25" s="555"/>
      <c r="AH25" s="557"/>
      <c r="AI25" s="555"/>
      <c r="AJ25" s="555"/>
      <c r="AK25" s="555"/>
    </row>
    <row r="26" spans="1:56">
      <c r="A26" s="542"/>
      <c r="B26" s="542"/>
      <c r="C26" s="556">
        <v>7</v>
      </c>
      <c r="D26" s="555"/>
      <c r="E26" s="555"/>
      <c r="F26" s="555"/>
      <c r="G26" s="557"/>
      <c r="H26" s="557"/>
      <c r="I26" s="562"/>
      <c r="J26" s="562"/>
      <c r="K26" s="557"/>
      <c r="L26" s="557"/>
      <c r="M26" s="557"/>
      <c r="N26" s="557"/>
      <c r="O26" s="557"/>
      <c r="P26" s="557"/>
      <c r="Q26" s="557"/>
      <c r="R26" s="557"/>
      <c r="S26" s="555"/>
      <c r="T26" s="555"/>
      <c r="U26" s="555"/>
      <c r="V26" s="555"/>
      <c r="W26" s="555"/>
      <c r="X26" s="555"/>
      <c r="Y26" s="555"/>
      <c r="Z26" s="555"/>
      <c r="AA26" s="555"/>
      <c r="AB26" s="555"/>
      <c r="AC26" s="555"/>
      <c r="AD26" s="555"/>
      <c r="AE26" s="555"/>
      <c r="AF26" s="555"/>
      <c r="AG26" s="555"/>
      <c r="AH26" s="557"/>
      <c r="AI26" s="555"/>
      <c r="AJ26" s="555"/>
      <c r="AK26" s="555"/>
    </row>
    <row r="27" spans="1:56">
      <c r="A27" s="542"/>
      <c r="B27" s="563" t="s">
        <v>2379</v>
      </c>
      <c r="C27" s="556">
        <v>8</v>
      </c>
      <c r="D27" s="555"/>
      <c r="E27" s="543" t="str">
        <f>"   "&amp;VLOOKUP(B27,TAXRECONTABLE,2,FALSE)</f>
        <v xml:space="preserve">   Permanent Differences</v>
      </c>
      <c r="F27" s="555"/>
      <c r="G27" s="543">
        <f>VLOOKUP(B27,T160:X168,4)</f>
        <v>145256</v>
      </c>
      <c r="H27" s="557"/>
      <c r="I27" s="543">
        <f>K27-G27</f>
        <v>0</v>
      </c>
      <c r="J27" s="557"/>
      <c r="K27" s="543">
        <f>VLOOKUP(B27,T160:X168,5,)</f>
        <v>145256</v>
      </c>
      <c r="L27" s="753">
        <v>0</v>
      </c>
      <c r="M27" s="543">
        <f>K27+L27</f>
        <v>145256</v>
      </c>
      <c r="N27" s="557"/>
      <c r="O27" s="557">
        <v>0</v>
      </c>
      <c r="P27" s="557"/>
      <c r="Q27" s="557">
        <f>M27+O27</f>
        <v>145256</v>
      </c>
      <c r="R27" s="557"/>
      <c r="S27" s="555"/>
      <c r="T27" s="555"/>
      <c r="U27" s="555"/>
      <c r="V27" s="555"/>
      <c r="W27" s="555"/>
      <c r="X27" s="555"/>
      <c r="Y27" s="555"/>
      <c r="Z27" s="555"/>
      <c r="AA27" s="555"/>
      <c r="AB27" s="555"/>
      <c r="AC27" s="555"/>
      <c r="AD27" s="555"/>
      <c r="AE27" s="555"/>
      <c r="AF27" s="555"/>
      <c r="AG27" s="555"/>
      <c r="AH27" s="557"/>
      <c r="AI27" s="555"/>
      <c r="AJ27" s="555"/>
      <c r="AK27" s="555"/>
    </row>
    <row r="28" spans="1:56">
      <c r="A28" s="542"/>
      <c r="B28" s="542"/>
      <c r="C28" s="556">
        <v>9</v>
      </c>
      <c r="D28" s="555"/>
      <c r="E28" s="555"/>
      <c r="F28" s="555"/>
      <c r="G28" s="557"/>
      <c r="H28" s="557"/>
      <c r="I28" s="557"/>
      <c r="J28" s="557"/>
      <c r="K28" s="557"/>
      <c r="L28" s="557"/>
      <c r="M28" s="557"/>
      <c r="N28" s="557"/>
      <c r="O28" s="557"/>
      <c r="P28" s="557"/>
      <c r="Q28" s="557"/>
      <c r="R28" s="557"/>
      <c r="S28" s="555"/>
      <c r="T28" s="555"/>
      <c r="U28" s="555"/>
      <c r="V28" s="555"/>
      <c r="W28" s="555"/>
      <c r="X28" s="555"/>
      <c r="Y28" s="555"/>
      <c r="Z28" s="555"/>
      <c r="AA28" s="555"/>
      <c r="AB28" s="555"/>
      <c r="AC28" s="555"/>
      <c r="AD28" s="555"/>
      <c r="AE28" s="555"/>
      <c r="AF28" s="555"/>
      <c r="AG28" s="555"/>
      <c r="AH28" s="557"/>
      <c r="AI28" s="555"/>
      <c r="AJ28" s="555"/>
      <c r="AK28" s="555"/>
    </row>
    <row r="29" spans="1:56">
      <c r="A29" s="542"/>
      <c r="B29" s="563" t="s">
        <v>2380</v>
      </c>
      <c r="C29" s="556">
        <v>10</v>
      </c>
      <c r="D29" s="555"/>
      <c r="E29" s="554" t="s">
        <v>2381</v>
      </c>
      <c r="F29" s="555"/>
      <c r="G29" s="543">
        <f>VLOOKUP($B$29,T160:X168,4)</f>
        <v>-58354359</v>
      </c>
      <c r="H29" s="557"/>
      <c r="I29" s="557">
        <f>K29-G29</f>
        <v>-9875639</v>
      </c>
      <c r="J29" s="557"/>
      <c r="K29" s="543">
        <f>VLOOKUP($B$29,T160:X168,5,)</f>
        <v>-68229998</v>
      </c>
      <c r="L29" s="543">
        <v>0</v>
      </c>
      <c r="M29" s="543">
        <f>K29+L29</f>
        <v>-68229998</v>
      </c>
      <c r="N29" s="557"/>
      <c r="O29" s="557">
        <v>0</v>
      </c>
      <c r="P29" s="557"/>
      <c r="Q29" s="557">
        <f>M29+O29</f>
        <v>-68229998</v>
      </c>
      <c r="R29" s="557"/>
      <c r="S29" s="555"/>
      <c r="T29" s="555"/>
      <c r="U29" s="555"/>
      <c r="V29" s="555"/>
      <c r="W29" s="555"/>
      <c r="X29" s="555"/>
      <c r="Y29" s="555"/>
      <c r="Z29" s="555"/>
      <c r="AA29" s="555"/>
      <c r="AB29" s="555"/>
      <c r="AC29" s="555"/>
      <c r="AD29" s="555"/>
      <c r="AE29" s="555"/>
      <c r="AF29" s="555"/>
      <c r="AG29" s="555"/>
      <c r="AH29" s="557"/>
      <c r="AI29" s="555"/>
      <c r="AJ29" s="555"/>
      <c r="AK29" s="555"/>
    </row>
    <row r="30" spans="1:56">
      <c r="A30" s="542"/>
      <c r="B30" s="563" t="s">
        <v>2382</v>
      </c>
      <c r="C30" s="556">
        <v>11</v>
      </c>
      <c r="D30" s="555"/>
      <c r="E30" s="554" t="s">
        <v>2383</v>
      </c>
      <c r="F30" s="555"/>
      <c r="G30" s="543">
        <f>VLOOKUP($B$30,T160:X168,4)</f>
        <v>65049956</v>
      </c>
      <c r="H30" s="557"/>
      <c r="I30" s="1544">
        <f>K30-G30</f>
        <v>8396092</v>
      </c>
      <c r="J30" s="561"/>
      <c r="K30" s="543">
        <f>VLOOKUP($B$30,T160:X168,5,FALSE)</f>
        <v>73446048</v>
      </c>
      <c r="L30" s="543">
        <f>SCH_D2.24!J27</f>
        <v>12796994</v>
      </c>
      <c r="M30" s="543">
        <f>K30+L30</f>
        <v>86243042</v>
      </c>
      <c r="N30" s="557"/>
      <c r="O30" s="557">
        <v>0</v>
      </c>
      <c r="P30" s="561"/>
      <c r="Q30" s="557">
        <f>M30+O30</f>
        <v>86243042</v>
      </c>
      <c r="R30" s="561"/>
      <c r="S30" s="555"/>
      <c r="T30" s="555"/>
      <c r="U30" s="555"/>
      <c r="V30" s="555"/>
      <c r="W30" s="555"/>
      <c r="X30" s="555"/>
      <c r="Y30" s="555"/>
      <c r="Z30" s="555"/>
      <c r="AA30" s="555"/>
      <c r="AB30" s="555"/>
      <c r="AC30" s="555"/>
      <c r="AD30" s="555"/>
      <c r="AE30" s="555"/>
      <c r="AF30" s="555"/>
      <c r="AG30" s="555"/>
      <c r="AH30" s="557"/>
      <c r="AI30" s="555"/>
      <c r="AJ30" s="555"/>
      <c r="AK30" s="555"/>
      <c r="BD30">
        <f>ROUND(BC30,0)</f>
        <v>0</v>
      </c>
    </row>
    <row r="31" spans="1:56">
      <c r="A31" s="542"/>
      <c r="B31" s="542"/>
      <c r="C31" s="556">
        <v>12</v>
      </c>
      <c r="D31" s="555"/>
      <c r="E31" s="554" t="s">
        <v>2384</v>
      </c>
      <c r="F31" s="555"/>
      <c r="G31" s="2157">
        <f>SUM(G29:G30)</f>
        <v>6695597</v>
      </c>
      <c r="H31" s="557"/>
      <c r="I31" s="2157">
        <f>SUM(I29:I30)</f>
        <v>-1479547</v>
      </c>
      <c r="J31" s="557"/>
      <c r="K31" s="2157">
        <f>SUM(K29:K30)</f>
        <v>5216050</v>
      </c>
      <c r="L31" s="2157">
        <f>SUM(L29:L30)</f>
        <v>12796994</v>
      </c>
      <c r="M31" s="2157">
        <f>SUM(M29:M30)</f>
        <v>18013044</v>
      </c>
      <c r="N31" s="557"/>
      <c r="O31" s="2157">
        <f>SUM(O29:O30)</f>
        <v>0</v>
      </c>
      <c r="P31" s="557"/>
      <c r="Q31" s="2157">
        <f>SUM(Q29:Q30)</f>
        <v>18013044</v>
      </c>
      <c r="R31" s="557"/>
      <c r="S31" s="555"/>
      <c r="T31" s="555"/>
      <c r="U31" s="555"/>
      <c r="V31" s="555"/>
      <c r="W31" s="555"/>
      <c r="X31" s="555"/>
      <c r="Y31" s="555"/>
      <c r="Z31" s="555"/>
      <c r="AA31" s="555"/>
      <c r="AB31" s="555"/>
      <c r="AC31" s="555"/>
      <c r="AD31" s="555"/>
      <c r="AE31" s="555"/>
      <c r="AF31" s="555"/>
      <c r="AG31" s="555"/>
      <c r="AH31" s="557"/>
      <c r="AI31" s="555"/>
      <c r="AJ31" s="555"/>
      <c r="AK31" s="555"/>
    </row>
    <row r="32" spans="1:56">
      <c r="A32" s="542"/>
      <c r="B32" s="542"/>
      <c r="C32" s="556">
        <v>13</v>
      </c>
      <c r="D32" s="555"/>
      <c r="E32" s="555"/>
      <c r="F32" s="555"/>
      <c r="G32" s="557"/>
      <c r="H32" s="557"/>
      <c r="I32" s="557"/>
      <c r="J32" s="557"/>
      <c r="K32" s="557"/>
      <c r="L32" s="557"/>
      <c r="M32" s="557"/>
      <c r="N32" s="557"/>
      <c r="O32" s="557"/>
      <c r="P32" s="557"/>
      <c r="Q32" s="557"/>
      <c r="R32" s="557"/>
      <c r="S32" s="555"/>
      <c r="T32" s="555"/>
      <c r="U32" s="555"/>
      <c r="V32" s="555"/>
      <c r="W32" s="555"/>
      <c r="X32" s="555"/>
      <c r="Y32" s="555"/>
      <c r="Z32" s="555"/>
      <c r="AA32" s="555"/>
      <c r="AB32" s="555"/>
      <c r="AC32" s="555"/>
      <c r="AD32" s="555"/>
      <c r="AE32" s="555"/>
      <c r="AF32" s="555"/>
      <c r="AG32" s="555"/>
      <c r="AH32" s="557"/>
      <c r="AI32" s="555"/>
      <c r="AJ32" s="555"/>
      <c r="AK32" s="555"/>
    </row>
    <row r="33" spans="1:37">
      <c r="A33" s="542"/>
      <c r="B33" s="542"/>
      <c r="C33" s="556">
        <v>14</v>
      </c>
      <c r="D33" s="555"/>
      <c r="E33" s="554" t="s">
        <v>2385</v>
      </c>
      <c r="F33" s="555"/>
      <c r="G33" s="557"/>
      <c r="H33" s="557"/>
      <c r="I33" s="562"/>
      <c r="J33" s="562"/>
      <c r="K33" s="557"/>
      <c r="L33" s="557"/>
      <c r="M33" s="557"/>
      <c r="N33" s="557"/>
      <c r="O33" s="557"/>
      <c r="P33" s="557"/>
      <c r="Q33" s="557"/>
      <c r="R33" s="557"/>
      <c r="S33" s="555"/>
      <c r="T33" s="555"/>
      <c r="U33" s="555"/>
      <c r="V33" s="555"/>
      <c r="W33" s="555"/>
      <c r="X33" s="555"/>
      <c r="Y33" s="555"/>
      <c r="Z33" s="555"/>
      <c r="AA33" s="555"/>
      <c r="AB33" s="555"/>
      <c r="AC33" s="555"/>
      <c r="AD33" s="555"/>
      <c r="AE33" s="555"/>
      <c r="AF33" s="555"/>
      <c r="AG33" s="555"/>
      <c r="AH33" s="557"/>
      <c r="AI33" s="555"/>
      <c r="AJ33" s="555"/>
      <c r="AK33" s="555"/>
    </row>
    <row r="34" spans="1:37">
      <c r="A34" s="542"/>
      <c r="B34" s="563" t="s">
        <v>2386</v>
      </c>
      <c r="C34" s="556">
        <v>15</v>
      </c>
      <c r="D34" s="555"/>
      <c r="E34" s="543" t="str">
        <f>"   "&amp;VLOOKUP(B34,TAXRECONTABLE,2,FALSE)</f>
        <v xml:space="preserve">   Other Temporary Differences</v>
      </c>
      <c r="F34" s="555"/>
      <c r="G34" s="543">
        <f>VLOOKUP(B34,T160:X168,4)</f>
        <v>-27440265</v>
      </c>
      <c r="H34" s="557"/>
      <c r="I34" s="543">
        <f>K34-G34</f>
        <v>-2996297</v>
      </c>
      <c r="J34" s="562"/>
      <c r="K34" s="543">
        <f>VLOOKUP(B34,T160:X168,5,)</f>
        <v>-30436562</v>
      </c>
      <c r="L34" s="543">
        <v>0</v>
      </c>
      <c r="M34" s="543">
        <f>K34+L34</f>
        <v>-30436562</v>
      </c>
      <c r="N34" s="557"/>
      <c r="O34" s="557">
        <v>0</v>
      </c>
      <c r="P34" s="557"/>
      <c r="Q34" s="557">
        <f>M34+O34</f>
        <v>-30436562</v>
      </c>
      <c r="R34" s="557"/>
      <c r="S34" s="555"/>
      <c r="T34" s="555"/>
      <c r="U34" s="555"/>
      <c r="V34" s="555"/>
      <c r="W34" s="555"/>
      <c r="X34" s="555"/>
      <c r="Y34" s="555"/>
      <c r="Z34" s="555"/>
      <c r="AA34" s="555"/>
      <c r="AB34" s="555"/>
      <c r="AC34" s="555"/>
      <c r="AD34" s="555"/>
      <c r="AE34" s="555"/>
      <c r="AF34" s="555"/>
      <c r="AG34" s="555"/>
      <c r="AH34" s="557"/>
      <c r="AI34" s="555"/>
      <c r="AJ34" s="555"/>
      <c r="AK34" s="555"/>
    </row>
    <row r="35" spans="1:37">
      <c r="A35" s="542"/>
      <c r="B35" s="563" t="s">
        <v>382</v>
      </c>
      <c r="C35" s="556">
        <v>16</v>
      </c>
      <c r="D35" s="555"/>
      <c r="E35" s="543" t="s">
        <v>382</v>
      </c>
      <c r="F35" s="555"/>
      <c r="G35" s="543"/>
      <c r="H35" s="557"/>
      <c r="I35" s="543"/>
      <c r="J35" s="557"/>
      <c r="K35" s="543"/>
      <c r="L35" s="543"/>
      <c r="M35" s="543"/>
      <c r="N35" s="557"/>
      <c r="O35" s="557"/>
      <c r="P35" s="557"/>
      <c r="Q35" s="557"/>
      <c r="R35" s="557"/>
      <c r="S35" s="555"/>
      <c r="T35" s="555"/>
      <c r="U35" s="555"/>
      <c r="V35" s="555"/>
      <c r="W35" s="555"/>
      <c r="X35" s="555"/>
      <c r="Y35" s="555"/>
      <c r="Z35" s="555"/>
      <c r="AA35" s="555"/>
      <c r="AB35" s="555"/>
      <c r="AC35" s="555"/>
      <c r="AD35" s="555"/>
      <c r="AE35" s="555"/>
      <c r="AF35" s="555"/>
      <c r="AG35" s="555"/>
      <c r="AH35" s="557"/>
      <c r="AI35" s="555"/>
      <c r="AJ35" s="555"/>
      <c r="AK35" s="555"/>
    </row>
    <row r="36" spans="1:37">
      <c r="A36" s="555"/>
      <c r="B36" s="555"/>
      <c r="C36" s="556">
        <v>17</v>
      </c>
      <c r="D36" s="555"/>
      <c r="E36" s="554" t="s">
        <v>2387</v>
      </c>
      <c r="F36" s="553"/>
      <c r="G36" s="2157">
        <f>SUM(G34:G35)</f>
        <v>-27440265</v>
      </c>
      <c r="H36" s="557"/>
      <c r="I36" s="2157">
        <f>SUM(I34:I35)</f>
        <v>-2996297</v>
      </c>
      <c r="J36" s="741"/>
      <c r="K36" s="2157">
        <f>SUM(K34:K35)</f>
        <v>-30436562</v>
      </c>
      <c r="L36" s="2157">
        <f>SUM(L34:L35)</f>
        <v>0</v>
      </c>
      <c r="M36" s="2157">
        <f>SUM(M34:M35)</f>
        <v>-30436562</v>
      </c>
      <c r="N36" s="557"/>
      <c r="O36" s="2157">
        <f>SUM(O34:O35)</f>
        <v>0</v>
      </c>
      <c r="P36" s="741"/>
      <c r="Q36" s="2157">
        <f>SUM(Q34:Q35)</f>
        <v>-30436562</v>
      </c>
      <c r="R36" s="553"/>
      <c r="S36" s="555"/>
      <c r="T36" s="555"/>
      <c r="U36" s="555"/>
      <c r="V36" s="555"/>
      <c r="W36" s="555"/>
      <c r="X36" s="555"/>
      <c r="Y36" s="555"/>
      <c r="Z36" s="555"/>
      <c r="AA36" s="555"/>
      <c r="AB36" s="555"/>
      <c r="AC36" s="555"/>
      <c r="AD36" s="555"/>
      <c r="AE36" s="555"/>
      <c r="AF36" s="555"/>
      <c r="AG36" s="555"/>
      <c r="AH36" s="557"/>
      <c r="AI36" s="555"/>
      <c r="AJ36" s="555"/>
      <c r="AK36" s="555"/>
    </row>
    <row r="37" spans="1:37" ht="13.8" thickBot="1">
      <c r="A37" s="555"/>
      <c r="B37" s="555"/>
      <c r="C37" s="556">
        <v>18</v>
      </c>
      <c r="D37" s="555"/>
      <c r="E37" s="554" t="s">
        <v>2388</v>
      </c>
      <c r="F37" s="553"/>
      <c r="G37" s="1702">
        <f>G25+G31+G36+G27</f>
        <v>-47061637</v>
      </c>
      <c r="H37" s="557"/>
      <c r="I37" s="1702">
        <f>I25+I31+I36+I27</f>
        <v>-15930366</v>
      </c>
      <c r="J37" s="741"/>
      <c r="K37" s="1702">
        <f>K25+K31+K36+K27</f>
        <v>-62992003</v>
      </c>
      <c r="L37" s="1702">
        <f>L25+L31+L36+L27</f>
        <v>22090481</v>
      </c>
      <c r="M37" s="1702">
        <f>M25+M31+M36+M27</f>
        <v>-40901522</v>
      </c>
      <c r="N37" s="557"/>
      <c r="O37" s="1702">
        <f>O25+O31+O36+O27</f>
        <v>0</v>
      </c>
      <c r="P37" s="741"/>
      <c r="Q37" s="1702">
        <f>Q25+Q31+Q36+Q27</f>
        <v>-40901522</v>
      </c>
      <c r="R37" s="553"/>
      <c r="S37" s="555"/>
      <c r="T37" s="555"/>
      <c r="U37" s="555"/>
      <c r="V37" s="555"/>
      <c r="W37" s="555"/>
      <c r="X37" s="555"/>
      <c r="Y37" s="555"/>
      <c r="Z37" s="555"/>
      <c r="AA37" s="555"/>
      <c r="AB37" s="555"/>
      <c r="AC37" s="555"/>
      <c r="AD37" s="555"/>
      <c r="AE37" s="555"/>
      <c r="AF37" s="555"/>
      <c r="AG37" s="555"/>
      <c r="AH37" s="557"/>
      <c r="AI37" s="555"/>
      <c r="AJ37" s="555"/>
      <c r="AK37" s="555"/>
    </row>
    <row r="38" spans="1:37" ht="13.8" thickTop="1">
      <c r="A38" s="555"/>
      <c r="B38" s="555"/>
      <c r="C38" s="555"/>
      <c r="D38" s="555"/>
      <c r="E38" s="555"/>
      <c r="F38" s="553"/>
      <c r="G38" s="564"/>
      <c r="H38" s="553"/>
      <c r="I38" s="553"/>
      <c r="J38" s="553"/>
      <c r="K38" s="553"/>
      <c r="L38" s="553"/>
      <c r="M38" s="553"/>
      <c r="N38" s="553"/>
      <c r="O38" s="553"/>
      <c r="P38" s="553"/>
      <c r="Q38" s="553"/>
      <c r="R38" s="553"/>
      <c r="S38" s="555"/>
      <c r="T38" s="555"/>
      <c r="U38" s="555"/>
      <c r="V38" s="555"/>
      <c r="W38" s="555"/>
      <c r="X38" s="555"/>
      <c r="Y38" s="555"/>
      <c r="Z38" s="555"/>
      <c r="AA38" s="555"/>
      <c r="AB38" s="555"/>
      <c r="AC38" s="555"/>
      <c r="AD38" s="555"/>
      <c r="AE38" s="555"/>
      <c r="AF38" s="555"/>
      <c r="AG38" s="555"/>
      <c r="AH38" s="557"/>
      <c r="AI38" s="555"/>
      <c r="AJ38" s="555"/>
      <c r="AK38" s="555"/>
    </row>
    <row r="39" spans="1:37">
      <c r="A39" s="555"/>
      <c r="B39" s="555"/>
      <c r="C39" s="553"/>
      <c r="D39" s="553"/>
      <c r="E39" s="555"/>
      <c r="F39" s="553"/>
      <c r="G39" s="553"/>
      <c r="H39" s="553"/>
      <c r="I39" s="553"/>
      <c r="J39" s="553"/>
      <c r="K39" s="741"/>
      <c r="L39" s="553"/>
      <c r="M39" s="553"/>
      <c r="N39" s="553"/>
      <c r="O39" s="553"/>
      <c r="P39" s="553"/>
      <c r="Q39" s="553"/>
      <c r="R39" s="553"/>
      <c r="S39" s="555"/>
      <c r="T39" s="555"/>
      <c r="U39" s="555"/>
      <c r="V39" s="555"/>
      <c r="W39" s="555"/>
      <c r="X39" s="555"/>
      <c r="Y39" s="555"/>
      <c r="Z39" s="555"/>
      <c r="AA39" s="555"/>
      <c r="AB39" s="555"/>
      <c r="AC39" s="555"/>
      <c r="AD39" s="555"/>
      <c r="AE39" s="555"/>
      <c r="AF39" s="555"/>
      <c r="AG39" s="555"/>
      <c r="AH39" s="557"/>
      <c r="AI39" s="555"/>
      <c r="AJ39" s="555"/>
      <c r="AK39" s="555"/>
    </row>
    <row r="40" spans="1:37">
      <c r="A40" s="555"/>
      <c r="B40" s="555"/>
      <c r="C40" s="553"/>
      <c r="D40" s="553"/>
      <c r="E40" s="553"/>
      <c r="F40" s="553"/>
      <c r="G40" s="553"/>
      <c r="H40" s="553"/>
      <c r="I40" s="553"/>
      <c r="J40" s="553"/>
      <c r="K40" s="553"/>
      <c r="L40" s="553"/>
      <c r="M40" s="770"/>
      <c r="N40" s="553"/>
      <c r="O40" s="553"/>
      <c r="P40" s="553"/>
      <c r="Q40" s="553"/>
      <c r="R40" s="555"/>
      <c r="S40" s="555"/>
      <c r="T40" s="555"/>
      <c r="U40" s="555"/>
      <c r="V40" s="555"/>
      <c r="W40" s="555"/>
      <c r="X40" s="555"/>
      <c r="Y40" s="555"/>
      <c r="Z40" s="555"/>
      <c r="AA40" s="555"/>
      <c r="AB40" s="555"/>
      <c r="AC40" s="555"/>
      <c r="AD40" s="555"/>
      <c r="AE40" s="555"/>
      <c r="AF40" s="555"/>
      <c r="AG40" s="555"/>
      <c r="AH40" s="557"/>
      <c r="AI40" s="555"/>
      <c r="AJ40" s="555"/>
      <c r="AK40" s="555"/>
    </row>
    <row r="41" spans="1:37">
      <c r="A41" s="555"/>
      <c r="B41" s="555"/>
      <c r="C41" s="553"/>
      <c r="D41" s="553"/>
      <c r="E41" s="553"/>
      <c r="F41" s="553"/>
      <c r="G41" s="553"/>
      <c r="H41" s="553"/>
      <c r="I41" s="553"/>
      <c r="J41" s="553"/>
      <c r="K41" s="553"/>
      <c r="L41" s="553"/>
      <c r="M41" s="770"/>
      <c r="N41" s="553"/>
      <c r="O41" s="553"/>
      <c r="P41" s="553"/>
      <c r="Q41" s="553"/>
      <c r="R41" s="555"/>
      <c r="S41" s="555"/>
      <c r="T41" s="555"/>
      <c r="U41" s="555"/>
      <c r="V41" s="555"/>
      <c r="W41" s="555"/>
      <c r="X41" s="555"/>
      <c r="Y41" s="555"/>
      <c r="Z41" s="555"/>
      <c r="AA41" s="555"/>
      <c r="AB41" s="555"/>
      <c r="AC41" s="555"/>
      <c r="AD41" s="555"/>
      <c r="AE41" s="555"/>
      <c r="AF41" s="555"/>
      <c r="AG41" s="555"/>
      <c r="AH41" s="557"/>
      <c r="AI41" s="555"/>
      <c r="AJ41" s="555"/>
      <c r="AK41" s="555"/>
    </row>
    <row r="42" spans="1:37">
      <c r="A42" s="555"/>
      <c r="B42" s="555"/>
      <c r="C42" s="553" t="str">
        <f>COMPANY</f>
        <v>DUKE ENERGY KENTUCKY, INC.</v>
      </c>
      <c r="D42" s="553"/>
      <c r="E42" s="553"/>
      <c r="F42" s="553"/>
      <c r="G42" s="553"/>
      <c r="H42" s="553"/>
      <c r="I42" s="553"/>
      <c r="J42" s="553"/>
      <c r="K42" s="553"/>
      <c r="L42" s="553"/>
      <c r="M42" s="553"/>
      <c r="N42" s="553"/>
      <c r="O42" s="553"/>
      <c r="P42" s="553"/>
      <c r="Q42" s="553"/>
      <c r="R42" s="555"/>
      <c r="S42" s="555"/>
      <c r="T42" s="555"/>
      <c r="U42" s="555"/>
      <c r="V42" s="555"/>
      <c r="W42" s="555"/>
      <c r="X42" s="555"/>
      <c r="Y42" s="555"/>
      <c r="Z42" s="555"/>
      <c r="AA42" s="555"/>
      <c r="AB42" s="555"/>
      <c r="AC42" s="555"/>
      <c r="AD42" s="555"/>
      <c r="AE42" s="555"/>
      <c r="AF42" s="555"/>
      <c r="AG42" s="555"/>
      <c r="AH42" s="557"/>
      <c r="AI42" s="555"/>
      <c r="AJ42" s="555"/>
      <c r="AK42" s="555"/>
    </row>
    <row r="43" spans="1:37">
      <c r="A43" s="555"/>
      <c r="B43" s="555"/>
      <c r="C43" s="553" t="str">
        <f>CASE</f>
        <v>CASE NO. 2024-00354</v>
      </c>
      <c r="D43" s="553"/>
      <c r="E43" s="553"/>
      <c r="F43" s="553"/>
      <c r="G43" s="553"/>
      <c r="H43" s="553"/>
      <c r="I43" s="553"/>
      <c r="J43" s="553"/>
      <c r="K43" s="553"/>
      <c r="L43" s="553"/>
      <c r="M43" s="553"/>
      <c r="N43" s="553"/>
      <c r="O43" s="553"/>
      <c r="P43" s="553"/>
      <c r="Q43" s="553"/>
      <c r="R43" s="555"/>
      <c r="S43" s="555"/>
      <c r="T43" s="555"/>
      <c r="U43" s="555"/>
      <c r="V43" s="555"/>
      <c r="W43" s="555"/>
      <c r="X43" s="555"/>
      <c r="Y43" s="555"/>
      <c r="Z43" s="555"/>
      <c r="AA43" s="555"/>
      <c r="AB43" s="555"/>
      <c r="AC43" s="555"/>
      <c r="AD43" s="555"/>
      <c r="AE43" s="555"/>
      <c r="AF43" s="555"/>
      <c r="AG43" s="557"/>
      <c r="AH43" s="557"/>
      <c r="AI43" s="555"/>
      <c r="AJ43" s="555"/>
      <c r="AK43" s="555"/>
    </row>
    <row r="44" spans="1:37">
      <c r="A44" s="555"/>
      <c r="B44" s="555"/>
      <c r="C44" s="553" t="s">
        <v>2367</v>
      </c>
      <c r="D44" s="553"/>
      <c r="E44" s="553"/>
      <c r="F44" s="553"/>
      <c r="G44" s="553"/>
      <c r="H44" s="553"/>
      <c r="I44" s="553"/>
      <c r="J44" s="553"/>
      <c r="K44" s="553"/>
      <c r="L44" s="553"/>
      <c r="M44" s="553"/>
      <c r="N44" s="553"/>
      <c r="O44" s="553"/>
      <c r="P44" s="553"/>
      <c r="Q44" s="553"/>
      <c r="R44" s="555"/>
      <c r="S44" s="555"/>
      <c r="T44" s="555"/>
      <c r="U44" s="555"/>
      <c r="V44" s="555"/>
      <c r="W44" s="555"/>
      <c r="X44" s="555"/>
      <c r="Y44" s="555"/>
      <c r="Z44" s="555"/>
      <c r="AA44" s="555"/>
      <c r="AB44" s="555"/>
      <c r="AC44" s="555"/>
      <c r="AD44" s="554"/>
      <c r="AE44" s="555"/>
      <c r="AF44" s="555"/>
      <c r="AG44" s="555"/>
      <c r="AH44" s="557"/>
      <c r="AI44" s="555"/>
      <c r="AJ44" s="555"/>
      <c r="AK44" s="555"/>
    </row>
    <row r="45" spans="1:37">
      <c r="A45" s="555"/>
      <c r="B45" s="555"/>
      <c r="C45" s="553" t="str">
        <f>PERIOD</f>
        <v>FOR THE TWELVE MONTHS ENDED FEBRUARY 28, 2025</v>
      </c>
      <c r="D45" s="553"/>
      <c r="E45" s="553"/>
      <c r="F45" s="553"/>
      <c r="G45" s="553"/>
      <c r="H45" s="553"/>
      <c r="I45" s="553"/>
      <c r="J45" s="553"/>
      <c r="K45" s="553"/>
      <c r="L45" s="553"/>
      <c r="M45" s="553"/>
      <c r="N45" s="553"/>
      <c r="O45" s="553"/>
      <c r="P45" s="553"/>
      <c r="Q45" s="553"/>
      <c r="R45" s="555"/>
      <c r="S45" s="555"/>
      <c r="T45" s="555"/>
      <c r="U45" s="555"/>
      <c r="V45" s="555"/>
      <c r="W45" s="555"/>
      <c r="X45" s="555"/>
      <c r="Y45" s="555"/>
      <c r="Z45" s="555"/>
      <c r="AA45" s="555"/>
      <c r="AB45" s="555"/>
      <c r="AC45" s="555"/>
      <c r="AD45" s="554"/>
      <c r="AE45" s="555"/>
      <c r="AF45" s="555"/>
      <c r="AG45" s="555"/>
      <c r="AH45" s="557"/>
      <c r="AI45" s="555"/>
      <c r="AJ45" s="555"/>
      <c r="AK45" s="555"/>
    </row>
    <row r="46" spans="1:37">
      <c r="A46" s="555"/>
      <c r="B46" s="555"/>
      <c r="C46" s="553" t="str">
        <f>PeriodF</f>
        <v>FOR THE TWELVE MONTHS ENDED JUNE 30, 2026</v>
      </c>
      <c r="D46" s="553"/>
      <c r="E46" s="553"/>
      <c r="F46" s="553"/>
      <c r="G46" s="553"/>
      <c r="H46" s="553"/>
      <c r="I46" s="553"/>
      <c r="J46" s="553"/>
      <c r="K46" s="553"/>
      <c r="L46" s="553"/>
      <c r="M46" s="553"/>
      <c r="N46" s="553"/>
      <c r="O46" s="553"/>
      <c r="P46" s="553"/>
      <c r="Q46" s="553"/>
      <c r="R46" s="555"/>
      <c r="S46" s="555"/>
      <c r="T46" s="555"/>
      <c r="U46" s="555"/>
      <c r="V46" s="555"/>
      <c r="W46" s="555"/>
      <c r="X46" s="555"/>
      <c r="Y46" s="555"/>
      <c r="Z46" s="555"/>
      <c r="AA46" s="555"/>
      <c r="AB46" s="555"/>
      <c r="AC46" s="555"/>
      <c r="AD46" s="555"/>
      <c r="AE46" s="555"/>
      <c r="AF46" s="555"/>
      <c r="AG46" s="555"/>
      <c r="AH46" s="557"/>
      <c r="AI46" s="555"/>
      <c r="AJ46" s="555"/>
      <c r="AK46" s="555"/>
    </row>
    <row r="47" spans="1:37">
      <c r="A47" s="555"/>
      <c r="B47" s="555"/>
      <c r="C47" s="555"/>
      <c r="D47" s="555"/>
      <c r="E47" s="553"/>
      <c r="F47" s="555"/>
      <c r="G47" s="555"/>
      <c r="H47" s="555"/>
      <c r="I47" s="555"/>
      <c r="J47" s="555"/>
      <c r="K47" s="555"/>
      <c r="L47" s="555"/>
      <c r="M47" s="555"/>
      <c r="N47" s="555"/>
      <c r="O47" s="555"/>
      <c r="P47" s="555"/>
      <c r="Q47" s="555"/>
      <c r="R47" s="555"/>
      <c r="S47" s="555"/>
      <c r="T47" s="555"/>
      <c r="U47" s="555"/>
      <c r="V47" s="555"/>
      <c r="W47" s="555"/>
      <c r="X47" s="555"/>
      <c r="Y47" s="555"/>
      <c r="Z47" s="555"/>
      <c r="AA47" s="555"/>
      <c r="AB47" s="555"/>
      <c r="AC47" s="555"/>
      <c r="AD47" s="555"/>
      <c r="AE47" s="555"/>
      <c r="AF47" s="555"/>
      <c r="AG47" s="555"/>
      <c r="AH47" s="557"/>
      <c r="AI47" s="555"/>
      <c r="AJ47" s="555"/>
      <c r="AK47" s="555"/>
    </row>
    <row r="48" spans="1:37">
      <c r="A48" s="555"/>
      <c r="B48" s="555"/>
      <c r="C48" s="555" t="str">
        <f>DataB</f>
        <v>DATA: "X" BASE PERIOD  "X" FORECASTED PERIOD</v>
      </c>
      <c r="D48" s="555"/>
      <c r="E48" s="554"/>
      <c r="F48" s="555"/>
      <c r="G48" s="555"/>
      <c r="H48" s="555"/>
      <c r="I48" s="555"/>
      <c r="J48" s="555"/>
      <c r="K48" s="555"/>
      <c r="L48" s="555"/>
      <c r="M48" s="555"/>
      <c r="N48" s="555"/>
      <c r="O48" s="554" t="s">
        <v>2368</v>
      </c>
      <c r="P48" s="554"/>
      <c r="Q48" s="555"/>
      <c r="R48" s="553"/>
      <c r="S48" s="555"/>
      <c r="T48" s="555"/>
      <c r="U48" s="555"/>
      <c r="V48" s="555"/>
      <c r="W48" s="555"/>
      <c r="X48" s="555"/>
      <c r="Y48" s="555"/>
      <c r="Z48" s="555"/>
      <c r="AA48" s="555"/>
      <c r="AB48" s="555"/>
      <c r="AC48" s="555"/>
      <c r="AD48" s="555"/>
      <c r="AE48" s="555"/>
      <c r="AF48" s="555"/>
      <c r="AG48" s="555"/>
      <c r="AH48" s="557"/>
      <c r="AI48" s="555"/>
      <c r="AJ48" s="555"/>
      <c r="AK48" s="555"/>
    </row>
    <row r="49" spans="1:37">
      <c r="A49" s="555"/>
      <c r="B49" s="555"/>
      <c r="C49" s="555" t="str">
        <f>Type</f>
        <v xml:space="preserve">TYPE OF FILING:  "X" ORIGINAL   UPDATED    REVISED  </v>
      </c>
      <c r="D49" s="555"/>
      <c r="E49" s="554"/>
      <c r="F49" s="555"/>
      <c r="G49" s="555"/>
      <c r="H49" s="555"/>
      <c r="I49" s="555"/>
      <c r="J49" s="555"/>
      <c r="K49" s="555"/>
      <c r="L49" s="555"/>
      <c r="M49" s="555"/>
      <c r="N49" s="555"/>
      <c r="O49" s="554" t="s">
        <v>2389</v>
      </c>
      <c r="P49" s="554"/>
      <c r="Q49" s="555"/>
      <c r="R49" s="555"/>
      <c r="S49" s="555"/>
      <c r="T49" s="555"/>
      <c r="U49" s="555"/>
      <c r="V49" s="555"/>
      <c r="W49" s="555"/>
      <c r="X49" s="555"/>
      <c r="Y49" s="555"/>
      <c r="Z49" s="555"/>
      <c r="AA49" s="555"/>
      <c r="AB49" s="555"/>
      <c r="AC49" s="555"/>
      <c r="AD49" s="555"/>
      <c r="AE49" s="555"/>
      <c r="AF49" s="555"/>
      <c r="AG49" s="555"/>
      <c r="AH49" s="557"/>
      <c r="AI49" s="555"/>
      <c r="AJ49" s="555"/>
      <c r="AK49" s="555"/>
    </row>
    <row r="50" spans="1:37">
      <c r="A50" s="555"/>
      <c r="B50" s="555"/>
      <c r="C50" s="554" t="str">
        <f>$C$11</f>
        <v>WORK PAPER REFERENCE NO(S).:  WPE-1a, WPE-1b</v>
      </c>
      <c r="D50" s="555"/>
      <c r="E50" s="554"/>
      <c r="F50" s="555"/>
      <c r="G50" s="555"/>
      <c r="H50" s="555"/>
      <c r="I50" s="555"/>
      <c r="J50" s="555"/>
      <c r="K50" s="555"/>
      <c r="L50" s="555"/>
      <c r="M50" s="555"/>
      <c r="N50" s="555"/>
      <c r="O50" s="554" t="s">
        <v>468</v>
      </c>
      <c r="P50" s="554"/>
      <c r="Q50" s="555"/>
      <c r="R50" s="556"/>
      <c r="S50" s="555"/>
      <c r="T50" s="555"/>
      <c r="U50" s="555"/>
      <c r="V50" s="555"/>
      <c r="W50" s="555"/>
      <c r="X50" s="555"/>
      <c r="Y50" s="555"/>
      <c r="Z50" s="555"/>
      <c r="AA50" s="555"/>
      <c r="AB50" s="555"/>
      <c r="AC50" s="555"/>
      <c r="AD50" s="555"/>
      <c r="AE50" s="555"/>
      <c r="AF50" s="555"/>
      <c r="AG50" s="555"/>
      <c r="AH50" s="557"/>
      <c r="AI50" s="555"/>
      <c r="AJ50" s="555"/>
      <c r="AK50" s="555"/>
    </row>
    <row r="51" spans="1:37">
      <c r="A51" s="555"/>
      <c r="B51" s="555"/>
      <c r="C51" s="555"/>
      <c r="D51" s="555"/>
      <c r="E51" s="554"/>
      <c r="F51" s="555"/>
      <c r="G51" s="555"/>
      <c r="H51" s="555"/>
      <c r="I51" s="555"/>
      <c r="J51" s="555"/>
      <c r="K51" s="555"/>
      <c r="L51" s="555"/>
      <c r="M51" s="555"/>
      <c r="N51" s="555"/>
      <c r="O51" s="554" t="str">
        <f>O12</f>
        <v>J. R. PANIZZA</v>
      </c>
      <c r="P51" s="556"/>
      <c r="Q51" s="555"/>
      <c r="R51" s="558"/>
      <c r="S51" s="555"/>
      <c r="T51" s="555"/>
      <c r="U51" s="555"/>
      <c r="V51" s="555"/>
      <c r="W51" s="555"/>
      <c r="X51" s="555"/>
      <c r="Y51" s="555"/>
      <c r="Z51" s="555"/>
      <c r="AA51" s="555"/>
      <c r="AB51" s="555"/>
      <c r="AC51" s="555"/>
      <c r="AD51" s="555"/>
      <c r="AE51" s="555"/>
      <c r="AF51" s="555"/>
      <c r="AG51" s="555"/>
      <c r="AH51" s="557"/>
      <c r="AI51" s="555"/>
      <c r="AJ51" s="555"/>
      <c r="AK51" s="555"/>
    </row>
    <row r="52" spans="1:37">
      <c r="A52" s="555"/>
      <c r="B52" s="555"/>
      <c r="C52" s="555"/>
      <c r="D52" s="555"/>
      <c r="E52" s="554"/>
      <c r="F52" s="555"/>
      <c r="G52" s="555"/>
      <c r="H52" s="555"/>
      <c r="I52" s="555"/>
      <c r="J52" s="555"/>
      <c r="K52" s="555"/>
      <c r="L52" s="555"/>
      <c r="M52" s="555"/>
      <c r="N52" s="555"/>
      <c r="O52" s="554"/>
      <c r="P52" s="556"/>
      <c r="Q52" s="555"/>
      <c r="R52" s="558"/>
      <c r="S52" s="555"/>
      <c r="T52" s="555"/>
      <c r="U52" s="555"/>
      <c r="V52" s="555"/>
      <c r="W52" s="555"/>
      <c r="X52" s="555"/>
      <c r="Y52" s="555"/>
      <c r="Z52" s="555"/>
      <c r="AA52" s="555"/>
      <c r="AB52" s="555"/>
      <c r="AC52" s="555"/>
      <c r="AD52" s="555"/>
      <c r="AE52" s="555"/>
      <c r="AF52" s="555"/>
      <c r="AG52" s="555"/>
      <c r="AH52" s="557"/>
      <c r="AI52" s="555"/>
      <c r="AJ52" s="555"/>
      <c r="AK52" s="555"/>
    </row>
    <row r="53" spans="1:37">
      <c r="A53" s="555"/>
      <c r="B53" s="555"/>
      <c r="C53" s="2153"/>
      <c r="D53" s="2153"/>
      <c r="E53" s="2154"/>
      <c r="F53" s="2153"/>
      <c r="G53" s="2155" t="s">
        <v>2371</v>
      </c>
      <c r="H53" s="2155"/>
      <c r="I53" s="2155"/>
      <c r="J53" s="2155"/>
      <c r="K53" s="2156"/>
      <c r="L53" s="2156"/>
      <c r="M53" s="2156"/>
      <c r="N53" s="2153"/>
      <c r="O53" s="2155" t="s">
        <v>2372</v>
      </c>
      <c r="P53" s="2155"/>
      <c r="Q53" s="2155"/>
      <c r="R53" s="556"/>
      <c r="S53" s="555"/>
      <c r="T53" s="555"/>
      <c r="U53" s="555"/>
      <c r="V53" s="555"/>
      <c r="W53" s="555"/>
      <c r="X53" s="555"/>
      <c r="Y53" s="555"/>
      <c r="Z53" s="555"/>
      <c r="AA53" s="555"/>
      <c r="AB53" s="555"/>
      <c r="AC53" s="555"/>
      <c r="AD53" s="555"/>
      <c r="AE53" s="555"/>
      <c r="AF53" s="555"/>
      <c r="AG53" s="555"/>
      <c r="AH53" s="557"/>
      <c r="AI53" s="555"/>
      <c r="AJ53" s="555"/>
      <c r="AK53" s="555"/>
    </row>
    <row r="54" spans="1:37">
      <c r="A54" s="555"/>
      <c r="B54" s="555"/>
      <c r="C54" s="555"/>
      <c r="D54" s="555"/>
      <c r="E54" s="554"/>
      <c r="F54" s="555"/>
      <c r="G54" s="2155"/>
      <c r="H54" s="2155"/>
      <c r="I54" s="2155"/>
      <c r="J54" s="2155"/>
      <c r="K54" s="553"/>
      <c r="L54" s="553" t="s">
        <v>1404</v>
      </c>
      <c r="M54" s="553" t="s">
        <v>1404</v>
      </c>
      <c r="N54" s="555"/>
      <c r="O54" s="2155"/>
      <c r="P54" s="2155"/>
      <c r="Q54" s="2155"/>
      <c r="R54" s="556"/>
      <c r="S54" s="555"/>
      <c r="T54" s="555"/>
      <c r="U54" s="555"/>
      <c r="V54" s="555"/>
      <c r="W54" s="555"/>
      <c r="X54" s="555"/>
      <c r="Y54" s="555"/>
      <c r="Z54" s="555"/>
      <c r="AA54" s="555"/>
      <c r="AB54" s="555"/>
      <c r="AC54" s="555"/>
      <c r="AD54" s="555"/>
      <c r="AE54" s="555"/>
      <c r="AF54" s="555"/>
      <c r="AG54" s="555"/>
      <c r="AH54" s="557"/>
      <c r="AI54" s="555"/>
      <c r="AJ54" s="555"/>
      <c r="AK54" s="555"/>
    </row>
    <row r="55" spans="1:37">
      <c r="A55" s="555"/>
      <c r="B55" s="555"/>
      <c r="C55" s="556" t="s">
        <v>471</v>
      </c>
      <c r="D55" s="555"/>
      <c r="E55" s="554"/>
      <c r="F55" s="555"/>
      <c r="G55" s="556" t="s">
        <v>473</v>
      </c>
      <c r="H55" s="555"/>
      <c r="I55" s="556"/>
      <c r="J55" s="555"/>
      <c r="K55" s="556" t="s">
        <v>474</v>
      </c>
      <c r="L55" s="556" t="s">
        <v>1729</v>
      </c>
      <c r="M55" s="556" t="s">
        <v>474</v>
      </c>
      <c r="N55" s="555"/>
      <c r="O55" s="556"/>
      <c r="P55" s="556"/>
      <c r="Q55" s="555"/>
      <c r="R55" s="555"/>
      <c r="S55" s="555"/>
      <c r="T55" s="555"/>
      <c r="U55" s="555"/>
      <c r="V55" s="555"/>
      <c r="W55" s="555"/>
      <c r="X55" s="555"/>
      <c r="Y55" s="555"/>
      <c r="Z55" s="555"/>
      <c r="AA55" s="555"/>
      <c r="AB55" s="555"/>
      <c r="AC55" s="555"/>
      <c r="AD55" s="555"/>
      <c r="AE55" s="555"/>
      <c r="AF55" s="555"/>
      <c r="AG55" s="555"/>
      <c r="AH55" s="557"/>
      <c r="AI55" s="555"/>
      <c r="AJ55" s="555"/>
      <c r="AK55" s="555"/>
    </row>
    <row r="56" spans="1:37">
      <c r="A56" s="555"/>
      <c r="B56" s="555"/>
      <c r="C56" s="556" t="s">
        <v>475</v>
      </c>
      <c r="D56" s="555"/>
      <c r="E56" s="554" t="s">
        <v>971</v>
      </c>
      <c r="F56" s="555"/>
      <c r="G56" s="556" t="s">
        <v>478</v>
      </c>
      <c r="H56" s="556"/>
      <c r="I56" s="556" t="s">
        <v>1800</v>
      </c>
      <c r="J56" s="556"/>
      <c r="K56" s="556" t="s">
        <v>478</v>
      </c>
      <c r="L56" s="556" t="s">
        <v>500</v>
      </c>
      <c r="M56" s="556" t="s">
        <v>478</v>
      </c>
      <c r="N56" s="555"/>
      <c r="O56" s="556" t="s">
        <v>1800</v>
      </c>
      <c r="P56" s="556"/>
      <c r="Q56" s="556" t="s">
        <v>1096</v>
      </c>
      <c r="R56" s="557"/>
      <c r="S56" s="555"/>
      <c r="T56" s="555"/>
      <c r="U56" s="555"/>
      <c r="V56" s="555"/>
      <c r="W56" s="555"/>
      <c r="X56" s="555"/>
      <c r="Y56" s="555"/>
      <c r="Z56" s="555"/>
      <c r="AA56" s="555"/>
      <c r="AB56" s="555"/>
      <c r="AC56" s="555"/>
      <c r="AD56" s="555"/>
      <c r="AE56" s="555"/>
      <c r="AF56" s="555"/>
      <c r="AG56" s="555"/>
      <c r="AH56" s="557"/>
      <c r="AI56" s="555"/>
      <c r="AJ56" s="555"/>
      <c r="AK56" s="555"/>
    </row>
    <row r="57" spans="1:37">
      <c r="A57" s="555"/>
      <c r="B57" s="555"/>
      <c r="C57" s="1540"/>
      <c r="D57" s="1540"/>
      <c r="E57" s="1541"/>
      <c r="F57" s="1540"/>
      <c r="G57" s="1542" t="s">
        <v>506</v>
      </c>
      <c r="H57" s="1542"/>
      <c r="I57" s="1543" t="s">
        <v>510</v>
      </c>
      <c r="J57" s="1543"/>
      <c r="K57" s="1543" t="s">
        <v>519</v>
      </c>
      <c r="L57" s="1543" t="s">
        <v>911</v>
      </c>
      <c r="M57" s="1543" t="s">
        <v>976</v>
      </c>
      <c r="N57" s="1540"/>
      <c r="O57" s="1543" t="s">
        <v>977</v>
      </c>
      <c r="P57" s="1543"/>
      <c r="Q57" s="1543" t="s">
        <v>2373</v>
      </c>
      <c r="R57" s="557"/>
      <c r="S57" s="555"/>
      <c r="T57" s="555"/>
      <c r="U57" s="555"/>
      <c r="V57" s="555"/>
      <c r="W57" s="555"/>
      <c r="X57" s="555"/>
      <c r="Y57" s="555"/>
      <c r="Z57" s="555"/>
      <c r="AA57" s="555"/>
      <c r="AB57" s="555"/>
      <c r="AC57" s="555"/>
      <c r="AD57" s="555"/>
      <c r="AE57" s="555"/>
      <c r="AF57" s="555"/>
      <c r="AG57" s="555"/>
      <c r="AH57" s="557"/>
      <c r="AI57" s="555"/>
      <c r="AJ57" s="555"/>
      <c r="AK57" s="555"/>
    </row>
    <row r="58" spans="1:37">
      <c r="A58" s="555"/>
      <c r="B58" s="555"/>
      <c r="C58" s="555"/>
      <c r="D58" s="555"/>
      <c r="E58" s="555"/>
      <c r="F58" s="555"/>
      <c r="G58" s="556" t="s">
        <v>1371</v>
      </c>
      <c r="H58" s="556"/>
      <c r="I58" s="556" t="s">
        <v>1371</v>
      </c>
      <c r="J58" s="556"/>
      <c r="K58" s="556" t="s">
        <v>1371</v>
      </c>
      <c r="L58" s="556"/>
      <c r="M58" s="556"/>
      <c r="N58" s="556"/>
      <c r="O58" s="556" t="s">
        <v>1371</v>
      </c>
      <c r="P58" s="556"/>
      <c r="Q58" s="556" t="s">
        <v>1371</v>
      </c>
      <c r="R58" s="557"/>
      <c r="S58" s="555"/>
      <c r="T58" s="555"/>
      <c r="U58" s="555"/>
      <c r="V58" s="555"/>
      <c r="W58" s="555"/>
      <c r="X58" s="555"/>
      <c r="Y58" s="555"/>
      <c r="Z58" s="555"/>
      <c r="AA58" s="555"/>
      <c r="AB58" s="555"/>
      <c r="AC58" s="555"/>
      <c r="AD58" s="555"/>
      <c r="AE58" s="555"/>
      <c r="AF58" s="555"/>
      <c r="AG58" s="555"/>
      <c r="AH58" s="557"/>
      <c r="AI58" s="555"/>
      <c r="AJ58" s="555"/>
      <c r="AK58" s="555"/>
    </row>
    <row r="59" spans="1:37">
      <c r="A59" s="555"/>
      <c r="B59" s="555"/>
      <c r="C59" s="555"/>
      <c r="D59" s="555"/>
      <c r="E59" s="554"/>
      <c r="F59" s="555"/>
      <c r="G59" s="557"/>
      <c r="H59" s="557"/>
      <c r="I59" s="557"/>
      <c r="J59" s="557"/>
      <c r="K59" s="557"/>
      <c r="L59" s="557"/>
      <c r="M59" s="557"/>
      <c r="N59" s="557"/>
      <c r="O59" s="557"/>
      <c r="P59" s="557"/>
      <c r="Q59" s="557"/>
      <c r="R59" s="557"/>
      <c r="S59" s="555"/>
      <c r="T59" s="555"/>
      <c r="U59" s="555"/>
      <c r="V59" s="555"/>
      <c r="W59" s="555"/>
      <c r="X59" s="555"/>
      <c r="Y59" s="555"/>
      <c r="Z59" s="555"/>
      <c r="AA59" s="555"/>
      <c r="AB59" s="555"/>
      <c r="AC59" s="555"/>
      <c r="AD59" s="555"/>
      <c r="AE59" s="555"/>
      <c r="AF59" s="555"/>
      <c r="AG59" s="555"/>
      <c r="AH59" s="557"/>
      <c r="AI59" s="555"/>
      <c r="AJ59" s="555"/>
      <c r="AK59" s="555"/>
    </row>
    <row r="60" spans="1:37">
      <c r="A60" s="555"/>
      <c r="B60" s="555"/>
      <c r="C60" s="556">
        <v>1</v>
      </c>
      <c r="D60" s="555"/>
      <c r="E60" s="554" t="s">
        <v>2374</v>
      </c>
      <c r="F60" s="555"/>
      <c r="G60" s="557"/>
      <c r="H60" s="557"/>
      <c r="I60" s="557"/>
      <c r="J60" s="557"/>
      <c r="K60" s="557"/>
      <c r="L60" s="557"/>
      <c r="M60" s="557"/>
      <c r="N60" s="557"/>
      <c r="O60" s="557"/>
      <c r="P60" s="557"/>
      <c r="Q60" s="557"/>
      <c r="R60" s="557"/>
      <c r="S60" s="555"/>
      <c r="T60" s="555"/>
      <c r="U60" s="555"/>
      <c r="V60" s="555"/>
      <c r="W60" s="555"/>
      <c r="X60" s="555"/>
      <c r="Y60" s="555"/>
      <c r="Z60" s="555"/>
      <c r="AA60" s="555"/>
      <c r="AB60" s="555"/>
      <c r="AC60" s="555"/>
      <c r="AD60" s="555"/>
      <c r="AE60" s="555"/>
      <c r="AF60" s="555"/>
      <c r="AG60" s="555"/>
      <c r="AH60" s="557"/>
      <c r="AI60" s="555"/>
      <c r="AJ60" s="555"/>
      <c r="AK60" s="555"/>
    </row>
    <row r="61" spans="1:37">
      <c r="A61" s="555"/>
      <c r="B61" s="555"/>
      <c r="C61" s="556">
        <f t="shared" ref="C61:C81" si="0">1+C60</f>
        <v>2</v>
      </c>
      <c r="D61" s="555"/>
      <c r="E61" s="554" t="s">
        <v>2390</v>
      </c>
      <c r="F61" s="555"/>
      <c r="G61" s="557">
        <f>G21</f>
        <v>96553041</v>
      </c>
      <c r="H61" s="557"/>
      <c r="I61" s="557">
        <f>I21</f>
        <v>-30443800</v>
      </c>
      <c r="J61" s="557"/>
      <c r="K61" s="557">
        <f>K21</f>
        <v>66109241</v>
      </c>
      <c r="L61" s="557">
        <f ca="1">L21</f>
        <v>-12480274</v>
      </c>
      <c r="M61" s="557">
        <f ca="1">M21</f>
        <v>53628967</v>
      </c>
      <c r="N61" s="557"/>
      <c r="O61" s="557">
        <f>O21</f>
        <v>69254905</v>
      </c>
      <c r="P61" s="557"/>
      <c r="Q61" s="557">
        <f ca="1">Q21</f>
        <v>122883872</v>
      </c>
      <c r="R61" s="557"/>
      <c r="S61" s="555"/>
      <c r="T61" s="555"/>
      <c r="U61" s="555"/>
      <c r="V61" s="555"/>
      <c r="W61" s="555"/>
      <c r="X61" s="555"/>
      <c r="Y61" s="555"/>
      <c r="Z61" s="555"/>
      <c r="AA61" s="555"/>
      <c r="AB61" s="555"/>
      <c r="AC61" s="555"/>
      <c r="AD61" s="555"/>
      <c r="AE61" s="555"/>
      <c r="AF61" s="555"/>
      <c r="AG61" s="555"/>
      <c r="AH61" s="557"/>
      <c r="AI61" s="555"/>
      <c r="AJ61" s="555"/>
      <c r="AK61" s="555"/>
    </row>
    <row r="62" spans="1:37">
      <c r="A62" s="555"/>
      <c r="B62" s="555"/>
      <c r="C62" s="556">
        <f t="shared" si="0"/>
        <v>3</v>
      </c>
      <c r="D62" s="555"/>
      <c r="E62" s="555"/>
      <c r="F62" s="555"/>
      <c r="G62" s="557"/>
      <c r="H62" s="557"/>
      <c r="I62" s="557"/>
      <c r="J62" s="557"/>
      <c r="K62" s="557"/>
      <c r="L62" s="557"/>
      <c r="M62" s="557"/>
      <c r="N62" s="557"/>
      <c r="O62" s="557"/>
      <c r="P62" s="557"/>
      <c r="Q62" s="557"/>
      <c r="R62" s="557"/>
      <c r="S62" s="555"/>
      <c r="T62" s="555"/>
      <c r="U62" s="555"/>
      <c r="V62" s="555"/>
      <c r="W62" s="555"/>
      <c r="X62" s="555"/>
      <c r="Y62" s="555"/>
      <c r="Z62" s="555"/>
      <c r="AA62" s="555"/>
      <c r="AB62" s="555"/>
      <c r="AC62" s="559"/>
      <c r="AD62" s="555"/>
      <c r="AE62" s="555"/>
      <c r="AF62" s="555"/>
      <c r="AG62" s="555"/>
      <c r="AH62" s="557"/>
      <c r="AI62" s="555"/>
      <c r="AJ62" s="555"/>
      <c r="AK62" s="555"/>
    </row>
    <row r="63" spans="1:37">
      <c r="A63" s="555"/>
      <c r="B63" s="555"/>
      <c r="C63" s="556">
        <f t="shared" si="0"/>
        <v>4</v>
      </c>
      <c r="D63" s="555"/>
      <c r="E63" s="554" t="s">
        <v>2391</v>
      </c>
      <c r="F63" s="555"/>
      <c r="G63" s="1544">
        <f>G37</f>
        <v>-47061637</v>
      </c>
      <c r="H63" s="1544"/>
      <c r="I63" s="1544">
        <f>I37</f>
        <v>-15930366</v>
      </c>
      <c r="J63" s="1544"/>
      <c r="K63" s="1544">
        <f>K37</f>
        <v>-62992003</v>
      </c>
      <c r="L63" s="1544">
        <f>L37</f>
        <v>22090481</v>
      </c>
      <c r="M63" s="1544">
        <f>M37</f>
        <v>-40901522</v>
      </c>
      <c r="N63" s="557"/>
      <c r="O63" s="1544">
        <f>O37</f>
        <v>0</v>
      </c>
      <c r="P63" s="1544"/>
      <c r="Q63" s="1544">
        <f>Q37</f>
        <v>-40901522</v>
      </c>
      <c r="R63" s="557"/>
      <c r="S63" s="555"/>
      <c r="T63" s="555"/>
      <c r="U63" s="555"/>
      <c r="V63" s="555"/>
      <c r="W63" s="555"/>
      <c r="X63" s="555"/>
      <c r="Y63" s="555"/>
      <c r="Z63" s="555"/>
      <c r="AA63" s="555"/>
      <c r="AB63" s="555"/>
      <c r="AC63" s="559"/>
      <c r="AD63" s="555"/>
      <c r="AE63" s="555"/>
      <c r="AF63" s="555"/>
      <c r="AG63" s="555"/>
      <c r="AH63" s="557"/>
      <c r="AI63" s="555"/>
      <c r="AJ63" s="555"/>
      <c r="AK63" s="555"/>
    </row>
    <row r="64" spans="1:37">
      <c r="A64" s="555"/>
      <c r="B64" s="555"/>
      <c r="C64" s="556">
        <f>1+C63</f>
        <v>5</v>
      </c>
      <c r="D64" s="555"/>
      <c r="E64" s="554"/>
      <c r="F64" s="555"/>
      <c r="G64" s="557"/>
      <c r="H64" s="557"/>
      <c r="I64" s="557"/>
      <c r="J64" s="557"/>
      <c r="K64" s="557"/>
      <c r="L64" s="557"/>
      <c r="M64" s="557"/>
      <c r="N64" s="557"/>
      <c r="O64" s="557"/>
      <c r="P64" s="557"/>
      <c r="Q64" s="557"/>
      <c r="R64" s="557"/>
      <c r="S64" s="555"/>
      <c r="T64" s="555"/>
      <c r="U64" s="555"/>
      <c r="V64" s="555"/>
      <c r="W64" s="555"/>
      <c r="X64" s="555"/>
      <c r="Y64" s="555"/>
      <c r="Z64" s="555"/>
      <c r="AA64" s="555"/>
      <c r="AB64" s="555"/>
      <c r="AC64" s="559"/>
      <c r="AD64" s="555"/>
      <c r="AE64" s="555"/>
      <c r="AF64" s="555"/>
      <c r="AG64" s="555"/>
      <c r="AH64" s="557"/>
      <c r="AI64" s="555"/>
      <c r="AJ64" s="555"/>
      <c r="AK64" s="555"/>
    </row>
    <row r="65" spans="1:37">
      <c r="A65" s="555"/>
      <c r="B65" s="555"/>
      <c r="C65" s="556">
        <f t="shared" si="0"/>
        <v>6</v>
      </c>
      <c r="D65" s="555"/>
      <c r="E65" s="554" t="s">
        <v>2392</v>
      </c>
      <c r="F65" s="555"/>
      <c r="G65" s="557"/>
      <c r="H65" s="557"/>
      <c r="I65" s="557"/>
      <c r="J65" s="557"/>
      <c r="K65" s="557"/>
      <c r="L65" s="557"/>
      <c r="M65" s="557"/>
      <c r="N65" s="557"/>
      <c r="O65" s="557"/>
      <c r="P65" s="557"/>
      <c r="Q65" s="557"/>
      <c r="R65" s="557"/>
      <c r="S65" s="555"/>
      <c r="T65" s="555"/>
      <c r="U65" s="555"/>
      <c r="V65" s="555"/>
      <c r="W65" s="555"/>
      <c r="X65" s="555"/>
      <c r="Y65" s="555"/>
      <c r="Z65" s="555"/>
      <c r="AA65" s="555"/>
      <c r="AB65" s="555"/>
      <c r="AC65" s="555"/>
      <c r="AD65" s="555"/>
      <c r="AE65" s="555"/>
      <c r="AF65" s="555"/>
      <c r="AG65" s="555"/>
      <c r="AH65" s="557"/>
      <c r="AI65" s="555"/>
      <c r="AJ65" s="555"/>
      <c r="AK65" s="555"/>
    </row>
    <row r="66" spans="1:37">
      <c r="A66" s="555"/>
      <c r="B66" s="555"/>
      <c r="C66" s="556">
        <f t="shared" si="0"/>
        <v>7</v>
      </c>
      <c r="D66" s="555"/>
      <c r="E66" s="554" t="s">
        <v>2393</v>
      </c>
      <c r="F66" s="555"/>
      <c r="G66" s="1544">
        <f>G61+G63</f>
        <v>49491404</v>
      </c>
      <c r="H66" s="557"/>
      <c r="I66" s="1544">
        <f>I61+I63</f>
        <v>-46374166</v>
      </c>
      <c r="J66" s="1544"/>
      <c r="K66" s="1544">
        <f>K61+K63</f>
        <v>3117238</v>
      </c>
      <c r="L66" s="1544">
        <f ca="1">L61+L63</f>
        <v>9610207</v>
      </c>
      <c r="M66" s="1544">
        <f ca="1">M61+M63</f>
        <v>12727445</v>
      </c>
      <c r="N66" s="557"/>
      <c r="O66" s="1544">
        <f>O61+O63</f>
        <v>69254905</v>
      </c>
      <c r="P66" s="1544"/>
      <c r="Q66" s="1544">
        <f ca="1">Q61+Q63</f>
        <v>81982350</v>
      </c>
      <c r="R66" s="557"/>
      <c r="S66" s="555"/>
      <c r="T66" s="555"/>
      <c r="U66" s="555"/>
      <c r="V66" s="555"/>
      <c r="W66" s="555"/>
      <c r="X66" s="555"/>
      <c r="Y66" s="555"/>
      <c r="Z66" s="555"/>
      <c r="AA66" s="555"/>
      <c r="AB66" s="555"/>
      <c r="AC66" s="555"/>
      <c r="AD66" s="555"/>
      <c r="AE66" s="555"/>
      <c r="AF66" s="555"/>
      <c r="AG66" s="555"/>
      <c r="AH66" s="557"/>
      <c r="AI66" s="555"/>
      <c r="AJ66" s="555"/>
      <c r="AK66" s="555"/>
    </row>
    <row r="67" spans="1:37">
      <c r="A67" s="555"/>
      <c r="B67" s="555"/>
      <c r="C67" s="556">
        <f t="shared" si="0"/>
        <v>8</v>
      </c>
      <c r="D67" s="555"/>
      <c r="E67" s="555"/>
      <c r="F67" s="554"/>
      <c r="G67" s="557"/>
      <c r="H67" s="557"/>
      <c r="I67" s="557"/>
      <c r="J67" s="557"/>
      <c r="K67" s="557"/>
      <c r="L67" s="557"/>
      <c r="M67" s="557"/>
      <c r="N67" s="557"/>
      <c r="O67" s="557"/>
      <c r="P67" s="557"/>
      <c r="Q67" s="557"/>
      <c r="R67" s="557"/>
      <c r="S67" s="555"/>
      <c r="T67" s="555"/>
      <c r="U67" s="555"/>
      <c r="V67" s="555"/>
      <c r="W67" s="555"/>
      <c r="X67" s="555"/>
      <c r="Y67" s="555"/>
      <c r="Z67" s="555"/>
      <c r="AA67" s="555"/>
      <c r="AB67" s="555"/>
      <c r="AC67" s="555"/>
      <c r="AD67" s="555"/>
      <c r="AE67" s="555"/>
      <c r="AF67" s="555"/>
      <c r="AG67" s="555"/>
      <c r="AH67" s="557"/>
      <c r="AI67" s="555"/>
      <c r="AJ67" s="555"/>
      <c r="AK67" s="555"/>
    </row>
    <row r="68" spans="1:37">
      <c r="A68" s="555"/>
      <c r="B68" s="555"/>
      <c r="C68" s="556">
        <f t="shared" si="0"/>
        <v>9</v>
      </c>
      <c r="D68" s="555"/>
      <c r="E68" s="554" t="s">
        <v>2394</v>
      </c>
      <c r="F68" s="555"/>
      <c r="G68" s="557"/>
      <c r="H68" s="557"/>
      <c r="I68" s="557"/>
      <c r="J68" s="557"/>
      <c r="K68" s="557"/>
      <c r="L68" s="557"/>
      <c r="M68" s="557"/>
      <c r="N68" s="557"/>
      <c r="O68" s="557"/>
      <c r="P68" s="557"/>
      <c r="Q68" s="557"/>
      <c r="R68" s="557"/>
      <c r="S68" s="555"/>
      <c r="T68" s="555"/>
      <c r="U68" s="555"/>
      <c r="V68" s="555"/>
      <c r="W68" s="555"/>
      <c r="X68" s="555"/>
      <c r="Y68" s="555"/>
      <c r="Z68" s="555"/>
      <c r="AA68" s="555"/>
      <c r="AB68" s="555"/>
      <c r="AC68" s="555"/>
      <c r="AD68" s="555"/>
      <c r="AE68" s="555"/>
      <c r="AF68" s="555"/>
      <c r="AG68" s="555"/>
      <c r="AH68" s="557"/>
      <c r="AI68" s="555"/>
      <c r="AJ68" s="555"/>
      <c r="AK68" s="555"/>
    </row>
    <row r="69" spans="1:37">
      <c r="A69" s="555"/>
      <c r="B69" s="555"/>
      <c r="C69" s="556">
        <f t="shared" si="0"/>
        <v>10</v>
      </c>
      <c r="D69" s="555"/>
      <c r="E69" s="554" t="s">
        <v>2395</v>
      </c>
      <c r="F69" s="555"/>
      <c r="G69" s="557">
        <f>W174</f>
        <v>-12933512</v>
      </c>
      <c r="H69" s="557"/>
      <c r="I69" s="543">
        <f>K69-G69</f>
        <v>1472894</v>
      </c>
      <c r="J69" s="561"/>
      <c r="K69" s="557">
        <f>X174</f>
        <v>-11460618</v>
      </c>
      <c r="L69" s="557">
        <v>0</v>
      </c>
      <c r="M69" s="560">
        <f>K69+L69</f>
        <v>-11460618</v>
      </c>
      <c r="N69" s="557"/>
      <c r="O69" s="557">
        <v>0</v>
      </c>
      <c r="P69" s="561"/>
      <c r="Q69" s="557">
        <f>M69+O69</f>
        <v>-11460618</v>
      </c>
      <c r="R69" s="561"/>
      <c r="S69" s="555"/>
      <c r="T69" s="555"/>
      <c r="U69" s="555"/>
      <c r="V69" s="555"/>
      <c r="W69" s="555"/>
      <c r="X69" s="555"/>
      <c r="Y69" s="555"/>
      <c r="Z69" s="555"/>
      <c r="AA69" s="555"/>
      <c r="AB69" s="555"/>
      <c r="AC69" s="555"/>
      <c r="AD69" s="555"/>
      <c r="AE69" s="555"/>
      <c r="AF69" s="555"/>
      <c r="AG69" s="555"/>
      <c r="AH69" s="557"/>
      <c r="AI69" s="555"/>
      <c r="AJ69" s="555"/>
      <c r="AK69" s="555"/>
    </row>
    <row r="70" spans="1:37">
      <c r="A70" s="555"/>
      <c r="B70" s="555"/>
      <c r="C70" s="556">
        <f t="shared" si="0"/>
        <v>11</v>
      </c>
      <c r="D70" s="555"/>
      <c r="E70" s="554" t="s">
        <v>2396</v>
      </c>
      <c r="F70" s="555"/>
      <c r="G70" s="2157">
        <f>SUM(G69:G69)</f>
        <v>-12933512</v>
      </c>
      <c r="H70" s="557"/>
      <c r="I70" s="2157">
        <f>SUM(I69:I69)</f>
        <v>1472894</v>
      </c>
      <c r="J70" s="557"/>
      <c r="K70" s="2157">
        <f>SUM(K69:K69)</f>
        <v>-11460618</v>
      </c>
      <c r="L70" s="2157">
        <f>SUM(L69:L69)</f>
        <v>0</v>
      </c>
      <c r="M70" s="2157">
        <f>SUM(M69:M69)</f>
        <v>-11460618</v>
      </c>
      <c r="N70" s="557"/>
      <c r="O70" s="2157">
        <f>SUM(O69:O69)</f>
        <v>0</v>
      </c>
      <c r="P70" s="557"/>
      <c r="Q70" s="2157">
        <f>SUM(Q69:Q69)</f>
        <v>-11460618</v>
      </c>
      <c r="R70" s="557"/>
      <c r="S70" s="555"/>
      <c r="T70" s="555"/>
      <c r="U70" s="555"/>
      <c r="V70" s="555"/>
      <c r="W70" s="555"/>
      <c r="X70" s="555"/>
      <c r="Y70" s="555"/>
      <c r="Z70" s="555"/>
      <c r="AA70" s="555"/>
      <c r="AB70" s="555"/>
      <c r="AC70" s="559"/>
      <c r="AD70" s="555"/>
      <c r="AE70" s="555"/>
      <c r="AF70" s="555"/>
      <c r="AG70" s="555"/>
      <c r="AH70" s="557"/>
      <c r="AI70" s="555"/>
      <c r="AJ70" s="555"/>
      <c r="AK70" s="555"/>
    </row>
    <row r="71" spans="1:37">
      <c r="A71" s="555"/>
      <c r="B71" s="555"/>
      <c r="C71" s="556">
        <f t="shared" si="0"/>
        <v>12</v>
      </c>
      <c r="D71" s="555"/>
      <c r="E71" s="555"/>
      <c r="F71" s="555"/>
      <c r="G71" s="557"/>
      <c r="H71" s="557"/>
      <c r="I71" s="557"/>
      <c r="J71" s="557"/>
      <c r="K71" s="557"/>
      <c r="L71" s="557"/>
      <c r="M71" s="557"/>
      <c r="N71" s="557"/>
      <c r="O71" s="557"/>
      <c r="P71" s="557"/>
      <c r="Q71" s="557"/>
      <c r="R71" s="557"/>
      <c r="S71" s="555"/>
      <c r="T71" s="555"/>
      <c r="U71" s="555"/>
      <c r="V71" s="555"/>
      <c r="W71" s="555"/>
      <c r="X71" s="555"/>
      <c r="Y71" s="555"/>
      <c r="Z71" s="555"/>
      <c r="AA71" s="555"/>
      <c r="AB71" s="555"/>
      <c r="AC71" s="559"/>
      <c r="AD71" s="555"/>
      <c r="AE71" s="555"/>
      <c r="AF71" s="555"/>
      <c r="AG71" s="555"/>
      <c r="AH71" s="557"/>
      <c r="AI71" s="555"/>
      <c r="AJ71" s="555"/>
      <c r="AK71" s="555"/>
    </row>
    <row r="72" spans="1:37">
      <c r="A72" s="555"/>
      <c r="B72" s="555"/>
      <c r="C72" s="556">
        <f t="shared" si="0"/>
        <v>13</v>
      </c>
      <c r="D72" s="555"/>
      <c r="E72" s="554" t="s">
        <v>2397</v>
      </c>
      <c r="F72" s="555"/>
      <c r="G72" s="1544">
        <f>G66+G70</f>
        <v>36557892</v>
      </c>
      <c r="H72" s="557"/>
      <c r="I72" s="1544">
        <f>I66+I70</f>
        <v>-44901272</v>
      </c>
      <c r="J72" s="557"/>
      <c r="K72" s="1544">
        <f>K66+K70</f>
        <v>-8343380</v>
      </c>
      <c r="L72" s="1544">
        <f ca="1">L66+L70</f>
        <v>9610207</v>
      </c>
      <c r="M72" s="1544">
        <f ca="1">M66+M70</f>
        <v>1266827</v>
      </c>
      <c r="N72" s="557"/>
      <c r="O72" s="1544">
        <f>O66+O70</f>
        <v>69254905</v>
      </c>
      <c r="P72" s="557"/>
      <c r="Q72" s="1544">
        <f ca="1">Q66+Q70</f>
        <v>70521732</v>
      </c>
      <c r="R72" s="557"/>
      <c r="S72" s="555"/>
      <c r="T72" s="555"/>
      <c r="U72" s="555"/>
      <c r="V72" s="555"/>
      <c r="W72" s="555"/>
      <c r="X72" s="555"/>
      <c r="Y72" s="555"/>
      <c r="Z72" s="555"/>
      <c r="AA72" s="555"/>
      <c r="AB72" s="555"/>
      <c r="AC72" s="555"/>
      <c r="AD72" s="555"/>
      <c r="AE72" s="555"/>
      <c r="AF72" s="555"/>
      <c r="AG72" s="555"/>
      <c r="AH72" s="557"/>
      <c r="AI72" s="555"/>
      <c r="AJ72" s="555"/>
      <c r="AK72" s="555"/>
    </row>
    <row r="73" spans="1:37">
      <c r="A73" s="555"/>
      <c r="B73" s="555"/>
      <c r="C73" s="556">
        <f t="shared" si="0"/>
        <v>14</v>
      </c>
      <c r="D73" s="555"/>
      <c r="E73" s="555"/>
      <c r="F73" s="555"/>
      <c r="G73" s="557"/>
      <c r="H73" s="557"/>
      <c r="I73" s="557"/>
      <c r="J73" s="557"/>
      <c r="K73" s="557"/>
      <c r="L73" s="557"/>
      <c r="M73" s="557"/>
      <c r="N73" s="557"/>
      <c r="O73" s="557"/>
      <c r="P73" s="557"/>
      <c r="Q73" s="557"/>
      <c r="R73" s="557"/>
      <c r="S73" s="555"/>
      <c r="T73" s="555"/>
      <c r="U73" s="555"/>
      <c r="V73" s="555"/>
      <c r="W73" s="555"/>
      <c r="X73" s="555"/>
      <c r="Y73" s="555"/>
      <c r="Z73" s="555"/>
      <c r="AA73" s="555"/>
      <c r="AB73" s="555"/>
      <c r="AC73" s="555"/>
      <c r="AD73" s="555"/>
      <c r="AE73" s="555"/>
      <c r="AF73" s="555"/>
      <c r="AG73" s="555"/>
      <c r="AH73" s="557"/>
      <c r="AI73" s="555"/>
      <c r="AJ73" s="555"/>
      <c r="AK73" s="555"/>
    </row>
    <row r="74" spans="1:37">
      <c r="A74" s="555"/>
      <c r="B74" s="555"/>
      <c r="C74" s="556">
        <f t="shared" si="0"/>
        <v>15</v>
      </c>
      <c r="D74" s="555"/>
      <c r="E74" s="568" t="s">
        <v>2398</v>
      </c>
      <c r="F74" s="555"/>
      <c r="G74" s="752">
        <f>AH275</f>
        <v>0.99370000000000003</v>
      </c>
      <c r="H74" s="557"/>
      <c r="I74" s="752">
        <f>AH275</f>
        <v>0.99370000000000003</v>
      </c>
      <c r="J74" s="557"/>
      <c r="K74" s="752">
        <f>AH275</f>
        <v>0.99370000000000003</v>
      </c>
      <c r="L74" s="752">
        <f>AH275</f>
        <v>0.99370000000000003</v>
      </c>
      <c r="M74" s="752">
        <f>AH275</f>
        <v>0.99370000000000003</v>
      </c>
      <c r="N74" s="557"/>
      <c r="O74" s="752">
        <f>AH275</f>
        <v>0.99370000000000003</v>
      </c>
      <c r="P74" s="557"/>
      <c r="Q74" s="752">
        <f>AH275</f>
        <v>0.99370000000000003</v>
      </c>
      <c r="R74" s="557"/>
      <c r="S74" s="555"/>
      <c r="T74" s="555"/>
      <c r="U74" s="555"/>
      <c r="V74" s="555"/>
      <c r="W74" s="555"/>
      <c r="X74" s="555"/>
      <c r="Y74" s="555"/>
      <c r="Z74" s="555"/>
      <c r="AA74" s="555"/>
      <c r="AB74" s="555"/>
      <c r="AC74" s="555"/>
      <c r="AD74" s="555"/>
      <c r="AE74" s="555"/>
      <c r="AF74" s="555"/>
      <c r="AG74" s="555"/>
      <c r="AH74" s="557"/>
      <c r="AI74" s="555"/>
      <c r="AJ74" s="555"/>
      <c r="AK74" s="555"/>
    </row>
    <row r="75" spans="1:37">
      <c r="A75" s="555"/>
      <c r="B75" s="555"/>
      <c r="C75" s="556">
        <f t="shared" si="0"/>
        <v>16</v>
      </c>
      <c r="D75" s="555"/>
      <c r="E75" s="554"/>
      <c r="F75" s="555"/>
      <c r="G75" s="557"/>
      <c r="H75" s="557"/>
      <c r="I75" s="543"/>
      <c r="J75" s="557"/>
      <c r="K75" s="557"/>
      <c r="L75" s="557"/>
      <c r="M75" s="560"/>
      <c r="N75" s="557"/>
      <c r="O75" s="557"/>
      <c r="P75" s="557"/>
      <c r="Q75" s="557"/>
      <c r="R75" s="557"/>
      <c r="S75" s="555"/>
      <c r="T75" s="555"/>
      <c r="U75" s="555"/>
      <c r="V75" s="555"/>
      <c r="W75" s="555"/>
      <c r="X75" s="555"/>
      <c r="Y75" s="555"/>
      <c r="Z75" s="555"/>
      <c r="AA75" s="555"/>
      <c r="AB75" s="555"/>
      <c r="AC75" s="555"/>
      <c r="AD75" s="555"/>
      <c r="AE75" s="555"/>
      <c r="AF75" s="555"/>
      <c r="AG75" s="555"/>
      <c r="AH75" s="557"/>
      <c r="AI75" s="555"/>
      <c r="AJ75" s="555"/>
      <c r="AK75" s="555"/>
    </row>
    <row r="76" spans="1:37">
      <c r="A76" s="555"/>
      <c r="B76" s="555"/>
      <c r="C76" s="556">
        <f t="shared" si="0"/>
        <v>17</v>
      </c>
      <c r="D76" s="555"/>
      <c r="E76" s="554" t="s">
        <v>2399</v>
      </c>
      <c r="F76" s="555"/>
      <c r="G76" s="2157">
        <f>W180</f>
        <v>36327577.280000001</v>
      </c>
      <c r="H76" s="557"/>
      <c r="I76" s="2158">
        <f>K76-G76</f>
        <v>-44618394.280000001</v>
      </c>
      <c r="J76" s="557"/>
      <c r="K76" s="2157">
        <f>X180</f>
        <v>-8290817</v>
      </c>
      <c r="L76" s="2157">
        <f ca="1">ROUND(L72*L74,0)</f>
        <v>9549663</v>
      </c>
      <c r="M76" s="2157">
        <f ca="1">ROUND(M72*M74,0)</f>
        <v>1258846</v>
      </c>
      <c r="N76" s="557"/>
      <c r="O76" s="2157">
        <f>ROUND(O72*O74,0)</f>
        <v>68818599</v>
      </c>
      <c r="P76" s="557"/>
      <c r="Q76" s="2157">
        <f ca="1">ROUND(Q72*Q74,0)</f>
        <v>70077445</v>
      </c>
      <c r="R76" s="557"/>
      <c r="S76" s="555"/>
      <c r="T76" s="555"/>
      <c r="U76" s="555"/>
      <c r="V76" s="555"/>
      <c r="W76" s="555"/>
      <c r="X76" s="555"/>
      <c r="Y76" s="555"/>
      <c r="Z76" s="555"/>
      <c r="AA76" s="555"/>
      <c r="AB76" s="555"/>
      <c r="AC76" s="555"/>
      <c r="AD76" s="555"/>
      <c r="AE76" s="555"/>
      <c r="AF76" s="555"/>
      <c r="AG76" s="555"/>
      <c r="AH76" s="557"/>
      <c r="AI76" s="555"/>
      <c r="AJ76" s="555"/>
      <c r="AK76" s="555"/>
    </row>
    <row r="77" spans="1:37">
      <c r="A77" s="555"/>
      <c r="B77" s="555"/>
      <c r="C77" s="556">
        <f t="shared" si="0"/>
        <v>18</v>
      </c>
      <c r="D77" s="555"/>
      <c r="E77" s="555"/>
      <c r="F77" s="555"/>
      <c r="G77" s="557"/>
      <c r="H77" s="557"/>
      <c r="I77" s="557"/>
      <c r="J77" s="557"/>
      <c r="K77" s="557"/>
      <c r="L77" s="557"/>
      <c r="M77" s="557"/>
      <c r="N77" s="557"/>
      <c r="O77" s="557"/>
      <c r="P77" s="557"/>
      <c r="Q77" s="557"/>
      <c r="R77" s="557"/>
      <c r="S77" s="555"/>
      <c r="T77" s="555"/>
      <c r="U77" s="555"/>
      <c r="V77" s="555"/>
      <c r="W77" s="555"/>
      <c r="X77" s="555"/>
      <c r="Y77" s="555"/>
      <c r="Z77" s="555"/>
      <c r="AA77" s="555"/>
      <c r="AB77" s="555"/>
      <c r="AC77" s="555"/>
      <c r="AD77" s="555"/>
      <c r="AE77" s="555"/>
      <c r="AF77" s="555"/>
      <c r="AG77" s="555"/>
      <c r="AH77" s="557"/>
      <c r="AI77" s="555"/>
      <c r="AJ77" s="555"/>
      <c r="AK77" s="555"/>
    </row>
    <row r="78" spans="1:37">
      <c r="A78" s="555"/>
      <c r="B78" s="555"/>
      <c r="C78" s="556">
        <f t="shared" si="0"/>
        <v>19</v>
      </c>
      <c r="D78" s="555"/>
      <c r="E78" s="554" t="str">
        <f>"Kentucky Income Tax @ "&amp;TEXT(SIT,"##.00%")</f>
        <v>Kentucky Income Tax @ 5.00%</v>
      </c>
      <c r="F78" s="555"/>
      <c r="G78" s="543">
        <f>W182</f>
        <v>1816379</v>
      </c>
      <c r="H78" s="557"/>
      <c r="I78" s="543">
        <f>K78-G78</f>
        <v>-2230920</v>
      </c>
      <c r="J78" s="557"/>
      <c r="K78" s="543">
        <f>X182</f>
        <v>-414541</v>
      </c>
      <c r="L78" s="557">
        <f ca="1">SCH_D1!U234</f>
        <v>477485</v>
      </c>
      <c r="M78" s="560">
        <f ca="1">K78+L78</f>
        <v>62944</v>
      </c>
      <c r="N78" s="557"/>
      <c r="O78" s="557">
        <f>ROUND(O76*SIT,0)</f>
        <v>3440930</v>
      </c>
      <c r="P78" s="557"/>
      <c r="Q78" s="557">
        <f ca="1">M78+O78</f>
        <v>3503874</v>
      </c>
      <c r="R78" s="557"/>
      <c r="S78" s="555"/>
      <c r="T78" s="555"/>
      <c r="U78" s="555"/>
      <c r="V78" s="555"/>
      <c r="W78" s="555"/>
      <c r="X78" s="555"/>
      <c r="Y78" s="555"/>
      <c r="Z78" s="555"/>
      <c r="AA78" s="555"/>
      <c r="AB78" s="555"/>
      <c r="AC78" s="559"/>
      <c r="AD78" s="555"/>
      <c r="AE78" s="555"/>
      <c r="AF78" s="555"/>
      <c r="AG78" s="555"/>
      <c r="AH78" s="557"/>
      <c r="AI78" s="555"/>
      <c r="AJ78" s="555"/>
      <c r="AK78" s="555"/>
    </row>
    <row r="79" spans="1:37">
      <c r="A79" s="555"/>
      <c r="B79" s="555"/>
      <c r="C79" s="556">
        <f t="shared" si="0"/>
        <v>20</v>
      </c>
      <c r="D79" s="555"/>
      <c r="E79" s="2365" t="s">
        <v>2400</v>
      </c>
      <c r="F79" s="555"/>
      <c r="G79" s="557">
        <f>W183</f>
        <v>-22500</v>
      </c>
      <c r="H79" s="557"/>
      <c r="I79" s="543">
        <f>K79-G79</f>
        <v>0</v>
      </c>
      <c r="J79" s="557"/>
      <c r="K79" s="557">
        <f>X183</f>
        <v>-22500</v>
      </c>
      <c r="L79" s="557">
        <v>0</v>
      </c>
      <c r="M79" s="560">
        <f>K79+L79</f>
        <v>-22500</v>
      </c>
      <c r="N79" s="557"/>
      <c r="O79" s="557">
        <v>0</v>
      </c>
      <c r="P79" s="557"/>
      <c r="Q79" s="557">
        <f>M79+O79</f>
        <v>-22500</v>
      </c>
      <c r="R79" s="557"/>
      <c r="S79" s="555"/>
      <c r="T79" s="555"/>
      <c r="U79" s="555"/>
      <c r="V79" s="555"/>
      <c r="W79" s="555"/>
      <c r="X79" s="555"/>
      <c r="Y79" s="555"/>
      <c r="Z79" s="555"/>
      <c r="AA79" s="555"/>
      <c r="AB79" s="555"/>
      <c r="AC79" s="559"/>
      <c r="AD79" s="555"/>
      <c r="AE79" s="555"/>
      <c r="AF79" s="555"/>
      <c r="AG79" s="555"/>
      <c r="AH79" s="557"/>
      <c r="AI79" s="555"/>
      <c r="AJ79" s="555"/>
      <c r="AK79" s="555"/>
    </row>
    <row r="80" spans="1:37">
      <c r="A80" s="555"/>
      <c r="B80" s="555"/>
      <c r="C80" s="556">
        <f t="shared" si="0"/>
        <v>21</v>
      </c>
      <c r="D80" s="555"/>
      <c r="E80" s="554" t="s">
        <v>2401</v>
      </c>
      <c r="F80" s="555"/>
      <c r="G80" s="2159">
        <f>G78+G79</f>
        <v>1793879</v>
      </c>
      <c r="H80" s="557"/>
      <c r="I80" s="2159">
        <f>I78+I79</f>
        <v>-2230920</v>
      </c>
      <c r="J80" s="557"/>
      <c r="K80" s="2159">
        <f>K78+K79</f>
        <v>-437041</v>
      </c>
      <c r="L80" s="2159">
        <f ca="1">L78+L79</f>
        <v>477485</v>
      </c>
      <c r="M80" s="2159">
        <f ca="1">M78+M79</f>
        <v>40444</v>
      </c>
      <c r="N80" s="557"/>
      <c r="O80" s="2159">
        <f>O78+O79</f>
        <v>3440930</v>
      </c>
      <c r="P80" s="557"/>
      <c r="Q80" s="2159">
        <f ca="1">Q78+Q79</f>
        <v>3481374</v>
      </c>
      <c r="R80" s="557"/>
      <c r="S80" s="555"/>
      <c r="T80" s="555"/>
      <c r="U80" s="555"/>
      <c r="V80" s="555"/>
      <c r="W80" s="555"/>
      <c r="X80" s="555"/>
      <c r="Y80" s="555"/>
      <c r="Z80" s="555"/>
      <c r="AA80" s="555"/>
      <c r="AB80" s="555"/>
      <c r="AC80" s="555"/>
      <c r="AD80" s="555"/>
      <c r="AE80" s="555"/>
      <c r="AF80" s="555"/>
      <c r="AG80" s="555"/>
      <c r="AH80" s="557"/>
      <c r="AI80" s="555"/>
      <c r="AJ80" s="555"/>
      <c r="AK80" s="555"/>
    </row>
    <row r="81" spans="1:37">
      <c r="A81" s="555"/>
      <c r="B81" s="555"/>
      <c r="C81" s="556">
        <f t="shared" si="0"/>
        <v>22</v>
      </c>
      <c r="D81" s="555"/>
      <c r="E81" s="554" t="s">
        <v>2402</v>
      </c>
      <c r="F81" s="555"/>
      <c r="G81" s="567">
        <f>'SCH_C2.1 - Base Period'!J354+'SCH_C2.1 - Base Period'!J355</f>
        <v>0</v>
      </c>
      <c r="H81" s="557"/>
      <c r="I81" s="543">
        <f>K81-G81</f>
        <v>0</v>
      </c>
      <c r="J81" s="557"/>
      <c r="K81" s="933">
        <v>0</v>
      </c>
      <c r="L81" s="557">
        <v>0</v>
      </c>
      <c r="M81" s="560">
        <f>K81+L81</f>
        <v>0</v>
      </c>
      <c r="N81" s="557"/>
      <c r="O81" s="557">
        <v>0</v>
      </c>
      <c r="P81" s="557"/>
      <c r="Q81" s="557">
        <f>M81+O81</f>
        <v>0</v>
      </c>
      <c r="R81" s="557"/>
      <c r="S81" s="555"/>
      <c r="T81" s="555"/>
      <c r="U81" s="555"/>
      <c r="V81" s="555"/>
      <c r="W81" s="555"/>
      <c r="X81" s="555"/>
      <c r="Y81" s="555"/>
      <c r="Z81" s="555"/>
      <c r="AA81" s="555"/>
      <c r="AB81" s="555"/>
      <c r="AC81" s="555"/>
      <c r="AD81" s="555"/>
      <c r="AE81" s="555"/>
      <c r="AF81" s="555"/>
      <c r="AG81" s="555"/>
      <c r="AH81" s="557"/>
      <c r="AI81" s="555"/>
      <c r="AJ81" s="555"/>
      <c r="AK81" s="555"/>
    </row>
    <row r="82" spans="1:37" ht="13.8" thickBot="1">
      <c r="A82" s="555"/>
      <c r="B82" s="555"/>
      <c r="C82" s="556">
        <f>1+C81</f>
        <v>23</v>
      </c>
      <c r="D82" s="555"/>
      <c r="E82" s="554" t="s">
        <v>2403</v>
      </c>
      <c r="F82" s="555"/>
      <c r="G82" s="1702">
        <f>IF(SUM(G80:G81)='SCH_C2.1 - Base Period'!J356,'SCH_C2.1 - Base Period'!J356,"CHECK ROUNDING")</f>
        <v>1793879</v>
      </c>
      <c r="H82" s="557"/>
      <c r="I82" s="1702">
        <f>I81+I80</f>
        <v>-2230920</v>
      </c>
      <c r="J82" s="557"/>
      <c r="K82" s="1702">
        <f>K81+K80</f>
        <v>-437041</v>
      </c>
      <c r="L82" s="1702">
        <f ca="1">L81+L80</f>
        <v>477485</v>
      </c>
      <c r="M82" s="1702">
        <f ca="1">M81+M80</f>
        <v>40444</v>
      </c>
      <c r="N82" s="557"/>
      <c r="O82" s="1702">
        <f>O81+O80</f>
        <v>3440930</v>
      </c>
      <c r="P82" s="557"/>
      <c r="Q82" s="1702">
        <f ca="1">Q81+Q80</f>
        <v>3481374</v>
      </c>
      <c r="R82" s="557"/>
      <c r="S82" s="555"/>
      <c r="T82" s="555"/>
      <c r="U82" s="555"/>
      <c r="V82" s="555"/>
      <c r="W82" s="555"/>
      <c r="X82" s="555"/>
      <c r="Y82" s="555"/>
      <c r="Z82" s="555"/>
      <c r="AA82" s="555"/>
      <c r="AB82" s="555"/>
      <c r="AC82" s="555"/>
      <c r="AD82" s="555"/>
      <c r="AE82" s="555"/>
      <c r="AF82" s="555"/>
      <c r="AG82" s="555"/>
      <c r="AH82" s="557"/>
      <c r="AI82" s="555"/>
      <c r="AJ82" s="555"/>
      <c r="AK82" s="555"/>
    </row>
    <row r="83" spans="1:37" ht="13.8" thickTop="1">
      <c r="A83" s="555"/>
      <c r="B83" s="555"/>
      <c r="C83" s="555"/>
      <c r="D83" s="555"/>
      <c r="E83" s="554"/>
      <c r="F83" s="555"/>
      <c r="G83" s="557"/>
      <c r="H83" s="557"/>
      <c r="I83" s="557"/>
      <c r="J83" s="557"/>
      <c r="K83" s="557"/>
      <c r="L83" s="557"/>
      <c r="M83" s="557"/>
      <c r="N83" s="557"/>
      <c r="O83" s="557"/>
      <c r="P83" s="557"/>
      <c r="Q83" s="557"/>
      <c r="R83" s="557"/>
      <c r="S83" s="555"/>
      <c r="T83" s="555"/>
      <c r="U83" s="555"/>
      <c r="V83" s="555"/>
      <c r="W83" s="555"/>
      <c r="X83" s="555"/>
      <c r="Y83" s="555"/>
      <c r="Z83" s="555"/>
      <c r="AA83" s="555"/>
      <c r="AB83" s="555"/>
      <c r="AC83" s="555"/>
      <c r="AD83" s="555"/>
      <c r="AE83" s="555"/>
      <c r="AF83" s="555"/>
      <c r="AG83" s="555"/>
      <c r="AH83" s="557"/>
      <c r="AI83" s="555"/>
      <c r="AJ83" s="555"/>
      <c r="AK83" s="555"/>
    </row>
    <row r="84" spans="1:37">
      <c r="A84" s="555"/>
      <c r="B84" s="555"/>
      <c r="C84" s="555"/>
      <c r="D84" s="555"/>
      <c r="E84" s="554"/>
      <c r="F84" s="555"/>
      <c r="G84" s="557"/>
      <c r="H84" s="557"/>
      <c r="I84" s="557"/>
      <c r="J84" s="557"/>
      <c r="R84" s="557"/>
      <c r="S84" s="555"/>
      <c r="T84" s="555"/>
      <c r="U84" s="555"/>
      <c r="V84" s="555"/>
      <c r="W84" s="555"/>
      <c r="X84" s="555"/>
      <c r="Y84" s="555"/>
      <c r="Z84" s="555"/>
      <c r="AA84" s="555"/>
      <c r="AB84" s="555"/>
      <c r="AC84" s="555"/>
      <c r="AD84" s="555"/>
      <c r="AE84" s="555"/>
      <c r="AF84" s="555"/>
      <c r="AG84" s="555"/>
      <c r="AH84" s="557"/>
      <c r="AI84" s="555"/>
      <c r="AJ84" s="555"/>
      <c r="AK84" s="555"/>
    </row>
    <row r="85" spans="1:37">
      <c r="A85" s="555"/>
      <c r="B85" s="555"/>
      <c r="C85" s="555"/>
      <c r="D85" s="555"/>
      <c r="E85" s="554" t="s">
        <v>2404</v>
      </c>
      <c r="F85" s="555"/>
      <c r="G85" s="557"/>
      <c r="H85" s="557"/>
      <c r="I85" s="557"/>
      <c r="J85" s="557"/>
      <c r="K85" s="557"/>
      <c r="L85" s="557"/>
      <c r="M85" s="557"/>
      <c r="N85" s="557"/>
      <c r="O85" s="557"/>
      <c r="P85" s="557"/>
      <c r="Q85" s="557"/>
      <c r="R85" s="557"/>
      <c r="S85" s="555"/>
      <c r="T85" s="555"/>
      <c r="U85" s="555"/>
      <c r="V85" s="555"/>
      <c r="W85" s="555"/>
      <c r="X85" s="555"/>
      <c r="Y85" s="555"/>
      <c r="Z85" s="555"/>
      <c r="AA85" s="555"/>
      <c r="AB85" s="555"/>
      <c r="AC85" s="555"/>
      <c r="AD85" s="555"/>
      <c r="AE85" s="555"/>
      <c r="AF85" s="555"/>
      <c r="AG85" s="555"/>
      <c r="AH85" s="557"/>
      <c r="AI85" s="555"/>
      <c r="AJ85" s="555"/>
      <c r="AK85" s="555"/>
    </row>
    <row r="86" spans="1:37">
      <c r="A86" s="555"/>
      <c r="B86" s="555"/>
      <c r="C86" s="555"/>
      <c r="D86" s="555"/>
      <c r="E86" s="554"/>
      <c r="F86" s="555"/>
      <c r="G86" s="557"/>
      <c r="H86" s="557"/>
      <c r="I86" s="557"/>
      <c r="J86" s="557"/>
      <c r="K86" s="932">
        <f>K78/K76</f>
        <v>5.0000018092306225E-2</v>
      </c>
      <c r="L86" s="932">
        <f ca="1">L78/L76</f>
        <v>5.0000193724113615E-2</v>
      </c>
      <c r="M86" s="932">
        <f ca="1">M78/M76</f>
        <v>5.0001350443183677E-2</v>
      </c>
      <c r="N86" s="557"/>
      <c r="O86" s="932">
        <f>O78/O76</f>
        <v>5.0000000726547776E-2</v>
      </c>
      <c r="P86" s="557"/>
      <c r="Q86" s="932">
        <f ca="1">Q78/Q76</f>
        <v>5.0000024972371639E-2</v>
      </c>
      <c r="R86" s="557"/>
      <c r="S86" s="1203"/>
      <c r="T86" s="555"/>
      <c r="U86" s="555"/>
      <c r="V86" s="555"/>
      <c r="W86" s="555"/>
      <c r="X86" s="555"/>
      <c r="Y86" s="555"/>
      <c r="Z86" s="555"/>
      <c r="AA86" s="555"/>
      <c r="AB86" s="555"/>
      <c r="AC86" s="555"/>
      <c r="AD86" s="555"/>
      <c r="AE86" s="555"/>
      <c r="AF86" s="555"/>
      <c r="AG86" s="555"/>
      <c r="AH86" s="557"/>
      <c r="AI86" s="555"/>
      <c r="AJ86" s="555"/>
      <c r="AK86" s="555"/>
    </row>
    <row r="87" spans="1:37">
      <c r="A87" s="555"/>
      <c r="B87" s="555"/>
      <c r="C87" s="555"/>
      <c r="D87" s="555"/>
      <c r="E87" s="554"/>
      <c r="F87" s="555"/>
      <c r="G87" s="557"/>
      <c r="H87" s="557"/>
      <c r="I87" s="557"/>
      <c r="J87" s="557"/>
      <c r="K87" s="557"/>
      <c r="L87" s="557"/>
      <c r="M87" s="557"/>
      <c r="N87" s="557"/>
      <c r="O87" s="557"/>
      <c r="P87" s="557"/>
      <c r="Q87" s="557"/>
      <c r="R87" s="557"/>
      <c r="S87" s="1203"/>
      <c r="T87" s="555"/>
      <c r="U87" s="555"/>
      <c r="V87" s="555"/>
      <c r="W87" s="555"/>
      <c r="X87" s="555"/>
      <c r="Y87" s="555"/>
      <c r="Z87" s="555"/>
      <c r="AA87" s="555"/>
      <c r="AB87" s="555"/>
      <c r="AC87" s="555"/>
      <c r="AD87" s="555"/>
      <c r="AE87" s="555"/>
      <c r="AF87" s="555"/>
      <c r="AG87" s="555"/>
      <c r="AH87" s="557"/>
      <c r="AI87" s="555"/>
      <c r="AJ87" s="555"/>
      <c r="AK87" s="555"/>
    </row>
    <row r="88" spans="1:37">
      <c r="A88" s="555"/>
      <c r="B88" s="555"/>
      <c r="C88" s="553"/>
      <c r="D88" s="553"/>
      <c r="E88" s="553"/>
      <c r="F88" s="553"/>
      <c r="G88" s="553"/>
      <c r="H88" s="553"/>
      <c r="I88" s="553"/>
      <c r="J88" s="553"/>
      <c r="K88" s="553"/>
      <c r="L88" s="553"/>
      <c r="M88" s="770"/>
      <c r="N88" s="553"/>
      <c r="O88" s="553"/>
      <c r="P88" s="553"/>
      <c r="Q88" s="553"/>
      <c r="R88" s="557"/>
      <c r="S88" s="1203"/>
      <c r="T88" s="555"/>
      <c r="U88" s="555"/>
      <c r="V88" s="555"/>
      <c r="W88" s="555"/>
      <c r="X88" s="555"/>
      <c r="Y88" s="555"/>
      <c r="Z88" s="555"/>
      <c r="AA88" s="555"/>
      <c r="AB88" s="555"/>
      <c r="AC88" s="555"/>
      <c r="AD88" s="555"/>
      <c r="AE88" s="555"/>
      <c r="AF88" s="555"/>
      <c r="AG88" s="555"/>
      <c r="AH88" s="557"/>
      <c r="AI88" s="555"/>
      <c r="AJ88" s="555"/>
      <c r="AK88" s="555"/>
    </row>
    <row r="89" spans="1:37">
      <c r="A89" s="555"/>
      <c r="B89" s="555"/>
      <c r="C89" s="553"/>
      <c r="D89" s="553"/>
      <c r="E89" s="553"/>
      <c r="F89" s="553"/>
      <c r="G89" s="553"/>
      <c r="H89" s="553"/>
      <c r="I89" s="553"/>
      <c r="J89" s="553"/>
      <c r="K89" s="553"/>
      <c r="L89" s="553"/>
      <c r="M89" s="770"/>
      <c r="N89" s="553"/>
      <c r="O89" s="553"/>
      <c r="P89" s="553"/>
      <c r="Q89" s="553"/>
      <c r="R89" s="557"/>
      <c r="S89" s="1203"/>
      <c r="T89" s="555"/>
      <c r="U89" s="555"/>
      <c r="V89" s="555"/>
      <c r="W89" s="555"/>
      <c r="X89" s="555"/>
      <c r="Y89" s="555"/>
      <c r="Z89" s="555"/>
      <c r="AA89" s="555"/>
      <c r="AB89" s="555"/>
      <c r="AC89" s="555"/>
      <c r="AD89" s="555"/>
      <c r="AE89" s="555"/>
      <c r="AF89" s="555"/>
      <c r="AG89" s="555"/>
      <c r="AH89" s="557"/>
      <c r="AI89" s="555"/>
      <c r="AJ89" s="555"/>
      <c r="AK89" s="555"/>
    </row>
    <row r="90" spans="1:37">
      <c r="A90" s="555"/>
      <c r="B90" s="555"/>
      <c r="C90" s="553" t="str">
        <f>COMPANY</f>
        <v>DUKE ENERGY KENTUCKY, INC.</v>
      </c>
      <c r="D90" s="553"/>
      <c r="E90" s="553"/>
      <c r="F90" s="553"/>
      <c r="G90" s="553"/>
      <c r="H90" s="553"/>
      <c r="I90" s="553"/>
      <c r="J90" s="553"/>
      <c r="K90" s="553"/>
      <c r="L90" s="553"/>
      <c r="M90" s="553"/>
      <c r="N90" s="553"/>
      <c r="O90" s="553"/>
      <c r="P90" s="553"/>
      <c r="Q90" s="553"/>
      <c r="R90" s="557"/>
      <c r="S90" s="1203"/>
      <c r="T90" s="555"/>
      <c r="U90" s="555"/>
      <c r="V90" s="555"/>
      <c r="W90" s="555"/>
      <c r="X90" s="555"/>
      <c r="Y90" s="555"/>
      <c r="Z90" s="555"/>
      <c r="AA90" s="555"/>
      <c r="AB90" s="555"/>
      <c r="AC90" s="555"/>
      <c r="AD90" s="555"/>
      <c r="AE90" s="555"/>
      <c r="AF90" s="555"/>
      <c r="AG90" s="555"/>
      <c r="AH90" s="557"/>
      <c r="AI90" s="555"/>
      <c r="AJ90" s="555"/>
      <c r="AK90" s="555"/>
    </row>
    <row r="91" spans="1:37">
      <c r="A91" s="555"/>
      <c r="B91" s="555"/>
      <c r="C91" s="553" t="str">
        <f>CASE</f>
        <v>CASE NO. 2024-00354</v>
      </c>
      <c r="D91" s="553"/>
      <c r="E91" s="553"/>
      <c r="F91" s="553"/>
      <c r="G91" s="553"/>
      <c r="H91" s="553"/>
      <c r="I91" s="553"/>
      <c r="J91" s="553"/>
      <c r="K91" s="553"/>
      <c r="L91" s="553"/>
      <c r="M91" s="553"/>
      <c r="N91" s="553"/>
      <c r="O91" s="553"/>
      <c r="P91" s="553"/>
      <c r="Q91" s="553"/>
      <c r="R91" s="557"/>
      <c r="S91" s="1203"/>
      <c r="T91" s="555"/>
      <c r="U91" s="555"/>
      <c r="V91" s="555"/>
      <c r="W91" s="555"/>
      <c r="X91" s="555"/>
      <c r="Y91" s="555"/>
      <c r="Z91" s="555"/>
      <c r="AA91" s="555"/>
      <c r="AB91" s="555"/>
      <c r="AC91" s="555"/>
      <c r="AD91" s="555"/>
      <c r="AE91" s="555"/>
      <c r="AF91" s="555"/>
      <c r="AG91" s="555"/>
      <c r="AH91" s="557"/>
      <c r="AI91" s="555"/>
      <c r="AJ91" s="555"/>
      <c r="AK91" s="555"/>
    </row>
    <row r="92" spans="1:37">
      <c r="A92" s="555"/>
      <c r="B92" s="555"/>
      <c r="C92" s="553" t="s">
        <v>2367</v>
      </c>
      <c r="D92" s="553"/>
      <c r="E92" s="553"/>
      <c r="F92" s="553"/>
      <c r="G92" s="553"/>
      <c r="H92" s="553"/>
      <c r="I92" s="553"/>
      <c r="J92" s="553"/>
      <c r="K92" s="553"/>
      <c r="L92" s="553"/>
      <c r="M92" s="553"/>
      <c r="N92" s="553"/>
      <c r="O92" s="553"/>
      <c r="P92" s="553"/>
      <c r="Q92" s="553"/>
      <c r="R92" s="557"/>
      <c r="S92" s="1203"/>
      <c r="T92" s="555"/>
      <c r="U92" s="555"/>
      <c r="V92" s="555"/>
      <c r="W92" s="555"/>
      <c r="X92" s="555"/>
      <c r="Y92" s="555"/>
      <c r="Z92" s="555"/>
      <c r="AA92" s="555"/>
      <c r="AB92" s="555"/>
      <c r="AC92" s="555"/>
      <c r="AD92" s="555"/>
      <c r="AE92" s="555"/>
      <c r="AF92" s="555"/>
      <c r="AG92" s="555"/>
      <c r="AH92" s="557"/>
      <c r="AI92" s="555"/>
      <c r="AJ92" s="555"/>
      <c r="AK92" s="555"/>
    </row>
    <row r="93" spans="1:37">
      <c r="A93" s="555"/>
      <c r="B93" s="555"/>
      <c r="C93" s="553" t="str">
        <f>PERIOD</f>
        <v>FOR THE TWELVE MONTHS ENDED FEBRUARY 28, 2025</v>
      </c>
      <c r="D93" s="553"/>
      <c r="E93" s="553"/>
      <c r="F93" s="553"/>
      <c r="G93" s="553"/>
      <c r="H93" s="553"/>
      <c r="I93" s="553"/>
      <c r="J93" s="553"/>
      <c r="K93" s="553"/>
      <c r="L93" s="553"/>
      <c r="M93" s="553"/>
      <c r="N93" s="553"/>
      <c r="O93" s="553"/>
      <c r="P93" s="553"/>
      <c r="Q93" s="553"/>
      <c r="R93" s="557"/>
      <c r="S93" s="1203"/>
      <c r="T93" s="555"/>
      <c r="U93" s="555"/>
      <c r="V93" s="555"/>
      <c r="W93" s="555"/>
      <c r="X93" s="555"/>
      <c r="Y93" s="555"/>
      <c r="Z93" s="555"/>
      <c r="AA93" s="555"/>
      <c r="AB93" s="555"/>
      <c r="AC93" s="555"/>
      <c r="AD93" s="555"/>
      <c r="AE93" s="555"/>
      <c r="AF93" s="555"/>
      <c r="AG93" s="555"/>
      <c r="AH93" s="557"/>
      <c r="AI93" s="555"/>
      <c r="AJ93" s="555"/>
      <c r="AK93" s="555"/>
    </row>
    <row r="94" spans="1:37">
      <c r="A94" s="555"/>
      <c r="B94" s="555"/>
      <c r="C94" s="553" t="str">
        <f>PeriodF</f>
        <v>FOR THE TWELVE MONTHS ENDED JUNE 30, 2026</v>
      </c>
      <c r="D94" s="553"/>
      <c r="E94" s="553"/>
      <c r="F94" s="553"/>
      <c r="G94" s="553"/>
      <c r="H94" s="553"/>
      <c r="I94" s="553"/>
      <c r="J94" s="553"/>
      <c r="K94" s="553"/>
      <c r="L94" s="553"/>
      <c r="M94" s="553"/>
      <c r="N94" s="553"/>
      <c r="O94" s="553"/>
      <c r="P94" s="553"/>
      <c r="Q94" s="553"/>
      <c r="R94" s="557"/>
      <c r="S94" s="1203"/>
      <c r="T94" s="555"/>
      <c r="U94" s="555"/>
      <c r="V94" s="555"/>
      <c r="W94" s="555"/>
      <c r="X94" s="555"/>
      <c r="Y94" s="555"/>
      <c r="Z94" s="555"/>
      <c r="AA94" s="555"/>
      <c r="AB94" s="555"/>
      <c r="AC94" s="555"/>
      <c r="AD94" s="555"/>
      <c r="AE94" s="555"/>
      <c r="AF94" s="555"/>
      <c r="AG94" s="555"/>
      <c r="AH94" s="557"/>
      <c r="AI94" s="555"/>
      <c r="AJ94" s="555"/>
      <c r="AK94" s="555"/>
    </row>
    <row r="95" spans="1:37">
      <c r="A95" s="555"/>
      <c r="B95" s="555"/>
      <c r="C95" s="555"/>
      <c r="D95" s="555"/>
      <c r="E95" s="554"/>
      <c r="F95" s="555"/>
      <c r="G95" s="555"/>
      <c r="H95" s="555"/>
      <c r="I95" s="555"/>
      <c r="J95" s="555"/>
      <c r="K95" s="555"/>
      <c r="L95" s="555"/>
      <c r="M95" s="555"/>
      <c r="N95" s="555"/>
      <c r="O95" s="555"/>
      <c r="P95" s="555"/>
      <c r="Q95" s="555"/>
      <c r="R95" s="557"/>
      <c r="S95" s="1202"/>
      <c r="T95" s="555"/>
      <c r="U95" s="555"/>
      <c r="V95" s="555"/>
      <c r="W95" s="555"/>
      <c r="X95" s="555"/>
      <c r="Y95" s="555"/>
      <c r="Z95" s="555"/>
      <c r="AA95" s="555"/>
      <c r="AB95" s="555"/>
      <c r="AC95" s="555"/>
      <c r="AD95" s="555"/>
      <c r="AE95" s="555"/>
      <c r="AF95" s="555"/>
      <c r="AG95" s="555"/>
      <c r="AH95" s="557"/>
      <c r="AI95" s="555"/>
      <c r="AJ95" s="555"/>
      <c r="AK95" s="555"/>
    </row>
    <row r="96" spans="1:37">
      <c r="A96" s="555"/>
      <c r="B96" s="555"/>
      <c r="C96" s="555" t="str">
        <f>DataB</f>
        <v>DATA: "X" BASE PERIOD  "X" FORECASTED PERIOD</v>
      </c>
      <c r="D96" s="555"/>
      <c r="E96" s="554"/>
      <c r="F96" s="555"/>
      <c r="G96" s="555"/>
      <c r="H96" s="555"/>
      <c r="I96" s="555"/>
      <c r="J96" s="555"/>
      <c r="K96" s="555"/>
      <c r="L96" s="555"/>
      <c r="M96" s="555"/>
      <c r="N96" s="555"/>
      <c r="O96" s="554" t="s">
        <v>2368</v>
      </c>
      <c r="P96" s="554"/>
      <c r="Q96" s="555"/>
      <c r="R96" s="557"/>
      <c r="S96" s="1203"/>
      <c r="T96" s="555"/>
      <c r="U96" s="555"/>
      <c r="V96" s="555"/>
      <c r="W96" s="555"/>
      <c r="X96" s="555"/>
      <c r="Y96" s="555"/>
      <c r="Z96" s="555"/>
      <c r="AA96" s="555"/>
      <c r="AB96" s="555"/>
      <c r="AC96" s="555"/>
      <c r="AD96" s="555"/>
      <c r="AE96" s="555"/>
      <c r="AF96" s="555"/>
      <c r="AG96" s="555"/>
      <c r="AH96" s="557"/>
      <c r="AI96" s="555"/>
      <c r="AJ96" s="555"/>
      <c r="AK96" s="555"/>
    </row>
    <row r="97" spans="1:37">
      <c r="A97" s="555"/>
      <c r="B97" s="555"/>
      <c r="C97" s="555" t="str">
        <f>Type</f>
        <v xml:space="preserve">TYPE OF FILING:  "X" ORIGINAL   UPDATED    REVISED  </v>
      </c>
      <c r="D97" s="555"/>
      <c r="E97" s="554"/>
      <c r="F97" s="555"/>
      <c r="G97" s="555"/>
      <c r="H97" s="555"/>
      <c r="I97" s="555"/>
      <c r="J97" s="555"/>
      <c r="K97" s="555"/>
      <c r="L97" s="555"/>
      <c r="M97" s="555"/>
      <c r="N97" s="555"/>
      <c r="O97" s="554" t="s">
        <v>2405</v>
      </c>
      <c r="P97" s="554"/>
      <c r="Q97" s="555"/>
      <c r="R97" s="557"/>
      <c r="S97" s="1203"/>
      <c r="T97" s="555"/>
      <c r="U97" s="555"/>
      <c r="V97" s="555"/>
      <c r="W97" s="555"/>
      <c r="X97" s="555"/>
      <c r="Y97" s="555"/>
      <c r="Z97" s="555"/>
      <c r="AA97" s="555"/>
      <c r="AB97" s="555"/>
      <c r="AC97" s="555"/>
      <c r="AD97" s="555"/>
      <c r="AE97" s="555"/>
      <c r="AF97" s="555"/>
      <c r="AG97" s="555"/>
      <c r="AH97" s="557"/>
      <c r="AI97" s="555"/>
      <c r="AJ97" s="555"/>
      <c r="AK97" s="555"/>
    </row>
    <row r="98" spans="1:37">
      <c r="A98" s="555"/>
      <c r="B98" s="555"/>
      <c r="C98" s="554" t="str">
        <f>$C$11</f>
        <v>WORK PAPER REFERENCE NO(S).:  WPE-1a, WPE-1b</v>
      </c>
      <c r="D98" s="555"/>
      <c r="E98" s="554"/>
      <c r="F98" s="555"/>
      <c r="G98" s="555"/>
      <c r="H98" s="555"/>
      <c r="I98" s="555"/>
      <c r="J98" s="555"/>
      <c r="K98" s="555"/>
      <c r="L98" s="555"/>
      <c r="M98" s="555"/>
      <c r="N98" s="555"/>
      <c r="O98" s="554" t="s">
        <v>468</v>
      </c>
      <c r="P98" s="554"/>
      <c r="Q98" s="555"/>
      <c r="R98" s="557"/>
      <c r="S98" s="1202"/>
      <c r="T98" s="555"/>
      <c r="U98" s="555"/>
      <c r="V98" s="555"/>
      <c r="W98" s="555"/>
      <c r="X98" s="555"/>
      <c r="Y98" s="555"/>
      <c r="Z98" s="555"/>
      <c r="AA98" s="555"/>
      <c r="AB98" s="555"/>
      <c r="AC98" s="555"/>
      <c r="AD98" s="555"/>
      <c r="AE98" s="555"/>
      <c r="AF98" s="555"/>
      <c r="AG98" s="555"/>
      <c r="AH98" s="557"/>
      <c r="AI98" s="555"/>
      <c r="AJ98" s="555"/>
      <c r="AK98" s="555"/>
    </row>
    <row r="99" spans="1:37">
      <c r="A99" s="555"/>
      <c r="B99" s="555"/>
      <c r="C99" s="555"/>
      <c r="D99" s="555"/>
      <c r="E99" s="554"/>
      <c r="F99" s="555"/>
      <c r="G99" s="555"/>
      <c r="H99" s="555"/>
      <c r="I99" s="555"/>
      <c r="J99" s="555"/>
      <c r="K99" s="555"/>
      <c r="L99" s="555"/>
      <c r="M99" s="555"/>
      <c r="N99" s="555"/>
      <c r="O99" s="554" t="str">
        <f>O12</f>
        <v>J. R. PANIZZA</v>
      </c>
      <c r="P99" s="556"/>
      <c r="Q99" s="555"/>
      <c r="R99" s="557"/>
      <c r="S99" s="1202"/>
      <c r="T99" s="555"/>
      <c r="U99" s="555"/>
      <c r="V99" s="555"/>
      <c r="W99" s="555"/>
      <c r="X99" s="555"/>
      <c r="Y99" s="555"/>
      <c r="Z99" s="555"/>
      <c r="AA99" s="555"/>
      <c r="AB99" s="555"/>
      <c r="AC99" s="555"/>
      <c r="AD99" s="555"/>
      <c r="AE99" s="555"/>
      <c r="AF99" s="555"/>
      <c r="AG99" s="555"/>
      <c r="AH99" s="557"/>
      <c r="AI99" s="555"/>
      <c r="AJ99" s="555"/>
      <c r="AK99" s="555"/>
    </row>
    <row r="100" spans="1:37">
      <c r="A100" s="555"/>
      <c r="B100" s="555"/>
      <c r="C100" s="555"/>
      <c r="D100" s="555"/>
      <c r="E100" s="554"/>
      <c r="F100" s="555"/>
      <c r="G100" s="555"/>
      <c r="H100" s="555"/>
      <c r="I100" s="555"/>
      <c r="J100" s="555"/>
      <c r="K100" s="555"/>
      <c r="L100" s="555"/>
      <c r="M100" s="555"/>
      <c r="N100" s="555"/>
      <c r="O100" s="554"/>
      <c r="P100" s="556"/>
      <c r="Q100" s="555"/>
      <c r="R100" s="557"/>
      <c r="S100" s="1202"/>
      <c r="T100" s="555"/>
      <c r="U100" s="555"/>
      <c r="V100" s="555"/>
      <c r="W100" s="555"/>
      <c r="X100" s="555"/>
      <c r="Y100" s="555"/>
      <c r="Z100" s="555"/>
      <c r="AA100" s="555"/>
      <c r="AB100" s="555"/>
      <c r="AC100" s="555"/>
      <c r="AD100" s="555"/>
      <c r="AE100" s="555"/>
      <c r="AF100" s="555"/>
      <c r="AG100" s="555"/>
      <c r="AH100" s="557"/>
      <c r="AI100" s="555"/>
      <c r="AJ100" s="555"/>
      <c r="AK100" s="555"/>
    </row>
    <row r="101" spans="1:37">
      <c r="A101" s="555"/>
      <c r="B101" s="555"/>
      <c r="C101" s="2153"/>
      <c r="D101" s="2153"/>
      <c r="E101" s="2154"/>
      <c r="F101" s="2153"/>
      <c r="G101" s="2155" t="s">
        <v>2371</v>
      </c>
      <c r="H101" s="2155"/>
      <c r="I101" s="2155"/>
      <c r="J101" s="2155"/>
      <c r="K101" s="2156"/>
      <c r="L101" s="2156"/>
      <c r="M101" s="2156"/>
      <c r="N101" s="2153"/>
      <c r="O101" s="2155" t="s">
        <v>2372</v>
      </c>
      <c r="P101" s="2155"/>
      <c r="Q101" s="2155"/>
      <c r="R101" s="557"/>
      <c r="S101" s="1202"/>
      <c r="T101" s="555"/>
      <c r="U101" s="555"/>
      <c r="V101" s="555"/>
      <c r="W101" s="555"/>
      <c r="X101" s="555"/>
      <c r="Y101" s="555"/>
      <c r="Z101" s="555"/>
      <c r="AA101" s="555"/>
      <c r="AB101" s="555"/>
      <c r="AC101" s="555"/>
      <c r="AD101" s="555"/>
      <c r="AE101" s="555"/>
      <c r="AF101" s="555"/>
      <c r="AG101" s="555"/>
      <c r="AH101" s="557"/>
      <c r="AI101" s="555"/>
      <c r="AJ101" s="555"/>
      <c r="AK101" s="555"/>
    </row>
    <row r="102" spans="1:37">
      <c r="A102" s="555"/>
      <c r="B102" s="555"/>
      <c r="C102" s="555"/>
      <c r="D102" s="555"/>
      <c r="E102" s="554"/>
      <c r="F102" s="555"/>
      <c r="G102" s="2155"/>
      <c r="H102" s="2155"/>
      <c r="I102" s="2155"/>
      <c r="J102" s="2155"/>
      <c r="K102" s="553"/>
      <c r="L102" s="553" t="s">
        <v>1404</v>
      </c>
      <c r="M102" s="553" t="s">
        <v>1404</v>
      </c>
      <c r="N102" s="555"/>
      <c r="O102" s="2155"/>
      <c r="P102" s="2155"/>
      <c r="Q102" s="2155"/>
      <c r="R102" s="557"/>
      <c r="S102" s="1202"/>
      <c r="T102" s="555"/>
      <c r="U102" s="555"/>
      <c r="V102" s="555"/>
      <c r="W102" s="555"/>
      <c r="X102" s="555"/>
      <c r="Y102" s="555"/>
      <c r="Z102" s="555"/>
      <c r="AA102" s="555"/>
      <c r="AB102" s="555"/>
      <c r="AC102" s="555"/>
      <c r="AD102" s="555"/>
      <c r="AE102" s="555"/>
      <c r="AF102" s="555"/>
      <c r="AG102" s="555"/>
      <c r="AH102" s="557"/>
      <c r="AI102" s="555"/>
      <c r="AJ102" s="555"/>
      <c r="AK102" s="555"/>
    </row>
    <row r="103" spans="1:37">
      <c r="A103" s="555"/>
      <c r="B103" s="555"/>
      <c r="C103" s="556" t="s">
        <v>471</v>
      </c>
      <c r="D103" s="555"/>
      <c r="E103" s="554"/>
      <c r="F103" s="555"/>
      <c r="G103" s="556" t="s">
        <v>473</v>
      </c>
      <c r="H103" s="555"/>
      <c r="I103" s="556"/>
      <c r="J103" s="555"/>
      <c r="K103" s="556" t="s">
        <v>474</v>
      </c>
      <c r="L103" s="556" t="s">
        <v>1729</v>
      </c>
      <c r="M103" s="556" t="s">
        <v>474</v>
      </c>
      <c r="N103" s="555"/>
      <c r="O103" s="556"/>
      <c r="P103" s="556"/>
      <c r="Q103" s="555"/>
      <c r="R103" s="561"/>
      <c r="S103" s="1202"/>
      <c r="T103" s="555"/>
      <c r="U103" s="555"/>
      <c r="V103" s="555"/>
      <c r="W103" s="555"/>
      <c r="X103" s="555"/>
      <c r="Y103" s="555"/>
      <c r="Z103" s="555"/>
      <c r="AA103" s="555"/>
      <c r="AB103" s="555"/>
      <c r="AC103" s="555"/>
      <c r="AD103" s="555"/>
      <c r="AE103" s="555"/>
      <c r="AF103" s="555"/>
      <c r="AG103" s="555"/>
      <c r="AH103" s="557"/>
      <c r="AI103" s="555"/>
      <c r="AJ103" s="555"/>
      <c r="AK103" s="555"/>
    </row>
    <row r="104" spans="1:37">
      <c r="A104" s="555"/>
      <c r="B104" s="555"/>
      <c r="C104" s="556" t="s">
        <v>475</v>
      </c>
      <c r="D104" s="555"/>
      <c r="E104" s="554" t="s">
        <v>971</v>
      </c>
      <c r="F104" s="555"/>
      <c r="G104" s="556" t="s">
        <v>478</v>
      </c>
      <c r="H104" s="556"/>
      <c r="I104" s="556" t="s">
        <v>1800</v>
      </c>
      <c r="J104" s="556"/>
      <c r="K104" s="556" t="s">
        <v>478</v>
      </c>
      <c r="L104" s="556" t="s">
        <v>500</v>
      </c>
      <c r="M104" s="556" t="s">
        <v>478</v>
      </c>
      <c r="N104" s="555"/>
      <c r="O104" s="556" t="s">
        <v>1800</v>
      </c>
      <c r="P104" s="556"/>
      <c r="Q104" s="556" t="s">
        <v>1096</v>
      </c>
      <c r="R104" s="555"/>
      <c r="S104" s="1202"/>
      <c r="T104" s="555"/>
      <c r="U104" s="555"/>
      <c r="V104" s="555"/>
      <c r="W104" s="555"/>
      <c r="X104" s="555"/>
      <c r="Y104" s="555"/>
      <c r="Z104" s="555"/>
      <c r="AA104" s="555"/>
      <c r="AB104" s="555"/>
      <c r="AC104" s="555"/>
      <c r="AD104" s="555"/>
      <c r="AE104" s="555"/>
      <c r="AF104" s="555"/>
      <c r="AG104" s="555"/>
      <c r="AH104" s="557"/>
      <c r="AI104" s="555"/>
      <c r="AJ104" s="555"/>
      <c r="AK104" s="555"/>
    </row>
    <row r="105" spans="1:37">
      <c r="A105" s="555"/>
      <c r="B105" s="555"/>
      <c r="C105" s="1540"/>
      <c r="D105" s="1540"/>
      <c r="E105" s="1541"/>
      <c r="F105" s="1540"/>
      <c r="G105" s="1542" t="s">
        <v>506</v>
      </c>
      <c r="H105" s="1542"/>
      <c r="I105" s="1543" t="s">
        <v>510</v>
      </c>
      <c r="J105" s="1543"/>
      <c r="K105" s="1543" t="s">
        <v>519</v>
      </c>
      <c r="L105" s="1543" t="s">
        <v>911</v>
      </c>
      <c r="M105" s="1543" t="s">
        <v>976</v>
      </c>
      <c r="N105" s="1540"/>
      <c r="O105" s="1543" t="s">
        <v>977</v>
      </c>
      <c r="P105" s="1543"/>
      <c r="Q105" s="1543" t="s">
        <v>2373</v>
      </c>
      <c r="R105" s="555"/>
      <c r="S105" s="1202"/>
      <c r="T105" s="555"/>
      <c r="U105" s="555"/>
      <c r="V105" s="555"/>
      <c r="W105" s="555"/>
      <c r="X105" s="555"/>
      <c r="Y105" s="555"/>
      <c r="Z105" s="555"/>
      <c r="AA105" s="555"/>
      <c r="AB105" s="555"/>
      <c r="AC105" s="555"/>
      <c r="AD105" s="555"/>
      <c r="AE105" s="555"/>
      <c r="AF105" s="555"/>
      <c r="AG105" s="555"/>
      <c r="AH105" s="557"/>
      <c r="AI105" s="555"/>
      <c r="AJ105" s="555"/>
      <c r="AK105" s="555"/>
    </row>
    <row r="106" spans="1:37">
      <c r="A106" s="555"/>
      <c r="B106" s="555"/>
      <c r="C106" s="555"/>
      <c r="D106" s="555"/>
      <c r="E106" s="555"/>
      <c r="F106" s="555"/>
      <c r="G106" s="556" t="s">
        <v>1371</v>
      </c>
      <c r="H106" s="556"/>
      <c r="I106" s="556" t="s">
        <v>1371</v>
      </c>
      <c r="J106" s="556"/>
      <c r="K106" s="556" t="s">
        <v>1371</v>
      </c>
      <c r="L106" s="556"/>
      <c r="M106" s="556"/>
      <c r="N106" s="556"/>
      <c r="O106" s="556" t="s">
        <v>1371</v>
      </c>
      <c r="P106" s="556"/>
      <c r="Q106" s="556" t="s">
        <v>1371</v>
      </c>
      <c r="R106" s="555"/>
      <c r="S106" s="1202"/>
      <c r="T106" s="555"/>
      <c r="U106" s="555"/>
      <c r="V106" s="555"/>
      <c r="W106" s="555"/>
      <c r="X106" s="555"/>
      <c r="Y106" s="555"/>
      <c r="Z106" s="555"/>
      <c r="AA106" s="566"/>
      <c r="AB106" s="555"/>
      <c r="AC106" s="555"/>
      <c r="AD106" s="555"/>
      <c r="AE106" s="555"/>
      <c r="AF106" s="555"/>
      <c r="AG106" s="555"/>
      <c r="AH106" s="557"/>
      <c r="AI106" s="555"/>
      <c r="AJ106" s="555"/>
      <c r="AK106" s="555"/>
    </row>
    <row r="107" spans="1:37">
      <c r="A107" s="555"/>
      <c r="B107" s="555"/>
      <c r="C107" s="555"/>
      <c r="D107" s="555"/>
      <c r="E107" s="555"/>
      <c r="F107" s="555"/>
      <c r="G107" s="555"/>
      <c r="H107" s="555"/>
      <c r="I107" s="555"/>
      <c r="J107" s="555"/>
      <c r="K107" s="555"/>
      <c r="L107" s="555"/>
      <c r="M107" s="555"/>
      <c r="N107" s="555"/>
      <c r="O107" s="555"/>
      <c r="P107" s="555"/>
      <c r="Q107" s="555"/>
      <c r="R107" s="555"/>
      <c r="S107" s="1202"/>
      <c r="T107" s="555"/>
      <c r="U107" s="555"/>
      <c r="V107" s="555"/>
      <c r="W107" s="555"/>
      <c r="X107" s="555"/>
      <c r="Y107" s="555"/>
      <c r="Z107" s="555"/>
      <c r="AA107" s="566"/>
      <c r="AB107" s="555"/>
      <c r="AC107" s="555"/>
      <c r="AD107" s="555"/>
      <c r="AE107" s="555"/>
      <c r="AF107" s="555"/>
      <c r="AG107" s="555"/>
      <c r="AH107" s="557"/>
      <c r="AI107" s="555"/>
      <c r="AJ107" s="555"/>
      <c r="AK107" s="555"/>
    </row>
    <row r="108" spans="1:37">
      <c r="A108" s="555"/>
      <c r="B108" s="555"/>
      <c r="C108" s="556">
        <v>1</v>
      </c>
      <c r="D108" s="555"/>
      <c r="E108" s="554" t="s">
        <v>2406</v>
      </c>
      <c r="F108" s="555"/>
      <c r="G108" s="1544">
        <f>G82</f>
        <v>1793879</v>
      </c>
      <c r="H108" s="557"/>
      <c r="I108" s="1544">
        <f>I82</f>
        <v>-2230920</v>
      </c>
      <c r="J108" s="557"/>
      <c r="K108" s="1544">
        <f>K82</f>
        <v>-437041</v>
      </c>
      <c r="L108" s="1544">
        <f ca="1">L82</f>
        <v>477485</v>
      </c>
      <c r="M108" s="1544">
        <f ca="1">M82</f>
        <v>40444</v>
      </c>
      <c r="N108" s="555"/>
      <c r="O108" s="1544">
        <f>O82</f>
        <v>3440930</v>
      </c>
      <c r="P108" s="555"/>
      <c r="Q108" s="1544">
        <f ca="1">Q82</f>
        <v>3481374</v>
      </c>
      <c r="R108" s="555"/>
      <c r="S108" s="1202"/>
      <c r="T108" s="555"/>
      <c r="U108" s="555"/>
      <c r="V108" s="555"/>
      <c r="W108" s="555"/>
      <c r="X108" s="555"/>
      <c r="Y108" s="555"/>
      <c r="Z108" s="555"/>
      <c r="AA108" s="555"/>
      <c r="AB108" s="555"/>
      <c r="AC108" s="555"/>
      <c r="AD108" s="555"/>
      <c r="AE108" s="555"/>
      <c r="AF108" s="555"/>
      <c r="AG108" s="555"/>
      <c r="AH108" s="557"/>
      <c r="AI108" s="555"/>
      <c r="AJ108" s="555"/>
      <c r="AK108" s="555"/>
    </row>
    <row r="109" spans="1:37">
      <c r="A109" s="555"/>
      <c r="B109" s="555"/>
      <c r="C109" s="556">
        <f>C108+1</f>
        <v>2</v>
      </c>
      <c r="D109" s="555"/>
      <c r="E109" s="555"/>
      <c r="F109" s="555"/>
      <c r="G109" s="557"/>
      <c r="H109" s="557"/>
      <c r="I109" s="557"/>
      <c r="J109" s="557"/>
      <c r="K109" s="557"/>
      <c r="L109" s="557"/>
      <c r="M109" s="557"/>
      <c r="N109" s="555"/>
      <c r="O109" s="555"/>
      <c r="P109" s="555"/>
      <c r="Q109" s="555"/>
      <c r="R109" s="555"/>
      <c r="S109" s="1202"/>
      <c r="T109" s="555"/>
      <c r="U109" s="555"/>
      <c r="V109" s="555"/>
      <c r="W109" s="555"/>
      <c r="X109" s="555"/>
      <c r="Y109" s="555"/>
      <c r="Z109" s="555"/>
      <c r="AA109" s="555"/>
      <c r="AB109" s="555"/>
      <c r="AC109" s="555"/>
      <c r="AD109" s="555"/>
      <c r="AE109" s="555"/>
      <c r="AF109" s="555"/>
      <c r="AG109" s="555"/>
      <c r="AH109" s="557"/>
      <c r="AI109" s="555"/>
      <c r="AJ109" s="555"/>
      <c r="AK109" s="555"/>
    </row>
    <row r="110" spans="1:37">
      <c r="A110" s="555"/>
      <c r="B110" s="555"/>
      <c r="C110" s="556">
        <f t="shared" ref="C110:C125" si="1">C109+1</f>
        <v>3</v>
      </c>
      <c r="D110" s="555"/>
      <c r="E110" s="554" t="s">
        <v>2407</v>
      </c>
      <c r="F110" s="555"/>
      <c r="G110" s="557">
        <f>-ROUND((+G31+G36+G69)*SIT*AH275,0)</f>
        <v>1673300</v>
      </c>
      <c r="H110" s="557"/>
      <c r="I110" s="543">
        <f>K110-G110</f>
        <v>149202</v>
      </c>
      <c r="J110" s="557"/>
      <c r="K110" s="557">
        <f>-ROUND((+K31+K36+K69)*SIT*AH275,0)</f>
        <v>1822502</v>
      </c>
      <c r="L110" s="557">
        <f>SCH_D1!U235</f>
        <v>-635819</v>
      </c>
      <c r="M110" s="557">
        <f>K110+L110</f>
        <v>1186683</v>
      </c>
      <c r="N110" s="555"/>
      <c r="O110" s="557">
        <v>0</v>
      </c>
      <c r="P110" s="555"/>
      <c r="Q110" s="557">
        <f>M110+O110</f>
        <v>1186683</v>
      </c>
      <c r="R110" s="555"/>
      <c r="S110" s="1202"/>
      <c r="T110" s="555"/>
      <c r="U110" s="555"/>
      <c r="V110" s="555"/>
      <c r="W110" s="555"/>
      <c r="X110" s="555"/>
      <c r="Y110" s="555"/>
      <c r="Z110" s="555"/>
      <c r="AA110" s="555"/>
      <c r="AB110" s="555"/>
      <c r="AC110" s="555"/>
      <c r="AD110" s="555"/>
      <c r="AE110" s="555"/>
      <c r="AF110" s="555"/>
      <c r="AG110" s="555"/>
      <c r="AH110" s="557"/>
      <c r="AI110" s="555"/>
      <c r="AJ110" s="555"/>
      <c r="AK110" s="555"/>
    </row>
    <row r="111" spans="1:37">
      <c r="A111" s="555"/>
      <c r="B111" s="555"/>
      <c r="C111" s="556">
        <f t="shared" si="1"/>
        <v>4</v>
      </c>
      <c r="D111" s="555"/>
      <c r="E111" s="554" t="s">
        <v>2408</v>
      </c>
      <c r="F111" s="555"/>
      <c r="G111" s="933">
        <f>ROUND(-84788,0)</f>
        <v>-84788</v>
      </c>
      <c r="H111" s="557"/>
      <c r="I111" s="543">
        <f>K111-G111</f>
        <v>0</v>
      </c>
      <c r="J111" s="557"/>
      <c r="K111" s="933">
        <v>-84788</v>
      </c>
      <c r="L111" s="557"/>
      <c r="M111" s="557">
        <f t="shared" ref="M111:M113" si="2">K111+L111</f>
        <v>-84788</v>
      </c>
      <c r="N111" s="555"/>
      <c r="O111" s="557"/>
      <c r="P111" s="555"/>
      <c r="Q111" s="557">
        <f t="shared" ref="Q111:Q113" si="3">M111+O111</f>
        <v>-84788</v>
      </c>
      <c r="R111" s="555"/>
      <c r="S111" s="1202"/>
      <c r="T111" s="555"/>
      <c r="U111" s="555"/>
      <c r="V111" s="555"/>
      <c r="W111" s="555"/>
      <c r="X111" s="555"/>
      <c r="Y111" s="555"/>
      <c r="Z111" s="555"/>
      <c r="AA111" s="555"/>
      <c r="AB111" s="555"/>
      <c r="AC111" s="555"/>
      <c r="AD111" s="555"/>
      <c r="AE111" s="555"/>
      <c r="AF111" s="555"/>
      <c r="AG111" s="555"/>
      <c r="AH111" s="557"/>
      <c r="AI111" s="555"/>
      <c r="AJ111" s="555"/>
      <c r="AK111" s="555"/>
    </row>
    <row r="112" spans="1:37">
      <c r="A112" s="555"/>
      <c r="B112" s="555"/>
      <c r="C112" s="556">
        <f t="shared" si="1"/>
        <v>5</v>
      </c>
      <c r="D112" s="555"/>
      <c r="E112" s="554" t="s">
        <v>2409</v>
      </c>
      <c r="F112" s="555"/>
      <c r="G112" s="933">
        <v>-167994</v>
      </c>
      <c r="H112" s="557"/>
      <c r="I112" s="543">
        <f>K112-G112</f>
        <v>0</v>
      </c>
      <c r="J112" s="557"/>
      <c r="K112" s="933">
        <v>-167994</v>
      </c>
      <c r="L112" s="557"/>
      <c r="M112" s="557">
        <f t="shared" si="2"/>
        <v>-167994</v>
      </c>
      <c r="N112" s="555"/>
      <c r="O112" s="557"/>
      <c r="P112" s="555"/>
      <c r="Q112" s="557">
        <f t="shared" si="3"/>
        <v>-167994</v>
      </c>
      <c r="R112" s="555"/>
      <c r="S112" s="1202"/>
      <c r="T112" s="555"/>
      <c r="U112" s="555"/>
      <c r="V112" s="555"/>
      <c r="W112" s="555"/>
      <c r="X112" s="555"/>
      <c r="Y112" s="555"/>
      <c r="Z112" s="555"/>
      <c r="AA112" s="555"/>
      <c r="AB112" s="555"/>
      <c r="AC112" s="555"/>
      <c r="AD112" s="555"/>
      <c r="AE112" s="555"/>
      <c r="AF112" s="555"/>
      <c r="AG112" s="555"/>
      <c r="AH112" s="557"/>
      <c r="AI112" s="555"/>
      <c r="AJ112" s="555"/>
      <c r="AK112" s="555"/>
    </row>
    <row r="113" spans="1:37">
      <c r="A113" s="555"/>
      <c r="B113" s="555"/>
      <c r="C113" s="556">
        <f t="shared" si="1"/>
        <v>6</v>
      </c>
      <c r="D113" s="555"/>
      <c r="E113" s="554" t="s">
        <v>2410</v>
      </c>
      <c r="F113" s="555"/>
      <c r="G113" s="1544">
        <f>'BASE PERIOD'!E41+'BASE PERIOD'!E46</f>
        <v>0</v>
      </c>
      <c r="H113" s="557"/>
      <c r="I113" s="1545">
        <f t="shared" ref="I113" si="4">K113-G113</f>
        <v>0</v>
      </c>
      <c r="J113" s="557"/>
      <c r="K113" s="1544">
        <v>0</v>
      </c>
      <c r="L113" s="1544"/>
      <c r="M113" s="1544">
        <f t="shared" si="2"/>
        <v>0</v>
      </c>
      <c r="N113" s="555"/>
      <c r="O113" s="1544"/>
      <c r="P113" s="555"/>
      <c r="Q113" s="1544">
        <f t="shared" si="3"/>
        <v>0</v>
      </c>
      <c r="R113" s="555"/>
      <c r="S113" s="1202"/>
      <c r="T113" s="555"/>
      <c r="U113" s="555"/>
      <c r="V113" s="555"/>
      <c r="W113" s="555"/>
      <c r="X113" s="555"/>
      <c r="Y113" s="555"/>
      <c r="Z113" s="555"/>
      <c r="AA113" s="555"/>
      <c r="AB113" s="555"/>
      <c r="AC113" s="555"/>
      <c r="AD113" s="555"/>
      <c r="AE113" s="555"/>
      <c r="AF113" s="555"/>
      <c r="AG113" s="555"/>
      <c r="AH113" s="557"/>
      <c r="AI113" s="555"/>
      <c r="AJ113" s="555"/>
      <c r="AK113" s="555"/>
    </row>
    <row r="114" spans="1:37">
      <c r="A114" s="555"/>
      <c r="B114" s="555"/>
      <c r="C114" s="556">
        <f t="shared" si="1"/>
        <v>7</v>
      </c>
      <c r="D114" s="555"/>
      <c r="E114" s="554" t="s">
        <v>2411</v>
      </c>
      <c r="F114" s="555"/>
      <c r="G114" s="557">
        <f>SUM(G110:G113)</f>
        <v>1420518</v>
      </c>
      <c r="H114" s="557"/>
      <c r="I114" s="543">
        <f>K114-G114</f>
        <v>149202</v>
      </c>
      <c r="J114" s="557"/>
      <c r="K114" s="557">
        <f>SUM(K110:K113)</f>
        <v>1569720</v>
      </c>
      <c r="L114" s="557">
        <f>SUM(L110:L113)</f>
        <v>-635819</v>
      </c>
      <c r="M114" s="557">
        <f>SUM(M110:M113)</f>
        <v>933901</v>
      </c>
      <c r="N114" s="555"/>
      <c r="O114" s="557">
        <f>SUM(O110:O113)</f>
        <v>0</v>
      </c>
      <c r="P114" s="555"/>
      <c r="Q114" s="557">
        <f>SUM(Q110:Q113)</f>
        <v>933901</v>
      </c>
      <c r="R114" s="555"/>
      <c r="S114" s="1202"/>
      <c r="T114" s="555"/>
      <c r="U114" s="555"/>
      <c r="V114" s="555"/>
      <c r="W114" s="555"/>
      <c r="X114" s="555"/>
      <c r="Y114" s="555"/>
      <c r="Z114" s="555"/>
      <c r="AA114" s="555"/>
      <c r="AB114" s="555"/>
      <c r="AC114" s="555"/>
      <c r="AD114" s="555"/>
      <c r="AE114" s="555"/>
      <c r="AF114" s="555"/>
      <c r="AG114" s="555"/>
      <c r="AH114" s="557"/>
      <c r="AI114" s="555"/>
      <c r="AJ114" s="555"/>
      <c r="AK114" s="555"/>
    </row>
    <row r="115" spans="1:37">
      <c r="A115" s="555"/>
      <c r="B115" s="555"/>
      <c r="C115" s="556">
        <f t="shared" si="1"/>
        <v>8</v>
      </c>
      <c r="D115" s="555"/>
      <c r="E115" s="554"/>
      <c r="F115" s="555"/>
      <c r="G115" s="557"/>
      <c r="H115" s="557"/>
      <c r="I115" s="543"/>
      <c r="J115" s="557"/>
      <c r="K115" s="557"/>
      <c r="L115" s="557"/>
      <c r="M115" s="557"/>
      <c r="N115" s="555"/>
      <c r="O115" s="557"/>
      <c r="P115" s="555"/>
      <c r="Q115" s="557"/>
      <c r="R115" s="555"/>
      <c r="S115" s="1202"/>
      <c r="T115" s="555"/>
      <c r="U115" s="555"/>
      <c r="V115" s="555"/>
      <c r="W115" s="555"/>
      <c r="X115" s="555"/>
      <c r="Y115" s="555"/>
      <c r="Z115" s="555"/>
      <c r="AA115" s="555"/>
      <c r="AB115" s="555"/>
      <c r="AC115" s="555"/>
      <c r="AD115" s="555"/>
      <c r="AE115" s="555"/>
      <c r="AF115" s="555"/>
      <c r="AG115" s="555"/>
      <c r="AH115" s="557"/>
      <c r="AI115" s="555"/>
      <c r="AJ115" s="555"/>
      <c r="AK115" s="555"/>
    </row>
    <row r="116" spans="1:37" ht="13.8" thickBot="1">
      <c r="A116" s="555"/>
      <c r="B116" s="555"/>
      <c r="C116" s="556">
        <f t="shared" si="1"/>
        <v>9</v>
      </c>
      <c r="D116" s="555"/>
      <c r="E116" s="554" t="s">
        <v>2412</v>
      </c>
      <c r="F116" s="555"/>
      <c r="G116" s="1702">
        <f>G108+G114</f>
        <v>3214397</v>
      </c>
      <c r="H116" s="557"/>
      <c r="I116" s="1702">
        <f>I108+I114</f>
        <v>-2081718</v>
      </c>
      <c r="J116" s="557"/>
      <c r="K116" s="1702">
        <f>K108+K114</f>
        <v>1132679</v>
      </c>
      <c r="L116" s="1702">
        <f ca="1">L108+L114</f>
        <v>-158334</v>
      </c>
      <c r="M116" s="1702">
        <f ca="1">M108+M114</f>
        <v>974345</v>
      </c>
      <c r="N116" s="555"/>
      <c r="O116" s="1702">
        <f>O108+O114</f>
        <v>3440930</v>
      </c>
      <c r="P116" s="555"/>
      <c r="Q116" s="1702">
        <f ca="1">Q108+Q114</f>
        <v>4415275</v>
      </c>
      <c r="R116" s="555"/>
      <c r="S116" s="1202"/>
      <c r="T116" s="555"/>
      <c r="U116" s="555"/>
      <c r="V116" s="555"/>
      <c r="W116" s="555"/>
      <c r="X116" s="555"/>
      <c r="Y116" s="555"/>
      <c r="Z116" s="555"/>
      <c r="AA116" s="555"/>
      <c r="AB116" s="566"/>
      <c r="AC116" s="557"/>
      <c r="AD116" s="556"/>
      <c r="AE116" s="555"/>
      <c r="AF116" s="555"/>
      <c r="AG116" s="555"/>
      <c r="AH116" s="557"/>
      <c r="AI116" s="555"/>
      <c r="AJ116" s="555"/>
      <c r="AK116" s="555"/>
    </row>
    <row r="117" spans="1:37" ht="13.8" thickTop="1">
      <c r="A117" s="555"/>
      <c r="B117" s="555"/>
      <c r="C117" s="556">
        <f t="shared" si="1"/>
        <v>10</v>
      </c>
      <c r="D117" s="555"/>
      <c r="E117" s="555"/>
      <c r="F117" s="555"/>
      <c r="G117" s="557"/>
      <c r="H117" s="557"/>
      <c r="I117" s="557"/>
      <c r="J117" s="557"/>
      <c r="K117" s="557"/>
      <c r="L117" s="557"/>
      <c r="M117" s="557"/>
      <c r="N117" s="555"/>
      <c r="O117" s="555"/>
      <c r="P117" s="555"/>
      <c r="Q117" s="555"/>
      <c r="R117" s="555"/>
      <c r="S117" s="1202"/>
      <c r="T117" s="555"/>
      <c r="U117" s="555"/>
      <c r="V117" s="555"/>
      <c r="W117" s="555"/>
      <c r="X117" s="555"/>
      <c r="Y117" s="555"/>
      <c r="Z117" s="555"/>
      <c r="AA117" s="555"/>
      <c r="AB117" s="566"/>
      <c r="AC117" s="557"/>
      <c r="AD117" s="556"/>
      <c r="AE117" s="555"/>
      <c r="AF117" s="555"/>
      <c r="AG117" s="555"/>
      <c r="AH117" s="557"/>
      <c r="AI117" s="555"/>
      <c r="AJ117" s="555"/>
      <c r="AK117" s="555"/>
    </row>
    <row r="118" spans="1:37">
      <c r="A118" s="555"/>
      <c r="B118" s="555"/>
      <c r="C118" s="556">
        <f t="shared" si="1"/>
        <v>11</v>
      </c>
      <c r="D118" s="555"/>
      <c r="E118" s="555"/>
      <c r="F118" s="555"/>
      <c r="G118" s="557"/>
      <c r="H118" s="557"/>
      <c r="I118" s="557"/>
      <c r="J118" s="557"/>
      <c r="K118" s="557"/>
      <c r="L118" s="557"/>
      <c r="M118" s="557"/>
      <c r="N118" s="555"/>
      <c r="O118" s="555"/>
      <c r="P118" s="555"/>
      <c r="Q118" s="555"/>
      <c r="R118" s="555"/>
      <c r="S118" s="1202"/>
      <c r="T118" s="555"/>
      <c r="U118" s="555"/>
      <c r="V118" s="555"/>
      <c r="W118" s="555"/>
      <c r="X118" s="555"/>
      <c r="Y118" s="555"/>
      <c r="Z118" s="555"/>
      <c r="AA118" s="555"/>
      <c r="AB118" s="566"/>
      <c r="AC118" s="557"/>
      <c r="AD118" s="556"/>
      <c r="AE118" s="555"/>
      <c r="AF118" s="555"/>
      <c r="AG118" s="555"/>
      <c r="AH118" s="557"/>
      <c r="AI118" s="555"/>
      <c r="AJ118" s="555"/>
      <c r="AK118" s="555"/>
    </row>
    <row r="119" spans="1:37">
      <c r="A119" s="555"/>
      <c r="B119" s="555"/>
      <c r="C119" s="556">
        <f t="shared" si="1"/>
        <v>12</v>
      </c>
      <c r="D119" s="555"/>
      <c r="E119" s="555" t="s">
        <v>2392</v>
      </c>
      <c r="F119" s="555"/>
      <c r="G119" s="557"/>
      <c r="H119" s="557"/>
      <c r="I119" s="557"/>
      <c r="J119" s="557"/>
      <c r="K119" s="557"/>
      <c r="L119" s="557"/>
      <c r="M119" s="557"/>
      <c r="N119" s="555"/>
      <c r="O119" s="555"/>
      <c r="P119" s="555"/>
      <c r="Q119" s="555"/>
      <c r="R119" s="555"/>
      <c r="S119" s="1202"/>
      <c r="T119" s="555"/>
      <c r="U119" s="555"/>
      <c r="V119" s="555"/>
      <c r="W119" s="555"/>
      <c r="X119" s="555"/>
      <c r="Y119" s="555"/>
      <c r="Z119" s="555"/>
      <c r="AA119" s="555"/>
      <c r="AB119" s="555"/>
      <c r="AC119" s="555"/>
      <c r="AD119" s="555"/>
      <c r="AE119" s="555"/>
      <c r="AF119" s="555"/>
      <c r="AG119" s="555"/>
      <c r="AH119" s="557"/>
      <c r="AI119" s="555"/>
      <c r="AJ119" s="555"/>
      <c r="AK119" s="555"/>
    </row>
    <row r="120" spans="1:37">
      <c r="A120" s="555"/>
      <c r="B120" s="555"/>
      <c r="C120" s="556">
        <f t="shared" si="1"/>
        <v>13</v>
      </c>
      <c r="D120" s="555"/>
      <c r="E120" s="555" t="s">
        <v>2413</v>
      </c>
      <c r="F120" s="555"/>
      <c r="G120" s="557">
        <f>G66</f>
        <v>49491404</v>
      </c>
      <c r="H120" s="557"/>
      <c r="I120" s="557">
        <f>I66</f>
        <v>-46374166</v>
      </c>
      <c r="J120" s="557"/>
      <c r="K120" s="557">
        <f>K66</f>
        <v>3117238</v>
      </c>
      <c r="L120" s="557">
        <f ca="1">L66</f>
        <v>9610207</v>
      </c>
      <c r="M120" s="557">
        <f ca="1">M66</f>
        <v>12727445</v>
      </c>
      <c r="N120" s="555"/>
      <c r="O120" s="557">
        <f>O66</f>
        <v>69254905</v>
      </c>
      <c r="P120" s="555"/>
      <c r="Q120" s="557">
        <f ca="1">Q66</f>
        <v>81982350</v>
      </c>
      <c r="R120" s="555"/>
      <c r="S120" s="1202"/>
      <c r="T120" s="555"/>
      <c r="U120" s="555"/>
      <c r="V120" s="555"/>
      <c r="W120" s="555"/>
      <c r="X120" s="555"/>
      <c r="Y120" s="555"/>
      <c r="Z120" s="555"/>
      <c r="AA120" s="555"/>
      <c r="AB120" s="555"/>
      <c r="AC120" s="555"/>
      <c r="AD120" s="555"/>
      <c r="AE120" s="555"/>
      <c r="AF120" s="555"/>
      <c r="AG120" s="555"/>
      <c r="AH120" s="557"/>
      <c r="AI120" s="555"/>
      <c r="AJ120" s="555"/>
      <c r="AK120" s="555"/>
    </row>
    <row r="121" spans="1:37">
      <c r="A121" s="555"/>
      <c r="B121" s="555"/>
      <c r="C121" s="556">
        <f t="shared" si="1"/>
        <v>14</v>
      </c>
      <c r="D121" s="555"/>
      <c r="E121" s="555"/>
      <c r="F121" s="555"/>
      <c r="G121" s="557"/>
      <c r="H121" s="557"/>
      <c r="I121" s="557"/>
      <c r="J121" s="557"/>
      <c r="K121" s="557"/>
      <c r="L121" s="557"/>
      <c r="M121" s="557"/>
      <c r="N121" s="555"/>
      <c r="O121" s="555"/>
      <c r="P121" s="555"/>
      <c r="Q121" s="555"/>
      <c r="R121" s="555"/>
      <c r="S121" s="1202"/>
      <c r="T121" s="555"/>
      <c r="U121" s="555"/>
      <c r="V121" s="555"/>
      <c r="W121" s="555"/>
      <c r="X121" s="555"/>
      <c r="Y121" s="555"/>
      <c r="Z121" s="555"/>
      <c r="AA121" s="555"/>
      <c r="AB121" s="555"/>
      <c r="AC121" s="555"/>
      <c r="AD121" s="555"/>
      <c r="AE121" s="555"/>
      <c r="AF121" s="555"/>
      <c r="AG121" s="555"/>
      <c r="AH121" s="557"/>
      <c r="AI121" s="555"/>
      <c r="AJ121" s="555"/>
      <c r="AK121" s="555"/>
    </row>
    <row r="122" spans="1:37">
      <c r="A122" s="555"/>
      <c r="B122" s="555"/>
      <c r="C122" s="556">
        <f t="shared" si="1"/>
        <v>15</v>
      </c>
      <c r="D122" s="555"/>
      <c r="E122" s="555" t="s">
        <v>2414</v>
      </c>
      <c r="F122" s="555"/>
      <c r="G122" s="557">
        <f>G80</f>
        <v>1793879</v>
      </c>
      <c r="H122" s="557"/>
      <c r="I122" s="557">
        <f>I80</f>
        <v>-2230920</v>
      </c>
      <c r="J122" s="557"/>
      <c r="K122" s="557">
        <f>K80</f>
        <v>-437041</v>
      </c>
      <c r="L122" s="557">
        <f ca="1">L82</f>
        <v>477485</v>
      </c>
      <c r="M122" s="557">
        <f ca="1">M82</f>
        <v>40444</v>
      </c>
      <c r="N122" s="555"/>
      <c r="O122" s="557">
        <f>O82</f>
        <v>3440930</v>
      </c>
      <c r="P122" s="555"/>
      <c r="Q122" s="557">
        <f ca="1">Q82</f>
        <v>3481374</v>
      </c>
      <c r="R122" s="555"/>
      <c r="S122" s="1202"/>
      <c r="T122" s="555"/>
      <c r="U122" s="555"/>
      <c r="V122" s="555"/>
      <c r="W122" s="555"/>
      <c r="X122" s="555"/>
      <c r="Y122" s="555"/>
      <c r="Z122" s="555"/>
      <c r="AA122" s="555"/>
      <c r="AB122" s="555"/>
      <c r="AC122" s="555"/>
      <c r="AD122" s="555"/>
      <c r="AE122" s="555"/>
      <c r="AF122" s="555"/>
      <c r="AG122" s="555"/>
      <c r="AH122" s="557"/>
      <c r="AI122" s="555"/>
      <c r="AJ122" s="555"/>
      <c r="AK122" s="555"/>
    </row>
    <row r="123" spans="1:37" ht="13.8" thickBot="1">
      <c r="A123" s="555"/>
      <c r="B123" s="555"/>
      <c r="C123" s="556">
        <f t="shared" si="1"/>
        <v>16</v>
      </c>
      <c r="D123" s="555"/>
      <c r="E123" s="555" t="s">
        <v>2415</v>
      </c>
      <c r="F123" s="555"/>
      <c r="G123" s="1702">
        <f>G120-G122</f>
        <v>47697525</v>
      </c>
      <c r="H123" s="557"/>
      <c r="I123" s="1702">
        <f>I120-I122</f>
        <v>-44143246</v>
      </c>
      <c r="J123" s="1702"/>
      <c r="K123" s="1702">
        <f>K120-K122</f>
        <v>3554279</v>
      </c>
      <c r="L123" s="1702">
        <f ca="1">L120-L122</f>
        <v>9132722</v>
      </c>
      <c r="M123" s="1702">
        <f ca="1">M120-M122</f>
        <v>12687001</v>
      </c>
      <c r="N123" s="555"/>
      <c r="O123" s="1702">
        <f>O120-O122</f>
        <v>65813975</v>
      </c>
      <c r="P123" s="1702"/>
      <c r="Q123" s="1702">
        <f ca="1">Q120-Q122</f>
        <v>78500976</v>
      </c>
      <c r="R123" s="555"/>
      <c r="S123" s="1202"/>
      <c r="T123" s="555"/>
      <c r="U123" s="555"/>
      <c r="V123" s="555"/>
      <c r="W123" s="555"/>
      <c r="X123" s="555"/>
      <c r="Y123" s="555"/>
      <c r="Z123" s="555"/>
      <c r="AA123" s="555"/>
      <c r="AB123" s="555"/>
      <c r="AC123" s="555"/>
      <c r="AD123" s="555"/>
      <c r="AE123" s="555"/>
      <c r="AF123" s="555"/>
      <c r="AG123" s="555"/>
      <c r="AH123" s="557"/>
      <c r="AI123" s="555"/>
      <c r="AJ123" s="555"/>
      <c r="AK123" s="555"/>
    </row>
    <row r="124" spans="1:37" ht="13.8" thickTop="1">
      <c r="A124" s="555"/>
      <c r="B124" s="555"/>
      <c r="C124" s="556">
        <f t="shared" si="1"/>
        <v>17</v>
      </c>
      <c r="D124" s="555"/>
      <c r="E124" s="555"/>
      <c r="F124" s="555"/>
      <c r="G124" s="557"/>
      <c r="H124" s="557"/>
      <c r="I124" s="557"/>
      <c r="J124" s="557"/>
      <c r="K124" s="557"/>
      <c r="L124" s="746"/>
      <c r="M124" s="746"/>
      <c r="N124" s="555"/>
      <c r="O124" s="555"/>
      <c r="P124" s="555"/>
      <c r="Q124" s="555"/>
      <c r="R124" s="555"/>
      <c r="S124" s="1202"/>
      <c r="T124" s="555"/>
      <c r="U124" s="555"/>
      <c r="V124" s="555"/>
      <c r="W124" s="555"/>
      <c r="X124" s="555"/>
      <c r="Y124" s="555"/>
      <c r="Z124" s="555"/>
      <c r="AA124" s="555"/>
      <c r="AB124" s="555"/>
      <c r="AC124" s="555"/>
      <c r="AD124" s="555"/>
      <c r="AE124" s="555"/>
      <c r="AF124" s="555"/>
      <c r="AG124" s="555"/>
      <c r="AH124" s="557"/>
      <c r="AI124" s="555"/>
      <c r="AJ124" s="555"/>
      <c r="AK124" s="555"/>
    </row>
    <row r="125" spans="1:37">
      <c r="A125" s="555"/>
      <c r="B125" s="555"/>
      <c r="C125" s="556">
        <f t="shared" si="1"/>
        <v>18</v>
      </c>
      <c r="D125" s="555"/>
      <c r="E125" s="554" t="str">
        <f>"Federal Income Tax @ "&amp;TEXT(FIT,"##.00%")&amp;"  (A)"</f>
        <v>Federal Income Tax @ 21.00%  (A)</v>
      </c>
      <c r="F125" s="555"/>
      <c r="G125" s="543">
        <f>W192</f>
        <v>10016480</v>
      </c>
      <c r="H125" s="557"/>
      <c r="I125" s="543">
        <f>K125-G125</f>
        <v>-9270081</v>
      </c>
      <c r="J125" s="557"/>
      <c r="K125" s="543">
        <f>X192</f>
        <v>746399</v>
      </c>
      <c r="L125" s="557">
        <f ca="1">SCH_D1!U239</f>
        <v>1917871</v>
      </c>
      <c r="M125" s="560">
        <f ca="1">K125+L125</f>
        <v>2664270</v>
      </c>
      <c r="N125" s="555"/>
      <c r="O125" s="557">
        <f>ROUND(O123*FIT,0)</f>
        <v>13820935</v>
      </c>
      <c r="P125" s="555"/>
      <c r="Q125" s="557">
        <f ca="1">M125+O125</f>
        <v>16485205</v>
      </c>
      <c r="R125" s="555"/>
      <c r="S125" s="1202"/>
      <c r="T125" s="555"/>
      <c r="U125" s="555"/>
      <c r="V125" s="555"/>
      <c r="W125" s="555"/>
      <c r="X125" s="555"/>
      <c r="Y125" s="555"/>
      <c r="Z125" s="555"/>
      <c r="AA125" s="555"/>
      <c r="AB125" s="555"/>
      <c r="AC125" s="555"/>
      <c r="AD125" s="555"/>
      <c r="AE125" s="555"/>
      <c r="AF125" s="555"/>
      <c r="AG125" s="555"/>
      <c r="AH125" s="557"/>
      <c r="AI125" s="555"/>
      <c r="AJ125" s="555"/>
      <c r="AK125" s="555"/>
    </row>
    <row r="126" spans="1:37">
      <c r="A126" s="555"/>
      <c r="B126" s="555"/>
      <c r="C126" s="556">
        <f t="shared" ref="C126:C140" si="5">C125+1</f>
        <v>19</v>
      </c>
      <c r="D126" s="555"/>
      <c r="E126" s="557" t="s">
        <v>2416</v>
      </c>
      <c r="F126" s="555"/>
      <c r="G126" s="543">
        <f>W193</f>
        <v>0</v>
      </c>
      <c r="H126" s="557"/>
      <c r="I126" s="543">
        <f>K126-G126</f>
        <v>0</v>
      </c>
      <c r="J126" s="557"/>
      <c r="K126" s="739">
        <v>0</v>
      </c>
      <c r="L126" s="557">
        <v>0</v>
      </c>
      <c r="M126" s="560">
        <f>K126+L126</f>
        <v>0</v>
      </c>
      <c r="N126" s="555"/>
      <c r="O126" s="557">
        <v>0</v>
      </c>
      <c r="P126" s="555"/>
      <c r="Q126" s="557">
        <f>M126+O126</f>
        <v>0</v>
      </c>
      <c r="R126" s="555"/>
      <c r="S126" s="1202"/>
      <c r="T126" s="555"/>
      <c r="U126" s="555"/>
      <c r="V126" s="555"/>
      <c r="W126" s="555"/>
      <c r="X126" s="555"/>
      <c r="Y126" s="555"/>
      <c r="Z126" s="555"/>
      <c r="AA126" s="555"/>
      <c r="AB126" s="555"/>
      <c r="AC126" s="555"/>
      <c r="AD126" s="555"/>
      <c r="AE126" s="555"/>
      <c r="AF126" s="555"/>
      <c r="AG126" s="555"/>
      <c r="AH126" s="557"/>
      <c r="AI126" s="555"/>
      <c r="AJ126" s="555"/>
      <c r="AK126" s="555"/>
    </row>
    <row r="127" spans="1:37">
      <c r="A127" s="1922"/>
      <c r="B127" s="1922"/>
      <c r="C127" s="1929">
        <f t="shared" si="5"/>
        <v>20</v>
      </c>
      <c r="D127" s="1922"/>
      <c r="E127" s="1928" t="s">
        <v>2417</v>
      </c>
      <c r="F127" s="1922"/>
      <c r="G127" s="1923">
        <f>W194</f>
        <v>6732103</v>
      </c>
      <c r="H127" s="1930"/>
      <c r="I127" s="1923">
        <f>K127-G127</f>
        <v>-5863850</v>
      </c>
      <c r="J127" s="1930"/>
      <c r="K127" s="1923">
        <f>X194</f>
        <v>868253</v>
      </c>
      <c r="L127" s="1930">
        <v>0</v>
      </c>
      <c r="M127" s="1930">
        <f>K127+L127</f>
        <v>868253</v>
      </c>
      <c r="N127" s="1922"/>
      <c r="O127" s="1930">
        <v>0</v>
      </c>
      <c r="P127" s="1922"/>
      <c r="Q127" s="1930">
        <f>M127+O127</f>
        <v>868253</v>
      </c>
      <c r="R127" s="1922"/>
      <c r="S127" s="1202"/>
      <c r="T127" s="1922"/>
      <c r="U127" s="1922"/>
      <c r="V127" s="1922"/>
      <c r="W127" s="1922"/>
      <c r="X127" s="1922"/>
      <c r="Y127" s="1922"/>
      <c r="Z127" s="1922"/>
      <c r="AA127" s="1922"/>
      <c r="AB127" s="1922"/>
      <c r="AC127" s="1922"/>
      <c r="AD127" s="1922"/>
      <c r="AE127" s="1922"/>
      <c r="AF127" s="1922"/>
      <c r="AG127" s="1922"/>
      <c r="AH127" s="1930"/>
      <c r="AI127" s="1922"/>
      <c r="AJ127" s="1922"/>
      <c r="AK127" s="1922"/>
    </row>
    <row r="128" spans="1:37">
      <c r="A128" s="555"/>
      <c r="B128" s="555"/>
      <c r="C128" s="556">
        <f t="shared" si="5"/>
        <v>21</v>
      </c>
      <c r="D128" s="555"/>
      <c r="E128" s="554" t="s">
        <v>2402</v>
      </c>
      <c r="F128" s="555"/>
      <c r="G128" s="543">
        <f>'SCH_C2.1 - Base Period'!J360+'SCH_C2.1 - Base Period'!J361+'SCH_C2.1 - Base Period'!J362</f>
        <v>0</v>
      </c>
      <c r="H128" s="557"/>
      <c r="I128" s="543">
        <f>K128-G128</f>
        <v>0</v>
      </c>
      <c r="J128" s="557"/>
      <c r="K128" s="567">
        <v>0</v>
      </c>
      <c r="L128" s="557">
        <v>0</v>
      </c>
      <c r="M128" s="560">
        <f>K128+L128</f>
        <v>0</v>
      </c>
      <c r="N128" s="555"/>
      <c r="O128" s="557">
        <v>0</v>
      </c>
      <c r="P128" s="555"/>
      <c r="Q128" s="557">
        <f>M128+O128</f>
        <v>0</v>
      </c>
      <c r="R128" s="555"/>
      <c r="S128" s="1202"/>
      <c r="T128" s="555"/>
      <c r="U128" s="555"/>
      <c r="V128" s="555"/>
      <c r="W128" s="555"/>
      <c r="X128" s="555"/>
      <c r="Y128" s="555"/>
      <c r="Z128" s="555"/>
      <c r="AA128" s="555"/>
      <c r="AB128" s="555"/>
      <c r="AC128" s="555"/>
      <c r="AD128" s="555"/>
      <c r="AE128" s="555"/>
      <c r="AF128" s="555"/>
      <c r="AG128" s="555"/>
      <c r="AH128" s="557"/>
      <c r="AI128" s="555"/>
      <c r="AJ128" s="555"/>
      <c r="AK128" s="555"/>
    </row>
    <row r="129" spans="1:37">
      <c r="A129" s="555"/>
      <c r="B129" s="555"/>
      <c r="C129" s="556">
        <f t="shared" si="5"/>
        <v>22</v>
      </c>
      <c r="D129" s="555"/>
      <c r="E129" s="554" t="s">
        <v>2418</v>
      </c>
      <c r="F129" s="555"/>
      <c r="G129" s="2158">
        <f>IF(SUM(G125:G128)='SCH_C2.1 - Base Period'!J363,'SCH_C2.1 - Base Period'!J363,"CHECK ROUNDING")</f>
        <v>16748583</v>
      </c>
      <c r="H129" s="557"/>
      <c r="I129" s="2157">
        <f>SUM(I125:I128)</f>
        <v>-15133931</v>
      </c>
      <c r="J129" s="557"/>
      <c r="K129" s="2157">
        <f>SUM(K125:K128)</f>
        <v>1614652</v>
      </c>
      <c r="L129" s="2157">
        <f ca="1">SUM(L125:L128)</f>
        <v>1917871</v>
      </c>
      <c r="M129" s="2157">
        <f ca="1">SUM(M125:M128)</f>
        <v>3532523</v>
      </c>
      <c r="N129" s="555"/>
      <c r="O129" s="2157">
        <f>SUM(O125:O128)</f>
        <v>13820935</v>
      </c>
      <c r="P129" s="555"/>
      <c r="Q129" s="2157">
        <f ca="1">SUM(Q125:Q128)</f>
        <v>17353458</v>
      </c>
      <c r="R129" s="555"/>
      <c r="S129" s="1202"/>
      <c r="T129" s="555"/>
      <c r="U129" s="555"/>
      <c r="V129" s="555"/>
      <c r="W129" s="555"/>
      <c r="X129" s="555"/>
      <c r="Y129" s="555"/>
      <c r="Z129" s="555"/>
      <c r="AA129" s="555"/>
      <c r="AB129" s="555"/>
      <c r="AC129" s="555"/>
      <c r="AD129" s="555"/>
      <c r="AE129" s="555"/>
      <c r="AF129" s="555"/>
      <c r="AG129" s="555"/>
      <c r="AH129" s="557"/>
      <c r="AI129" s="555"/>
      <c r="AJ129" s="555"/>
      <c r="AK129" s="555"/>
    </row>
    <row r="130" spans="1:37">
      <c r="A130" s="555"/>
      <c r="B130" s="555"/>
      <c r="C130" s="556">
        <f t="shared" si="5"/>
        <v>23</v>
      </c>
      <c r="D130" s="555"/>
      <c r="E130" s="555"/>
      <c r="F130" s="555"/>
      <c r="G130" s="557"/>
      <c r="H130" s="557"/>
      <c r="I130" s="557"/>
      <c r="J130" s="557"/>
      <c r="K130" s="557"/>
      <c r="L130" s="557"/>
      <c r="M130" s="557"/>
      <c r="N130" s="555"/>
      <c r="O130" s="557"/>
      <c r="P130" s="555"/>
      <c r="Q130" s="557"/>
      <c r="R130" s="555"/>
      <c r="S130" s="1202"/>
      <c r="T130" s="555"/>
      <c r="U130" s="555"/>
      <c r="V130" s="555"/>
      <c r="W130" s="555"/>
      <c r="X130" s="555"/>
      <c r="Y130" s="555"/>
      <c r="Z130" s="555"/>
      <c r="AA130" s="555"/>
      <c r="AB130" s="555"/>
      <c r="AC130" s="555"/>
      <c r="AD130" s="555"/>
      <c r="AE130" s="555"/>
      <c r="AF130" s="555"/>
      <c r="AG130" s="555"/>
      <c r="AH130" s="557"/>
      <c r="AI130" s="555"/>
      <c r="AJ130" s="555"/>
      <c r="AK130" s="555"/>
    </row>
    <row r="131" spans="1:37">
      <c r="A131" s="555"/>
      <c r="B131" s="555"/>
      <c r="C131" s="556">
        <f t="shared" si="5"/>
        <v>24</v>
      </c>
      <c r="D131" s="555"/>
      <c r="E131" s="555" t="s">
        <v>2419</v>
      </c>
      <c r="F131" s="555"/>
      <c r="G131" s="557">
        <f>-ROUND((G31+G36+G110)*FIT,0)</f>
        <v>4004987</v>
      </c>
      <c r="H131" s="557"/>
      <c r="I131" s="543">
        <f>K131-G131</f>
        <v>908595</v>
      </c>
      <c r="J131" s="557"/>
      <c r="K131" s="557">
        <f>-ROUND((K31+K36+K110)*FIT,0)</f>
        <v>4913582</v>
      </c>
      <c r="L131" s="557">
        <f>SCH_D1!U240</f>
        <v>-2553847</v>
      </c>
      <c r="M131" s="557">
        <f>K131+L131</f>
        <v>2359735</v>
      </c>
      <c r="N131" s="555"/>
      <c r="O131" s="557">
        <v>0</v>
      </c>
      <c r="P131" s="555"/>
      <c r="Q131" s="557">
        <f>M131+O131</f>
        <v>2359735</v>
      </c>
      <c r="R131" s="555"/>
      <c r="S131" s="1202"/>
      <c r="T131" s="555"/>
      <c r="U131" s="555"/>
      <c r="V131" s="555"/>
      <c r="W131" s="555"/>
      <c r="X131" s="555"/>
      <c r="Y131" s="555"/>
      <c r="Z131" s="555"/>
      <c r="AA131" s="555"/>
      <c r="AB131" s="555"/>
      <c r="AC131" s="555"/>
      <c r="AD131" s="555"/>
      <c r="AE131" s="555"/>
      <c r="AF131" s="555"/>
      <c r="AG131" s="555"/>
      <c r="AH131" s="557"/>
      <c r="AI131" s="555"/>
      <c r="AJ131" s="555"/>
      <c r="AK131" s="555"/>
    </row>
    <row r="132" spans="1:37">
      <c r="A132" s="555"/>
      <c r="B132" s="555"/>
      <c r="C132" s="556">
        <f t="shared" si="5"/>
        <v>25</v>
      </c>
      <c r="D132" s="555"/>
      <c r="E132" s="554" t="s">
        <v>2420</v>
      </c>
      <c r="F132" s="555"/>
      <c r="G132" s="933">
        <v>-31753</v>
      </c>
      <c r="H132" s="557"/>
      <c r="I132" s="543">
        <f t="shared" ref="I132:I134" si="6">K132-G132</f>
        <v>0</v>
      </c>
      <c r="J132" s="557"/>
      <c r="K132" s="933">
        <v>-31753</v>
      </c>
      <c r="L132" s="933"/>
      <c r="M132" s="557">
        <f t="shared" ref="M132:M135" si="7">K132+L132</f>
        <v>-31753</v>
      </c>
      <c r="N132" s="555"/>
      <c r="O132" s="557"/>
      <c r="P132" s="555"/>
      <c r="Q132" s="557">
        <f t="shared" ref="Q132:Q135" si="8">M132+O132</f>
        <v>-31753</v>
      </c>
      <c r="R132" s="555"/>
      <c r="S132" s="1202"/>
      <c r="T132" s="555"/>
      <c r="U132" s="555"/>
      <c r="V132" s="555"/>
      <c r="W132" s="555"/>
      <c r="X132" s="555"/>
      <c r="Y132" s="555"/>
      <c r="Z132" s="555"/>
      <c r="AA132" s="555"/>
      <c r="AB132" s="555"/>
      <c r="AC132" s="555"/>
      <c r="AD132" s="555"/>
      <c r="AE132" s="555"/>
      <c r="AF132" s="555"/>
      <c r="AG132" s="555"/>
      <c r="AH132" s="557"/>
      <c r="AI132" s="555"/>
      <c r="AJ132" s="555"/>
      <c r="AK132" s="555"/>
    </row>
    <row r="133" spans="1:37">
      <c r="A133" s="555"/>
      <c r="B133" s="555"/>
      <c r="C133" s="556">
        <f t="shared" si="5"/>
        <v>26</v>
      </c>
      <c r="D133" s="555"/>
      <c r="E133" s="554" t="s">
        <v>2421</v>
      </c>
      <c r="F133" s="555"/>
      <c r="G133" s="933">
        <v>-4489189</v>
      </c>
      <c r="H133" s="557"/>
      <c r="I133" s="543">
        <f t="shared" si="6"/>
        <v>2648894</v>
      </c>
      <c r="J133" s="557"/>
      <c r="K133" s="933">
        <v>-1840295</v>
      </c>
      <c r="L133" s="933"/>
      <c r="M133" s="557">
        <f t="shared" si="7"/>
        <v>-1840295</v>
      </c>
      <c r="N133" s="555"/>
      <c r="O133" s="557"/>
      <c r="P133" s="555"/>
      <c r="Q133" s="557">
        <f t="shared" si="8"/>
        <v>-1840295</v>
      </c>
      <c r="R133" s="555"/>
      <c r="S133" s="1202"/>
      <c r="T133" s="555"/>
      <c r="U133" s="555"/>
      <c r="V133" s="555"/>
      <c r="W133" s="555"/>
      <c r="X133" s="555"/>
      <c r="Y133" s="555"/>
      <c r="Z133" s="555"/>
      <c r="AA133" s="555"/>
      <c r="AB133" s="555"/>
      <c r="AC133" s="555"/>
      <c r="AD133" s="555"/>
      <c r="AE133" s="555"/>
      <c r="AF133" s="555"/>
      <c r="AG133" s="555"/>
      <c r="AH133" s="557"/>
      <c r="AI133" s="555"/>
      <c r="AJ133" s="555"/>
      <c r="AK133" s="555"/>
    </row>
    <row r="134" spans="1:37">
      <c r="A134" s="1922"/>
      <c r="B134" s="1922"/>
      <c r="C134" s="1929">
        <f t="shared" si="5"/>
        <v>27</v>
      </c>
      <c r="D134" s="1922"/>
      <c r="E134" s="40" t="s">
        <v>2422</v>
      </c>
      <c r="F134" s="1922"/>
      <c r="G134" s="933">
        <v>-6732103</v>
      </c>
      <c r="H134" s="1930"/>
      <c r="I134" s="543">
        <f t="shared" si="6"/>
        <v>5863850</v>
      </c>
      <c r="J134" s="1930"/>
      <c r="K134" s="933">
        <v>-868253</v>
      </c>
      <c r="L134" s="933"/>
      <c r="M134" s="1930">
        <f>K134+L134</f>
        <v>-868253</v>
      </c>
      <c r="N134" s="1922"/>
      <c r="O134" s="1930"/>
      <c r="P134" s="1922"/>
      <c r="Q134" s="1930">
        <f>M134+O134</f>
        <v>-868253</v>
      </c>
      <c r="R134" s="1922"/>
      <c r="S134" s="1202"/>
      <c r="T134" s="1922"/>
      <c r="U134" s="1922"/>
      <c r="V134" s="1922"/>
      <c r="W134" s="1922"/>
      <c r="X134" s="1922"/>
      <c r="Y134" s="1922"/>
      <c r="Z134" s="1922"/>
      <c r="AA134" s="1922"/>
      <c r="AB134" s="1922"/>
      <c r="AC134" s="1922"/>
      <c r="AD134" s="1922"/>
      <c r="AE134" s="1922"/>
      <c r="AF134" s="1922"/>
      <c r="AG134" s="1922"/>
      <c r="AH134" s="1930"/>
      <c r="AI134" s="1922"/>
      <c r="AJ134" s="1922"/>
      <c r="AK134" s="1922"/>
    </row>
    <row r="135" spans="1:37">
      <c r="A135" s="555"/>
      <c r="B135" s="555"/>
      <c r="C135" s="556">
        <f t="shared" si="5"/>
        <v>28</v>
      </c>
      <c r="D135" s="555"/>
      <c r="E135" s="554" t="s">
        <v>2423</v>
      </c>
      <c r="F135" s="555"/>
      <c r="G135" s="1544">
        <f>'BASE PERIOD'!E40+'BASE PERIOD'!E45+'BASE PERIOD'!E47</f>
        <v>0</v>
      </c>
      <c r="H135" s="557"/>
      <c r="I135" s="1545">
        <f>K135-G135</f>
        <v>0</v>
      </c>
      <c r="J135" s="557"/>
      <c r="K135" s="1546">
        <v>0</v>
      </c>
      <c r="L135" s="1544"/>
      <c r="M135" s="1544">
        <f t="shared" si="7"/>
        <v>0</v>
      </c>
      <c r="N135" s="555"/>
      <c r="O135" s="1544"/>
      <c r="P135" s="555"/>
      <c r="Q135" s="1544">
        <f t="shared" si="8"/>
        <v>0</v>
      </c>
      <c r="R135" s="555"/>
      <c r="S135" s="1202"/>
      <c r="T135" s="555"/>
      <c r="U135" s="555"/>
      <c r="V135" s="555"/>
      <c r="W135" s="555"/>
      <c r="X135" s="555"/>
      <c r="Y135" s="555"/>
      <c r="Z135" s="555"/>
      <c r="AA135" s="555"/>
      <c r="AB135" s="555"/>
      <c r="AC135" s="555"/>
      <c r="AD135" s="555"/>
      <c r="AE135" s="555"/>
      <c r="AF135" s="555"/>
      <c r="AG135" s="555"/>
      <c r="AH135" s="557"/>
      <c r="AI135" s="555"/>
      <c r="AJ135" s="555"/>
      <c r="AK135" s="555"/>
    </row>
    <row r="136" spans="1:37">
      <c r="A136" s="555"/>
      <c r="B136" s="555"/>
      <c r="C136" s="556">
        <f t="shared" si="5"/>
        <v>29</v>
      </c>
      <c r="D136" s="555"/>
      <c r="E136" s="554" t="s">
        <v>2411</v>
      </c>
      <c r="F136" s="555"/>
      <c r="G136" s="557">
        <f>SUM(G131:G135)</f>
        <v>-7248058</v>
      </c>
      <c r="H136" s="557"/>
      <c r="I136" s="557">
        <f>SUM(I131:I135)</f>
        <v>9421339</v>
      </c>
      <c r="J136" s="557"/>
      <c r="K136" s="557">
        <f>SUM(K131:K135)</f>
        <v>2173281</v>
      </c>
      <c r="L136" s="557">
        <f>SUM(L131:L135)</f>
        <v>-2553847</v>
      </c>
      <c r="M136" s="557">
        <f>SUM(M131:M135)</f>
        <v>-380566</v>
      </c>
      <c r="N136" s="555"/>
      <c r="O136" s="557">
        <f>SUM(O131:O135)</f>
        <v>0</v>
      </c>
      <c r="P136" s="555"/>
      <c r="Q136" s="557">
        <f>SUM(Q131:Q135)</f>
        <v>-380566</v>
      </c>
      <c r="R136" s="555"/>
      <c r="S136" s="1202"/>
      <c r="T136" s="555"/>
      <c r="U136" s="555"/>
      <c r="V136" s="555"/>
      <c r="W136" s="555"/>
      <c r="X136" s="555"/>
      <c r="Y136" s="555"/>
      <c r="Z136" s="555"/>
      <c r="AA136" s="555"/>
      <c r="AB136" s="555"/>
      <c r="AC136" s="555"/>
      <c r="AD136" s="555"/>
      <c r="AE136" s="555"/>
      <c r="AF136" s="555"/>
      <c r="AG136" s="555"/>
      <c r="AH136" s="557"/>
      <c r="AI136" s="555"/>
      <c r="AJ136" s="555"/>
      <c r="AK136" s="555"/>
    </row>
    <row r="137" spans="1:37">
      <c r="A137" s="555"/>
      <c r="B137" s="555"/>
      <c r="C137" s="556">
        <f t="shared" si="5"/>
        <v>30</v>
      </c>
      <c r="D137" s="555"/>
      <c r="E137" s="554"/>
      <c r="F137" s="555"/>
      <c r="G137" s="557"/>
      <c r="H137" s="557"/>
      <c r="I137" s="543"/>
      <c r="J137" s="557"/>
      <c r="K137" s="557"/>
      <c r="L137" s="557"/>
      <c r="M137" s="557"/>
      <c r="N137" s="555"/>
      <c r="O137" s="557"/>
      <c r="P137" s="555"/>
      <c r="Q137" s="557"/>
      <c r="R137" s="555"/>
      <c r="S137" s="1202"/>
      <c r="T137" s="555"/>
      <c r="U137" s="555"/>
      <c r="V137" s="555"/>
      <c r="W137" s="555"/>
      <c r="X137" s="555"/>
      <c r="Y137" s="555"/>
      <c r="Z137" s="555"/>
      <c r="AA137" s="555"/>
      <c r="AB137" s="555"/>
      <c r="AC137" s="555"/>
      <c r="AD137" s="555"/>
      <c r="AE137" s="555"/>
      <c r="AF137" s="555"/>
      <c r="AG137" s="555"/>
      <c r="AH137" s="557"/>
      <c r="AI137" s="555"/>
      <c r="AJ137" s="555"/>
      <c r="AK137" s="555"/>
    </row>
    <row r="138" spans="1:37">
      <c r="A138" s="555"/>
      <c r="B138" s="555"/>
      <c r="C138" s="556">
        <f t="shared" si="5"/>
        <v>31</v>
      </c>
      <c r="D138" s="555"/>
      <c r="E138" s="543" t="s">
        <v>2424</v>
      </c>
      <c r="F138" s="555"/>
      <c r="G138" s="933">
        <v>0</v>
      </c>
      <c r="H138" s="557"/>
      <c r="I138" s="543">
        <f>K138-G138</f>
        <v>0</v>
      </c>
      <c r="J138" s="557"/>
      <c r="K138" s="1248">
        <v>0</v>
      </c>
      <c r="L138" s="557">
        <f>SCH_D1!U241</f>
        <v>0</v>
      </c>
      <c r="M138" s="560">
        <f>K138+L138</f>
        <v>0</v>
      </c>
      <c r="N138" s="555"/>
      <c r="O138" s="557">
        <v>0</v>
      </c>
      <c r="P138" s="555"/>
      <c r="Q138" s="557">
        <f>M138+O138</f>
        <v>0</v>
      </c>
      <c r="R138" s="555"/>
      <c r="S138" s="1202"/>
      <c r="T138" s="555"/>
      <c r="U138" s="555"/>
      <c r="V138" s="555"/>
      <c r="W138" s="555"/>
      <c r="X138" s="555"/>
      <c r="Y138" s="555"/>
      <c r="Z138" s="555"/>
      <c r="AA138" s="555"/>
      <c r="AB138" s="555"/>
      <c r="AC138" s="555"/>
      <c r="AD138" s="556"/>
      <c r="AE138" s="555"/>
      <c r="AF138" s="555"/>
      <c r="AG138" s="555"/>
      <c r="AH138" s="557"/>
      <c r="AI138" s="555"/>
      <c r="AJ138" s="555"/>
      <c r="AK138" s="555"/>
    </row>
    <row r="139" spans="1:37">
      <c r="A139" s="555"/>
      <c r="B139" s="555"/>
      <c r="C139" s="556">
        <f t="shared" si="5"/>
        <v>32</v>
      </c>
      <c r="D139" s="555"/>
      <c r="E139" s="543"/>
      <c r="F139" s="555"/>
      <c r="G139" s="543"/>
      <c r="H139" s="557"/>
      <c r="I139" s="543"/>
      <c r="J139" s="557"/>
      <c r="K139" s="567"/>
      <c r="L139" s="1290"/>
      <c r="M139" s="560"/>
      <c r="N139" s="555"/>
      <c r="O139" s="557"/>
      <c r="P139" s="555"/>
      <c r="Q139" s="557"/>
      <c r="R139" s="555"/>
      <c r="S139" s="1202"/>
      <c r="T139" s="555"/>
      <c r="U139" s="555"/>
      <c r="V139" s="555"/>
      <c r="W139" s="555"/>
      <c r="X139" s="555"/>
      <c r="Y139" s="555"/>
      <c r="Z139" s="555"/>
      <c r="AA139" s="555"/>
      <c r="AB139" s="555"/>
      <c r="AC139" s="555"/>
      <c r="AD139" s="556"/>
      <c r="AE139" s="555"/>
      <c r="AF139" s="555"/>
      <c r="AG139" s="555"/>
      <c r="AH139" s="557"/>
      <c r="AI139" s="555"/>
      <c r="AJ139" s="555"/>
      <c r="AK139" s="555"/>
    </row>
    <row r="140" spans="1:37" ht="13.8" thickBot="1">
      <c r="A140" s="555"/>
      <c r="B140" s="555"/>
      <c r="C140" s="556">
        <f t="shared" si="5"/>
        <v>33</v>
      </c>
      <c r="D140" s="555"/>
      <c r="E140" s="555" t="s">
        <v>2425</v>
      </c>
      <c r="F140" s="555"/>
      <c r="G140" s="1702">
        <f>G129+G136+G138</f>
        <v>9500525</v>
      </c>
      <c r="H140" s="557"/>
      <c r="I140" s="1702">
        <f>I129+I136+I138</f>
        <v>-5712592</v>
      </c>
      <c r="J140" s="557"/>
      <c r="K140" s="1702">
        <f>K129+K136+K138</f>
        <v>3787933</v>
      </c>
      <c r="L140" s="1702">
        <f ca="1">L129+L136+L138</f>
        <v>-635976</v>
      </c>
      <c r="M140" s="1702">
        <f ca="1">M129+M136+M138</f>
        <v>3151957</v>
      </c>
      <c r="N140" s="555"/>
      <c r="O140" s="1702">
        <f>O129+O136+O138</f>
        <v>13820935</v>
      </c>
      <c r="P140" s="555"/>
      <c r="Q140" s="1702">
        <f ca="1">Q129+Q136+Q138</f>
        <v>16972892</v>
      </c>
      <c r="R140" s="555"/>
      <c r="S140" s="1202"/>
      <c r="T140" s="555"/>
      <c r="U140" s="555"/>
      <c r="V140" s="555"/>
      <c r="W140" s="555"/>
      <c r="X140" s="555"/>
      <c r="Y140" s="555"/>
      <c r="Z140" s="555"/>
      <c r="AA140" s="555"/>
      <c r="AB140" s="555"/>
      <c r="AC140" s="555"/>
      <c r="AD140" s="555"/>
      <c r="AE140" s="555"/>
      <c r="AF140" s="555"/>
      <c r="AG140" s="555"/>
      <c r="AH140" s="557"/>
      <c r="AI140" s="555"/>
      <c r="AJ140" s="555"/>
      <c r="AK140" s="562"/>
    </row>
    <row r="141" spans="1:37" ht="13.8" thickTop="1">
      <c r="A141" s="555"/>
      <c r="B141" s="555"/>
      <c r="C141" s="555"/>
      <c r="D141" s="555"/>
      <c r="E141" s="555"/>
      <c r="F141" s="555"/>
      <c r="G141" s="555"/>
      <c r="H141" s="555"/>
      <c r="I141" s="555"/>
      <c r="J141" s="555"/>
      <c r="K141" s="555"/>
      <c r="L141" s="555"/>
      <c r="M141" s="555"/>
      <c r="N141" s="555"/>
      <c r="O141" s="555"/>
      <c r="P141" s="555"/>
      <c r="Q141" s="555"/>
      <c r="R141" s="555"/>
      <c r="S141" s="1202"/>
      <c r="T141" s="555"/>
      <c r="U141" s="555"/>
      <c r="V141" s="555"/>
      <c r="W141" s="555"/>
      <c r="X141" s="555"/>
      <c r="Y141" s="555"/>
      <c r="Z141" s="555"/>
      <c r="AA141" s="555"/>
      <c r="AB141" s="555"/>
      <c r="AC141" s="555"/>
      <c r="AD141" s="555"/>
      <c r="AE141" s="555"/>
      <c r="AF141" s="555"/>
      <c r="AG141" s="555"/>
      <c r="AH141" s="557"/>
      <c r="AI141" s="555"/>
      <c r="AJ141" s="555"/>
      <c r="AK141" s="562"/>
    </row>
    <row r="142" spans="1:37">
      <c r="A142" s="555"/>
      <c r="B142" s="555"/>
      <c r="C142" s="555"/>
      <c r="D142" s="555"/>
      <c r="E142" s="555" t="s">
        <v>2426</v>
      </c>
      <c r="F142" s="555"/>
      <c r="G142" s="555"/>
      <c r="H142" s="555"/>
      <c r="I142" s="555"/>
      <c r="J142" s="555"/>
      <c r="K142" s="555"/>
      <c r="L142" s="555"/>
      <c r="M142" s="555"/>
      <c r="N142" s="555"/>
      <c r="O142" s="555"/>
      <c r="P142" s="555"/>
      <c r="Q142" s="555"/>
      <c r="R142" s="555"/>
      <c r="S142" s="555"/>
      <c r="T142" s="555"/>
      <c r="U142" s="555"/>
      <c r="V142" s="555"/>
      <c r="W142" s="555"/>
      <c r="X142" s="555"/>
      <c r="Y142" s="555"/>
      <c r="Z142" s="555"/>
      <c r="AA142" s="555"/>
      <c r="AB142" s="555"/>
      <c r="AC142" s="555"/>
      <c r="AD142" s="555"/>
      <c r="AE142" s="555"/>
      <c r="AF142" s="555"/>
      <c r="AG142" s="555"/>
      <c r="AH142" s="557"/>
      <c r="AI142" s="555"/>
      <c r="AJ142" s="555"/>
      <c r="AK142" s="562"/>
    </row>
    <row r="143" spans="1:37">
      <c r="A143" s="555"/>
      <c r="B143" s="555"/>
      <c r="C143" s="555"/>
      <c r="D143" s="555"/>
      <c r="E143" s="554" t="s">
        <v>2404</v>
      </c>
      <c r="F143" s="555"/>
      <c r="G143" s="555"/>
      <c r="H143" s="555"/>
      <c r="I143" s="555"/>
      <c r="J143" s="555"/>
      <c r="R143" s="555"/>
      <c r="S143" s="555"/>
      <c r="T143" s="555"/>
      <c r="U143" s="555"/>
      <c r="V143" s="555"/>
      <c r="W143" s="555"/>
      <c r="X143" s="555"/>
      <c r="Y143" s="555"/>
      <c r="Z143" s="555"/>
      <c r="AA143" s="555"/>
      <c r="AB143" s="555"/>
      <c r="AC143" s="555"/>
      <c r="AD143" s="555"/>
      <c r="AE143" s="555"/>
      <c r="AF143" s="555"/>
      <c r="AG143" s="555"/>
      <c r="AH143" s="557"/>
      <c r="AI143" s="555"/>
      <c r="AJ143" s="555"/>
      <c r="AK143" s="562"/>
    </row>
    <row r="144" spans="1:37">
      <c r="A144" s="555"/>
      <c r="B144" s="555"/>
      <c r="C144" s="555"/>
      <c r="D144" s="555"/>
      <c r="E144" s="555"/>
      <c r="F144" s="555"/>
      <c r="G144" s="555"/>
      <c r="H144" s="555"/>
      <c r="I144" s="555"/>
      <c r="J144" s="555"/>
      <c r="K144" s="555"/>
      <c r="L144" s="555"/>
      <c r="M144" s="555"/>
      <c r="N144" s="555"/>
      <c r="O144" s="555"/>
      <c r="P144" s="555"/>
      <c r="Q144" s="555"/>
      <c r="R144" s="555"/>
      <c r="S144" s="555"/>
      <c r="T144" s="555"/>
      <c r="U144" s="555"/>
      <c r="V144" s="555"/>
      <c r="W144" s="555"/>
      <c r="X144" s="555"/>
      <c r="Y144" s="555"/>
      <c r="Z144" s="555"/>
      <c r="AA144" s="555"/>
      <c r="AB144" s="555"/>
      <c r="AC144" s="555"/>
      <c r="AD144" s="555"/>
      <c r="AE144" s="555"/>
      <c r="AF144" s="555"/>
      <c r="AG144" s="555"/>
      <c r="AH144" s="557"/>
      <c r="AI144" s="555"/>
      <c r="AJ144" s="555"/>
      <c r="AK144" s="562"/>
    </row>
    <row r="145" spans="1:37">
      <c r="A145" s="555"/>
      <c r="B145" s="555"/>
      <c r="C145" s="555"/>
      <c r="D145" s="555"/>
      <c r="E145" s="555"/>
      <c r="F145" s="555"/>
      <c r="G145" s="555"/>
      <c r="H145" s="555"/>
      <c r="I145" s="555"/>
      <c r="J145" s="555"/>
      <c r="K145" s="932"/>
      <c r="L145" s="932"/>
      <c r="M145" s="932"/>
      <c r="N145" s="555"/>
      <c r="O145" s="932"/>
      <c r="P145" s="555"/>
      <c r="Q145" s="932"/>
      <c r="R145" s="555"/>
      <c r="S145" s="555"/>
      <c r="T145" s="555"/>
      <c r="U145" s="555"/>
      <c r="V145" s="555"/>
      <c r="W145" s="555"/>
      <c r="X145" s="555"/>
      <c r="Y145" s="555"/>
      <c r="Z145" s="553"/>
      <c r="AA145" s="555"/>
      <c r="AB145" s="555"/>
      <c r="AC145" s="555"/>
      <c r="AD145" s="555"/>
      <c r="AE145" s="555"/>
      <c r="AF145" s="555"/>
      <c r="AG145" s="555"/>
      <c r="AH145" s="557"/>
      <c r="AI145" s="555"/>
      <c r="AJ145" s="555"/>
      <c r="AK145" s="562"/>
    </row>
    <row r="146" spans="1:37">
      <c r="A146" s="555"/>
      <c r="B146" s="555"/>
      <c r="C146" s="555"/>
      <c r="D146" s="555"/>
      <c r="E146" s="555"/>
      <c r="F146" s="555"/>
      <c r="G146" s="555"/>
      <c r="H146" s="555"/>
      <c r="I146" s="555"/>
      <c r="J146" s="555"/>
      <c r="K146" s="557"/>
      <c r="L146" s="555"/>
      <c r="M146" s="555"/>
      <c r="N146" s="555"/>
      <c r="O146" s="555"/>
      <c r="P146" s="555"/>
      <c r="Q146" s="555"/>
      <c r="R146" s="555"/>
      <c r="S146" s="555"/>
      <c r="T146" s="555"/>
      <c r="U146" s="555"/>
      <c r="V146" s="555"/>
      <c r="W146" s="555"/>
      <c r="X146" s="555"/>
      <c r="Y146" s="555"/>
      <c r="Z146" s="553"/>
      <c r="AA146" s="555"/>
      <c r="AB146" s="555"/>
      <c r="AC146" s="555"/>
      <c r="AD146" s="555"/>
      <c r="AE146" s="555"/>
      <c r="AF146" s="555"/>
      <c r="AG146" s="555"/>
      <c r="AH146" s="557"/>
      <c r="AI146" s="555"/>
      <c r="AJ146" s="555"/>
      <c r="AK146" s="562"/>
    </row>
    <row r="147" spans="1:37">
      <c r="A147" s="555"/>
      <c r="B147" s="555"/>
      <c r="C147" s="555"/>
      <c r="D147" s="555"/>
      <c r="E147" s="2398"/>
      <c r="F147" s="555"/>
      <c r="G147" s="28"/>
      <c r="H147" s="555"/>
      <c r="I147" s="28"/>
      <c r="J147" s="555"/>
      <c r="K147" s="28"/>
      <c r="L147" s="28"/>
      <c r="M147" s="28"/>
      <c r="N147" s="555"/>
      <c r="O147" s="28"/>
      <c r="P147" s="555"/>
      <c r="Q147" s="28"/>
      <c r="R147" s="555"/>
      <c r="S147" s="555"/>
      <c r="T147" s="555"/>
      <c r="U147" s="555"/>
      <c r="V147" s="555"/>
      <c r="W147" s="555"/>
      <c r="X147" s="555"/>
      <c r="Y147" s="555"/>
      <c r="Z147" s="553"/>
      <c r="AA147" s="555"/>
      <c r="AB147" s="555"/>
      <c r="AC147" s="555"/>
      <c r="AD147" s="555"/>
      <c r="AE147" s="555"/>
      <c r="AF147" s="555"/>
      <c r="AG147" s="555"/>
      <c r="AH147" s="557"/>
      <c r="AI147" s="555"/>
      <c r="AJ147" s="555"/>
      <c r="AK147" s="562"/>
    </row>
    <row r="148" spans="1:37">
      <c r="A148" s="555"/>
      <c r="B148" s="555"/>
      <c r="C148" s="555"/>
      <c r="D148" s="555"/>
      <c r="E148" s="2398"/>
      <c r="F148" s="555"/>
      <c r="G148" s="28"/>
      <c r="H148" s="555"/>
      <c r="I148" s="28"/>
      <c r="J148" s="555"/>
      <c r="K148" s="28"/>
      <c r="L148" s="28"/>
      <c r="M148" s="28"/>
      <c r="N148" s="555"/>
      <c r="O148" s="28"/>
      <c r="P148" s="555"/>
      <c r="Q148" s="28"/>
      <c r="R148" s="555"/>
      <c r="S148" s="555"/>
      <c r="T148" s="555"/>
      <c r="U148" s="555"/>
      <c r="V148" s="555"/>
      <c r="W148" s="555"/>
      <c r="X148" s="555"/>
      <c r="Y148" s="555"/>
      <c r="Z148" s="553"/>
      <c r="AA148" s="555"/>
      <c r="AB148" s="555"/>
      <c r="AC148" s="555"/>
      <c r="AD148" s="555"/>
      <c r="AE148" s="555"/>
      <c r="AF148" s="555"/>
      <c r="AG148" s="555"/>
      <c r="AH148" s="557"/>
      <c r="AI148" s="555"/>
      <c r="AJ148" s="555"/>
      <c r="AK148" s="562"/>
    </row>
    <row r="149" spans="1:37">
      <c r="A149" s="555"/>
      <c r="B149" s="555"/>
      <c r="C149" s="555"/>
      <c r="D149" s="555"/>
      <c r="E149" s="2398"/>
      <c r="F149" s="555"/>
      <c r="G149" s="28"/>
      <c r="H149" s="555"/>
      <c r="I149" s="28"/>
      <c r="J149" s="555"/>
      <c r="K149" s="28"/>
      <c r="L149" s="28"/>
      <c r="M149" s="28"/>
      <c r="N149" s="555"/>
      <c r="O149" s="28"/>
      <c r="P149" s="555"/>
      <c r="Q149" s="28"/>
      <c r="R149" s="555"/>
      <c r="S149" s="546" t="str">
        <f>COMPANY</f>
        <v>DUKE ENERGY KENTUCKY, INC.</v>
      </c>
      <c r="T149" s="542"/>
      <c r="U149" s="542"/>
      <c r="V149" s="542"/>
      <c r="X149" s="568" t="s">
        <v>2427</v>
      </c>
      <c r="Y149" s="555"/>
      <c r="Z149" s="555"/>
      <c r="AA149" s="555"/>
      <c r="AB149" s="555"/>
      <c r="AC149" s="555"/>
      <c r="AD149" s="555"/>
      <c r="AE149" s="555"/>
      <c r="AF149" s="555"/>
      <c r="AG149" s="555"/>
      <c r="AH149" s="557"/>
      <c r="AI149" s="555"/>
      <c r="AJ149" s="555"/>
      <c r="AK149" s="562"/>
    </row>
    <row r="150" spans="1:37">
      <c r="A150" s="555"/>
      <c r="B150" s="555"/>
      <c r="C150" s="555"/>
      <c r="D150" s="555"/>
      <c r="E150" s="555"/>
      <c r="F150" s="555"/>
      <c r="H150" s="555"/>
      <c r="J150" s="555"/>
      <c r="N150" s="555"/>
      <c r="P150" s="555"/>
      <c r="R150" s="555"/>
      <c r="S150" s="546" t="str">
        <f>CASE</f>
        <v>CASE NO. 2024-00354</v>
      </c>
      <c r="T150" s="542"/>
      <c r="U150" s="542"/>
      <c r="V150" s="542"/>
      <c r="X150" s="554" t="s">
        <v>468</v>
      </c>
      <c r="Y150" s="555"/>
      <c r="Z150" s="555"/>
      <c r="AA150" s="555"/>
      <c r="AB150" s="555"/>
      <c r="AC150" s="555"/>
      <c r="AD150" s="555"/>
      <c r="AE150" s="555"/>
      <c r="AF150" s="555"/>
      <c r="AG150" s="555"/>
      <c r="AH150" s="557"/>
      <c r="AI150" s="555"/>
      <c r="AJ150" s="555"/>
      <c r="AK150" s="562"/>
    </row>
    <row r="151" spans="1:37">
      <c r="A151" s="555"/>
      <c r="B151" s="555"/>
      <c r="C151" s="555"/>
      <c r="D151" s="555"/>
      <c r="E151" s="2398"/>
      <c r="F151" s="555"/>
      <c r="G151" s="28"/>
      <c r="H151" s="555"/>
      <c r="I151" s="28"/>
      <c r="J151" s="555"/>
      <c r="K151" s="28"/>
      <c r="L151" s="28"/>
      <c r="M151" s="28"/>
      <c r="N151" s="555"/>
      <c r="O151" s="28"/>
      <c r="P151" s="555"/>
      <c r="Q151" s="28"/>
      <c r="R151" s="555"/>
      <c r="S151" s="546" t="str">
        <f>DataB</f>
        <v>DATA: "X" BASE PERIOD  "X" FORECASTED PERIOD</v>
      </c>
      <c r="T151" s="542"/>
      <c r="U151" s="542"/>
      <c r="V151" s="542"/>
      <c r="X151" s="554" t="str">
        <f>_WIT3</f>
        <v>J. R. PANIZZA</v>
      </c>
      <c r="Y151" s="555"/>
      <c r="Z151" s="555"/>
      <c r="AA151" s="555"/>
      <c r="AB151" s="555"/>
      <c r="AC151" s="555"/>
      <c r="AD151" s="555"/>
      <c r="AE151" s="555"/>
      <c r="AF151" s="555"/>
      <c r="AG151" s="555"/>
      <c r="AH151" s="557"/>
      <c r="AI151" s="555"/>
      <c r="AJ151" s="555"/>
      <c r="AK151" s="562"/>
    </row>
    <row r="152" spans="1:37">
      <c r="A152" s="555"/>
      <c r="B152" s="555"/>
      <c r="C152" s="555"/>
      <c r="D152" s="555"/>
      <c r="E152" s="2398"/>
      <c r="F152" s="555"/>
      <c r="G152" s="557"/>
      <c r="H152" s="555"/>
      <c r="I152" s="557"/>
      <c r="J152" s="555"/>
      <c r="K152" s="557"/>
      <c r="L152" s="557"/>
      <c r="M152" s="557"/>
      <c r="N152" s="555"/>
      <c r="O152" s="557"/>
      <c r="P152" s="555"/>
      <c r="Q152" s="557"/>
      <c r="R152" s="555"/>
      <c r="S152" s="546" t="s">
        <v>1220</v>
      </c>
      <c r="T152" s="542"/>
      <c r="U152" s="542"/>
      <c r="V152" s="542"/>
      <c r="W152" s="542"/>
      <c r="X152" s="542"/>
      <c r="Y152" s="555"/>
      <c r="Z152" s="555"/>
      <c r="AA152" s="555"/>
      <c r="AB152" s="555"/>
      <c r="AC152" s="555"/>
      <c r="AD152" s="555"/>
      <c r="AE152" s="555"/>
      <c r="AF152" s="555"/>
      <c r="AG152" s="555"/>
      <c r="AH152" s="557"/>
      <c r="AI152" s="555"/>
      <c r="AJ152" s="555"/>
      <c r="AK152" s="562"/>
    </row>
    <row r="153" spans="1:37">
      <c r="A153" s="555"/>
      <c r="B153" s="555"/>
      <c r="C153" s="555"/>
      <c r="D153" s="555"/>
      <c r="E153" s="2398"/>
      <c r="F153" s="555"/>
      <c r="G153" s="557"/>
      <c r="H153" s="555"/>
      <c r="I153" s="557"/>
      <c r="J153" s="555"/>
      <c r="K153" s="557"/>
      <c r="L153" s="557"/>
      <c r="M153" s="557"/>
      <c r="N153" s="555"/>
      <c r="O153" s="557"/>
      <c r="P153" s="555"/>
      <c r="Q153" s="557"/>
      <c r="R153" s="555"/>
      <c r="S153" s="542"/>
      <c r="T153" s="542"/>
      <c r="U153" s="542"/>
      <c r="V153" s="542"/>
      <c r="Y153" s="555"/>
      <c r="Z153" s="556"/>
      <c r="AA153" s="555"/>
      <c r="AB153" s="555"/>
      <c r="AC153" s="555"/>
      <c r="AD153" s="555"/>
      <c r="AE153" s="555"/>
      <c r="AF153" s="555"/>
      <c r="AG153" s="555"/>
      <c r="AH153" s="557"/>
      <c r="AI153" s="555"/>
      <c r="AJ153" s="555"/>
      <c r="AK153" s="557"/>
    </row>
    <row r="154" spans="1:37">
      <c r="A154" s="555"/>
      <c r="B154" s="555"/>
      <c r="C154" s="555"/>
      <c r="D154" s="555"/>
      <c r="E154" s="555"/>
      <c r="F154" s="555"/>
      <c r="G154" s="555"/>
      <c r="H154" s="555"/>
      <c r="I154" s="555"/>
      <c r="J154" s="555"/>
      <c r="K154" s="555"/>
      <c r="L154" s="555"/>
      <c r="M154" s="555"/>
      <c r="N154" s="555"/>
      <c r="O154" s="555"/>
      <c r="P154" s="555"/>
      <c r="Q154" s="555"/>
      <c r="R154" s="555"/>
      <c r="S154" s="542"/>
      <c r="T154" s="542"/>
      <c r="U154" s="542"/>
      <c r="V154" s="542"/>
      <c r="Y154" s="555"/>
      <c r="Z154" s="556"/>
      <c r="AA154" s="555"/>
      <c r="AB154" s="555"/>
      <c r="AC154" s="555"/>
      <c r="AD154" s="555"/>
      <c r="AE154" s="555"/>
      <c r="AF154" s="555"/>
      <c r="AG154" s="555"/>
      <c r="AH154" s="557"/>
      <c r="AI154" s="555"/>
      <c r="AJ154" s="555"/>
      <c r="AK154" s="557"/>
    </row>
    <row r="155" spans="1:37">
      <c r="A155" s="555"/>
      <c r="B155" s="555"/>
      <c r="C155" s="555"/>
      <c r="D155" s="555"/>
      <c r="E155" s="555"/>
      <c r="F155" s="555"/>
      <c r="G155" s="2399"/>
      <c r="H155" s="555"/>
      <c r="I155" s="2400"/>
      <c r="J155" s="555"/>
      <c r="K155" s="2399"/>
      <c r="L155" s="2399"/>
      <c r="M155" s="2399"/>
      <c r="N155" s="555"/>
      <c r="O155" s="2399"/>
      <c r="P155" s="555"/>
      <c r="Q155" s="2399"/>
      <c r="R155" s="555"/>
      <c r="V155" s="542"/>
      <c r="W155" s="548" t="s">
        <v>473</v>
      </c>
      <c r="X155" s="548" t="s">
        <v>2428</v>
      </c>
      <c r="Y155" s="555"/>
      <c r="Z155" s="555"/>
      <c r="AA155" s="555"/>
      <c r="AB155" s="555"/>
      <c r="AC155" s="555"/>
      <c r="AD155" s="555"/>
      <c r="AE155" s="555"/>
      <c r="AF155" s="555"/>
      <c r="AG155" s="555"/>
      <c r="AH155" s="557"/>
      <c r="AI155" s="555"/>
      <c r="AJ155" s="555"/>
      <c r="AK155" s="557"/>
    </row>
    <row r="156" spans="1:37">
      <c r="A156" s="555"/>
      <c r="B156" s="555"/>
      <c r="C156" s="555"/>
      <c r="D156" s="555"/>
      <c r="E156" s="555"/>
      <c r="F156" s="555"/>
      <c r="G156" s="555"/>
      <c r="H156" s="555"/>
      <c r="I156" s="555"/>
      <c r="J156" s="555"/>
      <c r="K156" s="2399"/>
      <c r="L156" s="555"/>
      <c r="M156" s="555"/>
      <c r="N156" s="555"/>
      <c r="O156" s="555"/>
      <c r="P156" s="555"/>
      <c r="Q156" s="555"/>
      <c r="R156" s="555"/>
      <c r="S156" s="548" t="s">
        <v>573</v>
      </c>
      <c r="T156" s="542"/>
      <c r="U156" s="542"/>
      <c r="V156" s="542"/>
      <c r="W156" s="548" t="s">
        <v>478</v>
      </c>
      <c r="X156" s="548" t="s">
        <v>478</v>
      </c>
      <c r="Y156" s="555"/>
      <c r="Z156" s="556"/>
      <c r="AA156" s="555"/>
      <c r="AB156" s="555"/>
      <c r="AC156" s="555"/>
      <c r="AD156" s="555"/>
      <c r="AE156" s="555"/>
      <c r="AF156" s="555"/>
      <c r="AG156" s="555"/>
      <c r="AH156" s="557"/>
      <c r="AI156" s="555"/>
      <c r="AJ156" s="555"/>
      <c r="AK156" s="557"/>
    </row>
    <row r="157" spans="1:37">
      <c r="A157" s="555"/>
      <c r="B157" s="555"/>
      <c r="C157" s="555"/>
      <c r="D157" s="555"/>
      <c r="E157" s="555"/>
      <c r="F157" s="555"/>
      <c r="G157" s="2401"/>
      <c r="H157" s="555"/>
      <c r="I157" s="555"/>
      <c r="J157" s="555"/>
      <c r="K157" s="555"/>
      <c r="L157" s="555"/>
      <c r="M157" s="746"/>
      <c r="N157" s="555"/>
      <c r="O157" s="555"/>
      <c r="P157" s="555"/>
      <c r="Q157" s="555"/>
      <c r="R157" s="555"/>
      <c r="S157" s="569" t="s">
        <v>576</v>
      </c>
      <c r="T157" s="570"/>
      <c r="U157" s="571" t="s">
        <v>2</v>
      </c>
      <c r="V157" s="570"/>
      <c r="W157" s="571" t="s">
        <v>2429</v>
      </c>
      <c r="X157" s="571" t="s">
        <v>2429</v>
      </c>
      <c r="Y157" s="555"/>
      <c r="Z157" s="555"/>
      <c r="AA157" s="555"/>
      <c r="AB157" s="555"/>
      <c r="AC157" s="555"/>
      <c r="AD157" s="555"/>
      <c r="AE157" s="555"/>
      <c r="AF157" s="555"/>
      <c r="AG157" s="555"/>
      <c r="AH157" s="557"/>
      <c r="AI157" s="555"/>
      <c r="AJ157" s="555"/>
      <c r="AK157" s="555"/>
    </row>
    <row r="158" spans="1:37">
      <c r="A158" s="555"/>
      <c r="B158" s="555"/>
      <c r="C158" s="555"/>
      <c r="D158" s="555"/>
      <c r="E158" s="555"/>
      <c r="F158" s="555"/>
      <c r="G158" s="555"/>
      <c r="H158" s="555"/>
      <c r="I158" s="555"/>
      <c r="J158" s="555"/>
      <c r="K158" s="555"/>
      <c r="L158" s="555"/>
      <c r="M158" s="555"/>
      <c r="N158" s="555"/>
      <c r="O158" s="555"/>
      <c r="P158" s="555"/>
      <c r="Q158" s="555"/>
      <c r="R158" s="555"/>
      <c r="S158" s="563"/>
      <c r="T158" s="546"/>
      <c r="U158" s="572"/>
      <c r="V158" s="572"/>
      <c r="W158" s="572"/>
      <c r="X158" s="572"/>
      <c r="Y158" s="555"/>
      <c r="Z158" s="573"/>
      <c r="AA158" s="555"/>
      <c r="AB158" s="555"/>
      <c r="AC158" s="555"/>
      <c r="AD158" s="555"/>
      <c r="AE158" s="555"/>
      <c r="AF158" s="555"/>
      <c r="AG158" s="555"/>
      <c r="AH158" s="557"/>
      <c r="AI158" s="555"/>
      <c r="AJ158" s="555"/>
      <c r="AK158" s="557"/>
    </row>
    <row r="159" spans="1:37">
      <c r="A159" s="555"/>
      <c r="B159" s="555"/>
      <c r="C159" s="555"/>
      <c r="D159" s="555"/>
      <c r="E159" s="555"/>
      <c r="F159" s="555"/>
      <c r="G159" s="555"/>
      <c r="H159" s="555"/>
      <c r="I159" s="555"/>
      <c r="J159" s="555"/>
      <c r="K159" s="555"/>
      <c r="L159" s="555"/>
      <c r="M159" s="746"/>
      <c r="N159" s="555"/>
      <c r="O159" s="555"/>
      <c r="P159" s="555"/>
      <c r="Q159" s="555"/>
      <c r="R159" s="555"/>
      <c r="S159" s="548">
        <v>1</v>
      </c>
      <c r="T159" s="542"/>
      <c r="U159" s="546" t="s">
        <v>2430</v>
      </c>
      <c r="V159" s="542"/>
      <c r="W159" s="543">
        <f>'SCH_C2.1 - Base Period'!$J$53-'SCH_C2.1 - Base Period'!$J$287-'SCH_C2.1 - Base Period'!$J$290-'SCH_C2.1 - Base Period'!$J$298-'SCH_C2.1 - Base Period'!$J$335</f>
        <v>96553041</v>
      </c>
      <c r="X159" s="543">
        <f>'SCH_C2.1 - Forecasted Period'!$J$47-'SCH_C2.1 - Forecasted Period'!$J$281-'SCH_C2.1 - Forecasted Period'!$J$284-'SCH_C2.1 - Forecasted Period'!$J$293-'SCH_C2.1 - Forecasted Period'!$J$329</f>
        <v>66109241</v>
      </c>
      <c r="Y159" s="555"/>
      <c r="Z159" s="565"/>
      <c r="AA159" s="555"/>
      <c r="AB159" s="555"/>
      <c r="AC159" s="555"/>
      <c r="AD159" s="555"/>
      <c r="AE159" s="555"/>
      <c r="AF159" s="555"/>
      <c r="AG159" s="555"/>
      <c r="AH159" s="557"/>
      <c r="AI159" s="555"/>
      <c r="AJ159" s="555"/>
      <c r="AK159" s="555"/>
    </row>
    <row r="160" spans="1:37">
      <c r="A160" s="555"/>
      <c r="B160" s="555"/>
      <c r="C160" s="555"/>
      <c r="D160" s="555"/>
      <c r="E160" s="555"/>
      <c r="F160" s="555"/>
      <c r="G160" s="555"/>
      <c r="H160" s="555"/>
      <c r="I160" s="555"/>
      <c r="J160" s="555"/>
      <c r="K160" s="555"/>
      <c r="L160" s="555"/>
      <c r="M160" s="555"/>
      <c r="N160" s="555"/>
      <c r="O160" s="555"/>
      <c r="P160" s="555"/>
      <c r="Q160" s="555"/>
      <c r="R160" s="555"/>
      <c r="S160" s="548">
        <f>1+S159</f>
        <v>2</v>
      </c>
      <c r="T160" s="548">
        <v>1107</v>
      </c>
      <c r="U160" s="542" t="s">
        <v>2431</v>
      </c>
      <c r="V160" s="542"/>
      <c r="W160" s="1547">
        <f>AH214</f>
        <v>-26462225</v>
      </c>
      <c r="X160" s="1547">
        <v>-37916747</v>
      </c>
      <c r="Y160" s="555"/>
      <c r="Z160" s="555"/>
      <c r="AA160" s="555"/>
      <c r="AB160" s="555"/>
      <c r="AC160" s="555"/>
      <c r="AD160" s="555"/>
      <c r="AE160" s="555"/>
      <c r="AF160" s="555"/>
      <c r="AG160" s="555"/>
      <c r="AH160" s="557"/>
      <c r="AI160" s="555"/>
      <c r="AJ160" s="555"/>
      <c r="AK160" s="555"/>
    </row>
    <row r="161" spans="1:37">
      <c r="A161" s="555"/>
      <c r="B161" s="555"/>
      <c r="C161" s="555"/>
      <c r="D161" s="555"/>
      <c r="E161" s="555"/>
      <c r="F161" s="555"/>
      <c r="G161" s="555"/>
      <c r="H161" s="555"/>
      <c r="I161" s="555"/>
      <c r="J161" s="555"/>
      <c r="K161" s="555"/>
      <c r="L161" s="555"/>
      <c r="M161" s="555"/>
      <c r="N161" s="555"/>
      <c r="O161" s="555"/>
      <c r="P161" s="555"/>
      <c r="Q161" s="555"/>
      <c r="R161" s="555"/>
      <c r="S161" s="548">
        <f t="shared" ref="S161:S192" si="9">1+S160</f>
        <v>3</v>
      </c>
      <c r="U161" s="546" t="s">
        <v>2432</v>
      </c>
      <c r="V161" s="542"/>
      <c r="W161" s="1548">
        <f>W159+W160</f>
        <v>70090816</v>
      </c>
      <c r="X161" s="1548">
        <f>X159+X160</f>
        <v>28192494</v>
      </c>
      <c r="Y161" s="555"/>
      <c r="Z161" s="555"/>
      <c r="AA161" s="555"/>
      <c r="AB161" s="555"/>
      <c r="AC161" s="555"/>
      <c r="AD161" s="555"/>
      <c r="AE161" s="555"/>
      <c r="AF161" s="555"/>
      <c r="AG161" s="555"/>
      <c r="AH161" s="557"/>
      <c r="AI161" s="555"/>
      <c r="AJ161" s="555"/>
      <c r="AK161" s="555"/>
    </row>
    <row r="162" spans="1:37">
      <c r="A162" s="555"/>
      <c r="B162" s="555"/>
      <c r="C162" s="555"/>
      <c r="D162" s="555"/>
      <c r="E162" s="555"/>
      <c r="F162" s="555"/>
      <c r="G162" s="555"/>
      <c r="H162" s="555"/>
      <c r="I162" s="555"/>
      <c r="J162" s="555"/>
      <c r="K162" s="555"/>
      <c r="L162" s="555"/>
      <c r="M162" s="555"/>
      <c r="N162" s="555"/>
      <c r="O162" s="555"/>
      <c r="P162" s="555"/>
      <c r="Q162" s="555"/>
      <c r="R162" s="555"/>
      <c r="S162" s="548">
        <f t="shared" si="9"/>
        <v>4</v>
      </c>
      <c r="T162" s="548"/>
      <c r="U162" s="542"/>
      <c r="V162" s="542"/>
      <c r="W162" s="543"/>
      <c r="X162" s="543"/>
      <c r="Y162" s="555"/>
      <c r="Z162" s="555"/>
      <c r="AA162" s="555"/>
      <c r="AB162" s="555"/>
      <c r="AC162" s="555"/>
      <c r="AD162" s="555"/>
      <c r="AE162" s="555"/>
      <c r="AF162" s="555"/>
      <c r="AG162" s="555"/>
      <c r="AH162" s="557"/>
      <c r="AI162" s="555"/>
      <c r="AJ162" s="555"/>
      <c r="AK162" s="555"/>
    </row>
    <row r="163" spans="1:37">
      <c r="A163" s="555"/>
      <c r="B163" s="555"/>
      <c r="C163" s="555"/>
      <c r="D163" s="555"/>
      <c r="E163" s="555"/>
      <c r="F163" s="555"/>
      <c r="G163" s="555"/>
      <c r="H163" s="555"/>
      <c r="I163" s="555"/>
      <c r="J163" s="555"/>
      <c r="K163" s="555"/>
      <c r="L163" s="555"/>
      <c r="M163" s="555"/>
      <c r="N163" s="555"/>
      <c r="O163" s="555"/>
      <c r="P163" s="555"/>
      <c r="Q163" s="555"/>
      <c r="R163" s="555"/>
      <c r="S163" s="548">
        <f t="shared" si="9"/>
        <v>5</v>
      </c>
      <c r="T163" s="548" t="s">
        <v>2379</v>
      </c>
      <c r="U163" s="542" t="s">
        <v>1452</v>
      </c>
      <c r="V163" s="542"/>
      <c r="W163" s="753">
        <f>AH216</f>
        <v>145256</v>
      </c>
      <c r="X163" s="753">
        <v>145256</v>
      </c>
      <c r="Y163" s="555"/>
      <c r="Z163" s="555"/>
      <c r="AA163" s="555"/>
      <c r="AB163" s="555"/>
      <c r="AC163" s="555"/>
      <c r="AD163" s="555"/>
      <c r="AE163" s="555"/>
      <c r="AF163" s="555"/>
      <c r="AG163" s="555"/>
      <c r="AH163" s="557"/>
      <c r="AI163" s="555"/>
      <c r="AJ163" s="555"/>
      <c r="AK163" s="555"/>
    </row>
    <row r="164" spans="1:37">
      <c r="A164" s="555"/>
      <c r="B164" s="555"/>
      <c r="C164" s="555"/>
      <c r="D164" s="555"/>
      <c r="E164" s="555"/>
      <c r="F164" s="555"/>
      <c r="G164" s="555"/>
      <c r="H164" s="555"/>
      <c r="I164" s="555"/>
      <c r="J164" s="555"/>
      <c r="K164" s="555"/>
      <c r="L164" s="555"/>
      <c r="M164" s="555"/>
      <c r="N164" s="555"/>
      <c r="O164" s="555"/>
      <c r="P164" s="555"/>
      <c r="Q164" s="555"/>
      <c r="R164" s="555"/>
      <c r="S164" s="548">
        <f t="shared" si="9"/>
        <v>6</v>
      </c>
      <c r="T164" s="548"/>
      <c r="U164" s="542"/>
      <c r="V164" s="542"/>
      <c r="W164" s="543"/>
      <c r="X164" s="543"/>
      <c r="Y164" s="555"/>
      <c r="Z164" s="555"/>
      <c r="AA164" s="555"/>
      <c r="AB164" s="555"/>
      <c r="AC164" s="555"/>
      <c r="AD164" s="555"/>
      <c r="AE164" s="555"/>
      <c r="AF164" s="555"/>
      <c r="AG164" s="555"/>
      <c r="AH164" s="557"/>
      <c r="AI164" s="555"/>
      <c r="AJ164" s="555"/>
      <c r="AK164" s="555"/>
    </row>
    <row r="165" spans="1:37">
      <c r="A165" s="555"/>
      <c r="B165" s="555"/>
      <c r="C165" s="555"/>
      <c r="D165" s="555"/>
      <c r="E165" s="555"/>
      <c r="F165" s="555"/>
      <c r="G165" s="555"/>
      <c r="H165" s="555"/>
      <c r="I165" s="555"/>
      <c r="J165" s="555"/>
      <c r="K165" s="555"/>
      <c r="L165" s="555"/>
      <c r="M165" s="555"/>
      <c r="N165" s="555"/>
      <c r="O165" s="555"/>
      <c r="P165" s="555"/>
      <c r="Q165" s="555"/>
      <c r="R165" s="555"/>
      <c r="S165" s="548">
        <f t="shared" si="9"/>
        <v>7</v>
      </c>
      <c r="T165" s="548"/>
      <c r="U165" s="542" t="s">
        <v>2433</v>
      </c>
      <c r="V165" s="542"/>
      <c r="W165" s="753"/>
      <c r="X165" s="543"/>
      <c r="Y165" s="555"/>
      <c r="Z165" s="555"/>
      <c r="AA165" s="555"/>
      <c r="AB165" s="555"/>
      <c r="AC165" s="555"/>
      <c r="AD165" s="555"/>
      <c r="AE165" s="555"/>
      <c r="AF165" s="555"/>
      <c r="AG165" s="555"/>
      <c r="AH165" s="557"/>
      <c r="AI165" s="555"/>
      <c r="AJ165" s="555"/>
      <c r="AK165" s="555"/>
    </row>
    <row r="166" spans="1:37">
      <c r="A166" s="555"/>
      <c r="B166" s="555"/>
      <c r="C166" s="555"/>
      <c r="D166" s="555"/>
      <c r="E166" s="555"/>
      <c r="F166" s="555"/>
      <c r="G166" s="555"/>
      <c r="H166" s="555"/>
      <c r="I166" s="555"/>
      <c r="J166" s="555"/>
      <c r="K166" s="555"/>
      <c r="L166" s="555"/>
      <c r="M166" s="555"/>
      <c r="N166" s="555"/>
      <c r="O166" s="555"/>
      <c r="P166" s="555"/>
      <c r="Q166" s="555"/>
      <c r="R166" s="555"/>
      <c r="S166" s="548">
        <f t="shared" si="9"/>
        <v>8</v>
      </c>
      <c r="T166" s="548" t="s">
        <v>2382</v>
      </c>
      <c r="U166" s="546" t="s">
        <v>2434</v>
      </c>
      <c r="V166" s="542"/>
      <c r="W166" s="543">
        <f>AH218</f>
        <v>65049956</v>
      </c>
      <c r="X166" s="2366">
        <f>'SCH_C2.1 - Forecasted Period'!J284</f>
        <v>73446048</v>
      </c>
      <c r="Y166" s="555"/>
      <c r="Z166" s="557"/>
      <c r="AA166" s="555"/>
      <c r="AB166" s="555"/>
      <c r="AC166" s="555"/>
      <c r="AD166" s="555"/>
      <c r="AE166" s="555"/>
      <c r="AF166" s="555"/>
      <c r="AG166" s="555"/>
      <c r="AH166" s="557"/>
      <c r="AI166" s="555"/>
      <c r="AJ166" s="555"/>
      <c r="AK166" s="555"/>
    </row>
    <row r="167" spans="1:37">
      <c r="A167" s="555"/>
      <c r="B167" s="555"/>
      <c r="C167" s="555"/>
      <c r="D167" s="555"/>
      <c r="E167" s="555"/>
      <c r="F167" s="555"/>
      <c r="G167" s="555"/>
      <c r="H167" s="555"/>
      <c r="I167" s="555"/>
      <c r="J167" s="555"/>
      <c r="K167" s="555"/>
      <c r="L167" s="555"/>
      <c r="M167" s="555"/>
      <c r="N167" s="555"/>
      <c r="O167" s="555"/>
      <c r="P167" s="555"/>
      <c r="Q167" s="555"/>
      <c r="R167" s="555"/>
      <c r="S167" s="548">
        <f t="shared" si="9"/>
        <v>9</v>
      </c>
      <c r="T167" s="548" t="s">
        <v>2380</v>
      </c>
      <c r="U167" s="546" t="s">
        <v>2435</v>
      </c>
      <c r="V167" s="542"/>
      <c r="W167" s="543">
        <f>AH225</f>
        <v>-58354359</v>
      </c>
      <c r="X167" s="2367">
        <v>-68229998</v>
      </c>
      <c r="Y167" s="555"/>
      <c r="Z167" s="557"/>
      <c r="AA167" s="555"/>
      <c r="AB167" s="555"/>
      <c r="AC167" s="555"/>
      <c r="AD167" s="555"/>
      <c r="AE167" s="555"/>
      <c r="AF167" s="555"/>
      <c r="AG167" s="555"/>
      <c r="AH167" s="557"/>
      <c r="AI167" s="555"/>
      <c r="AJ167" s="555"/>
      <c r="AK167" s="555"/>
    </row>
    <row r="168" spans="1:37">
      <c r="A168" s="555"/>
      <c r="B168" s="555"/>
      <c r="C168" s="555"/>
      <c r="D168" s="555"/>
      <c r="E168" s="555"/>
      <c r="F168" s="555"/>
      <c r="G168" s="555"/>
      <c r="H168" s="555"/>
      <c r="I168" s="555"/>
      <c r="J168" s="555"/>
      <c r="K168" s="555"/>
      <c r="L168" s="555"/>
      <c r="M168" s="555"/>
      <c r="N168" s="555"/>
      <c r="O168" s="555"/>
      <c r="P168" s="555"/>
      <c r="Q168" s="555"/>
      <c r="R168" s="555"/>
      <c r="S168" s="548">
        <f t="shared" si="9"/>
        <v>10</v>
      </c>
      <c r="T168" s="548" t="s">
        <v>2386</v>
      </c>
      <c r="U168" s="546" t="s">
        <v>2436</v>
      </c>
      <c r="V168" s="542"/>
      <c r="W168" s="1549">
        <f>SUM(AH217:AH265)-W167-W166</f>
        <v>-27440265</v>
      </c>
      <c r="X168" s="2368">
        <v>-30436562</v>
      </c>
      <c r="Y168" s="555"/>
      <c r="Z168" s="557"/>
      <c r="AA168" s="555"/>
      <c r="AB168" s="555"/>
      <c r="AC168" s="557"/>
      <c r="AD168" s="555"/>
      <c r="AE168" s="555"/>
      <c r="AF168" s="555"/>
      <c r="AG168" s="555"/>
      <c r="AH168" s="557"/>
      <c r="AI168" s="555"/>
      <c r="AJ168" s="555"/>
      <c r="AK168" s="555"/>
    </row>
    <row r="169" spans="1:37">
      <c r="A169" s="555"/>
      <c r="B169" s="555"/>
      <c r="C169" s="555"/>
      <c r="D169" s="555"/>
      <c r="E169" s="555"/>
      <c r="F169" s="555"/>
      <c r="G169" s="555"/>
      <c r="H169" s="555"/>
      <c r="I169" s="555"/>
      <c r="J169" s="555"/>
      <c r="K169" s="555"/>
      <c r="L169" s="555"/>
      <c r="M169" s="555"/>
      <c r="N169" s="555"/>
      <c r="O169" s="555"/>
      <c r="P169" s="555"/>
      <c r="Q169" s="555"/>
      <c r="R169" s="555"/>
      <c r="S169" s="548">
        <f t="shared" si="9"/>
        <v>11</v>
      </c>
      <c r="T169" s="542"/>
      <c r="U169" s="542" t="s">
        <v>2437</v>
      </c>
      <c r="V169" s="542"/>
      <c r="W169" s="543">
        <f>SUM(W165:W168)</f>
        <v>-20744668</v>
      </c>
      <c r="X169" s="543">
        <f>SUM(X166:X168)</f>
        <v>-25220512</v>
      </c>
      <c r="Y169" s="555"/>
      <c r="Z169" s="557"/>
      <c r="AA169" s="555"/>
      <c r="AB169" s="555"/>
      <c r="AC169" s="555"/>
      <c r="AD169" s="555"/>
      <c r="AE169" s="555"/>
      <c r="AF169" s="555"/>
      <c r="AG169" s="555"/>
      <c r="AH169" s="557"/>
      <c r="AI169" s="555"/>
      <c r="AJ169" s="555"/>
      <c r="AK169" s="555"/>
    </row>
    <row r="170" spans="1:37">
      <c r="A170" s="555"/>
      <c r="B170" s="555"/>
      <c r="C170" s="555"/>
      <c r="D170" s="555"/>
      <c r="E170" s="555"/>
      <c r="F170" s="555"/>
      <c r="G170" s="555"/>
      <c r="H170" s="555"/>
      <c r="I170" s="555"/>
      <c r="J170" s="555"/>
      <c r="K170" s="555"/>
      <c r="L170" s="555"/>
      <c r="M170" s="555"/>
      <c r="N170" s="555"/>
      <c r="O170" s="555"/>
      <c r="P170" s="555"/>
      <c r="Q170" s="555"/>
      <c r="R170" s="555"/>
      <c r="S170" s="548">
        <f t="shared" si="9"/>
        <v>12</v>
      </c>
      <c r="T170" s="542"/>
      <c r="U170" s="542"/>
      <c r="V170" s="542"/>
      <c r="W170" s="543"/>
      <c r="X170" s="543"/>
      <c r="Y170" s="555"/>
      <c r="Z170" s="555"/>
      <c r="AA170" s="555"/>
      <c r="AB170" s="555"/>
      <c r="AC170" s="555"/>
      <c r="AD170" s="555"/>
      <c r="AE170" s="555"/>
      <c r="AF170" s="555"/>
      <c r="AG170" s="555"/>
      <c r="AH170" s="557"/>
      <c r="AI170" s="555"/>
      <c r="AJ170" s="555"/>
      <c r="AK170" s="555"/>
    </row>
    <row r="171" spans="1:37">
      <c r="A171" s="555"/>
      <c r="B171" s="555"/>
      <c r="C171" s="555"/>
      <c r="D171" s="555"/>
      <c r="E171" s="555"/>
      <c r="F171" s="555"/>
      <c r="G171" s="555"/>
      <c r="H171" s="555"/>
      <c r="I171" s="555"/>
      <c r="J171" s="555"/>
      <c r="K171" s="555"/>
      <c r="L171" s="555"/>
      <c r="M171" s="555"/>
      <c r="N171" s="555"/>
      <c r="O171" s="555"/>
      <c r="P171" s="555"/>
      <c r="Q171" s="555"/>
      <c r="R171" s="555"/>
      <c r="S171" s="548">
        <f t="shared" si="9"/>
        <v>13</v>
      </c>
      <c r="T171" s="542"/>
      <c r="U171" s="546" t="s">
        <v>2438</v>
      </c>
      <c r="V171" s="542"/>
      <c r="W171" s="543">
        <f>W161+W163+W169</f>
        <v>49491404</v>
      </c>
      <c r="X171" s="543">
        <f>X161+X163+X169</f>
        <v>3117238</v>
      </c>
      <c r="Y171" s="555"/>
      <c r="Z171" s="555"/>
      <c r="AA171" s="555"/>
      <c r="AB171" s="555"/>
      <c r="AC171" s="555"/>
      <c r="AD171" s="555"/>
      <c r="AE171" s="555"/>
      <c r="AF171" s="555"/>
      <c r="AG171" s="555"/>
      <c r="AH171" s="557"/>
      <c r="AI171" s="555"/>
      <c r="AJ171" s="555"/>
      <c r="AK171" s="555"/>
    </row>
    <row r="172" spans="1:37">
      <c r="A172" s="555"/>
      <c r="B172" s="555"/>
      <c r="C172" s="555"/>
      <c r="D172" s="555"/>
      <c r="E172" s="555"/>
      <c r="F172" s="555"/>
      <c r="G172" s="555"/>
      <c r="H172" s="555"/>
      <c r="I172" s="555"/>
      <c r="J172" s="555"/>
      <c r="K172" s="555"/>
      <c r="L172" s="555"/>
      <c r="M172" s="555"/>
      <c r="N172" s="555"/>
      <c r="O172" s="555"/>
      <c r="P172" s="555"/>
      <c r="Q172" s="555"/>
      <c r="R172" s="555"/>
      <c r="S172" s="548">
        <f t="shared" si="9"/>
        <v>14</v>
      </c>
      <c r="T172" s="542"/>
      <c r="U172" s="542"/>
      <c r="V172" s="542"/>
      <c r="W172" s="543"/>
      <c r="X172" s="543"/>
      <c r="Y172" s="555"/>
      <c r="Z172" s="553"/>
      <c r="AA172" s="555"/>
      <c r="AB172" s="555"/>
      <c r="AC172" s="555"/>
      <c r="AD172" s="555"/>
      <c r="AE172" s="555"/>
      <c r="AF172" s="555"/>
      <c r="AG172" s="555"/>
      <c r="AH172" s="557"/>
      <c r="AI172" s="555"/>
      <c r="AJ172" s="555"/>
      <c r="AK172" s="555"/>
    </row>
    <row r="173" spans="1:37">
      <c r="A173" s="555"/>
      <c r="B173" s="555"/>
      <c r="C173" s="555"/>
      <c r="D173" s="555"/>
      <c r="E173" s="555"/>
      <c r="F173" s="555"/>
      <c r="G173" s="555"/>
      <c r="H173" s="555"/>
      <c r="I173" s="555"/>
      <c r="J173" s="555"/>
      <c r="K173" s="555"/>
      <c r="L173" s="555"/>
      <c r="M173" s="555"/>
      <c r="N173" s="555"/>
      <c r="O173" s="555"/>
      <c r="P173" s="555"/>
      <c r="Q173" s="555"/>
      <c r="R173" s="555"/>
      <c r="S173" s="548">
        <f t="shared" si="9"/>
        <v>15</v>
      </c>
      <c r="T173" s="542"/>
      <c r="U173" s="546" t="s">
        <v>2439</v>
      </c>
      <c r="V173" s="542"/>
      <c r="W173" s="2366"/>
      <c r="X173" s="2367"/>
      <c r="Y173" s="555"/>
      <c r="Z173" s="553"/>
      <c r="AA173" s="555"/>
      <c r="AB173" s="555"/>
      <c r="AC173" s="555"/>
      <c r="AD173" s="555"/>
      <c r="AE173" s="555"/>
      <c r="AF173" s="555"/>
      <c r="AG173" s="555"/>
      <c r="AH173" s="557"/>
      <c r="AI173" s="555"/>
      <c r="AJ173" s="555"/>
      <c r="AK173" s="555"/>
    </row>
    <row r="174" spans="1:37">
      <c r="A174" s="555"/>
      <c r="B174" s="555"/>
      <c r="C174" s="555"/>
      <c r="D174" s="555"/>
      <c r="E174" s="555"/>
      <c r="F174" s="555"/>
      <c r="G174" s="555"/>
      <c r="H174" s="555"/>
      <c r="I174" s="555"/>
      <c r="J174" s="555"/>
      <c r="K174" s="555"/>
      <c r="L174" s="555"/>
      <c r="M174" s="555"/>
      <c r="N174" s="555"/>
      <c r="O174" s="555"/>
      <c r="P174" s="555"/>
      <c r="Q174" s="555"/>
      <c r="R174" s="555"/>
      <c r="S174" s="548">
        <f t="shared" si="9"/>
        <v>16</v>
      </c>
      <c r="T174" s="542"/>
      <c r="U174" s="546" t="s">
        <v>2395</v>
      </c>
      <c r="V174" s="542"/>
      <c r="W174" s="1549">
        <f>SUM(AH270:AH271)</f>
        <v>-12933512</v>
      </c>
      <c r="X174" s="2368">
        <v>-11460618</v>
      </c>
      <c r="Y174" s="555"/>
      <c r="Z174" s="553"/>
      <c r="AA174" s="555"/>
      <c r="AB174" s="555"/>
      <c r="AC174" s="555"/>
      <c r="AD174" s="555"/>
      <c r="AE174" s="555"/>
      <c r="AF174" s="555"/>
      <c r="AG174" s="555"/>
      <c r="AH174" s="557"/>
      <c r="AI174" s="555"/>
      <c r="AJ174" s="555"/>
      <c r="AK174" s="555"/>
    </row>
    <row r="175" spans="1:37">
      <c r="A175" s="555"/>
      <c r="B175" s="555"/>
      <c r="C175" s="555"/>
      <c r="D175" s="555"/>
      <c r="E175" s="555"/>
      <c r="F175" s="555"/>
      <c r="G175" s="555"/>
      <c r="H175" s="555"/>
      <c r="I175" s="555"/>
      <c r="J175" s="555"/>
      <c r="K175" s="555"/>
      <c r="L175" s="555"/>
      <c r="M175" s="555"/>
      <c r="N175" s="555"/>
      <c r="O175" s="555"/>
      <c r="P175" s="555"/>
      <c r="Q175" s="555"/>
      <c r="R175" s="555"/>
      <c r="S175" s="548">
        <f t="shared" si="9"/>
        <v>17</v>
      </c>
      <c r="T175" s="542"/>
      <c r="U175" s="542"/>
      <c r="V175" s="542"/>
      <c r="W175" s="543"/>
      <c r="X175" s="543"/>
      <c r="Y175" s="555"/>
      <c r="Z175" s="553"/>
      <c r="AA175" s="555"/>
      <c r="AB175" s="555"/>
      <c r="AC175" s="555"/>
      <c r="AD175" s="555"/>
      <c r="AE175" s="555"/>
      <c r="AF175" s="555"/>
      <c r="AG175" s="555"/>
      <c r="AH175" s="557"/>
      <c r="AI175" s="555"/>
      <c r="AJ175" s="555"/>
      <c r="AK175" s="555"/>
    </row>
    <row r="176" spans="1:37">
      <c r="A176" s="555"/>
      <c r="B176" s="555"/>
      <c r="C176" s="555"/>
      <c r="D176" s="555"/>
      <c r="E176" s="555"/>
      <c r="F176" s="555"/>
      <c r="G176" s="555"/>
      <c r="H176" s="555"/>
      <c r="I176" s="555"/>
      <c r="J176" s="555"/>
      <c r="K176" s="555"/>
      <c r="L176" s="555"/>
      <c r="M176" s="555"/>
      <c r="N176" s="555"/>
      <c r="O176" s="555"/>
      <c r="P176" s="555"/>
      <c r="Q176" s="555"/>
      <c r="R176" s="555"/>
      <c r="S176" s="548">
        <f t="shared" si="9"/>
        <v>18</v>
      </c>
      <c r="T176" s="542"/>
      <c r="U176" s="546" t="s">
        <v>2440</v>
      </c>
      <c r="V176" s="542"/>
      <c r="W176" s="543">
        <f>W171+SUM(W174:W174)</f>
        <v>36557892</v>
      </c>
      <c r="X176" s="543">
        <f>X171+SUM(X174:X174)</f>
        <v>-8343380</v>
      </c>
      <c r="Y176" s="555"/>
      <c r="Z176" s="2369"/>
      <c r="AA176" s="555"/>
      <c r="AB176" s="555"/>
      <c r="AC176" s="555"/>
      <c r="AD176" s="555"/>
      <c r="AE176" s="555"/>
      <c r="AF176" s="555"/>
      <c r="AG176" s="555"/>
      <c r="AH176" s="557"/>
      <c r="AI176" s="555"/>
      <c r="AJ176" s="555"/>
      <c r="AK176" s="555"/>
    </row>
    <row r="177" spans="1:37">
      <c r="A177" s="555"/>
      <c r="B177" s="555"/>
      <c r="C177" s="555"/>
      <c r="D177" s="555"/>
      <c r="E177" s="555"/>
      <c r="F177" s="555"/>
      <c r="G177" s="555"/>
      <c r="H177" s="555"/>
      <c r="I177" s="555"/>
      <c r="J177" s="555"/>
      <c r="K177" s="555"/>
      <c r="L177" s="555"/>
      <c r="M177" s="555"/>
      <c r="N177" s="555"/>
      <c r="O177" s="555"/>
      <c r="P177" s="555"/>
      <c r="Q177" s="555"/>
      <c r="R177" s="555"/>
      <c r="S177" s="548">
        <f t="shared" si="9"/>
        <v>19</v>
      </c>
      <c r="T177" s="542"/>
      <c r="U177" s="546"/>
      <c r="V177" s="542"/>
      <c r="W177" s="543"/>
      <c r="X177" s="543"/>
      <c r="Y177" s="555"/>
      <c r="Z177" s="2369"/>
      <c r="AA177" s="555"/>
      <c r="AB177" s="555"/>
      <c r="AC177" s="555"/>
      <c r="AD177" s="555"/>
      <c r="AE177" s="555"/>
      <c r="AF177" s="555"/>
      <c r="AG177" s="555"/>
      <c r="AH177" s="557"/>
      <c r="AI177" s="555"/>
      <c r="AJ177" s="555"/>
      <c r="AK177" s="555"/>
    </row>
    <row r="178" spans="1:37">
      <c r="A178" s="555"/>
      <c r="B178" s="555"/>
      <c r="C178" s="555"/>
      <c r="D178" s="555"/>
      <c r="E178" s="555"/>
      <c r="F178" s="555"/>
      <c r="G178" s="555"/>
      <c r="H178" s="555"/>
      <c r="I178" s="555"/>
      <c r="J178" s="555"/>
      <c r="K178" s="555"/>
      <c r="L178" s="555"/>
      <c r="M178" s="555"/>
      <c r="N178" s="555"/>
      <c r="O178" s="555"/>
      <c r="P178" s="555"/>
      <c r="Q178" s="555"/>
      <c r="R178" s="555"/>
      <c r="S178" s="548">
        <f t="shared" si="9"/>
        <v>20</v>
      </c>
      <c r="T178" s="542"/>
      <c r="U178" s="568" t="s">
        <v>2398</v>
      </c>
      <c r="V178" s="542"/>
      <c r="W178" s="2370">
        <f>APPORT</f>
        <v>0.99370000000000003</v>
      </c>
      <c r="X178" s="2370">
        <f>APPORT</f>
        <v>0.99370000000000003</v>
      </c>
      <c r="Y178" s="555"/>
      <c r="Z178" s="2369"/>
      <c r="AA178" s="555"/>
      <c r="AB178" s="555"/>
      <c r="AC178" s="555"/>
      <c r="AD178" s="555"/>
      <c r="AE178" s="555"/>
      <c r="AF178" s="555"/>
      <c r="AG178" s="555"/>
      <c r="AH178" s="557"/>
      <c r="AI178" s="555"/>
      <c r="AJ178" s="555"/>
      <c r="AK178" s="555"/>
    </row>
    <row r="179" spans="1:37">
      <c r="A179" s="555"/>
      <c r="B179" s="555"/>
      <c r="C179" s="555"/>
      <c r="D179" s="555"/>
      <c r="E179" s="555"/>
      <c r="F179" s="555"/>
      <c r="G179" s="555"/>
      <c r="H179" s="555"/>
      <c r="I179" s="555"/>
      <c r="J179" s="555"/>
      <c r="K179" s="555"/>
      <c r="L179" s="555"/>
      <c r="M179" s="555"/>
      <c r="N179" s="555"/>
      <c r="O179" s="555"/>
      <c r="P179" s="555"/>
      <c r="Q179" s="555"/>
      <c r="R179" s="555"/>
      <c r="S179" s="548">
        <f t="shared" si="9"/>
        <v>21</v>
      </c>
      <c r="T179" s="542"/>
      <c r="U179" s="546"/>
      <c r="V179" s="542"/>
      <c r="W179" s="543"/>
      <c r="X179" s="543"/>
      <c r="Y179" s="555"/>
      <c r="Z179" s="2369"/>
      <c r="AA179" s="555"/>
      <c r="AB179" s="555"/>
      <c r="AC179" s="555"/>
      <c r="AD179" s="555"/>
      <c r="AE179" s="555"/>
      <c r="AF179" s="555"/>
      <c r="AG179" s="555"/>
      <c r="AH179" s="557"/>
      <c r="AI179" s="555"/>
      <c r="AJ179" s="555"/>
      <c r="AK179" s="555"/>
    </row>
    <row r="180" spans="1:37" ht="13.8" thickBot="1">
      <c r="A180" s="555"/>
      <c r="B180" s="555"/>
      <c r="C180" s="555"/>
      <c r="D180" s="555"/>
      <c r="E180" s="555"/>
      <c r="F180" s="555"/>
      <c r="G180" s="555"/>
      <c r="H180" s="555"/>
      <c r="I180" s="555"/>
      <c r="J180" s="555"/>
      <c r="K180" s="555"/>
      <c r="L180" s="555"/>
      <c r="M180" s="555"/>
      <c r="N180" s="555"/>
      <c r="O180" s="555"/>
      <c r="P180" s="555"/>
      <c r="Q180" s="555"/>
      <c r="R180" s="555"/>
      <c r="S180" s="548">
        <f t="shared" si="9"/>
        <v>22</v>
      </c>
      <c r="T180" s="542"/>
      <c r="U180" s="2371" t="s">
        <v>2441</v>
      </c>
      <c r="V180" s="542"/>
      <c r="W180" s="1966">
        <f>AH277</f>
        <v>36327577.280000001</v>
      </c>
      <c r="X180" s="1966">
        <f>ROUND(X176*X178,0)</f>
        <v>-8290817</v>
      </c>
      <c r="Y180" s="555"/>
      <c r="AA180" s="555"/>
      <c r="AB180" s="751"/>
      <c r="AC180" s="555"/>
      <c r="AD180" s="555"/>
      <c r="AE180" s="555"/>
      <c r="AF180" s="555"/>
      <c r="AG180" s="555"/>
      <c r="AH180" s="557"/>
      <c r="AI180" s="555"/>
      <c r="AJ180" s="555"/>
      <c r="AK180" s="555"/>
    </row>
    <row r="181" spans="1:37" ht="13.8" thickTop="1">
      <c r="A181" s="555"/>
      <c r="B181" s="555"/>
      <c r="C181" s="555"/>
      <c r="D181" s="555"/>
      <c r="E181" s="555"/>
      <c r="F181" s="555"/>
      <c r="G181" s="555"/>
      <c r="H181" s="555"/>
      <c r="I181" s="555"/>
      <c r="J181" s="555"/>
      <c r="K181" s="555"/>
      <c r="L181" s="555"/>
      <c r="M181" s="555"/>
      <c r="N181" s="555"/>
      <c r="O181" s="555"/>
      <c r="P181" s="555"/>
      <c r="Q181" s="555"/>
      <c r="R181" s="555"/>
      <c r="S181" s="548">
        <f t="shared" si="9"/>
        <v>23</v>
      </c>
      <c r="T181" s="542"/>
      <c r="U181" s="542"/>
      <c r="V181" s="542"/>
      <c r="W181" s="543"/>
      <c r="X181" s="543"/>
      <c r="Y181" s="555"/>
      <c r="Z181" s="554"/>
      <c r="AA181" s="555"/>
      <c r="AB181" s="555"/>
      <c r="AC181" s="555"/>
      <c r="AD181" s="555"/>
      <c r="AE181" s="555"/>
      <c r="AF181" s="555"/>
      <c r="AG181" s="555"/>
      <c r="AH181" s="557"/>
      <c r="AI181" s="555"/>
      <c r="AJ181" s="555"/>
      <c r="AK181" s="555"/>
    </row>
    <row r="182" spans="1:37">
      <c r="A182" s="555"/>
      <c r="B182" s="555"/>
      <c r="C182" s="555"/>
      <c r="D182" s="555"/>
      <c r="E182" s="555"/>
      <c r="F182" s="555"/>
      <c r="G182" s="555"/>
      <c r="H182" s="555"/>
      <c r="I182" s="555"/>
      <c r="J182" s="555"/>
      <c r="K182" s="555"/>
      <c r="L182" s="555"/>
      <c r="M182" s="555"/>
      <c r="N182" s="555"/>
      <c r="O182" s="555"/>
      <c r="P182" s="555"/>
      <c r="Q182" s="555"/>
      <c r="R182" s="555"/>
      <c r="S182" s="548">
        <f t="shared" si="9"/>
        <v>24</v>
      </c>
      <c r="T182" s="542"/>
      <c r="U182" s="554" t="str">
        <f>"Kentucky Income Tax Expense @ "&amp;TEXT(SIT,"##.00%")</f>
        <v>Kentucky Income Tax Expense @ 5.00%</v>
      </c>
      <c r="V182" s="542"/>
      <c r="W182" s="543">
        <f>AH279</f>
        <v>1816379</v>
      </c>
      <c r="X182" s="543">
        <f>ROUND(X180*SIT,0)</f>
        <v>-414541</v>
      </c>
      <c r="Y182" s="555"/>
      <c r="Z182" s="554"/>
      <c r="AA182" s="555"/>
      <c r="AB182" s="555"/>
      <c r="AC182" s="555"/>
      <c r="AD182" s="555"/>
      <c r="AE182" s="555"/>
      <c r="AF182" s="555"/>
      <c r="AG182" s="555"/>
      <c r="AH182" s="557"/>
      <c r="AI182" s="555"/>
      <c r="AJ182" s="555"/>
      <c r="AK182" s="555"/>
    </row>
    <row r="183" spans="1:37">
      <c r="A183" s="555"/>
      <c r="B183" s="555"/>
      <c r="C183" s="555"/>
      <c r="D183" s="555"/>
      <c r="E183" s="555"/>
      <c r="F183" s="555"/>
      <c r="G183" s="555"/>
      <c r="H183" s="555"/>
      <c r="I183" s="555"/>
      <c r="J183" s="555"/>
      <c r="K183" s="555"/>
      <c r="L183" s="555"/>
      <c r="M183" s="555"/>
      <c r="N183" s="555"/>
      <c r="O183" s="555"/>
      <c r="P183" s="555"/>
      <c r="Q183" s="555"/>
      <c r="R183" s="555"/>
      <c r="S183" s="548">
        <f t="shared" si="9"/>
        <v>25</v>
      </c>
      <c r="T183" s="542"/>
      <c r="U183" s="2365" t="s">
        <v>2400</v>
      </c>
      <c r="V183" s="542"/>
      <c r="W183" s="2372">
        <f>AH280</f>
        <v>-22500</v>
      </c>
      <c r="X183" s="2373">
        <v>-22500</v>
      </c>
      <c r="Y183" s="555"/>
      <c r="Z183" s="554"/>
      <c r="AA183" s="555"/>
      <c r="AB183" s="555"/>
      <c r="AC183" s="555"/>
      <c r="AD183" s="555"/>
      <c r="AE183" s="555"/>
      <c r="AF183" s="555"/>
      <c r="AG183" s="555"/>
      <c r="AH183" s="557"/>
      <c r="AI183" s="555"/>
      <c r="AJ183" s="555"/>
      <c r="AK183" s="555"/>
    </row>
    <row r="184" spans="1:37">
      <c r="A184" s="555"/>
      <c r="B184" s="555"/>
      <c r="C184" s="555"/>
      <c r="D184" s="555"/>
      <c r="E184" s="555"/>
      <c r="F184" s="555"/>
      <c r="G184" s="555"/>
      <c r="H184" s="555"/>
      <c r="I184" s="555"/>
      <c r="J184" s="555"/>
      <c r="K184" s="555"/>
      <c r="L184" s="555"/>
      <c r="M184" s="555"/>
      <c r="N184" s="555"/>
      <c r="O184" s="555"/>
      <c r="P184" s="555"/>
      <c r="Q184" s="555"/>
      <c r="R184" s="555"/>
      <c r="S184" s="548">
        <f t="shared" si="9"/>
        <v>26</v>
      </c>
      <c r="T184" s="542"/>
      <c r="U184" s="542"/>
      <c r="V184" s="542"/>
      <c r="W184" s="543"/>
      <c r="X184" s="543"/>
      <c r="Y184" s="555"/>
      <c r="Z184" s="556"/>
      <c r="AA184" s="555"/>
      <c r="AB184" s="555"/>
      <c r="AC184" s="555"/>
      <c r="AD184" s="555"/>
      <c r="AE184" s="555"/>
      <c r="AF184" s="555"/>
      <c r="AG184" s="555"/>
      <c r="AH184" s="557"/>
      <c r="AI184" s="555"/>
      <c r="AJ184" s="555"/>
      <c r="AK184" s="555"/>
    </row>
    <row r="185" spans="1:37" ht="13.8" thickBot="1">
      <c r="A185" s="555"/>
      <c r="B185" s="555"/>
      <c r="C185" s="555"/>
      <c r="D185" s="555"/>
      <c r="E185" s="555"/>
      <c r="F185" s="555"/>
      <c r="G185" s="555"/>
      <c r="H185" s="555"/>
      <c r="I185" s="555"/>
      <c r="J185" s="555"/>
      <c r="K185" s="555"/>
      <c r="L185" s="555"/>
      <c r="M185" s="555"/>
      <c r="N185" s="555"/>
      <c r="O185" s="555"/>
      <c r="P185" s="555"/>
      <c r="Q185" s="555"/>
      <c r="R185" s="555"/>
      <c r="S185" s="548">
        <f t="shared" si="9"/>
        <v>27</v>
      </c>
      <c r="T185" s="542"/>
      <c r="U185" s="546" t="s">
        <v>2442</v>
      </c>
      <c r="V185" s="542"/>
      <c r="W185" s="1966">
        <f>SUM(W182:W184)</f>
        <v>1793879</v>
      </c>
      <c r="X185" s="1966">
        <f>SUM(X182:X184)</f>
        <v>-437041</v>
      </c>
      <c r="Y185" s="555"/>
      <c r="Z185" s="555"/>
      <c r="AA185" s="555"/>
      <c r="AB185" s="555"/>
      <c r="AC185" s="555"/>
      <c r="AD185" s="555"/>
      <c r="AE185" s="555"/>
      <c r="AF185" s="555"/>
      <c r="AG185" s="555"/>
      <c r="AH185" s="557"/>
      <c r="AI185" s="555"/>
      <c r="AJ185" s="555"/>
      <c r="AK185" s="555"/>
    </row>
    <row r="186" spans="1:37" ht="13.8" thickTop="1">
      <c r="A186" s="555"/>
      <c r="B186" s="555"/>
      <c r="C186" s="555"/>
      <c r="D186" s="555"/>
      <c r="E186" s="555"/>
      <c r="F186" s="555"/>
      <c r="G186" s="555"/>
      <c r="H186" s="555"/>
      <c r="I186" s="555"/>
      <c r="J186" s="555"/>
      <c r="K186" s="555"/>
      <c r="L186" s="555"/>
      <c r="M186" s="555"/>
      <c r="N186" s="555"/>
      <c r="O186" s="555"/>
      <c r="P186" s="555"/>
      <c r="Q186" s="555"/>
      <c r="R186" s="555"/>
      <c r="S186" s="548">
        <f t="shared" si="9"/>
        <v>28</v>
      </c>
      <c r="T186" s="542"/>
      <c r="U186" s="542"/>
      <c r="V186" s="542"/>
      <c r="W186" s="543" t="str">
        <f>IF(W185&lt;&gt;'SCH_C2.1 - Base Period'!G353,"CHECK TAXES","")</f>
        <v/>
      </c>
      <c r="X186" s="543" t="str">
        <f>IF(X185&lt;&gt;'SCH_C2.1 - Forecasted Period'!J350,"CHECK TAXES","")</f>
        <v/>
      </c>
      <c r="Y186" s="555"/>
      <c r="Z186" s="555"/>
      <c r="AA186" s="555"/>
      <c r="AB186" s="543"/>
      <c r="AC186" s="555"/>
      <c r="AD186" s="555"/>
      <c r="AE186" s="555"/>
      <c r="AF186" s="555"/>
      <c r="AG186" s="555"/>
      <c r="AH186" s="557"/>
      <c r="AI186" s="555"/>
      <c r="AJ186" s="555"/>
      <c r="AK186" s="555"/>
    </row>
    <row r="187" spans="1:37">
      <c r="A187" s="555"/>
      <c r="B187" s="555"/>
      <c r="C187" s="555"/>
      <c r="D187" s="555"/>
      <c r="E187" s="555"/>
      <c r="F187" s="555"/>
      <c r="G187" s="555"/>
      <c r="H187" s="555"/>
      <c r="I187" s="555"/>
      <c r="J187" s="555"/>
      <c r="K187" s="555"/>
      <c r="L187" s="555"/>
      <c r="M187" s="555"/>
      <c r="N187" s="555"/>
      <c r="O187" s="555"/>
      <c r="P187" s="555"/>
      <c r="Q187" s="555"/>
      <c r="R187" s="555"/>
      <c r="S187" s="548">
        <f t="shared" si="9"/>
        <v>29</v>
      </c>
      <c r="T187" s="542"/>
      <c r="U187" s="546" t="s">
        <v>2443</v>
      </c>
      <c r="V187" s="542"/>
      <c r="W187" s="543">
        <f>W171</f>
        <v>49491404</v>
      </c>
      <c r="X187" s="543">
        <f>X171</f>
        <v>3117238</v>
      </c>
      <c r="Y187" s="555"/>
      <c r="Z187" s="556"/>
      <c r="AA187" s="555"/>
      <c r="AB187" s="555"/>
      <c r="AC187" s="555"/>
      <c r="AD187" s="555"/>
      <c r="AE187" s="555"/>
      <c r="AF187" s="555"/>
      <c r="AG187" s="555"/>
      <c r="AH187" s="557"/>
      <c r="AI187" s="555"/>
      <c r="AJ187" s="555"/>
      <c r="AK187" s="555"/>
    </row>
    <row r="188" spans="1:37">
      <c r="A188" s="555"/>
      <c r="B188" s="555"/>
      <c r="C188" s="555"/>
      <c r="D188" s="555"/>
      <c r="E188" s="555"/>
      <c r="F188" s="555"/>
      <c r="G188" s="555"/>
      <c r="H188" s="555"/>
      <c r="I188" s="555"/>
      <c r="J188" s="555"/>
      <c r="K188" s="555"/>
      <c r="L188" s="555"/>
      <c r="M188" s="555"/>
      <c r="N188" s="555"/>
      <c r="O188" s="555"/>
      <c r="P188" s="555"/>
      <c r="Q188" s="555"/>
      <c r="R188" s="555"/>
      <c r="S188" s="548">
        <f t="shared" si="9"/>
        <v>30</v>
      </c>
      <c r="T188" s="542"/>
      <c r="U188" s="546" t="s">
        <v>2444</v>
      </c>
      <c r="V188" s="542"/>
      <c r="W188" s="543">
        <f>-W185</f>
        <v>-1793879</v>
      </c>
      <c r="X188" s="543">
        <f>-X185</f>
        <v>437041</v>
      </c>
      <c r="Y188" s="555"/>
      <c r="Z188" s="556"/>
      <c r="AA188" s="555"/>
      <c r="AB188" s="555"/>
      <c r="AC188" s="555"/>
      <c r="AD188" s="555"/>
      <c r="AE188" s="555"/>
      <c r="AF188" s="555"/>
      <c r="AG188" s="555"/>
      <c r="AH188" s="557"/>
      <c r="AI188" s="555"/>
      <c r="AJ188" s="555"/>
      <c r="AK188" s="555"/>
    </row>
    <row r="189" spans="1:37">
      <c r="A189" s="555"/>
      <c r="B189" s="555"/>
      <c r="C189" s="555"/>
      <c r="D189" s="555"/>
      <c r="E189" s="555"/>
      <c r="F189" s="555"/>
      <c r="G189" s="555"/>
      <c r="H189" s="555"/>
      <c r="I189" s="555"/>
      <c r="J189" s="555"/>
      <c r="K189" s="555"/>
      <c r="L189" s="555"/>
      <c r="M189" s="555"/>
      <c r="N189" s="555"/>
      <c r="O189" s="555"/>
      <c r="P189" s="555"/>
      <c r="Q189" s="555"/>
      <c r="R189" s="555"/>
      <c r="S189" s="548">
        <f t="shared" si="9"/>
        <v>31</v>
      </c>
      <c r="T189" s="542"/>
      <c r="U189" s="546"/>
      <c r="V189" s="542"/>
      <c r="W189" s="1545"/>
      <c r="X189" s="1545"/>
      <c r="Y189" s="555"/>
      <c r="Z189" s="556"/>
      <c r="AA189" s="555"/>
      <c r="AB189" s="555"/>
      <c r="AC189" s="555"/>
      <c r="AD189" s="555"/>
      <c r="AE189" s="555"/>
      <c r="AF189" s="555"/>
      <c r="AG189" s="555"/>
      <c r="AH189" s="557"/>
      <c r="AI189" s="555"/>
      <c r="AJ189" s="555"/>
      <c r="AK189" s="555"/>
    </row>
    <row r="190" spans="1:37" ht="13.8" thickBot="1">
      <c r="A190" s="555"/>
      <c r="B190" s="555"/>
      <c r="C190" s="555"/>
      <c r="D190" s="555"/>
      <c r="E190" s="555"/>
      <c r="F190" s="555"/>
      <c r="G190" s="555"/>
      <c r="H190" s="555"/>
      <c r="I190" s="555"/>
      <c r="J190" s="555"/>
      <c r="K190" s="555"/>
      <c r="L190" s="555"/>
      <c r="M190" s="555"/>
      <c r="N190" s="555"/>
      <c r="O190" s="555"/>
      <c r="P190" s="555"/>
      <c r="Q190" s="555"/>
      <c r="R190" s="555"/>
      <c r="S190" s="548">
        <f t="shared" si="9"/>
        <v>32</v>
      </c>
      <c r="T190" s="542"/>
      <c r="U190" s="546" t="s">
        <v>2445</v>
      </c>
      <c r="V190" s="542"/>
      <c r="W190" s="1966">
        <f>W171+W188+W189</f>
        <v>47697525</v>
      </c>
      <c r="X190" s="1966">
        <f>X171+X188+X189</f>
        <v>3554279</v>
      </c>
      <c r="Y190" s="555"/>
      <c r="Z190" s="555"/>
      <c r="AA190" s="555"/>
      <c r="AB190" s="555"/>
      <c r="AC190" s="555"/>
      <c r="AD190" s="555"/>
      <c r="AE190" s="555"/>
      <c r="AF190" s="555"/>
      <c r="AG190" s="555"/>
      <c r="AH190" s="557"/>
      <c r="AI190" s="555"/>
      <c r="AJ190" s="555"/>
      <c r="AK190" s="555"/>
    </row>
    <row r="191" spans="1:37" ht="13.8" thickTop="1">
      <c r="A191" s="555"/>
      <c r="B191" s="555"/>
      <c r="C191" s="555"/>
      <c r="D191" s="555"/>
      <c r="E191" s="555"/>
      <c r="F191" s="555"/>
      <c r="G191" s="555"/>
      <c r="H191" s="555"/>
      <c r="I191" s="555"/>
      <c r="J191" s="555"/>
      <c r="K191" s="555"/>
      <c r="L191" s="555"/>
      <c r="M191" s="555"/>
      <c r="N191" s="555"/>
      <c r="O191" s="555"/>
      <c r="P191" s="555"/>
      <c r="Q191" s="555"/>
      <c r="R191" s="555"/>
      <c r="S191" s="548">
        <f t="shared" si="9"/>
        <v>33</v>
      </c>
      <c r="T191" s="542"/>
      <c r="U191" s="542"/>
      <c r="V191" s="542"/>
      <c r="W191" s="543"/>
      <c r="X191" s="543"/>
      <c r="Y191" s="555"/>
      <c r="Z191" s="557"/>
      <c r="AA191" s="555"/>
      <c r="AB191" s="555"/>
      <c r="AC191" s="555"/>
      <c r="AD191" s="555"/>
      <c r="AE191" s="555"/>
      <c r="AF191" s="555"/>
      <c r="AG191" s="555"/>
      <c r="AH191" s="557"/>
      <c r="AI191" s="555"/>
      <c r="AJ191" s="555"/>
      <c r="AK191" s="555"/>
    </row>
    <row r="192" spans="1:37">
      <c r="A192" s="555"/>
      <c r="B192" s="555"/>
      <c r="C192" s="555"/>
      <c r="D192" s="555"/>
      <c r="E192" s="555"/>
      <c r="F192" s="555"/>
      <c r="G192" s="555"/>
      <c r="H192" s="555"/>
      <c r="I192" s="555"/>
      <c r="J192" s="555"/>
      <c r="K192" s="555"/>
      <c r="L192" s="555"/>
      <c r="M192" s="555"/>
      <c r="N192" s="555"/>
      <c r="O192" s="555"/>
      <c r="P192" s="555"/>
      <c r="Q192" s="555"/>
      <c r="R192" s="555"/>
      <c r="S192" s="548">
        <f t="shared" si="9"/>
        <v>34</v>
      </c>
      <c r="T192" s="549"/>
      <c r="U192" s="546" t="str">
        <f>"Federal Income Tax Before Credits @ "&amp;TEXT(FIT,"00.00%")</f>
        <v>Federal Income Tax Before Credits @ 21.00%</v>
      </c>
      <c r="V192" s="542"/>
      <c r="W192" s="543">
        <f>ROUND(W190*FIT,0)</f>
        <v>10016480</v>
      </c>
      <c r="X192" s="543">
        <f>ROUND(X190*FIT,0)</f>
        <v>746399</v>
      </c>
      <c r="Y192" s="555"/>
      <c r="Z192" s="565"/>
      <c r="AA192" s="555"/>
      <c r="AB192" s="555"/>
      <c r="AC192" s="555"/>
      <c r="AD192" s="555"/>
      <c r="AE192" s="555"/>
      <c r="AF192" s="555"/>
      <c r="AG192" s="555"/>
      <c r="AH192" s="557"/>
      <c r="AI192" s="555"/>
      <c r="AJ192" s="555"/>
      <c r="AK192" s="555"/>
    </row>
    <row r="193" spans="1:37">
      <c r="A193" s="1922"/>
      <c r="B193" s="1922"/>
      <c r="C193" s="1922"/>
      <c r="D193" s="1922"/>
      <c r="E193" s="1922"/>
      <c r="F193" s="1922"/>
      <c r="G193" s="1922"/>
      <c r="H193" s="1922"/>
      <c r="I193" s="1922"/>
      <c r="J193" s="1922"/>
      <c r="K193" s="1922"/>
      <c r="L193" s="1922"/>
      <c r="M193" s="1922"/>
      <c r="N193" s="1922"/>
      <c r="O193" s="1922"/>
      <c r="P193" s="1922"/>
      <c r="Q193" s="1922"/>
      <c r="R193" s="1922"/>
      <c r="S193" s="771">
        <f>1+S192</f>
        <v>35</v>
      </c>
      <c r="T193" s="549"/>
      <c r="U193" s="1927" t="s">
        <v>2446</v>
      </c>
      <c r="V193" s="1926"/>
      <c r="W193" s="1931">
        <f>AH291</f>
        <v>0</v>
      </c>
      <c r="X193" s="1932">
        <v>0</v>
      </c>
      <c r="Y193" s="1922"/>
      <c r="Z193" s="1922"/>
      <c r="AA193" s="1922"/>
      <c r="AB193" s="1922"/>
      <c r="AC193" s="1922"/>
      <c r="AD193" s="1922"/>
      <c r="AE193" s="1922"/>
      <c r="AF193" s="1922"/>
      <c r="AG193" s="1922"/>
      <c r="AH193" s="1930"/>
      <c r="AI193" s="1922"/>
      <c r="AJ193" s="1922"/>
      <c r="AK193" s="1922"/>
    </row>
    <row r="194" spans="1:37">
      <c r="A194" s="555"/>
      <c r="B194" s="555"/>
      <c r="C194" s="555"/>
      <c r="D194" s="555"/>
      <c r="E194" s="555"/>
      <c r="F194" s="555"/>
      <c r="G194" s="555"/>
      <c r="H194" s="555"/>
      <c r="I194" s="555"/>
      <c r="J194" s="555"/>
      <c r="K194" s="555"/>
      <c r="L194" s="555"/>
      <c r="M194" s="555"/>
      <c r="N194" s="555"/>
      <c r="O194" s="555"/>
      <c r="P194" s="555"/>
      <c r="Q194" s="555"/>
      <c r="R194" s="555"/>
      <c r="S194" s="548">
        <f>1+S193</f>
        <v>36</v>
      </c>
      <c r="T194" s="549"/>
      <c r="U194" s="1928" t="s">
        <v>2417</v>
      </c>
      <c r="V194" s="542"/>
      <c r="W194" s="1549">
        <f>AH292</f>
        <v>6732103</v>
      </c>
      <c r="X194" s="1550">
        <v>868253</v>
      </c>
      <c r="Y194" s="555"/>
      <c r="Z194" s="555"/>
      <c r="AA194" s="555"/>
      <c r="AB194" s="555"/>
      <c r="AC194" s="555"/>
      <c r="AD194" s="555"/>
      <c r="AE194" s="555"/>
      <c r="AF194" s="555"/>
      <c r="AG194" s="555"/>
      <c r="AH194" s="557"/>
      <c r="AI194" s="555"/>
      <c r="AJ194" s="555"/>
      <c r="AK194" s="555"/>
    </row>
    <row r="195" spans="1:37" ht="13.8" thickBot="1">
      <c r="A195" s="555"/>
      <c r="B195" s="555"/>
      <c r="C195" s="555"/>
      <c r="D195" s="555"/>
      <c r="E195" s="555"/>
      <c r="F195" s="555"/>
      <c r="G195" s="555"/>
      <c r="H195" s="555"/>
      <c r="I195" s="555"/>
      <c r="J195" s="555"/>
      <c r="K195" s="555"/>
      <c r="L195" s="555"/>
      <c r="M195" s="555"/>
      <c r="N195" s="555"/>
      <c r="O195" s="555"/>
      <c r="P195" s="555"/>
      <c r="Q195" s="555"/>
      <c r="R195" s="555"/>
      <c r="S195" s="548">
        <f>1+S194</f>
        <v>37</v>
      </c>
      <c r="T195" s="549"/>
      <c r="U195" s="542" t="s">
        <v>2447</v>
      </c>
      <c r="V195" s="542"/>
      <c r="W195" s="1967">
        <f>SUM(W192:W194)</f>
        <v>16748583</v>
      </c>
      <c r="X195" s="1967">
        <f>IF(ROUND(X192+X194,0)='SCH_C2.1 - Forecasted Period'!J357,ROUND(X192+X194,0),"Check Rounding")</f>
        <v>1614652</v>
      </c>
      <c r="Y195" s="555"/>
      <c r="Z195" s="555"/>
      <c r="AA195" s="555"/>
      <c r="AB195" s="543"/>
      <c r="AC195" s="555"/>
      <c r="AD195" s="555"/>
      <c r="AE195" s="555"/>
      <c r="AF195" s="555"/>
      <c r="AG195" s="555"/>
      <c r="AH195" s="557"/>
      <c r="AI195" s="555"/>
      <c r="AJ195" s="555"/>
      <c r="AK195" s="555"/>
    </row>
    <row r="196" spans="1:37" ht="13.8" thickTop="1">
      <c r="A196" s="555"/>
      <c r="B196" s="555"/>
      <c r="C196" s="555"/>
      <c r="D196" s="555"/>
      <c r="E196" s="555"/>
      <c r="F196" s="555"/>
      <c r="G196" s="555"/>
      <c r="H196" s="555"/>
      <c r="I196" s="555"/>
      <c r="J196" s="555"/>
      <c r="K196" s="555"/>
      <c r="L196" s="555"/>
      <c r="M196" s="555"/>
      <c r="N196" s="555"/>
      <c r="O196" s="555"/>
      <c r="P196" s="555"/>
      <c r="Q196" s="555"/>
      <c r="R196" s="555"/>
      <c r="S196" s="555"/>
      <c r="T196" s="555"/>
      <c r="U196" s="555"/>
      <c r="V196" s="555"/>
      <c r="W196" s="543" t="str">
        <f>IF(W195&lt;&gt;'SCH_C2.1 - Base Period'!G359,"CHECK TAXES","")</f>
        <v/>
      </c>
      <c r="X196" s="555"/>
      <c r="Y196" s="555"/>
      <c r="Z196" s="555"/>
      <c r="AA196" s="555"/>
      <c r="AB196" s="555"/>
      <c r="AC196" s="555"/>
      <c r="AD196" s="555"/>
      <c r="AE196" s="555"/>
      <c r="AF196" s="555"/>
      <c r="AG196" s="555"/>
      <c r="AH196" s="557"/>
      <c r="AI196" s="555"/>
      <c r="AJ196" s="555"/>
      <c r="AK196" s="555"/>
    </row>
    <row r="197" spans="1:37">
      <c r="A197" s="555"/>
      <c r="B197" s="555"/>
      <c r="C197" s="555"/>
      <c r="D197" s="555"/>
      <c r="E197" s="555"/>
      <c r="F197" s="555"/>
      <c r="G197" s="555"/>
      <c r="H197" s="555"/>
      <c r="I197" s="555"/>
      <c r="J197" s="555"/>
      <c r="K197" s="555"/>
      <c r="L197" s="555"/>
      <c r="M197" s="555"/>
      <c r="N197" s="555"/>
      <c r="O197" s="555"/>
      <c r="P197" s="555"/>
      <c r="Q197" s="555"/>
      <c r="R197" s="555"/>
      <c r="S197" s="555"/>
      <c r="T197" s="555"/>
      <c r="U197" s="555"/>
      <c r="V197" s="555"/>
      <c r="W197" s="557"/>
      <c r="X197" s="557"/>
      <c r="Y197" s="555"/>
      <c r="Z197" s="557"/>
      <c r="AA197" s="555"/>
      <c r="AB197" s="555"/>
      <c r="AC197" s="555"/>
      <c r="AD197" s="555"/>
      <c r="AE197" s="555"/>
      <c r="AF197" s="555"/>
      <c r="AG197" s="555"/>
      <c r="AH197" s="557"/>
      <c r="AI197" s="555"/>
      <c r="AJ197" s="555"/>
      <c r="AK197" s="555"/>
    </row>
    <row r="198" spans="1:37" ht="15.6">
      <c r="A198" s="555"/>
      <c r="B198" s="555"/>
      <c r="C198" s="555"/>
      <c r="D198" s="555"/>
      <c r="E198" s="555"/>
      <c r="F198" s="555"/>
      <c r="G198" s="555"/>
      <c r="H198" s="555"/>
      <c r="I198" s="555"/>
      <c r="J198" s="555"/>
      <c r="K198" s="555"/>
      <c r="L198" s="555"/>
      <c r="M198" s="555"/>
      <c r="N198" s="555"/>
      <c r="O198" s="555"/>
      <c r="P198" s="555"/>
      <c r="Q198" s="555"/>
      <c r="R198" s="555"/>
      <c r="S198" s="555"/>
      <c r="T198" s="555"/>
      <c r="U198" s="574"/>
      <c r="V198" s="555"/>
      <c r="W198" s="557"/>
      <c r="X198" s="555"/>
      <c r="Y198" s="555"/>
      <c r="Z198" s="557"/>
      <c r="AA198" s="555"/>
      <c r="AB198" s="555"/>
      <c r="AC198" s="555"/>
      <c r="AD198" s="555"/>
      <c r="AE198" s="555"/>
      <c r="AF198" s="555"/>
      <c r="AG198" s="555"/>
      <c r="AH198" s="557"/>
      <c r="AI198" s="555"/>
      <c r="AJ198" s="555"/>
      <c r="AK198" s="555"/>
    </row>
    <row r="199" spans="1:37">
      <c r="A199" s="555"/>
      <c r="B199" s="555"/>
      <c r="C199" s="555"/>
      <c r="D199" s="555"/>
      <c r="E199" s="555"/>
      <c r="F199" s="555"/>
      <c r="G199" s="555"/>
      <c r="H199" s="555"/>
      <c r="I199" s="555"/>
      <c r="J199" s="555"/>
      <c r="K199" s="555"/>
      <c r="L199" s="555"/>
      <c r="M199" s="555"/>
      <c r="N199" s="555"/>
      <c r="O199" s="555"/>
      <c r="P199" s="555"/>
      <c r="Q199" s="555"/>
      <c r="R199" s="555"/>
      <c r="S199" s="555"/>
      <c r="T199" s="555"/>
      <c r="U199" s="555"/>
      <c r="V199" s="555"/>
      <c r="W199" s="305"/>
      <c r="X199" s="555"/>
      <c r="Y199" s="555"/>
      <c r="Z199" s="546" t="str">
        <f>COMPANY</f>
        <v>DUKE ENERGY KENTUCKY, INC.</v>
      </c>
      <c r="AA199" s="542"/>
      <c r="AB199" s="542"/>
      <c r="AC199" s="547"/>
      <c r="AD199" s="547"/>
      <c r="AE199" s="547"/>
      <c r="AF199" s="547"/>
      <c r="AG199" s="546" t="s">
        <v>2448</v>
      </c>
      <c r="AH199" s="543"/>
      <c r="AI199" s="555"/>
      <c r="AJ199" s="555"/>
      <c r="AK199" s="555"/>
    </row>
    <row r="200" spans="1:37">
      <c r="A200" s="555"/>
      <c r="B200" s="555"/>
      <c r="C200" s="555"/>
      <c r="D200" s="555"/>
      <c r="E200" s="555"/>
      <c r="F200" s="555"/>
      <c r="G200" s="555"/>
      <c r="H200" s="555"/>
      <c r="I200" s="555"/>
      <c r="J200" s="555"/>
      <c r="K200" s="555"/>
      <c r="L200" s="555"/>
      <c r="M200" s="555"/>
      <c r="N200" s="555"/>
      <c r="O200" s="555"/>
      <c r="P200" s="555"/>
      <c r="Q200" s="555"/>
      <c r="R200" s="555"/>
      <c r="S200" s="555"/>
      <c r="T200" s="555"/>
      <c r="U200" s="555"/>
      <c r="V200" s="555"/>
      <c r="W200" s="555"/>
      <c r="X200" s="555"/>
      <c r="Y200" s="555"/>
      <c r="Z200" s="546" t="str">
        <f>CASE</f>
        <v>CASE NO. 2024-00354</v>
      </c>
      <c r="AA200" s="542"/>
      <c r="AB200" s="542"/>
      <c r="AC200" s="547"/>
      <c r="AD200" s="547"/>
      <c r="AE200" s="547"/>
      <c r="AF200" s="547"/>
      <c r="AG200" s="542" t="s">
        <v>468</v>
      </c>
      <c r="AH200" s="543"/>
      <c r="AI200" s="555"/>
      <c r="AJ200" s="555"/>
      <c r="AK200" s="555"/>
    </row>
    <row r="201" spans="1:37">
      <c r="A201" s="555"/>
      <c r="B201" s="555"/>
      <c r="C201" s="555"/>
      <c r="D201" s="555"/>
      <c r="E201" s="555"/>
      <c r="F201" s="555"/>
      <c r="G201" s="555"/>
      <c r="H201" s="555"/>
      <c r="I201" s="555"/>
      <c r="J201" s="555"/>
      <c r="K201" s="555"/>
      <c r="L201" s="555"/>
      <c r="M201" s="555"/>
      <c r="N201" s="555"/>
      <c r="O201" s="555"/>
      <c r="P201" s="555"/>
      <c r="Q201" s="555"/>
      <c r="R201" s="555"/>
      <c r="S201" s="555"/>
      <c r="T201" s="555"/>
      <c r="U201" s="555"/>
      <c r="V201" s="555"/>
      <c r="W201" s="555"/>
      <c r="X201" s="555"/>
      <c r="Y201" s="555"/>
      <c r="Z201" s="546" t="str">
        <f>DEPT</f>
        <v>ELECTRIC DEPARTMENT</v>
      </c>
      <c r="AA201" s="542"/>
      <c r="AB201" s="542"/>
      <c r="AC201" s="547"/>
      <c r="AD201" s="547"/>
      <c r="AE201" s="547"/>
      <c r="AF201" s="547"/>
      <c r="AG201" s="546" t="str">
        <f>_WIT3</f>
        <v>J. R. PANIZZA</v>
      </c>
      <c r="AH201" s="543"/>
      <c r="AI201" s="555"/>
      <c r="AJ201" s="555"/>
      <c r="AK201" s="555"/>
    </row>
    <row r="202" spans="1:37">
      <c r="A202" s="555"/>
      <c r="B202" s="555"/>
      <c r="C202" s="555"/>
      <c r="D202" s="555"/>
      <c r="E202" s="555"/>
      <c r="F202" s="555"/>
      <c r="G202" s="555"/>
      <c r="H202" s="555"/>
      <c r="I202" s="555"/>
      <c r="J202" s="555"/>
      <c r="K202" s="555"/>
      <c r="L202" s="555"/>
      <c r="M202" s="555"/>
      <c r="N202" s="555"/>
      <c r="O202" s="555"/>
      <c r="P202" s="555"/>
      <c r="Q202" s="555"/>
      <c r="R202" s="555"/>
      <c r="S202" s="555"/>
      <c r="T202" s="555"/>
      <c r="U202" s="555"/>
      <c r="V202" s="555"/>
      <c r="W202" s="555"/>
      <c r="X202" s="555"/>
      <c r="Y202" s="555"/>
      <c r="Z202" s="546" t="s">
        <v>1220</v>
      </c>
      <c r="AA202" s="542"/>
      <c r="AB202" s="542"/>
      <c r="AC202" s="547"/>
      <c r="AD202" s="547"/>
      <c r="AE202" s="547"/>
      <c r="AF202" s="547"/>
      <c r="AG202" s="547"/>
      <c r="AH202" s="543"/>
      <c r="AI202" s="555"/>
      <c r="AJ202" s="555"/>
      <c r="AK202" s="555"/>
    </row>
    <row r="203" spans="1:37">
      <c r="A203" s="555"/>
      <c r="B203" s="555"/>
      <c r="C203" s="555"/>
      <c r="D203" s="555"/>
      <c r="E203" s="555"/>
      <c r="F203" s="555"/>
      <c r="G203" s="555"/>
      <c r="H203" s="555"/>
      <c r="I203" s="555"/>
      <c r="J203" s="555"/>
      <c r="K203" s="555"/>
      <c r="L203" s="555"/>
      <c r="M203" s="555"/>
      <c r="N203" s="555"/>
      <c r="O203" s="555"/>
      <c r="P203" s="555"/>
      <c r="Q203" s="555"/>
      <c r="R203" s="555"/>
      <c r="S203" s="555"/>
      <c r="T203" s="555"/>
      <c r="U203" s="555"/>
      <c r="V203" s="555"/>
      <c r="W203" s="555"/>
      <c r="X203" s="555"/>
      <c r="Y203" s="555"/>
      <c r="Z203" s="542"/>
      <c r="AA203" s="542"/>
      <c r="AB203" s="542"/>
      <c r="AC203" s="547"/>
      <c r="AD203" s="547"/>
      <c r="AE203" s="547"/>
      <c r="AF203" s="547"/>
      <c r="AG203" s="547"/>
      <c r="AH203" s="543"/>
      <c r="AI203" s="555"/>
      <c r="AJ203" s="555"/>
      <c r="AK203" s="555"/>
    </row>
    <row r="204" spans="1:37">
      <c r="A204" s="555"/>
      <c r="B204" s="555"/>
      <c r="C204" s="555"/>
      <c r="D204" s="555"/>
      <c r="E204" s="555"/>
      <c r="F204" s="555"/>
      <c r="G204" s="555"/>
      <c r="H204" s="555"/>
      <c r="I204" s="555"/>
      <c r="J204" s="555"/>
      <c r="K204" s="555"/>
      <c r="L204" s="555"/>
      <c r="M204" s="555"/>
      <c r="N204" s="555"/>
      <c r="O204" s="555"/>
      <c r="P204" s="555"/>
      <c r="Q204" s="555"/>
      <c r="R204" s="555"/>
      <c r="S204" s="555"/>
      <c r="T204" s="555"/>
      <c r="U204" s="555"/>
      <c r="V204" s="555"/>
      <c r="W204" s="555"/>
      <c r="X204" s="555"/>
      <c r="Y204" s="555"/>
      <c r="Z204" s="542"/>
      <c r="AA204" s="542"/>
      <c r="AB204" s="542"/>
      <c r="AC204" s="547"/>
      <c r="AD204" s="547"/>
      <c r="AE204" s="547"/>
      <c r="AF204" s="547"/>
      <c r="AG204" s="547"/>
      <c r="AH204" s="543"/>
      <c r="AI204" s="555"/>
      <c r="AJ204" s="555"/>
      <c r="AK204" s="555"/>
    </row>
    <row r="205" spans="1:37">
      <c r="A205" s="555"/>
      <c r="B205" s="555"/>
      <c r="C205" s="555"/>
      <c r="D205" s="555"/>
      <c r="E205" s="555"/>
      <c r="F205" s="555"/>
      <c r="G205" s="555"/>
      <c r="H205" s="555"/>
      <c r="I205" s="555"/>
      <c r="J205" s="555"/>
      <c r="K205" s="555"/>
      <c r="L205" s="555"/>
      <c r="M205" s="555"/>
      <c r="N205" s="555"/>
      <c r="O205" s="555"/>
      <c r="P205" s="555"/>
      <c r="Q205" s="555"/>
      <c r="R205" s="555"/>
      <c r="S205" s="555"/>
      <c r="T205" s="555"/>
      <c r="U205" s="555"/>
      <c r="V205" s="555"/>
      <c r="W205" s="555"/>
      <c r="X205" s="555"/>
      <c r="Y205" s="555"/>
      <c r="Z205" s="542"/>
      <c r="AA205" s="542"/>
      <c r="AB205" s="542"/>
      <c r="AC205" s="547"/>
      <c r="AD205" s="547"/>
      <c r="AE205" s="547"/>
      <c r="AF205" s="547"/>
      <c r="AG205" s="547"/>
      <c r="AH205" s="543"/>
      <c r="AI205" s="555"/>
      <c r="AJ205" s="555"/>
      <c r="AK205" s="555"/>
    </row>
    <row r="206" spans="1:37">
      <c r="A206" s="555"/>
      <c r="B206" s="555"/>
      <c r="C206" s="555"/>
      <c r="D206" s="555"/>
      <c r="E206" s="555"/>
      <c r="F206" s="555"/>
      <c r="G206" s="555"/>
      <c r="H206" s="555"/>
      <c r="I206" s="555"/>
      <c r="J206" s="555"/>
      <c r="K206" s="555"/>
      <c r="L206" s="555"/>
      <c r="M206" s="555"/>
      <c r="N206" s="555"/>
      <c r="O206" s="555"/>
      <c r="P206" s="555"/>
      <c r="Q206" s="555"/>
      <c r="R206" s="555"/>
      <c r="S206" s="555"/>
      <c r="T206" s="555"/>
      <c r="U206" s="555"/>
      <c r="V206" s="555"/>
      <c r="W206" s="555"/>
      <c r="X206" s="555"/>
      <c r="Y206" s="555"/>
      <c r="Z206" s="542"/>
      <c r="AA206" s="542"/>
      <c r="AB206" s="542"/>
      <c r="AC206" s="547"/>
      <c r="AD206" s="547"/>
      <c r="AE206" s="547"/>
      <c r="AF206" s="547"/>
      <c r="AG206" s="547"/>
      <c r="AH206" s="543"/>
      <c r="AI206" s="555"/>
      <c r="AJ206" s="555"/>
      <c r="AK206" s="555"/>
    </row>
    <row r="207" spans="1:37">
      <c r="A207" s="555"/>
      <c r="B207" s="555"/>
      <c r="C207" s="555"/>
      <c r="D207" s="555"/>
      <c r="E207" s="555"/>
      <c r="F207" s="555"/>
      <c r="G207" s="555"/>
      <c r="H207" s="555"/>
      <c r="I207" s="555"/>
      <c r="J207" s="555"/>
      <c r="K207" s="555"/>
      <c r="L207" s="555"/>
      <c r="M207" s="555"/>
      <c r="N207" s="555"/>
      <c r="O207" s="555"/>
      <c r="P207" s="555"/>
      <c r="Q207" s="555"/>
      <c r="R207" s="555"/>
      <c r="S207" s="555"/>
      <c r="T207" s="555"/>
      <c r="U207" s="555"/>
      <c r="V207" s="555"/>
      <c r="W207" s="555"/>
      <c r="X207" s="555"/>
      <c r="Y207" s="555"/>
      <c r="Z207" s="542"/>
      <c r="AA207" s="542"/>
      <c r="AB207" s="542"/>
      <c r="AC207" s="547"/>
      <c r="AD207" s="547"/>
      <c r="AE207" s="547"/>
      <c r="AF207" s="547"/>
      <c r="AG207" s="547"/>
      <c r="AH207" s="543"/>
      <c r="AI207" s="555"/>
      <c r="AJ207" s="555"/>
      <c r="AK207" s="555"/>
    </row>
    <row r="208" spans="1:37">
      <c r="A208" s="555"/>
      <c r="B208" s="555"/>
      <c r="C208" s="555"/>
      <c r="D208" s="555"/>
      <c r="E208" s="555"/>
      <c r="F208" s="555"/>
      <c r="G208" s="555"/>
      <c r="H208" s="555"/>
      <c r="I208" s="555"/>
      <c r="J208" s="555"/>
      <c r="K208" s="555"/>
      <c r="L208" s="555"/>
      <c r="M208" s="555"/>
      <c r="N208" s="555"/>
      <c r="O208" s="555"/>
      <c r="P208" s="555"/>
      <c r="Q208" s="555"/>
      <c r="R208" s="555"/>
      <c r="S208" s="555"/>
      <c r="T208" s="555"/>
      <c r="U208" s="555"/>
      <c r="V208" s="555"/>
      <c r="W208" s="555"/>
      <c r="X208" s="555"/>
      <c r="Y208" s="555"/>
      <c r="Z208" s="542"/>
      <c r="AA208" s="542"/>
      <c r="AB208" s="542"/>
      <c r="AC208" s="2374" t="s">
        <v>2449</v>
      </c>
      <c r="AD208" s="2374"/>
      <c r="AE208" s="2375"/>
      <c r="AF208" s="2374" t="s">
        <v>2312</v>
      </c>
      <c r="AG208" s="2374"/>
      <c r="AH208" s="543"/>
      <c r="AI208" s="555"/>
      <c r="AJ208" s="555"/>
      <c r="AK208" s="555"/>
    </row>
    <row r="209" spans="1:40">
      <c r="A209" s="555"/>
      <c r="B209" s="555"/>
      <c r="C209" s="555"/>
      <c r="D209" s="555"/>
      <c r="E209" s="555"/>
      <c r="F209" s="555"/>
      <c r="G209" s="555"/>
      <c r="H209" s="555"/>
      <c r="I209" s="555"/>
      <c r="J209" s="555"/>
      <c r="K209" s="555"/>
      <c r="L209" s="555"/>
      <c r="M209" s="555"/>
      <c r="N209" s="555"/>
      <c r="O209" s="555"/>
      <c r="P209" s="555"/>
      <c r="Q209" s="555"/>
      <c r="R209" s="555"/>
      <c r="S209" s="555"/>
      <c r="T209" s="555"/>
      <c r="U209" s="555"/>
      <c r="V209" s="555"/>
      <c r="W209" s="555"/>
      <c r="X209" s="555"/>
      <c r="Y209" s="555"/>
      <c r="Z209" s="548" t="s">
        <v>573</v>
      </c>
      <c r="AA209" s="548" t="s">
        <v>2450</v>
      </c>
      <c r="AB209" s="542"/>
      <c r="AC209" s="2376" t="s">
        <v>2451</v>
      </c>
      <c r="AD209" s="2376" t="s">
        <v>2452</v>
      </c>
      <c r="AE209" s="2376"/>
      <c r="AF209" s="2377" t="s">
        <v>2453</v>
      </c>
      <c r="AG209" s="2377" t="s">
        <v>2451</v>
      </c>
      <c r="AH209" s="2378" t="s">
        <v>2454</v>
      </c>
      <c r="AI209" s="555"/>
      <c r="AJ209" s="555"/>
      <c r="AK209" s="555"/>
    </row>
    <row r="210" spans="1:40">
      <c r="A210" s="555"/>
      <c r="B210" s="555"/>
      <c r="C210" s="555"/>
      <c r="D210" s="555"/>
      <c r="E210" s="555"/>
      <c r="F210" s="555"/>
      <c r="G210" s="555"/>
      <c r="H210" s="555"/>
      <c r="I210" s="555"/>
      <c r="J210" s="555"/>
      <c r="K210" s="555"/>
      <c r="L210" s="555"/>
      <c r="M210" s="555"/>
      <c r="N210" s="555"/>
      <c r="O210" s="555"/>
      <c r="P210" s="555"/>
      <c r="Q210" s="555"/>
      <c r="R210" s="555"/>
      <c r="S210" s="555"/>
      <c r="T210" s="555"/>
      <c r="U210" s="555"/>
      <c r="V210" s="555"/>
      <c r="W210" s="555"/>
      <c r="X210" s="555"/>
      <c r="Y210" s="555"/>
      <c r="Z210" s="569" t="s">
        <v>576</v>
      </c>
      <c r="AA210" s="571" t="s">
        <v>2455</v>
      </c>
      <c r="AB210" s="571" t="s">
        <v>476</v>
      </c>
      <c r="AC210" s="2379" t="s">
        <v>2456</v>
      </c>
      <c r="AD210" s="2380" t="s">
        <v>2457</v>
      </c>
      <c r="AE210" s="2380"/>
      <c r="AF210" s="2381" t="s">
        <v>2458</v>
      </c>
      <c r="AG210" s="2381" t="s">
        <v>2459</v>
      </c>
      <c r="AH210" s="2381" t="s">
        <v>2459</v>
      </c>
      <c r="AI210" s="555"/>
      <c r="AJ210" s="555"/>
      <c r="AK210" s="555"/>
    </row>
    <row r="211" spans="1:40">
      <c r="A211" s="555"/>
      <c r="B211" s="555"/>
      <c r="C211" s="555"/>
      <c r="D211" s="555"/>
      <c r="E211" s="555"/>
      <c r="F211" s="555"/>
      <c r="G211" s="555"/>
      <c r="H211" s="555"/>
      <c r="I211" s="555"/>
      <c r="J211" s="555"/>
      <c r="K211" s="555"/>
      <c r="L211" s="555"/>
      <c r="M211" s="555"/>
      <c r="N211" s="555"/>
      <c r="O211" s="555"/>
      <c r="P211" s="555"/>
      <c r="Q211" s="555"/>
      <c r="R211" s="555"/>
      <c r="S211" s="555"/>
      <c r="T211" s="555"/>
      <c r="U211" s="555"/>
      <c r="V211" s="555"/>
      <c r="W211" s="555"/>
      <c r="X211" s="555"/>
      <c r="Y211" s="555"/>
      <c r="Z211" s="543"/>
      <c r="AA211" s="543"/>
      <c r="AB211" s="543"/>
      <c r="AC211" s="547"/>
      <c r="AD211" s="547"/>
      <c r="AE211" s="547"/>
      <c r="AF211" s="547"/>
      <c r="AG211" s="547"/>
      <c r="AH211" s="543"/>
      <c r="AI211" s="555"/>
      <c r="AJ211" s="555"/>
      <c r="AK211" s="555"/>
    </row>
    <row r="212" spans="1:40">
      <c r="A212" s="555"/>
      <c r="B212" s="555"/>
      <c r="C212" s="555"/>
      <c r="D212" s="555"/>
      <c r="E212" s="555"/>
      <c r="F212" s="555"/>
      <c r="G212" s="555"/>
      <c r="H212" s="555"/>
      <c r="I212" s="555"/>
      <c r="J212" s="555"/>
      <c r="K212" s="555"/>
      <c r="L212" s="555"/>
      <c r="M212" s="555"/>
      <c r="N212" s="555"/>
      <c r="O212" s="555"/>
      <c r="P212" s="555"/>
      <c r="Q212" s="555"/>
      <c r="R212" s="555"/>
      <c r="S212" s="555"/>
      <c r="T212" s="555"/>
      <c r="U212" s="555"/>
      <c r="V212" s="555"/>
      <c r="W212" s="555"/>
      <c r="X212" s="555"/>
      <c r="Y212" s="555"/>
      <c r="Z212" s="548">
        <v>1</v>
      </c>
      <c r="AA212" s="542"/>
      <c r="AB212" s="546" t="s">
        <v>2460</v>
      </c>
      <c r="AC212" s="745"/>
      <c r="AD212" s="745">
        <f>SUM('BASE PERIOD'!F280:K280)</f>
        <v>61243277</v>
      </c>
      <c r="AE212" s="745"/>
      <c r="AF212" s="745">
        <f>SUM('BASE PERIOD'!L280:O280)</f>
        <v>26436187</v>
      </c>
      <c r="AG212" s="745">
        <f>SUM('BASE PERIOD'!P280:Q280)</f>
        <v>8873577</v>
      </c>
      <c r="AH212" s="543">
        <f>AD212-AC212+AF212+AG212</f>
        <v>96553041</v>
      </c>
      <c r="AI212" s="555"/>
      <c r="AJ212" s="1273"/>
      <c r="AK212" s="1273"/>
      <c r="AL212" s="1273"/>
      <c r="AN212" s="1273"/>
    </row>
    <row r="213" spans="1:40">
      <c r="A213" s="555"/>
      <c r="B213" s="555"/>
      <c r="C213" s="555"/>
      <c r="D213" s="555"/>
      <c r="E213" s="555"/>
      <c r="F213" s="555"/>
      <c r="G213" s="555"/>
      <c r="H213" s="555"/>
      <c r="I213" s="555"/>
      <c r="J213" s="555"/>
      <c r="K213" s="555"/>
      <c r="L213" s="555"/>
      <c r="M213" s="555"/>
      <c r="N213" s="555"/>
      <c r="O213" s="555"/>
      <c r="P213" s="555"/>
      <c r="Q213" s="555"/>
      <c r="R213" s="555"/>
      <c r="S213" s="555"/>
      <c r="T213" s="555"/>
      <c r="U213" s="555"/>
      <c r="V213" s="555"/>
      <c r="W213" s="555"/>
      <c r="X213" s="555"/>
      <c r="Y213" s="555"/>
      <c r="Z213" s="548">
        <f t="shared" ref="Z213:Z244" si="10">Z212+1</f>
        <v>2</v>
      </c>
      <c r="AA213" s="542"/>
      <c r="AB213" s="546"/>
      <c r="AC213" s="745"/>
      <c r="AD213" s="745"/>
      <c r="AE213" s="745"/>
      <c r="AF213" s="745"/>
      <c r="AG213" s="745"/>
      <c r="AH213" s="543"/>
      <c r="AI213" s="555"/>
      <c r="AJ213" s="555"/>
      <c r="AK213" s="555"/>
    </row>
    <row r="214" spans="1:40">
      <c r="A214" s="555"/>
      <c r="B214" s="555"/>
      <c r="C214" s="555"/>
      <c r="D214" s="555"/>
      <c r="E214" s="555"/>
      <c r="F214" s="555"/>
      <c r="G214" s="555"/>
      <c r="H214" s="555"/>
      <c r="I214" s="555"/>
      <c r="J214" s="555"/>
      <c r="K214" s="555"/>
      <c r="L214" s="555"/>
      <c r="M214" s="555"/>
      <c r="N214" s="555"/>
      <c r="O214" s="555"/>
      <c r="P214" s="555"/>
      <c r="Q214" s="555"/>
      <c r="R214" s="555"/>
      <c r="S214" s="555"/>
      <c r="T214" s="555"/>
      <c r="U214" s="555"/>
      <c r="V214" s="555"/>
      <c r="W214" s="555"/>
      <c r="X214" s="555"/>
      <c r="Y214" s="555"/>
      <c r="Z214" s="548">
        <f t="shared" si="10"/>
        <v>3</v>
      </c>
      <c r="AA214" s="548">
        <v>1107</v>
      </c>
      <c r="AB214" s="546" t="s">
        <v>2461</v>
      </c>
      <c r="AC214" s="745"/>
      <c r="AD214" s="745">
        <v>-10662996</v>
      </c>
      <c r="AE214" s="745"/>
      <c r="AF214" s="745">
        <v>-10535778</v>
      </c>
      <c r="AG214" s="745">
        <v>-5263451</v>
      </c>
      <c r="AH214" s="543">
        <f>AD214-AC214+AF214+AG214</f>
        <v>-26462225</v>
      </c>
      <c r="AI214" s="555"/>
      <c r="AJ214" s="555"/>
      <c r="AK214" s="555"/>
    </row>
    <row r="215" spans="1:40">
      <c r="A215" s="555"/>
      <c r="B215" s="555"/>
      <c r="C215" s="555"/>
      <c r="D215" s="555"/>
      <c r="E215" s="555"/>
      <c r="F215" s="555"/>
      <c r="G215" s="555"/>
      <c r="H215" s="555"/>
      <c r="I215" s="555"/>
      <c r="J215" s="555"/>
      <c r="K215" s="555"/>
      <c r="L215" s="555"/>
      <c r="M215" s="555"/>
      <c r="N215" s="555"/>
      <c r="O215" s="555"/>
      <c r="P215" s="555"/>
      <c r="Q215" s="555"/>
      <c r="R215" s="555"/>
      <c r="S215" s="555"/>
      <c r="T215" s="555"/>
      <c r="U215" s="555"/>
      <c r="V215" s="555"/>
      <c r="W215" s="555"/>
      <c r="X215" s="555"/>
      <c r="Y215" s="555"/>
      <c r="Z215" s="548">
        <f t="shared" si="10"/>
        <v>4</v>
      </c>
      <c r="AA215" s="542"/>
      <c r="AB215" s="542"/>
      <c r="AC215" s="745"/>
      <c r="AD215" s="745"/>
      <c r="AE215" s="745"/>
      <c r="AF215" s="745"/>
      <c r="AG215" s="745"/>
      <c r="AH215" s="543"/>
      <c r="AI215" s="555"/>
      <c r="AJ215" s="555"/>
      <c r="AK215" s="555"/>
    </row>
    <row r="216" spans="1:40">
      <c r="A216" s="555"/>
      <c r="B216" s="555"/>
      <c r="C216" s="555"/>
      <c r="D216" s="555"/>
      <c r="E216" s="555"/>
      <c r="F216" s="555"/>
      <c r="G216" s="555"/>
      <c r="H216" s="555"/>
      <c r="I216" s="555"/>
      <c r="J216" s="555"/>
      <c r="K216" s="555"/>
      <c r="L216" s="555"/>
      <c r="M216" s="555"/>
      <c r="N216" s="555"/>
      <c r="O216" s="555"/>
      <c r="P216" s="555"/>
      <c r="Q216" s="555"/>
      <c r="R216" s="555"/>
      <c r="S216" s="555"/>
      <c r="T216" s="555"/>
      <c r="U216" s="555"/>
      <c r="V216" s="555"/>
      <c r="W216" s="555"/>
      <c r="X216" s="548"/>
      <c r="Y216" s="555"/>
      <c r="Z216" s="548">
        <f t="shared" si="10"/>
        <v>5</v>
      </c>
      <c r="AA216" s="10" t="s">
        <v>2462</v>
      </c>
      <c r="AB216" s="40" t="s">
        <v>2463</v>
      </c>
      <c r="AC216" s="1683">
        <v>24209</v>
      </c>
      <c r="AD216" s="1683">
        <v>96837</v>
      </c>
      <c r="AE216" s="1683"/>
      <c r="AF216" s="1683">
        <v>48419</v>
      </c>
      <c r="AG216" s="1683">
        <v>24209</v>
      </c>
      <c r="AH216" s="543">
        <f>AD216-AC216+AF216+AG216</f>
        <v>145256</v>
      </c>
      <c r="AI216" s="555"/>
      <c r="AJ216" s="1273"/>
      <c r="AK216" s="1273"/>
      <c r="AL216" s="1273"/>
      <c r="AN216" s="1273"/>
    </row>
    <row r="217" spans="1:40">
      <c r="A217" s="555"/>
      <c r="B217" s="555"/>
      <c r="C217" s="555"/>
      <c r="D217" s="555"/>
      <c r="E217" s="555"/>
      <c r="F217" s="555"/>
      <c r="G217" s="555"/>
      <c r="H217" s="555"/>
      <c r="I217" s="555"/>
      <c r="J217" s="555"/>
      <c r="K217" s="555"/>
      <c r="L217" s="555"/>
      <c r="M217" s="555"/>
      <c r="N217" s="555"/>
      <c r="O217" s="555"/>
      <c r="P217" s="555"/>
      <c r="Q217" s="555"/>
      <c r="R217" s="555"/>
      <c r="S217" s="555"/>
      <c r="T217" s="555"/>
      <c r="U217" s="555"/>
      <c r="V217" s="555"/>
      <c r="W217" s="555"/>
      <c r="X217" s="548"/>
      <c r="Y217" s="555"/>
      <c r="Z217" s="548">
        <f t="shared" si="10"/>
        <v>6</v>
      </c>
      <c r="AA217" s="10" t="s">
        <v>2464</v>
      </c>
      <c r="AB217" t="s">
        <v>1175</v>
      </c>
      <c r="AC217" s="1683">
        <v>1670320</v>
      </c>
      <c r="AD217" s="1683">
        <v>3382324</v>
      </c>
      <c r="AE217" s="1683"/>
      <c r="AF217" s="1683">
        <v>0</v>
      </c>
      <c r="AG217" s="1683">
        <v>0</v>
      </c>
      <c r="AH217" s="543">
        <f t="shared" ref="AH217:AH266" si="11">AD217-AC217+AF217+AG217</f>
        <v>1712004</v>
      </c>
      <c r="AI217" s="555"/>
      <c r="AJ217" s="1273"/>
      <c r="AK217" s="1273"/>
      <c r="AL217" s="1273"/>
      <c r="AN217" s="1273"/>
    </row>
    <row r="218" spans="1:40">
      <c r="A218" s="555"/>
      <c r="B218" s="555"/>
      <c r="C218" s="555"/>
      <c r="D218" s="555"/>
      <c r="E218" s="555"/>
      <c r="F218" s="555"/>
      <c r="G218" s="555"/>
      <c r="H218" s="555"/>
      <c r="I218" s="555"/>
      <c r="J218" s="555"/>
      <c r="K218" s="555"/>
      <c r="L218" s="555"/>
      <c r="M218" s="555"/>
      <c r="N218" s="555"/>
      <c r="O218" s="555"/>
      <c r="P218" s="555"/>
      <c r="Q218" s="555"/>
      <c r="R218" s="555"/>
      <c r="S218" s="555"/>
      <c r="T218" s="555"/>
      <c r="U218" s="555"/>
      <c r="V218" s="555"/>
      <c r="W218" s="555"/>
      <c r="X218" s="548"/>
      <c r="Y218" s="555"/>
      <c r="Z218" s="548">
        <f t="shared" si="10"/>
        <v>7</v>
      </c>
      <c r="AA218" s="10" t="s">
        <v>2382</v>
      </c>
      <c r="AB218" t="s">
        <v>2465</v>
      </c>
      <c r="AC218" s="1683">
        <v>9975347</v>
      </c>
      <c r="AD218" s="1683">
        <v>40006244</v>
      </c>
      <c r="AE218" s="1683"/>
      <c r="AF218" s="1683">
        <v>23165962</v>
      </c>
      <c r="AG218" s="1683">
        <v>11853097</v>
      </c>
      <c r="AH218" s="543">
        <f t="shared" si="11"/>
        <v>65049956</v>
      </c>
      <c r="AI218" s="555"/>
      <c r="AJ218" s="1273"/>
      <c r="AK218" s="1273"/>
      <c r="AL218" s="1273"/>
      <c r="AN218" s="1273"/>
    </row>
    <row r="219" spans="1:40">
      <c r="A219" s="555"/>
      <c r="B219" s="555"/>
      <c r="C219" s="555"/>
      <c r="D219" s="555"/>
      <c r="E219" s="555"/>
      <c r="F219" s="555"/>
      <c r="G219" s="555"/>
      <c r="H219" s="555"/>
      <c r="I219" s="555"/>
      <c r="J219" s="555"/>
      <c r="K219" s="555"/>
      <c r="L219" s="555"/>
      <c r="M219" s="555"/>
      <c r="N219" s="555"/>
      <c r="O219" s="555"/>
      <c r="P219" s="555"/>
      <c r="Q219" s="555"/>
      <c r="R219" s="555"/>
      <c r="S219" s="555"/>
      <c r="T219" s="555"/>
      <c r="U219" s="555"/>
      <c r="V219" s="555"/>
      <c r="W219" s="555"/>
      <c r="X219" s="548"/>
      <c r="Y219" s="555"/>
      <c r="Z219" s="548">
        <f t="shared" si="10"/>
        <v>8</v>
      </c>
      <c r="AA219" s="10" t="s">
        <v>2466</v>
      </c>
      <c r="AB219" t="s">
        <v>2467</v>
      </c>
      <c r="AC219" s="1683">
        <v>-81769</v>
      </c>
      <c r="AD219" s="1683">
        <v>-327079</v>
      </c>
      <c r="AE219" s="1683"/>
      <c r="AF219" s="1683">
        <v>0</v>
      </c>
      <c r="AG219" s="1683">
        <v>0</v>
      </c>
      <c r="AH219" s="543">
        <f t="shared" si="11"/>
        <v>-245310</v>
      </c>
      <c r="AI219" s="555"/>
      <c r="AJ219" s="1273"/>
      <c r="AK219" s="1273"/>
      <c r="AL219" s="1273"/>
      <c r="AN219" s="1273"/>
    </row>
    <row r="220" spans="1:40">
      <c r="A220" s="555"/>
      <c r="B220" s="555"/>
      <c r="C220" s="555"/>
      <c r="D220" s="555"/>
      <c r="E220" s="555"/>
      <c r="F220" s="555"/>
      <c r="G220" s="555"/>
      <c r="H220" s="555"/>
      <c r="I220" s="555"/>
      <c r="J220" s="555"/>
      <c r="K220" s="555"/>
      <c r="L220" s="555"/>
      <c r="M220" s="555"/>
      <c r="N220" s="555"/>
      <c r="O220" s="555"/>
      <c r="P220" s="555"/>
      <c r="Q220" s="555"/>
      <c r="R220" s="555"/>
      <c r="S220" s="555"/>
      <c r="T220" s="555"/>
      <c r="U220" s="555"/>
      <c r="V220" s="555"/>
      <c r="W220" s="555"/>
      <c r="X220" s="548"/>
      <c r="Y220" s="555"/>
      <c r="Z220" s="548">
        <f t="shared" si="10"/>
        <v>9</v>
      </c>
      <c r="AA220" s="10" t="s">
        <v>2468</v>
      </c>
      <c r="AB220" t="s">
        <v>2469</v>
      </c>
      <c r="AC220" s="1683">
        <v>67813</v>
      </c>
      <c r="AD220" s="1683">
        <v>2396888</v>
      </c>
      <c r="AE220" s="1683"/>
      <c r="AF220" s="1683">
        <v>0</v>
      </c>
      <c r="AG220" s="1683">
        <v>0</v>
      </c>
      <c r="AH220" s="543">
        <f t="shared" si="11"/>
        <v>2329075</v>
      </c>
      <c r="AI220" s="555"/>
      <c r="AJ220" s="1273"/>
      <c r="AK220" s="1273"/>
      <c r="AL220" s="1273"/>
      <c r="AN220" s="1273"/>
    </row>
    <row r="221" spans="1:40">
      <c r="A221" s="555"/>
      <c r="B221" s="555"/>
      <c r="C221" s="555"/>
      <c r="D221" s="555"/>
      <c r="E221" s="555"/>
      <c r="F221" s="555"/>
      <c r="G221" s="555"/>
      <c r="H221" s="555"/>
      <c r="I221" s="555"/>
      <c r="J221" s="555"/>
      <c r="K221" s="555"/>
      <c r="L221" s="555"/>
      <c r="M221" s="555"/>
      <c r="N221" s="555"/>
      <c r="O221" s="555"/>
      <c r="P221" s="555"/>
      <c r="Q221" s="555"/>
      <c r="R221" s="555"/>
      <c r="S221" s="555"/>
      <c r="T221" s="555"/>
      <c r="U221" s="555"/>
      <c r="V221" s="555"/>
      <c r="W221" s="555"/>
      <c r="X221" s="548"/>
      <c r="Y221" s="555"/>
      <c r="Z221" s="548">
        <f t="shared" si="10"/>
        <v>10</v>
      </c>
      <c r="AA221" s="10" t="s">
        <v>2470</v>
      </c>
      <c r="AB221" t="s">
        <v>2471</v>
      </c>
      <c r="AC221" s="1683">
        <v>-956276</v>
      </c>
      <c r="AD221" s="1683">
        <v>-413364</v>
      </c>
      <c r="AE221" s="1683"/>
      <c r="AF221" s="1683">
        <v>0</v>
      </c>
      <c r="AG221" s="1683">
        <v>0</v>
      </c>
      <c r="AH221" s="543">
        <f t="shared" si="11"/>
        <v>542912</v>
      </c>
      <c r="AI221" s="555"/>
      <c r="AJ221" s="1273"/>
      <c r="AK221" s="1273"/>
      <c r="AL221" s="1273"/>
      <c r="AN221" s="1273"/>
    </row>
    <row r="222" spans="1:40">
      <c r="A222" s="555"/>
      <c r="B222" s="555"/>
      <c r="C222" s="555"/>
      <c r="D222" s="555"/>
      <c r="E222" s="555"/>
      <c r="F222" s="555"/>
      <c r="G222" s="555"/>
      <c r="H222" s="555"/>
      <c r="I222" s="555"/>
      <c r="J222" s="555"/>
      <c r="K222" s="555"/>
      <c r="L222" s="555"/>
      <c r="M222" s="555"/>
      <c r="N222" s="555"/>
      <c r="O222" s="555"/>
      <c r="P222" s="555"/>
      <c r="Q222" s="555"/>
      <c r="R222" s="555"/>
      <c r="S222" s="555"/>
      <c r="T222" s="555"/>
      <c r="U222" s="555"/>
      <c r="V222" s="555"/>
      <c r="W222" s="555"/>
      <c r="X222" s="548"/>
      <c r="Y222" s="555"/>
      <c r="Z222" s="548">
        <f t="shared" si="10"/>
        <v>11</v>
      </c>
      <c r="AA222" s="10" t="s">
        <v>2472</v>
      </c>
      <c r="AB222" t="s">
        <v>2473</v>
      </c>
      <c r="AC222" s="1683">
        <v>-247447</v>
      </c>
      <c r="AD222" s="1683">
        <v>-4444800</v>
      </c>
      <c r="AE222" s="1683"/>
      <c r="AF222" s="1683">
        <v>-4136851</v>
      </c>
      <c r="AG222" s="1683">
        <v>-554879</v>
      </c>
      <c r="AH222" s="543">
        <f t="shared" si="11"/>
        <v>-8889083</v>
      </c>
      <c r="AI222" s="555"/>
      <c r="AJ222" s="1273"/>
      <c r="AK222" s="1273"/>
      <c r="AL222" s="1273"/>
      <c r="AN222" s="1273"/>
    </row>
    <row r="223" spans="1:40">
      <c r="A223" s="555"/>
      <c r="B223" s="555"/>
      <c r="C223" s="555"/>
      <c r="D223" s="555"/>
      <c r="E223" s="555"/>
      <c r="F223" s="555"/>
      <c r="G223" s="555"/>
      <c r="H223" s="555"/>
      <c r="I223" s="555"/>
      <c r="J223" s="555"/>
      <c r="K223" s="555"/>
      <c r="L223" s="555"/>
      <c r="M223" s="555"/>
      <c r="N223" s="555"/>
      <c r="O223" s="555"/>
      <c r="P223" s="555"/>
      <c r="Q223" s="555"/>
      <c r="R223" s="555"/>
      <c r="S223" s="555"/>
      <c r="T223" s="555"/>
      <c r="U223" s="555"/>
      <c r="V223" s="555"/>
      <c r="W223" s="555"/>
      <c r="X223" s="548"/>
      <c r="Y223" s="555"/>
      <c r="Z223" s="548">
        <f t="shared" si="10"/>
        <v>12</v>
      </c>
      <c r="AA223" s="10" t="s">
        <v>2474</v>
      </c>
      <c r="AB223" t="s">
        <v>2475</v>
      </c>
      <c r="AC223" s="1683">
        <v>-24209</v>
      </c>
      <c r="AD223" s="1683">
        <v>-96837</v>
      </c>
      <c r="AE223" s="1683"/>
      <c r="AF223" s="1683">
        <v>-48419</v>
      </c>
      <c r="AG223" s="1683">
        <v>-24209</v>
      </c>
      <c r="AH223" s="543">
        <f t="shared" si="11"/>
        <v>-145256</v>
      </c>
      <c r="AI223" s="555"/>
      <c r="AJ223" s="1273"/>
      <c r="AK223" s="1273"/>
      <c r="AL223" s="1273"/>
      <c r="AN223" s="1273"/>
    </row>
    <row r="224" spans="1:40">
      <c r="A224" s="555"/>
      <c r="B224" s="555"/>
      <c r="C224" s="555"/>
      <c r="D224" s="555"/>
      <c r="E224" s="555"/>
      <c r="F224" s="555"/>
      <c r="G224" s="555"/>
      <c r="H224" s="555"/>
      <c r="I224" s="555"/>
      <c r="J224" s="555"/>
      <c r="K224" s="555"/>
      <c r="L224" s="555"/>
      <c r="M224" s="555"/>
      <c r="N224" s="555"/>
      <c r="O224" s="555"/>
      <c r="P224" s="555"/>
      <c r="Q224" s="555"/>
      <c r="R224" s="555"/>
      <c r="S224" s="555"/>
      <c r="T224" s="555"/>
      <c r="U224" s="555"/>
      <c r="V224" s="555"/>
      <c r="W224" s="555"/>
      <c r="X224" s="548"/>
      <c r="Y224" s="555"/>
      <c r="Z224" s="548">
        <f t="shared" si="10"/>
        <v>13</v>
      </c>
      <c r="AA224" s="10" t="s">
        <v>2476</v>
      </c>
      <c r="AB224" t="s">
        <v>2477</v>
      </c>
      <c r="AC224" s="1683">
        <v>267569</v>
      </c>
      <c r="AD224" s="1683">
        <v>1160695</v>
      </c>
      <c r="AE224" s="1683"/>
      <c r="AF224" s="1683">
        <v>576859</v>
      </c>
      <c r="AG224" s="1683">
        <v>300114</v>
      </c>
      <c r="AH224" s="543">
        <f t="shared" si="11"/>
        <v>1770099</v>
      </c>
      <c r="AI224" s="555"/>
      <c r="AJ224" s="1273"/>
      <c r="AK224" s="1273"/>
      <c r="AL224" s="1273"/>
      <c r="AN224" s="1273"/>
    </row>
    <row r="225" spans="1:40">
      <c r="A225" s="555"/>
      <c r="B225" s="555"/>
      <c r="C225" s="555"/>
      <c r="D225" s="555"/>
      <c r="E225" s="555"/>
      <c r="F225" s="555"/>
      <c r="G225" s="555"/>
      <c r="H225" s="555"/>
      <c r="I225" s="555"/>
      <c r="J225" s="555"/>
      <c r="K225" s="555"/>
      <c r="L225" s="555"/>
      <c r="M225" s="555"/>
      <c r="N225" s="555"/>
      <c r="O225" s="555"/>
      <c r="P225" s="555"/>
      <c r="Q225" s="555"/>
      <c r="R225" s="555"/>
      <c r="S225" s="555"/>
      <c r="T225" s="555"/>
      <c r="U225" s="555"/>
      <c r="V225" s="555"/>
      <c r="W225" s="555"/>
      <c r="X225" s="548"/>
      <c r="Y225" s="555"/>
      <c r="Z225" s="548">
        <f t="shared" si="10"/>
        <v>14</v>
      </c>
      <c r="AA225" s="10" t="s">
        <v>2380</v>
      </c>
      <c r="AB225" t="s">
        <v>2478</v>
      </c>
      <c r="AC225" s="1683">
        <v>-9272880</v>
      </c>
      <c r="AD225" s="1683">
        <v>-37091521</v>
      </c>
      <c r="AE225" s="1683"/>
      <c r="AF225" s="1683">
        <v>-19433408</v>
      </c>
      <c r="AG225" s="1683">
        <v>-11102310</v>
      </c>
      <c r="AH225" s="543">
        <f t="shared" si="11"/>
        <v>-58354359</v>
      </c>
      <c r="AI225" s="555"/>
      <c r="AJ225" s="1273"/>
      <c r="AK225" s="1273"/>
      <c r="AL225" s="1273"/>
      <c r="AN225" s="1273"/>
    </row>
    <row r="226" spans="1:40">
      <c r="A226" s="555"/>
      <c r="B226" s="555"/>
      <c r="C226" s="555"/>
      <c r="D226" s="555"/>
      <c r="E226" s="555"/>
      <c r="F226" s="555"/>
      <c r="G226" s="555"/>
      <c r="H226" s="555"/>
      <c r="I226" s="555"/>
      <c r="J226" s="555"/>
      <c r="K226" s="555"/>
      <c r="L226" s="555"/>
      <c r="M226" s="555"/>
      <c r="N226" s="555"/>
      <c r="O226" s="555"/>
      <c r="P226" s="555"/>
      <c r="Q226" s="555"/>
      <c r="R226" s="555"/>
      <c r="S226" s="555"/>
      <c r="T226" s="555"/>
      <c r="U226" s="555"/>
      <c r="V226" s="555"/>
      <c r="W226" s="555"/>
      <c r="X226" s="548"/>
      <c r="Y226" s="555"/>
      <c r="Z226" s="548">
        <f t="shared" si="10"/>
        <v>15</v>
      </c>
      <c r="AA226" s="10" t="s">
        <v>2479</v>
      </c>
      <c r="AB226" t="s">
        <v>2480</v>
      </c>
      <c r="AC226" s="1683">
        <v>-483333</v>
      </c>
      <c r="AD226" s="1683">
        <v>-1933333</v>
      </c>
      <c r="AE226" s="1683"/>
      <c r="AF226" s="1683">
        <v>-1266667</v>
      </c>
      <c r="AG226" s="1683">
        <v>-633334</v>
      </c>
      <c r="AH226" s="543">
        <f t="shared" si="11"/>
        <v>-3350001</v>
      </c>
      <c r="AI226" s="555"/>
      <c r="AJ226" s="1273"/>
      <c r="AK226" s="1273"/>
      <c r="AL226" s="1273"/>
      <c r="AN226" s="1273"/>
    </row>
    <row r="227" spans="1:40">
      <c r="A227" s="1922"/>
      <c r="B227" s="1922"/>
      <c r="C227" s="1922"/>
      <c r="D227" s="1922"/>
      <c r="E227" s="1922"/>
      <c r="F227" s="1922"/>
      <c r="G227" s="1922"/>
      <c r="H227" s="1922"/>
      <c r="I227" s="1922"/>
      <c r="J227" s="1922"/>
      <c r="K227" s="1922"/>
      <c r="L227" s="1922"/>
      <c r="M227" s="1922"/>
      <c r="N227" s="1922"/>
      <c r="O227" s="1922"/>
      <c r="P227" s="1922"/>
      <c r="Q227" s="1922"/>
      <c r="R227" s="1922"/>
      <c r="S227" s="1922"/>
      <c r="T227" s="1922"/>
      <c r="U227" s="1922"/>
      <c r="V227" s="1922"/>
      <c r="W227" s="1922"/>
      <c r="X227" s="771"/>
      <c r="Y227" s="1922"/>
      <c r="Z227" s="771">
        <f t="shared" si="10"/>
        <v>16</v>
      </c>
      <c r="AA227" s="10" t="s">
        <v>2481</v>
      </c>
      <c r="AB227" t="s">
        <v>2482</v>
      </c>
      <c r="AC227" s="1683">
        <v>166667</v>
      </c>
      <c r="AD227" s="1683">
        <v>666667</v>
      </c>
      <c r="AE227" s="1683"/>
      <c r="AF227" s="1683">
        <v>0</v>
      </c>
      <c r="AG227" s="1683">
        <v>0</v>
      </c>
      <c r="AH227" s="1923">
        <f>AD227-AC227+AF227+AG227</f>
        <v>500000</v>
      </c>
      <c r="AI227" s="1922"/>
      <c r="AJ227" s="1924"/>
      <c r="AK227" s="1924"/>
      <c r="AL227" s="1924"/>
      <c r="AN227" s="1924"/>
    </row>
    <row r="228" spans="1:40">
      <c r="A228" s="555"/>
      <c r="B228" s="555"/>
      <c r="C228" s="555"/>
      <c r="D228" s="555"/>
      <c r="E228" s="555"/>
      <c r="F228" s="555"/>
      <c r="G228" s="555"/>
      <c r="H228" s="555"/>
      <c r="I228" s="555"/>
      <c r="J228" s="555"/>
      <c r="K228" s="555"/>
      <c r="L228" s="555"/>
      <c r="M228" s="555"/>
      <c r="N228" s="555"/>
      <c r="O228" s="555"/>
      <c r="P228" s="555"/>
      <c r="Q228" s="555"/>
      <c r="R228" s="555"/>
      <c r="S228" s="555"/>
      <c r="T228" s="555"/>
      <c r="U228" s="555"/>
      <c r="V228" s="555"/>
      <c r="W228" s="555"/>
      <c r="X228" s="548"/>
      <c r="Y228" s="555"/>
      <c r="Z228" s="548">
        <f t="shared" si="10"/>
        <v>17</v>
      </c>
      <c r="AA228" s="10" t="s">
        <v>2483</v>
      </c>
      <c r="AB228" t="s">
        <v>2484</v>
      </c>
      <c r="AC228" s="1683">
        <v>12282</v>
      </c>
      <c r="AD228" s="1683">
        <v>50213</v>
      </c>
      <c r="AE228" s="1683"/>
      <c r="AF228" s="1683">
        <v>0</v>
      </c>
      <c r="AG228" s="1683">
        <v>0</v>
      </c>
      <c r="AH228" s="543">
        <f t="shared" si="11"/>
        <v>37931</v>
      </c>
      <c r="AI228" s="555"/>
      <c r="AJ228" s="1273"/>
      <c r="AK228" s="1273"/>
      <c r="AL228" s="1273"/>
      <c r="AN228" s="1273"/>
    </row>
    <row r="229" spans="1:40">
      <c r="A229" s="1922"/>
      <c r="B229" s="1922"/>
      <c r="C229" s="1922"/>
      <c r="D229" s="1922"/>
      <c r="E229" s="1922"/>
      <c r="F229" s="1922"/>
      <c r="G229" s="1922"/>
      <c r="H229" s="1922"/>
      <c r="I229" s="1922"/>
      <c r="J229" s="1922"/>
      <c r="K229" s="1922"/>
      <c r="L229" s="1922"/>
      <c r="M229" s="1922"/>
      <c r="N229" s="1922"/>
      <c r="O229" s="1922"/>
      <c r="P229" s="1922"/>
      <c r="Q229" s="1922"/>
      <c r="R229" s="1922"/>
      <c r="S229" s="1922"/>
      <c r="T229" s="1922"/>
      <c r="U229" s="1922"/>
      <c r="V229" s="1922"/>
      <c r="W229" s="1922"/>
      <c r="X229" s="771"/>
      <c r="Y229" s="1922"/>
      <c r="Z229" s="771">
        <f t="shared" si="10"/>
        <v>18</v>
      </c>
      <c r="AA229" s="10" t="s">
        <v>2485</v>
      </c>
      <c r="AB229" t="s">
        <v>1176</v>
      </c>
      <c r="AC229" s="1683">
        <v>-37511</v>
      </c>
      <c r="AD229" s="1683">
        <v>-75023</v>
      </c>
      <c r="AE229" s="1683"/>
      <c r="AF229" s="1683">
        <v>0</v>
      </c>
      <c r="AG229" s="1683">
        <v>0</v>
      </c>
      <c r="AH229" s="1923">
        <f>AD229-AC229+AF229+AG229</f>
        <v>-37512</v>
      </c>
      <c r="AI229" s="1922"/>
      <c r="AJ229" s="1924"/>
      <c r="AK229" s="1924"/>
      <c r="AL229" s="1924"/>
      <c r="AN229" s="1924"/>
    </row>
    <row r="230" spans="1:40">
      <c r="A230" s="555"/>
      <c r="B230" s="555"/>
      <c r="C230" s="555"/>
      <c r="D230" s="555"/>
      <c r="E230" s="555"/>
      <c r="F230" s="555"/>
      <c r="G230" s="555"/>
      <c r="H230" s="555"/>
      <c r="I230" s="555"/>
      <c r="J230" s="555"/>
      <c r="K230" s="555"/>
      <c r="L230" s="555"/>
      <c r="M230" s="555"/>
      <c r="N230" s="555"/>
      <c r="O230" s="555"/>
      <c r="P230" s="555"/>
      <c r="Q230" s="555"/>
      <c r="R230" s="555"/>
      <c r="S230" s="555"/>
      <c r="T230" s="555"/>
      <c r="U230" s="555"/>
      <c r="V230" s="555"/>
      <c r="W230" s="555"/>
      <c r="X230" s="548"/>
      <c r="Y230" s="555"/>
      <c r="Z230" s="548">
        <f t="shared" si="10"/>
        <v>19</v>
      </c>
      <c r="AA230" s="10" t="s">
        <v>2486</v>
      </c>
      <c r="AB230" t="s">
        <v>2487</v>
      </c>
      <c r="AC230" s="1683">
        <v>80095</v>
      </c>
      <c r="AD230" s="1683">
        <v>38332</v>
      </c>
      <c r="AE230" s="1683"/>
      <c r="AF230" s="1683">
        <v>0</v>
      </c>
      <c r="AG230" s="1683">
        <v>0</v>
      </c>
      <c r="AH230" s="543">
        <f t="shared" si="11"/>
        <v>-41763</v>
      </c>
      <c r="AI230" s="555"/>
      <c r="AJ230" s="1273"/>
      <c r="AK230" s="1273"/>
      <c r="AL230" s="1273"/>
      <c r="AN230" s="1273"/>
    </row>
    <row r="231" spans="1:40">
      <c r="A231" s="555"/>
      <c r="B231" s="555"/>
      <c r="C231" s="555"/>
      <c r="D231" s="555"/>
      <c r="E231" s="555"/>
      <c r="F231" s="555"/>
      <c r="G231" s="555"/>
      <c r="H231" s="555"/>
      <c r="I231" s="555"/>
      <c r="J231" s="555"/>
      <c r="K231" s="555"/>
      <c r="L231" s="555"/>
      <c r="M231" s="555"/>
      <c r="N231" s="555"/>
      <c r="O231" s="555"/>
      <c r="P231" s="555"/>
      <c r="Q231" s="555"/>
      <c r="R231" s="555"/>
      <c r="S231" s="555"/>
      <c r="T231" s="555"/>
      <c r="U231" s="555"/>
      <c r="V231" s="555"/>
      <c r="W231" s="555"/>
      <c r="X231" s="548"/>
      <c r="Y231" s="555"/>
      <c r="Z231" s="548">
        <f t="shared" si="10"/>
        <v>20</v>
      </c>
      <c r="AA231" s="10" t="s">
        <v>2488</v>
      </c>
      <c r="AB231" t="s">
        <v>2489</v>
      </c>
      <c r="AC231" s="1683">
        <v>-2578333</v>
      </c>
      <c r="AD231" s="1683">
        <v>-10313333</v>
      </c>
      <c r="AE231" s="1683"/>
      <c r="AF231" s="1683">
        <v>-5156667</v>
      </c>
      <c r="AG231" s="1683">
        <v>-2578333</v>
      </c>
      <c r="AH231" s="543">
        <f t="shared" si="11"/>
        <v>-15470000</v>
      </c>
      <c r="AI231" s="555"/>
      <c r="AJ231" s="1273"/>
      <c r="AK231" s="1273"/>
      <c r="AL231" s="1273"/>
      <c r="AN231" s="1273"/>
    </row>
    <row r="232" spans="1:40">
      <c r="A232" s="555"/>
      <c r="B232" s="555"/>
      <c r="C232" s="555"/>
      <c r="D232" s="555"/>
      <c r="E232" s="555"/>
      <c r="F232" s="555"/>
      <c r="G232" s="555"/>
      <c r="H232" s="555"/>
      <c r="I232" s="555"/>
      <c r="J232" s="555"/>
      <c r="K232" s="555"/>
      <c r="L232" s="555"/>
      <c r="M232" s="555"/>
      <c r="N232" s="555"/>
      <c r="O232" s="555"/>
      <c r="P232" s="555"/>
      <c r="Q232" s="555"/>
      <c r="R232" s="555"/>
      <c r="S232" s="555"/>
      <c r="T232" s="555"/>
      <c r="U232" s="555"/>
      <c r="V232" s="555"/>
      <c r="W232" s="555"/>
      <c r="X232" s="548"/>
      <c r="Y232" s="555"/>
      <c r="Z232" s="548">
        <f t="shared" si="10"/>
        <v>21</v>
      </c>
      <c r="AA232" s="10" t="s">
        <v>2490</v>
      </c>
      <c r="AB232" t="s">
        <v>2491</v>
      </c>
      <c r="AC232" s="1683">
        <v>-2783333</v>
      </c>
      <c r="AD232" s="1683">
        <v>-11133333</v>
      </c>
      <c r="AE232" s="1683"/>
      <c r="AF232" s="1683">
        <v>-5566667</v>
      </c>
      <c r="AG232" s="1683">
        <v>-2783333</v>
      </c>
      <c r="AH232" s="543">
        <f t="shared" si="11"/>
        <v>-16700000</v>
      </c>
      <c r="AI232" s="555"/>
      <c r="AJ232" s="1273"/>
      <c r="AK232" s="1273"/>
      <c r="AL232" s="1273"/>
      <c r="AN232" s="1273"/>
    </row>
    <row r="233" spans="1:40">
      <c r="A233" s="555"/>
      <c r="B233" s="555"/>
      <c r="C233" s="555"/>
      <c r="D233" s="555"/>
      <c r="E233" s="555"/>
      <c r="F233" s="555"/>
      <c r="G233" s="555"/>
      <c r="H233" s="555"/>
      <c r="I233" s="555"/>
      <c r="J233" s="555"/>
      <c r="K233" s="555"/>
      <c r="L233" s="555"/>
      <c r="M233" s="555"/>
      <c r="N233" s="555"/>
      <c r="O233" s="555"/>
      <c r="P233" s="555"/>
      <c r="Q233" s="555"/>
      <c r="R233" s="555"/>
      <c r="S233" s="555"/>
      <c r="T233" s="555"/>
      <c r="U233" s="555"/>
      <c r="V233" s="555"/>
      <c r="W233" s="555"/>
      <c r="X233" s="548"/>
      <c r="Y233" s="555"/>
      <c r="Z233" s="548">
        <f t="shared" si="10"/>
        <v>22</v>
      </c>
      <c r="AA233" s="10" t="s">
        <v>2492</v>
      </c>
      <c r="AB233" t="s">
        <v>1198</v>
      </c>
      <c r="AC233" s="1683">
        <v>8731</v>
      </c>
      <c r="AD233" s="1683">
        <v>34924</v>
      </c>
      <c r="AE233" s="1683"/>
      <c r="AF233" s="1683">
        <v>18546</v>
      </c>
      <c r="AG233" s="1683">
        <v>9273</v>
      </c>
      <c r="AH233" s="543">
        <f t="shared" si="11"/>
        <v>54012</v>
      </c>
      <c r="AI233" s="555"/>
      <c r="AJ233" s="1273"/>
      <c r="AK233" s="1273"/>
      <c r="AL233" s="1273"/>
      <c r="AN233" s="1273"/>
    </row>
    <row r="234" spans="1:40">
      <c r="A234" s="555"/>
      <c r="B234" s="555"/>
      <c r="C234" s="555"/>
      <c r="D234" s="555"/>
      <c r="E234" s="555"/>
      <c r="F234" s="555"/>
      <c r="G234" s="555"/>
      <c r="H234" s="555"/>
      <c r="I234" s="555"/>
      <c r="J234" s="555"/>
      <c r="K234" s="555"/>
      <c r="L234" s="555"/>
      <c r="M234" s="555"/>
      <c r="N234" s="555"/>
      <c r="O234" s="555"/>
      <c r="P234" s="555"/>
      <c r="Q234" s="555"/>
      <c r="R234" s="555"/>
      <c r="S234" s="555"/>
      <c r="T234" s="555"/>
      <c r="U234" s="555"/>
      <c r="V234" s="555"/>
      <c r="W234" s="555"/>
      <c r="X234" s="548"/>
      <c r="Y234" s="555"/>
      <c r="Z234" s="548">
        <f t="shared" si="10"/>
        <v>23</v>
      </c>
      <c r="AA234" s="10" t="s">
        <v>2493</v>
      </c>
      <c r="AB234" t="s">
        <v>1199</v>
      </c>
      <c r="AC234" s="1683">
        <v>2739925</v>
      </c>
      <c r="AD234" s="1683">
        <v>8451567</v>
      </c>
      <c r="AE234" s="1683"/>
      <c r="AF234" s="1683">
        <v>0</v>
      </c>
      <c r="AG234" s="1683">
        <v>0</v>
      </c>
      <c r="AH234" s="543">
        <f t="shared" si="11"/>
        <v>5711642</v>
      </c>
      <c r="AI234" s="555"/>
      <c r="AJ234" s="1273"/>
      <c r="AK234" s="1273"/>
      <c r="AL234" s="1273"/>
      <c r="AN234" s="1273"/>
    </row>
    <row r="235" spans="1:40">
      <c r="A235" s="555"/>
      <c r="B235" s="555"/>
      <c r="C235" s="555"/>
      <c r="D235" s="555"/>
      <c r="E235" s="555"/>
      <c r="F235" s="555"/>
      <c r="G235" s="555"/>
      <c r="H235" s="555"/>
      <c r="I235" s="555"/>
      <c r="J235" s="555"/>
      <c r="K235" s="555"/>
      <c r="L235" s="555"/>
      <c r="M235" s="555"/>
      <c r="N235" s="555"/>
      <c r="O235" s="555"/>
      <c r="P235" s="555"/>
      <c r="Q235" s="555"/>
      <c r="R235" s="555"/>
      <c r="S235" s="555"/>
      <c r="T235" s="555"/>
      <c r="U235" s="555"/>
      <c r="V235" s="555"/>
      <c r="W235" s="555"/>
      <c r="X235" s="548"/>
      <c r="Y235" s="555"/>
      <c r="Z235" s="548">
        <f t="shared" si="10"/>
        <v>24</v>
      </c>
      <c r="AA235" s="10" t="s">
        <v>2494</v>
      </c>
      <c r="AB235" t="s">
        <v>1178</v>
      </c>
      <c r="AC235" s="1683">
        <v>241407</v>
      </c>
      <c r="AD235" s="1683">
        <v>637579</v>
      </c>
      <c r="AE235" s="1683"/>
      <c r="AF235" s="1683">
        <v>0</v>
      </c>
      <c r="AG235" s="1683">
        <v>0</v>
      </c>
      <c r="AH235" s="543">
        <f t="shared" si="11"/>
        <v>396172</v>
      </c>
      <c r="AI235" s="555"/>
      <c r="AJ235" s="1273"/>
      <c r="AK235" s="1273"/>
      <c r="AL235" s="1273"/>
      <c r="AN235" s="1273"/>
    </row>
    <row r="236" spans="1:40">
      <c r="A236" s="555"/>
      <c r="B236" s="555"/>
      <c r="C236" s="555"/>
      <c r="D236" s="555"/>
      <c r="E236" s="555"/>
      <c r="F236" s="555"/>
      <c r="G236" s="555"/>
      <c r="H236" s="555"/>
      <c r="I236" s="555"/>
      <c r="J236" s="555"/>
      <c r="K236" s="555"/>
      <c r="L236" s="555"/>
      <c r="M236" s="555"/>
      <c r="N236" s="555"/>
      <c r="O236" s="555"/>
      <c r="P236" s="555"/>
      <c r="Q236" s="555"/>
      <c r="R236" s="555"/>
      <c r="S236" s="555"/>
      <c r="T236" s="555"/>
      <c r="U236" s="555"/>
      <c r="V236" s="555"/>
      <c r="W236" s="555"/>
      <c r="X236" s="548"/>
      <c r="Y236" s="555"/>
      <c r="Z236" s="548">
        <f t="shared" si="10"/>
        <v>25</v>
      </c>
      <c r="AA236" s="10" t="s">
        <v>2495</v>
      </c>
      <c r="AB236" t="s">
        <v>2496</v>
      </c>
      <c r="AC236" s="1683">
        <v>10449</v>
      </c>
      <c r="AD236" s="1683">
        <v>-47471</v>
      </c>
      <c r="AE236" s="1683"/>
      <c r="AF236" s="1683">
        <v>0</v>
      </c>
      <c r="AG236" s="1683">
        <v>0</v>
      </c>
      <c r="AH236" s="543">
        <f t="shared" si="11"/>
        <v>-57920</v>
      </c>
      <c r="AI236" s="555"/>
      <c r="AJ236" s="1273"/>
      <c r="AK236" s="1273"/>
      <c r="AL236" s="1273"/>
      <c r="AN236" s="1273"/>
    </row>
    <row r="237" spans="1:40">
      <c r="A237" s="555"/>
      <c r="B237" s="555"/>
      <c r="C237" s="555"/>
      <c r="D237" s="555"/>
      <c r="E237" s="555"/>
      <c r="F237" s="555"/>
      <c r="G237" s="555"/>
      <c r="H237" s="555"/>
      <c r="I237" s="555"/>
      <c r="J237" s="555"/>
      <c r="K237" s="555"/>
      <c r="L237" s="555"/>
      <c r="M237" s="555"/>
      <c r="N237" s="555"/>
      <c r="O237" s="555"/>
      <c r="P237" s="555"/>
      <c r="Q237" s="555"/>
      <c r="R237" s="555"/>
      <c r="S237" s="555"/>
      <c r="T237" s="555"/>
      <c r="U237" s="555"/>
      <c r="V237" s="555"/>
      <c r="W237" s="555"/>
      <c r="X237" s="548"/>
      <c r="Y237" s="555"/>
      <c r="Z237" s="548">
        <f t="shared" si="10"/>
        <v>26</v>
      </c>
      <c r="AA237" s="10" t="s">
        <v>2497</v>
      </c>
      <c r="AB237" t="s">
        <v>1201</v>
      </c>
      <c r="AC237" s="1683">
        <v>49042</v>
      </c>
      <c r="AD237" s="1683">
        <v>196169</v>
      </c>
      <c r="AE237" s="1683"/>
      <c r="AF237" s="1683">
        <v>0</v>
      </c>
      <c r="AG237" s="1683">
        <v>0</v>
      </c>
      <c r="AH237" s="543">
        <f t="shared" si="11"/>
        <v>147127</v>
      </c>
      <c r="AI237" s="555"/>
      <c r="AJ237" s="1273"/>
      <c r="AK237" s="1273"/>
      <c r="AL237" s="1273"/>
      <c r="AN237" s="1273"/>
    </row>
    <row r="238" spans="1:40">
      <c r="A238" s="555"/>
      <c r="B238" s="555"/>
      <c r="C238" s="555"/>
      <c r="D238" s="555"/>
      <c r="E238" s="555"/>
      <c r="F238" s="555"/>
      <c r="G238" s="555"/>
      <c r="H238" s="555"/>
      <c r="I238" s="555"/>
      <c r="J238" s="555"/>
      <c r="K238" s="555"/>
      <c r="L238" s="555"/>
      <c r="M238" s="555"/>
      <c r="N238" s="555"/>
      <c r="O238" s="555"/>
      <c r="P238" s="555"/>
      <c r="Q238" s="555"/>
      <c r="R238" s="555"/>
      <c r="S238" s="555"/>
      <c r="T238" s="555"/>
      <c r="U238" s="555"/>
      <c r="V238" s="555"/>
      <c r="W238" s="555"/>
      <c r="X238" s="548"/>
      <c r="Y238" s="555"/>
      <c r="Z238" s="548">
        <f t="shared" si="10"/>
        <v>27</v>
      </c>
      <c r="AA238" s="10" t="s">
        <v>2498</v>
      </c>
      <c r="AB238" t="s">
        <v>2499</v>
      </c>
      <c r="AC238" s="1683">
        <v>33333</v>
      </c>
      <c r="AD238" s="1683">
        <v>133331</v>
      </c>
      <c r="AE238" s="1683"/>
      <c r="AF238" s="1683">
        <v>66668</v>
      </c>
      <c r="AG238" s="1683">
        <v>33334</v>
      </c>
      <c r="AH238" s="543">
        <f t="shared" si="11"/>
        <v>200000</v>
      </c>
      <c r="AI238" s="555"/>
      <c r="AJ238" s="1273"/>
      <c r="AK238" s="1273"/>
      <c r="AL238" s="1273"/>
      <c r="AN238" s="1273"/>
    </row>
    <row r="239" spans="1:40">
      <c r="A239" s="555"/>
      <c r="B239" s="555"/>
      <c r="C239" s="555"/>
      <c r="D239" s="555"/>
      <c r="E239" s="555"/>
      <c r="F239" s="555"/>
      <c r="G239" s="555"/>
      <c r="H239" s="555"/>
      <c r="I239" s="555"/>
      <c r="J239" s="555"/>
      <c r="K239" s="555"/>
      <c r="L239" s="555"/>
      <c r="M239" s="555"/>
      <c r="N239" s="555"/>
      <c r="O239" s="555"/>
      <c r="P239" s="555"/>
      <c r="Q239" s="555"/>
      <c r="R239" s="555"/>
      <c r="S239" s="555"/>
      <c r="T239" s="555"/>
      <c r="U239" s="555"/>
      <c r="V239" s="555"/>
      <c r="W239" s="555"/>
      <c r="X239" s="548"/>
      <c r="Y239" s="555"/>
      <c r="Z239" s="548">
        <f t="shared" si="10"/>
        <v>28</v>
      </c>
      <c r="AA239" s="10" t="s">
        <v>2500</v>
      </c>
      <c r="AB239" t="s">
        <v>1202</v>
      </c>
      <c r="AC239" s="1683">
        <v>-32</v>
      </c>
      <c r="AD239" s="1683">
        <v>-127</v>
      </c>
      <c r="AE239" s="1683"/>
      <c r="AF239" s="1683">
        <v>0</v>
      </c>
      <c r="AG239" s="1683">
        <v>0</v>
      </c>
      <c r="AH239" s="543">
        <f t="shared" si="11"/>
        <v>-95</v>
      </c>
      <c r="AI239" s="555"/>
      <c r="AJ239" s="1273"/>
      <c r="AK239" s="1273"/>
      <c r="AL239" s="1273"/>
      <c r="AN239" s="1273"/>
    </row>
    <row r="240" spans="1:40">
      <c r="A240" s="555"/>
      <c r="B240" s="555"/>
      <c r="C240" s="555"/>
      <c r="D240" s="555"/>
      <c r="E240" s="555"/>
      <c r="F240" s="555"/>
      <c r="G240" s="555"/>
      <c r="H240" s="555"/>
      <c r="I240" s="555"/>
      <c r="J240" s="555"/>
      <c r="K240" s="555"/>
      <c r="L240" s="555"/>
      <c r="M240" s="555"/>
      <c r="N240" s="555"/>
      <c r="O240" s="555"/>
      <c r="P240" s="555"/>
      <c r="Q240" s="555"/>
      <c r="R240" s="555"/>
      <c r="S240" s="555"/>
      <c r="T240" s="555"/>
      <c r="U240" s="555"/>
      <c r="V240" s="555"/>
      <c r="W240" s="555"/>
      <c r="X240" s="548"/>
      <c r="Y240" s="555"/>
      <c r="Z240" s="548">
        <f t="shared" si="10"/>
        <v>29</v>
      </c>
      <c r="AA240" s="10" t="s">
        <v>2501</v>
      </c>
      <c r="AB240" t="s">
        <v>1203</v>
      </c>
      <c r="AC240" s="1683">
        <v>-399259</v>
      </c>
      <c r="AD240" s="1683">
        <v>-766509</v>
      </c>
      <c r="AE240" s="1683"/>
      <c r="AF240" s="1683">
        <v>0</v>
      </c>
      <c r="AG240" s="1683">
        <v>0</v>
      </c>
      <c r="AH240" s="543">
        <f t="shared" si="11"/>
        <v>-367250</v>
      </c>
      <c r="AI240" s="555"/>
      <c r="AJ240" s="1273"/>
      <c r="AK240" s="1273"/>
      <c r="AL240" s="1273"/>
      <c r="AN240" s="1273"/>
    </row>
    <row r="241" spans="1:40">
      <c r="A241" s="555"/>
      <c r="B241" s="555"/>
      <c r="C241" s="555"/>
      <c r="D241" s="555"/>
      <c r="E241" s="555"/>
      <c r="F241" s="555"/>
      <c r="G241" s="555"/>
      <c r="H241" s="555"/>
      <c r="I241" s="555"/>
      <c r="J241" s="555"/>
      <c r="K241" s="555"/>
      <c r="L241" s="555"/>
      <c r="M241" s="555"/>
      <c r="N241" s="555"/>
      <c r="O241" s="555"/>
      <c r="P241" s="555"/>
      <c r="Q241" s="555"/>
      <c r="R241" s="555"/>
      <c r="S241" s="555"/>
      <c r="T241" s="555"/>
      <c r="U241" s="555"/>
      <c r="V241" s="555"/>
      <c r="W241" s="555"/>
      <c r="X241" s="548"/>
      <c r="Y241" s="555"/>
      <c r="Z241" s="548">
        <f t="shared" si="10"/>
        <v>30</v>
      </c>
      <c r="AA241" s="10" t="s">
        <v>2502</v>
      </c>
      <c r="AB241" t="s">
        <v>1205</v>
      </c>
      <c r="AC241" s="1683">
        <v>-114572</v>
      </c>
      <c r="AD241" s="1683">
        <v>-362667</v>
      </c>
      <c r="AE241" s="1683"/>
      <c r="AF241" s="1683">
        <v>0</v>
      </c>
      <c r="AG241" s="1683">
        <v>0</v>
      </c>
      <c r="AH241" s="543">
        <f t="shared" si="11"/>
        <v>-248095</v>
      </c>
      <c r="AI241" s="555"/>
      <c r="AJ241" s="1273"/>
      <c r="AK241" s="1273"/>
      <c r="AL241" s="1273"/>
      <c r="AN241" s="1273"/>
    </row>
    <row r="242" spans="1:40">
      <c r="A242" s="555"/>
      <c r="B242" s="555"/>
      <c r="C242" s="555"/>
      <c r="D242" s="555"/>
      <c r="E242" s="555"/>
      <c r="F242" s="555"/>
      <c r="G242" s="555"/>
      <c r="H242" s="555"/>
      <c r="I242" s="555"/>
      <c r="J242" s="555"/>
      <c r="K242" s="555"/>
      <c r="L242" s="555"/>
      <c r="M242" s="555"/>
      <c r="N242" s="555"/>
      <c r="O242" s="555"/>
      <c r="P242" s="555"/>
      <c r="Q242" s="555"/>
      <c r="R242" s="555"/>
      <c r="S242" s="555"/>
      <c r="T242" s="555"/>
      <c r="U242" s="555"/>
      <c r="V242" s="555"/>
      <c r="W242" s="555"/>
      <c r="X242" s="548"/>
      <c r="Y242" s="555"/>
      <c r="Z242" s="548">
        <f t="shared" si="10"/>
        <v>31</v>
      </c>
      <c r="AA242" s="10" t="s">
        <v>2503</v>
      </c>
      <c r="AB242" t="s">
        <v>1206</v>
      </c>
      <c r="AC242" s="1683">
        <v>-35489</v>
      </c>
      <c r="AD242" s="1683">
        <v>-141160</v>
      </c>
      <c r="AE242" s="1683"/>
      <c r="AF242" s="1683">
        <v>0</v>
      </c>
      <c r="AG242" s="1683">
        <v>0</v>
      </c>
      <c r="AH242" s="543">
        <f t="shared" si="11"/>
        <v>-105671</v>
      </c>
      <c r="AI242" s="555"/>
      <c r="AJ242" s="1273"/>
      <c r="AK242" s="1273"/>
      <c r="AL242" s="1273"/>
      <c r="AN242" s="1273"/>
    </row>
    <row r="243" spans="1:40">
      <c r="A243" s="1922"/>
      <c r="B243" s="1922"/>
      <c r="C243" s="1922"/>
      <c r="D243" s="1922"/>
      <c r="E243" s="1922"/>
      <c r="F243" s="1922"/>
      <c r="G243" s="1922"/>
      <c r="H243" s="1922"/>
      <c r="I243" s="1922"/>
      <c r="J243" s="1922"/>
      <c r="K243" s="1922"/>
      <c r="L243" s="1922"/>
      <c r="M243" s="1922"/>
      <c r="N243" s="1922"/>
      <c r="O243" s="1922"/>
      <c r="P243" s="1922"/>
      <c r="Q243" s="1922"/>
      <c r="R243" s="1922"/>
      <c r="S243" s="1922"/>
      <c r="T243" s="1922"/>
      <c r="U243" s="1922"/>
      <c r="V243" s="1922"/>
      <c r="W243" s="1922"/>
      <c r="X243" s="771"/>
      <c r="Y243" s="1922"/>
      <c r="Z243" s="771">
        <f t="shared" si="10"/>
        <v>32</v>
      </c>
      <c r="AA243" s="10" t="s">
        <v>2504</v>
      </c>
      <c r="AB243" t="s">
        <v>1207</v>
      </c>
      <c r="AC243" s="1683">
        <v>0</v>
      </c>
      <c r="AD243" s="1683">
        <v>0</v>
      </c>
      <c r="AE243" s="1683"/>
      <c r="AF243" s="1683">
        <v>675250</v>
      </c>
      <c r="AG243" s="1683">
        <v>337625</v>
      </c>
      <c r="AH243" s="1923">
        <f>AD243-AC243+AF243+AG243</f>
        <v>1012875</v>
      </c>
      <c r="AI243" s="1922"/>
      <c r="AJ243" s="1924"/>
      <c r="AK243" s="1924"/>
      <c r="AL243" s="1924"/>
      <c r="AN243" s="1924"/>
    </row>
    <row r="244" spans="1:40">
      <c r="A244" s="555"/>
      <c r="B244" s="555"/>
      <c r="C244" s="555"/>
      <c r="D244" s="555"/>
      <c r="E244" s="555"/>
      <c r="F244" s="555"/>
      <c r="G244" s="555"/>
      <c r="H244" s="555"/>
      <c r="I244" s="555"/>
      <c r="J244" s="555"/>
      <c r="K244" s="555"/>
      <c r="L244" s="555"/>
      <c r="M244" s="555"/>
      <c r="N244" s="555"/>
      <c r="O244" s="555"/>
      <c r="P244" s="555"/>
      <c r="Q244" s="555"/>
      <c r="R244" s="555"/>
      <c r="S244" s="555"/>
      <c r="T244" s="555"/>
      <c r="U244" s="555"/>
      <c r="V244" s="555"/>
      <c r="W244" s="555"/>
      <c r="X244" s="548"/>
      <c r="Y244" s="555"/>
      <c r="Z244" s="548">
        <f t="shared" si="10"/>
        <v>33</v>
      </c>
      <c r="AA244" s="10" t="s">
        <v>2505</v>
      </c>
      <c r="AB244" t="s">
        <v>1208</v>
      </c>
      <c r="AC244" s="1683">
        <v>35035</v>
      </c>
      <c r="AD244" s="1683">
        <v>140140</v>
      </c>
      <c r="AE244" s="1683"/>
      <c r="AF244" s="1683">
        <v>70072</v>
      </c>
      <c r="AG244" s="1683">
        <v>35034</v>
      </c>
      <c r="AH244" s="543">
        <f t="shared" si="11"/>
        <v>210211</v>
      </c>
      <c r="AI244" s="555"/>
      <c r="AJ244" s="1273"/>
      <c r="AK244" s="1273"/>
      <c r="AL244" s="1273"/>
      <c r="AN244" s="1273"/>
    </row>
    <row r="245" spans="1:40">
      <c r="A245" s="555"/>
      <c r="B245" s="555"/>
      <c r="C245" s="555"/>
      <c r="D245" s="555"/>
      <c r="E245" s="555"/>
      <c r="F245" s="555"/>
      <c r="G245" s="555"/>
      <c r="H245" s="555"/>
      <c r="I245" s="555"/>
      <c r="J245" s="555"/>
      <c r="K245" s="555"/>
      <c r="L245" s="555"/>
      <c r="M245" s="555"/>
      <c r="N245" s="555"/>
      <c r="O245" s="555"/>
      <c r="P245" s="555"/>
      <c r="Q245" s="555"/>
      <c r="R245" s="555"/>
      <c r="S245" s="555"/>
      <c r="T245" s="555"/>
      <c r="U245" s="555"/>
      <c r="V245" s="555"/>
      <c r="W245" s="555"/>
      <c r="X245" s="548"/>
      <c r="Y245" s="555"/>
      <c r="Z245" s="548">
        <f t="shared" ref="Z245:Z276" si="12">Z244+1</f>
        <v>34</v>
      </c>
      <c r="AA245" s="10" t="s">
        <v>2506</v>
      </c>
      <c r="AB245" t="s">
        <v>1209</v>
      </c>
      <c r="AC245" s="1683">
        <v>61431</v>
      </c>
      <c r="AD245" s="1683">
        <v>245725</v>
      </c>
      <c r="AE245" s="1683"/>
      <c r="AF245" s="1683">
        <v>0</v>
      </c>
      <c r="AG245" s="1683">
        <v>0</v>
      </c>
      <c r="AH245" s="543">
        <f t="shared" si="11"/>
        <v>184294</v>
      </c>
      <c r="AI245" s="555"/>
      <c r="AJ245" s="1273"/>
      <c r="AK245" s="1273"/>
      <c r="AL245" s="1273"/>
      <c r="AN245" s="1273"/>
    </row>
    <row r="246" spans="1:40">
      <c r="A246" s="555"/>
      <c r="B246" s="555"/>
      <c r="C246" s="555"/>
      <c r="D246" s="555"/>
      <c r="E246" s="555"/>
      <c r="F246" s="555"/>
      <c r="G246" s="555"/>
      <c r="H246" s="555"/>
      <c r="I246" s="555"/>
      <c r="J246" s="555"/>
      <c r="K246" s="555"/>
      <c r="L246" s="555"/>
      <c r="M246" s="555"/>
      <c r="N246" s="555"/>
      <c r="O246" s="555"/>
      <c r="P246" s="555"/>
      <c r="Q246" s="555"/>
      <c r="R246" s="555"/>
      <c r="S246" s="555"/>
      <c r="T246" s="555"/>
      <c r="U246" s="555"/>
      <c r="V246" s="555"/>
      <c r="W246" s="555"/>
      <c r="X246" s="548"/>
      <c r="Y246" s="555"/>
      <c r="Z246" s="548">
        <f t="shared" si="12"/>
        <v>35</v>
      </c>
      <c r="AA246" s="10" t="s">
        <v>2507</v>
      </c>
      <c r="AB246" t="s">
        <v>2508</v>
      </c>
      <c r="AC246" s="1683">
        <v>337624</v>
      </c>
      <c r="AD246" s="1683">
        <v>1350496</v>
      </c>
      <c r="AE246" s="1683"/>
      <c r="AF246" s="1683">
        <v>-17384</v>
      </c>
      <c r="AG246" s="1683">
        <v>-42882</v>
      </c>
      <c r="AH246" s="543">
        <f t="shared" si="11"/>
        <v>952606</v>
      </c>
      <c r="AI246" s="555"/>
      <c r="AJ246" s="1273"/>
      <c r="AK246" s="1273"/>
      <c r="AL246" s="1273"/>
      <c r="AN246" s="1273"/>
    </row>
    <row r="247" spans="1:40">
      <c r="A247" s="555"/>
      <c r="B247" s="555"/>
      <c r="C247" s="555"/>
      <c r="D247" s="555"/>
      <c r="E247" s="555"/>
      <c r="F247" s="555"/>
      <c r="G247" s="555"/>
      <c r="H247" s="555"/>
      <c r="I247" s="555"/>
      <c r="J247" s="555"/>
      <c r="K247" s="555"/>
      <c r="L247" s="555"/>
      <c r="M247" s="555"/>
      <c r="N247" s="555"/>
      <c r="O247" s="555"/>
      <c r="P247" s="555"/>
      <c r="Q247" s="555"/>
      <c r="R247" s="555"/>
      <c r="S247" s="555"/>
      <c r="T247" s="555"/>
      <c r="U247" s="555"/>
      <c r="V247" s="555"/>
      <c r="W247" s="555"/>
      <c r="X247" s="548"/>
      <c r="Y247" s="555"/>
      <c r="Z247" s="548">
        <f t="shared" si="12"/>
        <v>36</v>
      </c>
      <c r="AA247" s="10" t="s">
        <v>2509</v>
      </c>
      <c r="AB247" t="s">
        <v>2510</v>
      </c>
      <c r="AC247" s="1683">
        <v>15249</v>
      </c>
      <c r="AD247" s="1683">
        <v>71776</v>
      </c>
      <c r="AE247" s="1683"/>
      <c r="AF247" s="1683">
        <v>0</v>
      </c>
      <c r="AG247" s="1683">
        <v>0</v>
      </c>
      <c r="AH247" s="543">
        <f t="shared" si="11"/>
        <v>56527</v>
      </c>
      <c r="AI247" s="555"/>
      <c r="AJ247" s="1273"/>
      <c r="AK247" s="1273"/>
      <c r="AL247" s="1273"/>
      <c r="AN247" s="1273"/>
    </row>
    <row r="248" spans="1:40">
      <c r="A248" s="555"/>
      <c r="B248" s="555"/>
      <c r="C248" s="555"/>
      <c r="D248" s="555"/>
      <c r="E248" s="555"/>
      <c r="F248" s="555"/>
      <c r="G248" s="555"/>
      <c r="H248" s="555"/>
      <c r="I248" s="555"/>
      <c r="J248" s="555"/>
      <c r="K248" s="555"/>
      <c r="L248" s="555"/>
      <c r="M248" s="555"/>
      <c r="N248" s="555"/>
      <c r="O248" s="555"/>
      <c r="P248" s="555"/>
      <c r="Q248" s="555"/>
      <c r="R248" s="555"/>
      <c r="S248" s="555"/>
      <c r="T248" s="555"/>
      <c r="U248" s="555"/>
      <c r="V248" s="555"/>
      <c r="W248" s="555"/>
      <c r="X248" s="548"/>
      <c r="Y248" s="555"/>
      <c r="Z248" s="548">
        <f t="shared" si="12"/>
        <v>37</v>
      </c>
      <c r="AA248" s="10" t="s">
        <v>2511</v>
      </c>
      <c r="AB248" t="s">
        <v>1179</v>
      </c>
      <c r="AC248" s="1683">
        <v>-11968</v>
      </c>
      <c r="AD248" s="1683">
        <v>-40448</v>
      </c>
      <c r="AE248" s="1683"/>
      <c r="AF248" s="1683">
        <v>0</v>
      </c>
      <c r="AG248" s="1683">
        <v>0</v>
      </c>
      <c r="AH248" s="543">
        <f t="shared" si="11"/>
        <v>-28480</v>
      </c>
      <c r="AI248" s="555"/>
      <c r="AJ248" s="1273"/>
      <c r="AK248" s="1273"/>
      <c r="AL248" s="1273"/>
      <c r="AN248" s="1273"/>
    </row>
    <row r="249" spans="1:40">
      <c r="A249" s="555"/>
      <c r="B249" s="555"/>
      <c r="C249" s="555"/>
      <c r="D249" s="555"/>
      <c r="E249" s="555"/>
      <c r="F249" s="555"/>
      <c r="G249" s="555"/>
      <c r="H249" s="555"/>
      <c r="I249" s="555"/>
      <c r="J249" s="555"/>
      <c r="K249" s="555"/>
      <c r="L249" s="555"/>
      <c r="M249" s="555"/>
      <c r="N249" s="555"/>
      <c r="O249" s="555"/>
      <c r="P249" s="555"/>
      <c r="Q249" s="555"/>
      <c r="R249" s="555"/>
      <c r="S249" s="555"/>
      <c r="T249" s="555"/>
      <c r="U249" s="555"/>
      <c r="V249" s="555"/>
      <c r="W249" s="555"/>
      <c r="X249" s="548"/>
      <c r="Y249" s="555"/>
      <c r="Z249" s="548">
        <f t="shared" si="12"/>
        <v>38</v>
      </c>
      <c r="AA249" s="10" t="s">
        <v>2512</v>
      </c>
      <c r="AB249" t="s">
        <v>1184</v>
      </c>
      <c r="AC249" s="1683">
        <v>-144065</v>
      </c>
      <c r="AD249" s="1683">
        <v>-288129</v>
      </c>
      <c r="AE249" s="1683"/>
      <c r="AF249" s="1683">
        <v>0</v>
      </c>
      <c r="AG249" s="1683">
        <v>0</v>
      </c>
      <c r="AH249" s="543">
        <f t="shared" si="11"/>
        <v>-144064</v>
      </c>
      <c r="AI249" s="555"/>
      <c r="AJ249" s="1273"/>
      <c r="AK249" s="1273"/>
      <c r="AL249" s="1273"/>
      <c r="AN249" s="1273"/>
    </row>
    <row r="250" spans="1:40">
      <c r="A250" s="555"/>
      <c r="B250" s="555"/>
      <c r="C250" s="555"/>
      <c r="D250" s="555"/>
      <c r="E250" s="555"/>
      <c r="F250" s="555"/>
      <c r="G250" s="555"/>
      <c r="H250" s="555"/>
      <c r="I250" s="555"/>
      <c r="J250" s="555"/>
      <c r="K250" s="555"/>
      <c r="L250" s="555"/>
      <c r="M250" s="555"/>
      <c r="N250" s="555"/>
      <c r="O250" s="555"/>
      <c r="P250" s="555"/>
      <c r="Q250" s="555"/>
      <c r="R250" s="555"/>
      <c r="S250" s="555"/>
      <c r="T250" s="555"/>
      <c r="U250" s="555"/>
      <c r="V250" s="555"/>
      <c r="W250" s="555"/>
      <c r="X250" s="771"/>
      <c r="Y250" s="555"/>
      <c r="Z250" s="548">
        <f t="shared" si="12"/>
        <v>39</v>
      </c>
      <c r="AA250" s="10" t="s">
        <v>2513</v>
      </c>
      <c r="AB250" t="s">
        <v>1181</v>
      </c>
      <c r="AC250" s="1683">
        <v>724733</v>
      </c>
      <c r="AD250" s="1683">
        <v>1375048</v>
      </c>
      <c r="AE250" s="1683"/>
      <c r="AF250" s="1683">
        <v>0</v>
      </c>
      <c r="AG250" s="1683">
        <v>0</v>
      </c>
      <c r="AH250" s="543">
        <f t="shared" si="11"/>
        <v>650315</v>
      </c>
      <c r="AI250" s="555"/>
      <c r="AJ250" s="1273"/>
      <c r="AK250" s="1273"/>
      <c r="AL250" s="1273"/>
      <c r="AN250" s="1273"/>
    </row>
    <row r="251" spans="1:40">
      <c r="A251" s="1922"/>
      <c r="B251" s="1922"/>
      <c r="C251" s="1922"/>
      <c r="D251" s="1922"/>
      <c r="E251" s="1922"/>
      <c r="F251" s="1922"/>
      <c r="G251" s="1922"/>
      <c r="H251" s="1922"/>
      <c r="I251" s="1922"/>
      <c r="J251" s="1922"/>
      <c r="K251" s="1922"/>
      <c r="L251" s="1922"/>
      <c r="M251" s="1922"/>
      <c r="N251" s="1922"/>
      <c r="O251" s="1922"/>
      <c r="P251" s="1922"/>
      <c r="Q251" s="1922"/>
      <c r="R251" s="1922"/>
      <c r="S251" s="1922"/>
      <c r="T251" s="1922"/>
      <c r="U251" s="1922"/>
      <c r="V251" s="1922"/>
      <c r="W251" s="1922"/>
      <c r="X251" s="771"/>
      <c r="Y251" s="1922"/>
      <c r="Z251" s="771">
        <f t="shared" si="12"/>
        <v>40</v>
      </c>
      <c r="AA251" s="10" t="s">
        <v>2514</v>
      </c>
      <c r="AB251" t="s">
        <v>1182</v>
      </c>
      <c r="AC251" s="1683">
        <v>6278</v>
      </c>
      <c r="AD251" s="1683">
        <v>11568</v>
      </c>
      <c r="AE251" s="1683"/>
      <c r="AF251" s="1683">
        <v>0</v>
      </c>
      <c r="AG251" s="1683">
        <v>0</v>
      </c>
      <c r="AH251" s="1923">
        <f>AD251-AC251+AF251+AG251</f>
        <v>5290</v>
      </c>
      <c r="AI251" s="1922"/>
      <c r="AJ251" s="1924"/>
      <c r="AK251" s="1924"/>
      <c r="AL251" s="1924"/>
      <c r="AN251" s="1924"/>
    </row>
    <row r="252" spans="1:40">
      <c r="A252" s="555"/>
      <c r="B252" s="555"/>
      <c r="C252" s="555"/>
      <c r="D252" s="555"/>
      <c r="E252" s="555"/>
      <c r="F252" s="555"/>
      <c r="G252" s="555"/>
      <c r="H252" s="555"/>
      <c r="I252" s="555"/>
      <c r="J252" s="555"/>
      <c r="K252" s="555"/>
      <c r="L252" s="555"/>
      <c r="M252" s="555"/>
      <c r="N252" s="555"/>
      <c r="O252" s="555"/>
      <c r="P252" s="555"/>
      <c r="Q252" s="555"/>
      <c r="R252" s="555"/>
      <c r="S252" s="555"/>
      <c r="T252" s="555"/>
      <c r="U252" s="555"/>
      <c r="V252" s="555"/>
      <c r="W252" s="555"/>
      <c r="X252" s="548"/>
      <c r="Y252" s="555"/>
      <c r="Z252" s="548">
        <f t="shared" si="12"/>
        <v>41</v>
      </c>
      <c r="AA252" s="10" t="s">
        <v>2515</v>
      </c>
      <c r="AB252" t="s">
        <v>1211</v>
      </c>
      <c r="AC252" s="1683">
        <v>-123749</v>
      </c>
      <c r="AD252" s="1683">
        <v>-666357</v>
      </c>
      <c r="AE252" s="1683"/>
      <c r="AF252" s="1683">
        <v>0</v>
      </c>
      <c r="AG252" s="1683">
        <v>0</v>
      </c>
      <c r="AH252" s="543">
        <f t="shared" si="11"/>
        <v>-542608</v>
      </c>
      <c r="AI252" s="555"/>
      <c r="AJ252" s="1273"/>
      <c r="AK252" s="1273"/>
      <c r="AL252" s="1273"/>
      <c r="AN252" s="1273"/>
    </row>
    <row r="253" spans="1:40">
      <c r="A253" s="555"/>
      <c r="B253" s="555"/>
      <c r="C253" s="555"/>
      <c r="D253" s="555"/>
      <c r="E253" s="555"/>
      <c r="F253" s="555"/>
      <c r="G253" s="555"/>
      <c r="H253" s="555"/>
      <c r="I253" s="555"/>
      <c r="J253" s="555"/>
      <c r="K253" s="555"/>
      <c r="L253" s="555"/>
      <c r="M253" s="555"/>
      <c r="N253" s="555"/>
      <c r="O253" s="555"/>
      <c r="P253" s="555"/>
      <c r="Q253" s="555"/>
      <c r="R253" s="555"/>
      <c r="S253" s="555"/>
      <c r="T253" s="555"/>
      <c r="U253" s="555"/>
      <c r="V253" s="555"/>
      <c r="W253" s="555"/>
      <c r="X253" s="548"/>
      <c r="Y253" s="555"/>
      <c r="Z253" s="548">
        <f t="shared" si="12"/>
        <v>42</v>
      </c>
      <c r="AA253" s="10" t="s">
        <v>2516</v>
      </c>
      <c r="AB253" t="s">
        <v>2517</v>
      </c>
      <c r="AC253" s="1683">
        <v>692805</v>
      </c>
      <c r="AD253" s="1683">
        <v>2784232</v>
      </c>
      <c r="AE253" s="1683"/>
      <c r="AF253" s="1683">
        <v>1651400</v>
      </c>
      <c r="AG253" s="1683">
        <v>825700</v>
      </c>
      <c r="AH253" s="543">
        <f t="shared" si="11"/>
        <v>4568527</v>
      </c>
      <c r="AI253" s="555"/>
      <c r="AJ253" s="1273"/>
      <c r="AK253" s="1273"/>
      <c r="AL253" s="1273"/>
      <c r="AN253" s="1273"/>
    </row>
    <row r="254" spans="1:40">
      <c r="A254" s="555"/>
      <c r="B254" s="555"/>
      <c r="C254" s="555"/>
      <c r="D254" s="555"/>
      <c r="E254" s="555"/>
      <c r="F254" s="555"/>
      <c r="G254" s="555"/>
      <c r="H254" s="555"/>
      <c r="I254" s="555"/>
      <c r="J254" s="555"/>
      <c r="K254" s="555"/>
      <c r="L254" s="555"/>
      <c r="M254" s="555"/>
      <c r="N254" s="555"/>
      <c r="O254" s="555"/>
      <c r="P254" s="555"/>
      <c r="Q254" s="555"/>
      <c r="R254" s="555"/>
      <c r="S254" s="555"/>
      <c r="T254" s="555"/>
      <c r="U254" s="555"/>
      <c r="V254" s="555"/>
      <c r="W254" s="555"/>
      <c r="X254" s="771"/>
      <c r="Y254" s="555"/>
      <c r="Z254" s="548">
        <f t="shared" si="12"/>
        <v>43</v>
      </c>
      <c r="AA254" s="10" t="s">
        <v>2518</v>
      </c>
      <c r="AB254" t="s">
        <v>2519</v>
      </c>
      <c r="AC254" s="1683">
        <v>11305</v>
      </c>
      <c r="AD254" s="1683">
        <v>45223</v>
      </c>
      <c r="AE254" s="1683"/>
      <c r="AF254" s="1683">
        <v>0</v>
      </c>
      <c r="AG254" s="1683">
        <v>0</v>
      </c>
      <c r="AH254" s="543">
        <f t="shared" si="11"/>
        <v>33918</v>
      </c>
      <c r="AI254" s="555"/>
      <c r="AJ254" s="1273"/>
      <c r="AK254" s="1273"/>
      <c r="AL254" s="1273"/>
      <c r="AN254" s="1273"/>
    </row>
    <row r="255" spans="1:40">
      <c r="A255" s="555"/>
      <c r="B255" s="555"/>
      <c r="C255" s="555"/>
      <c r="D255" s="555"/>
      <c r="E255" s="555"/>
      <c r="F255" s="555"/>
      <c r="G255" s="555"/>
      <c r="H255" s="555"/>
      <c r="I255" s="555"/>
      <c r="J255" s="555"/>
      <c r="K255" s="555"/>
      <c r="L255" s="555"/>
      <c r="M255" s="555"/>
      <c r="N255" s="555"/>
      <c r="O255" s="555"/>
      <c r="P255" s="555"/>
      <c r="Q255" s="555"/>
      <c r="R255" s="555"/>
      <c r="S255" s="555"/>
      <c r="T255" s="555"/>
      <c r="U255" s="555"/>
      <c r="V255" s="555"/>
      <c r="W255" s="555"/>
      <c r="X255" s="771"/>
      <c r="Y255" s="555"/>
      <c r="Z255" s="548">
        <f t="shared" si="12"/>
        <v>44</v>
      </c>
      <c r="AA255" s="10" t="s">
        <v>2520</v>
      </c>
      <c r="AB255" t="s">
        <v>1185</v>
      </c>
      <c r="AC255" s="1683">
        <v>604441</v>
      </c>
      <c r="AD255" s="1683">
        <v>2656785</v>
      </c>
      <c r="AE255" s="1683"/>
      <c r="AF255" s="1683">
        <v>0</v>
      </c>
      <c r="AG255" s="1683">
        <v>0</v>
      </c>
      <c r="AH255" s="543">
        <f t="shared" si="11"/>
        <v>2052344</v>
      </c>
      <c r="AI255" s="555"/>
      <c r="AJ255" s="1273"/>
      <c r="AK255" s="1273"/>
      <c r="AL255" s="1273"/>
      <c r="AN255" s="1273"/>
    </row>
    <row r="256" spans="1:40">
      <c r="A256" s="555"/>
      <c r="B256" s="555"/>
      <c r="C256" s="555"/>
      <c r="D256" s="555"/>
      <c r="E256" s="555"/>
      <c r="F256" s="555"/>
      <c r="G256" s="555"/>
      <c r="H256" s="555"/>
      <c r="I256" s="555"/>
      <c r="J256" s="555"/>
      <c r="K256" s="555"/>
      <c r="L256" s="555"/>
      <c r="M256" s="555"/>
      <c r="N256" s="555"/>
      <c r="O256" s="555"/>
      <c r="P256" s="555"/>
      <c r="Q256" s="555"/>
      <c r="R256" s="555"/>
      <c r="S256" s="555"/>
      <c r="T256" s="555"/>
      <c r="U256" s="555"/>
      <c r="V256" s="555"/>
      <c r="W256" s="555"/>
      <c r="X256" s="548"/>
      <c r="Y256" s="555"/>
      <c r="Z256" s="548">
        <f t="shared" si="12"/>
        <v>45</v>
      </c>
      <c r="AA256" s="10" t="s">
        <v>2521</v>
      </c>
      <c r="AB256" t="s">
        <v>1187</v>
      </c>
      <c r="AC256" s="1683">
        <v>-58447</v>
      </c>
      <c r="AD256" s="1683">
        <v>-2361029</v>
      </c>
      <c r="AE256" s="1683"/>
      <c r="AF256" s="1683">
        <v>0</v>
      </c>
      <c r="AG256" s="1683">
        <v>0</v>
      </c>
      <c r="AH256" s="543">
        <f t="shared" si="11"/>
        <v>-2302582</v>
      </c>
      <c r="AI256" s="555"/>
      <c r="AJ256" s="1273"/>
      <c r="AK256" s="1273"/>
      <c r="AL256" s="1273"/>
      <c r="AN256" s="1273"/>
    </row>
    <row r="257" spans="1:40">
      <c r="A257" s="555"/>
      <c r="B257" s="555"/>
      <c r="C257" s="555"/>
      <c r="D257" s="555"/>
      <c r="E257" s="555"/>
      <c r="F257" s="555"/>
      <c r="G257" s="555"/>
      <c r="H257" s="555"/>
      <c r="I257" s="555"/>
      <c r="J257" s="555"/>
      <c r="K257" s="555"/>
      <c r="L257" s="555"/>
      <c r="M257" s="555"/>
      <c r="N257" s="555"/>
      <c r="O257" s="555"/>
      <c r="P257" s="555"/>
      <c r="Q257" s="555"/>
      <c r="R257" s="555"/>
      <c r="S257" s="555"/>
      <c r="T257" s="555"/>
      <c r="U257" s="555"/>
      <c r="V257" s="555"/>
      <c r="W257" s="555"/>
      <c r="X257" s="548"/>
      <c r="Y257" s="555"/>
      <c r="Z257" s="548">
        <f t="shared" si="12"/>
        <v>46</v>
      </c>
      <c r="AA257" s="10" t="s">
        <v>2522</v>
      </c>
      <c r="AB257" t="s">
        <v>1213</v>
      </c>
      <c r="AC257" s="1683">
        <v>-9365</v>
      </c>
      <c r="AD257" s="1683">
        <v>-35860</v>
      </c>
      <c r="AE257" s="1683"/>
      <c r="AF257" s="1683">
        <v>0</v>
      </c>
      <c r="AG257" s="1683">
        <v>0</v>
      </c>
      <c r="AH257" s="543">
        <f t="shared" si="11"/>
        <v>-26495</v>
      </c>
      <c r="AI257" s="555"/>
      <c r="AJ257" s="1273"/>
      <c r="AK257" s="1273"/>
      <c r="AL257" s="1273"/>
      <c r="AN257" s="1273"/>
    </row>
    <row r="258" spans="1:40">
      <c r="A258" s="555"/>
      <c r="B258" s="555"/>
      <c r="C258" s="555"/>
      <c r="D258" s="555"/>
      <c r="E258" s="555"/>
      <c r="F258" s="555"/>
      <c r="G258" s="555"/>
      <c r="H258" s="555"/>
      <c r="I258" s="555"/>
      <c r="J258" s="555"/>
      <c r="K258" s="555"/>
      <c r="L258" s="555"/>
      <c r="M258" s="555"/>
      <c r="N258" s="555"/>
      <c r="O258" s="555"/>
      <c r="P258" s="555"/>
      <c r="Q258" s="555"/>
      <c r="R258" s="555"/>
      <c r="S258" s="555"/>
      <c r="T258" s="555"/>
      <c r="U258" s="555"/>
      <c r="V258" s="555"/>
      <c r="W258" s="555"/>
      <c r="X258" s="548"/>
      <c r="Y258" s="555"/>
      <c r="Z258" s="548">
        <f t="shared" si="12"/>
        <v>47</v>
      </c>
      <c r="AA258" s="10" t="s">
        <v>2523</v>
      </c>
      <c r="AB258" t="s">
        <v>1214</v>
      </c>
      <c r="AC258" s="1683">
        <v>-373959</v>
      </c>
      <c r="AD258" s="1683">
        <v>-1495833</v>
      </c>
      <c r="AE258" s="1683"/>
      <c r="AF258" s="1683">
        <v>0</v>
      </c>
      <c r="AG258" s="1683">
        <v>0</v>
      </c>
      <c r="AH258" s="543">
        <f t="shared" si="11"/>
        <v>-1121874</v>
      </c>
      <c r="AI258" s="555"/>
      <c r="AJ258" s="1273"/>
      <c r="AK258" s="1273"/>
      <c r="AL258" s="1273"/>
      <c r="AN258" s="1273"/>
    </row>
    <row r="259" spans="1:40">
      <c r="A259" s="555"/>
      <c r="B259" s="555"/>
      <c r="C259" s="555"/>
      <c r="D259" s="555"/>
      <c r="E259" s="555"/>
      <c r="F259" s="555"/>
      <c r="G259" s="555"/>
      <c r="H259" s="555"/>
      <c r="I259" s="555"/>
      <c r="J259" s="555"/>
      <c r="K259" s="555"/>
      <c r="L259" s="555"/>
      <c r="M259" s="555"/>
      <c r="N259" s="555"/>
      <c r="O259" s="555"/>
      <c r="P259" s="555"/>
      <c r="Q259" s="555"/>
      <c r="R259" s="555"/>
      <c r="S259" s="555"/>
      <c r="T259" s="555"/>
      <c r="U259" s="555"/>
      <c r="V259" s="555"/>
      <c r="W259" s="555"/>
      <c r="X259" s="771"/>
      <c r="Y259" s="555"/>
      <c r="Z259" s="548">
        <f t="shared" si="12"/>
        <v>48</v>
      </c>
      <c r="AA259" s="10" t="s">
        <v>2524</v>
      </c>
      <c r="AB259" t="s">
        <v>1188</v>
      </c>
      <c r="AC259" s="1683">
        <v>278320</v>
      </c>
      <c r="AD259" s="1683">
        <v>1113280</v>
      </c>
      <c r="AE259" s="1683"/>
      <c r="AF259" s="1683">
        <v>-382316</v>
      </c>
      <c r="AG259" s="1683">
        <v>-63644</v>
      </c>
      <c r="AH259" s="543">
        <f t="shared" si="11"/>
        <v>389000</v>
      </c>
      <c r="AI259" s="555"/>
      <c r="AJ259" s="1273"/>
      <c r="AK259" s="1273"/>
      <c r="AL259" s="1273"/>
      <c r="AN259" s="1273"/>
    </row>
    <row r="260" spans="1:40">
      <c r="A260" s="555"/>
      <c r="B260" s="555"/>
      <c r="C260" s="555"/>
      <c r="D260" s="555"/>
      <c r="E260" s="555"/>
      <c r="F260" s="555"/>
      <c r="G260" s="555"/>
      <c r="H260" s="555"/>
      <c r="I260" s="555"/>
      <c r="J260" s="555"/>
      <c r="K260" s="555"/>
      <c r="L260" s="555"/>
      <c r="M260" s="555"/>
      <c r="N260" s="555"/>
      <c r="O260" s="555"/>
      <c r="P260" s="555"/>
      <c r="Q260" s="555"/>
      <c r="R260" s="555"/>
      <c r="S260" s="555"/>
      <c r="T260" s="555"/>
      <c r="U260" s="555"/>
      <c r="V260" s="555"/>
      <c r="W260" s="555"/>
      <c r="X260" s="548"/>
      <c r="Y260" s="555"/>
      <c r="Z260" s="548">
        <f t="shared" si="12"/>
        <v>49</v>
      </c>
      <c r="AA260" s="10" t="s">
        <v>2525</v>
      </c>
      <c r="AB260" t="s">
        <v>1190</v>
      </c>
      <c r="AC260" s="1683">
        <v>0</v>
      </c>
      <c r="AD260" s="1683">
        <v>0</v>
      </c>
      <c r="AE260" s="1683"/>
      <c r="AF260" s="1683">
        <v>-1567346</v>
      </c>
      <c r="AG260" s="1683">
        <v>0</v>
      </c>
      <c r="AH260" s="543">
        <f t="shared" si="11"/>
        <v>-1567346</v>
      </c>
      <c r="AI260" s="555"/>
      <c r="AJ260" s="1273"/>
      <c r="AK260" s="1273"/>
      <c r="AL260" s="1273"/>
      <c r="AN260" s="1273"/>
    </row>
    <row r="261" spans="1:40">
      <c r="A261" s="555"/>
      <c r="B261" s="555"/>
      <c r="C261" s="555"/>
      <c r="D261" s="555"/>
      <c r="E261" s="555"/>
      <c r="F261" s="555"/>
      <c r="G261" s="555"/>
      <c r="H261" s="555"/>
      <c r="I261" s="555"/>
      <c r="J261" s="555"/>
      <c r="K261" s="555"/>
      <c r="L261" s="555"/>
      <c r="M261" s="555"/>
      <c r="N261" s="555"/>
      <c r="O261" s="555"/>
      <c r="P261" s="555"/>
      <c r="Q261" s="555"/>
      <c r="R261" s="555"/>
      <c r="S261" s="555"/>
      <c r="T261" s="555"/>
      <c r="U261" s="555"/>
      <c r="V261" s="555"/>
      <c r="W261" s="555"/>
      <c r="X261" s="548"/>
      <c r="Y261" s="555"/>
      <c r="Z261" s="548">
        <f t="shared" si="12"/>
        <v>50</v>
      </c>
      <c r="AA261" s="10" t="s">
        <v>2526</v>
      </c>
      <c r="AB261" t="s">
        <v>1191</v>
      </c>
      <c r="AC261" s="1683">
        <v>-3413</v>
      </c>
      <c r="AD261" s="1683">
        <v>-6825</v>
      </c>
      <c r="AE261" s="1683"/>
      <c r="AF261" s="1683">
        <v>0</v>
      </c>
      <c r="AG261" s="1683">
        <v>0</v>
      </c>
      <c r="AH261" s="543">
        <f t="shared" si="11"/>
        <v>-3412</v>
      </c>
      <c r="AI261" s="555"/>
      <c r="AJ261" s="1273"/>
      <c r="AK261" s="1273"/>
      <c r="AL261" s="1273"/>
      <c r="AN261" s="1273"/>
    </row>
    <row r="262" spans="1:40">
      <c r="A262" s="555"/>
      <c r="B262" s="555"/>
      <c r="C262" s="555"/>
      <c r="D262" s="555"/>
      <c r="E262" s="555"/>
      <c r="F262" s="555"/>
      <c r="G262" s="555"/>
      <c r="H262" s="555"/>
      <c r="I262" s="555"/>
      <c r="J262" s="555"/>
      <c r="K262" s="555"/>
      <c r="L262" s="555"/>
      <c r="M262" s="555"/>
      <c r="N262" s="555"/>
      <c r="O262" s="555"/>
      <c r="P262" s="555"/>
      <c r="Q262" s="555"/>
      <c r="R262" s="555"/>
      <c r="S262" s="555"/>
      <c r="T262" s="555"/>
      <c r="U262" s="555"/>
      <c r="V262" s="555"/>
      <c r="W262" s="555"/>
      <c r="X262" s="548"/>
      <c r="Y262" s="555"/>
      <c r="Z262" s="548">
        <f t="shared" si="12"/>
        <v>51</v>
      </c>
      <c r="AA262" s="10" t="s">
        <v>2527</v>
      </c>
      <c r="AB262" t="s">
        <v>1192</v>
      </c>
      <c r="AC262" s="1683">
        <v>-45547</v>
      </c>
      <c r="AD262" s="1683">
        <v>62756</v>
      </c>
      <c r="AE262" s="1683"/>
      <c r="AF262" s="1683">
        <v>0</v>
      </c>
      <c r="AG262" s="1683">
        <v>0</v>
      </c>
      <c r="AH262" s="543">
        <f t="shared" si="11"/>
        <v>108303</v>
      </c>
      <c r="AI262" s="555"/>
      <c r="AJ262" s="1273"/>
      <c r="AK262" s="1273"/>
      <c r="AL262" s="1273"/>
      <c r="AN262" s="1273"/>
    </row>
    <row r="263" spans="1:40">
      <c r="A263" s="555"/>
      <c r="B263" s="555"/>
      <c r="C263" s="555"/>
      <c r="D263" s="555"/>
      <c r="E263" s="555"/>
      <c r="F263" s="555"/>
      <c r="G263" s="555"/>
      <c r="H263" s="555"/>
      <c r="I263" s="555"/>
      <c r="J263" s="555"/>
      <c r="K263" s="555"/>
      <c r="L263" s="555"/>
      <c r="M263" s="555"/>
      <c r="N263" s="555"/>
      <c r="O263" s="555"/>
      <c r="P263" s="555"/>
      <c r="Q263" s="555"/>
      <c r="R263" s="555"/>
      <c r="S263" s="555"/>
      <c r="T263" s="555"/>
      <c r="U263" s="555"/>
      <c r="V263" s="555"/>
      <c r="W263" s="555"/>
      <c r="X263" s="548"/>
      <c r="Y263" s="555"/>
      <c r="Z263" s="548">
        <f t="shared" si="12"/>
        <v>52</v>
      </c>
      <c r="AA263" s="10" t="s">
        <v>2528</v>
      </c>
      <c r="AB263" t="s">
        <v>1193</v>
      </c>
      <c r="AC263" s="1683">
        <v>-5839</v>
      </c>
      <c r="AD263" s="1683">
        <v>19631</v>
      </c>
      <c r="AE263" s="1683"/>
      <c r="AF263" s="1683">
        <v>0</v>
      </c>
      <c r="AG263" s="1683">
        <v>0</v>
      </c>
      <c r="AH263" s="543">
        <f t="shared" si="11"/>
        <v>25470</v>
      </c>
      <c r="AI263" s="555"/>
      <c r="AJ263" s="1273"/>
      <c r="AK263" s="1273"/>
      <c r="AL263" s="1273"/>
      <c r="AN263" s="1273"/>
    </row>
    <row r="264" spans="1:40">
      <c r="A264" s="555"/>
      <c r="B264" s="555"/>
      <c r="C264" s="555"/>
      <c r="D264" s="555"/>
      <c r="E264" s="555"/>
      <c r="F264" s="555"/>
      <c r="G264" s="555"/>
      <c r="H264" s="555"/>
      <c r="I264" s="555"/>
      <c r="J264" s="555"/>
      <c r="K264" s="555"/>
      <c r="L264" s="555"/>
      <c r="M264" s="555"/>
      <c r="N264" s="555"/>
      <c r="O264" s="555"/>
      <c r="P264" s="555"/>
      <c r="Q264" s="555"/>
      <c r="R264" s="555"/>
      <c r="S264" s="555"/>
      <c r="T264" s="555"/>
      <c r="U264" s="555"/>
      <c r="V264" s="555"/>
      <c r="W264" s="555"/>
      <c r="X264" s="548"/>
      <c r="Y264" s="555"/>
      <c r="Z264" s="548">
        <f t="shared" si="12"/>
        <v>53</v>
      </c>
      <c r="AA264" s="10" t="s">
        <v>2529</v>
      </c>
      <c r="AB264" t="s">
        <v>1194</v>
      </c>
      <c r="AC264" s="1683">
        <v>-13650</v>
      </c>
      <c r="AD264" s="1683">
        <v>-94815</v>
      </c>
      <c r="AE264" s="1683"/>
      <c r="AF264" s="1683">
        <v>0</v>
      </c>
      <c r="AG264" s="1683">
        <v>0</v>
      </c>
      <c r="AH264" s="543">
        <f t="shared" si="11"/>
        <v>-81165</v>
      </c>
      <c r="AI264" s="555"/>
      <c r="AJ264" s="1273"/>
      <c r="AK264" s="1273"/>
      <c r="AL264" s="1273"/>
      <c r="AN264" s="1273"/>
    </row>
    <row r="265" spans="1:40">
      <c r="A265" s="555"/>
      <c r="B265" s="555"/>
      <c r="C265" s="555"/>
      <c r="D265" s="555"/>
      <c r="E265" s="555"/>
      <c r="F265" s="555"/>
      <c r="G265" s="555"/>
      <c r="H265" s="555"/>
      <c r="I265" s="555"/>
      <c r="J265" s="555"/>
      <c r="K265" s="555"/>
      <c r="L265" s="555"/>
      <c r="M265" s="555"/>
      <c r="N265" s="555"/>
      <c r="O265" s="555"/>
      <c r="P265" s="555"/>
      <c r="Q265" s="555"/>
      <c r="R265" s="555"/>
      <c r="S265" s="555"/>
      <c r="T265" s="555"/>
      <c r="U265" s="555"/>
      <c r="V265" s="555"/>
      <c r="W265" s="555"/>
      <c r="X265" s="548"/>
      <c r="Y265" s="555"/>
      <c r="Z265" s="548">
        <f t="shared" si="12"/>
        <v>54</v>
      </c>
      <c r="AA265" s="10" t="s">
        <v>2530</v>
      </c>
      <c r="AB265" t="s">
        <v>1195</v>
      </c>
      <c r="AC265" s="1683">
        <v>-12772</v>
      </c>
      <c r="AD265" s="1683">
        <v>372291</v>
      </c>
      <c r="AE265" s="1683"/>
      <c r="AF265" s="1683">
        <v>0</v>
      </c>
      <c r="AG265" s="1683">
        <v>0</v>
      </c>
      <c r="AH265" s="543">
        <f t="shared" si="11"/>
        <v>385063</v>
      </c>
      <c r="AI265" s="555"/>
      <c r="AJ265" s="1273"/>
      <c r="AK265" s="1273"/>
      <c r="AL265" s="1273"/>
      <c r="AN265" s="1273"/>
    </row>
    <row r="266" spans="1:40">
      <c r="A266" s="555"/>
      <c r="B266" s="555"/>
      <c r="C266" s="555"/>
      <c r="D266" s="555"/>
      <c r="E266" s="555"/>
      <c r="F266" s="555"/>
      <c r="G266" s="555"/>
      <c r="H266" s="555"/>
      <c r="I266" s="555"/>
      <c r="J266" s="555"/>
      <c r="K266" s="555"/>
      <c r="L266" s="555"/>
      <c r="M266" s="555"/>
      <c r="N266" s="555"/>
      <c r="O266" s="555"/>
      <c r="P266" s="555"/>
      <c r="Q266" s="555"/>
      <c r="R266" s="555"/>
      <c r="S266" s="555"/>
      <c r="T266" s="555"/>
      <c r="U266" s="555"/>
      <c r="V266" s="555"/>
      <c r="W266" s="555"/>
      <c r="X266" s="548"/>
      <c r="Y266" s="555"/>
      <c r="Z266" s="548">
        <f t="shared" si="12"/>
        <v>55</v>
      </c>
      <c r="AC266" s="1295"/>
      <c r="AD266" s="1295"/>
      <c r="AE266" s="1295"/>
      <c r="AF266" s="1295"/>
      <c r="AG266" s="1295"/>
      <c r="AH266" s="543">
        <f t="shared" si="11"/>
        <v>0</v>
      </c>
      <c r="AI266" s="555"/>
      <c r="AJ266" s="1273"/>
      <c r="AK266" s="1273"/>
      <c r="AL266" s="1273"/>
      <c r="AN266" s="1273"/>
    </row>
    <row r="267" spans="1:40">
      <c r="A267" s="555"/>
      <c r="B267" s="555"/>
      <c r="C267" s="555"/>
      <c r="D267" s="555"/>
      <c r="E267" s="555"/>
      <c r="F267" s="555"/>
      <c r="G267" s="555"/>
      <c r="H267" s="555"/>
      <c r="I267" s="555"/>
      <c r="J267" s="555"/>
      <c r="K267" s="555"/>
      <c r="L267" s="555"/>
      <c r="M267" s="555"/>
      <c r="N267" s="555"/>
      <c r="O267" s="555"/>
      <c r="P267" s="555"/>
      <c r="Q267" s="555"/>
      <c r="R267" s="555"/>
      <c r="S267" s="555"/>
      <c r="T267" s="555"/>
      <c r="U267" s="555"/>
      <c r="V267" s="555"/>
      <c r="W267" s="555"/>
      <c r="X267" s="555"/>
      <c r="Y267" s="555"/>
      <c r="Z267" s="548">
        <f t="shared" si="12"/>
        <v>56</v>
      </c>
      <c r="AA267" s="542"/>
      <c r="AB267" s="546" t="s">
        <v>2438</v>
      </c>
      <c r="AC267" s="552">
        <f>SUM(AC212:AC266)</f>
        <v>297193</v>
      </c>
      <c r="AD267" s="552">
        <f>SUM(AD212:AD266)</f>
        <v>45945149</v>
      </c>
      <c r="AE267" s="552"/>
      <c r="AF267" s="552">
        <f>SUM(AF212:AF266)</f>
        <v>4597860</v>
      </c>
      <c r="AG267" s="552">
        <f>SUM(AG212:AG266)</f>
        <v>-754412</v>
      </c>
      <c r="AH267" s="543">
        <f>SUM(AH212:AH266)</f>
        <v>49491404</v>
      </c>
      <c r="AI267" s="555"/>
      <c r="AJ267" s="555"/>
      <c r="AK267" s="555"/>
    </row>
    <row r="268" spans="1:40">
      <c r="A268" s="555"/>
      <c r="B268" s="555"/>
      <c r="C268" s="555"/>
      <c r="D268" s="555"/>
      <c r="E268" s="555"/>
      <c r="F268" s="555"/>
      <c r="G268" s="555"/>
      <c r="H268" s="555"/>
      <c r="I268" s="555"/>
      <c r="J268" s="555"/>
      <c r="K268" s="555"/>
      <c r="L268" s="555"/>
      <c r="M268" s="555"/>
      <c r="N268" s="555"/>
      <c r="O268" s="555"/>
      <c r="P268" s="555"/>
      <c r="Q268" s="555"/>
      <c r="R268" s="555"/>
      <c r="S268" s="555"/>
      <c r="T268" s="555"/>
      <c r="U268" s="555"/>
      <c r="V268" s="555"/>
      <c r="W268" s="555"/>
      <c r="X268" s="555"/>
      <c r="Y268" s="555"/>
      <c r="Z268" s="548">
        <f t="shared" si="12"/>
        <v>57</v>
      </c>
      <c r="AA268" s="542"/>
      <c r="AB268" s="542"/>
      <c r="AC268" s="547"/>
      <c r="AD268" s="547"/>
      <c r="AE268" s="547"/>
      <c r="AF268" s="547"/>
      <c r="AG268" s="547"/>
      <c r="AH268" s="543"/>
      <c r="AI268" s="555"/>
      <c r="AJ268" s="555"/>
      <c r="AK268" s="555"/>
    </row>
    <row r="269" spans="1:40">
      <c r="A269" s="555"/>
      <c r="B269" s="555"/>
      <c r="C269" s="555"/>
      <c r="D269" s="555"/>
      <c r="E269" s="555"/>
      <c r="F269" s="555"/>
      <c r="G269" s="555"/>
      <c r="H269" s="555"/>
      <c r="I269" s="555"/>
      <c r="J269" s="555"/>
      <c r="K269" s="555"/>
      <c r="L269" s="555"/>
      <c r="M269" s="555"/>
      <c r="N269" s="555"/>
      <c r="O269" s="555"/>
      <c r="P269" s="555"/>
      <c r="Q269" s="555"/>
      <c r="R269" s="555"/>
      <c r="S269" s="555"/>
      <c r="T269" s="555"/>
      <c r="U269" s="555"/>
      <c r="V269" s="555"/>
      <c r="W269" s="555"/>
      <c r="Y269" s="555"/>
      <c r="Z269" s="548">
        <f t="shared" si="12"/>
        <v>58</v>
      </c>
      <c r="AA269" s="542"/>
      <c r="AB269" s="546" t="s">
        <v>2439</v>
      </c>
      <c r="AC269" s="547"/>
      <c r="AD269" s="547"/>
      <c r="AE269" s="547"/>
      <c r="AF269" s="547"/>
      <c r="AG269" s="547"/>
      <c r="AH269" s="543"/>
      <c r="AI269" s="555"/>
      <c r="AJ269" s="555"/>
      <c r="AK269" s="555"/>
    </row>
    <row r="270" spans="1:40">
      <c r="A270" s="555"/>
      <c r="B270" s="555"/>
      <c r="C270" s="555"/>
      <c r="D270" s="555"/>
      <c r="E270" s="555"/>
      <c r="F270" s="555"/>
      <c r="G270" s="555"/>
      <c r="H270" s="555"/>
      <c r="I270" s="555"/>
      <c r="J270" s="555"/>
      <c r="K270" s="555"/>
      <c r="L270" s="555"/>
      <c r="M270" s="555"/>
      <c r="N270" s="555"/>
      <c r="O270" s="555"/>
      <c r="P270" s="555"/>
      <c r="Q270" s="555"/>
      <c r="R270" s="555"/>
      <c r="S270" s="555"/>
      <c r="T270" s="555"/>
      <c r="U270" s="555"/>
      <c r="V270" s="555"/>
      <c r="W270" s="555"/>
      <c r="X270" s="555"/>
      <c r="Y270" s="555"/>
      <c r="Z270" s="548">
        <f t="shared" si="12"/>
        <v>59</v>
      </c>
      <c r="AA270" s="542"/>
      <c r="AB270" s="546" t="s">
        <v>2531</v>
      </c>
      <c r="AC270" s="547"/>
      <c r="AD270" s="575"/>
      <c r="AE270" s="547"/>
      <c r="AF270" s="547"/>
      <c r="AG270" s="547"/>
      <c r="AH270" s="753">
        <v>0</v>
      </c>
      <c r="AI270" s="555"/>
      <c r="AJ270" s="555"/>
      <c r="AK270" s="555"/>
    </row>
    <row r="271" spans="1:40">
      <c r="A271" s="555"/>
      <c r="B271" s="555"/>
      <c r="C271" s="555"/>
      <c r="D271" s="555"/>
      <c r="E271" s="555"/>
      <c r="F271" s="555"/>
      <c r="G271" s="555"/>
      <c r="H271" s="555"/>
      <c r="I271" s="555"/>
      <c r="J271" s="555"/>
      <c r="K271" s="555"/>
      <c r="L271" s="555"/>
      <c r="M271" s="555"/>
      <c r="N271" s="555"/>
      <c r="O271" s="555"/>
      <c r="P271" s="555"/>
      <c r="Q271" s="555"/>
      <c r="R271" s="555"/>
      <c r="S271" s="555"/>
      <c r="T271" s="555"/>
      <c r="U271" s="555"/>
      <c r="V271" s="555"/>
      <c r="W271" s="555"/>
      <c r="X271" s="555"/>
      <c r="Y271" s="555"/>
      <c r="Z271" s="548">
        <f t="shared" si="12"/>
        <v>60</v>
      </c>
      <c r="AA271" s="542"/>
      <c r="AB271" s="546" t="s">
        <v>2532</v>
      </c>
      <c r="AC271" s="575"/>
      <c r="AD271" s="575"/>
      <c r="AE271" s="575"/>
      <c r="AF271" s="575"/>
      <c r="AG271" s="575"/>
      <c r="AH271" s="745">
        <v>-12933512</v>
      </c>
      <c r="AI271" s="555"/>
      <c r="AJ271" s="555"/>
      <c r="AK271" s="555"/>
    </row>
    <row r="272" spans="1:40">
      <c r="A272" s="555"/>
      <c r="B272" s="555"/>
      <c r="C272" s="555"/>
      <c r="D272" s="555"/>
      <c r="E272" s="555"/>
      <c r="F272" s="555"/>
      <c r="G272" s="555"/>
      <c r="H272" s="555"/>
      <c r="I272" s="555"/>
      <c r="J272" s="555"/>
      <c r="K272" s="555"/>
      <c r="L272" s="555"/>
      <c r="M272" s="555"/>
      <c r="N272" s="555"/>
      <c r="O272" s="555"/>
      <c r="P272" s="555"/>
      <c r="Q272" s="555"/>
      <c r="R272" s="555"/>
      <c r="S272" s="555"/>
      <c r="T272" s="555"/>
      <c r="U272" s="555"/>
      <c r="V272" s="555"/>
      <c r="W272" s="555"/>
      <c r="X272" s="555"/>
      <c r="Y272" s="555"/>
      <c r="Z272" s="548">
        <f t="shared" si="12"/>
        <v>61</v>
      </c>
      <c r="AA272" s="542"/>
      <c r="AB272" s="542"/>
      <c r="AC272" s="547"/>
      <c r="AD272" s="547"/>
      <c r="AE272" s="547"/>
      <c r="AF272" s="547"/>
      <c r="AG272" s="547"/>
      <c r="AH272" s="543"/>
      <c r="AI272" s="555"/>
      <c r="AJ272" s="555"/>
      <c r="AK272" s="555"/>
    </row>
    <row r="273" spans="1:37">
      <c r="A273" s="555"/>
      <c r="B273" s="555"/>
      <c r="C273" s="555"/>
      <c r="D273" s="555"/>
      <c r="E273" s="555"/>
      <c r="F273" s="555"/>
      <c r="G273" s="555"/>
      <c r="H273" s="555"/>
      <c r="I273" s="555"/>
      <c r="J273" s="555"/>
      <c r="K273" s="555"/>
      <c r="L273" s="555"/>
      <c r="M273" s="555"/>
      <c r="N273" s="555"/>
      <c r="O273" s="555"/>
      <c r="P273" s="555"/>
      <c r="Q273" s="555"/>
      <c r="R273" s="555"/>
      <c r="S273" s="555"/>
      <c r="T273" s="555"/>
      <c r="U273" s="555"/>
      <c r="V273" s="555"/>
      <c r="W273" s="555"/>
      <c r="X273" s="555"/>
      <c r="Y273" s="555"/>
      <c r="Z273" s="548">
        <f t="shared" si="12"/>
        <v>62</v>
      </c>
      <c r="AA273" s="542"/>
      <c r="AB273" s="546" t="s">
        <v>2533</v>
      </c>
      <c r="AC273" s="547"/>
      <c r="AD273" s="547"/>
      <c r="AE273" s="547"/>
      <c r="AF273" s="547"/>
      <c r="AG273" s="547"/>
      <c r="AH273" s="543">
        <f t="shared" ref="AH273" si="13">AH267+SUM(AH270:AH271)</f>
        <v>36557892</v>
      </c>
      <c r="AI273" s="555"/>
      <c r="AJ273" s="555"/>
      <c r="AK273" s="555"/>
    </row>
    <row r="274" spans="1:37">
      <c r="A274" s="555"/>
      <c r="B274" s="555"/>
      <c r="C274" s="555"/>
      <c r="D274" s="555"/>
      <c r="E274" s="555"/>
      <c r="F274" s="555"/>
      <c r="G274" s="555"/>
      <c r="H274" s="555"/>
      <c r="I274" s="555"/>
      <c r="J274" s="555"/>
      <c r="K274" s="555"/>
      <c r="L274" s="555"/>
      <c r="M274" s="555"/>
      <c r="N274" s="555"/>
      <c r="O274" s="555"/>
      <c r="P274" s="555"/>
      <c r="Q274" s="555"/>
      <c r="R274" s="555"/>
      <c r="S274" s="555"/>
      <c r="T274" s="555"/>
      <c r="U274" s="555"/>
      <c r="V274" s="555"/>
      <c r="W274" s="555"/>
      <c r="X274" s="555"/>
      <c r="Y274" s="555"/>
      <c r="Z274" s="548">
        <f t="shared" si="12"/>
        <v>63</v>
      </c>
      <c r="AA274" s="542"/>
      <c r="AB274" s="542"/>
      <c r="AC274" s="547"/>
      <c r="AD274" s="547"/>
      <c r="AE274" s="547"/>
      <c r="AF274" s="547"/>
      <c r="AG274" s="547"/>
      <c r="AH274" s="543"/>
      <c r="AI274" s="555"/>
      <c r="AJ274" s="555"/>
      <c r="AK274" s="555"/>
    </row>
    <row r="275" spans="1:37">
      <c r="A275" s="555"/>
      <c r="B275" s="555"/>
      <c r="C275" s="555"/>
      <c r="D275" s="555"/>
      <c r="E275" s="555"/>
      <c r="F275" s="555"/>
      <c r="G275" s="555"/>
      <c r="H275" s="555"/>
      <c r="I275" s="555"/>
      <c r="J275" s="555"/>
      <c r="K275" s="555"/>
      <c r="L275" s="555"/>
      <c r="M275" s="555"/>
      <c r="N275" s="555"/>
      <c r="O275" s="555"/>
      <c r="P275" s="555"/>
      <c r="Q275" s="555"/>
      <c r="R275" s="555"/>
      <c r="S275" s="555"/>
      <c r="T275" s="555"/>
      <c r="U275" s="555"/>
      <c r="V275" s="555"/>
      <c r="W275" s="555"/>
      <c r="X275" s="555"/>
      <c r="Y275" s="555"/>
      <c r="Z275" s="548">
        <f t="shared" si="12"/>
        <v>64</v>
      </c>
      <c r="AA275" s="542"/>
      <c r="AB275" s="568" t="s">
        <v>2398</v>
      </c>
      <c r="AC275" s="2382"/>
      <c r="AD275" s="2382"/>
      <c r="AE275" s="575"/>
      <c r="AF275" s="575"/>
      <c r="AG275" s="2382"/>
      <c r="AH275" s="2383">
        <v>0.99370000000000003</v>
      </c>
      <c r="AI275" s="555"/>
      <c r="AJ275" s="555"/>
      <c r="AK275" s="555"/>
    </row>
    <row r="276" spans="1:37">
      <c r="A276" s="555"/>
      <c r="B276" s="555"/>
      <c r="C276" s="555"/>
      <c r="D276" s="555"/>
      <c r="E276" s="555"/>
      <c r="F276" s="555"/>
      <c r="G276" s="555"/>
      <c r="H276" s="555"/>
      <c r="I276" s="555"/>
      <c r="J276" s="555"/>
      <c r="K276" s="555"/>
      <c r="L276" s="555"/>
      <c r="M276" s="555"/>
      <c r="N276" s="555"/>
      <c r="O276" s="555"/>
      <c r="P276" s="555"/>
      <c r="Q276" s="555"/>
      <c r="R276" s="555"/>
      <c r="S276" s="555"/>
      <c r="T276" s="555"/>
      <c r="U276" s="555"/>
      <c r="V276" s="555"/>
      <c r="W276" s="555"/>
      <c r="X276" s="555"/>
      <c r="Y276" s="555"/>
      <c r="Z276" s="548">
        <f t="shared" si="12"/>
        <v>65</v>
      </c>
      <c r="AA276" s="542"/>
      <c r="AB276" s="568"/>
      <c r="AC276" s="547"/>
      <c r="AD276" s="547"/>
      <c r="AE276" s="547"/>
      <c r="AF276" s="547"/>
      <c r="AG276" s="547"/>
      <c r="AH276" s="543"/>
      <c r="AI276" s="555"/>
      <c r="AJ276" s="555"/>
      <c r="AK276" s="555"/>
    </row>
    <row r="277" spans="1:37" ht="13.8" thickBot="1">
      <c r="A277" s="555"/>
      <c r="B277" s="555"/>
      <c r="C277" s="555"/>
      <c r="D277" s="555"/>
      <c r="E277" s="555"/>
      <c r="F277" s="555"/>
      <c r="G277" s="555"/>
      <c r="H277" s="555"/>
      <c r="I277" s="555"/>
      <c r="J277" s="555"/>
      <c r="K277" s="555"/>
      <c r="L277" s="555"/>
      <c r="M277" s="555"/>
      <c r="N277" s="555"/>
      <c r="O277" s="555"/>
      <c r="P277" s="555"/>
      <c r="Q277" s="555"/>
      <c r="R277" s="555"/>
      <c r="S277" s="555"/>
      <c r="T277" s="555"/>
      <c r="U277" s="555"/>
      <c r="V277" s="555"/>
      <c r="W277" s="555"/>
      <c r="X277" s="555"/>
      <c r="Y277" s="555"/>
      <c r="Z277" s="548">
        <f t="shared" ref="Z277:Z297" si="14">Z276+1</f>
        <v>66</v>
      </c>
      <c r="AA277" s="542"/>
      <c r="AB277" s="542" t="s">
        <v>2534</v>
      </c>
      <c r="AC277" s="547"/>
      <c r="AD277" s="547"/>
      <c r="AE277" s="547"/>
      <c r="AF277" s="547"/>
      <c r="AG277" s="547"/>
      <c r="AH277" s="2384">
        <f>ROUND(AH273*AH275,2)</f>
        <v>36327577.280000001</v>
      </c>
      <c r="AI277" s="555"/>
      <c r="AJ277" s="555"/>
      <c r="AK277" s="555"/>
    </row>
    <row r="278" spans="1:37" ht="13.8" thickTop="1">
      <c r="A278" s="555"/>
      <c r="B278" s="555"/>
      <c r="C278" s="555"/>
      <c r="D278" s="555"/>
      <c r="E278" s="555"/>
      <c r="F278" s="555"/>
      <c r="G278" s="555"/>
      <c r="H278" s="555"/>
      <c r="I278" s="555"/>
      <c r="J278" s="555"/>
      <c r="K278" s="555"/>
      <c r="L278" s="555"/>
      <c r="M278" s="555"/>
      <c r="N278" s="555"/>
      <c r="O278" s="555"/>
      <c r="P278" s="555"/>
      <c r="Q278" s="555"/>
      <c r="R278" s="555"/>
      <c r="S278" s="555"/>
      <c r="T278" s="555"/>
      <c r="U278" s="555"/>
      <c r="V278" s="555"/>
      <c r="W278" s="555"/>
      <c r="X278" s="555"/>
      <c r="Y278" s="555"/>
      <c r="Z278" s="548">
        <f t="shared" si="14"/>
        <v>67</v>
      </c>
      <c r="AA278" s="542"/>
      <c r="AB278" s="1926"/>
      <c r="AC278" s="547"/>
      <c r="AD278" s="547"/>
      <c r="AE278" s="547"/>
      <c r="AF278" s="547"/>
      <c r="AG278" s="547"/>
      <c r="AH278" s="543"/>
      <c r="AI278" s="555"/>
      <c r="AJ278" s="555"/>
      <c r="AK278" s="555"/>
    </row>
    <row r="279" spans="1:37">
      <c r="A279" s="555"/>
      <c r="B279" s="555"/>
      <c r="C279" s="555"/>
      <c r="D279" s="555"/>
      <c r="E279" s="555"/>
      <c r="F279" s="555"/>
      <c r="G279" s="555"/>
      <c r="H279" s="555"/>
      <c r="I279" s="555"/>
      <c r="J279" s="555"/>
      <c r="K279" s="555"/>
      <c r="L279" s="555"/>
      <c r="M279" s="555"/>
      <c r="N279" s="555"/>
      <c r="O279" s="555"/>
      <c r="P279" s="555"/>
      <c r="Q279" s="555"/>
      <c r="R279" s="555"/>
      <c r="S279" s="555"/>
      <c r="T279" s="555"/>
      <c r="U279" s="555"/>
      <c r="V279" s="555"/>
      <c r="W279" s="555"/>
      <c r="X279" s="555"/>
      <c r="Y279" s="555"/>
      <c r="Z279" s="548">
        <f t="shared" ref="Z279:Z287" si="15">Z278+1</f>
        <v>68</v>
      </c>
      <c r="AA279" s="542"/>
      <c r="AB279" s="546" t="str">
        <f>"Kentucky Income Tax Expense     @ "&amp;TEXT(SIT,"0.00%")</f>
        <v>Kentucky Income Tax Expense     @ 5.00%</v>
      </c>
      <c r="AC279" s="547"/>
      <c r="AD279" s="547"/>
      <c r="AE279" s="547"/>
      <c r="AF279" s="547"/>
      <c r="AG279" s="547"/>
      <c r="AH279" s="552">
        <f>ROUND(AH277*SIT,0)</f>
        <v>1816379</v>
      </c>
      <c r="AI279" s="555"/>
      <c r="AJ279" s="555"/>
      <c r="AK279" s="555"/>
    </row>
    <row r="280" spans="1:37">
      <c r="A280" s="555"/>
      <c r="B280" s="555"/>
      <c r="C280" s="555"/>
      <c r="D280" s="555"/>
      <c r="E280" s="555"/>
      <c r="F280" s="555"/>
      <c r="G280" s="555"/>
      <c r="H280" s="555"/>
      <c r="I280" s="555"/>
      <c r="J280" s="555"/>
      <c r="K280" s="555"/>
      <c r="L280" s="555"/>
      <c r="M280" s="555"/>
      <c r="N280" s="555"/>
      <c r="O280" s="555"/>
      <c r="P280" s="555"/>
      <c r="Q280" s="555"/>
      <c r="R280" s="555"/>
      <c r="S280" s="555"/>
      <c r="T280" s="555"/>
      <c r="U280" s="555"/>
      <c r="V280" s="555"/>
      <c r="W280" s="555"/>
      <c r="X280" s="555"/>
      <c r="Y280" s="555"/>
      <c r="Z280" s="548">
        <f t="shared" si="15"/>
        <v>69</v>
      </c>
      <c r="AA280" s="542"/>
      <c r="AB280" s="546" t="s">
        <v>2400</v>
      </c>
      <c r="AC280" s="547"/>
      <c r="AD280" s="547"/>
      <c r="AE280" s="547"/>
      <c r="AF280" s="547"/>
      <c r="AG280" s="547"/>
      <c r="AH280" s="552">
        <v>-22500</v>
      </c>
      <c r="AI280" s="555"/>
      <c r="AJ280" s="555"/>
      <c r="AK280" s="555"/>
    </row>
    <row r="281" spans="1:37">
      <c r="A281" s="1922"/>
      <c r="B281" s="1922"/>
      <c r="C281" s="1922"/>
      <c r="D281" s="1922"/>
      <c r="E281" s="1922"/>
      <c r="F281" s="1922"/>
      <c r="G281" s="1922"/>
      <c r="H281" s="1922"/>
      <c r="I281" s="1922"/>
      <c r="J281" s="1922"/>
      <c r="K281" s="1922"/>
      <c r="L281" s="1922"/>
      <c r="M281" s="1922"/>
      <c r="N281" s="1922"/>
      <c r="O281" s="1922"/>
      <c r="P281" s="1922"/>
      <c r="Q281" s="1922"/>
      <c r="R281" s="1922"/>
      <c r="S281" s="1922"/>
      <c r="T281" s="1922"/>
      <c r="U281" s="1922"/>
      <c r="V281" s="1922"/>
      <c r="W281" s="1922"/>
      <c r="X281" s="1922"/>
      <c r="Y281" s="1922"/>
      <c r="Z281" s="771">
        <f t="shared" si="15"/>
        <v>70</v>
      </c>
      <c r="AA281" s="1926"/>
      <c r="AB281" s="1926"/>
      <c r="AC281" s="575"/>
      <c r="AD281" s="575"/>
      <c r="AE281" s="575"/>
      <c r="AF281" s="575"/>
      <c r="AG281" s="575"/>
      <c r="AH281" s="2372"/>
      <c r="AI281" s="1922"/>
      <c r="AJ281" s="1922"/>
      <c r="AK281" s="1922"/>
    </row>
    <row r="282" spans="1:37" ht="13.8" thickBot="1">
      <c r="A282" s="555"/>
      <c r="B282" s="555"/>
      <c r="C282" s="555"/>
      <c r="D282" s="555"/>
      <c r="E282" s="555"/>
      <c r="F282" s="555"/>
      <c r="G282" s="555"/>
      <c r="H282" s="555"/>
      <c r="I282" s="555"/>
      <c r="J282" s="555"/>
      <c r="K282" s="555"/>
      <c r="L282" s="555"/>
      <c r="M282" s="555"/>
      <c r="N282" s="555"/>
      <c r="O282" s="555"/>
      <c r="P282" s="555"/>
      <c r="Q282" s="555"/>
      <c r="R282" s="555"/>
      <c r="S282" s="555"/>
      <c r="T282" s="555"/>
      <c r="U282" s="555"/>
      <c r="V282" s="555"/>
      <c r="W282" s="555"/>
      <c r="X282" s="555"/>
      <c r="Y282" s="555"/>
      <c r="Z282" s="548">
        <f t="shared" si="15"/>
        <v>71</v>
      </c>
      <c r="AA282" s="542"/>
      <c r="AB282" s="546" t="s">
        <v>2535</v>
      </c>
      <c r="AC282" s="547"/>
      <c r="AD282" s="547"/>
      <c r="AE282" s="547"/>
      <c r="AF282" s="547"/>
      <c r="AG282" s="547"/>
      <c r="AH282" s="1703">
        <f>SUM(AH279:AH281)</f>
        <v>1793879</v>
      </c>
      <c r="AI282" s="555"/>
      <c r="AJ282" s="555"/>
      <c r="AK282" s="555"/>
    </row>
    <row r="283" spans="1:37" ht="13.8" thickTop="1">
      <c r="A283" s="555"/>
      <c r="B283" s="555"/>
      <c r="C283" s="555"/>
      <c r="D283" s="555"/>
      <c r="E283" s="555"/>
      <c r="F283" s="555"/>
      <c r="G283" s="555"/>
      <c r="H283" s="555"/>
      <c r="I283" s="555"/>
      <c r="J283" s="555"/>
      <c r="K283" s="555"/>
      <c r="L283" s="555"/>
      <c r="M283" s="555"/>
      <c r="N283" s="555"/>
      <c r="O283" s="555"/>
      <c r="P283" s="555"/>
      <c r="Q283" s="555"/>
      <c r="R283" s="555"/>
      <c r="S283" s="555"/>
      <c r="T283" s="555"/>
      <c r="U283" s="555"/>
      <c r="V283" s="555"/>
      <c r="W283" s="555"/>
      <c r="X283" s="555"/>
      <c r="Y283" s="555"/>
      <c r="Z283" s="548">
        <f t="shared" si="15"/>
        <v>72</v>
      </c>
      <c r="AA283" s="542"/>
      <c r="AB283" s="542"/>
      <c r="AC283" s="547"/>
      <c r="AD283" s="547"/>
      <c r="AE283" s="547"/>
      <c r="AF283" s="547"/>
      <c r="AG283" s="547"/>
      <c r="AH283" s="543"/>
      <c r="AI283" s="555"/>
      <c r="AJ283" s="555"/>
      <c r="AK283" s="555"/>
    </row>
    <row r="284" spans="1:37">
      <c r="A284" s="555"/>
      <c r="B284" s="555"/>
      <c r="C284" s="555"/>
      <c r="D284" s="555"/>
      <c r="E284" s="555"/>
      <c r="F284" s="555"/>
      <c r="G284" s="555"/>
      <c r="H284" s="555"/>
      <c r="I284" s="555"/>
      <c r="J284" s="555"/>
      <c r="K284" s="555"/>
      <c r="L284" s="555"/>
      <c r="M284" s="555"/>
      <c r="N284" s="555"/>
      <c r="O284" s="555"/>
      <c r="P284" s="555"/>
      <c r="Q284" s="555"/>
      <c r="R284" s="555"/>
      <c r="S284" s="555"/>
      <c r="T284" s="555"/>
      <c r="U284" s="555"/>
      <c r="V284" s="555"/>
      <c r="W284" s="555"/>
      <c r="X284" s="555"/>
      <c r="Y284" s="555"/>
      <c r="Z284" s="548">
        <f t="shared" si="15"/>
        <v>73</v>
      </c>
      <c r="AA284" s="542"/>
      <c r="AB284" s="546" t="s">
        <v>2536</v>
      </c>
      <c r="AC284" s="547"/>
      <c r="AD284" s="547"/>
      <c r="AE284" s="547"/>
      <c r="AF284" s="547"/>
      <c r="AG284" s="547"/>
      <c r="AH284" s="543">
        <f>AH267</f>
        <v>49491404</v>
      </c>
      <c r="AI284" s="555"/>
      <c r="AJ284" s="555"/>
      <c r="AK284" s="555"/>
    </row>
    <row r="285" spans="1:37">
      <c r="A285" s="555"/>
      <c r="B285" s="555"/>
      <c r="C285" s="555"/>
      <c r="D285" s="555"/>
      <c r="E285" s="555"/>
      <c r="F285" s="555"/>
      <c r="G285" s="555"/>
      <c r="H285" s="555"/>
      <c r="I285" s="555"/>
      <c r="J285" s="555"/>
      <c r="K285" s="555"/>
      <c r="L285" s="555"/>
      <c r="M285" s="555"/>
      <c r="N285" s="555"/>
      <c r="O285" s="555"/>
      <c r="P285" s="555"/>
      <c r="Q285" s="555"/>
      <c r="R285" s="555"/>
      <c r="S285" s="555"/>
      <c r="T285" s="555"/>
      <c r="U285" s="555"/>
      <c r="V285" s="555"/>
      <c r="W285" s="555"/>
      <c r="X285" s="555"/>
      <c r="Y285" s="555"/>
      <c r="Z285" s="548">
        <f t="shared" si="15"/>
        <v>74</v>
      </c>
      <c r="AA285" s="542"/>
      <c r="AB285" s="546" t="s">
        <v>2444</v>
      </c>
      <c r="AC285" s="547"/>
      <c r="AD285" s="547"/>
      <c r="AE285" s="547"/>
      <c r="AF285" s="547"/>
      <c r="AG285" s="547"/>
      <c r="AH285" s="543">
        <f>-AH282</f>
        <v>-1793879</v>
      </c>
      <c r="AI285" s="555"/>
      <c r="AJ285" s="555"/>
      <c r="AK285" s="555"/>
    </row>
    <row r="286" spans="1:37">
      <c r="A286" s="555"/>
      <c r="B286" s="555"/>
      <c r="C286" s="555"/>
      <c r="D286" s="555"/>
      <c r="E286" s="555"/>
      <c r="F286" s="555"/>
      <c r="G286" s="555"/>
      <c r="H286" s="555"/>
      <c r="I286" s="555"/>
      <c r="J286" s="555"/>
      <c r="K286" s="555"/>
      <c r="L286" s="555"/>
      <c r="M286" s="555"/>
      <c r="N286" s="555"/>
      <c r="O286" s="555"/>
      <c r="P286" s="555"/>
      <c r="Q286" s="555"/>
      <c r="R286" s="555"/>
      <c r="S286" s="555"/>
      <c r="T286" s="555"/>
      <c r="U286" s="555"/>
      <c r="V286" s="555"/>
      <c r="W286" s="555"/>
      <c r="X286" s="555"/>
      <c r="Y286" s="555"/>
      <c r="Z286" s="548">
        <f t="shared" si="15"/>
        <v>75</v>
      </c>
      <c r="AA286" s="542"/>
      <c r="AB286" s="568"/>
      <c r="AC286" s="547"/>
      <c r="AD286" s="547"/>
      <c r="AE286" s="547"/>
      <c r="AF286" s="547"/>
      <c r="AG286" s="547"/>
      <c r="AH286" s="1551"/>
      <c r="AI286" s="555"/>
      <c r="AJ286" s="555"/>
      <c r="AK286" s="555"/>
    </row>
    <row r="287" spans="1:37">
      <c r="A287" s="555"/>
      <c r="B287" s="555"/>
      <c r="C287" s="555"/>
      <c r="D287" s="555"/>
      <c r="E287" s="555"/>
      <c r="F287" s="555"/>
      <c r="G287" s="555"/>
      <c r="H287" s="555"/>
      <c r="I287" s="555"/>
      <c r="J287" s="555"/>
      <c r="K287" s="555"/>
      <c r="L287" s="555"/>
      <c r="M287" s="555"/>
      <c r="N287" s="555"/>
      <c r="O287" s="555"/>
      <c r="P287" s="555"/>
      <c r="Q287" s="555"/>
      <c r="R287" s="555"/>
      <c r="S287" s="555"/>
      <c r="T287" s="555"/>
      <c r="U287" s="555"/>
      <c r="V287" s="555"/>
      <c r="W287" s="555"/>
      <c r="X287" s="555"/>
      <c r="Y287" s="555"/>
      <c r="Z287" s="548">
        <f t="shared" si="15"/>
        <v>76</v>
      </c>
      <c r="AA287" s="542"/>
      <c r="AB287" s="542"/>
      <c r="AC287" s="547"/>
      <c r="AD287" s="547"/>
      <c r="AE287" s="547"/>
      <c r="AF287" s="547"/>
      <c r="AG287" s="552"/>
      <c r="AH287" s="543"/>
      <c r="AI287" s="555"/>
      <c r="AJ287" s="555"/>
      <c r="AK287" s="555"/>
    </row>
    <row r="288" spans="1:37" ht="13.8" thickBot="1">
      <c r="A288" s="555"/>
      <c r="B288" s="555"/>
      <c r="C288" s="555"/>
      <c r="D288" s="555"/>
      <c r="E288" s="555"/>
      <c r="F288" s="555"/>
      <c r="G288" s="555"/>
      <c r="H288" s="555"/>
      <c r="I288" s="555"/>
      <c r="J288" s="555"/>
      <c r="K288" s="555"/>
      <c r="L288" s="555"/>
      <c r="M288" s="555"/>
      <c r="N288" s="555"/>
      <c r="O288" s="555"/>
      <c r="P288" s="555"/>
      <c r="Q288" s="555"/>
      <c r="R288" s="555"/>
      <c r="S288" s="555"/>
      <c r="T288" s="555"/>
      <c r="U288" s="555"/>
      <c r="V288" s="555"/>
      <c r="W288" s="555"/>
      <c r="X288" s="555"/>
      <c r="Y288" s="555"/>
      <c r="Z288" s="548">
        <f t="shared" si="14"/>
        <v>77</v>
      </c>
      <c r="AA288" s="542"/>
      <c r="AB288" s="546" t="s">
        <v>2445</v>
      </c>
      <c r="AC288" s="547"/>
      <c r="AD288" s="547"/>
      <c r="AE288" s="547"/>
      <c r="AF288" s="547"/>
      <c r="AG288" s="547"/>
      <c r="AH288" s="1966">
        <f>AH267+AH285+AH286</f>
        <v>47697525</v>
      </c>
      <c r="AI288" s="555"/>
      <c r="AJ288" s="555"/>
      <c r="AK288" s="555"/>
    </row>
    <row r="289" spans="1:37" ht="13.8" thickTop="1">
      <c r="A289" s="555"/>
      <c r="B289" s="555"/>
      <c r="C289" s="555"/>
      <c r="D289" s="555"/>
      <c r="E289" s="555"/>
      <c r="F289" s="555"/>
      <c r="G289" s="555"/>
      <c r="H289" s="555"/>
      <c r="I289" s="555"/>
      <c r="J289" s="555"/>
      <c r="K289" s="555"/>
      <c r="L289" s="555"/>
      <c r="M289" s="555"/>
      <c r="N289" s="555"/>
      <c r="O289" s="555"/>
      <c r="P289" s="555"/>
      <c r="Q289" s="555"/>
      <c r="R289" s="555"/>
      <c r="S289" s="555"/>
      <c r="T289" s="555"/>
      <c r="U289" s="555"/>
      <c r="V289" s="555"/>
      <c r="W289" s="555"/>
      <c r="X289" s="555"/>
      <c r="Y289" s="555"/>
      <c r="Z289" s="548">
        <f t="shared" si="14"/>
        <v>78</v>
      </c>
      <c r="AA289" s="542"/>
      <c r="AB289" s="542"/>
      <c r="AC289" s="547"/>
      <c r="AD289" s="547"/>
      <c r="AE289" s="547"/>
      <c r="AF289" s="547"/>
      <c r="AG289" s="547"/>
      <c r="AH289" s="543"/>
      <c r="AI289" s="555"/>
      <c r="AJ289" s="555"/>
      <c r="AK289" s="555"/>
    </row>
    <row r="290" spans="1:37">
      <c r="A290" s="555"/>
      <c r="B290" s="555"/>
      <c r="C290" s="555"/>
      <c r="D290" s="555"/>
      <c r="E290" s="555"/>
      <c r="F290" s="555"/>
      <c r="G290" s="555"/>
      <c r="H290" s="555"/>
      <c r="I290" s="555"/>
      <c r="J290" s="555"/>
      <c r="K290" s="555"/>
      <c r="L290" s="555"/>
      <c r="M290" s="555"/>
      <c r="N290" s="555"/>
      <c r="O290" s="555"/>
      <c r="P290" s="555"/>
      <c r="Q290" s="555"/>
      <c r="R290" s="555"/>
      <c r="S290" s="555"/>
      <c r="T290" s="555"/>
      <c r="U290" s="555"/>
      <c r="V290" s="555"/>
      <c r="W290" s="555"/>
      <c r="X290" s="555"/>
      <c r="Y290" s="555"/>
      <c r="Z290" s="548">
        <f t="shared" si="14"/>
        <v>79</v>
      </c>
      <c r="AA290" s="542"/>
      <c r="AB290" s="546" t="str">
        <f>"Federal Income Tax Before Credits @ "&amp;TEXT(FIT,"00.00%")</f>
        <v>Federal Income Tax Before Credits @ 21.00%</v>
      </c>
      <c r="AC290" s="547"/>
      <c r="AD290" s="547"/>
      <c r="AE290" s="547"/>
      <c r="AF290" s="547"/>
      <c r="AG290" s="547"/>
      <c r="AH290" s="552">
        <f>ROUND(AH288*FIT,0)</f>
        <v>10016480</v>
      </c>
      <c r="AI290" s="555"/>
      <c r="AJ290" s="555"/>
      <c r="AK290" s="555"/>
    </row>
    <row r="291" spans="1:37">
      <c r="A291" s="1922"/>
      <c r="B291" s="1922"/>
      <c r="C291" s="1922"/>
      <c r="D291" s="1922"/>
      <c r="E291" s="1922"/>
      <c r="F291" s="1922"/>
      <c r="G291" s="1922"/>
      <c r="H291" s="1922"/>
      <c r="I291" s="1922"/>
      <c r="J291" s="1922"/>
      <c r="K291" s="1922"/>
      <c r="L291" s="1922"/>
      <c r="M291" s="1922"/>
      <c r="N291" s="1922"/>
      <c r="O291" s="1922"/>
      <c r="P291" s="1922"/>
      <c r="Q291" s="1922"/>
      <c r="R291" s="1922"/>
      <c r="S291" s="1922"/>
      <c r="T291" s="1922"/>
      <c r="U291" s="1922"/>
      <c r="V291" s="1922"/>
      <c r="W291" s="1922"/>
      <c r="X291" s="1922"/>
      <c r="Y291" s="1922"/>
      <c r="Z291" s="771">
        <f t="shared" si="14"/>
        <v>80</v>
      </c>
      <c r="AA291" s="1926"/>
      <c r="AB291" s="1927" t="s">
        <v>2446</v>
      </c>
      <c r="AC291" s="1925"/>
      <c r="AD291" s="1925"/>
      <c r="AE291" s="1925"/>
      <c r="AF291" s="1925"/>
      <c r="AG291" s="1925"/>
      <c r="AH291" s="1923">
        <f>AD291-AC291+AF291+AG291</f>
        <v>0</v>
      </c>
      <c r="AI291" s="1922"/>
      <c r="AJ291" s="1922"/>
      <c r="AK291" s="1922"/>
    </row>
    <row r="292" spans="1:37">
      <c r="A292" s="1922"/>
      <c r="B292" s="1922"/>
      <c r="C292" s="1922"/>
      <c r="D292" s="1922"/>
      <c r="E292" s="1922"/>
      <c r="F292" s="1922"/>
      <c r="G292" s="1922"/>
      <c r="H292" s="1922"/>
      <c r="I292" s="1922"/>
      <c r="J292" s="1922"/>
      <c r="K292" s="1922"/>
      <c r="L292" s="1922"/>
      <c r="M292" s="1922"/>
      <c r="N292" s="1922"/>
      <c r="O292" s="1922"/>
      <c r="P292" s="1922"/>
      <c r="Q292" s="1922"/>
      <c r="R292" s="1922"/>
      <c r="S292" s="1922"/>
      <c r="T292" s="1922"/>
      <c r="U292" s="1922"/>
      <c r="V292" s="1922"/>
      <c r="W292" s="1922"/>
      <c r="X292" s="1922"/>
      <c r="Y292" s="1922"/>
      <c r="Z292" s="771">
        <f t="shared" si="14"/>
        <v>81</v>
      </c>
      <c r="AA292" s="1926"/>
      <c r="AB292" s="1928" t="s">
        <v>2417</v>
      </c>
      <c r="AC292" s="1925"/>
      <c r="AD292" s="1925"/>
      <c r="AE292" s="1925"/>
      <c r="AF292" s="1925"/>
      <c r="AG292" s="1925"/>
      <c r="AH292" s="753">
        <v>6732103</v>
      </c>
      <c r="AI292" s="1922"/>
      <c r="AJ292" s="1922"/>
      <c r="AK292" s="1922"/>
    </row>
    <row r="293" spans="1:37" ht="13.8" thickBot="1">
      <c r="A293" s="555"/>
      <c r="B293" s="555"/>
      <c r="C293" s="555"/>
      <c r="D293" s="555"/>
      <c r="E293" s="555"/>
      <c r="F293" s="555"/>
      <c r="G293" s="555"/>
      <c r="H293" s="555"/>
      <c r="I293" s="555"/>
      <c r="J293" s="555"/>
      <c r="K293" s="555"/>
      <c r="L293" s="555"/>
      <c r="M293" s="555"/>
      <c r="N293" s="555"/>
      <c r="O293" s="555"/>
      <c r="P293" s="555"/>
      <c r="Q293" s="555"/>
      <c r="R293" s="555"/>
      <c r="S293" s="555"/>
      <c r="T293" s="555"/>
      <c r="U293" s="555"/>
      <c r="V293" s="555"/>
      <c r="W293" s="555"/>
      <c r="X293" s="555"/>
      <c r="Y293" s="555"/>
      <c r="Z293" s="548">
        <f t="shared" si="14"/>
        <v>82</v>
      </c>
      <c r="AA293" s="542"/>
      <c r="AB293" s="542" t="s">
        <v>2447</v>
      </c>
      <c r="AC293" s="547"/>
      <c r="AD293" s="547"/>
      <c r="AE293" s="547"/>
      <c r="AF293" s="547"/>
      <c r="AG293" s="547"/>
      <c r="AH293" s="1703">
        <f>SUM(AH290:AH292)</f>
        <v>16748583</v>
      </c>
      <c r="AI293" s="555"/>
      <c r="AJ293" s="555"/>
      <c r="AK293" s="555"/>
    </row>
    <row r="294" spans="1:37" ht="13.8" thickTop="1">
      <c r="A294" s="555"/>
      <c r="B294" s="555"/>
      <c r="C294" s="555"/>
      <c r="D294" s="555"/>
      <c r="E294" s="555"/>
      <c r="F294" s="555"/>
      <c r="G294" s="555"/>
      <c r="H294" s="555"/>
      <c r="I294" s="555"/>
      <c r="J294" s="555"/>
      <c r="K294" s="555"/>
      <c r="L294" s="555"/>
      <c r="M294" s="555"/>
      <c r="N294" s="555"/>
      <c r="O294" s="555"/>
      <c r="P294" s="555"/>
      <c r="Q294" s="555"/>
      <c r="R294" s="555"/>
      <c r="S294" s="555"/>
      <c r="T294" s="555"/>
      <c r="U294" s="555"/>
      <c r="V294" s="555"/>
      <c r="W294" s="555"/>
      <c r="X294" s="555"/>
      <c r="Y294" s="555"/>
      <c r="Z294" s="548">
        <f t="shared" si="14"/>
        <v>83</v>
      </c>
      <c r="AA294" s="542"/>
      <c r="AB294" s="542"/>
      <c r="AC294" s="547"/>
      <c r="AD294" s="547"/>
      <c r="AE294" s="547"/>
      <c r="AF294" s="547"/>
      <c r="AG294" s="547"/>
      <c r="AH294" s="543"/>
      <c r="AI294" s="555"/>
      <c r="AJ294" s="555"/>
      <c r="AK294" s="555"/>
    </row>
    <row r="295" spans="1:37">
      <c r="A295" s="555"/>
      <c r="B295" s="555"/>
      <c r="C295" s="555"/>
      <c r="D295" s="555"/>
      <c r="E295" s="555"/>
      <c r="F295" s="555"/>
      <c r="G295" s="555"/>
      <c r="H295" s="555"/>
      <c r="I295" s="555"/>
      <c r="J295" s="555"/>
      <c r="K295" s="555"/>
      <c r="L295" s="555"/>
      <c r="M295" s="555"/>
      <c r="N295" s="555"/>
      <c r="O295" s="555"/>
      <c r="P295" s="555"/>
      <c r="Q295" s="555"/>
      <c r="R295" s="555"/>
      <c r="S295" s="555"/>
      <c r="T295" s="555"/>
      <c r="U295" s="555"/>
      <c r="V295" s="555"/>
      <c r="W295" s="555"/>
      <c r="X295" s="555"/>
      <c r="Y295" s="555"/>
      <c r="Z295" s="548">
        <f t="shared" si="14"/>
        <v>84</v>
      </c>
      <c r="AA295" s="555"/>
      <c r="AB295" s="555"/>
      <c r="AC295" s="555"/>
      <c r="AD295" s="555"/>
      <c r="AE295" s="555"/>
      <c r="AF295" s="555"/>
      <c r="AG295" s="555"/>
      <c r="AH295" s="557"/>
      <c r="AI295" s="555"/>
      <c r="AJ295" s="555"/>
      <c r="AK295" s="555"/>
    </row>
    <row r="296" spans="1:37">
      <c r="A296" s="555"/>
      <c r="B296" s="555"/>
      <c r="C296" s="555"/>
      <c r="D296" s="555"/>
      <c r="E296" s="555"/>
      <c r="F296" s="555"/>
      <c r="G296" s="555"/>
      <c r="H296" s="555"/>
      <c r="I296" s="555"/>
      <c r="J296" s="555"/>
      <c r="K296" s="555"/>
      <c r="L296" s="555"/>
      <c r="M296" s="555"/>
      <c r="N296" s="555"/>
      <c r="O296" s="555"/>
      <c r="P296" s="555"/>
      <c r="Q296" s="555"/>
      <c r="R296" s="555"/>
      <c r="S296" s="555"/>
      <c r="T296" s="555"/>
      <c r="U296" s="555"/>
      <c r="V296" s="555"/>
      <c r="W296" s="555"/>
      <c r="X296" s="555"/>
      <c r="Y296" s="555"/>
      <c r="Z296" s="548">
        <f t="shared" si="14"/>
        <v>85</v>
      </c>
      <c r="AA296" s="555"/>
      <c r="AB296" s="555" t="s">
        <v>2407</v>
      </c>
      <c r="AC296" s="555"/>
      <c r="AD296" s="555"/>
      <c r="AE296" s="555"/>
      <c r="AF296" s="555"/>
      <c r="AG296" s="555"/>
      <c r="AH296" s="1247">
        <f>-ROUND((SUM(AH217:AH265)+AH271)*AH275*0.05,0)</f>
        <v>1673300</v>
      </c>
      <c r="AI296" s="555"/>
      <c r="AJ296" s="555"/>
      <c r="AK296" s="555"/>
    </row>
    <row r="297" spans="1:37">
      <c r="A297" s="555"/>
      <c r="B297" s="555"/>
      <c r="C297" s="555"/>
      <c r="D297" s="555"/>
      <c r="E297" s="555"/>
      <c r="F297" s="555"/>
      <c r="G297" s="555"/>
      <c r="H297" s="555"/>
      <c r="I297" s="555"/>
      <c r="J297" s="555"/>
      <c r="K297" s="555"/>
      <c r="L297" s="555"/>
      <c r="M297" s="555"/>
      <c r="N297" s="555"/>
      <c r="O297" s="555"/>
      <c r="P297" s="555"/>
      <c r="Q297" s="555"/>
      <c r="R297" s="555"/>
      <c r="S297" s="555"/>
      <c r="T297" s="555"/>
      <c r="U297" s="555"/>
      <c r="V297" s="555"/>
      <c r="W297" s="555"/>
      <c r="X297" s="555"/>
      <c r="Y297" s="555"/>
      <c r="Z297" s="548">
        <f t="shared" si="14"/>
        <v>86</v>
      </c>
      <c r="AA297" s="555"/>
      <c r="AB297" s="555" t="s">
        <v>2419</v>
      </c>
      <c r="AC297" s="555"/>
      <c r="AD297" s="555"/>
      <c r="AE297" s="555"/>
      <c r="AF297" s="555"/>
      <c r="AG297" s="555"/>
      <c r="AH297" s="1247">
        <f>-ROUND((SUM(AH217:AH265)+AH296)*0.21,0)</f>
        <v>4004987</v>
      </c>
      <c r="AI297" s="555"/>
      <c r="AJ297" s="555"/>
      <c r="AK297" s="555"/>
    </row>
    <row r="298" spans="1:37">
      <c r="A298" s="555"/>
      <c r="B298" s="555"/>
      <c r="C298" s="555"/>
      <c r="D298" s="555"/>
      <c r="E298" s="555"/>
      <c r="F298" s="555"/>
      <c r="G298" s="555"/>
      <c r="H298" s="555"/>
      <c r="I298" s="555"/>
      <c r="J298" s="555"/>
      <c r="K298" s="555"/>
      <c r="L298" s="555"/>
      <c r="M298" s="555"/>
      <c r="N298" s="555"/>
      <c r="O298" s="555"/>
      <c r="P298" s="555"/>
      <c r="Q298" s="555"/>
      <c r="R298" s="555"/>
      <c r="S298" s="555"/>
      <c r="T298" s="555"/>
      <c r="U298" s="555"/>
      <c r="V298" s="555"/>
      <c r="W298" s="555"/>
      <c r="X298" s="555"/>
      <c r="Y298" s="555"/>
      <c r="Z298" s="555"/>
      <c r="AA298" s="555"/>
      <c r="AB298" s="546"/>
      <c r="AC298" s="547"/>
      <c r="AD298" s="547"/>
      <c r="AE298" s="547"/>
      <c r="AF298" s="547"/>
      <c r="AG298" s="547"/>
      <c r="AH298" s="552"/>
      <c r="AI298" s="555"/>
      <c r="AJ298" s="555"/>
      <c r="AK298" s="555"/>
    </row>
    <row r="299" spans="1:37">
      <c r="A299" s="555"/>
      <c r="B299" s="555"/>
      <c r="C299" s="555"/>
      <c r="D299" s="555"/>
      <c r="E299" s="555"/>
      <c r="F299" s="555"/>
      <c r="G299" s="555"/>
      <c r="H299" s="555"/>
      <c r="I299" s="555"/>
      <c r="J299" s="555"/>
      <c r="K299" s="555"/>
      <c r="L299" s="555"/>
      <c r="M299" s="555"/>
      <c r="N299" s="555"/>
      <c r="O299" s="555"/>
      <c r="P299" s="555"/>
      <c r="Q299" s="555"/>
      <c r="R299" s="555"/>
      <c r="S299" s="555"/>
      <c r="T299" s="555"/>
      <c r="U299" s="555"/>
      <c r="V299" s="555"/>
      <c r="W299" s="555"/>
      <c r="X299" s="555"/>
      <c r="Y299" s="555"/>
      <c r="Z299" s="555"/>
      <c r="AA299" s="555"/>
      <c r="AB299" s="546"/>
      <c r="AC299" s="547"/>
      <c r="AD299" s="547"/>
      <c r="AE299" s="547"/>
      <c r="AF299" s="547"/>
      <c r="AG299" s="547"/>
      <c r="AH299" s="543"/>
      <c r="AI299" s="555"/>
      <c r="AJ299" s="555"/>
      <c r="AK299" s="555"/>
    </row>
    <row r="300" spans="1:37">
      <c r="A300" s="555"/>
      <c r="B300" s="555"/>
      <c r="C300" s="555"/>
      <c r="D300" s="555"/>
      <c r="E300" s="555"/>
      <c r="F300" s="555"/>
      <c r="G300" s="555"/>
      <c r="H300" s="555"/>
      <c r="I300" s="555"/>
      <c r="J300" s="555"/>
      <c r="K300" s="555"/>
      <c r="L300" s="555"/>
      <c r="M300" s="555"/>
      <c r="N300" s="555"/>
      <c r="O300" s="555"/>
      <c r="P300" s="555"/>
      <c r="Q300" s="555"/>
      <c r="R300" s="555"/>
      <c r="S300" s="555"/>
      <c r="T300" s="555"/>
      <c r="U300" s="555"/>
      <c r="V300" s="555"/>
      <c r="W300" s="555"/>
      <c r="X300" s="555"/>
      <c r="Y300" s="555"/>
      <c r="Z300" s="555"/>
      <c r="AA300" s="555"/>
      <c r="AB300" s="555"/>
      <c r="AC300" s="555"/>
      <c r="AD300" s="555"/>
      <c r="AE300" s="555"/>
      <c r="AF300" s="555"/>
      <c r="AG300" s="555"/>
      <c r="AH300" s="557"/>
      <c r="AI300" s="555"/>
      <c r="AJ300" s="555"/>
      <c r="AK300" s="555"/>
    </row>
    <row r="301" spans="1:37">
      <c r="A301" s="555"/>
      <c r="B301" s="555"/>
      <c r="C301" s="555"/>
      <c r="D301" s="555"/>
      <c r="E301" s="555"/>
      <c r="F301" s="555"/>
      <c r="G301" s="555"/>
      <c r="H301" s="555"/>
      <c r="I301" s="555"/>
      <c r="J301" s="555"/>
      <c r="K301" s="555"/>
      <c r="L301" s="555"/>
      <c r="M301" s="555"/>
      <c r="N301" s="555"/>
      <c r="O301" s="555"/>
      <c r="P301" s="555"/>
      <c r="Q301" s="555"/>
      <c r="R301" s="555"/>
      <c r="S301" s="555"/>
      <c r="T301" s="555"/>
      <c r="U301" s="555"/>
      <c r="V301" s="555"/>
      <c r="W301" s="555"/>
      <c r="X301" s="555"/>
      <c r="Y301" s="555"/>
      <c r="Z301" s="555"/>
      <c r="AA301" s="555"/>
      <c r="AB301" s="555"/>
      <c r="AC301" s="576"/>
      <c r="AD301" s="576"/>
      <c r="AE301" s="555"/>
      <c r="AF301" s="555"/>
      <c r="AG301" s="576"/>
      <c r="AH301" s="557"/>
      <c r="AI301" s="555"/>
      <c r="AJ301" s="555"/>
      <c r="AK301" s="555"/>
    </row>
    <row r="302" spans="1:37">
      <c r="A302" s="555"/>
      <c r="B302" s="555"/>
      <c r="C302" s="555"/>
      <c r="D302" s="555"/>
      <c r="E302" s="555"/>
      <c r="F302" s="555"/>
      <c r="G302" s="555"/>
      <c r="H302" s="555"/>
      <c r="I302" s="555"/>
      <c r="J302" s="555"/>
      <c r="K302" s="555"/>
      <c r="L302" s="555"/>
      <c r="M302" s="555"/>
      <c r="N302" s="555"/>
      <c r="O302" s="555"/>
      <c r="P302" s="555"/>
      <c r="Q302" s="555"/>
      <c r="R302" s="555"/>
      <c r="S302" s="555"/>
      <c r="T302" s="555"/>
      <c r="U302" s="555"/>
      <c r="V302" s="555"/>
      <c r="W302" s="555"/>
      <c r="X302" s="555"/>
      <c r="Y302" s="555"/>
      <c r="Z302" s="555"/>
      <c r="AA302" s="555"/>
      <c r="AB302" s="555"/>
      <c r="AC302" s="555"/>
      <c r="AD302" s="555"/>
      <c r="AE302" s="555"/>
      <c r="AF302" s="555"/>
      <c r="AG302" s="555"/>
      <c r="AH302" s="557"/>
      <c r="AI302" s="555"/>
      <c r="AJ302" s="555"/>
      <c r="AK302" s="555"/>
    </row>
    <row r="303" spans="1:37">
      <c r="A303" s="555"/>
      <c r="B303" s="555"/>
      <c r="C303" s="555"/>
      <c r="D303" s="555"/>
      <c r="E303" s="555"/>
      <c r="F303" s="555"/>
      <c r="G303" s="555"/>
      <c r="H303" s="555"/>
      <c r="I303" s="555"/>
      <c r="J303" s="555"/>
      <c r="K303" s="555"/>
      <c r="L303" s="555"/>
      <c r="M303" s="555"/>
      <c r="N303" s="555"/>
      <c r="O303" s="555"/>
      <c r="P303" s="555"/>
      <c r="Q303" s="555"/>
      <c r="R303" s="555"/>
      <c r="S303" s="555"/>
      <c r="T303" s="555"/>
      <c r="U303" s="555"/>
      <c r="V303" s="555"/>
      <c r="W303" s="555"/>
      <c r="X303" s="555"/>
      <c r="Y303" s="555"/>
      <c r="Z303" s="555"/>
      <c r="AA303" s="555"/>
      <c r="AB303" s="555"/>
      <c r="AC303" s="555"/>
      <c r="AD303" s="555"/>
      <c r="AE303" s="555"/>
      <c r="AF303" s="555"/>
      <c r="AG303" s="555"/>
      <c r="AH303" s="557"/>
      <c r="AI303" s="555"/>
      <c r="AJ303" s="555"/>
      <c r="AK303" s="555"/>
    </row>
    <row r="304" spans="1:37">
      <c r="A304" s="555"/>
      <c r="B304" s="555"/>
      <c r="C304" s="555"/>
      <c r="D304" s="555"/>
      <c r="E304" s="555"/>
      <c r="F304" s="555"/>
      <c r="G304" s="555"/>
      <c r="H304" s="555"/>
      <c r="I304" s="555"/>
      <c r="J304" s="555"/>
      <c r="K304" s="555"/>
      <c r="L304" s="555"/>
      <c r="M304" s="555"/>
      <c r="N304" s="555"/>
      <c r="O304" s="555"/>
      <c r="P304" s="555"/>
      <c r="Q304" s="555"/>
      <c r="R304" s="555"/>
      <c r="S304" s="555"/>
      <c r="T304" s="555"/>
      <c r="U304" s="555"/>
      <c r="V304" s="555"/>
      <c r="W304" s="555"/>
      <c r="X304" s="555"/>
      <c r="Y304" s="555"/>
      <c r="Z304" s="555"/>
      <c r="AA304" s="555"/>
      <c r="AB304" s="555"/>
      <c r="AC304" s="555"/>
      <c r="AD304" s="555"/>
      <c r="AE304" s="555"/>
      <c r="AF304" s="555"/>
      <c r="AG304" s="555"/>
      <c r="AH304" s="557"/>
      <c r="AI304" s="555"/>
      <c r="AJ304" s="555"/>
      <c r="AK304" s="555"/>
    </row>
    <row r="305" spans="1:37">
      <c r="A305" s="555"/>
      <c r="B305" s="555"/>
      <c r="C305" s="555"/>
      <c r="D305" s="555"/>
      <c r="E305" s="555"/>
      <c r="F305" s="555"/>
      <c r="G305" s="555"/>
      <c r="H305" s="555"/>
      <c r="I305" s="555"/>
      <c r="J305" s="555"/>
      <c r="K305" s="555"/>
      <c r="L305" s="555"/>
      <c r="M305" s="555"/>
      <c r="N305" s="555"/>
      <c r="O305" s="555"/>
      <c r="P305" s="555"/>
      <c r="Q305" s="555"/>
      <c r="R305" s="555"/>
      <c r="S305" s="555"/>
      <c r="T305" s="555"/>
      <c r="U305" s="555"/>
      <c r="V305" s="555"/>
      <c r="W305" s="555"/>
      <c r="X305" s="555"/>
      <c r="Y305" s="555"/>
      <c r="Z305" s="555"/>
      <c r="AA305" s="555"/>
      <c r="AB305" s="555"/>
      <c r="AC305" s="555"/>
      <c r="AD305" s="555"/>
      <c r="AE305" s="555"/>
      <c r="AF305" s="555"/>
      <c r="AG305" s="555"/>
      <c r="AH305" s="557"/>
      <c r="AI305" s="555"/>
      <c r="AJ305" s="555"/>
      <c r="AK305" s="555"/>
    </row>
    <row r="306" spans="1:37">
      <c r="A306" s="555"/>
      <c r="B306" s="555"/>
      <c r="C306" s="555"/>
      <c r="D306" s="555"/>
      <c r="E306" s="555"/>
      <c r="F306" s="555"/>
      <c r="G306" s="555"/>
      <c r="H306" s="555"/>
      <c r="I306" s="555"/>
      <c r="J306" s="555"/>
      <c r="K306" s="555"/>
      <c r="L306" s="555"/>
      <c r="M306" s="555"/>
      <c r="N306" s="555"/>
      <c r="O306" s="555"/>
      <c r="P306" s="555"/>
      <c r="Q306" s="555"/>
      <c r="R306" s="555"/>
      <c r="S306" s="555"/>
      <c r="T306" s="555"/>
      <c r="U306" s="555"/>
      <c r="V306" s="555"/>
      <c r="W306" s="555"/>
      <c r="X306" s="555"/>
      <c r="Y306" s="555"/>
      <c r="Z306" s="555"/>
      <c r="AA306" s="555"/>
      <c r="AB306" s="555"/>
      <c r="AC306" s="555"/>
      <c r="AD306" s="555"/>
      <c r="AE306" s="555"/>
      <c r="AF306" s="555"/>
      <c r="AG306" s="555"/>
      <c r="AH306" s="557"/>
      <c r="AI306" s="555"/>
      <c r="AJ306" s="555"/>
      <c r="AK306" s="555"/>
    </row>
    <row r="307" spans="1:37">
      <c r="A307" s="555"/>
      <c r="B307" s="555"/>
      <c r="C307" s="555"/>
      <c r="D307" s="555"/>
      <c r="E307" s="555"/>
      <c r="F307" s="555"/>
      <c r="G307" s="555"/>
      <c r="H307" s="555"/>
      <c r="I307" s="555"/>
      <c r="J307" s="555"/>
      <c r="K307" s="555"/>
      <c r="L307" s="555"/>
      <c r="M307" s="555"/>
      <c r="N307" s="555"/>
      <c r="O307" s="555"/>
      <c r="P307" s="555"/>
      <c r="Q307" s="555"/>
      <c r="R307" s="555"/>
      <c r="S307" s="555"/>
      <c r="T307" s="555"/>
      <c r="U307" s="555"/>
      <c r="V307" s="555"/>
      <c r="W307" s="555"/>
      <c r="X307" s="555"/>
      <c r="Y307" s="555"/>
      <c r="Z307" s="555"/>
      <c r="AA307" s="555"/>
      <c r="AB307" s="555"/>
      <c r="AC307" s="555"/>
      <c r="AD307" s="555"/>
      <c r="AE307" s="555"/>
      <c r="AF307" s="555"/>
      <c r="AG307" s="555"/>
      <c r="AH307" s="557"/>
      <c r="AI307" s="555"/>
      <c r="AJ307" s="555"/>
      <c r="AK307" s="555"/>
    </row>
    <row r="308" spans="1:37">
      <c r="A308" s="555"/>
      <c r="B308" s="555"/>
      <c r="C308" s="555"/>
      <c r="D308" s="555"/>
      <c r="E308" s="555"/>
      <c r="F308" s="555"/>
      <c r="G308" s="555"/>
      <c r="H308" s="555"/>
      <c r="I308" s="555"/>
      <c r="J308" s="555"/>
      <c r="K308" s="555"/>
      <c r="L308" s="555"/>
      <c r="M308" s="555"/>
      <c r="N308" s="555"/>
      <c r="O308" s="555"/>
      <c r="P308" s="555"/>
      <c r="Q308" s="555"/>
      <c r="R308" s="555"/>
      <c r="S308" s="555"/>
      <c r="T308" s="555"/>
      <c r="U308" s="555"/>
      <c r="V308" s="555"/>
      <c r="W308" s="555"/>
      <c r="X308" s="555"/>
      <c r="Y308" s="555"/>
      <c r="Z308" s="555"/>
      <c r="AA308" s="555"/>
      <c r="AB308" s="555"/>
      <c r="AC308" s="555"/>
      <c r="AD308" s="555"/>
      <c r="AE308" s="555"/>
      <c r="AF308" s="555"/>
      <c r="AG308" s="555"/>
      <c r="AH308" s="557"/>
      <c r="AI308" s="555"/>
      <c r="AJ308" s="555"/>
      <c r="AK308" s="555"/>
    </row>
    <row r="309" spans="1:37">
      <c r="A309" s="555"/>
      <c r="B309" s="555"/>
      <c r="C309" s="555"/>
      <c r="D309" s="555"/>
      <c r="E309" s="555"/>
      <c r="F309" s="555"/>
      <c r="G309" s="555"/>
      <c r="H309" s="555"/>
      <c r="I309" s="555"/>
      <c r="J309" s="555"/>
      <c r="K309" s="555"/>
      <c r="L309" s="555"/>
      <c r="M309" s="555"/>
      <c r="N309" s="555"/>
      <c r="O309" s="555"/>
      <c r="P309" s="555"/>
      <c r="Q309" s="555"/>
      <c r="R309" s="555"/>
      <c r="S309" s="555"/>
      <c r="T309" s="555"/>
      <c r="U309" s="555"/>
      <c r="V309" s="555"/>
      <c r="W309" s="555"/>
      <c r="X309" s="555"/>
      <c r="Y309" s="555"/>
      <c r="Z309" s="555"/>
      <c r="AA309" s="555"/>
      <c r="AB309" s="555"/>
      <c r="AC309" s="555"/>
      <c r="AD309" s="555"/>
      <c r="AE309" s="555"/>
      <c r="AF309" s="555"/>
      <c r="AG309" s="555"/>
      <c r="AH309" s="557"/>
      <c r="AI309" s="555"/>
      <c r="AJ309" s="555"/>
      <c r="AK309" s="555"/>
    </row>
    <row r="310" spans="1:37">
      <c r="A310" s="555"/>
      <c r="B310" s="555"/>
      <c r="C310" s="555"/>
      <c r="D310" s="555"/>
      <c r="E310" s="555"/>
      <c r="F310" s="555"/>
      <c r="G310" s="555"/>
      <c r="H310" s="555"/>
      <c r="I310" s="555"/>
      <c r="J310" s="555"/>
      <c r="K310" s="555"/>
      <c r="L310" s="555"/>
      <c r="M310" s="555"/>
      <c r="N310" s="555"/>
      <c r="O310" s="555"/>
      <c r="P310" s="555"/>
      <c r="Q310" s="555"/>
      <c r="R310" s="555"/>
      <c r="S310" s="555"/>
      <c r="T310" s="555"/>
      <c r="U310" s="555"/>
      <c r="V310" s="555"/>
      <c r="W310" s="555"/>
      <c r="X310" s="555"/>
      <c r="Y310" s="555"/>
      <c r="Z310" s="555"/>
      <c r="AA310" s="555"/>
      <c r="AB310" s="555"/>
      <c r="AC310" s="555"/>
      <c r="AD310" s="555"/>
      <c r="AE310" s="555"/>
      <c r="AF310" s="555"/>
      <c r="AG310" s="555"/>
      <c r="AH310" s="557"/>
      <c r="AI310" s="555"/>
      <c r="AJ310" s="555"/>
      <c r="AK310" s="555"/>
    </row>
    <row r="311" spans="1:37">
      <c r="A311" s="555"/>
      <c r="B311" s="555"/>
      <c r="C311" s="555"/>
      <c r="D311" s="555"/>
      <c r="E311" s="555"/>
      <c r="F311" s="555"/>
      <c r="G311" s="555"/>
      <c r="H311" s="555"/>
      <c r="I311" s="555"/>
      <c r="J311" s="555"/>
      <c r="K311" s="555"/>
      <c r="L311" s="555"/>
      <c r="M311" s="555"/>
      <c r="N311" s="555"/>
      <c r="O311" s="555"/>
      <c r="P311" s="555"/>
      <c r="Q311" s="555"/>
      <c r="R311" s="555"/>
      <c r="S311" s="555"/>
      <c r="T311" s="555"/>
      <c r="U311" s="555"/>
      <c r="V311" s="555"/>
      <c r="W311" s="555"/>
      <c r="X311" s="555"/>
      <c r="Y311" s="555"/>
      <c r="Z311" s="555"/>
      <c r="AA311" s="555"/>
      <c r="AB311" s="555"/>
      <c r="AC311" s="555"/>
      <c r="AD311" s="555"/>
      <c r="AE311" s="555"/>
      <c r="AF311" s="555"/>
      <c r="AG311" s="555"/>
      <c r="AH311" s="557"/>
      <c r="AI311" s="555"/>
      <c r="AJ311" s="555"/>
      <c r="AK311" s="555"/>
    </row>
    <row r="312" spans="1:37">
      <c r="A312" s="555"/>
      <c r="B312" s="555"/>
      <c r="C312" s="555"/>
      <c r="D312" s="555"/>
      <c r="E312" s="555"/>
      <c r="F312" s="555"/>
      <c r="G312" s="555"/>
      <c r="H312" s="555"/>
      <c r="I312" s="555"/>
      <c r="J312" s="555"/>
      <c r="K312" s="555"/>
      <c r="L312" s="555"/>
      <c r="M312" s="555"/>
      <c r="N312" s="555"/>
      <c r="O312" s="555"/>
      <c r="P312" s="555"/>
      <c r="Q312" s="555"/>
      <c r="R312" s="555"/>
      <c r="S312" s="555"/>
      <c r="T312" s="555"/>
      <c r="U312" s="555"/>
      <c r="V312" s="555"/>
      <c r="W312" s="555"/>
      <c r="X312" s="555"/>
      <c r="Y312" s="555"/>
      <c r="Z312" s="555"/>
      <c r="AA312" s="555"/>
      <c r="AB312" s="555"/>
      <c r="AC312" s="555"/>
      <c r="AD312" s="555"/>
      <c r="AE312" s="555"/>
      <c r="AF312" s="555"/>
      <c r="AG312" s="555"/>
      <c r="AH312" s="557"/>
      <c r="AI312" s="555"/>
      <c r="AJ312" s="555"/>
      <c r="AK312" s="555"/>
    </row>
    <row r="313" spans="1:37">
      <c r="A313" s="555"/>
      <c r="B313" s="555"/>
      <c r="C313" s="555"/>
      <c r="D313" s="555"/>
      <c r="E313" s="555"/>
      <c r="F313" s="555"/>
      <c r="G313" s="555"/>
      <c r="H313" s="555"/>
      <c r="I313" s="555"/>
      <c r="J313" s="555"/>
      <c r="K313" s="555"/>
      <c r="L313" s="555"/>
      <c r="M313" s="555"/>
      <c r="N313" s="555"/>
      <c r="O313" s="555"/>
      <c r="P313" s="555"/>
      <c r="Q313" s="555"/>
      <c r="R313" s="555"/>
      <c r="S313" s="555"/>
      <c r="T313" s="555"/>
      <c r="U313" s="555"/>
      <c r="V313" s="555"/>
      <c r="W313" s="555"/>
      <c r="X313" s="555"/>
      <c r="Y313" s="555"/>
      <c r="Z313" s="555"/>
      <c r="AA313" s="555"/>
      <c r="AB313" s="555"/>
      <c r="AC313" s="555"/>
      <c r="AD313" s="555"/>
      <c r="AE313" s="555"/>
      <c r="AF313" s="555"/>
      <c r="AG313" s="555"/>
      <c r="AH313" s="557"/>
      <c r="AI313" s="555"/>
      <c r="AJ313" s="555"/>
      <c r="AK313" s="555"/>
    </row>
    <row r="314" spans="1:37">
      <c r="A314" s="555"/>
      <c r="B314" s="555"/>
      <c r="C314" s="555"/>
      <c r="D314" s="555"/>
      <c r="E314" s="555"/>
      <c r="F314" s="555"/>
      <c r="G314" s="555"/>
      <c r="H314" s="555"/>
      <c r="I314" s="555"/>
      <c r="J314" s="555"/>
      <c r="K314" s="555"/>
      <c r="L314" s="555"/>
      <c r="M314" s="555"/>
      <c r="N314" s="555"/>
      <c r="O314" s="555"/>
      <c r="P314" s="555"/>
      <c r="Q314" s="555"/>
      <c r="R314" s="555"/>
      <c r="S314" s="555"/>
      <c r="T314" s="555"/>
      <c r="U314" s="555"/>
      <c r="V314" s="555"/>
      <c r="W314" s="555"/>
      <c r="X314" s="555"/>
      <c r="Y314" s="555"/>
      <c r="Z314" s="555"/>
      <c r="AA314" s="555"/>
      <c r="AB314" s="555"/>
      <c r="AC314" s="555"/>
      <c r="AD314" s="555"/>
      <c r="AE314" s="555"/>
      <c r="AF314" s="555"/>
      <c r="AG314" s="555"/>
      <c r="AH314" s="557"/>
      <c r="AI314" s="555"/>
      <c r="AJ314" s="555"/>
      <c r="AK314" s="555"/>
    </row>
    <row r="315" spans="1:37">
      <c r="A315" s="555"/>
      <c r="B315" s="555"/>
      <c r="C315" s="555"/>
      <c r="D315" s="555"/>
      <c r="E315" s="555"/>
      <c r="F315" s="555"/>
      <c r="G315" s="555"/>
      <c r="H315" s="555"/>
      <c r="I315" s="555"/>
      <c r="J315" s="555"/>
      <c r="K315" s="555"/>
      <c r="L315" s="555"/>
      <c r="M315" s="555"/>
      <c r="N315" s="555"/>
      <c r="O315" s="555"/>
      <c r="P315" s="555"/>
      <c r="Q315" s="555"/>
      <c r="R315" s="555"/>
      <c r="S315" s="555"/>
      <c r="T315" s="555"/>
      <c r="U315" s="555"/>
      <c r="V315" s="555"/>
      <c r="W315" s="555"/>
      <c r="X315" s="555"/>
      <c r="Y315" s="555"/>
      <c r="Z315" s="555"/>
      <c r="AA315" s="555"/>
      <c r="AB315" s="555"/>
      <c r="AC315" s="555"/>
      <c r="AD315" s="555"/>
      <c r="AE315" s="555"/>
      <c r="AF315" s="555"/>
      <c r="AG315" s="555"/>
      <c r="AH315" s="557"/>
      <c r="AI315" s="555"/>
      <c r="AJ315" s="555"/>
      <c r="AK315" s="555"/>
    </row>
    <row r="316" spans="1:37">
      <c r="A316" s="555"/>
      <c r="B316" s="555"/>
      <c r="C316" s="555"/>
      <c r="D316" s="555"/>
      <c r="E316" s="555"/>
      <c r="F316" s="555"/>
      <c r="G316" s="555"/>
      <c r="H316" s="555"/>
      <c r="I316" s="555"/>
      <c r="J316" s="555"/>
      <c r="K316" s="555"/>
      <c r="L316" s="555"/>
      <c r="M316" s="555"/>
      <c r="N316" s="555"/>
      <c r="O316" s="555"/>
      <c r="P316" s="555"/>
      <c r="Q316" s="555"/>
      <c r="R316" s="555"/>
      <c r="S316" s="555"/>
      <c r="T316" s="555"/>
      <c r="U316" s="555"/>
      <c r="V316" s="555"/>
      <c r="W316" s="555"/>
      <c r="X316" s="555"/>
      <c r="Y316" s="555"/>
      <c r="Z316" s="555"/>
      <c r="AA316" s="555"/>
      <c r="AB316" s="555"/>
      <c r="AC316" s="555"/>
      <c r="AD316" s="555"/>
      <c r="AE316" s="555"/>
      <c r="AF316" s="555"/>
      <c r="AG316" s="555"/>
      <c r="AH316" s="557"/>
      <c r="AI316" s="555"/>
      <c r="AJ316" s="555"/>
      <c r="AK316" s="555"/>
    </row>
    <row r="317" spans="1:37">
      <c r="A317" s="555"/>
      <c r="B317" s="555"/>
      <c r="C317" s="555"/>
      <c r="D317" s="555"/>
      <c r="E317" s="555"/>
      <c r="F317" s="555"/>
      <c r="G317" s="555"/>
      <c r="H317" s="555"/>
      <c r="I317" s="555"/>
      <c r="J317" s="555"/>
      <c r="K317" s="555"/>
      <c r="L317" s="555"/>
      <c r="M317" s="555"/>
      <c r="N317" s="555"/>
      <c r="O317" s="555"/>
      <c r="P317" s="555"/>
      <c r="Q317" s="555"/>
      <c r="R317" s="555"/>
      <c r="S317" s="555"/>
      <c r="T317" s="555"/>
      <c r="U317" s="555"/>
      <c r="V317" s="555"/>
      <c r="W317" s="555"/>
      <c r="X317" s="555"/>
      <c r="Y317" s="555"/>
      <c r="Z317" s="555"/>
      <c r="AA317" s="555"/>
      <c r="AB317" s="555"/>
      <c r="AC317" s="555"/>
      <c r="AD317" s="555"/>
      <c r="AE317" s="555"/>
      <c r="AF317" s="555"/>
      <c r="AG317" s="555"/>
      <c r="AH317" s="557"/>
      <c r="AI317" s="555"/>
      <c r="AJ317" s="555"/>
      <c r="AK317" s="555"/>
    </row>
    <row r="318" spans="1:37">
      <c r="A318" s="555"/>
      <c r="B318" s="555"/>
      <c r="C318" s="555"/>
      <c r="D318" s="555"/>
      <c r="E318" s="555"/>
      <c r="F318" s="555"/>
      <c r="G318" s="555"/>
      <c r="H318" s="555"/>
      <c r="I318" s="555"/>
      <c r="J318" s="555"/>
      <c r="K318" s="555"/>
      <c r="L318" s="555"/>
      <c r="M318" s="555"/>
      <c r="N318" s="555"/>
      <c r="O318" s="555"/>
      <c r="P318" s="555"/>
      <c r="Q318" s="555"/>
      <c r="R318" s="555"/>
      <c r="S318" s="555"/>
      <c r="T318" s="555"/>
      <c r="U318" s="555"/>
      <c r="V318" s="555"/>
      <c r="W318" s="555"/>
      <c r="X318" s="555"/>
      <c r="Y318" s="555"/>
      <c r="Z318" s="555"/>
      <c r="AA318" s="555"/>
      <c r="AB318" s="555"/>
      <c r="AC318" s="555"/>
      <c r="AD318" s="555"/>
      <c r="AE318" s="555"/>
      <c r="AF318" s="555"/>
      <c r="AG318" s="555"/>
      <c r="AH318" s="557"/>
      <c r="AI318" s="555"/>
      <c r="AJ318" s="555"/>
      <c r="AK318" s="555"/>
    </row>
    <row r="319" spans="1:37">
      <c r="A319" s="555"/>
      <c r="B319" s="555"/>
      <c r="C319" s="555"/>
      <c r="D319" s="555"/>
      <c r="E319" s="555"/>
      <c r="F319" s="555"/>
      <c r="G319" s="555"/>
      <c r="H319" s="555"/>
      <c r="I319" s="555"/>
      <c r="J319" s="555"/>
      <c r="K319" s="555"/>
      <c r="L319" s="555"/>
      <c r="M319" s="555"/>
      <c r="N319" s="555"/>
      <c r="O319" s="555"/>
      <c r="P319" s="555"/>
      <c r="Q319" s="555"/>
      <c r="R319" s="555"/>
      <c r="S319" s="555"/>
      <c r="T319" s="555"/>
      <c r="U319" s="555"/>
      <c r="V319" s="555"/>
      <c r="W319" s="555"/>
      <c r="X319" s="555"/>
      <c r="Y319" s="555"/>
      <c r="Z319" s="555"/>
      <c r="AA319" s="555"/>
      <c r="AB319" s="555"/>
      <c r="AC319" s="555"/>
      <c r="AD319" s="555"/>
      <c r="AE319" s="555"/>
      <c r="AF319" s="555"/>
      <c r="AG319" s="555"/>
      <c r="AH319" s="557"/>
      <c r="AI319" s="555"/>
      <c r="AJ319" s="555"/>
      <c r="AK319" s="555"/>
    </row>
    <row r="320" spans="1:37">
      <c r="A320" s="555"/>
      <c r="B320" s="555"/>
      <c r="C320" s="555"/>
      <c r="D320" s="555"/>
      <c r="E320" s="555"/>
      <c r="F320" s="555"/>
      <c r="G320" s="555"/>
      <c r="H320" s="555"/>
      <c r="I320" s="555"/>
      <c r="J320" s="555"/>
      <c r="K320" s="555"/>
      <c r="L320" s="555"/>
      <c r="M320" s="555"/>
      <c r="N320" s="555"/>
      <c r="O320" s="555"/>
      <c r="P320" s="555"/>
      <c r="Q320" s="555"/>
      <c r="R320" s="555"/>
      <c r="S320" s="555"/>
      <c r="T320" s="555"/>
      <c r="U320" s="555"/>
      <c r="V320" s="555"/>
      <c r="W320" s="555"/>
      <c r="X320" s="555"/>
      <c r="Y320" s="555"/>
      <c r="Z320" s="555"/>
      <c r="AA320" s="555"/>
      <c r="AB320" s="555"/>
      <c r="AC320" s="555"/>
      <c r="AD320" s="555"/>
      <c r="AE320" s="555"/>
      <c r="AF320" s="555"/>
      <c r="AG320" s="555"/>
      <c r="AH320" s="557"/>
      <c r="AI320" s="555"/>
      <c r="AJ320" s="555"/>
      <c r="AK320" s="555"/>
    </row>
    <row r="321" spans="1:37">
      <c r="A321" s="555"/>
      <c r="B321" s="555"/>
      <c r="C321" s="555"/>
      <c r="D321" s="555"/>
      <c r="E321" s="555"/>
      <c r="F321" s="555"/>
      <c r="G321" s="555"/>
      <c r="H321" s="555"/>
      <c r="I321" s="555"/>
      <c r="J321" s="555"/>
      <c r="K321" s="555"/>
      <c r="L321" s="555"/>
      <c r="M321" s="555"/>
      <c r="N321" s="555"/>
      <c r="O321" s="555"/>
      <c r="P321" s="555"/>
      <c r="Q321" s="555"/>
      <c r="R321" s="555"/>
      <c r="S321" s="555"/>
      <c r="T321" s="555"/>
      <c r="U321" s="555"/>
      <c r="V321" s="555"/>
      <c r="W321" s="555"/>
      <c r="X321" s="555"/>
      <c r="Y321" s="555"/>
      <c r="Z321" s="555"/>
      <c r="AA321" s="555"/>
      <c r="AB321" s="555"/>
      <c r="AC321" s="555"/>
      <c r="AD321" s="555"/>
      <c r="AE321" s="555"/>
      <c r="AF321" s="555"/>
      <c r="AG321" s="555"/>
      <c r="AH321" s="557"/>
      <c r="AI321" s="555"/>
      <c r="AJ321" s="555"/>
      <c r="AK321" s="555"/>
    </row>
    <row r="322" spans="1:37">
      <c r="A322" s="555"/>
      <c r="B322" s="555"/>
      <c r="C322" s="555"/>
      <c r="D322" s="555"/>
      <c r="E322" s="555"/>
      <c r="F322" s="555"/>
      <c r="G322" s="555"/>
      <c r="H322" s="555"/>
      <c r="I322" s="555"/>
      <c r="J322" s="555"/>
      <c r="K322" s="555"/>
      <c r="L322" s="555"/>
      <c r="M322" s="555"/>
      <c r="N322" s="555"/>
      <c r="O322" s="555"/>
      <c r="P322" s="555"/>
      <c r="Q322" s="555"/>
      <c r="R322" s="555"/>
      <c r="S322" s="555"/>
      <c r="T322" s="555"/>
      <c r="U322" s="555"/>
      <c r="V322" s="555"/>
      <c r="W322" s="555"/>
      <c r="X322" s="555"/>
      <c r="Y322" s="555"/>
      <c r="Z322" s="555"/>
      <c r="AA322" s="555"/>
      <c r="AB322" s="555"/>
      <c r="AC322" s="555"/>
      <c r="AD322" s="555"/>
      <c r="AE322" s="555"/>
      <c r="AF322" s="555"/>
      <c r="AG322" s="555"/>
      <c r="AH322" s="557"/>
      <c r="AI322" s="555"/>
      <c r="AJ322" s="555"/>
      <c r="AK322" s="555"/>
    </row>
    <row r="323" spans="1:37">
      <c r="A323" s="555"/>
      <c r="B323" s="555"/>
      <c r="C323" s="555"/>
      <c r="D323" s="555"/>
      <c r="E323" s="555"/>
      <c r="F323" s="555"/>
      <c r="G323" s="555"/>
      <c r="H323" s="555"/>
      <c r="I323" s="555"/>
      <c r="J323" s="555"/>
      <c r="K323" s="555"/>
      <c r="L323" s="555"/>
      <c r="M323" s="555"/>
      <c r="N323" s="555"/>
      <c r="O323" s="555"/>
      <c r="P323" s="555"/>
      <c r="Q323" s="555"/>
      <c r="R323" s="555"/>
      <c r="S323" s="555"/>
      <c r="T323" s="555"/>
      <c r="U323" s="555"/>
      <c r="V323" s="555"/>
      <c r="W323" s="555"/>
      <c r="X323" s="555"/>
      <c r="Y323" s="555"/>
      <c r="Z323" s="555"/>
      <c r="AA323" s="555"/>
      <c r="AB323" s="555"/>
      <c r="AC323" s="555"/>
      <c r="AD323" s="555"/>
      <c r="AE323" s="555"/>
      <c r="AF323" s="555"/>
      <c r="AG323" s="555"/>
      <c r="AH323" s="557"/>
      <c r="AI323" s="555"/>
      <c r="AJ323" s="555"/>
      <c r="AK323" s="555"/>
    </row>
    <row r="324" spans="1:37">
      <c r="A324" s="555"/>
      <c r="B324" s="555"/>
      <c r="C324" s="555"/>
      <c r="D324" s="555"/>
      <c r="E324" s="555"/>
      <c r="F324" s="555"/>
      <c r="G324" s="555"/>
      <c r="H324" s="555"/>
      <c r="I324" s="555"/>
      <c r="J324" s="555"/>
      <c r="K324" s="555"/>
      <c r="L324" s="555"/>
      <c r="M324" s="555"/>
      <c r="N324" s="555"/>
      <c r="O324" s="555"/>
      <c r="P324" s="555"/>
      <c r="Q324" s="555"/>
      <c r="R324" s="555"/>
      <c r="S324" s="555"/>
      <c r="T324" s="555"/>
      <c r="U324" s="555"/>
      <c r="V324" s="555"/>
      <c r="W324" s="555"/>
      <c r="X324" s="555"/>
      <c r="Y324" s="555"/>
      <c r="Z324" s="555"/>
      <c r="AA324" s="555"/>
      <c r="AB324" s="555"/>
      <c r="AC324" s="555"/>
      <c r="AD324" s="555"/>
      <c r="AE324" s="555"/>
      <c r="AF324" s="555"/>
      <c r="AG324" s="555"/>
      <c r="AH324" s="557"/>
      <c r="AI324" s="555"/>
      <c r="AJ324" s="555"/>
      <c r="AK324" s="555"/>
    </row>
    <row r="325" spans="1:37">
      <c r="A325" s="555"/>
      <c r="B325" s="555"/>
      <c r="C325" s="555"/>
      <c r="D325" s="555"/>
      <c r="E325" s="555"/>
      <c r="F325" s="555"/>
      <c r="G325" s="555"/>
      <c r="H325" s="555"/>
      <c r="I325" s="555"/>
      <c r="J325" s="555"/>
      <c r="K325" s="555"/>
      <c r="L325" s="555"/>
      <c r="M325" s="555"/>
      <c r="N325" s="555"/>
      <c r="O325" s="555"/>
      <c r="P325" s="555"/>
      <c r="Q325" s="555"/>
      <c r="R325" s="555"/>
      <c r="S325" s="555"/>
      <c r="T325" s="555"/>
      <c r="U325" s="555"/>
      <c r="V325" s="555"/>
      <c r="W325" s="555"/>
      <c r="X325" s="555"/>
      <c r="Y325" s="555"/>
      <c r="Z325" s="555"/>
      <c r="AA325" s="555"/>
      <c r="AB325" s="555"/>
      <c r="AC325" s="555"/>
      <c r="AD325" s="555"/>
      <c r="AE325" s="555"/>
      <c r="AF325" s="555"/>
      <c r="AG325" s="555"/>
      <c r="AH325" s="557"/>
      <c r="AI325" s="555"/>
      <c r="AJ325" s="555"/>
      <c r="AK325" s="555"/>
    </row>
    <row r="326" spans="1:37">
      <c r="A326" s="555"/>
      <c r="B326" s="555"/>
      <c r="C326" s="555"/>
      <c r="D326" s="555"/>
      <c r="E326" s="555"/>
      <c r="F326" s="555"/>
      <c r="G326" s="555"/>
      <c r="H326" s="555"/>
      <c r="I326" s="555"/>
      <c r="J326" s="555"/>
      <c r="K326" s="555"/>
      <c r="L326" s="555"/>
      <c r="M326" s="555"/>
      <c r="N326" s="555"/>
      <c r="O326" s="555"/>
      <c r="P326" s="555"/>
      <c r="Q326" s="555"/>
      <c r="R326" s="555"/>
      <c r="S326" s="555"/>
      <c r="T326" s="555"/>
      <c r="U326" s="555"/>
      <c r="V326" s="555"/>
      <c r="W326" s="555"/>
      <c r="X326" s="555"/>
      <c r="Y326" s="555"/>
      <c r="Z326" s="555"/>
      <c r="AA326" s="555"/>
      <c r="AB326" s="555"/>
      <c r="AC326" s="555"/>
      <c r="AD326" s="555"/>
      <c r="AE326" s="555"/>
      <c r="AF326" s="555"/>
      <c r="AG326" s="555"/>
      <c r="AH326" s="557"/>
      <c r="AI326" s="555"/>
      <c r="AJ326" s="555"/>
      <c r="AK326" s="555"/>
    </row>
    <row r="327" spans="1:37">
      <c r="A327" s="555"/>
      <c r="B327" s="555"/>
      <c r="C327" s="555"/>
      <c r="D327" s="555"/>
      <c r="E327" s="555"/>
      <c r="F327" s="555"/>
      <c r="G327" s="555"/>
      <c r="H327" s="555"/>
      <c r="I327" s="555"/>
      <c r="J327" s="555"/>
      <c r="K327" s="555"/>
      <c r="L327" s="555"/>
      <c r="M327" s="555"/>
      <c r="N327" s="555"/>
      <c r="O327" s="555"/>
      <c r="P327" s="555"/>
      <c r="Q327" s="555"/>
      <c r="R327" s="555"/>
      <c r="S327" s="555"/>
      <c r="T327" s="555"/>
      <c r="U327" s="555"/>
      <c r="V327" s="555"/>
      <c r="W327" s="555"/>
      <c r="X327" s="555"/>
      <c r="Y327" s="555"/>
      <c r="Z327" s="555"/>
      <c r="AA327" s="555"/>
      <c r="AB327" s="555"/>
      <c r="AC327" s="555"/>
      <c r="AD327" s="555"/>
      <c r="AE327" s="555"/>
      <c r="AF327" s="555"/>
      <c r="AG327" s="555"/>
      <c r="AH327" s="557"/>
      <c r="AI327" s="555"/>
      <c r="AJ327" s="555"/>
      <c r="AK327" s="555"/>
    </row>
    <row r="328" spans="1:37">
      <c r="A328" s="555"/>
      <c r="B328" s="555"/>
      <c r="C328" s="555"/>
      <c r="D328" s="555"/>
      <c r="E328" s="555"/>
      <c r="F328" s="555"/>
      <c r="G328" s="555"/>
      <c r="H328" s="555"/>
      <c r="I328" s="555"/>
      <c r="J328" s="555"/>
      <c r="K328" s="555"/>
      <c r="L328" s="555"/>
      <c r="M328" s="555"/>
      <c r="N328" s="555"/>
      <c r="O328" s="555"/>
      <c r="P328" s="555"/>
      <c r="Q328" s="555"/>
      <c r="R328" s="555"/>
      <c r="S328" s="555"/>
      <c r="T328" s="555"/>
      <c r="U328" s="555"/>
      <c r="V328" s="555"/>
      <c r="W328" s="555"/>
      <c r="X328" s="555"/>
      <c r="Y328" s="555"/>
      <c r="Z328" s="555"/>
      <c r="AA328" s="555"/>
      <c r="AB328" s="555"/>
      <c r="AC328" s="555"/>
      <c r="AD328" s="555"/>
      <c r="AE328" s="555"/>
      <c r="AF328" s="555"/>
      <c r="AG328" s="555"/>
      <c r="AH328" s="557"/>
      <c r="AI328" s="555"/>
      <c r="AJ328" s="555"/>
      <c r="AK328" s="555"/>
    </row>
    <row r="329" spans="1:37">
      <c r="A329" s="555"/>
      <c r="B329" s="555"/>
      <c r="C329" s="555"/>
      <c r="D329" s="555"/>
      <c r="E329" s="555"/>
      <c r="F329" s="555"/>
      <c r="G329" s="555"/>
      <c r="H329" s="555"/>
      <c r="I329" s="555"/>
      <c r="J329" s="555"/>
      <c r="K329" s="555"/>
      <c r="L329" s="555"/>
      <c r="M329" s="555"/>
      <c r="N329" s="555"/>
      <c r="O329" s="555"/>
      <c r="P329" s="555"/>
      <c r="Q329" s="555"/>
      <c r="R329" s="555"/>
      <c r="S329" s="555"/>
      <c r="T329" s="555"/>
      <c r="U329" s="555"/>
      <c r="V329" s="555"/>
      <c r="W329" s="555"/>
      <c r="X329" s="555"/>
      <c r="Y329" s="555"/>
      <c r="Z329" s="555"/>
      <c r="AA329" s="555"/>
      <c r="AB329" s="555"/>
      <c r="AC329" s="555"/>
      <c r="AD329" s="555"/>
      <c r="AE329" s="555"/>
      <c r="AF329" s="555"/>
      <c r="AG329" s="555"/>
      <c r="AH329" s="557"/>
      <c r="AI329" s="555"/>
      <c r="AJ329" s="555"/>
      <c r="AK329" s="555"/>
    </row>
    <row r="330" spans="1:37">
      <c r="A330" s="555"/>
      <c r="B330" s="555"/>
      <c r="C330" s="555"/>
      <c r="D330" s="555"/>
      <c r="E330" s="555"/>
      <c r="F330" s="555"/>
      <c r="G330" s="555"/>
      <c r="H330" s="555"/>
      <c r="I330" s="555"/>
      <c r="J330" s="555"/>
      <c r="K330" s="555"/>
      <c r="L330" s="555"/>
      <c r="M330" s="555"/>
      <c r="N330" s="555"/>
      <c r="O330" s="555"/>
      <c r="P330" s="555"/>
      <c r="Q330" s="555"/>
      <c r="R330" s="555"/>
      <c r="S330" s="555"/>
      <c r="T330" s="555"/>
      <c r="U330" s="555"/>
      <c r="V330" s="555"/>
      <c r="W330" s="555"/>
      <c r="X330" s="555"/>
      <c r="Y330" s="555"/>
      <c r="Z330" s="555"/>
      <c r="AA330" s="555"/>
      <c r="AB330" s="555"/>
      <c r="AC330" s="555"/>
      <c r="AD330" s="555"/>
      <c r="AE330" s="555"/>
      <c r="AF330" s="555"/>
      <c r="AG330" s="555"/>
      <c r="AH330" s="557"/>
      <c r="AI330" s="555"/>
      <c r="AJ330" s="555"/>
      <c r="AK330" s="555"/>
    </row>
    <row r="331" spans="1:37">
      <c r="A331" s="555"/>
      <c r="B331" s="555"/>
      <c r="C331" s="555"/>
      <c r="D331" s="555"/>
      <c r="E331" s="555"/>
      <c r="F331" s="555"/>
      <c r="G331" s="555"/>
      <c r="H331" s="555"/>
      <c r="I331" s="555"/>
      <c r="J331" s="555"/>
      <c r="K331" s="555"/>
      <c r="L331" s="555"/>
      <c r="M331" s="555"/>
      <c r="N331" s="555"/>
      <c r="O331" s="555"/>
      <c r="P331" s="555"/>
      <c r="Q331" s="555"/>
      <c r="R331" s="555"/>
      <c r="S331" s="555"/>
      <c r="T331" s="555"/>
      <c r="U331" s="555"/>
      <c r="V331" s="555"/>
      <c r="W331" s="555"/>
      <c r="X331" s="555"/>
      <c r="Y331" s="555"/>
      <c r="Z331" s="555"/>
      <c r="AA331" s="555"/>
      <c r="AB331" s="555"/>
      <c r="AC331" s="555"/>
      <c r="AD331" s="555"/>
      <c r="AE331" s="555"/>
      <c r="AF331" s="555"/>
      <c r="AG331" s="555"/>
      <c r="AH331" s="557"/>
      <c r="AI331" s="555"/>
      <c r="AJ331" s="555"/>
      <c r="AK331" s="555"/>
    </row>
    <row r="332" spans="1:37">
      <c r="A332" s="555"/>
      <c r="B332" s="555"/>
      <c r="C332" s="555"/>
      <c r="D332" s="555"/>
      <c r="E332" s="555"/>
      <c r="F332" s="555"/>
      <c r="G332" s="555"/>
      <c r="H332" s="555"/>
      <c r="I332" s="555"/>
      <c r="J332" s="555"/>
      <c r="K332" s="555"/>
      <c r="L332" s="555"/>
      <c r="M332" s="555"/>
      <c r="N332" s="555"/>
      <c r="O332" s="555"/>
      <c r="P332" s="555"/>
      <c r="Q332" s="555"/>
      <c r="R332" s="555"/>
      <c r="S332" s="555"/>
      <c r="T332" s="555"/>
      <c r="U332" s="555"/>
      <c r="V332" s="555"/>
      <c r="W332" s="555"/>
      <c r="X332" s="555"/>
      <c r="Y332" s="555"/>
      <c r="Z332" s="557"/>
      <c r="AA332" s="555"/>
      <c r="AB332" s="555"/>
      <c r="AC332" s="555"/>
      <c r="AD332" s="555"/>
      <c r="AE332" s="555"/>
      <c r="AF332" s="555"/>
      <c r="AG332" s="555"/>
      <c r="AH332" s="557"/>
      <c r="AI332" s="555"/>
      <c r="AJ332" s="555"/>
      <c r="AK332" s="555"/>
    </row>
    <row r="333" spans="1:37">
      <c r="A333" s="555"/>
      <c r="B333" s="555"/>
      <c r="C333" s="555"/>
      <c r="D333" s="555"/>
      <c r="E333" s="555"/>
      <c r="F333" s="555"/>
      <c r="G333" s="555"/>
      <c r="H333" s="555"/>
      <c r="I333" s="555"/>
      <c r="J333" s="555"/>
      <c r="K333" s="555"/>
      <c r="L333" s="555"/>
      <c r="M333" s="555"/>
      <c r="N333" s="555"/>
      <c r="O333" s="555"/>
      <c r="P333" s="555"/>
      <c r="Q333" s="555"/>
      <c r="R333" s="555"/>
      <c r="S333" s="555"/>
      <c r="T333" s="555"/>
      <c r="U333" s="555"/>
      <c r="V333" s="555"/>
      <c r="W333" s="555"/>
      <c r="X333" s="555"/>
      <c r="Y333" s="555"/>
      <c r="Z333" s="557"/>
      <c r="AA333" s="555"/>
      <c r="AB333" s="555"/>
      <c r="AC333" s="555"/>
      <c r="AD333" s="555"/>
      <c r="AE333" s="555"/>
      <c r="AF333" s="555"/>
      <c r="AG333" s="555"/>
      <c r="AH333" s="557"/>
      <c r="AI333" s="555"/>
      <c r="AJ333" s="555"/>
      <c r="AK333" s="555"/>
    </row>
    <row r="334" spans="1:37">
      <c r="A334" s="555"/>
      <c r="B334" s="555"/>
      <c r="C334" s="555"/>
      <c r="D334" s="555"/>
      <c r="E334" s="555"/>
      <c r="F334" s="555"/>
      <c r="G334" s="555"/>
      <c r="H334" s="555"/>
      <c r="I334" s="555"/>
      <c r="J334" s="555"/>
      <c r="K334" s="555"/>
      <c r="L334" s="555"/>
      <c r="M334" s="555"/>
      <c r="N334" s="555"/>
      <c r="O334" s="555"/>
      <c r="P334" s="555"/>
      <c r="Q334" s="555"/>
      <c r="R334" s="555"/>
      <c r="S334" s="555"/>
      <c r="T334" s="555"/>
      <c r="U334" s="555"/>
      <c r="V334" s="555"/>
      <c r="W334" s="555"/>
      <c r="X334" s="555"/>
      <c r="Y334" s="555"/>
      <c r="Z334" s="555"/>
      <c r="AA334" s="555"/>
      <c r="AB334" s="555"/>
      <c r="AC334" s="555"/>
      <c r="AD334" s="555"/>
      <c r="AE334" s="555"/>
      <c r="AF334" s="555"/>
      <c r="AG334" s="555"/>
      <c r="AH334" s="557"/>
      <c r="AI334" s="555"/>
      <c r="AJ334" s="555"/>
      <c r="AK334" s="555"/>
    </row>
    <row r="335" spans="1:37">
      <c r="A335" s="555"/>
      <c r="B335" s="555"/>
      <c r="C335" s="555"/>
      <c r="D335" s="555"/>
      <c r="E335" s="555"/>
      <c r="F335" s="555"/>
      <c r="G335" s="555"/>
      <c r="H335" s="555"/>
      <c r="I335" s="555"/>
      <c r="J335" s="555"/>
      <c r="K335" s="555"/>
      <c r="L335" s="555"/>
      <c r="M335" s="555"/>
      <c r="N335" s="555"/>
      <c r="O335" s="555"/>
      <c r="P335" s="555"/>
      <c r="Q335" s="555"/>
      <c r="R335" s="555"/>
      <c r="S335" s="555"/>
      <c r="T335" s="555"/>
      <c r="U335" s="555"/>
      <c r="V335" s="555"/>
      <c r="W335" s="555"/>
      <c r="X335" s="555"/>
      <c r="Y335" s="555"/>
      <c r="Z335" s="555"/>
      <c r="AA335" s="555"/>
      <c r="AB335" s="555"/>
      <c r="AC335" s="555"/>
      <c r="AD335" s="555"/>
      <c r="AE335" s="555"/>
      <c r="AF335" s="555"/>
      <c r="AG335" s="555"/>
      <c r="AH335" s="557"/>
      <c r="AI335" s="555"/>
      <c r="AJ335" s="555"/>
      <c r="AK335" s="555"/>
    </row>
    <row r="336" spans="1:37">
      <c r="A336" s="555"/>
      <c r="B336" s="555"/>
      <c r="C336" s="555"/>
      <c r="D336" s="555"/>
      <c r="E336" s="555"/>
      <c r="F336" s="555"/>
      <c r="G336" s="555"/>
      <c r="H336" s="555"/>
      <c r="I336" s="555"/>
      <c r="J336" s="555"/>
      <c r="K336" s="555"/>
      <c r="L336" s="555"/>
      <c r="M336" s="555"/>
      <c r="N336" s="555"/>
      <c r="O336" s="555"/>
      <c r="P336" s="555"/>
      <c r="Q336" s="555"/>
      <c r="R336" s="555"/>
      <c r="S336" s="555"/>
      <c r="T336" s="555"/>
      <c r="U336" s="555"/>
      <c r="V336" s="555"/>
      <c r="W336" s="555"/>
      <c r="X336" s="555"/>
      <c r="Y336" s="555"/>
      <c r="Z336" s="555"/>
      <c r="AA336" s="555"/>
      <c r="AB336" s="555"/>
      <c r="AC336" s="555"/>
      <c r="AD336" s="555"/>
      <c r="AE336" s="555"/>
      <c r="AF336" s="555"/>
      <c r="AG336" s="555"/>
      <c r="AH336" s="557"/>
      <c r="AI336" s="555"/>
      <c r="AJ336" s="555"/>
      <c r="AK336" s="555"/>
    </row>
    <row r="337" spans="1:37">
      <c r="A337" s="555"/>
      <c r="B337" s="555"/>
      <c r="C337" s="555"/>
      <c r="D337" s="555"/>
      <c r="E337" s="555"/>
      <c r="F337" s="555"/>
      <c r="G337" s="555"/>
      <c r="H337" s="555"/>
      <c r="I337" s="555"/>
      <c r="J337" s="555"/>
      <c r="K337" s="555"/>
      <c r="L337" s="555"/>
      <c r="M337" s="555"/>
      <c r="N337" s="555"/>
      <c r="O337" s="555"/>
      <c r="P337" s="555"/>
      <c r="Q337" s="555"/>
      <c r="R337" s="555"/>
      <c r="S337" s="555"/>
      <c r="T337" s="555"/>
      <c r="U337" s="555"/>
      <c r="V337" s="555"/>
      <c r="W337" s="555"/>
      <c r="X337" s="555"/>
      <c r="Y337" s="555"/>
      <c r="Z337" s="555"/>
      <c r="AA337" s="555"/>
      <c r="AB337" s="555"/>
      <c r="AC337" s="555"/>
      <c r="AD337" s="555"/>
      <c r="AE337" s="555"/>
      <c r="AF337" s="555"/>
      <c r="AG337" s="555"/>
      <c r="AH337" s="557"/>
      <c r="AI337" s="555"/>
      <c r="AJ337" s="555"/>
      <c r="AK337" s="555"/>
    </row>
    <row r="338" spans="1:37">
      <c r="A338" s="555"/>
      <c r="B338" s="555"/>
      <c r="C338" s="555"/>
      <c r="D338" s="555"/>
      <c r="E338" s="555"/>
      <c r="F338" s="555"/>
      <c r="G338" s="555"/>
      <c r="H338" s="555"/>
      <c r="I338" s="555"/>
      <c r="J338" s="555"/>
      <c r="K338" s="555"/>
      <c r="L338" s="555"/>
      <c r="M338" s="555"/>
      <c r="N338" s="555"/>
      <c r="O338" s="555"/>
      <c r="P338" s="555"/>
      <c r="Q338" s="555"/>
      <c r="R338" s="555"/>
      <c r="S338" s="555"/>
      <c r="T338" s="555"/>
      <c r="U338" s="555"/>
      <c r="V338" s="555"/>
      <c r="W338" s="555"/>
      <c r="X338" s="555"/>
      <c r="Y338" s="555"/>
      <c r="Z338" s="555"/>
      <c r="AA338" s="555"/>
      <c r="AB338" s="555"/>
      <c r="AC338" s="555"/>
      <c r="AD338" s="555"/>
      <c r="AE338" s="555"/>
      <c r="AF338" s="555"/>
      <c r="AG338" s="555"/>
      <c r="AH338" s="557"/>
      <c r="AI338" s="555"/>
      <c r="AJ338" s="555"/>
      <c r="AK338" s="555"/>
    </row>
    <row r="339" spans="1:37">
      <c r="A339" s="555"/>
      <c r="B339" s="555"/>
      <c r="C339" s="555"/>
      <c r="D339" s="555"/>
      <c r="E339" s="555"/>
      <c r="F339" s="555"/>
      <c r="G339" s="555"/>
      <c r="H339" s="555"/>
      <c r="I339" s="555"/>
      <c r="J339" s="555"/>
      <c r="K339" s="555"/>
      <c r="L339" s="555"/>
      <c r="M339" s="555"/>
      <c r="N339" s="555"/>
      <c r="O339" s="555"/>
      <c r="P339" s="555"/>
      <c r="Q339" s="555"/>
      <c r="R339" s="555"/>
      <c r="S339" s="555"/>
      <c r="T339" s="555"/>
      <c r="U339" s="555"/>
      <c r="V339" s="555"/>
      <c r="W339" s="555"/>
      <c r="X339" s="555"/>
      <c r="Y339" s="555"/>
      <c r="Z339" s="555"/>
      <c r="AA339" s="555"/>
      <c r="AB339" s="555"/>
      <c r="AC339" s="555"/>
      <c r="AD339" s="555"/>
      <c r="AE339" s="555"/>
      <c r="AF339" s="555"/>
      <c r="AG339" s="555"/>
      <c r="AH339" s="557"/>
      <c r="AI339" s="555"/>
      <c r="AJ339" s="555"/>
      <c r="AK339" s="555"/>
    </row>
    <row r="340" spans="1:37">
      <c r="A340" s="555"/>
      <c r="B340" s="555"/>
      <c r="C340" s="555"/>
      <c r="D340" s="555"/>
      <c r="E340" s="555"/>
      <c r="F340" s="555"/>
      <c r="G340" s="555"/>
      <c r="H340" s="555"/>
      <c r="I340" s="555"/>
      <c r="J340" s="555"/>
      <c r="K340" s="555"/>
      <c r="L340" s="555"/>
      <c r="M340" s="555"/>
      <c r="N340" s="555"/>
      <c r="O340" s="555"/>
      <c r="P340" s="555"/>
      <c r="Q340" s="555"/>
      <c r="R340" s="555"/>
      <c r="S340" s="555"/>
      <c r="T340" s="555"/>
      <c r="U340" s="555"/>
      <c r="V340" s="555"/>
      <c r="W340" s="555"/>
      <c r="X340" s="555"/>
      <c r="Y340" s="555"/>
      <c r="Z340" s="555"/>
      <c r="AA340" s="555"/>
      <c r="AB340" s="555"/>
      <c r="AC340" s="555"/>
      <c r="AD340" s="555"/>
      <c r="AE340" s="555"/>
      <c r="AF340" s="555"/>
      <c r="AG340" s="555"/>
      <c r="AH340" s="557"/>
      <c r="AI340" s="555"/>
      <c r="AJ340" s="555"/>
      <c r="AK340" s="555"/>
    </row>
    <row r="341" spans="1:37">
      <c r="A341" s="555"/>
      <c r="B341" s="555"/>
      <c r="C341" s="555"/>
      <c r="D341" s="555"/>
      <c r="E341" s="555"/>
      <c r="F341" s="555"/>
      <c r="G341" s="555"/>
      <c r="H341" s="555"/>
      <c r="I341" s="555"/>
      <c r="J341" s="555"/>
      <c r="K341" s="555"/>
      <c r="L341" s="555"/>
      <c r="M341" s="555"/>
      <c r="N341" s="555"/>
      <c r="O341" s="555"/>
      <c r="P341" s="555"/>
      <c r="Q341" s="555"/>
      <c r="R341" s="555"/>
      <c r="S341" s="555"/>
      <c r="T341" s="555"/>
      <c r="U341" s="555"/>
      <c r="V341" s="555"/>
      <c r="W341" s="555"/>
      <c r="X341" s="555"/>
      <c r="Y341" s="555"/>
      <c r="Z341" s="555"/>
      <c r="AA341" s="555"/>
      <c r="AB341" s="555"/>
      <c r="AC341" s="555"/>
      <c r="AD341" s="555"/>
      <c r="AE341" s="555"/>
      <c r="AF341" s="555"/>
      <c r="AG341" s="555"/>
      <c r="AH341" s="557"/>
      <c r="AI341" s="555"/>
      <c r="AJ341" s="555"/>
      <c r="AK341" s="555"/>
    </row>
    <row r="342" spans="1:37">
      <c r="A342" s="555"/>
      <c r="B342" s="555"/>
      <c r="C342" s="555"/>
      <c r="D342" s="555"/>
      <c r="E342" s="555"/>
      <c r="F342" s="555"/>
      <c r="G342" s="555"/>
      <c r="H342" s="555"/>
      <c r="I342" s="555"/>
      <c r="J342" s="555"/>
      <c r="K342" s="555"/>
      <c r="L342" s="555"/>
      <c r="M342" s="555"/>
      <c r="N342" s="555"/>
      <c r="O342" s="555"/>
      <c r="P342" s="555"/>
      <c r="Q342" s="555"/>
      <c r="R342" s="555"/>
      <c r="S342" s="555"/>
      <c r="T342" s="555"/>
      <c r="U342" s="555"/>
      <c r="V342" s="555"/>
      <c r="W342" s="555"/>
      <c r="X342" s="555"/>
      <c r="Y342" s="555"/>
      <c r="Z342" s="555"/>
      <c r="AA342" s="555"/>
      <c r="AB342" s="555"/>
      <c r="AC342" s="555"/>
      <c r="AD342" s="555"/>
      <c r="AE342" s="555"/>
      <c r="AF342" s="555"/>
      <c r="AG342" s="555"/>
      <c r="AH342" s="557"/>
      <c r="AI342" s="555"/>
      <c r="AJ342" s="555"/>
      <c r="AK342" s="555"/>
    </row>
    <row r="343" spans="1:37">
      <c r="A343" s="555"/>
      <c r="B343" s="555"/>
      <c r="C343" s="555"/>
      <c r="D343" s="555"/>
      <c r="E343" s="555"/>
      <c r="F343" s="555"/>
      <c r="G343" s="555"/>
      <c r="H343" s="555"/>
      <c r="I343" s="555"/>
      <c r="J343" s="555"/>
      <c r="K343" s="555"/>
      <c r="L343" s="555"/>
      <c r="M343" s="555"/>
      <c r="N343" s="555"/>
      <c r="O343" s="555"/>
      <c r="P343" s="555"/>
      <c r="Q343" s="555"/>
      <c r="R343" s="555"/>
      <c r="S343" s="555"/>
      <c r="T343" s="555"/>
      <c r="U343" s="555"/>
      <c r="V343" s="555"/>
      <c r="W343" s="555"/>
      <c r="X343" s="555"/>
      <c r="Y343" s="555"/>
      <c r="Z343" s="555"/>
      <c r="AA343" s="555"/>
      <c r="AB343" s="555"/>
      <c r="AC343" s="555"/>
      <c r="AD343" s="555"/>
      <c r="AE343" s="555"/>
      <c r="AF343" s="555"/>
      <c r="AG343" s="555"/>
      <c r="AH343" s="557"/>
      <c r="AI343" s="555"/>
      <c r="AJ343" s="555"/>
      <c r="AK343" s="555"/>
    </row>
    <row r="344" spans="1:37">
      <c r="A344" s="555"/>
      <c r="B344" s="555"/>
      <c r="C344" s="555"/>
      <c r="D344" s="555"/>
      <c r="E344" s="555"/>
      <c r="F344" s="555"/>
      <c r="G344" s="555"/>
      <c r="H344" s="555"/>
      <c r="I344" s="555"/>
      <c r="J344" s="555"/>
      <c r="K344" s="555"/>
      <c r="L344" s="555"/>
      <c r="M344" s="555"/>
      <c r="N344" s="555"/>
      <c r="O344" s="555"/>
      <c r="P344" s="555"/>
      <c r="Q344" s="555"/>
      <c r="R344" s="555"/>
      <c r="S344" s="555"/>
      <c r="T344" s="555"/>
      <c r="U344" s="555"/>
      <c r="V344" s="555"/>
      <c r="W344" s="555"/>
      <c r="X344" s="555"/>
      <c r="Y344" s="555"/>
      <c r="Z344" s="555"/>
      <c r="AA344" s="555"/>
      <c r="AB344" s="555"/>
      <c r="AC344" s="555"/>
      <c r="AD344" s="555"/>
      <c r="AE344" s="555"/>
      <c r="AF344" s="555"/>
      <c r="AG344" s="555"/>
      <c r="AH344" s="557"/>
      <c r="AI344" s="555"/>
      <c r="AJ344" s="555"/>
      <c r="AK344" s="555"/>
    </row>
    <row r="345" spans="1:37">
      <c r="A345" s="555"/>
      <c r="B345" s="555"/>
      <c r="C345" s="555"/>
      <c r="D345" s="555"/>
      <c r="E345" s="555"/>
      <c r="F345" s="555"/>
      <c r="G345" s="555"/>
      <c r="H345" s="555"/>
      <c r="I345" s="555"/>
      <c r="J345" s="555"/>
      <c r="K345" s="555"/>
      <c r="L345" s="555"/>
      <c r="M345" s="555"/>
      <c r="N345" s="555"/>
      <c r="O345" s="555"/>
      <c r="P345" s="555"/>
      <c r="Q345" s="555"/>
      <c r="R345" s="555"/>
      <c r="S345" s="555"/>
      <c r="T345" s="555"/>
      <c r="U345" s="555"/>
      <c r="V345" s="555"/>
      <c r="W345" s="555"/>
      <c r="X345" s="555"/>
      <c r="Y345" s="555"/>
      <c r="Z345" s="555"/>
      <c r="AA345" s="555"/>
      <c r="AB345" s="555"/>
      <c r="AC345" s="555"/>
      <c r="AD345" s="555"/>
      <c r="AE345" s="555"/>
      <c r="AF345" s="555"/>
      <c r="AG345" s="555"/>
      <c r="AH345" s="557"/>
      <c r="AI345" s="555"/>
      <c r="AJ345" s="555"/>
      <c r="AK345" s="555"/>
    </row>
    <row r="346" spans="1:37">
      <c r="A346" s="555"/>
      <c r="B346" s="555"/>
      <c r="C346" s="555"/>
      <c r="D346" s="555"/>
      <c r="E346" s="555"/>
      <c r="F346" s="555"/>
      <c r="G346" s="555"/>
      <c r="H346" s="555"/>
      <c r="I346" s="555"/>
      <c r="J346" s="555"/>
      <c r="K346" s="555"/>
      <c r="L346" s="555"/>
      <c r="M346" s="555"/>
      <c r="N346" s="555"/>
      <c r="O346" s="555"/>
      <c r="P346" s="555"/>
      <c r="Q346" s="555"/>
      <c r="R346" s="555"/>
      <c r="S346" s="555"/>
      <c r="T346" s="555"/>
      <c r="U346" s="555"/>
      <c r="V346" s="555"/>
      <c r="W346" s="555"/>
      <c r="X346" s="555"/>
      <c r="Y346" s="555"/>
      <c r="Z346" s="555"/>
      <c r="AA346" s="555"/>
      <c r="AB346" s="555"/>
      <c r="AC346" s="555"/>
      <c r="AD346" s="555"/>
      <c r="AE346" s="555"/>
      <c r="AF346" s="555"/>
      <c r="AG346" s="555"/>
      <c r="AH346" s="557"/>
      <c r="AI346" s="555"/>
      <c r="AJ346" s="555"/>
      <c r="AK346" s="555"/>
    </row>
    <row r="347" spans="1:37">
      <c r="A347" s="555"/>
      <c r="B347" s="555"/>
      <c r="C347" s="555"/>
      <c r="D347" s="555"/>
      <c r="E347" s="555"/>
      <c r="F347" s="555"/>
      <c r="G347" s="555"/>
      <c r="H347" s="555"/>
      <c r="I347" s="555"/>
      <c r="J347" s="555"/>
      <c r="K347" s="555"/>
      <c r="L347" s="555"/>
      <c r="M347" s="555"/>
      <c r="N347" s="555"/>
      <c r="O347" s="555"/>
      <c r="P347" s="555"/>
      <c r="Q347" s="555"/>
      <c r="R347" s="555"/>
      <c r="S347" s="555"/>
      <c r="T347" s="555"/>
      <c r="U347" s="555"/>
      <c r="V347" s="555"/>
      <c r="W347" s="555"/>
      <c r="X347" s="555"/>
      <c r="Y347" s="555"/>
      <c r="Z347" s="555"/>
      <c r="AA347" s="555"/>
      <c r="AB347" s="555"/>
      <c r="AC347" s="555"/>
      <c r="AD347" s="555"/>
      <c r="AE347" s="555"/>
      <c r="AF347" s="555"/>
      <c r="AG347" s="555"/>
      <c r="AH347" s="557"/>
      <c r="AI347" s="555"/>
      <c r="AJ347" s="555"/>
      <c r="AK347" s="555"/>
    </row>
    <row r="348" spans="1:37">
      <c r="A348" s="555"/>
      <c r="B348" s="555"/>
      <c r="C348" s="555"/>
      <c r="D348" s="555"/>
      <c r="E348" s="555"/>
      <c r="F348" s="555"/>
      <c r="G348" s="555"/>
      <c r="H348" s="555"/>
      <c r="I348" s="555"/>
      <c r="J348" s="555"/>
      <c r="K348" s="555"/>
      <c r="L348" s="555"/>
      <c r="M348" s="555"/>
      <c r="N348" s="555"/>
      <c r="O348" s="555"/>
      <c r="P348" s="555"/>
      <c r="Q348" s="555"/>
      <c r="R348" s="555"/>
      <c r="S348" s="555"/>
      <c r="T348" s="555"/>
      <c r="U348" s="555"/>
      <c r="V348" s="555"/>
      <c r="W348" s="555"/>
      <c r="X348" s="555"/>
      <c r="Y348" s="555"/>
      <c r="Z348" s="555"/>
      <c r="AA348" s="555"/>
      <c r="AB348" s="555"/>
      <c r="AC348" s="555"/>
      <c r="AD348" s="555"/>
      <c r="AE348" s="555"/>
      <c r="AF348" s="555"/>
      <c r="AG348" s="555"/>
      <c r="AH348" s="557"/>
      <c r="AI348" s="555"/>
      <c r="AJ348" s="555"/>
      <c r="AK348" s="555"/>
    </row>
    <row r="349" spans="1:37">
      <c r="A349" s="555"/>
      <c r="B349" s="555"/>
      <c r="C349" s="555"/>
      <c r="D349" s="555"/>
      <c r="E349" s="555"/>
      <c r="F349" s="555"/>
      <c r="G349" s="555"/>
      <c r="H349" s="555"/>
      <c r="I349" s="555"/>
      <c r="J349" s="555"/>
      <c r="K349" s="555"/>
      <c r="L349" s="555"/>
      <c r="M349" s="555"/>
      <c r="N349" s="555"/>
      <c r="O349" s="555"/>
      <c r="P349" s="555"/>
      <c r="Q349" s="555"/>
      <c r="R349" s="555"/>
      <c r="S349" s="555"/>
      <c r="T349" s="555"/>
      <c r="U349" s="555"/>
      <c r="V349" s="555"/>
      <c r="W349" s="555"/>
      <c r="X349" s="555"/>
      <c r="Y349" s="555"/>
      <c r="Z349" s="555"/>
      <c r="AA349" s="555"/>
      <c r="AB349" s="555"/>
      <c r="AC349" s="555"/>
      <c r="AD349" s="555"/>
      <c r="AE349" s="555"/>
      <c r="AF349" s="555"/>
      <c r="AG349" s="555"/>
      <c r="AH349" s="557"/>
      <c r="AI349" s="555"/>
      <c r="AJ349" s="555"/>
      <c r="AK349" s="555"/>
    </row>
    <row r="350" spans="1:37">
      <c r="A350" s="555"/>
      <c r="B350" s="555"/>
      <c r="C350" s="555"/>
      <c r="D350" s="555"/>
      <c r="E350" s="555"/>
      <c r="F350" s="555"/>
      <c r="G350" s="555"/>
      <c r="H350" s="555"/>
      <c r="I350" s="555"/>
      <c r="J350" s="555"/>
      <c r="K350" s="555"/>
      <c r="L350" s="555"/>
      <c r="M350" s="555"/>
      <c r="N350" s="555"/>
      <c r="O350" s="555"/>
      <c r="P350" s="555"/>
      <c r="Q350" s="555"/>
      <c r="R350" s="555"/>
      <c r="S350" s="555"/>
      <c r="T350" s="555"/>
      <c r="U350" s="555"/>
      <c r="V350" s="555"/>
      <c r="W350" s="555"/>
      <c r="X350" s="555"/>
      <c r="Y350" s="555"/>
      <c r="Z350" s="555"/>
      <c r="AA350" s="555"/>
      <c r="AB350" s="555"/>
      <c r="AC350" s="555"/>
      <c r="AD350" s="555"/>
      <c r="AE350" s="555"/>
      <c r="AF350" s="555"/>
      <c r="AG350" s="555"/>
      <c r="AH350" s="557"/>
      <c r="AI350" s="555"/>
      <c r="AJ350" s="555"/>
      <c r="AK350" s="555"/>
    </row>
    <row r="351" spans="1:37">
      <c r="A351" s="555"/>
      <c r="B351" s="555"/>
      <c r="C351" s="555"/>
      <c r="D351" s="555"/>
      <c r="E351" s="555"/>
      <c r="F351" s="555"/>
      <c r="G351" s="555"/>
      <c r="H351" s="555"/>
      <c r="I351" s="555"/>
      <c r="J351" s="555"/>
      <c r="K351" s="555"/>
      <c r="L351" s="555"/>
      <c r="M351" s="555"/>
      <c r="N351" s="555"/>
      <c r="O351" s="555"/>
      <c r="P351" s="555"/>
      <c r="Q351" s="555"/>
      <c r="R351" s="555"/>
      <c r="S351" s="555"/>
      <c r="T351" s="555"/>
      <c r="U351" s="555"/>
      <c r="V351" s="555"/>
      <c r="W351" s="555"/>
      <c r="X351" s="555"/>
      <c r="Y351" s="555"/>
      <c r="Z351" s="555"/>
      <c r="AA351" s="555"/>
      <c r="AB351" s="555"/>
      <c r="AC351" s="555"/>
      <c r="AD351" s="555"/>
      <c r="AE351" s="555"/>
      <c r="AF351" s="555"/>
      <c r="AG351" s="555"/>
      <c r="AH351" s="557"/>
      <c r="AI351" s="555"/>
      <c r="AJ351" s="555"/>
      <c r="AK351" s="555"/>
    </row>
    <row r="352" spans="1:37">
      <c r="A352" s="555"/>
      <c r="B352" s="555"/>
      <c r="C352" s="555"/>
      <c r="D352" s="555"/>
      <c r="E352" s="555"/>
      <c r="F352" s="555"/>
      <c r="G352" s="555"/>
      <c r="H352" s="555"/>
      <c r="I352" s="555"/>
      <c r="J352" s="555"/>
      <c r="K352" s="555"/>
      <c r="L352" s="555"/>
      <c r="M352" s="555"/>
      <c r="N352" s="555"/>
      <c r="O352" s="555"/>
      <c r="P352" s="555"/>
      <c r="Q352" s="555"/>
      <c r="R352" s="555"/>
      <c r="S352" s="555"/>
      <c r="T352" s="555"/>
      <c r="U352" s="555"/>
      <c r="V352" s="555"/>
      <c r="W352" s="555"/>
      <c r="X352" s="555"/>
      <c r="Y352" s="555"/>
      <c r="Z352" s="555"/>
      <c r="AA352" s="555"/>
      <c r="AB352" s="555"/>
      <c r="AC352" s="555"/>
      <c r="AD352" s="555"/>
      <c r="AE352" s="555"/>
      <c r="AF352" s="555"/>
      <c r="AG352" s="555"/>
      <c r="AH352" s="557"/>
      <c r="AI352" s="555"/>
      <c r="AJ352" s="555"/>
      <c r="AK352" s="555"/>
    </row>
    <row r="353" spans="1:37">
      <c r="A353" s="555"/>
      <c r="B353" s="555"/>
      <c r="C353" s="555"/>
      <c r="D353" s="555"/>
      <c r="E353" s="555"/>
      <c r="F353" s="555"/>
      <c r="G353" s="555"/>
      <c r="H353" s="555"/>
      <c r="I353" s="555"/>
      <c r="J353" s="555"/>
      <c r="K353" s="555"/>
      <c r="L353" s="555"/>
      <c r="M353" s="555"/>
      <c r="N353" s="555"/>
      <c r="O353" s="555"/>
      <c r="P353" s="555"/>
      <c r="Q353" s="555"/>
      <c r="R353" s="555"/>
      <c r="S353" s="555"/>
      <c r="T353" s="555"/>
      <c r="U353" s="555"/>
      <c r="V353" s="555"/>
      <c r="W353" s="555"/>
      <c r="X353" s="555"/>
      <c r="Y353" s="555"/>
      <c r="Z353" s="555"/>
      <c r="AA353" s="555"/>
      <c r="AB353" s="555"/>
      <c r="AC353" s="555"/>
      <c r="AD353" s="555"/>
      <c r="AE353" s="555"/>
      <c r="AF353" s="555"/>
      <c r="AG353" s="555"/>
      <c r="AH353" s="557"/>
      <c r="AI353" s="555"/>
      <c r="AJ353" s="555"/>
      <c r="AK353" s="555"/>
    </row>
    <row r="354" spans="1:37">
      <c r="A354" s="555"/>
      <c r="B354" s="555"/>
      <c r="C354" s="555"/>
      <c r="D354" s="555"/>
      <c r="E354" s="555"/>
      <c r="F354" s="555"/>
      <c r="G354" s="555"/>
      <c r="H354" s="555"/>
      <c r="I354" s="555"/>
      <c r="J354" s="555"/>
      <c r="K354" s="555"/>
      <c r="L354" s="555"/>
      <c r="M354" s="555"/>
      <c r="N354" s="555"/>
      <c r="O354" s="555"/>
      <c r="P354" s="555"/>
      <c r="Q354" s="555"/>
      <c r="R354" s="555"/>
      <c r="S354" s="555"/>
      <c r="T354" s="555"/>
      <c r="U354" s="555"/>
      <c r="V354" s="555"/>
      <c r="W354" s="555"/>
      <c r="X354" s="555"/>
      <c r="Y354" s="555"/>
      <c r="Z354" s="555"/>
      <c r="AA354" s="555"/>
      <c r="AB354" s="555"/>
      <c r="AC354" s="555"/>
      <c r="AD354" s="555"/>
      <c r="AE354" s="555"/>
      <c r="AF354" s="555"/>
      <c r="AG354" s="555"/>
      <c r="AH354" s="557"/>
      <c r="AI354" s="555"/>
      <c r="AJ354" s="555"/>
      <c r="AK354" s="555"/>
    </row>
    <row r="355" spans="1:37">
      <c r="A355" s="555"/>
      <c r="B355" s="555"/>
      <c r="C355" s="555"/>
      <c r="D355" s="555"/>
      <c r="E355" s="555"/>
      <c r="F355" s="555"/>
      <c r="G355" s="555"/>
      <c r="H355" s="555"/>
      <c r="I355" s="555"/>
      <c r="J355" s="555"/>
      <c r="K355" s="555"/>
      <c r="L355" s="555"/>
      <c r="M355" s="555"/>
      <c r="N355" s="555"/>
      <c r="O355" s="555"/>
      <c r="P355" s="555"/>
      <c r="Q355" s="555"/>
      <c r="R355" s="555"/>
      <c r="S355" s="555"/>
      <c r="T355" s="555"/>
      <c r="U355" s="555"/>
      <c r="V355" s="555"/>
      <c r="W355" s="555"/>
      <c r="X355" s="555"/>
      <c r="Y355" s="555"/>
      <c r="Z355" s="555"/>
      <c r="AA355" s="555"/>
      <c r="AB355" s="555"/>
      <c r="AC355" s="555"/>
      <c r="AD355" s="555"/>
      <c r="AE355" s="555"/>
      <c r="AF355" s="555"/>
      <c r="AG355" s="555"/>
      <c r="AH355" s="557"/>
      <c r="AI355" s="555"/>
      <c r="AJ355" s="555"/>
      <c r="AK355" s="555"/>
    </row>
    <row r="356" spans="1:37">
      <c r="A356" s="555"/>
      <c r="B356" s="555"/>
      <c r="C356" s="555"/>
      <c r="D356" s="555"/>
      <c r="E356" s="555"/>
      <c r="F356" s="555"/>
      <c r="G356" s="555"/>
      <c r="H356" s="555"/>
      <c r="I356" s="555"/>
      <c r="J356" s="555"/>
      <c r="K356" s="555"/>
      <c r="L356" s="555"/>
      <c r="M356" s="555"/>
      <c r="N356" s="555"/>
      <c r="O356" s="555"/>
      <c r="P356" s="555"/>
      <c r="Q356" s="555"/>
      <c r="R356" s="555"/>
      <c r="S356" s="555"/>
      <c r="T356" s="555"/>
      <c r="U356" s="555"/>
      <c r="V356" s="555"/>
      <c r="W356" s="555"/>
      <c r="X356" s="555"/>
      <c r="Y356" s="555"/>
      <c r="Z356" s="555"/>
      <c r="AA356" s="555"/>
      <c r="AB356" s="555"/>
      <c r="AC356" s="555"/>
      <c r="AD356" s="555"/>
      <c r="AE356" s="555"/>
      <c r="AF356" s="555"/>
      <c r="AG356" s="555"/>
      <c r="AH356" s="557"/>
      <c r="AI356" s="555"/>
      <c r="AJ356" s="555"/>
      <c r="AK356" s="555"/>
    </row>
    <row r="357" spans="1:37">
      <c r="A357" s="555"/>
      <c r="B357" s="555"/>
      <c r="C357" s="555"/>
      <c r="D357" s="555"/>
      <c r="E357" s="555"/>
      <c r="F357" s="555"/>
      <c r="G357" s="555"/>
      <c r="H357" s="555"/>
      <c r="I357" s="555"/>
      <c r="J357" s="555"/>
      <c r="K357" s="555"/>
      <c r="L357" s="555"/>
      <c r="M357" s="555"/>
      <c r="N357" s="555"/>
      <c r="O357" s="555"/>
      <c r="P357" s="555"/>
      <c r="Q357" s="555"/>
      <c r="R357" s="555"/>
      <c r="S357" s="555"/>
      <c r="T357" s="555"/>
      <c r="U357" s="555"/>
      <c r="V357" s="555"/>
      <c r="W357" s="555"/>
      <c r="X357" s="555"/>
      <c r="Y357" s="555"/>
      <c r="Z357" s="555"/>
      <c r="AA357" s="555"/>
      <c r="AB357" s="555"/>
      <c r="AC357" s="555"/>
      <c r="AD357" s="555"/>
      <c r="AE357" s="555"/>
      <c r="AF357" s="555"/>
      <c r="AG357" s="555"/>
      <c r="AH357" s="557"/>
      <c r="AI357" s="555"/>
      <c r="AJ357" s="555"/>
      <c r="AK357" s="555"/>
    </row>
    <row r="358" spans="1:37">
      <c r="A358" s="555"/>
      <c r="B358" s="555"/>
      <c r="C358" s="555"/>
      <c r="D358" s="555"/>
      <c r="E358" s="555"/>
      <c r="F358" s="555"/>
      <c r="G358" s="555"/>
      <c r="H358" s="555"/>
      <c r="I358" s="555"/>
      <c r="J358" s="555"/>
      <c r="K358" s="555"/>
      <c r="L358" s="555"/>
      <c r="M358" s="555"/>
      <c r="N358" s="555"/>
      <c r="O358" s="555"/>
      <c r="P358" s="555"/>
      <c r="Q358" s="555"/>
      <c r="R358" s="555"/>
      <c r="S358" s="555"/>
      <c r="T358" s="555"/>
      <c r="U358" s="555"/>
      <c r="V358" s="555"/>
      <c r="W358" s="555"/>
      <c r="X358" s="555"/>
      <c r="Y358" s="555"/>
      <c r="Z358" s="555"/>
      <c r="AA358" s="555"/>
      <c r="AB358" s="555"/>
      <c r="AC358" s="555"/>
      <c r="AD358" s="555"/>
      <c r="AE358" s="555"/>
      <c r="AF358" s="555"/>
      <c r="AG358" s="555"/>
      <c r="AH358" s="557"/>
      <c r="AI358" s="555"/>
      <c r="AJ358" s="555"/>
      <c r="AK358" s="555"/>
    </row>
    <row r="359" spans="1:37">
      <c r="A359" s="555"/>
      <c r="B359" s="555"/>
      <c r="C359" s="555"/>
      <c r="D359" s="555"/>
      <c r="E359" s="555"/>
      <c r="F359" s="555"/>
      <c r="G359" s="555"/>
      <c r="H359" s="555"/>
      <c r="I359" s="555"/>
      <c r="J359" s="555"/>
      <c r="K359" s="555"/>
      <c r="L359" s="555"/>
      <c r="M359" s="555"/>
      <c r="N359" s="555"/>
      <c r="O359" s="555"/>
      <c r="P359" s="555"/>
      <c r="Q359" s="555"/>
      <c r="R359" s="555"/>
      <c r="S359" s="555"/>
      <c r="T359" s="555"/>
      <c r="U359" s="555"/>
      <c r="V359" s="555"/>
      <c r="W359" s="555"/>
      <c r="X359" s="555"/>
      <c r="Y359" s="555"/>
      <c r="Z359" s="555"/>
      <c r="AA359" s="555"/>
      <c r="AB359" s="555"/>
      <c r="AC359" s="555"/>
      <c r="AD359" s="555"/>
      <c r="AE359" s="555"/>
      <c r="AF359" s="555"/>
      <c r="AG359" s="555"/>
      <c r="AH359" s="557"/>
      <c r="AI359" s="555"/>
      <c r="AJ359" s="555"/>
      <c r="AK359" s="555"/>
    </row>
    <row r="360" spans="1:37">
      <c r="A360" s="555"/>
      <c r="B360" s="555"/>
      <c r="C360" s="555"/>
      <c r="D360" s="555"/>
      <c r="E360" s="555"/>
      <c r="F360" s="555"/>
      <c r="G360" s="555"/>
      <c r="H360" s="555"/>
      <c r="I360" s="555"/>
      <c r="J360" s="555"/>
      <c r="K360" s="555"/>
      <c r="L360" s="555"/>
      <c r="M360" s="555"/>
      <c r="N360" s="555"/>
      <c r="O360" s="555"/>
      <c r="P360" s="555"/>
      <c r="Q360" s="555"/>
      <c r="R360" s="555"/>
      <c r="S360" s="555"/>
      <c r="T360" s="555"/>
      <c r="U360" s="555"/>
      <c r="V360" s="555"/>
      <c r="W360" s="555"/>
      <c r="X360" s="555"/>
      <c r="Y360" s="555"/>
      <c r="Z360" s="555"/>
      <c r="AA360" s="555"/>
      <c r="AB360" s="555"/>
      <c r="AC360" s="555"/>
      <c r="AD360" s="555"/>
      <c r="AE360" s="555"/>
      <c r="AF360" s="555"/>
      <c r="AG360" s="555"/>
      <c r="AH360" s="557"/>
      <c r="AI360" s="555"/>
      <c r="AJ360" s="555"/>
      <c r="AK360" s="555"/>
    </row>
    <row r="361" spans="1:37">
      <c r="A361" s="555"/>
      <c r="B361" s="555"/>
      <c r="C361" s="555"/>
      <c r="D361" s="555"/>
      <c r="E361" s="555"/>
      <c r="F361" s="555"/>
      <c r="G361" s="555"/>
      <c r="H361" s="555"/>
      <c r="I361" s="555"/>
      <c r="J361" s="555"/>
      <c r="K361" s="555"/>
      <c r="L361" s="555"/>
      <c r="M361" s="555"/>
      <c r="N361" s="555"/>
      <c r="O361" s="555"/>
      <c r="P361" s="555"/>
      <c r="Q361" s="555"/>
      <c r="R361" s="555"/>
      <c r="S361" s="555"/>
      <c r="T361" s="555"/>
      <c r="U361" s="555"/>
      <c r="V361" s="555"/>
      <c r="W361" s="555"/>
      <c r="X361" s="555"/>
      <c r="Y361" s="555"/>
      <c r="Z361" s="555"/>
      <c r="AA361" s="555"/>
      <c r="AB361" s="555"/>
      <c r="AC361" s="555"/>
      <c r="AD361" s="555"/>
      <c r="AE361" s="555"/>
      <c r="AF361" s="555"/>
      <c r="AG361" s="555"/>
      <c r="AH361" s="557"/>
      <c r="AI361" s="555"/>
      <c r="AJ361" s="555"/>
      <c r="AK361" s="555"/>
    </row>
  </sheetData>
  <phoneticPr fontId="19" type="noConversion"/>
  <hyperlinks>
    <hyperlink ref="A1" location="Sch_A" display="." xr:uid="{00000000-0004-0000-5100-000000000000}"/>
  </hyperlinks>
  <pageMargins left="1" right="0.25" top="1" bottom="0.5" header="0.5" footer="0"/>
  <pageSetup scale="52" orientation="portrait" blackAndWhite="1" r:id="rId1"/>
  <headerFooter alignWithMargins="0"/>
  <rowBreaks count="2" manualBreakCount="2">
    <brk id="38" min="2" max="16" man="1"/>
    <brk id="87" min="2" max="16" man="1"/>
  </rowBreaks>
  <ignoredErrors>
    <ignoredError sqref="G18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syncVertical="1" syncRef="A1" transitionEvaluation="1" transitionEntry="1" codeName="Sheet48">
    <tabColor rgb="FFFFFF66"/>
    <pageSetUpPr fitToPage="1"/>
  </sheetPr>
  <dimension ref="A1:J34"/>
  <sheetViews>
    <sheetView workbookViewId="0"/>
  </sheetViews>
  <sheetFormatPr defaultColWidth="16.44140625" defaultRowHeight="13.2"/>
  <cols>
    <col min="1" max="1" width="7.5546875" customWidth="1"/>
    <col min="2" max="2" width="2.5546875" customWidth="1"/>
    <col min="3" max="3" width="49.44140625" customWidth="1"/>
    <col min="4" max="4" width="4.5546875" customWidth="1"/>
    <col min="5" max="5" width="19" customWidth="1"/>
    <col min="6" max="6" width="15.5546875" customWidth="1"/>
    <col min="7" max="7" width="20" customWidth="1"/>
    <col min="8" max="8" width="28.44140625" customWidth="1"/>
    <col min="9" max="9" width="19.44140625" customWidth="1"/>
    <col min="10" max="10" width="1.5546875" customWidth="1"/>
    <col min="11" max="11" width="6.5546875" customWidth="1"/>
    <col min="12" max="12" width="8.44140625" customWidth="1"/>
    <col min="13" max="13" width="52.44140625" customWidth="1"/>
    <col min="14" max="14" width="1.5546875" customWidth="1"/>
    <col min="15" max="16" width="18.44140625" customWidth="1"/>
    <col min="17" max="17" width="23.5546875" customWidth="1"/>
    <col min="18" max="18" width="27.44140625" customWidth="1"/>
    <col min="19" max="19" width="18.44140625" customWidth="1"/>
    <col min="20" max="20" width="7.5546875" customWidth="1"/>
    <col min="21" max="21" width="8.5546875" customWidth="1"/>
    <col min="22" max="22" width="56.44140625" customWidth="1"/>
    <col min="23" max="24" width="19.5546875" customWidth="1"/>
    <col min="25" max="25" width="1.44140625" customWidth="1"/>
    <col min="26" max="28" width="19.5546875" customWidth="1"/>
    <col min="29" max="29" width="21.5546875" customWidth="1"/>
    <col min="31" max="31" width="4.5546875" customWidth="1"/>
    <col min="32" max="32" width="3.44140625" customWidth="1"/>
    <col min="33" max="33" width="13.5546875" customWidth="1"/>
    <col min="34" max="34" width="20" customWidth="1"/>
    <col min="35" max="35" width="2" customWidth="1"/>
    <col min="36" max="36" width="16.44140625" customWidth="1"/>
    <col min="37" max="37" width="3.44140625" customWidth="1"/>
    <col min="38" max="38" width="18.5546875" customWidth="1"/>
    <col min="39" max="39" width="2" customWidth="1"/>
    <col min="40" max="40" width="17.44140625" customWidth="1"/>
    <col min="41" max="41" width="3.44140625" customWidth="1"/>
    <col min="42" max="42" width="14.5546875" customWidth="1"/>
    <col min="43" max="43" width="2" customWidth="1"/>
    <col min="44" max="44" width="18.5546875" customWidth="1"/>
    <col min="45" max="45" width="7.44140625" customWidth="1"/>
    <col min="46" max="46" width="20" customWidth="1"/>
    <col min="47" max="47" width="16.44140625" customWidth="1"/>
    <col min="48" max="48" width="13.5546875" customWidth="1"/>
    <col min="49" max="49" width="5.5546875" customWidth="1"/>
    <col min="50" max="50" width="16.44140625" customWidth="1"/>
    <col min="51" max="51" width="27.5546875" customWidth="1"/>
    <col min="52" max="52" width="9.5546875" customWidth="1"/>
    <col min="53" max="53" width="20" customWidth="1"/>
    <col min="54" max="54" width="11" customWidth="1"/>
    <col min="55" max="55" width="13.5546875" customWidth="1"/>
    <col min="56" max="56" width="5.5546875" customWidth="1"/>
    <col min="57" max="59" width="16.44140625" customWidth="1"/>
  </cols>
  <sheetData>
    <row r="1" spans="1:10">
      <c r="A1" s="541" t="str">
        <f>COMPANY</f>
        <v>DUKE ENERGY KENTUCKY, INC.</v>
      </c>
      <c r="B1" s="541"/>
      <c r="C1" s="541"/>
      <c r="D1" s="541"/>
      <c r="E1" s="541"/>
      <c r="F1" s="541"/>
      <c r="G1" s="541"/>
      <c r="H1" s="541"/>
      <c r="I1" s="542"/>
      <c r="J1" s="542"/>
    </row>
    <row r="2" spans="1:10">
      <c r="A2" s="541" t="str">
        <f>CASE</f>
        <v>CASE NO. 2024-00354</v>
      </c>
      <c r="B2" s="541"/>
      <c r="C2" s="541"/>
      <c r="D2" s="541"/>
      <c r="E2" s="541"/>
      <c r="F2" s="541"/>
      <c r="G2" s="541"/>
      <c r="H2" s="541"/>
      <c r="I2" s="542"/>
      <c r="J2" s="542"/>
    </row>
    <row r="3" spans="1:10">
      <c r="A3" s="541" t="s">
        <v>2537</v>
      </c>
      <c r="B3" s="541"/>
      <c r="C3" s="541"/>
      <c r="D3" s="541"/>
      <c r="E3" s="541"/>
      <c r="F3" s="544"/>
      <c r="G3" s="541"/>
      <c r="H3" s="541"/>
      <c r="I3" s="542"/>
      <c r="J3" s="542"/>
    </row>
    <row r="4" spans="1:10">
      <c r="A4" s="541" t="s">
        <v>2538</v>
      </c>
      <c r="B4" s="541"/>
      <c r="C4" s="541"/>
      <c r="D4" s="541"/>
      <c r="E4" s="541"/>
      <c r="F4" s="544"/>
      <c r="G4" s="541"/>
      <c r="H4" s="541"/>
      <c r="I4" s="542"/>
      <c r="J4" s="542"/>
    </row>
    <row r="5" spans="1:10">
      <c r="A5" s="541" t="str">
        <f>PeriodF</f>
        <v>FOR THE TWELVE MONTHS ENDED JUNE 30, 2026</v>
      </c>
      <c r="B5" s="541"/>
      <c r="C5" s="541"/>
      <c r="D5" s="541"/>
      <c r="E5" s="541"/>
      <c r="F5" s="544"/>
      <c r="G5" s="541"/>
      <c r="H5" s="541"/>
      <c r="I5" s="542"/>
      <c r="J5" s="542"/>
    </row>
    <row r="6" spans="1:10">
      <c r="A6" s="541"/>
      <c r="B6" s="541"/>
      <c r="C6" s="541"/>
      <c r="D6" s="541"/>
      <c r="E6" s="541"/>
      <c r="F6" s="544"/>
      <c r="G6" s="541"/>
      <c r="H6" s="541"/>
      <c r="I6" s="541"/>
      <c r="J6" s="542"/>
    </row>
    <row r="7" spans="1:10">
      <c r="A7" s="542" t="str">
        <f>DataF</f>
        <v>DATA:  BASE PERIOD  "X" FORECASTED PERIOD</v>
      </c>
      <c r="B7" s="542"/>
      <c r="C7" s="542"/>
      <c r="D7" s="542"/>
      <c r="E7" s="542"/>
      <c r="F7" s="545"/>
      <c r="G7" s="94"/>
      <c r="H7" s="546" t="s">
        <v>2539</v>
      </c>
      <c r="I7" s="542"/>
      <c r="J7" s="542"/>
    </row>
    <row r="8" spans="1:10">
      <c r="A8" s="542" t="str">
        <f>LOGO!$B$15</f>
        <v xml:space="preserve">TYPE OF FILING:  "X" ORIGINAL   UPDATED    REVISED  </v>
      </c>
      <c r="B8" s="542"/>
      <c r="C8" s="542"/>
      <c r="D8" s="542"/>
      <c r="E8" s="542"/>
      <c r="F8" s="545"/>
      <c r="G8" s="94"/>
      <c r="H8" s="546" t="s">
        <v>466</v>
      </c>
      <c r="I8" s="542"/>
      <c r="J8" s="542"/>
    </row>
    <row r="9" spans="1:10">
      <c r="A9" s="546" t="s">
        <v>694</v>
      </c>
      <c r="B9" s="542"/>
      <c r="C9" s="542"/>
      <c r="D9" s="542"/>
      <c r="E9" s="542"/>
      <c r="F9" s="545"/>
      <c r="G9" s="94"/>
      <c r="H9" s="546" t="s">
        <v>468</v>
      </c>
      <c r="I9" s="542"/>
      <c r="J9" s="542"/>
    </row>
    <row r="10" spans="1:10">
      <c r="A10" s="542"/>
      <c r="B10" s="542"/>
      <c r="C10" s="542"/>
      <c r="D10" s="542"/>
      <c r="E10" s="542"/>
      <c r="F10" s="542"/>
      <c r="G10" s="94"/>
      <c r="H10" s="546" t="str">
        <f>_WIT3</f>
        <v>J. R. PANIZZA</v>
      </c>
      <c r="I10" s="542"/>
      <c r="J10" s="542"/>
    </row>
    <row r="11" spans="1:10">
      <c r="A11" s="1552"/>
      <c r="B11" s="1552"/>
      <c r="C11" s="1553"/>
      <c r="D11" s="1552"/>
      <c r="E11" s="1552"/>
      <c r="F11" s="1552"/>
      <c r="G11" s="1552"/>
      <c r="H11" s="1552"/>
      <c r="I11" s="542"/>
      <c r="J11" s="542"/>
    </row>
    <row r="12" spans="1:10">
      <c r="A12" s="542"/>
      <c r="B12" s="542"/>
      <c r="C12" s="542"/>
      <c r="D12" s="542"/>
      <c r="E12" s="542"/>
      <c r="F12" s="542"/>
      <c r="G12" s="542"/>
      <c r="H12" s="542"/>
      <c r="I12" s="542"/>
      <c r="J12" s="542"/>
    </row>
    <row r="13" spans="1:10">
      <c r="A13" s="542"/>
      <c r="B13" s="542"/>
      <c r="C13" s="542"/>
      <c r="D13" s="542"/>
      <c r="E13" s="542"/>
      <c r="F13" s="548" t="s">
        <v>970</v>
      </c>
      <c r="G13" s="542"/>
      <c r="H13" s="542"/>
      <c r="I13" s="549"/>
      <c r="J13" s="542"/>
    </row>
    <row r="14" spans="1:10">
      <c r="A14" s="548" t="s">
        <v>471</v>
      </c>
      <c r="B14" s="542"/>
      <c r="C14" s="542"/>
      <c r="D14" s="542"/>
      <c r="E14" s="548" t="s">
        <v>972</v>
      </c>
      <c r="F14" s="548" t="s">
        <v>973</v>
      </c>
      <c r="G14" s="542"/>
      <c r="H14" s="548" t="s">
        <v>937</v>
      </c>
      <c r="I14" s="549"/>
      <c r="J14" s="542"/>
    </row>
    <row r="15" spans="1:10">
      <c r="A15" s="548" t="s">
        <v>475</v>
      </c>
      <c r="B15" s="542"/>
      <c r="C15" s="548" t="s">
        <v>1515</v>
      </c>
      <c r="D15" s="542"/>
      <c r="E15" s="548" t="s">
        <v>2540</v>
      </c>
      <c r="F15" s="548" t="s">
        <v>420</v>
      </c>
      <c r="G15" s="548" t="s">
        <v>1516</v>
      </c>
      <c r="H15" s="548" t="s">
        <v>2541</v>
      </c>
      <c r="I15" s="548"/>
      <c r="J15" s="542"/>
    </row>
    <row r="16" spans="1:10">
      <c r="A16" s="542"/>
      <c r="B16" s="542"/>
      <c r="C16" s="542"/>
      <c r="D16" s="542"/>
      <c r="E16" s="548" t="s">
        <v>506</v>
      </c>
      <c r="F16" s="548" t="s">
        <v>510</v>
      </c>
      <c r="G16" s="548" t="s">
        <v>519</v>
      </c>
      <c r="H16" s="548" t="s">
        <v>911</v>
      </c>
      <c r="I16" s="542"/>
      <c r="J16" s="542"/>
    </row>
    <row r="17" spans="1:10">
      <c r="A17" s="1552"/>
      <c r="B17" s="1552"/>
      <c r="C17" s="1552"/>
      <c r="D17" s="1552"/>
      <c r="E17" s="1552"/>
      <c r="F17" s="1552"/>
      <c r="G17" s="1552"/>
      <c r="H17" s="1552"/>
      <c r="I17" s="549"/>
      <c r="J17" s="542"/>
    </row>
    <row r="18" spans="1:10">
      <c r="A18" s="542"/>
      <c r="B18" s="542"/>
      <c r="C18" s="542"/>
      <c r="D18" s="542"/>
      <c r="E18" s="550" t="s">
        <v>1371</v>
      </c>
      <c r="F18" s="542"/>
      <c r="G18" s="548" t="s">
        <v>1371</v>
      </c>
      <c r="H18" s="542"/>
      <c r="I18" s="551"/>
      <c r="J18" s="542"/>
    </row>
    <row r="19" spans="1:10">
      <c r="A19" s="542"/>
      <c r="B19" s="542"/>
      <c r="C19" s="542"/>
      <c r="D19" s="542"/>
      <c r="E19" s="550"/>
      <c r="F19" s="542"/>
      <c r="G19" s="548"/>
      <c r="H19" s="542"/>
      <c r="I19" s="551"/>
      <c r="J19" s="542"/>
    </row>
    <row r="20" spans="1:10">
      <c r="A20" s="542"/>
      <c r="B20" s="542"/>
      <c r="C20" s="542"/>
      <c r="D20" s="542"/>
      <c r="E20" s="550"/>
      <c r="F20" s="542"/>
      <c r="G20" s="548"/>
      <c r="H20" s="542"/>
      <c r="I20" s="551"/>
      <c r="J20" s="542"/>
    </row>
    <row r="21" spans="1:10">
      <c r="A21" s="542"/>
      <c r="B21" s="542"/>
      <c r="C21" s="542"/>
      <c r="D21" s="542"/>
      <c r="E21" s="542"/>
      <c r="F21" s="542"/>
      <c r="G21" s="542"/>
      <c r="H21" s="542"/>
      <c r="I21" s="542"/>
      <c r="J21" s="542"/>
    </row>
    <row r="22" spans="1:10">
      <c r="A22" s="2415" t="s">
        <v>1242</v>
      </c>
      <c r="B22" s="2415"/>
      <c r="C22" s="2415"/>
      <c r="D22" s="2415"/>
      <c r="E22" s="2415"/>
      <c r="F22" s="2415"/>
      <c r="G22" s="2415"/>
      <c r="H22" s="2415"/>
      <c r="I22" s="542"/>
      <c r="J22" s="542"/>
    </row>
    <row r="23" spans="1:10">
      <c r="A23" s="542"/>
      <c r="B23" s="542"/>
      <c r="C23" s="542"/>
      <c r="D23" s="542"/>
      <c r="E23" s="542"/>
      <c r="F23" s="542"/>
      <c r="G23" s="542"/>
      <c r="H23" s="542"/>
      <c r="I23" s="542"/>
      <c r="J23" s="542"/>
    </row>
    <row r="24" spans="1:10">
      <c r="A24" s="542"/>
      <c r="B24" s="542"/>
      <c r="C24" s="542"/>
      <c r="D24" s="542"/>
      <c r="E24" s="542"/>
      <c r="F24" s="542"/>
      <c r="G24" s="542"/>
      <c r="H24" s="542"/>
      <c r="I24" s="542"/>
      <c r="J24" s="542"/>
    </row>
    <row r="25" spans="1:10">
      <c r="A25" s="542"/>
      <c r="B25" s="542"/>
      <c r="C25" s="542"/>
      <c r="D25" s="542"/>
      <c r="E25" s="542"/>
      <c r="F25" s="542"/>
      <c r="G25" s="542"/>
      <c r="H25" s="542"/>
      <c r="I25" s="542"/>
      <c r="J25" s="542"/>
    </row>
    <row r="26" spans="1:10">
      <c r="A26" s="542"/>
      <c r="B26" s="542"/>
      <c r="C26" s="542"/>
      <c r="D26" s="542"/>
      <c r="E26" s="542"/>
      <c r="F26" s="542"/>
      <c r="G26" s="542"/>
      <c r="H26" s="542"/>
      <c r="I26" s="542"/>
      <c r="J26" s="542"/>
    </row>
    <row r="27" spans="1:10">
      <c r="A27" s="542"/>
      <c r="B27" s="542"/>
      <c r="C27" s="542"/>
      <c r="D27" s="542"/>
      <c r="E27" s="542"/>
      <c r="F27" s="542"/>
      <c r="G27" s="542"/>
      <c r="H27" s="542"/>
      <c r="I27" s="542"/>
      <c r="J27" s="542"/>
    </row>
    <row r="28" spans="1:10">
      <c r="A28" s="542"/>
      <c r="B28" s="542"/>
      <c r="C28" s="542"/>
      <c r="D28" s="542"/>
      <c r="E28" s="542"/>
      <c r="F28" s="542"/>
      <c r="G28" s="542"/>
      <c r="H28" s="542"/>
      <c r="I28" s="542"/>
      <c r="J28" s="542"/>
    </row>
    <row r="29" spans="1:10">
      <c r="A29" s="542"/>
      <c r="B29" s="542"/>
      <c r="C29" s="542"/>
      <c r="D29" s="542"/>
      <c r="E29" s="542"/>
      <c r="F29" s="542"/>
      <c r="G29" s="542"/>
      <c r="H29" s="542"/>
      <c r="I29" s="542"/>
      <c r="J29" s="542"/>
    </row>
    <row r="30" spans="1:10">
      <c r="A30" s="542"/>
      <c r="B30" s="542"/>
      <c r="C30" s="542"/>
      <c r="D30" s="542"/>
      <c r="E30" s="542"/>
      <c r="F30" s="542"/>
      <c r="G30" s="542"/>
      <c r="H30" s="542"/>
      <c r="I30" s="542"/>
      <c r="J30" s="542"/>
    </row>
    <row r="31" spans="1:10">
      <c r="A31" s="542"/>
      <c r="B31" s="542"/>
      <c r="C31" s="542"/>
      <c r="D31" s="542"/>
      <c r="E31" s="542"/>
      <c r="F31" s="542"/>
      <c r="G31" s="542"/>
      <c r="H31" s="542"/>
      <c r="I31" s="542"/>
      <c r="J31" s="542"/>
    </row>
    <row r="32" spans="1:10">
      <c r="A32" s="542"/>
      <c r="B32" s="542"/>
      <c r="C32" s="542"/>
      <c r="D32" s="542"/>
      <c r="E32" s="542"/>
      <c r="F32" s="542"/>
      <c r="G32" s="542"/>
      <c r="H32" s="542"/>
      <c r="I32" s="542"/>
      <c r="J32" s="542"/>
    </row>
    <row r="33" spans="1:10">
      <c r="A33" s="542"/>
      <c r="B33" s="542"/>
      <c r="C33" s="542"/>
      <c r="D33" s="542"/>
      <c r="E33" s="542"/>
      <c r="F33" s="542"/>
      <c r="G33" s="542"/>
      <c r="H33" s="542"/>
      <c r="I33" s="542"/>
      <c r="J33" s="542"/>
    </row>
    <row r="34" spans="1:10">
      <c r="A34" s="542"/>
      <c r="B34" s="542"/>
      <c r="C34" s="542"/>
      <c r="D34" s="542"/>
      <c r="E34" s="542"/>
      <c r="F34" s="542"/>
      <c r="G34" s="542"/>
      <c r="H34" s="542"/>
      <c r="I34" s="542"/>
      <c r="J34" s="542"/>
    </row>
  </sheetData>
  <mergeCells count="1">
    <mergeCell ref="A22:H22"/>
  </mergeCells>
  <phoneticPr fontId="19" type="noConversion"/>
  <pageMargins left="1" right="0.75" top="1" bottom="0" header="0" footer="0"/>
  <pageSetup scale="5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4">
    <tabColor theme="2" tint="-0.499984740745262"/>
  </sheetPr>
  <dimension ref="A1:S73"/>
  <sheetViews>
    <sheetView workbookViewId="0"/>
  </sheetViews>
  <sheetFormatPr defaultColWidth="8.5546875" defaultRowHeight="13.2"/>
  <cols>
    <col min="2" max="2" width="27" customWidth="1"/>
    <col min="3" max="3" width="9.33203125" customWidth="1"/>
    <col min="4" max="4" width="10.5546875" customWidth="1"/>
    <col min="5" max="5" width="29.44140625" customWidth="1"/>
    <col min="6" max="6" width="12.5546875" customWidth="1"/>
    <col min="7" max="18" width="13.44140625" customWidth="1"/>
  </cols>
  <sheetData>
    <row r="1" spans="1:19" ht="13.8">
      <c r="A1" s="36" t="str">
        <f>COMPANY</f>
        <v>DUKE ENERGY KENTUCKY, INC.</v>
      </c>
      <c r="F1" s="2270"/>
      <c r="G1" s="2271"/>
      <c r="H1" s="2271"/>
      <c r="I1" s="2271"/>
      <c r="J1" s="2271"/>
      <c r="K1" s="2271"/>
      <c r="L1" s="2271"/>
      <c r="M1" s="2271"/>
      <c r="N1" s="2271"/>
      <c r="O1" s="2271"/>
      <c r="P1" s="2271"/>
      <c r="Q1" s="2271"/>
      <c r="R1" s="2271"/>
    </row>
    <row r="2" spans="1:19" ht="13.8">
      <c r="A2" s="36" t="str">
        <f>CASE</f>
        <v>CASE NO. 2024-00354</v>
      </c>
      <c r="F2" s="2270"/>
      <c r="G2" s="2271"/>
      <c r="H2" s="2271"/>
      <c r="I2" s="2271"/>
      <c r="J2" s="2271"/>
      <c r="K2" s="2271"/>
      <c r="L2" s="2271"/>
      <c r="M2" s="2271"/>
      <c r="N2" s="2271"/>
      <c r="O2" s="2271"/>
      <c r="P2" s="2271"/>
      <c r="Q2" s="2271"/>
      <c r="R2" s="2271"/>
    </row>
    <row r="3" spans="1:19" ht="13.8">
      <c r="A3" s="4" t="s">
        <v>406</v>
      </c>
      <c r="F3" s="2270"/>
      <c r="G3" s="2271"/>
      <c r="H3" s="2271"/>
      <c r="I3" s="2271"/>
      <c r="J3" s="2271"/>
      <c r="K3" s="2271"/>
      <c r="L3" s="2271"/>
      <c r="M3" s="2271"/>
      <c r="N3" s="2271"/>
      <c r="O3" s="2271"/>
      <c r="P3" s="2271"/>
      <c r="Q3" s="2271"/>
      <c r="R3" s="2271"/>
    </row>
    <row r="4" spans="1:19" ht="13.8">
      <c r="A4" s="4"/>
      <c r="F4" s="2270"/>
      <c r="G4" s="2271"/>
      <c r="H4" s="2271"/>
      <c r="I4" s="2271"/>
      <c r="J4" s="2271"/>
      <c r="K4" s="2271"/>
      <c r="L4" s="2271"/>
      <c r="M4" s="2271"/>
      <c r="N4" s="2271"/>
      <c r="O4" s="2271"/>
      <c r="P4" s="2271"/>
      <c r="Q4" s="2271"/>
      <c r="R4" s="2271"/>
    </row>
    <row r="5" spans="1:19" ht="13.8">
      <c r="A5" s="36"/>
      <c r="F5" s="2270"/>
      <c r="G5" s="2271"/>
      <c r="H5" s="2271"/>
      <c r="I5" s="2271"/>
      <c r="J5" s="2271"/>
      <c r="K5" s="2271"/>
      <c r="L5" s="2271"/>
      <c r="M5" s="2271"/>
      <c r="N5" s="2271"/>
      <c r="O5" s="2271"/>
      <c r="P5" s="2271"/>
      <c r="Q5" s="2271"/>
      <c r="R5" s="2271"/>
    </row>
    <row r="6" spans="1:19" ht="13.8">
      <c r="A6" s="36" t="str">
        <f>DataF</f>
        <v>DATA:  BASE PERIOD  "X" FORECASTED PERIOD</v>
      </c>
      <c r="F6" s="2270"/>
      <c r="G6" s="2271"/>
      <c r="H6" s="2271"/>
      <c r="I6" s="2271"/>
      <c r="J6" s="2271"/>
      <c r="K6" s="2271"/>
      <c r="L6" s="2271"/>
      <c r="M6" s="2271"/>
      <c r="N6" s="2271"/>
      <c r="O6" s="2271"/>
      <c r="P6" s="2271"/>
      <c r="Q6" s="2271"/>
      <c r="R6" s="2271"/>
    </row>
    <row r="7" spans="1:19" ht="13.8">
      <c r="A7" s="36" t="str">
        <f>Type</f>
        <v xml:space="preserve">TYPE OF FILING:  "X" ORIGINAL   UPDATED    REVISED  </v>
      </c>
      <c r="F7" s="2270"/>
      <c r="G7" s="2271"/>
      <c r="H7" s="2271"/>
      <c r="I7" s="2271"/>
      <c r="J7" s="2271"/>
      <c r="K7" s="2271"/>
      <c r="L7" s="2271"/>
      <c r="M7" s="2271"/>
      <c r="N7" s="2271"/>
      <c r="O7" s="2271"/>
      <c r="P7" s="2271"/>
      <c r="Q7" s="2271"/>
      <c r="R7" s="2271"/>
    </row>
    <row r="8" spans="1:19" ht="13.8">
      <c r="A8" s="37"/>
      <c r="F8" s="2270"/>
      <c r="G8" s="2271"/>
      <c r="H8" s="2271"/>
      <c r="I8" s="2271"/>
      <c r="J8" s="2271"/>
      <c r="K8" s="2271"/>
      <c r="L8" s="2271"/>
      <c r="M8" s="2271"/>
      <c r="N8" s="2271"/>
      <c r="O8" s="2271"/>
      <c r="P8" s="2271"/>
      <c r="Q8" s="2271"/>
      <c r="R8" s="2271"/>
    </row>
    <row r="9" spans="1:19">
      <c r="A9" s="37"/>
    </row>
    <row r="10" spans="1:19" ht="13.8" thickBot="1">
      <c r="A10" s="37"/>
    </row>
    <row r="11" spans="1:19" ht="14.4" thickTop="1" thickBot="1">
      <c r="A11" s="2266" t="s">
        <v>255</v>
      </c>
      <c r="B11" s="2266" t="s">
        <v>2</v>
      </c>
      <c r="C11" s="2266" t="s">
        <v>256</v>
      </c>
      <c r="D11" s="2266" t="s">
        <v>361</v>
      </c>
      <c r="E11" s="2267" t="s">
        <v>362</v>
      </c>
      <c r="F11" s="2266" t="s">
        <v>258</v>
      </c>
      <c r="G11" s="2268">
        <f>LOGO!J7</f>
        <v>45869</v>
      </c>
      <c r="H11" s="2268">
        <f>LOGO!J8</f>
        <v>45900</v>
      </c>
      <c r="I11" s="2268">
        <f>LOGO!J9</f>
        <v>45930</v>
      </c>
      <c r="J11" s="2268">
        <f>LOGO!J10</f>
        <v>45961</v>
      </c>
      <c r="K11" s="2268">
        <f>LOGO!J11</f>
        <v>45991</v>
      </c>
      <c r="L11" s="2268">
        <f>LOGO!J12</f>
        <v>46022</v>
      </c>
      <c r="M11" s="2268">
        <f>LOGO!J13</f>
        <v>46053</v>
      </c>
      <c r="N11" s="2268">
        <f>LOGO!J14</f>
        <v>46081</v>
      </c>
      <c r="O11" s="2268">
        <f>LOGO!J15</f>
        <v>46112</v>
      </c>
      <c r="P11" s="2268">
        <f>LOGO!J16</f>
        <v>46142</v>
      </c>
      <c r="Q11" s="2268">
        <f>LOGO!J17</f>
        <v>46173</v>
      </c>
      <c r="R11" s="2268">
        <f>LOGO!J18</f>
        <v>46203</v>
      </c>
      <c r="S11" s="29"/>
    </row>
    <row r="12" spans="1:19" ht="13.8" thickTop="1">
      <c r="A12" s="10">
        <v>440000</v>
      </c>
      <c r="B12" t="s">
        <v>91</v>
      </c>
      <c r="D12" t="s">
        <v>363</v>
      </c>
      <c r="E12" t="s">
        <v>407</v>
      </c>
      <c r="F12" s="28">
        <f>SUM(G12:R12)</f>
        <v>60715661</v>
      </c>
      <c r="G12" s="643">
        <v>5911211</v>
      </c>
      <c r="H12" s="643">
        <v>6027516</v>
      </c>
      <c r="I12" s="643">
        <v>5340836</v>
      </c>
      <c r="J12" s="643">
        <f>4027888+1</f>
        <v>4027889</v>
      </c>
      <c r="K12" s="643">
        <v>4032443</v>
      </c>
      <c r="L12" s="643">
        <v>5449993</v>
      </c>
      <c r="M12" s="643">
        <v>6174453</v>
      </c>
      <c r="N12" s="643">
        <f>5554101+2</f>
        <v>5554103</v>
      </c>
      <c r="O12" s="643">
        <v>5197030</v>
      </c>
      <c r="P12" s="643">
        <f>4385559+1</f>
        <v>4385560</v>
      </c>
      <c r="Q12" s="643">
        <v>3756750</v>
      </c>
      <c r="R12" s="643">
        <f>4857876+1</f>
        <v>4857877</v>
      </c>
    </row>
    <row r="13" spans="1:19">
      <c r="A13" s="10">
        <v>440000</v>
      </c>
      <c r="B13" t="s">
        <v>91</v>
      </c>
      <c r="D13" t="s">
        <v>357</v>
      </c>
      <c r="E13" t="s">
        <v>365</v>
      </c>
      <c r="F13" s="28">
        <f t="shared" ref="F13:F72" si="0">SUM(G13:R13)</f>
        <v>51648900</v>
      </c>
      <c r="G13" s="643">
        <v>5092559</v>
      </c>
      <c r="H13" s="643">
        <v>5230959</v>
      </c>
      <c r="I13" s="643">
        <v>4722124</v>
      </c>
      <c r="J13" s="643">
        <v>3299529</v>
      </c>
      <c r="K13" s="643">
        <v>3238123</v>
      </c>
      <c r="L13" s="643">
        <v>4626323</v>
      </c>
      <c r="M13" s="643">
        <v>5505633</v>
      </c>
      <c r="N13" s="643">
        <v>4783424</v>
      </c>
      <c r="O13" s="643">
        <v>4534748</v>
      </c>
      <c r="P13" s="643">
        <v>3708733</v>
      </c>
      <c r="Q13" s="643">
        <v>2908510</v>
      </c>
      <c r="R13" s="643">
        <v>3998235</v>
      </c>
    </row>
    <row r="14" spans="1:19">
      <c r="A14" s="10">
        <v>440000</v>
      </c>
      <c r="B14" t="s">
        <v>91</v>
      </c>
      <c r="D14" t="s">
        <v>363</v>
      </c>
      <c r="E14" t="s">
        <v>408</v>
      </c>
      <c r="F14" s="28">
        <f t="shared" si="0"/>
        <v>58143850</v>
      </c>
      <c r="G14" s="643">
        <v>5558850</v>
      </c>
      <c r="H14" s="643">
        <v>5685217</v>
      </c>
      <c r="I14" s="643">
        <v>5223371</v>
      </c>
      <c r="J14" s="643">
        <v>3931133</v>
      </c>
      <c r="K14" s="643">
        <v>3875860</v>
      </c>
      <c r="L14" s="643">
        <v>5137920</v>
      </c>
      <c r="M14" s="643">
        <v>5937526</v>
      </c>
      <c r="N14" s="643">
        <v>5281773</v>
      </c>
      <c r="O14" s="643">
        <v>5056309</v>
      </c>
      <c r="P14" s="643">
        <v>4306182</v>
      </c>
      <c r="Q14" s="643">
        <v>3579480</v>
      </c>
      <c r="R14" s="643">
        <v>4570229</v>
      </c>
    </row>
    <row r="15" spans="1:19">
      <c r="A15" s="10">
        <v>440000</v>
      </c>
      <c r="B15" t="s">
        <v>91</v>
      </c>
      <c r="D15" t="s">
        <v>363</v>
      </c>
      <c r="E15" t="s">
        <v>409</v>
      </c>
      <c r="F15" s="28">
        <f t="shared" si="0"/>
        <v>4511443</v>
      </c>
      <c r="G15" s="643">
        <v>431317</v>
      </c>
      <c r="H15" s="643">
        <v>441122</v>
      </c>
      <c r="I15" s="643">
        <v>405287</v>
      </c>
      <c r="J15" s="643">
        <v>305021</v>
      </c>
      <c r="K15" s="643">
        <v>300732</v>
      </c>
      <c r="L15" s="643">
        <v>398657</v>
      </c>
      <c r="M15" s="643">
        <v>460699</v>
      </c>
      <c r="N15" s="643">
        <v>409818</v>
      </c>
      <c r="O15" s="643">
        <v>392324</v>
      </c>
      <c r="P15" s="643">
        <v>334121</v>
      </c>
      <c r="Q15" s="643">
        <v>277736</v>
      </c>
      <c r="R15" s="643">
        <v>354609</v>
      </c>
    </row>
    <row r="16" spans="1:19">
      <c r="A16" s="10">
        <v>440000</v>
      </c>
      <c r="B16" t="s">
        <v>91</v>
      </c>
      <c r="D16" t="s">
        <v>366</v>
      </c>
      <c r="E16" t="s">
        <v>367</v>
      </c>
      <c r="F16" s="28">
        <f t="shared" si="0"/>
        <v>4142163</v>
      </c>
      <c r="G16" s="643">
        <v>399505</v>
      </c>
      <c r="H16" s="643">
        <v>410362</v>
      </c>
      <c r="I16" s="643">
        <v>370445</v>
      </c>
      <c r="J16" s="643">
        <v>258844</v>
      </c>
      <c r="K16" s="643">
        <v>254027</v>
      </c>
      <c r="L16" s="643">
        <v>362929</v>
      </c>
      <c r="M16" s="643">
        <v>451468</v>
      </c>
      <c r="N16" s="643">
        <v>392246</v>
      </c>
      <c r="O16" s="643">
        <v>371855</v>
      </c>
      <c r="P16" s="643">
        <v>304121</v>
      </c>
      <c r="Q16" s="643">
        <v>238501</v>
      </c>
      <c r="R16" s="643">
        <v>327860</v>
      </c>
    </row>
    <row r="17" spans="1:18">
      <c r="A17" s="10">
        <v>440000</v>
      </c>
      <c r="B17" t="s">
        <v>91</v>
      </c>
      <c r="D17" t="s">
        <v>358</v>
      </c>
      <c r="E17" t="s">
        <v>368</v>
      </c>
      <c r="F17" s="28">
        <f t="shared" si="0"/>
        <v>5211424</v>
      </c>
      <c r="G17" s="643">
        <v>145286</v>
      </c>
      <c r="H17" s="643">
        <v>121004</v>
      </c>
      <c r="I17" s="643">
        <v>344618</v>
      </c>
      <c r="J17" s="643">
        <v>190720</v>
      </c>
      <c r="K17" s="643">
        <v>959934</v>
      </c>
      <c r="L17" s="643">
        <v>1678374</v>
      </c>
      <c r="M17" s="643">
        <v>1473040</v>
      </c>
      <c r="N17" s="643">
        <v>115551</v>
      </c>
      <c r="O17" s="643">
        <v>77210</v>
      </c>
      <c r="P17" s="643">
        <v>-38356</v>
      </c>
      <c r="Q17" s="643">
        <v>124584</v>
      </c>
      <c r="R17" s="643">
        <v>19459</v>
      </c>
    </row>
    <row r="18" spans="1:18">
      <c r="A18" s="10">
        <v>440000</v>
      </c>
      <c r="B18" t="s">
        <v>91</v>
      </c>
      <c r="D18" t="s">
        <v>369</v>
      </c>
      <c r="E18" t="s">
        <v>370</v>
      </c>
      <c r="F18" s="28">
        <f t="shared" si="0"/>
        <v>-5554495</v>
      </c>
      <c r="G18" s="643">
        <v>-1007066</v>
      </c>
      <c r="H18" s="643">
        <v>-632218</v>
      </c>
      <c r="I18" s="643">
        <v>-70103</v>
      </c>
      <c r="J18" s="643">
        <v>-44</v>
      </c>
      <c r="K18" s="643">
        <v>-184028</v>
      </c>
      <c r="L18" s="643">
        <v>-467396</v>
      </c>
      <c r="M18" s="643">
        <v>-1215562</v>
      </c>
      <c r="N18" s="643">
        <v>-573157</v>
      </c>
      <c r="O18" s="643">
        <v>-454163</v>
      </c>
      <c r="P18" s="643">
        <v>-325869</v>
      </c>
      <c r="Q18" s="643">
        <v>-323602</v>
      </c>
      <c r="R18" s="643">
        <v>-301287</v>
      </c>
    </row>
    <row r="19" spans="1:18">
      <c r="A19" s="10">
        <v>440000</v>
      </c>
      <c r="B19" t="s">
        <v>91</v>
      </c>
      <c r="D19" s="29" t="s">
        <v>371</v>
      </c>
      <c r="E19" t="s">
        <v>410</v>
      </c>
      <c r="F19" s="28">
        <f t="shared" si="0"/>
        <v>9516539</v>
      </c>
      <c r="G19" s="643">
        <v>1130456</v>
      </c>
      <c r="H19" s="643">
        <v>1046575</v>
      </c>
      <c r="I19" s="643">
        <v>1238522</v>
      </c>
      <c r="J19" s="643">
        <v>442330</v>
      </c>
      <c r="K19" s="643">
        <v>628245</v>
      </c>
      <c r="L19" s="643">
        <v>1277205</v>
      </c>
      <c r="M19" s="643">
        <v>852435</v>
      </c>
      <c r="N19" s="643">
        <v>609124</v>
      </c>
      <c r="O19" s="643">
        <v>738727</v>
      </c>
      <c r="P19" s="643">
        <v>345498</v>
      </c>
      <c r="Q19" s="643">
        <v>337694</v>
      </c>
      <c r="R19" s="643">
        <v>869728</v>
      </c>
    </row>
    <row r="20" spans="1:18">
      <c r="A20" s="10">
        <v>440990</v>
      </c>
      <c r="B20" t="s">
        <v>92</v>
      </c>
      <c r="D20" t="s">
        <v>373</v>
      </c>
      <c r="E20" t="s">
        <v>374</v>
      </c>
      <c r="F20" s="28">
        <f t="shared" si="0"/>
        <v>286072</v>
      </c>
      <c r="G20" s="643">
        <v>39246</v>
      </c>
      <c r="H20" s="643">
        <v>36618</v>
      </c>
      <c r="I20" s="643">
        <v>-1861921</v>
      </c>
      <c r="J20" s="643">
        <v>-117079</v>
      </c>
      <c r="K20" s="643">
        <v>2217107</v>
      </c>
      <c r="L20" s="643">
        <v>1847111</v>
      </c>
      <c r="M20" s="643">
        <v>-2023859</v>
      </c>
      <c r="N20" s="643">
        <v>-304049</v>
      </c>
      <c r="O20" s="643">
        <v>-2011248</v>
      </c>
      <c r="P20" s="643">
        <v>-1319225</v>
      </c>
      <c r="Q20" s="643">
        <v>2026219</v>
      </c>
      <c r="R20" s="643">
        <v>1757152</v>
      </c>
    </row>
    <row r="21" spans="1:18">
      <c r="A21" s="10">
        <v>442100</v>
      </c>
      <c r="B21" t="s">
        <v>93</v>
      </c>
      <c r="D21" t="s">
        <v>363</v>
      </c>
      <c r="E21" t="s">
        <v>407</v>
      </c>
      <c r="F21" s="28">
        <f t="shared" si="0"/>
        <v>38311600</v>
      </c>
      <c r="G21" s="643">
        <f>3656554-1</f>
        <v>3656553</v>
      </c>
      <c r="H21" s="643">
        <f>3532338-1</f>
        <v>3532337</v>
      </c>
      <c r="I21" s="643">
        <v>3317659</v>
      </c>
      <c r="J21" s="643">
        <f>3094690-1</f>
        <v>3094689</v>
      </c>
      <c r="K21" s="643">
        <f>3030146+1</f>
        <v>3030147</v>
      </c>
      <c r="L21" s="643">
        <v>3202417</v>
      </c>
      <c r="M21" s="643">
        <f>3179162-1</f>
        <v>3179161</v>
      </c>
      <c r="N21" s="643">
        <f>2899141+1</f>
        <v>2899142</v>
      </c>
      <c r="O21" s="643">
        <v>3029716</v>
      </c>
      <c r="P21" s="643">
        <f>3025802+1</f>
        <v>3025803</v>
      </c>
      <c r="Q21" s="643">
        <v>2967061</v>
      </c>
      <c r="R21" s="643">
        <f>3376916-1</f>
        <v>3376915</v>
      </c>
    </row>
    <row r="22" spans="1:18">
      <c r="A22" s="10">
        <v>442100</v>
      </c>
      <c r="B22" t="s">
        <v>93</v>
      </c>
      <c r="D22" t="s">
        <v>357</v>
      </c>
      <c r="E22" t="s">
        <v>365</v>
      </c>
      <c r="F22" s="28">
        <f t="shared" si="0"/>
        <v>48302402</v>
      </c>
      <c r="G22" s="643">
        <v>4573674</v>
      </c>
      <c r="H22" s="643">
        <v>4427086</v>
      </c>
      <c r="I22" s="643">
        <v>4373186</v>
      </c>
      <c r="J22" s="643">
        <v>3901011</v>
      </c>
      <c r="K22" s="643">
        <v>3667639</v>
      </c>
      <c r="L22" s="643">
        <v>4064455</v>
      </c>
      <c r="M22" s="643">
        <v>4211860</v>
      </c>
      <c r="N22" s="643">
        <v>3639590</v>
      </c>
      <c r="O22" s="643">
        <v>3945394</v>
      </c>
      <c r="P22" s="643">
        <v>3895549</v>
      </c>
      <c r="Q22" s="643">
        <v>3506857</v>
      </c>
      <c r="R22" s="643">
        <v>4096101</v>
      </c>
    </row>
    <row r="23" spans="1:18">
      <c r="A23" s="10">
        <v>442100</v>
      </c>
      <c r="B23" t="s">
        <v>93</v>
      </c>
      <c r="D23" t="s">
        <v>363</v>
      </c>
      <c r="E23" t="s">
        <v>408</v>
      </c>
      <c r="F23" s="28">
        <f t="shared" si="0"/>
        <v>53061623</v>
      </c>
      <c r="G23" s="643">
        <v>4992810</v>
      </c>
      <c r="H23" s="643">
        <v>4870485</v>
      </c>
      <c r="I23" s="643">
        <v>4769457</v>
      </c>
      <c r="J23" s="643">
        <v>4327106</v>
      </c>
      <c r="K23" s="643">
        <v>4181017</v>
      </c>
      <c r="L23" s="643">
        <v>4286407</v>
      </c>
      <c r="M23" s="643">
        <v>4440731</v>
      </c>
      <c r="N23" s="643">
        <v>4027158</v>
      </c>
      <c r="O23" s="643">
        <v>4310313</v>
      </c>
      <c r="P23" s="643">
        <v>4315566</v>
      </c>
      <c r="Q23" s="643">
        <v>3982943</v>
      </c>
      <c r="R23" s="643">
        <v>4557630</v>
      </c>
    </row>
    <row r="24" spans="1:18">
      <c r="A24" s="10">
        <v>442100</v>
      </c>
      <c r="B24" t="s">
        <v>93</v>
      </c>
      <c r="D24" t="s">
        <v>363</v>
      </c>
      <c r="E24" t="s">
        <v>409</v>
      </c>
      <c r="F24" s="28">
        <f t="shared" si="0"/>
        <v>4921955</v>
      </c>
      <c r="G24" s="643">
        <v>463129</v>
      </c>
      <c r="H24" s="643">
        <v>451782</v>
      </c>
      <c r="I24" s="643">
        <v>442411</v>
      </c>
      <c r="J24" s="643">
        <v>401379</v>
      </c>
      <c r="K24" s="643">
        <v>387828</v>
      </c>
      <c r="L24" s="643">
        <v>397604</v>
      </c>
      <c r="M24" s="643">
        <v>411919</v>
      </c>
      <c r="N24" s="643">
        <v>373556</v>
      </c>
      <c r="O24" s="643">
        <v>399821</v>
      </c>
      <c r="P24" s="643">
        <v>400309</v>
      </c>
      <c r="Q24" s="643">
        <v>369455</v>
      </c>
      <c r="R24" s="643">
        <v>422762</v>
      </c>
    </row>
    <row r="25" spans="1:18">
      <c r="A25" s="10">
        <v>442100</v>
      </c>
      <c r="B25" t="s">
        <v>93</v>
      </c>
      <c r="D25" t="s">
        <v>366</v>
      </c>
      <c r="E25" t="s">
        <v>367</v>
      </c>
      <c r="F25" s="28">
        <f t="shared" si="0"/>
        <v>2257234</v>
      </c>
      <c r="G25" s="643">
        <v>208510</v>
      </c>
      <c r="H25" s="643">
        <v>201827</v>
      </c>
      <c r="I25" s="643">
        <v>199370</v>
      </c>
      <c r="J25" s="643">
        <v>177844</v>
      </c>
      <c r="K25" s="643">
        <v>167204</v>
      </c>
      <c r="L25" s="643">
        <v>185295</v>
      </c>
      <c r="M25" s="643">
        <v>201990</v>
      </c>
      <c r="N25" s="643">
        <v>174545</v>
      </c>
      <c r="O25" s="643">
        <v>189211</v>
      </c>
      <c r="P25" s="643">
        <v>186820</v>
      </c>
      <c r="Q25" s="643">
        <v>168180</v>
      </c>
      <c r="R25" s="643">
        <v>196438</v>
      </c>
    </row>
    <row r="26" spans="1:18">
      <c r="A26" s="10">
        <v>442100</v>
      </c>
      <c r="B26" t="s">
        <v>93</v>
      </c>
      <c r="D26" t="s">
        <v>358</v>
      </c>
      <c r="E26" t="s">
        <v>368</v>
      </c>
      <c r="F26" s="28">
        <f t="shared" si="0"/>
        <v>4751175</v>
      </c>
      <c r="G26" s="643">
        <v>130483</v>
      </c>
      <c r="H26" s="643">
        <v>102409</v>
      </c>
      <c r="I26" s="643">
        <v>319152</v>
      </c>
      <c r="J26" s="643">
        <v>225487</v>
      </c>
      <c r="K26" s="643">
        <v>1087263</v>
      </c>
      <c r="L26" s="643">
        <v>1474535</v>
      </c>
      <c r="M26" s="643">
        <v>1126889</v>
      </c>
      <c r="N26" s="643">
        <v>87920</v>
      </c>
      <c r="O26" s="643">
        <v>67175</v>
      </c>
      <c r="P26" s="643">
        <v>-40288</v>
      </c>
      <c r="Q26" s="643">
        <v>150214</v>
      </c>
      <c r="R26" s="643">
        <v>19936</v>
      </c>
    </row>
    <row r="27" spans="1:18">
      <c r="A27" s="10">
        <v>442100</v>
      </c>
      <c r="B27" t="s">
        <v>93</v>
      </c>
      <c r="D27" t="s">
        <v>369</v>
      </c>
      <c r="E27" t="s">
        <v>370</v>
      </c>
      <c r="F27" s="28">
        <f t="shared" si="0"/>
        <v>-4925834</v>
      </c>
      <c r="G27" s="643">
        <v>-904456</v>
      </c>
      <c r="H27" s="643">
        <v>-535061</v>
      </c>
      <c r="I27" s="643">
        <v>-64922</v>
      </c>
      <c r="J27" s="643">
        <v>-52</v>
      </c>
      <c r="K27" s="643">
        <v>-208438</v>
      </c>
      <c r="L27" s="643">
        <v>-410631</v>
      </c>
      <c r="M27" s="643">
        <v>-929916</v>
      </c>
      <c r="N27" s="643">
        <v>-436101</v>
      </c>
      <c r="O27" s="643">
        <v>-395138</v>
      </c>
      <c r="P27" s="643">
        <v>-342284</v>
      </c>
      <c r="Q27" s="643">
        <v>-390174</v>
      </c>
      <c r="R27" s="643">
        <v>-308661</v>
      </c>
    </row>
    <row r="28" spans="1:18">
      <c r="A28" s="10">
        <v>442100</v>
      </c>
      <c r="B28" t="s">
        <v>93</v>
      </c>
      <c r="D28" s="29" t="s">
        <v>371</v>
      </c>
      <c r="E28" t="s">
        <v>410</v>
      </c>
      <c r="F28" s="28">
        <f t="shared" si="0"/>
        <v>8824038</v>
      </c>
      <c r="G28" s="643">
        <v>1015273</v>
      </c>
      <c r="H28" s="643">
        <v>885742</v>
      </c>
      <c r="I28" s="643">
        <v>1147003</v>
      </c>
      <c r="J28" s="643">
        <v>522964</v>
      </c>
      <c r="K28" s="643">
        <v>711577</v>
      </c>
      <c r="L28" s="643">
        <v>1122088</v>
      </c>
      <c r="M28" s="643">
        <v>652121</v>
      </c>
      <c r="N28" s="643">
        <v>463468</v>
      </c>
      <c r="O28" s="643">
        <v>642719</v>
      </c>
      <c r="P28" s="643">
        <v>362901</v>
      </c>
      <c r="Q28" s="643">
        <v>407165</v>
      </c>
      <c r="R28" s="643">
        <v>891017</v>
      </c>
    </row>
    <row r="29" spans="1:18">
      <c r="A29" s="10">
        <v>442190</v>
      </c>
      <c r="B29" t="s">
        <v>94</v>
      </c>
      <c r="D29" t="s">
        <v>373</v>
      </c>
      <c r="E29" t="s">
        <v>374</v>
      </c>
      <c r="F29" s="28">
        <f t="shared" si="0"/>
        <v>25883</v>
      </c>
      <c r="G29" s="643">
        <v>-542827</v>
      </c>
      <c r="H29" s="643">
        <v>459256</v>
      </c>
      <c r="I29" s="643">
        <v>201384</v>
      </c>
      <c r="J29" s="643">
        <v>-492352</v>
      </c>
      <c r="K29" s="643">
        <v>804487</v>
      </c>
      <c r="L29" s="643">
        <v>-231217</v>
      </c>
      <c r="M29" s="643">
        <v>-1478804</v>
      </c>
      <c r="N29" s="643">
        <v>156211</v>
      </c>
      <c r="O29" s="643">
        <v>-325120</v>
      </c>
      <c r="P29" s="643">
        <v>-961849</v>
      </c>
      <c r="Q29" s="643">
        <v>1059627</v>
      </c>
      <c r="R29" s="643">
        <v>1377087</v>
      </c>
    </row>
    <row r="30" spans="1:18">
      <c r="A30" s="10">
        <v>442200</v>
      </c>
      <c r="B30" t="s">
        <v>95</v>
      </c>
      <c r="D30" t="s">
        <v>363</v>
      </c>
      <c r="E30" s="29" t="s">
        <v>407</v>
      </c>
      <c r="F30" s="28">
        <f t="shared" si="0"/>
        <v>16426061</v>
      </c>
      <c r="G30" s="643">
        <v>1496434</v>
      </c>
      <c r="H30" s="643">
        <v>1522366</v>
      </c>
      <c r="I30" s="643">
        <f>1431293+2</f>
        <v>1431295</v>
      </c>
      <c r="J30" s="643">
        <f>1351381-2</f>
        <v>1351379</v>
      </c>
      <c r="K30" s="643">
        <f>1400774-1</f>
        <v>1400773</v>
      </c>
      <c r="L30" s="643">
        <v>1368896</v>
      </c>
      <c r="M30" s="643">
        <f>1268253-1</f>
        <v>1268252</v>
      </c>
      <c r="N30" s="643">
        <v>1315725</v>
      </c>
      <c r="O30" s="643">
        <f>1212829-1</f>
        <v>1212828</v>
      </c>
      <c r="P30" s="643">
        <v>1240465</v>
      </c>
      <c r="Q30" s="643">
        <f>1371104-1</f>
        <v>1371103</v>
      </c>
      <c r="R30" s="643">
        <v>1446545</v>
      </c>
    </row>
    <row r="31" spans="1:18">
      <c r="A31" s="10">
        <v>442200</v>
      </c>
      <c r="B31" t="s">
        <v>95</v>
      </c>
      <c r="D31" t="s">
        <v>357</v>
      </c>
      <c r="E31" t="s">
        <v>365</v>
      </c>
      <c r="F31" s="28">
        <f t="shared" si="0"/>
        <v>25078607</v>
      </c>
      <c r="G31" s="643">
        <v>2223932</v>
      </c>
      <c r="H31" s="643">
        <v>2266538</v>
      </c>
      <c r="I31" s="643">
        <v>2273000</v>
      </c>
      <c r="J31" s="643">
        <v>2061262</v>
      </c>
      <c r="K31" s="643">
        <v>2066236</v>
      </c>
      <c r="L31" s="643">
        <v>2107184</v>
      </c>
      <c r="M31" s="643">
        <v>2036119</v>
      </c>
      <c r="N31" s="643">
        <v>1996531</v>
      </c>
      <c r="O31" s="643">
        <v>1962526</v>
      </c>
      <c r="P31" s="643">
        <v>1997491</v>
      </c>
      <c r="Q31" s="643">
        <v>1976882</v>
      </c>
      <c r="R31" s="643">
        <v>2110906</v>
      </c>
    </row>
    <row r="32" spans="1:18">
      <c r="A32" s="10">
        <v>442200</v>
      </c>
      <c r="B32" t="s">
        <v>95</v>
      </c>
      <c r="D32" t="s">
        <v>363</v>
      </c>
      <c r="E32" t="s">
        <v>408</v>
      </c>
      <c r="F32" s="28">
        <f t="shared" si="0"/>
        <v>23404234</v>
      </c>
      <c r="G32" s="643">
        <v>2138939</v>
      </c>
      <c r="H32" s="643">
        <v>2206443</v>
      </c>
      <c r="I32" s="643">
        <v>2166868</v>
      </c>
      <c r="J32" s="643">
        <v>1957019</v>
      </c>
      <c r="K32" s="643">
        <v>1973317</v>
      </c>
      <c r="L32" s="643">
        <v>1854417</v>
      </c>
      <c r="M32" s="643">
        <v>1830904</v>
      </c>
      <c r="N32" s="643">
        <v>1889679</v>
      </c>
      <c r="O32" s="643">
        <v>1748864</v>
      </c>
      <c r="P32" s="643">
        <v>1782268</v>
      </c>
      <c r="Q32" s="643">
        <v>1851792</v>
      </c>
      <c r="R32" s="643">
        <v>2003724</v>
      </c>
    </row>
    <row r="33" spans="1:18">
      <c r="A33" s="10">
        <v>442200</v>
      </c>
      <c r="B33" t="s">
        <v>95</v>
      </c>
      <c r="D33" t="s">
        <v>363</v>
      </c>
      <c r="E33" t="s">
        <v>409</v>
      </c>
      <c r="F33" s="28">
        <f t="shared" si="0"/>
        <v>2068739</v>
      </c>
      <c r="G33" s="643">
        <v>189064</v>
      </c>
      <c r="H33" s="643">
        <v>195031</v>
      </c>
      <c r="I33" s="643">
        <v>191533</v>
      </c>
      <c r="J33" s="643">
        <v>172984</v>
      </c>
      <c r="K33" s="643">
        <v>174425</v>
      </c>
      <c r="L33" s="643">
        <v>163915</v>
      </c>
      <c r="M33" s="643">
        <v>161837</v>
      </c>
      <c r="N33" s="643">
        <v>167032</v>
      </c>
      <c r="O33" s="643">
        <v>154585</v>
      </c>
      <c r="P33" s="643">
        <v>157538</v>
      </c>
      <c r="Q33" s="643">
        <v>163683</v>
      </c>
      <c r="R33" s="643">
        <v>177112</v>
      </c>
    </row>
    <row r="34" spans="1:18">
      <c r="A34" s="10">
        <v>442200</v>
      </c>
      <c r="B34" t="s">
        <v>95</v>
      </c>
      <c r="D34" t="s">
        <v>366</v>
      </c>
      <c r="E34" t="s">
        <v>367</v>
      </c>
      <c r="F34" s="28">
        <f t="shared" si="0"/>
        <v>1171921</v>
      </c>
      <c r="G34" s="643">
        <v>101387</v>
      </c>
      <c r="H34" s="643">
        <v>103329</v>
      </c>
      <c r="I34" s="643">
        <v>103624</v>
      </c>
      <c r="J34" s="643">
        <v>93971</v>
      </c>
      <c r="K34" s="643">
        <v>94198</v>
      </c>
      <c r="L34" s="643">
        <v>96065</v>
      </c>
      <c r="M34" s="643">
        <v>97647</v>
      </c>
      <c r="N34" s="643">
        <v>95748</v>
      </c>
      <c r="O34" s="643">
        <v>94118</v>
      </c>
      <c r="P34" s="643">
        <v>95794</v>
      </c>
      <c r="Q34" s="643">
        <v>94806</v>
      </c>
      <c r="R34" s="643">
        <v>101234</v>
      </c>
    </row>
    <row r="35" spans="1:18">
      <c r="A35" s="10">
        <v>442200</v>
      </c>
      <c r="B35" t="s">
        <v>95</v>
      </c>
      <c r="D35" t="s">
        <v>358</v>
      </c>
      <c r="E35" t="s">
        <v>368</v>
      </c>
      <c r="F35" s="28">
        <f t="shared" si="0"/>
        <v>2478601</v>
      </c>
      <c r="G35" s="643">
        <v>63447</v>
      </c>
      <c r="H35" s="643">
        <v>52430</v>
      </c>
      <c r="I35" s="643">
        <v>165882</v>
      </c>
      <c r="J35" s="643">
        <v>119146</v>
      </c>
      <c r="K35" s="643">
        <v>612531</v>
      </c>
      <c r="L35" s="643">
        <v>764461</v>
      </c>
      <c r="M35" s="643">
        <v>544767</v>
      </c>
      <c r="N35" s="643">
        <v>48229</v>
      </c>
      <c r="O35" s="643">
        <v>33414</v>
      </c>
      <c r="P35" s="643">
        <v>-20658</v>
      </c>
      <c r="Q35" s="643">
        <v>84678</v>
      </c>
      <c r="R35" s="643">
        <v>10274</v>
      </c>
    </row>
    <row r="36" spans="1:18">
      <c r="A36" s="10">
        <v>442200</v>
      </c>
      <c r="B36" t="s">
        <v>95</v>
      </c>
      <c r="D36" t="s">
        <v>369</v>
      </c>
      <c r="E36" t="s">
        <v>370</v>
      </c>
      <c r="F36" s="28">
        <f t="shared" si="0"/>
        <v>-2517657</v>
      </c>
      <c r="G36" s="643">
        <v>-439788</v>
      </c>
      <c r="H36" s="643">
        <v>-273936</v>
      </c>
      <c r="I36" s="643">
        <v>-33744</v>
      </c>
      <c r="J36" s="643">
        <v>-27</v>
      </c>
      <c r="K36" s="643">
        <v>-117427</v>
      </c>
      <c r="L36" s="643">
        <v>-212888</v>
      </c>
      <c r="M36" s="643">
        <v>-449545</v>
      </c>
      <c r="N36" s="643">
        <v>-239227</v>
      </c>
      <c r="O36" s="643">
        <v>-196550</v>
      </c>
      <c r="P36" s="643">
        <v>-175510</v>
      </c>
      <c r="Q36" s="643">
        <v>-219948</v>
      </c>
      <c r="R36" s="643">
        <v>-159067</v>
      </c>
    </row>
    <row r="37" spans="1:18">
      <c r="A37" s="10">
        <v>442200</v>
      </c>
      <c r="B37" t="s">
        <v>95</v>
      </c>
      <c r="D37" s="29" t="s">
        <v>371</v>
      </c>
      <c r="E37" t="s">
        <v>410</v>
      </c>
      <c r="F37" s="28">
        <f t="shared" si="0"/>
        <v>4566243</v>
      </c>
      <c r="G37" s="643">
        <v>493672</v>
      </c>
      <c r="H37" s="643">
        <v>453474</v>
      </c>
      <c r="I37" s="643">
        <v>596164</v>
      </c>
      <c r="J37" s="643">
        <v>276330</v>
      </c>
      <c r="K37" s="643">
        <v>400881</v>
      </c>
      <c r="L37" s="643">
        <v>581737</v>
      </c>
      <c r="M37" s="643">
        <v>315252</v>
      </c>
      <c r="N37" s="643">
        <v>254240</v>
      </c>
      <c r="O37" s="643">
        <v>319703</v>
      </c>
      <c r="P37" s="643">
        <v>186082</v>
      </c>
      <c r="Q37" s="643">
        <v>229527</v>
      </c>
      <c r="R37" s="643">
        <v>459181</v>
      </c>
    </row>
    <row r="38" spans="1:18">
      <c r="A38" s="10">
        <v>442290</v>
      </c>
      <c r="B38" t="s">
        <v>96</v>
      </c>
      <c r="D38" t="s">
        <v>373</v>
      </c>
      <c r="E38" t="s">
        <v>374</v>
      </c>
      <c r="F38" s="28">
        <f t="shared" si="0"/>
        <v>-10082</v>
      </c>
      <c r="G38" s="643">
        <v>-6140</v>
      </c>
      <c r="H38" s="643">
        <v>331786</v>
      </c>
      <c r="I38" s="643">
        <v>-62736</v>
      </c>
      <c r="J38" s="643">
        <v>6357</v>
      </c>
      <c r="K38" s="643">
        <v>272142</v>
      </c>
      <c r="L38" s="643">
        <v>-164272</v>
      </c>
      <c r="M38" s="643">
        <v>-728083</v>
      </c>
      <c r="N38" s="643">
        <v>-307112</v>
      </c>
      <c r="O38" s="643">
        <v>223118</v>
      </c>
      <c r="P38" s="643">
        <v>-71920</v>
      </c>
      <c r="Q38" s="643">
        <v>415961</v>
      </c>
      <c r="R38" s="643">
        <v>80817</v>
      </c>
    </row>
    <row r="39" spans="1:18">
      <c r="A39" s="10">
        <v>444000</v>
      </c>
      <c r="B39" t="s">
        <v>97</v>
      </c>
      <c r="D39" t="s">
        <v>363</v>
      </c>
      <c r="E39" t="s">
        <v>407</v>
      </c>
      <c r="F39" s="28">
        <f t="shared" si="0"/>
        <v>766021</v>
      </c>
      <c r="G39" s="643">
        <f>66852-1</f>
        <v>66851</v>
      </c>
      <c r="H39" s="643">
        <v>46466</v>
      </c>
      <c r="I39" s="643">
        <f>79942+2</f>
        <v>79944</v>
      </c>
      <c r="J39" s="643">
        <f>61088-1</f>
        <v>61087</v>
      </c>
      <c r="K39" s="643">
        <v>68650</v>
      </c>
      <c r="L39" s="643">
        <f>60793-1</f>
        <v>60792</v>
      </c>
      <c r="M39" s="643">
        <f>65244-1</f>
        <v>65243</v>
      </c>
      <c r="N39" s="643">
        <f>63027+1</f>
        <v>63028</v>
      </c>
      <c r="O39" s="643">
        <v>62459</v>
      </c>
      <c r="P39" s="643">
        <v>60879</v>
      </c>
      <c r="Q39" s="643">
        <f>60046+1</f>
        <v>60047</v>
      </c>
      <c r="R39" s="643">
        <f>70574+1</f>
        <v>70575</v>
      </c>
    </row>
    <row r="40" spans="1:18">
      <c r="A40" s="10">
        <v>444000</v>
      </c>
      <c r="B40" t="s">
        <v>97</v>
      </c>
      <c r="D40" t="s">
        <v>357</v>
      </c>
      <c r="E40" t="s">
        <v>365</v>
      </c>
      <c r="F40" s="28">
        <f t="shared" si="0"/>
        <v>422730</v>
      </c>
      <c r="G40" s="643">
        <v>36286</v>
      </c>
      <c r="H40" s="643">
        <v>25356</v>
      </c>
      <c r="I40" s="643">
        <v>44896</v>
      </c>
      <c r="J40" s="643">
        <v>33520</v>
      </c>
      <c r="K40" s="643">
        <v>37372</v>
      </c>
      <c r="L40" s="643">
        <v>34129</v>
      </c>
      <c r="M40" s="643">
        <v>37129</v>
      </c>
      <c r="N40" s="643">
        <v>34925</v>
      </c>
      <c r="O40" s="643">
        <v>34994</v>
      </c>
      <c r="P40" s="643">
        <v>33897</v>
      </c>
      <c r="Q40" s="643">
        <v>32236</v>
      </c>
      <c r="R40" s="643">
        <v>37990</v>
      </c>
    </row>
    <row r="41" spans="1:18">
      <c r="A41" s="10">
        <v>444000</v>
      </c>
      <c r="B41" t="s">
        <v>97</v>
      </c>
      <c r="D41" t="s">
        <v>363</v>
      </c>
      <c r="E41" t="s">
        <v>408</v>
      </c>
      <c r="F41" s="28">
        <f t="shared" si="0"/>
        <v>463344</v>
      </c>
      <c r="G41" s="643">
        <v>40341</v>
      </c>
      <c r="H41" s="643">
        <v>28098</v>
      </c>
      <c r="I41" s="643">
        <v>49195</v>
      </c>
      <c r="J41" s="643">
        <v>37098</v>
      </c>
      <c r="K41" s="643">
        <v>41193</v>
      </c>
      <c r="L41" s="643">
        <v>36294</v>
      </c>
      <c r="M41" s="643">
        <v>39733</v>
      </c>
      <c r="N41" s="643">
        <v>38073</v>
      </c>
      <c r="O41" s="643">
        <v>38233</v>
      </c>
      <c r="P41" s="643">
        <v>37250</v>
      </c>
      <c r="Q41" s="643">
        <v>35633</v>
      </c>
      <c r="R41" s="643">
        <v>42203</v>
      </c>
    </row>
    <row r="42" spans="1:18">
      <c r="A42" s="10">
        <v>444000</v>
      </c>
      <c r="B42" t="s">
        <v>97</v>
      </c>
      <c r="D42" t="s">
        <v>363</v>
      </c>
      <c r="E42" t="s">
        <v>409</v>
      </c>
      <c r="F42" s="28">
        <f t="shared" si="0"/>
        <v>38657</v>
      </c>
      <c r="G42" s="643">
        <v>3366</v>
      </c>
      <c r="H42" s="643">
        <v>2344</v>
      </c>
      <c r="I42" s="643">
        <v>4104</v>
      </c>
      <c r="J42" s="643">
        <v>3095</v>
      </c>
      <c r="K42" s="643">
        <v>3437</v>
      </c>
      <c r="L42" s="643">
        <v>3028</v>
      </c>
      <c r="M42" s="643">
        <v>3315</v>
      </c>
      <c r="N42" s="643">
        <v>3176</v>
      </c>
      <c r="O42" s="643">
        <v>3190</v>
      </c>
      <c r="P42" s="643">
        <v>3108</v>
      </c>
      <c r="Q42" s="643">
        <v>2973</v>
      </c>
      <c r="R42" s="643">
        <v>3521</v>
      </c>
    </row>
    <row r="43" spans="1:18">
      <c r="A43" s="10">
        <v>444000</v>
      </c>
      <c r="B43" t="s">
        <v>97</v>
      </c>
      <c r="D43" t="s">
        <v>366</v>
      </c>
      <c r="E43" t="s">
        <v>367</v>
      </c>
      <c r="F43" s="28">
        <f t="shared" si="0"/>
        <v>0</v>
      </c>
      <c r="G43" s="643">
        <v>0</v>
      </c>
      <c r="H43" s="643">
        <v>0</v>
      </c>
      <c r="I43" s="643">
        <v>0</v>
      </c>
      <c r="J43" s="643">
        <v>0</v>
      </c>
      <c r="K43" s="643">
        <v>0</v>
      </c>
      <c r="L43" s="643">
        <v>0</v>
      </c>
      <c r="M43" s="643">
        <v>0</v>
      </c>
      <c r="N43" s="643">
        <v>0</v>
      </c>
      <c r="O43" s="643">
        <v>0</v>
      </c>
      <c r="P43" s="643">
        <v>0</v>
      </c>
      <c r="Q43" s="643">
        <v>0</v>
      </c>
      <c r="R43" s="643">
        <v>0</v>
      </c>
    </row>
    <row r="44" spans="1:18">
      <c r="A44" s="10">
        <v>444000</v>
      </c>
      <c r="B44" t="s">
        <v>97</v>
      </c>
      <c r="D44" t="s">
        <v>358</v>
      </c>
      <c r="E44" t="s">
        <v>368</v>
      </c>
      <c r="F44" s="28">
        <f t="shared" si="0"/>
        <v>42886</v>
      </c>
      <c r="G44" s="643">
        <v>1035</v>
      </c>
      <c r="H44" s="643">
        <v>587</v>
      </c>
      <c r="I44" s="643">
        <v>3276</v>
      </c>
      <c r="J44" s="643">
        <v>1938</v>
      </c>
      <c r="K44" s="643">
        <v>11079</v>
      </c>
      <c r="L44" s="643">
        <v>12382</v>
      </c>
      <c r="M44" s="643">
        <v>9934</v>
      </c>
      <c r="N44" s="643">
        <v>844</v>
      </c>
      <c r="O44" s="643">
        <v>596</v>
      </c>
      <c r="P44" s="643">
        <v>-351</v>
      </c>
      <c r="Q44" s="643">
        <v>1381</v>
      </c>
      <c r="R44" s="643">
        <v>185</v>
      </c>
    </row>
    <row r="45" spans="1:18">
      <c r="A45" s="10">
        <v>444000</v>
      </c>
      <c r="B45" t="s">
        <v>97</v>
      </c>
      <c r="D45" t="s">
        <v>369</v>
      </c>
      <c r="E45" t="s">
        <v>370</v>
      </c>
      <c r="F45" s="28">
        <f t="shared" si="0"/>
        <v>-41795</v>
      </c>
      <c r="G45" s="643">
        <v>-7176</v>
      </c>
      <c r="H45" s="643">
        <v>-3065</v>
      </c>
      <c r="I45" s="643">
        <v>-667</v>
      </c>
      <c r="J45" s="643">
        <v>0</v>
      </c>
      <c r="K45" s="643">
        <v>-2124</v>
      </c>
      <c r="L45" s="643">
        <v>-3448</v>
      </c>
      <c r="M45" s="643">
        <v>-8197</v>
      </c>
      <c r="N45" s="643">
        <v>-4185</v>
      </c>
      <c r="O45" s="643">
        <v>-3505</v>
      </c>
      <c r="P45" s="643">
        <v>-2978</v>
      </c>
      <c r="Q45" s="643">
        <v>-3587</v>
      </c>
      <c r="R45" s="643">
        <v>-2863</v>
      </c>
    </row>
    <row r="46" spans="1:18">
      <c r="A46" s="10">
        <v>444000</v>
      </c>
      <c r="B46" t="s">
        <v>97</v>
      </c>
      <c r="D46" s="29" t="s">
        <v>371</v>
      </c>
      <c r="E46" t="s">
        <v>410</v>
      </c>
      <c r="F46" s="28">
        <f t="shared" si="0"/>
        <v>77132</v>
      </c>
      <c r="G46" s="643">
        <v>8055</v>
      </c>
      <c r="H46" s="643">
        <v>5073</v>
      </c>
      <c r="I46" s="643">
        <v>11775</v>
      </c>
      <c r="J46" s="643">
        <v>4494</v>
      </c>
      <c r="K46" s="643">
        <v>7251</v>
      </c>
      <c r="L46" s="643">
        <v>9422</v>
      </c>
      <c r="M46" s="643">
        <v>5749</v>
      </c>
      <c r="N46" s="643">
        <v>4447</v>
      </c>
      <c r="O46" s="643">
        <v>5701</v>
      </c>
      <c r="P46" s="643">
        <v>3158</v>
      </c>
      <c r="Q46" s="643">
        <v>3743</v>
      </c>
      <c r="R46" s="643">
        <v>8264</v>
      </c>
    </row>
    <row r="47" spans="1:18">
      <c r="A47" s="10">
        <v>445000</v>
      </c>
      <c r="B47" t="s">
        <v>98</v>
      </c>
      <c r="D47" t="s">
        <v>363</v>
      </c>
      <c r="E47" t="s">
        <v>407</v>
      </c>
      <c r="F47" s="28">
        <f t="shared" si="0"/>
        <v>6253098</v>
      </c>
      <c r="G47" s="643">
        <f>577364-1</f>
        <v>577363</v>
      </c>
      <c r="H47" s="643">
        <f>579062-1</f>
        <v>579061</v>
      </c>
      <c r="I47" s="643">
        <f>571253+1</f>
        <v>571254</v>
      </c>
      <c r="J47" s="643">
        <f>523684+1</f>
        <v>523685</v>
      </c>
      <c r="K47" s="643">
        <v>474115</v>
      </c>
      <c r="L47" s="643">
        <v>537528</v>
      </c>
      <c r="M47" s="643">
        <v>519693</v>
      </c>
      <c r="N47" s="643">
        <f>561508+1</f>
        <v>561509</v>
      </c>
      <c r="O47" s="643">
        <v>457900</v>
      </c>
      <c r="P47" s="643">
        <v>424672</v>
      </c>
      <c r="Q47" s="643">
        <v>491343</v>
      </c>
      <c r="R47" s="643">
        <v>534975</v>
      </c>
    </row>
    <row r="48" spans="1:18">
      <c r="A48" s="10">
        <v>445000</v>
      </c>
      <c r="B48" t="s">
        <v>98</v>
      </c>
      <c r="D48" t="s">
        <v>357</v>
      </c>
      <c r="E48" t="s">
        <v>365</v>
      </c>
      <c r="F48" s="28">
        <f t="shared" si="0"/>
        <v>8466706</v>
      </c>
      <c r="G48" s="643">
        <v>751580</v>
      </c>
      <c r="H48" s="643">
        <v>787667</v>
      </c>
      <c r="I48" s="643">
        <v>819223</v>
      </c>
      <c r="J48" s="643">
        <v>730146</v>
      </c>
      <c r="K48" s="643">
        <v>636204</v>
      </c>
      <c r="L48" s="643">
        <v>731430</v>
      </c>
      <c r="M48" s="643">
        <v>742925</v>
      </c>
      <c r="N48" s="643">
        <v>728874</v>
      </c>
      <c r="O48" s="643">
        <v>685422</v>
      </c>
      <c r="P48" s="643">
        <v>573131</v>
      </c>
      <c r="Q48" s="643">
        <v>614100</v>
      </c>
      <c r="R48" s="643">
        <v>666004</v>
      </c>
    </row>
    <row r="49" spans="1:19">
      <c r="A49" s="10">
        <v>445000</v>
      </c>
      <c r="B49" t="s">
        <v>98</v>
      </c>
      <c r="D49" t="s">
        <v>363</v>
      </c>
      <c r="E49" t="s">
        <v>408</v>
      </c>
      <c r="F49" s="28">
        <f t="shared" si="0"/>
        <v>9384811</v>
      </c>
      <c r="G49" s="643">
        <v>876957</v>
      </c>
      <c r="H49" s="643">
        <v>855944</v>
      </c>
      <c r="I49" s="643">
        <v>884531</v>
      </c>
      <c r="J49" s="643">
        <v>773205</v>
      </c>
      <c r="K49" s="643">
        <v>687344</v>
      </c>
      <c r="L49" s="643">
        <v>776826</v>
      </c>
      <c r="M49" s="643">
        <v>783962</v>
      </c>
      <c r="N49" s="643">
        <v>873542</v>
      </c>
      <c r="O49" s="643">
        <v>666031</v>
      </c>
      <c r="P49" s="643">
        <v>672056</v>
      </c>
      <c r="Q49" s="643">
        <v>721920</v>
      </c>
      <c r="R49" s="643">
        <v>812493</v>
      </c>
    </row>
    <row r="50" spans="1:19">
      <c r="A50" s="10">
        <v>445000</v>
      </c>
      <c r="B50" t="s">
        <v>98</v>
      </c>
      <c r="D50" t="s">
        <v>363</v>
      </c>
      <c r="E50" t="s">
        <v>409</v>
      </c>
      <c r="F50" s="28">
        <f t="shared" si="0"/>
        <v>842833</v>
      </c>
      <c r="G50" s="643">
        <v>78758</v>
      </c>
      <c r="H50" s="643">
        <v>76871</v>
      </c>
      <c r="I50" s="643">
        <v>79438</v>
      </c>
      <c r="J50" s="643">
        <v>69440</v>
      </c>
      <c r="K50" s="643">
        <v>61729</v>
      </c>
      <c r="L50" s="643">
        <v>69766</v>
      </c>
      <c r="M50" s="643">
        <v>70406</v>
      </c>
      <c r="N50" s="643">
        <v>78451</v>
      </c>
      <c r="O50" s="643">
        <v>59815</v>
      </c>
      <c r="P50" s="643">
        <v>60356</v>
      </c>
      <c r="Q50" s="643">
        <v>64834</v>
      </c>
      <c r="R50" s="643">
        <v>72969</v>
      </c>
    </row>
    <row r="51" spans="1:19">
      <c r="A51" s="10">
        <v>445000</v>
      </c>
      <c r="B51" t="s">
        <v>98</v>
      </c>
      <c r="D51" t="s">
        <v>366</v>
      </c>
      <c r="E51" t="s">
        <v>367</v>
      </c>
      <c r="F51" s="28">
        <f t="shared" si="0"/>
        <v>395489</v>
      </c>
      <c r="G51" s="643">
        <v>34264</v>
      </c>
      <c r="H51" s="643">
        <v>35909</v>
      </c>
      <c r="I51" s="643">
        <v>37348</v>
      </c>
      <c r="J51" s="643">
        <v>33287</v>
      </c>
      <c r="K51" s="643">
        <v>29004</v>
      </c>
      <c r="L51" s="643">
        <v>33345</v>
      </c>
      <c r="M51" s="643">
        <v>35629</v>
      </c>
      <c r="N51" s="643">
        <v>34955</v>
      </c>
      <c r="O51" s="643">
        <v>32871</v>
      </c>
      <c r="P51" s="643">
        <v>27486</v>
      </c>
      <c r="Q51" s="643">
        <v>29451</v>
      </c>
      <c r="R51" s="643">
        <v>31940</v>
      </c>
    </row>
    <row r="52" spans="1:19">
      <c r="A52" s="10">
        <v>445000</v>
      </c>
      <c r="B52" t="s">
        <v>98</v>
      </c>
      <c r="D52" t="s">
        <v>358</v>
      </c>
      <c r="E52" t="s">
        <v>368</v>
      </c>
      <c r="F52" s="28">
        <f t="shared" si="0"/>
        <v>847275</v>
      </c>
      <c r="G52" s="643">
        <v>21442</v>
      </c>
      <c r="H52" s="643">
        <v>18221</v>
      </c>
      <c r="I52" s="643">
        <v>59786</v>
      </c>
      <c r="J52" s="643">
        <v>42204</v>
      </c>
      <c r="K52" s="643">
        <v>188601</v>
      </c>
      <c r="L52" s="643">
        <v>265354</v>
      </c>
      <c r="M52" s="643">
        <v>198771</v>
      </c>
      <c r="N52" s="643">
        <v>17607</v>
      </c>
      <c r="O52" s="643">
        <v>11670</v>
      </c>
      <c r="P52" s="643">
        <v>-5927</v>
      </c>
      <c r="Q52" s="643">
        <v>26305</v>
      </c>
      <c r="R52" s="643">
        <v>3241</v>
      </c>
    </row>
    <row r="53" spans="1:19">
      <c r="A53" s="10">
        <v>445000</v>
      </c>
      <c r="B53" t="s">
        <v>98</v>
      </c>
      <c r="D53" t="s">
        <v>369</v>
      </c>
      <c r="E53" t="s">
        <v>370</v>
      </c>
      <c r="F53" s="28">
        <f t="shared" si="0"/>
        <v>-854927</v>
      </c>
      <c r="G53" s="643">
        <v>-148627</v>
      </c>
      <c r="H53" s="643">
        <v>-95198</v>
      </c>
      <c r="I53" s="643">
        <v>-12162</v>
      </c>
      <c r="J53" s="643">
        <v>-10</v>
      </c>
      <c r="K53" s="643">
        <v>-36156</v>
      </c>
      <c r="L53" s="643">
        <v>-73896</v>
      </c>
      <c r="M53" s="643">
        <v>-164027</v>
      </c>
      <c r="N53" s="643">
        <v>-87335</v>
      </c>
      <c r="O53" s="643">
        <v>-68646</v>
      </c>
      <c r="P53" s="643">
        <v>-50358</v>
      </c>
      <c r="Q53" s="643">
        <v>-68325</v>
      </c>
      <c r="R53" s="643">
        <v>-50187</v>
      </c>
    </row>
    <row r="54" spans="1:19">
      <c r="A54" s="10">
        <v>445000</v>
      </c>
      <c r="B54" t="s">
        <v>98</v>
      </c>
      <c r="D54" s="29" t="s">
        <v>371</v>
      </c>
      <c r="E54" t="s">
        <v>410</v>
      </c>
      <c r="F54" s="28">
        <f t="shared" si="0"/>
        <v>1551604</v>
      </c>
      <c r="G54" s="643">
        <v>166837</v>
      </c>
      <c r="H54" s="643">
        <v>157591</v>
      </c>
      <c r="I54" s="643">
        <v>214866</v>
      </c>
      <c r="J54" s="643">
        <v>97882</v>
      </c>
      <c r="K54" s="643">
        <v>123433</v>
      </c>
      <c r="L54" s="643">
        <v>201928</v>
      </c>
      <c r="M54" s="643">
        <v>115027</v>
      </c>
      <c r="N54" s="643">
        <v>92815</v>
      </c>
      <c r="O54" s="643">
        <v>111658</v>
      </c>
      <c r="P54" s="643">
        <v>53392</v>
      </c>
      <c r="Q54" s="643">
        <v>71300</v>
      </c>
      <c r="R54" s="643">
        <v>144875</v>
      </c>
    </row>
    <row r="55" spans="1:19">
      <c r="A55" s="10">
        <v>445090</v>
      </c>
      <c r="B55" t="s">
        <v>99</v>
      </c>
      <c r="D55" t="s">
        <v>373</v>
      </c>
      <c r="E55" t="s">
        <v>374</v>
      </c>
      <c r="F55" s="28">
        <f t="shared" si="0"/>
        <v>28915</v>
      </c>
      <c r="G55" s="643">
        <v>-64533</v>
      </c>
      <c r="H55" s="643">
        <v>84305</v>
      </c>
      <c r="I55" s="643">
        <v>-66481</v>
      </c>
      <c r="J55" s="643">
        <v>28369</v>
      </c>
      <c r="K55" s="643">
        <v>187237</v>
      </c>
      <c r="L55" s="643">
        <v>-91086</v>
      </c>
      <c r="M55" s="643">
        <v>-302259</v>
      </c>
      <c r="N55" s="643">
        <v>-113757</v>
      </c>
      <c r="O55" s="643">
        <v>-59782</v>
      </c>
      <c r="P55" s="643">
        <v>268420</v>
      </c>
      <c r="Q55" s="643">
        <v>60239</v>
      </c>
      <c r="R55" s="643">
        <v>98243</v>
      </c>
    </row>
    <row r="56" spans="1:19">
      <c r="A56" s="10">
        <v>447150</v>
      </c>
      <c r="B56" t="s">
        <v>100</v>
      </c>
      <c r="D56" t="s">
        <v>375</v>
      </c>
      <c r="E56" t="s">
        <v>375</v>
      </c>
      <c r="F56" s="28">
        <f t="shared" si="0"/>
        <v>0</v>
      </c>
      <c r="G56" s="643">
        <v>0</v>
      </c>
      <c r="H56" s="643">
        <v>0</v>
      </c>
      <c r="I56" s="643">
        <v>0</v>
      </c>
      <c r="J56" s="643">
        <v>0</v>
      </c>
      <c r="K56" s="643">
        <v>0</v>
      </c>
      <c r="L56" s="643">
        <v>0</v>
      </c>
      <c r="M56" s="643">
        <v>0</v>
      </c>
      <c r="N56" s="643">
        <v>0</v>
      </c>
      <c r="O56" s="643">
        <v>0</v>
      </c>
      <c r="P56" s="643">
        <v>0</v>
      </c>
      <c r="Q56" s="643">
        <v>0</v>
      </c>
      <c r="R56" s="643">
        <v>0</v>
      </c>
      <c r="S56" s="679"/>
    </row>
    <row r="57" spans="1:19">
      <c r="A57" s="10">
        <v>447150</v>
      </c>
      <c r="B57" t="s">
        <v>100</v>
      </c>
      <c r="D57" t="s">
        <v>376</v>
      </c>
      <c r="E57" t="s">
        <v>377</v>
      </c>
      <c r="F57" s="28">
        <f t="shared" si="0"/>
        <v>0</v>
      </c>
      <c r="G57" s="643">
        <v>0</v>
      </c>
      <c r="H57" s="643">
        <v>0</v>
      </c>
      <c r="I57" s="643">
        <v>0</v>
      </c>
      <c r="J57" s="643">
        <v>0</v>
      </c>
      <c r="K57" s="643">
        <v>0</v>
      </c>
      <c r="L57" s="643">
        <v>0</v>
      </c>
      <c r="M57" s="643">
        <v>0</v>
      </c>
      <c r="N57" s="643">
        <v>0</v>
      </c>
      <c r="O57" s="643">
        <v>0</v>
      </c>
      <c r="P57" s="643">
        <v>0</v>
      </c>
      <c r="Q57" s="643">
        <v>0</v>
      </c>
      <c r="R57" s="643">
        <v>0</v>
      </c>
    </row>
    <row r="58" spans="1:19">
      <c r="A58" s="10">
        <v>447150</v>
      </c>
      <c r="B58" t="s">
        <v>100</v>
      </c>
      <c r="D58" t="s">
        <v>378</v>
      </c>
      <c r="E58" t="s">
        <v>379</v>
      </c>
      <c r="F58" s="28">
        <f t="shared" si="0"/>
        <v>0</v>
      </c>
      <c r="G58" s="643">
        <v>0</v>
      </c>
      <c r="H58" s="643">
        <v>0</v>
      </c>
      <c r="I58" s="643">
        <v>0</v>
      </c>
      <c r="J58" s="643">
        <v>0</v>
      </c>
      <c r="K58" s="643">
        <v>0</v>
      </c>
      <c r="L58" s="643">
        <v>0</v>
      </c>
      <c r="M58" s="643">
        <v>0</v>
      </c>
      <c r="N58" s="643">
        <v>0</v>
      </c>
      <c r="O58" s="643">
        <v>0</v>
      </c>
      <c r="P58" s="643">
        <v>0</v>
      </c>
      <c r="Q58" s="643">
        <v>0</v>
      </c>
      <c r="R58" s="643">
        <v>0</v>
      </c>
    </row>
    <row r="59" spans="1:19">
      <c r="A59" s="10">
        <v>447150</v>
      </c>
      <c r="B59" t="s">
        <v>100</v>
      </c>
      <c r="D59" t="s">
        <v>380</v>
      </c>
      <c r="E59" t="s">
        <v>381</v>
      </c>
      <c r="F59" s="28">
        <f t="shared" si="0"/>
        <v>0</v>
      </c>
      <c r="G59" s="643">
        <v>0</v>
      </c>
      <c r="H59" s="643">
        <v>0</v>
      </c>
      <c r="I59" s="643">
        <v>0</v>
      </c>
      <c r="J59" s="643">
        <v>0</v>
      </c>
      <c r="K59" s="643">
        <v>0</v>
      </c>
      <c r="L59" s="643">
        <v>0</v>
      </c>
      <c r="M59" s="643">
        <v>0</v>
      </c>
      <c r="N59" s="643">
        <v>0</v>
      </c>
      <c r="O59" s="643">
        <v>0</v>
      </c>
      <c r="P59" s="643">
        <v>0</v>
      </c>
      <c r="Q59" s="643">
        <v>0</v>
      </c>
      <c r="R59" s="643">
        <v>0</v>
      </c>
    </row>
    <row r="60" spans="1:19">
      <c r="A60" s="10">
        <v>447150</v>
      </c>
      <c r="B60" t="s">
        <v>100</v>
      </c>
      <c r="F60" s="28">
        <f t="shared" ref="F60" si="1">SUM(G60:R60)</f>
        <v>31560809</v>
      </c>
      <c r="G60" s="643">
        <v>6255559</v>
      </c>
      <c r="H60" s="643">
        <v>3872948</v>
      </c>
      <c r="I60" s="643">
        <v>426653</v>
      </c>
      <c r="J60" s="643">
        <v>640</v>
      </c>
      <c r="K60" s="643">
        <v>1212317</v>
      </c>
      <c r="L60" s="643">
        <v>2624771</v>
      </c>
      <c r="M60" s="643">
        <v>6085846</v>
      </c>
      <c r="N60" s="643">
        <v>2642341</v>
      </c>
      <c r="O60" s="643">
        <v>2342229</v>
      </c>
      <c r="P60" s="643">
        <v>1906971</v>
      </c>
      <c r="Q60" s="643">
        <v>2194989</v>
      </c>
      <c r="R60" s="643">
        <v>1995545</v>
      </c>
    </row>
    <row r="61" spans="1:19">
      <c r="A61" s="10">
        <v>448000</v>
      </c>
      <c r="B61" t="s">
        <v>101</v>
      </c>
      <c r="D61" t="s">
        <v>382</v>
      </c>
      <c r="E61" t="s">
        <v>411</v>
      </c>
      <c r="F61" s="28">
        <f t="shared" si="0"/>
        <v>33541</v>
      </c>
      <c r="G61" s="643">
        <f>1518-1</f>
        <v>1517</v>
      </c>
      <c r="H61" s="643">
        <f>1545+1</f>
        <v>1546</v>
      </c>
      <c r="I61" s="643">
        <v>1640</v>
      </c>
      <c r="J61" s="643">
        <f>1608+1</f>
        <v>1609</v>
      </c>
      <c r="K61" s="643">
        <v>1756</v>
      </c>
      <c r="L61" s="643">
        <v>3401</v>
      </c>
      <c r="M61" s="643">
        <f>7692-1</f>
        <v>7691</v>
      </c>
      <c r="N61" s="643">
        <v>5866</v>
      </c>
      <c r="O61" s="643">
        <f>3862+1</f>
        <v>3863</v>
      </c>
      <c r="P61" s="643">
        <f>1502-1</f>
        <v>1501</v>
      </c>
      <c r="Q61" s="643">
        <v>1560</v>
      </c>
      <c r="R61" s="643">
        <f>1592-1</f>
        <v>1591</v>
      </c>
    </row>
    <row r="62" spans="1:19">
      <c r="A62" s="10">
        <v>450100</v>
      </c>
      <c r="B62" s="29" t="s">
        <v>286</v>
      </c>
      <c r="F62" s="28">
        <f t="shared" si="0"/>
        <v>1155060</v>
      </c>
      <c r="G62" s="643">
        <v>142710</v>
      </c>
      <c r="H62" s="643">
        <v>140840</v>
      </c>
      <c r="I62" s="643">
        <v>171160</v>
      </c>
      <c r="J62" s="643">
        <v>106100</v>
      </c>
      <c r="K62" s="643">
        <v>51860</v>
      </c>
      <c r="L62" s="643">
        <v>63670</v>
      </c>
      <c r="M62" s="643">
        <v>70460</v>
      </c>
      <c r="N62" s="643">
        <v>95670</v>
      </c>
      <c r="O62" s="643">
        <v>84040</v>
      </c>
      <c r="P62" s="643">
        <v>73170</v>
      </c>
      <c r="Q62" s="643">
        <v>75210</v>
      </c>
      <c r="R62" s="643">
        <v>80170</v>
      </c>
    </row>
    <row r="63" spans="1:19">
      <c r="A63" s="10">
        <v>451100</v>
      </c>
      <c r="B63" t="s">
        <v>105</v>
      </c>
      <c r="D63">
        <v>0</v>
      </c>
      <c r="E63" t="s">
        <v>411</v>
      </c>
      <c r="F63" s="28">
        <f t="shared" si="0"/>
        <v>249996</v>
      </c>
      <c r="G63" s="643">
        <v>20833</v>
      </c>
      <c r="H63" s="643">
        <v>20833</v>
      </c>
      <c r="I63" s="643">
        <v>20833</v>
      </c>
      <c r="J63" s="643">
        <v>20833</v>
      </c>
      <c r="K63" s="643">
        <v>20833</v>
      </c>
      <c r="L63" s="643">
        <v>20833</v>
      </c>
      <c r="M63" s="643">
        <v>20833</v>
      </c>
      <c r="N63" s="643">
        <v>20833</v>
      </c>
      <c r="O63" s="643">
        <v>20833</v>
      </c>
      <c r="P63" s="643">
        <v>20833</v>
      </c>
      <c r="Q63" s="643">
        <v>20833</v>
      </c>
      <c r="R63" s="643">
        <v>20833</v>
      </c>
    </row>
    <row r="64" spans="1:19">
      <c r="A64" s="10">
        <v>453625</v>
      </c>
      <c r="B64" t="s">
        <v>412</v>
      </c>
      <c r="E64" t="s">
        <v>411</v>
      </c>
      <c r="F64" s="28">
        <f t="shared" si="0"/>
        <v>0</v>
      </c>
      <c r="G64" s="643">
        <v>0</v>
      </c>
      <c r="H64" s="643">
        <v>0</v>
      </c>
      <c r="I64" s="643">
        <v>0</v>
      </c>
      <c r="J64" s="643">
        <v>0</v>
      </c>
      <c r="K64" s="643">
        <v>0</v>
      </c>
      <c r="L64" s="643">
        <v>0</v>
      </c>
      <c r="M64" s="643">
        <v>0</v>
      </c>
      <c r="N64" s="643">
        <v>0</v>
      </c>
      <c r="O64" s="643">
        <v>0</v>
      </c>
      <c r="P64" s="643">
        <v>0</v>
      </c>
      <c r="Q64" s="643">
        <v>0</v>
      </c>
      <c r="R64" s="643">
        <v>0</v>
      </c>
    </row>
    <row r="65" spans="1:18">
      <c r="A65" s="10">
        <v>454200</v>
      </c>
      <c r="B65" t="s">
        <v>108</v>
      </c>
      <c r="D65">
        <v>0</v>
      </c>
      <c r="E65" t="s">
        <v>411</v>
      </c>
      <c r="F65" s="28">
        <f t="shared" si="0"/>
        <v>699996</v>
      </c>
      <c r="G65" s="643">
        <v>58333</v>
      </c>
      <c r="H65" s="643">
        <v>58333</v>
      </c>
      <c r="I65" s="643">
        <v>58333</v>
      </c>
      <c r="J65" s="643">
        <v>58333</v>
      </c>
      <c r="K65" s="643">
        <v>58333</v>
      </c>
      <c r="L65" s="643">
        <v>58333</v>
      </c>
      <c r="M65" s="643">
        <v>58333</v>
      </c>
      <c r="N65" s="643">
        <v>58333</v>
      </c>
      <c r="O65" s="643">
        <v>58333</v>
      </c>
      <c r="P65" s="643">
        <v>58333</v>
      </c>
      <c r="Q65" s="643">
        <v>58333</v>
      </c>
      <c r="R65" s="643">
        <v>58333</v>
      </c>
    </row>
    <row r="66" spans="1:18">
      <c r="A66" s="10">
        <v>454400</v>
      </c>
      <c r="B66" t="s">
        <v>111</v>
      </c>
      <c r="D66">
        <v>0</v>
      </c>
      <c r="E66" t="s">
        <v>411</v>
      </c>
      <c r="F66" s="28">
        <f t="shared" si="0"/>
        <v>799992</v>
      </c>
      <c r="G66" s="643">
        <f t="shared" ref="G66:R66" si="2">66667-1</f>
        <v>66666</v>
      </c>
      <c r="H66" s="643">
        <f t="shared" si="2"/>
        <v>66666</v>
      </c>
      <c r="I66" s="643">
        <f t="shared" si="2"/>
        <v>66666</v>
      </c>
      <c r="J66" s="643">
        <f t="shared" si="2"/>
        <v>66666</v>
      </c>
      <c r="K66" s="643">
        <f t="shared" si="2"/>
        <v>66666</v>
      </c>
      <c r="L66" s="643">
        <f t="shared" si="2"/>
        <v>66666</v>
      </c>
      <c r="M66" s="643">
        <f t="shared" si="2"/>
        <v>66666</v>
      </c>
      <c r="N66" s="643">
        <f t="shared" si="2"/>
        <v>66666</v>
      </c>
      <c r="O66" s="643">
        <f t="shared" si="2"/>
        <v>66666</v>
      </c>
      <c r="P66" s="643">
        <f t="shared" si="2"/>
        <v>66666</v>
      </c>
      <c r="Q66" s="643">
        <f t="shared" si="2"/>
        <v>66666</v>
      </c>
      <c r="R66" s="643">
        <f t="shared" si="2"/>
        <v>66666</v>
      </c>
    </row>
    <row r="67" spans="1:18">
      <c r="A67" s="10">
        <v>454400</v>
      </c>
      <c r="B67" t="s">
        <v>111</v>
      </c>
      <c r="D67" t="s">
        <v>399</v>
      </c>
      <c r="E67" t="s">
        <v>399</v>
      </c>
      <c r="F67" s="28">
        <f t="shared" si="0"/>
        <v>500004</v>
      </c>
      <c r="G67" s="643">
        <v>41667</v>
      </c>
      <c r="H67" s="643">
        <v>41667</v>
      </c>
      <c r="I67" s="643">
        <v>41667</v>
      </c>
      <c r="J67" s="643">
        <v>41667</v>
      </c>
      <c r="K67" s="643">
        <v>41667</v>
      </c>
      <c r="L67" s="643">
        <v>41667</v>
      </c>
      <c r="M67" s="643">
        <v>41667</v>
      </c>
      <c r="N67" s="643">
        <v>41667</v>
      </c>
      <c r="O67" s="643">
        <v>41667</v>
      </c>
      <c r="P67" s="643">
        <v>41667</v>
      </c>
      <c r="Q67" s="643">
        <v>41667</v>
      </c>
      <c r="R67" s="643">
        <v>41667</v>
      </c>
    </row>
    <row r="68" spans="1:18">
      <c r="A68" s="10">
        <v>456110</v>
      </c>
      <c r="B68" t="s">
        <v>115</v>
      </c>
      <c r="D68">
        <v>0</v>
      </c>
      <c r="E68" t="s">
        <v>411</v>
      </c>
      <c r="F68" s="28">
        <f t="shared" si="0"/>
        <v>144996</v>
      </c>
      <c r="G68" s="643">
        <v>12083</v>
      </c>
      <c r="H68" s="643">
        <v>12083</v>
      </c>
      <c r="I68" s="643">
        <v>12083</v>
      </c>
      <c r="J68" s="643">
        <v>12083</v>
      </c>
      <c r="K68" s="643">
        <v>12083</v>
      </c>
      <c r="L68" s="643">
        <v>12083</v>
      </c>
      <c r="M68" s="643">
        <v>12083</v>
      </c>
      <c r="N68" s="643">
        <v>12083</v>
      </c>
      <c r="O68" s="643">
        <v>12083</v>
      </c>
      <c r="P68" s="643">
        <v>12083</v>
      </c>
      <c r="Q68" s="643">
        <v>12083</v>
      </c>
      <c r="R68" s="643">
        <v>12083</v>
      </c>
    </row>
    <row r="69" spans="1:18">
      <c r="A69" s="10">
        <v>456111</v>
      </c>
      <c r="B69" t="s">
        <v>116</v>
      </c>
      <c r="D69">
        <v>0</v>
      </c>
      <c r="E69" t="s">
        <v>411</v>
      </c>
      <c r="F69" s="28">
        <f t="shared" si="0"/>
        <v>0</v>
      </c>
      <c r="G69" s="643">
        <v>0</v>
      </c>
      <c r="H69" s="643">
        <v>0</v>
      </c>
      <c r="I69" s="643">
        <v>0</v>
      </c>
      <c r="J69" s="643">
        <v>0</v>
      </c>
      <c r="K69" s="643">
        <v>0</v>
      </c>
      <c r="L69" s="643">
        <v>0</v>
      </c>
      <c r="M69" s="643">
        <v>0</v>
      </c>
      <c r="N69" s="643">
        <v>0</v>
      </c>
      <c r="O69" s="643">
        <v>0</v>
      </c>
      <c r="P69" s="643">
        <v>0</v>
      </c>
      <c r="Q69" s="643">
        <v>0</v>
      </c>
      <c r="R69" s="643">
        <v>0</v>
      </c>
    </row>
    <row r="70" spans="1:18">
      <c r="A70" s="10">
        <v>456610</v>
      </c>
      <c r="B70" t="s">
        <v>287</v>
      </c>
      <c r="D70" t="s">
        <v>413</v>
      </c>
      <c r="E70" t="s">
        <v>414</v>
      </c>
      <c r="F70" s="28">
        <f t="shared" si="0"/>
        <v>0</v>
      </c>
      <c r="G70" s="643">
        <v>0</v>
      </c>
      <c r="H70" s="643">
        <v>0</v>
      </c>
      <c r="I70" s="643">
        <v>0</v>
      </c>
      <c r="J70" s="643">
        <v>0</v>
      </c>
      <c r="K70" s="643">
        <v>0</v>
      </c>
      <c r="L70" s="643">
        <v>0</v>
      </c>
      <c r="M70" s="643">
        <v>0</v>
      </c>
      <c r="N70" s="643">
        <v>0</v>
      </c>
      <c r="O70" s="643">
        <v>0</v>
      </c>
      <c r="P70" s="643">
        <v>0</v>
      </c>
      <c r="Q70" s="643">
        <v>0</v>
      </c>
      <c r="R70" s="643">
        <v>0</v>
      </c>
    </row>
    <row r="71" spans="1:18">
      <c r="A71" s="10">
        <v>456970</v>
      </c>
      <c r="B71" t="s">
        <v>117</v>
      </c>
      <c r="D71">
        <v>0</v>
      </c>
      <c r="E71" t="s">
        <v>411</v>
      </c>
      <c r="F71" s="28">
        <f t="shared" si="0"/>
        <v>24504</v>
      </c>
      <c r="G71" s="643">
        <v>2042</v>
      </c>
      <c r="H71" s="643">
        <v>2042</v>
      </c>
      <c r="I71" s="643">
        <v>2042</v>
      </c>
      <c r="J71" s="643">
        <v>2042</v>
      </c>
      <c r="K71" s="643">
        <v>2042</v>
      </c>
      <c r="L71" s="643">
        <v>2042</v>
      </c>
      <c r="M71" s="643">
        <v>2042</v>
      </c>
      <c r="N71" s="643">
        <v>2042</v>
      </c>
      <c r="O71" s="643">
        <v>2042</v>
      </c>
      <c r="P71" s="643">
        <v>2042</v>
      </c>
      <c r="Q71" s="643">
        <v>2042</v>
      </c>
      <c r="R71" s="643">
        <v>2042</v>
      </c>
    </row>
    <row r="72" spans="1:18">
      <c r="A72" s="2269">
        <v>457204</v>
      </c>
      <c r="B72" t="s">
        <v>415</v>
      </c>
      <c r="C72" t="s">
        <v>382</v>
      </c>
      <c r="D72" t="s">
        <v>382</v>
      </c>
      <c r="E72" t="s">
        <v>411</v>
      </c>
      <c r="F72" s="28">
        <f t="shared" si="0"/>
        <v>1881000</v>
      </c>
      <c r="G72" s="643">
        <v>156750</v>
      </c>
      <c r="H72" s="643">
        <v>156750</v>
      </c>
      <c r="I72" s="643">
        <v>156750</v>
      </c>
      <c r="J72" s="643">
        <v>156750</v>
      </c>
      <c r="K72" s="643">
        <v>156750</v>
      </c>
      <c r="L72" s="643">
        <v>156750</v>
      </c>
      <c r="M72" s="643">
        <v>156750</v>
      </c>
      <c r="N72" s="643">
        <v>156750</v>
      </c>
      <c r="O72" s="643">
        <v>156750</v>
      </c>
      <c r="P72" s="643">
        <v>156750</v>
      </c>
      <c r="Q72" s="643">
        <v>156750</v>
      </c>
      <c r="R72" s="643">
        <v>156750</v>
      </c>
    </row>
    <row r="73" spans="1:18">
      <c r="A73" s="33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</row>
  </sheetData>
  <pageMargins left="0.7" right="0.7" top="0.75" bottom="0.75" header="0.3" footer="0.3"/>
  <pageSetup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49">
    <tabColor rgb="FFFFC000"/>
    <pageSetUpPr fitToPage="1"/>
  </sheetPr>
  <dimension ref="A1:R103"/>
  <sheetViews>
    <sheetView zoomScale="95" zoomScaleNormal="95" workbookViewId="0"/>
  </sheetViews>
  <sheetFormatPr defaultColWidth="8" defaultRowHeight="13.2"/>
  <cols>
    <col min="1" max="1" width="7.5546875" customWidth="1"/>
    <col min="2" max="2" width="2" customWidth="1"/>
    <col min="3" max="3" width="18.5546875" customWidth="1"/>
    <col min="4" max="4" width="2.44140625" customWidth="1"/>
    <col min="5" max="5" width="46.44140625" customWidth="1"/>
    <col min="6" max="6" width="1" customWidth="1"/>
    <col min="7" max="7" width="17.5546875" customWidth="1"/>
    <col min="8" max="8" width="2" customWidth="1"/>
    <col min="9" max="9" width="11.5546875" customWidth="1"/>
    <col min="10" max="10" width="2" customWidth="1"/>
    <col min="11" max="11" width="14.44140625" customWidth="1"/>
    <col min="12" max="12" width="2" customWidth="1"/>
    <col min="13" max="13" width="15.44140625" customWidth="1"/>
    <col min="14" max="14" width="1.44140625" customWidth="1"/>
    <col min="15" max="15" width="12.44140625" customWidth="1"/>
    <col min="16" max="16" width="0.5546875" customWidth="1"/>
    <col min="17" max="17" width="18.5546875" customWidth="1"/>
  </cols>
  <sheetData>
    <row r="1" spans="1:18">
      <c r="A1" s="921" t="str">
        <f>COMPANY</f>
        <v>DUKE ENERGY KENTUCKY, INC.</v>
      </c>
      <c r="B1" s="921"/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529"/>
    </row>
    <row r="2" spans="1:18">
      <c r="A2" s="921" t="str">
        <f>CASE</f>
        <v>CASE NO. 2024-00354</v>
      </c>
      <c r="B2" s="921"/>
      <c r="C2" s="921"/>
      <c r="D2" s="921"/>
      <c r="E2" s="921"/>
      <c r="F2" s="921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1"/>
      <c r="R2" s="529"/>
    </row>
    <row r="3" spans="1:18">
      <c r="A3" s="926" t="s">
        <v>2542</v>
      </c>
      <c r="B3" s="921"/>
      <c r="C3" s="921"/>
      <c r="D3" s="921"/>
      <c r="E3" s="921"/>
      <c r="F3" s="921"/>
      <c r="G3" s="921"/>
      <c r="H3" s="921"/>
      <c r="I3" s="921"/>
      <c r="J3" s="921"/>
      <c r="K3" s="921"/>
      <c r="L3" s="921"/>
      <c r="M3" s="921"/>
      <c r="N3" s="926"/>
      <c r="O3" s="921"/>
      <c r="P3" s="921"/>
      <c r="Q3" s="921"/>
      <c r="R3" s="529"/>
    </row>
    <row r="4" spans="1:18">
      <c r="A4" s="926" t="str">
        <f>PERIOD</f>
        <v>FOR THE TWELVE MONTHS ENDED FEBRUARY 28, 2025</v>
      </c>
      <c r="B4" s="921"/>
      <c r="C4" s="921"/>
      <c r="D4" s="921"/>
      <c r="E4" s="921"/>
      <c r="F4" s="921"/>
      <c r="G4" s="921"/>
      <c r="H4" s="921"/>
      <c r="I4" s="921"/>
      <c r="J4" s="921"/>
      <c r="K4" s="921"/>
      <c r="L4" s="921"/>
      <c r="M4" s="921"/>
      <c r="N4" s="926"/>
      <c r="O4" s="921"/>
      <c r="P4" s="921"/>
      <c r="Q4" s="921"/>
      <c r="R4" s="529"/>
    </row>
    <row r="5" spans="1:18">
      <c r="A5" s="921" t="str">
        <f>LOGO!B8</f>
        <v>FOR THE TWELVE MONTHS ENDED JUNE 30, 2026</v>
      </c>
      <c r="B5" s="921"/>
      <c r="C5" s="921"/>
      <c r="D5" s="921"/>
      <c r="E5" s="921"/>
      <c r="F5" s="921"/>
      <c r="G5" s="921"/>
      <c r="H5" s="921"/>
      <c r="I5" s="921"/>
      <c r="J5" s="921"/>
      <c r="K5" s="921"/>
      <c r="L5" s="921"/>
      <c r="M5" s="921"/>
      <c r="N5" s="921"/>
      <c r="O5" s="921"/>
      <c r="P5" s="921"/>
      <c r="Q5" s="921"/>
      <c r="R5" s="529"/>
    </row>
    <row r="6" spans="1:18">
      <c r="A6" s="529"/>
      <c r="B6" s="529"/>
      <c r="C6" s="529"/>
      <c r="D6" s="529"/>
      <c r="E6" s="529"/>
      <c r="F6" s="529"/>
      <c r="G6" s="529"/>
      <c r="H6" s="529"/>
      <c r="I6" s="529"/>
      <c r="J6" s="529"/>
      <c r="K6" s="529"/>
      <c r="L6" s="529"/>
      <c r="M6" s="529"/>
      <c r="N6" s="529"/>
      <c r="O6" s="529"/>
      <c r="P6" s="529"/>
      <c r="Q6" s="529"/>
      <c r="R6" s="529"/>
    </row>
    <row r="7" spans="1:18">
      <c r="A7" s="529" t="str">
        <f>DataB</f>
        <v>DATA: "X" BASE PERIOD  "X" FORECASTED PERIOD</v>
      </c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908" t="s">
        <v>2543</v>
      </c>
      <c r="P7" s="529"/>
      <c r="Q7" s="529"/>
      <c r="R7" s="529"/>
    </row>
    <row r="8" spans="1:18">
      <c r="A8" s="529" t="str">
        <f>LOGO!B15</f>
        <v xml:space="preserve">TYPE OF FILING:  "X" ORIGINAL   UPDATED    REVISED  </v>
      </c>
      <c r="B8" s="529"/>
      <c r="C8" s="529"/>
      <c r="D8" s="529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908" t="s">
        <v>2544</v>
      </c>
      <c r="P8" s="529"/>
      <c r="Q8" s="529"/>
      <c r="R8" s="529"/>
    </row>
    <row r="9" spans="1:18">
      <c r="A9" s="908" t="s">
        <v>694</v>
      </c>
      <c r="B9" s="529"/>
      <c r="C9" s="529"/>
      <c r="D9" s="529"/>
      <c r="E9" s="529"/>
      <c r="F9" s="529"/>
      <c r="G9" s="529"/>
      <c r="H9" s="529"/>
      <c r="I9" s="529"/>
      <c r="J9" s="529"/>
      <c r="K9" s="529"/>
      <c r="L9" s="529"/>
      <c r="M9" s="529"/>
      <c r="N9" s="529"/>
      <c r="O9" s="908" t="s">
        <v>2545</v>
      </c>
      <c r="P9" s="529"/>
      <c r="Q9" s="529"/>
      <c r="R9" s="529"/>
    </row>
    <row r="10" spans="1:18">
      <c r="A10" s="529"/>
      <c r="B10" s="529"/>
      <c r="C10" s="529"/>
      <c r="D10" s="529"/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908" t="str">
        <f>"     "&amp;_WIT1</f>
        <v xml:space="preserve">     L. D. STEINKUHL</v>
      </c>
      <c r="P10" s="529"/>
      <c r="Q10" s="529"/>
      <c r="R10" s="529"/>
    </row>
    <row r="11" spans="1:18">
      <c r="A11" s="1554"/>
      <c r="B11" s="1554"/>
      <c r="C11" s="1554"/>
      <c r="D11" s="1554"/>
      <c r="E11" s="1554"/>
      <c r="F11" s="1554"/>
      <c r="G11" s="1554"/>
      <c r="H11" s="1554"/>
      <c r="I11" s="1554"/>
      <c r="J11" s="1554"/>
      <c r="K11" s="1554"/>
      <c r="L11" s="1554"/>
      <c r="M11" s="1554"/>
      <c r="N11" s="1554"/>
      <c r="O11" s="1554"/>
      <c r="P11" s="1554"/>
      <c r="Q11" s="1554"/>
      <c r="R11" s="529"/>
    </row>
    <row r="12" spans="1:18">
      <c r="A12" s="927"/>
      <c r="B12" s="927"/>
      <c r="C12" s="927"/>
      <c r="D12" s="927"/>
      <c r="E12" s="927"/>
      <c r="F12" s="927"/>
      <c r="G12" s="2160" t="s">
        <v>252</v>
      </c>
      <c r="H12" s="2160"/>
      <c r="I12" s="1555"/>
      <c r="J12" s="1555"/>
      <c r="K12" s="1555"/>
      <c r="L12" s="927"/>
      <c r="M12" s="2160" t="s">
        <v>403</v>
      </c>
      <c r="N12" s="2160"/>
      <c r="O12" s="1555"/>
      <c r="P12" s="1555"/>
      <c r="Q12" s="1555"/>
      <c r="R12" s="529"/>
    </row>
    <row r="13" spans="1:18">
      <c r="A13" s="534" t="s">
        <v>471</v>
      </c>
      <c r="B13" s="529"/>
      <c r="C13" s="534" t="s">
        <v>1045</v>
      </c>
      <c r="D13" s="534"/>
      <c r="E13" s="534" t="s">
        <v>2546</v>
      </c>
      <c r="F13" s="921"/>
      <c r="G13" s="928" t="s">
        <v>972</v>
      </c>
      <c r="H13" s="534"/>
      <c r="I13" s="2420" t="s">
        <v>937</v>
      </c>
      <c r="J13" s="2420"/>
      <c r="K13" s="2420"/>
      <c r="L13" s="921"/>
      <c r="M13" s="928" t="s">
        <v>972</v>
      </c>
      <c r="N13" s="534"/>
      <c r="O13" s="2420" t="s">
        <v>937</v>
      </c>
      <c r="P13" s="2420"/>
      <c r="Q13" s="2420"/>
      <c r="R13" s="529"/>
    </row>
    <row r="14" spans="1:18">
      <c r="A14" s="534" t="s">
        <v>533</v>
      </c>
      <c r="B14" s="529"/>
      <c r="C14" s="534" t="s">
        <v>533</v>
      </c>
      <c r="D14" s="534"/>
      <c r="E14" s="534" t="s">
        <v>2547</v>
      </c>
      <c r="F14" s="921"/>
      <c r="G14" s="534" t="s">
        <v>2540</v>
      </c>
      <c r="H14" s="534"/>
      <c r="I14" s="849" t="s">
        <v>2548</v>
      </c>
      <c r="J14" s="850"/>
      <c r="K14" s="538" t="s">
        <v>975</v>
      </c>
      <c r="L14" s="921"/>
      <c r="M14" s="534" t="s">
        <v>2540</v>
      </c>
      <c r="N14" s="534"/>
      <c r="O14" s="849" t="s">
        <v>2548</v>
      </c>
      <c r="P14" s="850"/>
      <c r="Q14" s="538" t="s">
        <v>975</v>
      </c>
      <c r="R14" s="529"/>
    </row>
    <row r="15" spans="1:18">
      <c r="A15" s="1554"/>
      <c r="B15" s="1554"/>
      <c r="C15" s="1554"/>
      <c r="D15" s="1554"/>
      <c r="E15" s="1556" t="s">
        <v>2549</v>
      </c>
      <c r="F15" s="1557"/>
      <c r="G15" s="1554"/>
      <c r="H15" s="1554"/>
      <c r="I15" s="1558"/>
      <c r="J15" s="1559"/>
      <c r="K15" s="1559"/>
      <c r="L15" s="1557"/>
      <c r="M15" s="1554"/>
      <c r="N15" s="1554"/>
      <c r="O15" s="1558"/>
      <c r="P15" s="1559"/>
      <c r="Q15" s="1559"/>
      <c r="R15" s="529"/>
    </row>
    <row r="16" spans="1:18">
      <c r="A16" s="529"/>
      <c r="B16" s="529"/>
      <c r="C16" s="529"/>
      <c r="D16" s="529"/>
      <c r="E16" s="529"/>
      <c r="F16" s="529"/>
      <c r="G16" s="534" t="s">
        <v>1371</v>
      </c>
      <c r="H16" s="534"/>
      <c r="I16" s="534" t="s">
        <v>420</v>
      </c>
      <c r="J16" s="921"/>
      <c r="K16" s="534" t="s">
        <v>1371</v>
      </c>
      <c r="L16" s="529"/>
      <c r="M16" s="534" t="s">
        <v>1371</v>
      </c>
      <c r="N16" s="534"/>
      <c r="O16" s="534" t="s">
        <v>420</v>
      </c>
      <c r="P16" s="921"/>
      <c r="Q16" s="534" t="s">
        <v>1371</v>
      </c>
      <c r="R16" s="529"/>
    </row>
    <row r="17" spans="1:18">
      <c r="B17" s="529"/>
      <c r="C17" s="929"/>
      <c r="D17" s="529"/>
      <c r="E17" s="529"/>
      <c r="F17" s="529"/>
      <c r="G17" s="534"/>
      <c r="H17" s="534"/>
      <c r="I17" s="534"/>
      <c r="J17" s="921"/>
      <c r="K17" s="534"/>
      <c r="L17" s="529"/>
      <c r="M17" s="534"/>
      <c r="N17" s="534"/>
      <c r="O17" s="534"/>
      <c r="P17" s="921"/>
      <c r="Q17" s="534"/>
      <c r="R17" s="529"/>
    </row>
    <row r="18" spans="1:18">
      <c r="A18" s="534">
        <v>1</v>
      </c>
      <c r="B18" s="529"/>
      <c r="C18" s="534">
        <v>417320</v>
      </c>
      <c r="D18" s="529"/>
      <c r="E18" s="529" t="s">
        <v>1510</v>
      </c>
      <c r="F18" s="529"/>
      <c r="G18" s="61">
        <v>16</v>
      </c>
      <c r="H18" s="529"/>
      <c r="I18" s="527">
        <v>100</v>
      </c>
      <c r="J18" s="529"/>
      <c r="K18" s="30">
        <f t="shared" ref="K18:K73" si="0">ROUND(G18*(I18/100),2)</f>
        <v>16</v>
      </c>
      <c r="L18" s="744"/>
      <c r="M18" s="61">
        <v>0</v>
      </c>
      <c r="N18" s="529"/>
      <c r="O18" s="527">
        <v>100</v>
      </c>
      <c r="P18" s="529"/>
      <c r="Q18" s="30">
        <f t="shared" ref="Q18:Q73" si="1">ROUND(M18*(O18/100),2)</f>
        <v>0</v>
      </c>
      <c r="R18" s="744"/>
    </row>
    <row r="19" spans="1:18">
      <c r="A19" s="534">
        <f t="shared" ref="A19:A74" si="2">+A18+1</f>
        <v>2</v>
      </c>
      <c r="B19" s="529"/>
      <c r="C19" s="534">
        <v>426100</v>
      </c>
      <c r="D19" s="529"/>
      <c r="E19" s="529" t="s">
        <v>2550</v>
      </c>
      <c r="F19" s="529"/>
      <c r="G19" s="61">
        <v>459</v>
      </c>
      <c r="H19" s="529"/>
      <c r="I19" s="527">
        <v>100</v>
      </c>
      <c r="J19" s="529"/>
      <c r="K19" s="30">
        <f t="shared" si="0"/>
        <v>459</v>
      </c>
      <c r="L19" s="744"/>
      <c r="M19" s="61">
        <v>0</v>
      </c>
      <c r="N19" s="529"/>
      <c r="O19" s="527">
        <v>100</v>
      </c>
      <c r="P19" s="529"/>
      <c r="Q19" s="30">
        <f t="shared" si="1"/>
        <v>0</v>
      </c>
      <c r="R19" s="744"/>
    </row>
    <row r="20" spans="1:18">
      <c r="A20" s="534">
        <f t="shared" si="2"/>
        <v>3</v>
      </c>
      <c r="B20" s="529"/>
      <c r="C20" s="534">
        <v>426100</v>
      </c>
      <c r="D20" s="529"/>
      <c r="E20" s="529" t="s">
        <v>2551</v>
      </c>
      <c r="F20" s="529"/>
      <c r="G20" s="61">
        <v>50</v>
      </c>
      <c r="H20" s="529"/>
      <c r="I20" s="527">
        <v>100</v>
      </c>
      <c r="J20" s="529"/>
      <c r="K20" s="30">
        <f t="shared" si="0"/>
        <v>50</v>
      </c>
      <c r="L20" s="744"/>
      <c r="M20" s="61">
        <v>0</v>
      </c>
      <c r="N20" s="529"/>
      <c r="O20" s="527">
        <v>100</v>
      </c>
      <c r="P20" s="529"/>
      <c r="Q20" s="30">
        <f t="shared" si="1"/>
        <v>0</v>
      </c>
      <c r="R20" s="744"/>
    </row>
    <row r="21" spans="1:18">
      <c r="A21" s="534">
        <f t="shared" si="2"/>
        <v>4</v>
      </c>
      <c r="B21" s="529"/>
      <c r="C21" s="534">
        <v>426100</v>
      </c>
      <c r="D21" s="529"/>
      <c r="E21" s="529" t="s">
        <v>1510</v>
      </c>
      <c r="F21" s="529"/>
      <c r="G21" s="61">
        <v>4375</v>
      </c>
      <c r="H21" s="529"/>
      <c r="I21" s="527">
        <v>100</v>
      </c>
      <c r="J21" s="529"/>
      <c r="K21" s="30">
        <f t="shared" si="0"/>
        <v>4375</v>
      </c>
      <c r="L21" s="744"/>
      <c r="M21" s="61">
        <v>0</v>
      </c>
      <c r="N21" s="529"/>
      <c r="O21" s="527">
        <v>100</v>
      </c>
      <c r="P21" s="529"/>
      <c r="Q21" s="30">
        <f t="shared" si="1"/>
        <v>0</v>
      </c>
      <c r="R21" s="744"/>
    </row>
    <row r="22" spans="1:18">
      <c r="A22" s="534">
        <f t="shared" si="2"/>
        <v>5</v>
      </c>
      <c r="B22" s="529"/>
      <c r="C22" s="534">
        <v>426100</v>
      </c>
      <c r="D22" s="529"/>
      <c r="E22" s="529" t="s">
        <v>2552</v>
      </c>
      <c r="F22" s="529"/>
      <c r="G22" s="61">
        <v>4188</v>
      </c>
      <c r="H22" s="529"/>
      <c r="I22" s="527">
        <v>100</v>
      </c>
      <c r="J22" s="529"/>
      <c r="K22" s="30">
        <f t="shared" si="0"/>
        <v>4188</v>
      </c>
      <c r="L22" s="744"/>
      <c r="M22" s="61">
        <v>11396</v>
      </c>
      <c r="N22" s="529"/>
      <c r="O22" s="527">
        <v>100</v>
      </c>
      <c r="P22" s="529"/>
      <c r="Q22" s="30">
        <f t="shared" si="1"/>
        <v>11396</v>
      </c>
      <c r="R22" s="744"/>
    </row>
    <row r="23" spans="1:18">
      <c r="A23" s="534">
        <f t="shared" si="2"/>
        <v>6</v>
      </c>
      <c r="B23" s="529"/>
      <c r="C23" s="534">
        <v>426400</v>
      </c>
      <c r="D23" s="529"/>
      <c r="E23" s="529" t="s">
        <v>1510</v>
      </c>
      <c r="F23" s="529"/>
      <c r="G23" s="61">
        <v>1559</v>
      </c>
      <c r="H23" s="529"/>
      <c r="I23" s="527">
        <v>100</v>
      </c>
      <c r="J23" s="529"/>
      <c r="K23" s="30">
        <f t="shared" si="0"/>
        <v>1559</v>
      </c>
      <c r="L23" s="744"/>
      <c r="M23" s="61">
        <v>0</v>
      </c>
      <c r="N23" s="529"/>
      <c r="O23" s="527">
        <v>100</v>
      </c>
      <c r="P23" s="529"/>
      <c r="Q23" s="30">
        <f t="shared" si="1"/>
        <v>0</v>
      </c>
      <c r="R23" s="744"/>
    </row>
    <row r="24" spans="1:18">
      <c r="A24" s="534">
        <f t="shared" si="2"/>
        <v>7</v>
      </c>
      <c r="B24" s="529"/>
      <c r="C24" s="534">
        <v>426400</v>
      </c>
      <c r="D24" s="529"/>
      <c r="E24" s="529" t="s">
        <v>2552</v>
      </c>
      <c r="F24" s="529"/>
      <c r="G24" s="61">
        <v>1024</v>
      </c>
      <c r="H24" s="529"/>
      <c r="I24" s="527">
        <v>100</v>
      </c>
      <c r="J24" s="529"/>
      <c r="K24" s="30">
        <f t="shared" si="0"/>
        <v>1024</v>
      </c>
      <c r="L24" s="744"/>
      <c r="M24" s="61">
        <v>1050</v>
      </c>
      <c r="N24" s="529"/>
      <c r="O24" s="527">
        <v>100</v>
      </c>
      <c r="P24" s="529"/>
      <c r="Q24" s="30">
        <f t="shared" si="1"/>
        <v>1050</v>
      </c>
      <c r="R24" s="744"/>
    </row>
    <row r="25" spans="1:18">
      <c r="A25" s="534">
        <f t="shared" si="2"/>
        <v>8</v>
      </c>
      <c r="B25" s="529"/>
      <c r="C25" s="534">
        <v>500000</v>
      </c>
      <c r="D25" s="529"/>
      <c r="E25" s="529" t="s">
        <v>1510</v>
      </c>
      <c r="F25" s="529"/>
      <c r="G25" s="61">
        <v>77</v>
      </c>
      <c r="H25" s="529"/>
      <c r="I25" s="527">
        <v>100</v>
      </c>
      <c r="J25" s="529"/>
      <c r="K25" s="30">
        <f t="shared" si="0"/>
        <v>77</v>
      </c>
      <c r="L25" s="744"/>
      <c r="M25" s="61">
        <v>0</v>
      </c>
      <c r="N25" s="529"/>
      <c r="O25" s="527">
        <v>100</v>
      </c>
      <c r="P25" s="529"/>
      <c r="Q25" s="30">
        <f t="shared" si="1"/>
        <v>0</v>
      </c>
      <c r="R25" s="744"/>
    </row>
    <row r="26" spans="1:18">
      <c r="A26" s="534">
        <f t="shared" si="2"/>
        <v>9</v>
      </c>
      <c r="B26" s="529"/>
      <c r="C26" s="534">
        <v>500000</v>
      </c>
      <c r="D26" s="529"/>
      <c r="E26" s="529" t="s">
        <v>2552</v>
      </c>
      <c r="F26" s="529"/>
      <c r="G26" s="61">
        <v>6</v>
      </c>
      <c r="H26" s="529"/>
      <c r="I26" s="527">
        <v>100</v>
      </c>
      <c r="J26" s="529"/>
      <c r="K26" s="30">
        <f t="shared" si="0"/>
        <v>6</v>
      </c>
      <c r="L26" s="744"/>
      <c r="M26" s="61">
        <v>7</v>
      </c>
      <c r="N26" s="529"/>
      <c r="O26" s="527">
        <v>100</v>
      </c>
      <c r="P26" s="529"/>
      <c r="Q26" s="30">
        <f t="shared" si="1"/>
        <v>7</v>
      </c>
      <c r="R26" s="744"/>
    </row>
    <row r="27" spans="1:18">
      <c r="A27" s="534">
        <f t="shared" si="2"/>
        <v>10</v>
      </c>
      <c r="B27" s="529"/>
      <c r="C27" s="534">
        <v>501150</v>
      </c>
      <c r="D27" s="529"/>
      <c r="E27" s="529" t="s">
        <v>1510</v>
      </c>
      <c r="F27" s="529"/>
      <c r="G27" s="61">
        <v>28</v>
      </c>
      <c r="H27" s="529"/>
      <c r="I27" s="527">
        <v>100</v>
      </c>
      <c r="J27" s="529"/>
      <c r="K27" s="30">
        <f t="shared" si="0"/>
        <v>28</v>
      </c>
      <c r="L27" s="744"/>
      <c r="M27" s="61">
        <v>0</v>
      </c>
      <c r="N27" s="529"/>
      <c r="O27" s="527">
        <v>100</v>
      </c>
      <c r="P27" s="529"/>
      <c r="Q27" s="30">
        <f t="shared" si="1"/>
        <v>0</v>
      </c>
      <c r="R27" s="744"/>
    </row>
    <row r="28" spans="1:18">
      <c r="A28" s="534">
        <f t="shared" si="2"/>
        <v>11</v>
      </c>
      <c r="B28" s="529"/>
      <c r="C28" s="534">
        <v>501150</v>
      </c>
      <c r="D28" s="529"/>
      <c r="E28" s="529" t="s">
        <v>2552</v>
      </c>
      <c r="F28" s="529"/>
      <c r="G28" s="61">
        <v>5</v>
      </c>
      <c r="H28" s="529"/>
      <c r="I28" s="527">
        <v>100</v>
      </c>
      <c r="J28" s="529"/>
      <c r="K28" s="30">
        <f t="shared" si="0"/>
        <v>5</v>
      </c>
      <c r="L28" s="744"/>
      <c r="M28" s="61">
        <v>5</v>
      </c>
      <c r="N28" s="529"/>
      <c r="O28" s="527">
        <v>100</v>
      </c>
      <c r="P28" s="529"/>
      <c r="Q28" s="30">
        <f t="shared" si="1"/>
        <v>5</v>
      </c>
      <c r="R28" s="744"/>
    </row>
    <row r="29" spans="1:18">
      <c r="A29" s="534">
        <f t="shared" si="2"/>
        <v>12</v>
      </c>
      <c r="B29" s="529"/>
      <c r="C29" s="534">
        <v>506000</v>
      </c>
      <c r="D29" s="529"/>
      <c r="E29" s="529" t="s">
        <v>1510</v>
      </c>
      <c r="F29" s="529"/>
      <c r="G29" s="61">
        <v>1</v>
      </c>
      <c r="H29" s="529"/>
      <c r="I29" s="527">
        <v>100</v>
      </c>
      <c r="J29" s="529"/>
      <c r="K29" s="30">
        <f t="shared" si="0"/>
        <v>1</v>
      </c>
      <c r="L29" s="744"/>
      <c r="M29" s="61">
        <v>0</v>
      </c>
      <c r="N29" s="529"/>
      <c r="O29" s="527">
        <v>100</v>
      </c>
      <c r="P29" s="529"/>
      <c r="Q29" s="30">
        <f t="shared" si="1"/>
        <v>0</v>
      </c>
      <c r="R29" s="744"/>
    </row>
    <row r="30" spans="1:18">
      <c r="A30" s="534">
        <f t="shared" si="2"/>
        <v>13</v>
      </c>
      <c r="B30" s="529"/>
      <c r="C30" s="534">
        <v>506000</v>
      </c>
      <c r="D30" s="529"/>
      <c r="E30" s="529" t="s">
        <v>2552</v>
      </c>
      <c r="F30" s="529"/>
      <c r="G30" s="61">
        <v>282</v>
      </c>
      <c r="H30" s="529"/>
      <c r="I30" s="527">
        <v>100</v>
      </c>
      <c r="J30" s="529"/>
      <c r="K30" s="30">
        <f t="shared" si="0"/>
        <v>282</v>
      </c>
      <c r="L30" s="744"/>
      <c r="M30" s="61">
        <v>564</v>
      </c>
      <c r="N30" s="529"/>
      <c r="O30" s="527">
        <v>100</v>
      </c>
      <c r="P30" s="529"/>
      <c r="Q30" s="30">
        <f t="shared" si="1"/>
        <v>564</v>
      </c>
      <c r="R30" s="744"/>
    </row>
    <row r="31" spans="1:18">
      <c r="A31" s="534">
        <f t="shared" si="2"/>
        <v>14</v>
      </c>
      <c r="B31" s="529"/>
      <c r="C31" s="534">
        <v>510000</v>
      </c>
      <c r="D31" s="529"/>
      <c r="E31" s="529" t="s">
        <v>1510</v>
      </c>
      <c r="F31" s="529"/>
      <c r="G31" s="61">
        <v>10</v>
      </c>
      <c r="H31" s="529"/>
      <c r="I31" s="527">
        <v>100</v>
      </c>
      <c r="J31" s="529"/>
      <c r="K31" s="30">
        <f t="shared" si="0"/>
        <v>10</v>
      </c>
      <c r="L31" s="744"/>
      <c r="M31" s="61">
        <v>0</v>
      </c>
      <c r="N31" s="529"/>
      <c r="O31" s="527">
        <v>100</v>
      </c>
      <c r="P31" s="529"/>
      <c r="Q31" s="30">
        <f t="shared" si="1"/>
        <v>0</v>
      </c>
      <c r="R31" s="744"/>
    </row>
    <row r="32" spans="1:18">
      <c r="A32" s="534">
        <f t="shared" si="2"/>
        <v>15</v>
      </c>
      <c r="B32" s="529"/>
      <c r="C32" s="534">
        <v>511000</v>
      </c>
      <c r="D32" s="529"/>
      <c r="E32" s="529" t="s">
        <v>2552</v>
      </c>
      <c r="F32" s="529"/>
      <c r="G32" s="61">
        <v>6</v>
      </c>
      <c r="H32" s="529"/>
      <c r="I32" s="527">
        <v>100</v>
      </c>
      <c r="J32" s="529"/>
      <c r="K32" s="30">
        <f t="shared" si="0"/>
        <v>6</v>
      </c>
      <c r="L32" s="744"/>
      <c r="M32" s="61">
        <v>770</v>
      </c>
      <c r="N32" s="529"/>
      <c r="O32" s="527">
        <v>100</v>
      </c>
      <c r="P32" s="529"/>
      <c r="Q32" s="30">
        <f t="shared" si="1"/>
        <v>770</v>
      </c>
      <c r="R32" s="744"/>
    </row>
    <row r="33" spans="1:18">
      <c r="A33" s="534">
        <f t="shared" si="2"/>
        <v>16</v>
      </c>
      <c r="B33" s="529"/>
      <c r="C33" s="534">
        <v>512100</v>
      </c>
      <c r="D33" s="529"/>
      <c r="E33" s="529" t="s">
        <v>1510</v>
      </c>
      <c r="F33" s="529"/>
      <c r="G33" s="61">
        <v>330</v>
      </c>
      <c r="H33" s="529"/>
      <c r="I33" s="527">
        <v>100</v>
      </c>
      <c r="J33" s="529"/>
      <c r="K33" s="30">
        <f t="shared" si="0"/>
        <v>330</v>
      </c>
      <c r="L33" s="744"/>
      <c r="M33" s="61">
        <v>0</v>
      </c>
      <c r="N33" s="529"/>
      <c r="O33" s="527">
        <v>100</v>
      </c>
      <c r="P33" s="529"/>
      <c r="Q33" s="30">
        <f t="shared" si="1"/>
        <v>0</v>
      </c>
      <c r="R33" s="744"/>
    </row>
    <row r="34" spans="1:18">
      <c r="A34" s="534">
        <f t="shared" si="2"/>
        <v>17</v>
      </c>
      <c r="B34" s="529"/>
      <c r="C34" s="534">
        <v>549000</v>
      </c>
      <c r="D34" s="529"/>
      <c r="E34" s="529" t="s">
        <v>1510</v>
      </c>
      <c r="F34" s="529"/>
      <c r="G34" s="61">
        <v>6</v>
      </c>
      <c r="H34" s="529"/>
      <c r="I34" s="527">
        <v>100</v>
      </c>
      <c r="J34" s="529"/>
      <c r="K34" s="30">
        <f t="shared" si="0"/>
        <v>6</v>
      </c>
      <c r="L34" s="744"/>
      <c r="M34" s="61">
        <v>0</v>
      </c>
      <c r="N34" s="529"/>
      <c r="O34" s="527">
        <v>100</v>
      </c>
      <c r="P34" s="529"/>
      <c r="Q34" s="30">
        <f t="shared" si="1"/>
        <v>0</v>
      </c>
      <c r="R34" s="529"/>
    </row>
    <row r="35" spans="1:18">
      <c r="A35" s="534">
        <f t="shared" si="2"/>
        <v>18</v>
      </c>
      <c r="B35" s="529"/>
      <c r="C35" s="534">
        <v>549000</v>
      </c>
      <c r="D35" s="529"/>
      <c r="E35" s="529" t="s">
        <v>2552</v>
      </c>
      <c r="F35" s="529"/>
      <c r="G35" s="61">
        <v>246</v>
      </c>
      <c r="H35" s="529"/>
      <c r="I35" s="527">
        <v>100</v>
      </c>
      <c r="J35" s="529"/>
      <c r="K35" s="30">
        <f t="shared" si="0"/>
        <v>246</v>
      </c>
      <c r="L35" s="744"/>
      <c r="M35" s="61">
        <v>490</v>
      </c>
      <c r="N35" s="529"/>
      <c r="O35" s="527">
        <v>100</v>
      </c>
      <c r="P35" s="529"/>
      <c r="Q35" s="30">
        <f t="shared" si="1"/>
        <v>490</v>
      </c>
      <c r="R35" s="744"/>
    </row>
    <row r="36" spans="1:18">
      <c r="A36" s="534">
        <f t="shared" si="2"/>
        <v>19</v>
      </c>
      <c r="B36" s="529"/>
      <c r="C36" s="534">
        <v>551000</v>
      </c>
      <c r="D36" s="529"/>
      <c r="E36" s="529" t="s">
        <v>1510</v>
      </c>
      <c r="F36" s="529"/>
      <c r="G36" s="61">
        <v>1</v>
      </c>
      <c r="H36" s="529"/>
      <c r="I36" s="527">
        <v>100</v>
      </c>
      <c r="J36" s="529"/>
      <c r="K36" s="30">
        <f t="shared" si="0"/>
        <v>1</v>
      </c>
      <c r="L36" s="744"/>
      <c r="M36" s="61">
        <v>0</v>
      </c>
      <c r="N36" s="529"/>
      <c r="O36" s="527">
        <v>100</v>
      </c>
      <c r="P36" s="529"/>
      <c r="Q36" s="30">
        <f t="shared" si="1"/>
        <v>0</v>
      </c>
      <c r="R36" s="744"/>
    </row>
    <row r="37" spans="1:18">
      <c r="A37" s="534">
        <f t="shared" si="2"/>
        <v>20</v>
      </c>
      <c r="B37" s="529"/>
      <c r="C37" s="534">
        <v>554000</v>
      </c>
      <c r="D37" s="529"/>
      <c r="E37" s="529" t="s">
        <v>1510</v>
      </c>
      <c r="F37" s="529"/>
      <c r="G37" s="61">
        <v>9</v>
      </c>
      <c r="H37" s="529"/>
      <c r="I37" s="527">
        <v>100</v>
      </c>
      <c r="J37" s="529"/>
      <c r="K37" s="30">
        <f t="shared" si="0"/>
        <v>9</v>
      </c>
      <c r="L37" s="744"/>
      <c r="M37" s="61">
        <v>0</v>
      </c>
      <c r="N37" s="529"/>
      <c r="O37" s="527">
        <v>100</v>
      </c>
      <c r="P37" s="529"/>
      <c r="Q37" s="30">
        <f t="shared" si="1"/>
        <v>0</v>
      </c>
      <c r="R37" s="744"/>
    </row>
    <row r="38" spans="1:18">
      <c r="A38" s="534">
        <f t="shared" si="2"/>
        <v>21</v>
      </c>
      <c r="B38" s="529"/>
      <c r="C38" s="534">
        <v>557000</v>
      </c>
      <c r="D38" s="529"/>
      <c r="E38" s="529" t="s">
        <v>2553</v>
      </c>
      <c r="F38" s="529"/>
      <c r="G38" s="61">
        <v>77</v>
      </c>
      <c r="H38" s="529"/>
      <c r="I38" s="527">
        <v>100</v>
      </c>
      <c r="J38" s="529"/>
      <c r="K38" s="30">
        <f t="shared" si="0"/>
        <v>77</v>
      </c>
      <c r="L38" s="744"/>
      <c r="M38" s="61">
        <v>0</v>
      </c>
      <c r="N38" s="529"/>
      <c r="O38" s="527">
        <v>100</v>
      </c>
      <c r="P38" s="529"/>
      <c r="Q38" s="30">
        <f t="shared" si="1"/>
        <v>0</v>
      </c>
      <c r="R38" s="744"/>
    </row>
    <row r="39" spans="1:18">
      <c r="A39" s="534">
        <f t="shared" si="2"/>
        <v>22</v>
      </c>
      <c r="B39" s="529"/>
      <c r="C39" s="534">
        <v>557000</v>
      </c>
      <c r="D39" s="529"/>
      <c r="E39" s="529" t="s">
        <v>1510</v>
      </c>
      <c r="F39" s="529"/>
      <c r="G39" s="61">
        <v>93</v>
      </c>
      <c r="H39" s="529"/>
      <c r="I39" s="527">
        <v>100</v>
      </c>
      <c r="J39" s="529"/>
      <c r="K39" s="30">
        <f t="shared" si="0"/>
        <v>93</v>
      </c>
      <c r="L39" s="744"/>
      <c r="M39" s="61">
        <v>0</v>
      </c>
      <c r="N39" s="529"/>
      <c r="O39" s="527">
        <v>100</v>
      </c>
      <c r="P39" s="529"/>
      <c r="Q39" s="30">
        <f t="shared" si="1"/>
        <v>0</v>
      </c>
      <c r="R39" s="744"/>
    </row>
    <row r="40" spans="1:18">
      <c r="A40" s="534">
        <f t="shared" si="2"/>
        <v>23</v>
      </c>
      <c r="B40" s="529"/>
      <c r="C40" s="534">
        <v>557000</v>
      </c>
      <c r="D40" s="529"/>
      <c r="E40" s="529" t="s">
        <v>2552</v>
      </c>
      <c r="F40" s="529"/>
      <c r="G40" s="61">
        <v>19</v>
      </c>
      <c r="H40" s="529"/>
      <c r="I40" s="527">
        <v>100</v>
      </c>
      <c r="J40" s="529"/>
      <c r="K40" s="30">
        <f t="shared" si="0"/>
        <v>19</v>
      </c>
      <c r="L40" s="744"/>
      <c r="M40" s="61">
        <v>722</v>
      </c>
      <c r="N40" s="529"/>
      <c r="O40" s="527">
        <v>100</v>
      </c>
      <c r="P40" s="529"/>
      <c r="Q40" s="30">
        <f t="shared" si="1"/>
        <v>722</v>
      </c>
      <c r="R40" s="744"/>
    </row>
    <row r="41" spans="1:18">
      <c r="A41" s="534">
        <f t="shared" si="2"/>
        <v>24</v>
      </c>
      <c r="B41" s="529"/>
      <c r="C41" s="534">
        <v>561200</v>
      </c>
      <c r="D41" s="529"/>
      <c r="E41" s="529" t="s">
        <v>1510</v>
      </c>
      <c r="F41" s="529"/>
      <c r="G41" s="61">
        <v>55</v>
      </c>
      <c r="H41" s="529"/>
      <c r="I41" s="527">
        <v>100</v>
      </c>
      <c r="J41" s="529"/>
      <c r="K41" s="30">
        <f t="shared" si="0"/>
        <v>55</v>
      </c>
      <c r="L41" s="744"/>
      <c r="M41" s="61">
        <v>0</v>
      </c>
      <c r="N41" s="529"/>
      <c r="O41" s="527">
        <v>100</v>
      </c>
      <c r="P41" s="529"/>
      <c r="Q41" s="30">
        <f t="shared" si="1"/>
        <v>0</v>
      </c>
      <c r="R41" s="744"/>
    </row>
    <row r="42" spans="1:18">
      <c r="A42" s="534">
        <f t="shared" si="2"/>
        <v>25</v>
      </c>
      <c r="B42" s="529"/>
      <c r="C42" s="534">
        <v>561300</v>
      </c>
      <c r="D42" s="529"/>
      <c r="E42" s="529" t="s">
        <v>1510</v>
      </c>
      <c r="F42" s="529"/>
      <c r="G42" s="61">
        <v>6</v>
      </c>
      <c r="H42" s="529"/>
      <c r="I42" s="527">
        <v>100</v>
      </c>
      <c r="J42" s="529"/>
      <c r="K42" s="30">
        <f t="shared" si="0"/>
        <v>6</v>
      </c>
      <c r="L42" s="744"/>
      <c r="M42" s="61">
        <v>0</v>
      </c>
      <c r="N42" s="529"/>
      <c r="O42" s="527">
        <v>100</v>
      </c>
      <c r="P42" s="529"/>
      <c r="Q42" s="30">
        <f t="shared" si="1"/>
        <v>0</v>
      </c>
      <c r="R42" s="744"/>
    </row>
    <row r="43" spans="1:18">
      <c r="A43" s="534">
        <f t="shared" si="2"/>
        <v>26</v>
      </c>
      <c r="B43" s="529"/>
      <c r="C43" s="534">
        <v>566000</v>
      </c>
      <c r="D43" s="529"/>
      <c r="E43" s="529" t="s">
        <v>2554</v>
      </c>
      <c r="F43" s="529"/>
      <c r="G43" s="61">
        <v>3441</v>
      </c>
      <c r="H43" s="529"/>
      <c r="I43" s="527">
        <v>100</v>
      </c>
      <c r="J43" s="529"/>
      <c r="K43" s="30">
        <f t="shared" si="0"/>
        <v>3441</v>
      </c>
      <c r="L43" s="744"/>
      <c r="M43" s="61">
        <v>6180</v>
      </c>
      <c r="N43" s="529"/>
      <c r="O43" s="527">
        <v>100</v>
      </c>
      <c r="P43" s="529"/>
      <c r="Q43" s="30">
        <f t="shared" si="1"/>
        <v>6180</v>
      </c>
      <c r="R43" s="744"/>
    </row>
    <row r="44" spans="1:18">
      <c r="A44" s="534">
        <f t="shared" si="2"/>
        <v>27</v>
      </c>
      <c r="B44" s="529"/>
      <c r="C44" s="534">
        <v>566000</v>
      </c>
      <c r="D44" s="529"/>
      <c r="E44" s="529" t="s">
        <v>1510</v>
      </c>
      <c r="F44" s="529"/>
      <c r="G44" s="61">
        <v>5</v>
      </c>
      <c r="H44" s="529"/>
      <c r="I44" s="527">
        <v>100</v>
      </c>
      <c r="J44" s="529"/>
      <c r="K44" s="30">
        <f t="shared" si="0"/>
        <v>5</v>
      </c>
      <c r="L44" s="744"/>
      <c r="M44" s="61">
        <v>0</v>
      </c>
      <c r="N44" s="529"/>
      <c r="O44" s="527">
        <v>100</v>
      </c>
      <c r="P44" s="529"/>
      <c r="Q44" s="30">
        <f t="shared" si="1"/>
        <v>0</v>
      </c>
      <c r="R44" s="744"/>
    </row>
    <row r="45" spans="1:18">
      <c r="A45" s="534">
        <f t="shared" si="2"/>
        <v>28</v>
      </c>
      <c r="B45" s="529"/>
      <c r="C45" s="534">
        <v>566000</v>
      </c>
      <c r="D45" s="529"/>
      <c r="E45" s="529" t="s">
        <v>2552</v>
      </c>
      <c r="F45" s="529"/>
      <c r="G45" s="61">
        <v>4298</v>
      </c>
      <c r="H45" s="529"/>
      <c r="I45" s="527">
        <v>100</v>
      </c>
      <c r="J45" s="529"/>
      <c r="K45" s="30">
        <f t="shared" si="0"/>
        <v>4298</v>
      </c>
      <c r="L45" s="744"/>
      <c r="M45" s="61">
        <v>0</v>
      </c>
      <c r="N45" s="529"/>
      <c r="O45" s="527">
        <v>100</v>
      </c>
      <c r="P45" s="529"/>
      <c r="Q45" s="30">
        <f t="shared" si="1"/>
        <v>0</v>
      </c>
      <c r="R45" s="744"/>
    </row>
    <row r="46" spans="1:18">
      <c r="A46" s="534">
        <f t="shared" si="2"/>
        <v>29</v>
      </c>
      <c r="B46" s="529"/>
      <c r="C46" s="534">
        <v>588100</v>
      </c>
      <c r="D46" s="529"/>
      <c r="E46" s="529" t="s">
        <v>1510</v>
      </c>
      <c r="F46" s="529"/>
      <c r="G46" s="61">
        <v>270</v>
      </c>
      <c r="H46" s="529"/>
      <c r="I46" s="527">
        <v>100</v>
      </c>
      <c r="J46" s="529"/>
      <c r="K46" s="30">
        <f t="shared" si="0"/>
        <v>270</v>
      </c>
      <c r="L46" s="744"/>
      <c r="M46" s="61">
        <v>0</v>
      </c>
      <c r="N46" s="529"/>
      <c r="O46" s="527">
        <v>100</v>
      </c>
      <c r="P46" s="529"/>
      <c r="Q46" s="30">
        <f t="shared" si="1"/>
        <v>0</v>
      </c>
      <c r="R46" s="744"/>
    </row>
    <row r="47" spans="1:18">
      <c r="A47" s="534">
        <f t="shared" si="2"/>
        <v>30</v>
      </c>
      <c r="B47" s="529"/>
      <c r="C47" s="534">
        <v>593000</v>
      </c>
      <c r="D47" s="529"/>
      <c r="E47" s="529" t="s">
        <v>1510</v>
      </c>
      <c r="F47" s="529"/>
      <c r="G47" s="61">
        <v>1</v>
      </c>
      <c r="H47" s="529"/>
      <c r="I47" s="527">
        <v>100</v>
      </c>
      <c r="J47" s="529"/>
      <c r="K47" s="30">
        <f t="shared" si="0"/>
        <v>1</v>
      </c>
      <c r="L47" s="744"/>
      <c r="M47" s="61">
        <v>0</v>
      </c>
      <c r="N47" s="529"/>
      <c r="O47" s="527">
        <v>100</v>
      </c>
      <c r="P47" s="529"/>
      <c r="Q47" s="30">
        <f t="shared" si="1"/>
        <v>0</v>
      </c>
      <c r="R47" s="744"/>
    </row>
    <row r="48" spans="1:18">
      <c r="A48" s="534">
        <f t="shared" si="2"/>
        <v>31</v>
      </c>
      <c r="B48" s="529"/>
      <c r="C48" s="534">
        <v>593100</v>
      </c>
      <c r="D48" s="529"/>
      <c r="E48" s="529" t="s">
        <v>1510</v>
      </c>
      <c r="F48" s="529"/>
      <c r="G48" s="61">
        <v>12</v>
      </c>
      <c r="H48" s="529"/>
      <c r="I48" s="527">
        <v>100</v>
      </c>
      <c r="J48" s="529"/>
      <c r="K48" s="30">
        <f t="shared" si="0"/>
        <v>12</v>
      </c>
      <c r="L48" s="744"/>
      <c r="M48" s="61">
        <v>0</v>
      </c>
      <c r="N48" s="529"/>
      <c r="O48" s="527">
        <v>100</v>
      </c>
      <c r="P48" s="529"/>
      <c r="Q48" s="30">
        <f t="shared" si="1"/>
        <v>0</v>
      </c>
      <c r="R48" s="744"/>
    </row>
    <row r="49" spans="1:18">
      <c r="A49" s="534">
        <f t="shared" si="2"/>
        <v>32</v>
      </c>
      <c r="B49" s="529"/>
      <c r="C49" s="534">
        <v>597000</v>
      </c>
      <c r="D49" s="529"/>
      <c r="E49" s="529" t="s">
        <v>1510</v>
      </c>
      <c r="F49" s="529"/>
      <c r="G49" s="61">
        <v>11</v>
      </c>
      <c r="H49" s="529"/>
      <c r="I49" s="527">
        <v>100</v>
      </c>
      <c r="J49" s="529"/>
      <c r="K49" s="30">
        <f t="shared" si="0"/>
        <v>11</v>
      </c>
      <c r="L49" s="744"/>
      <c r="M49" s="61">
        <v>0</v>
      </c>
      <c r="N49" s="529"/>
      <c r="O49" s="527">
        <v>100</v>
      </c>
      <c r="P49" s="529"/>
      <c r="Q49" s="30">
        <f t="shared" si="1"/>
        <v>0</v>
      </c>
      <c r="R49" s="744"/>
    </row>
    <row r="50" spans="1:18">
      <c r="A50" s="534">
        <f t="shared" si="2"/>
        <v>33</v>
      </c>
      <c r="B50" s="529"/>
      <c r="C50" s="534">
        <v>903000</v>
      </c>
      <c r="D50" s="529"/>
      <c r="E50" s="529" t="s">
        <v>1510</v>
      </c>
      <c r="F50" s="529"/>
      <c r="G50" s="61">
        <v>208</v>
      </c>
      <c r="H50" s="529"/>
      <c r="I50" s="527">
        <v>100</v>
      </c>
      <c r="J50" s="529"/>
      <c r="K50" s="30">
        <f t="shared" si="0"/>
        <v>208</v>
      </c>
      <c r="L50" s="744"/>
      <c r="M50" s="61">
        <v>0</v>
      </c>
      <c r="N50" s="529"/>
      <c r="O50" s="527">
        <v>100</v>
      </c>
      <c r="P50" s="529"/>
      <c r="Q50" s="30">
        <f t="shared" si="1"/>
        <v>0</v>
      </c>
      <c r="R50" s="744"/>
    </row>
    <row r="51" spans="1:18">
      <c r="A51" s="534">
        <f t="shared" si="2"/>
        <v>34</v>
      </c>
      <c r="B51" s="529"/>
      <c r="C51" s="534">
        <v>903100</v>
      </c>
      <c r="D51" s="529"/>
      <c r="E51" s="529" t="s">
        <v>1510</v>
      </c>
      <c r="F51" s="529"/>
      <c r="G51" s="61">
        <v>4</v>
      </c>
      <c r="H51" s="529"/>
      <c r="I51" s="527">
        <v>100</v>
      </c>
      <c r="J51" s="529"/>
      <c r="K51" s="30">
        <f t="shared" si="0"/>
        <v>4</v>
      </c>
      <c r="L51" s="744"/>
      <c r="M51" s="61">
        <v>0</v>
      </c>
      <c r="N51" s="529"/>
      <c r="O51" s="527">
        <v>100</v>
      </c>
      <c r="P51" s="529"/>
      <c r="Q51" s="30">
        <f t="shared" si="1"/>
        <v>0</v>
      </c>
      <c r="R51" s="744"/>
    </row>
    <row r="52" spans="1:18">
      <c r="A52" s="534">
        <f t="shared" si="2"/>
        <v>35</v>
      </c>
      <c r="B52" s="529"/>
      <c r="C52" s="534">
        <v>903100</v>
      </c>
      <c r="D52" s="529"/>
      <c r="E52" s="529" t="s">
        <v>2552</v>
      </c>
      <c r="F52" s="529"/>
      <c r="G52" s="61">
        <v>0</v>
      </c>
      <c r="H52" s="529"/>
      <c r="I52" s="527">
        <v>100</v>
      </c>
      <c r="J52" s="529"/>
      <c r="K52" s="30">
        <f t="shared" si="0"/>
        <v>0</v>
      </c>
      <c r="L52" s="744"/>
      <c r="M52" s="61">
        <v>76</v>
      </c>
      <c r="N52" s="529"/>
      <c r="O52" s="527">
        <v>100</v>
      </c>
      <c r="P52" s="529"/>
      <c r="Q52" s="30">
        <f t="shared" si="1"/>
        <v>76</v>
      </c>
      <c r="R52" s="744"/>
    </row>
    <row r="53" spans="1:18">
      <c r="A53" s="534">
        <f t="shared" si="2"/>
        <v>36</v>
      </c>
      <c r="B53" s="529"/>
      <c r="C53" s="534">
        <v>903200</v>
      </c>
      <c r="D53" s="529"/>
      <c r="E53" s="529" t="s">
        <v>1510</v>
      </c>
      <c r="F53" s="529"/>
      <c r="G53" s="61">
        <v>4</v>
      </c>
      <c r="H53" s="529"/>
      <c r="I53" s="527">
        <v>100</v>
      </c>
      <c r="J53" s="529"/>
      <c r="K53" s="30">
        <f t="shared" si="0"/>
        <v>4</v>
      </c>
      <c r="L53" s="744"/>
      <c r="M53" s="61">
        <v>0</v>
      </c>
      <c r="N53" s="529"/>
      <c r="O53" s="527">
        <v>100</v>
      </c>
      <c r="P53" s="529"/>
      <c r="Q53" s="30">
        <f t="shared" si="1"/>
        <v>0</v>
      </c>
      <c r="R53" s="744"/>
    </row>
    <row r="54" spans="1:18">
      <c r="A54" s="534">
        <f t="shared" si="2"/>
        <v>37</v>
      </c>
      <c r="B54" s="529"/>
      <c r="C54" s="534">
        <v>903200</v>
      </c>
      <c r="D54" s="529"/>
      <c r="E54" s="529" t="s">
        <v>2552</v>
      </c>
      <c r="F54" s="529"/>
      <c r="G54" s="61">
        <v>0</v>
      </c>
      <c r="H54" s="529"/>
      <c r="I54" s="527">
        <v>100</v>
      </c>
      <c r="J54" s="529"/>
      <c r="K54" s="30">
        <f t="shared" si="0"/>
        <v>0</v>
      </c>
      <c r="L54" s="744"/>
      <c r="M54" s="61">
        <v>72</v>
      </c>
      <c r="N54" s="529"/>
      <c r="O54" s="527">
        <v>100</v>
      </c>
      <c r="P54" s="529"/>
      <c r="Q54" s="30">
        <f t="shared" si="1"/>
        <v>72</v>
      </c>
      <c r="R54" s="744"/>
    </row>
    <row r="55" spans="1:18">
      <c r="A55" s="534">
        <f t="shared" si="2"/>
        <v>38</v>
      </c>
      <c r="B55" s="529"/>
      <c r="C55" s="534">
        <v>903300</v>
      </c>
      <c r="D55" s="529"/>
      <c r="E55" s="529" t="s">
        <v>1510</v>
      </c>
      <c r="F55" s="529"/>
      <c r="G55" s="61">
        <v>2</v>
      </c>
      <c r="H55" s="529"/>
      <c r="I55" s="527">
        <v>100</v>
      </c>
      <c r="J55" s="529"/>
      <c r="K55" s="30">
        <f t="shared" si="0"/>
        <v>2</v>
      </c>
      <c r="L55" s="744"/>
      <c r="M55" s="61">
        <v>0</v>
      </c>
      <c r="N55" s="529"/>
      <c r="O55" s="527">
        <v>100</v>
      </c>
      <c r="P55" s="529"/>
      <c r="Q55" s="30">
        <f t="shared" si="1"/>
        <v>0</v>
      </c>
      <c r="R55" s="744"/>
    </row>
    <row r="56" spans="1:18">
      <c r="A56" s="534">
        <f t="shared" si="2"/>
        <v>39</v>
      </c>
      <c r="B56" s="529"/>
      <c r="C56" s="534">
        <v>903300</v>
      </c>
      <c r="D56" s="529"/>
      <c r="E56" s="529" t="s">
        <v>2552</v>
      </c>
      <c r="F56" s="529"/>
      <c r="G56" s="61">
        <v>0</v>
      </c>
      <c r="H56" s="529"/>
      <c r="I56" s="527">
        <v>100</v>
      </c>
      <c r="J56" s="529"/>
      <c r="K56" s="30">
        <f t="shared" ref="K56" si="3">ROUND(G56*(I56/100),2)</f>
        <v>0</v>
      </c>
      <c r="L56" s="744"/>
      <c r="M56" s="61">
        <v>57</v>
      </c>
      <c r="N56" s="529"/>
      <c r="O56" s="527">
        <v>100</v>
      </c>
      <c r="P56" s="529"/>
      <c r="Q56" s="30">
        <f t="shared" ref="Q56" si="4">ROUND(M56*(O56/100),2)</f>
        <v>57</v>
      </c>
      <c r="R56" s="744"/>
    </row>
    <row r="57" spans="1:18">
      <c r="A57" s="534">
        <f t="shared" si="2"/>
        <v>40</v>
      </c>
      <c r="B57" s="529"/>
      <c r="C57" s="534">
        <v>910000</v>
      </c>
      <c r="D57" s="529"/>
      <c r="E57" s="529" t="s">
        <v>1510</v>
      </c>
      <c r="F57" s="529"/>
      <c r="G57" s="61">
        <v>68</v>
      </c>
      <c r="H57" s="529"/>
      <c r="I57" s="527">
        <v>100</v>
      </c>
      <c r="J57" s="529"/>
      <c r="K57" s="30">
        <f t="shared" si="0"/>
        <v>68</v>
      </c>
      <c r="L57" s="744"/>
      <c r="M57" s="61">
        <v>0</v>
      </c>
      <c r="N57" s="529"/>
      <c r="O57" s="527">
        <v>100</v>
      </c>
      <c r="P57" s="529"/>
      <c r="Q57" s="30">
        <f t="shared" si="1"/>
        <v>0</v>
      </c>
      <c r="R57" s="744"/>
    </row>
    <row r="58" spans="1:18">
      <c r="A58" s="534">
        <f t="shared" si="2"/>
        <v>41</v>
      </c>
      <c r="B58" s="529"/>
      <c r="C58" s="534">
        <v>910100</v>
      </c>
      <c r="D58" s="529"/>
      <c r="E58" s="529" t="s">
        <v>1510</v>
      </c>
      <c r="F58" s="529"/>
      <c r="G58" s="61">
        <v>57</v>
      </c>
      <c r="H58" s="529"/>
      <c r="I58" s="527">
        <v>100</v>
      </c>
      <c r="J58" s="529"/>
      <c r="K58" s="30">
        <f t="shared" si="0"/>
        <v>57</v>
      </c>
      <c r="L58" s="744"/>
      <c r="M58" s="61">
        <v>0</v>
      </c>
      <c r="N58" s="529"/>
      <c r="O58" s="527">
        <v>100</v>
      </c>
      <c r="P58" s="529"/>
      <c r="Q58" s="30">
        <f t="shared" si="1"/>
        <v>0</v>
      </c>
      <c r="R58" s="744"/>
    </row>
    <row r="59" spans="1:18">
      <c r="A59" s="534">
        <f t="shared" si="2"/>
        <v>42</v>
      </c>
      <c r="B59" s="529"/>
      <c r="C59" s="534">
        <v>910100</v>
      </c>
      <c r="D59" s="529"/>
      <c r="E59" s="529" t="s">
        <v>2552</v>
      </c>
      <c r="F59" s="529"/>
      <c r="G59" s="61">
        <v>24</v>
      </c>
      <c r="H59" s="529"/>
      <c r="I59" s="527">
        <v>100</v>
      </c>
      <c r="J59" s="529"/>
      <c r="K59" s="30">
        <f t="shared" si="0"/>
        <v>24</v>
      </c>
      <c r="L59" s="744"/>
      <c r="M59" s="61">
        <v>265</v>
      </c>
      <c r="N59" s="529"/>
      <c r="O59" s="527">
        <v>100</v>
      </c>
      <c r="P59" s="529"/>
      <c r="Q59" s="30">
        <f t="shared" si="1"/>
        <v>265</v>
      </c>
      <c r="R59" s="744"/>
    </row>
    <row r="60" spans="1:18">
      <c r="A60" s="534">
        <f t="shared" si="2"/>
        <v>43</v>
      </c>
      <c r="B60" s="529"/>
      <c r="C60" s="534">
        <v>912000</v>
      </c>
      <c r="D60" s="529"/>
      <c r="E60" s="1711" t="s">
        <v>1510</v>
      </c>
      <c r="F60" s="529"/>
      <c r="G60" s="61">
        <v>11</v>
      </c>
      <c r="H60" s="529"/>
      <c r="I60" s="527">
        <v>100</v>
      </c>
      <c r="J60" s="529"/>
      <c r="K60" s="30">
        <f t="shared" si="0"/>
        <v>11</v>
      </c>
      <c r="L60" s="744"/>
      <c r="M60" s="61">
        <v>0</v>
      </c>
      <c r="N60" s="529"/>
      <c r="O60" s="527">
        <v>100</v>
      </c>
      <c r="P60" s="529"/>
      <c r="Q60" s="30">
        <f t="shared" si="1"/>
        <v>0</v>
      </c>
      <c r="R60" s="744"/>
    </row>
    <row r="61" spans="1:18">
      <c r="A61" s="534">
        <f t="shared" si="2"/>
        <v>44</v>
      </c>
      <c r="B61" s="1711"/>
      <c r="C61" s="1806">
        <v>921100</v>
      </c>
      <c r="D61" s="1711"/>
      <c r="E61" s="1711" t="s">
        <v>1510</v>
      </c>
      <c r="F61" s="1711"/>
      <c r="G61" s="61">
        <v>2187</v>
      </c>
      <c r="H61" s="1711"/>
      <c r="I61" s="1680">
        <v>100</v>
      </c>
      <c r="J61" s="1711"/>
      <c r="K61" s="30">
        <f t="shared" si="0"/>
        <v>2187</v>
      </c>
      <c r="L61" s="1681"/>
      <c r="M61" s="61">
        <v>0</v>
      </c>
      <c r="N61" s="1711"/>
      <c r="O61" s="1680">
        <v>100</v>
      </c>
      <c r="P61" s="1711"/>
      <c r="Q61" s="30">
        <f t="shared" si="1"/>
        <v>0</v>
      </c>
      <c r="R61" s="1681"/>
    </row>
    <row r="62" spans="1:18">
      <c r="A62" s="534">
        <f t="shared" si="2"/>
        <v>45</v>
      </c>
      <c r="B62" s="1711"/>
      <c r="C62" s="1806">
        <v>921100</v>
      </c>
      <c r="D62" s="1711"/>
      <c r="E62" s="1711" t="s">
        <v>2552</v>
      </c>
      <c r="F62" s="1711"/>
      <c r="G62" s="61">
        <v>1972</v>
      </c>
      <c r="H62" s="1711"/>
      <c r="I62" s="1680">
        <v>100</v>
      </c>
      <c r="J62" s="1711"/>
      <c r="K62" s="30">
        <f t="shared" si="0"/>
        <v>1972</v>
      </c>
      <c r="L62" s="1681"/>
      <c r="M62" s="61">
        <v>3779</v>
      </c>
      <c r="N62" s="1711"/>
      <c r="O62" s="1680">
        <v>100</v>
      </c>
      <c r="P62" s="1711"/>
      <c r="Q62" s="30">
        <f t="shared" si="1"/>
        <v>3779</v>
      </c>
      <c r="R62" s="1681"/>
    </row>
    <row r="63" spans="1:18">
      <c r="A63" s="534">
        <f t="shared" si="2"/>
        <v>46</v>
      </c>
      <c r="B63" s="529"/>
      <c r="C63" s="534">
        <v>921200</v>
      </c>
      <c r="D63" s="529"/>
      <c r="E63" s="529" t="s">
        <v>1510</v>
      </c>
      <c r="F63" s="529"/>
      <c r="G63" s="61">
        <v>768</v>
      </c>
      <c r="H63" s="529"/>
      <c r="I63" s="527">
        <v>100</v>
      </c>
      <c r="J63" s="529"/>
      <c r="K63" s="30">
        <f t="shared" si="0"/>
        <v>768</v>
      </c>
      <c r="L63" s="744"/>
      <c r="M63" s="61">
        <v>0</v>
      </c>
      <c r="N63" s="529"/>
      <c r="O63" s="527">
        <v>100</v>
      </c>
      <c r="P63" s="529"/>
      <c r="Q63" s="30">
        <f t="shared" si="1"/>
        <v>0</v>
      </c>
      <c r="R63" s="744"/>
    </row>
    <row r="64" spans="1:18">
      <c r="A64" s="534">
        <f t="shared" si="2"/>
        <v>47</v>
      </c>
      <c r="B64" s="529"/>
      <c r="C64" s="534">
        <v>921200</v>
      </c>
      <c r="D64" s="529"/>
      <c r="E64" s="529" t="s">
        <v>2552</v>
      </c>
      <c r="F64" s="529"/>
      <c r="G64" s="61">
        <v>33697</v>
      </c>
      <c r="H64" s="529"/>
      <c r="I64" s="527">
        <v>100</v>
      </c>
      <c r="J64" s="529"/>
      <c r="K64" s="30">
        <f t="shared" si="0"/>
        <v>33697</v>
      </c>
      <c r="L64" s="744"/>
      <c r="M64" s="61">
        <v>4298</v>
      </c>
      <c r="N64" s="529"/>
      <c r="O64" s="527">
        <v>100</v>
      </c>
      <c r="P64" s="529"/>
      <c r="Q64" s="30">
        <f t="shared" si="1"/>
        <v>4298</v>
      </c>
      <c r="R64" s="744"/>
    </row>
    <row r="65" spans="1:18">
      <c r="A65" s="534">
        <f t="shared" si="2"/>
        <v>48</v>
      </c>
      <c r="B65" s="529"/>
      <c r="C65" s="534">
        <v>921400</v>
      </c>
      <c r="D65" s="529"/>
      <c r="E65" s="529" t="s">
        <v>1510</v>
      </c>
      <c r="F65" s="529"/>
      <c r="G65" s="61">
        <v>9</v>
      </c>
      <c r="H65" s="529"/>
      <c r="I65" s="527">
        <v>100</v>
      </c>
      <c r="J65" s="529"/>
      <c r="K65" s="30">
        <f t="shared" si="0"/>
        <v>9</v>
      </c>
      <c r="L65" s="744"/>
      <c r="M65" s="61">
        <v>0</v>
      </c>
      <c r="N65" s="529"/>
      <c r="O65" s="527">
        <v>100</v>
      </c>
      <c r="P65" s="529"/>
      <c r="Q65" s="30">
        <f t="shared" si="1"/>
        <v>0</v>
      </c>
      <c r="R65" s="744"/>
    </row>
    <row r="66" spans="1:18">
      <c r="A66" s="534">
        <f t="shared" si="2"/>
        <v>49</v>
      </c>
      <c r="B66" s="529"/>
      <c r="C66" s="534">
        <v>923000</v>
      </c>
      <c r="D66" s="529"/>
      <c r="E66" s="29" t="s">
        <v>2554</v>
      </c>
      <c r="F66" s="529"/>
      <c r="G66" s="61">
        <v>52261</v>
      </c>
      <c r="H66" s="529"/>
      <c r="I66" s="527">
        <v>100</v>
      </c>
      <c r="J66" s="529"/>
      <c r="K66" s="30">
        <f t="shared" si="0"/>
        <v>52261</v>
      </c>
      <c r="L66" s="744"/>
      <c r="M66" s="61">
        <v>67393</v>
      </c>
      <c r="N66" s="529"/>
      <c r="O66" s="527">
        <v>100</v>
      </c>
      <c r="P66" s="529"/>
      <c r="Q66" s="30">
        <f t="shared" si="1"/>
        <v>67393</v>
      </c>
      <c r="R66" s="744"/>
    </row>
    <row r="67" spans="1:18">
      <c r="A67" s="534">
        <f t="shared" si="2"/>
        <v>50</v>
      </c>
      <c r="B67" s="529"/>
      <c r="C67" s="534">
        <v>923000</v>
      </c>
      <c r="D67" s="529"/>
      <c r="E67" s="29" t="s">
        <v>1510</v>
      </c>
      <c r="G67" s="61">
        <v>3090</v>
      </c>
      <c r="H67" s="529"/>
      <c r="I67" s="527">
        <v>100</v>
      </c>
      <c r="J67" s="529"/>
      <c r="K67" s="30">
        <f t="shared" si="0"/>
        <v>3090</v>
      </c>
      <c r="L67" s="744"/>
      <c r="M67" s="61">
        <v>0</v>
      </c>
      <c r="N67" s="529"/>
      <c r="O67" s="527">
        <v>100</v>
      </c>
      <c r="P67" s="529"/>
      <c r="Q67" s="30">
        <f t="shared" si="1"/>
        <v>0</v>
      </c>
      <c r="R67" s="744"/>
    </row>
    <row r="68" spans="1:18">
      <c r="A68" s="534">
        <f t="shared" si="2"/>
        <v>51</v>
      </c>
      <c r="B68" s="529"/>
      <c r="C68" s="534">
        <v>930200</v>
      </c>
      <c r="D68" s="529"/>
      <c r="E68" s="529" t="s">
        <v>1510</v>
      </c>
      <c r="F68" s="529"/>
      <c r="G68" s="61">
        <v>3</v>
      </c>
      <c r="H68" s="529"/>
      <c r="I68" s="527">
        <v>100</v>
      </c>
      <c r="J68" s="529"/>
      <c r="K68" s="30">
        <f t="shared" si="0"/>
        <v>3</v>
      </c>
      <c r="L68" s="744"/>
      <c r="M68" s="61">
        <v>0</v>
      </c>
      <c r="N68" s="529"/>
      <c r="O68" s="527">
        <v>100</v>
      </c>
      <c r="P68" s="529"/>
      <c r="Q68" s="30">
        <f t="shared" si="1"/>
        <v>0</v>
      </c>
      <c r="R68" s="744"/>
    </row>
    <row r="69" spans="1:18">
      <c r="A69" s="534">
        <f t="shared" si="2"/>
        <v>52</v>
      </c>
      <c r="B69" s="529"/>
      <c r="C69" s="534">
        <v>930210</v>
      </c>
      <c r="D69" s="529"/>
      <c r="E69" s="529" t="s">
        <v>2552</v>
      </c>
      <c r="F69" s="529"/>
      <c r="G69" s="61">
        <v>42956</v>
      </c>
      <c r="H69" s="529"/>
      <c r="I69" s="527">
        <v>100</v>
      </c>
      <c r="J69" s="529"/>
      <c r="K69" s="30">
        <f t="shared" si="0"/>
        <v>42956</v>
      </c>
      <c r="L69" s="744"/>
      <c r="M69" s="61">
        <v>42956</v>
      </c>
      <c r="N69" s="529"/>
      <c r="O69" s="527">
        <v>100</v>
      </c>
      <c r="P69" s="529"/>
      <c r="Q69" s="30">
        <f t="shared" si="1"/>
        <v>42956</v>
      </c>
      <c r="R69" s="744"/>
    </row>
    <row r="70" spans="1:18">
      <c r="A70" s="534">
        <f t="shared" si="2"/>
        <v>53</v>
      </c>
      <c r="B70" s="529"/>
      <c r="C70" s="534">
        <v>930230</v>
      </c>
      <c r="D70" s="529"/>
      <c r="E70" s="529" t="s">
        <v>2555</v>
      </c>
      <c r="F70" s="529"/>
      <c r="G70" s="61">
        <v>354</v>
      </c>
      <c r="H70" s="529"/>
      <c r="I70" s="527">
        <v>100</v>
      </c>
      <c r="J70" s="529"/>
      <c r="K70" s="30">
        <f t="shared" si="0"/>
        <v>354</v>
      </c>
      <c r="L70" s="744"/>
      <c r="M70" s="61">
        <v>0</v>
      </c>
      <c r="N70" s="529"/>
      <c r="O70" s="527">
        <v>100</v>
      </c>
      <c r="P70" s="529"/>
      <c r="Q70" s="30">
        <f t="shared" si="1"/>
        <v>0</v>
      </c>
      <c r="R70" s="744"/>
    </row>
    <row r="71" spans="1:18">
      <c r="A71" s="534">
        <f t="shared" si="2"/>
        <v>54</v>
      </c>
      <c r="B71" s="529"/>
      <c r="C71" s="534">
        <v>930230</v>
      </c>
      <c r="D71" s="529"/>
      <c r="E71" s="529" t="s">
        <v>2554</v>
      </c>
      <c r="F71" s="529"/>
      <c r="G71" s="61">
        <v>12626</v>
      </c>
      <c r="H71" s="529"/>
      <c r="I71" s="527">
        <v>100</v>
      </c>
      <c r="J71" s="529"/>
      <c r="K71" s="30">
        <f t="shared" si="0"/>
        <v>12626</v>
      </c>
      <c r="L71" s="744"/>
      <c r="M71" s="61">
        <v>0</v>
      </c>
      <c r="N71" s="529"/>
      <c r="O71" s="527">
        <v>100</v>
      </c>
      <c r="P71" s="529"/>
      <c r="Q71" s="30">
        <f t="shared" si="1"/>
        <v>0</v>
      </c>
      <c r="R71" s="744"/>
    </row>
    <row r="72" spans="1:18">
      <c r="A72" s="534">
        <f t="shared" si="2"/>
        <v>55</v>
      </c>
      <c r="B72" s="529"/>
      <c r="C72" s="534">
        <v>930230</v>
      </c>
      <c r="D72" s="529"/>
      <c r="E72" s="529" t="s">
        <v>1510</v>
      </c>
      <c r="F72" s="529"/>
      <c r="G72" s="61">
        <v>5548</v>
      </c>
      <c r="H72" s="529"/>
      <c r="I72" s="527">
        <v>100</v>
      </c>
      <c r="J72" s="529"/>
      <c r="K72" s="30">
        <f t="shared" si="0"/>
        <v>5548</v>
      </c>
      <c r="L72" s="744"/>
      <c r="M72" s="61">
        <v>0</v>
      </c>
      <c r="N72" s="529"/>
      <c r="O72" s="527">
        <v>100</v>
      </c>
      <c r="P72" s="529"/>
      <c r="Q72" s="30">
        <f t="shared" si="1"/>
        <v>0</v>
      </c>
      <c r="R72" s="744"/>
    </row>
    <row r="73" spans="1:18">
      <c r="A73" s="534">
        <f t="shared" si="2"/>
        <v>56</v>
      </c>
      <c r="B73" s="529"/>
      <c r="C73" s="534">
        <v>930230</v>
      </c>
      <c r="D73" s="529"/>
      <c r="E73" s="29" t="s">
        <v>2552</v>
      </c>
      <c r="F73" s="529"/>
      <c r="G73" s="61">
        <v>7499</v>
      </c>
      <c r="H73" s="529"/>
      <c r="I73" s="527">
        <v>100</v>
      </c>
      <c r="J73" s="529"/>
      <c r="K73" s="30">
        <f t="shared" si="0"/>
        <v>7499</v>
      </c>
      <c r="L73" s="744"/>
      <c r="M73" s="61">
        <v>21761</v>
      </c>
      <c r="N73" s="529"/>
      <c r="O73" s="527">
        <v>100</v>
      </c>
      <c r="P73" s="529"/>
      <c r="Q73" s="30">
        <f t="shared" si="1"/>
        <v>21761</v>
      </c>
      <c r="R73" s="744"/>
    </row>
    <row r="74" spans="1:18">
      <c r="A74" s="534">
        <f t="shared" si="2"/>
        <v>57</v>
      </c>
      <c r="B74" s="1711"/>
      <c r="C74" s="1711"/>
      <c r="D74" s="1711"/>
      <c r="E74" s="1712" t="s">
        <v>2556</v>
      </c>
      <c r="F74" s="529"/>
      <c r="G74" s="2161">
        <f>SUM(G18:G73)</f>
        <v>184314</v>
      </c>
      <c r="H74" s="529"/>
      <c r="I74" s="529"/>
      <c r="J74" s="529"/>
      <c r="K74" s="2161">
        <f>SUM(K18:K73)</f>
        <v>184314</v>
      </c>
      <c r="L74" s="1681"/>
      <c r="M74" s="2161">
        <f>SUM(M18:M73)</f>
        <v>161841</v>
      </c>
      <c r="N74" s="529"/>
      <c r="O74" s="529"/>
      <c r="P74" s="529"/>
      <c r="Q74" s="2161">
        <f>SUM(Q18:Q73)</f>
        <v>161841</v>
      </c>
      <c r="R74" s="529"/>
    </row>
    <row r="75" spans="1:18">
      <c r="A75" s="529"/>
      <c r="B75" s="529"/>
      <c r="C75" s="529"/>
      <c r="D75" s="529"/>
      <c r="E75" s="529"/>
      <c r="F75" s="529"/>
      <c r="G75" s="922"/>
      <c r="H75" s="529"/>
      <c r="I75" s="529"/>
      <c r="J75" s="529"/>
      <c r="K75" s="529"/>
      <c r="L75" s="529"/>
      <c r="M75" s="529"/>
      <c r="N75" s="529"/>
      <c r="O75" s="529"/>
      <c r="P75" s="529"/>
      <c r="Q75" s="529"/>
      <c r="R75" s="529"/>
    </row>
    <row r="76" spans="1:18">
      <c r="A76" s="529"/>
      <c r="F76" s="529"/>
      <c r="G76" s="529"/>
      <c r="H76" s="529"/>
      <c r="I76" s="529"/>
      <c r="J76" s="529"/>
      <c r="K76" s="529"/>
      <c r="L76" s="529"/>
      <c r="M76" s="529"/>
      <c r="N76" s="529"/>
      <c r="O76" s="529"/>
      <c r="P76" s="529"/>
      <c r="Q76" s="529"/>
      <c r="R76" s="529"/>
    </row>
    <row r="77" spans="1:18">
      <c r="A77" s="529"/>
      <c r="F77" s="529"/>
      <c r="G77" s="529"/>
      <c r="H77" s="529"/>
      <c r="I77" s="529"/>
      <c r="J77" s="529"/>
      <c r="K77" s="529"/>
      <c r="L77" s="529"/>
      <c r="M77" s="529"/>
      <c r="N77" s="529"/>
      <c r="O77" s="529"/>
      <c r="P77" s="529"/>
      <c r="Q77" s="529"/>
      <c r="R77" s="529"/>
    </row>
    <row r="78" spans="1:18">
      <c r="A78" s="529"/>
      <c r="B78" s="529" t="s">
        <v>2557</v>
      </c>
      <c r="C78" s="529"/>
      <c r="D78" s="529"/>
      <c r="E78" s="857" t="s">
        <v>428</v>
      </c>
      <c r="F78" s="529"/>
      <c r="G78" s="529"/>
      <c r="H78" s="529"/>
      <c r="I78" s="529"/>
      <c r="J78" s="529"/>
      <c r="K78" s="529"/>
      <c r="L78" s="529"/>
      <c r="M78" s="529"/>
      <c r="N78" s="529"/>
      <c r="O78" s="529"/>
      <c r="P78" s="529"/>
      <c r="Q78" s="529"/>
      <c r="R78" s="529"/>
    </row>
    <row r="79" spans="1:18">
      <c r="A79" s="529"/>
      <c r="B79" s="845"/>
      <c r="C79" s="529"/>
      <c r="D79" s="529"/>
      <c r="E79" s="529"/>
      <c r="F79" s="529"/>
      <c r="G79" s="529"/>
      <c r="H79" s="529"/>
      <c r="I79" s="529"/>
      <c r="J79" s="529"/>
      <c r="K79" s="529"/>
      <c r="L79" s="529"/>
      <c r="M79" s="529"/>
      <c r="N79" s="529"/>
      <c r="O79" s="529"/>
      <c r="P79" s="529"/>
      <c r="Q79" s="529"/>
      <c r="R79" s="529"/>
    </row>
    <row r="80" spans="1:18">
      <c r="A80" s="529"/>
      <c r="B80" s="529"/>
      <c r="C80" s="529"/>
      <c r="D80" s="529"/>
      <c r="E80" s="529"/>
      <c r="F80" s="529"/>
      <c r="G80" s="529"/>
      <c r="H80" s="529"/>
      <c r="I80" s="529"/>
      <c r="J80" s="529"/>
      <c r="K80" s="529"/>
      <c r="L80" s="529"/>
      <c r="M80" s="529"/>
      <c r="N80" s="529"/>
      <c r="O80" s="529"/>
      <c r="P80" s="529"/>
      <c r="Q80" s="529"/>
      <c r="R80" s="529"/>
    </row>
    <row r="81" spans="1:18">
      <c r="A81" s="529"/>
      <c r="B81" s="529"/>
      <c r="C81" s="529"/>
      <c r="D81" s="529"/>
      <c r="E81" s="529"/>
      <c r="F81" s="529"/>
      <c r="G81" s="529"/>
      <c r="H81" s="529"/>
      <c r="I81" s="529"/>
      <c r="J81" s="529"/>
      <c r="K81" s="529"/>
      <c r="L81" s="529"/>
      <c r="M81" s="529"/>
      <c r="N81" s="529"/>
      <c r="O81" s="529"/>
      <c r="P81" s="529"/>
      <c r="Q81" s="529"/>
      <c r="R81" s="529"/>
    </row>
    <row r="82" spans="1:18">
      <c r="A82" s="529"/>
      <c r="B82" s="529"/>
      <c r="C82" s="529"/>
      <c r="D82" s="529"/>
      <c r="E82" s="529"/>
      <c r="F82" s="529"/>
      <c r="G82" s="529"/>
      <c r="H82" s="529"/>
      <c r="I82" s="529"/>
      <c r="J82" s="529"/>
      <c r="K82" s="529"/>
      <c r="L82" s="529"/>
      <c r="M82" s="529"/>
      <c r="N82" s="529"/>
      <c r="O82" s="529"/>
      <c r="P82" s="529"/>
      <c r="Q82" s="529"/>
      <c r="R82" s="529"/>
    </row>
    <row r="83" spans="1:18">
      <c r="A83" s="930"/>
      <c r="B83" s="930"/>
      <c r="C83" s="930"/>
      <c r="D83" s="930"/>
      <c r="E83" s="930"/>
      <c r="F83" s="931"/>
      <c r="G83" s="931"/>
      <c r="H83" s="529"/>
      <c r="I83" s="529"/>
      <c r="J83" s="529"/>
      <c r="K83" s="529"/>
      <c r="L83" s="529"/>
      <c r="M83" s="529"/>
      <c r="N83" s="529"/>
      <c r="O83" s="529"/>
      <c r="P83" s="529"/>
      <c r="Q83" s="529"/>
      <c r="R83" s="529"/>
    </row>
    <row r="84" spans="1:18">
      <c r="A84" s="931"/>
      <c r="B84" s="931"/>
      <c r="C84" s="931"/>
      <c r="D84" s="931"/>
      <c r="E84" s="931"/>
      <c r="F84" s="931"/>
      <c r="G84" s="931"/>
      <c r="H84" s="529"/>
      <c r="I84" s="529"/>
      <c r="J84" s="529"/>
      <c r="K84" s="529"/>
      <c r="L84" s="529"/>
      <c r="M84" s="529"/>
      <c r="N84" s="529"/>
      <c r="O84" s="529"/>
      <c r="P84" s="529"/>
      <c r="Q84" s="529"/>
      <c r="R84" s="529"/>
    </row>
    <row r="85" spans="1:18">
      <c r="A85" s="931"/>
      <c r="B85" s="931"/>
      <c r="C85" s="931"/>
      <c r="D85" s="931"/>
      <c r="E85" s="931"/>
      <c r="F85" s="931"/>
      <c r="G85" s="931"/>
      <c r="H85" s="529"/>
      <c r="I85" s="529"/>
      <c r="J85" s="529"/>
      <c r="K85" s="529"/>
      <c r="L85" s="529"/>
      <c r="M85" s="529"/>
      <c r="N85" s="529"/>
      <c r="O85" s="529"/>
      <c r="P85" s="529"/>
      <c r="Q85" s="529"/>
      <c r="R85" s="529"/>
    </row>
    <row r="86" spans="1:18">
      <c r="A86" s="529"/>
      <c r="B86" s="529"/>
      <c r="C86" s="529"/>
      <c r="D86" s="529"/>
      <c r="E86" s="529"/>
      <c r="F86" s="529"/>
      <c r="G86" s="529"/>
      <c r="H86" s="529"/>
      <c r="I86" s="529"/>
      <c r="J86" s="529"/>
      <c r="K86" s="529"/>
      <c r="L86" s="529"/>
      <c r="M86" s="529"/>
      <c r="N86" s="529"/>
      <c r="O86" s="529"/>
      <c r="P86" s="529"/>
      <c r="Q86" s="529"/>
      <c r="R86" s="529"/>
    </row>
    <row r="87" spans="1:18">
      <c r="A87" s="931"/>
      <c r="B87" s="529"/>
      <c r="C87" s="529"/>
      <c r="D87" s="529"/>
      <c r="E87" s="529"/>
      <c r="F87" s="529"/>
      <c r="G87" s="529"/>
      <c r="H87" s="529"/>
      <c r="I87" s="529"/>
      <c r="J87" s="529"/>
      <c r="K87" s="529"/>
      <c r="L87" s="529"/>
      <c r="M87" s="529"/>
      <c r="N87" s="529"/>
      <c r="O87" s="529"/>
      <c r="P87" s="529"/>
      <c r="Q87" s="529"/>
      <c r="R87" s="529"/>
    </row>
    <row r="88" spans="1:18">
      <c r="A88" s="529"/>
      <c r="B88" s="529"/>
      <c r="C88" s="529"/>
      <c r="D88" s="529"/>
      <c r="E88" s="529"/>
      <c r="F88" s="529"/>
      <c r="G88" s="529"/>
      <c r="H88" s="529"/>
      <c r="I88" s="529"/>
      <c r="J88" s="529"/>
      <c r="K88" s="529"/>
      <c r="L88" s="529"/>
      <c r="M88" s="529"/>
      <c r="N88" s="529"/>
      <c r="O88" s="529"/>
      <c r="P88" s="529"/>
      <c r="Q88" s="529"/>
      <c r="R88" s="529"/>
    </row>
    <row r="89" spans="1:18">
      <c r="A89" s="534"/>
      <c r="B89" s="529"/>
      <c r="C89" s="534"/>
      <c r="D89" s="529"/>
      <c r="E89" s="29"/>
      <c r="F89" s="529"/>
      <c r="G89" s="533"/>
      <c r="H89" s="529"/>
      <c r="I89" s="527"/>
      <c r="J89" s="529"/>
      <c r="K89" s="533"/>
      <c r="L89" s="529"/>
      <c r="M89" s="529"/>
      <c r="N89" s="529"/>
      <c r="O89" s="529"/>
      <c r="P89" s="529"/>
      <c r="Q89" s="529"/>
      <c r="R89" s="529"/>
    </row>
    <row r="90" spans="1:18">
      <c r="A90" s="534"/>
      <c r="B90" s="529"/>
      <c r="C90" s="534"/>
      <c r="D90" s="529"/>
      <c r="E90" s="29"/>
      <c r="F90" s="529"/>
      <c r="G90" s="533"/>
      <c r="H90" s="529"/>
      <c r="I90" s="527"/>
      <c r="J90" s="529"/>
      <c r="K90" s="533"/>
      <c r="L90" s="529"/>
      <c r="M90" s="529"/>
      <c r="N90" s="529"/>
      <c r="O90" s="529"/>
      <c r="P90" s="529"/>
      <c r="Q90" s="529"/>
      <c r="R90" s="529"/>
    </row>
    <row r="91" spans="1:18">
      <c r="A91" s="534"/>
      <c r="B91" s="529"/>
      <c r="C91" s="534"/>
      <c r="D91" s="529"/>
      <c r="E91" s="29"/>
      <c r="F91" s="529"/>
      <c r="G91" s="533"/>
      <c r="H91" s="529"/>
      <c r="I91" s="527"/>
      <c r="J91" s="529"/>
      <c r="K91" s="533"/>
      <c r="L91" s="529"/>
      <c r="M91" s="529"/>
      <c r="N91" s="529"/>
      <c r="O91" s="529"/>
      <c r="P91" s="529"/>
      <c r="Q91" s="529"/>
      <c r="R91" s="529"/>
    </row>
    <row r="92" spans="1:18">
      <c r="A92" s="534"/>
      <c r="B92" s="529"/>
      <c r="C92" s="534"/>
      <c r="D92" s="529"/>
      <c r="E92" s="29"/>
      <c r="F92" s="529"/>
      <c r="G92" s="533"/>
      <c r="H92" s="529"/>
      <c r="I92" s="527"/>
      <c r="J92" s="529"/>
      <c r="K92" s="533"/>
      <c r="L92" s="529"/>
      <c r="M92" s="529"/>
      <c r="N92" s="529"/>
      <c r="O92" s="529"/>
      <c r="P92" s="529"/>
      <c r="Q92" s="529"/>
      <c r="R92" s="529"/>
    </row>
    <row r="93" spans="1:18">
      <c r="A93" s="534"/>
      <c r="B93" s="529"/>
      <c r="C93" s="534"/>
      <c r="D93" s="529"/>
      <c r="E93" s="29"/>
      <c r="F93" s="529"/>
      <c r="G93" s="533"/>
      <c r="H93" s="529"/>
      <c r="I93" s="527"/>
      <c r="J93" s="529"/>
      <c r="K93" s="533"/>
      <c r="L93" s="529"/>
      <c r="M93" s="529"/>
      <c r="N93" s="529"/>
      <c r="O93" s="529"/>
      <c r="P93" s="529"/>
      <c r="Q93" s="529"/>
      <c r="R93" s="529"/>
    </row>
    <row r="94" spans="1:18">
      <c r="A94" s="534"/>
      <c r="B94" s="529"/>
      <c r="C94" s="534"/>
      <c r="D94" s="529"/>
      <c r="E94" s="29"/>
      <c r="F94" s="529"/>
      <c r="G94" s="533"/>
      <c r="H94" s="529"/>
      <c r="I94" s="527"/>
      <c r="J94" s="529"/>
      <c r="K94" s="533"/>
      <c r="L94" s="529"/>
      <c r="M94" s="529"/>
      <c r="N94" s="529"/>
      <c r="O94" s="529"/>
      <c r="P94" s="529"/>
      <c r="Q94" s="529"/>
      <c r="R94" s="529"/>
    </row>
    <row r="95" spans="1:18">
      <c r="A95" s="534"/>
      <c r="B95" s="529"/>
      <c r="C95" s="534"/>
      <c r="D95" s="529"/>
      <c r="E95" s="29"/>
      <c r="F95" s="529"/>
      <c r="G95" s="533"/>
      <c r="H95" s="529"/>
      <c r="I95" s="527"/>
      <c r="J95" s="529"/>
      <c r="K95" s="533"/>
      <c r="L95" s="529"/>
      <c r="M95" s="529"/>
      <c r="N95" s="529"/>
      <c r="O95" s="529"/>
      <c r="P95" s="529"/>
      <c r="Q95" s="529"/>
      <c r="R95" s="529"/>
    </row>
    <row r="96" spans="1:18">
      <c r="A96" s="534"/>
      <c r="B96" s="529"/>
      <c r="C96" s="534"/>
      <c r="D96" s="529"/>
      <c r="E96" s="29"/>
      <c r="F96" s="529"/>
      <c r="G96" s="533"/>
      <c r="H96" s="529"/>
      <c r="I96" s="527"/>
      <c r="J96" s="529"/>
      <c r="K96" s="533"/>
      <c r="L96" s="529"/>
      <c r="M96" s="529"/>
      <c r="N96" s="529"/>
      <c r="O96" s="529"/>
      <c r="P96" s="529"/>
      <c r="Q96" s="529"/>
      <c r="R96" s="529"/>
    </row>
    <row r="97" spans="1:18">
      <c r="A97" s="534"/>
      <c r="B97" s="529"/>
      <c r="C97" s="534"/>
      <c r="D97" s="529"/>
      <c r="E97" s="29"/>
      <c r="F97" s="529"/>
      <c r="G97" s="533"/>
      <c r="H97" s="529"/>
      <c r="I97" s="527"/>
      <c r="J97" s="529"/>
      <c r="K97" s="533"/>
      <c r="L97" s="529"/>
      <c r="M97" s="529"/>
      <c r="N97" s="529"/>
      <c r="O97" s="529"/>
      <c r="P97" s="529"/>
      <c r="Q97" s="529"/>
      <c r="R97" s="529"/>
    </row>
    <row r="98" spans="1:18">
      <c r="A98" s="534"/>
      <c r="B98" s="529"/>
      <c r="C98" s="534"/>
      <c r="D98" s="529"/>
      <c r="E98" s="29"/>
      <c r="F98" s="529"/>
      <c r="G98" s="533"/>
      <c r="H98" s="529"/>
      <c r="I98" s="527"/>
      <c r="J98" s="529"/>
      <c r="K98" s="533"/>
      <c r="L98" s="529"/>
      <c r="M98" s="529"/>
      <c r="N98" s="529"/>
      <c r="O98" s="529"/>
      <c r="P98" s="529"/>
      <c r="Q98" s="529"/>
      <c r="R98" s="529"/>
    </row>
    <row r="99" spans="1:18">
      <c r="A99" s="534"/>
      <c r="B99" s="529"/>
      <c r="C99" s="534"/>
      <c r="D99" s="529"/>
      <c r="E99" s="29"/>
      <c r="F99" s="529"/>
      <c r="G99" s="533"/>
      <c r="H99" s="529"/>
      <c r="I99" s="527"/>
      <c r="J99" s="529"/>
      <c r="K99" s="533"/>
      <c r="L99" s="529"/>
      <c r="M99" s="529"/>
      <c r="N99" s="529"/>
      <c r="O99" s="529"/>
      <c r="P99" s="529"/>
      <c r="Q99" s="529"/>
      <c r="R99" s="529"/>
    </row>
    <row r="100" spans="1:18">
      <c r="A100" s="534"/>
      <c r="B100" s="529"/>
      <c r="C100" s="534"/>
      <c r="D100" s="529"/>
      <c r="E100" s="29"/>
      <c r="F100" s="529"/>
      <c r="G100" s="533"/>
      <c r="H100" s="529"/>
      <c r="I100" s="527"/>
      <c r="J100" s="529"/>
      <c r="K100" s="533"/>
      <c r="L100" s="529"/>
      <c r="M100" s="529"/>
      <c r="N100" s="529"/>
      <c r="O100" s="529"/>
      <c r="P100" s="529"/>
      <c r="Q100" s="529"/>
      <c r="R100" s="529"/>
    </row>
    <row r="101" spans="1:18">
      <c r="A101" s="534"/>
      <c r="B101" s="529"/>
      <c r="C101" s="534"/>
      <c r="D101" s="529"/>
      <c r="E101" s="29"/>
      <c r="F101" s="529"/>
      <c r="G101" s="533"/>
      <c r="H101" s="529"/>
      <c r="I101" s="527"/>
      <c r="J101" s="529"/>
      <c r="K101" s="533"/>
      <c r="L101" s="529"/>
      <c r="M101" s="529"/>
      <c r="N101" s="529"/>
      <c r="O101" s="529"/>
      <c r="P101" s="529"/>
      <c r="Q101" s="529"/>
      <c r="R101" s="529"/>
    </row>
    <row r="102" spans="1:18">
      <c r="A102" s="534"/>
      <c r="B102" s="529"/>
      <c r="C102" s="534"/>
      <c r="D102" s="529"/>
      <c r="E102" s="29"/>
      <c r="F102" s="529"/>
      <c r="G102" s="533"/>
      <c r="H102" s="529"/>
      <c r="I102" s="527"/>
      <c r="J102" s="529"/>
      <c r="K102" s="533"/>
      <c r="L102" s="529"/>
      <c r="M102" s="529"/>
      <c r="N102" s="529"/>
      <c r="O102" s="529"/>
      <c r="P102" s="529"/>
      <c r="Q102" s="529"/>
      <c r="R102" s="529"/>
    </row>
    <row r="103" spans="1:18">
      <c r="A103" s="534"/>
      <c r="B103" s="529"/>
      <c r="C103" s="534"/>
      <c r="D103" s="529"/>
      <c r="E103" s="29"/>
      <c r="F103" s="529"/>
      <c r="G103" s="533"/>
      <c r="H103" s="529"/>
      <c r="I103" s="527"/>
      <c r="J103" s="529"/>
      <c r="K103" s="533"/>
      <c r="L103" s="529"/>
      <c r="M103" s="529"/>
      <c r="N103" s="529"/>
      <c r="O103" s="529"/>
      <c r="P103" s="529"/>
      <c r="Q103" s="529"/>
      <c r="R103" s="529"/>
    </row>
  </sheetData>
  <mergeCells count="2">
    <mergeCell ref="O13:Q13"/>
    <mergeCell ref="I13:K13"/>
  </mergeCells>
  <phoneticPr fontId="19" type="noConversion"/>
  <pageMargins left="1" right="0.75" top="0.98425196850393704" bottom="0" header="0" footer="0"/>
  <pageSetup scale="53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50">
    <tabColor rgb="FFFFC000"/>
    <pageSetUpPr fitToPage="1"/>
  </sheetPr>
  <dimension ref="A1:V56"/>
  <sheetViews>
    <sheetView workbookViewId="0"/>
  </sheetViews>
  <sheetFormatPr defaultColWidth="8" defaultRowHeight="13.2"/>
  <cols>
    <col min="1" max="1" width="6" customWidth="1"/>
    <col min="2" max="2" width="1.5546875" customWidth="1"/>
    <col min="3" max="3" width="20" customWidth="1"/>
    <col min="4" max="4" width="1.44140625" customWidth="1"/>
    <col min="5" max="5" width="40.44140625" customWidth="1"/>
    <col min="6" max="6" width="1.44140625" customWidth="1"/>
    <col min="7" max="7" width="15" customWidth="1"/>
    <col min="8" max="8" width="1.44140625" customWidth="1"/>
    <col min="9" max="9" width="12.5546875" customWidth="1"/>
    <col min="10" max="10" width="1.44140625" customWidth="1"/>
    <col min="11" max="11" width="15" customWidth="1"/>
    <col min="12" max="12" width="1.44140625" customWidth="1"/>
    <col min="13" max="13" width="15" customWidth="1"/>
    <col min="14" max="14" width="1.44140625" customWidth="1"/>
    <col min="15" max="15" width="12.5546875" customWidth="1"/>
    <col min="16" max="16" width="0.5546875" customWidth="1"/>
    <col min="17" max="17" width="17.44140625" customWidth="1"/>
  </cols>
  <sheetData>
    <row r="1" spans="1:22">
      <c r="A1" s="847" t="str">
        <f>COMPANY</f>
        <v>DUKE ENERGY KENTUCKY, INC.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7"/>
      <c r="Q1" s="847"/>
      <c r="R1" s="537"/>
      <c r="S1" s="537"/>
      <c r="T1" s="537"/>
      <c r="U1" s="537"/>
      <c r="V1" s="537"/>
    </row>
    <row r="2" spans="1:22">
      <c r="A2" s="847" t="str">
        <f>CASE</f>
        <v>CASE NO. 2024-00354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847"/>
      <c r="M2" s="847"/>
      <c r="N2" s="847"/>
      <c r="O2" s="847"/>
      <c r="P2" s="847"/>
      <c r="Q2" s="847"/>
      <c r="R2" s="537"/>
      <c r="S2" s="537"/>
      <c r="T2" s="537"/>
      <c r="U2" s="537"/>
      <c r="V2" s="537"/>
    </row>
    <row r="3" spans="1:22">
      <c r="A3" s="925" t="s">
        <v>2558</v>
      </c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925"/>
      <c r="O3" s="847"/>
      <c r="P3" s="847"/>
      <c r="Q3" s="847"/>
      <c r="R3" s="537"/>
      <c r="S3" s="537"/>
      <c r="T3" s="537"/>
      <c r="U3" s="537"/>
      <c r="V3" s="537"/>
    </row>
    <row r="4" spans="1:22">
      <c r="A4" s="925" t="str">
        <f>PERIOD</f>
        <v>FOR THE TWELVE MONTHS ENDED FEBRUARY 28, 2025</v>
      </c>
      <c r="B4" s="847"/>
      <c r="C4" s="847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925"/>
      <c r="O4" s="847"/>
      <c r="P4" s="847"/>
      <c r="Q4" s="847"/>
      <c r="R4" s="537"/>
      <c r="S4" s="537"/>
      <c r="T4" s="537"/>
      <c r="U4" s="537"/>
      <c r="V4" s="537"/>
    </row>
    <row r="5" spans="1:22">
      <c r="A5" s="847" t="str">
        <f>PeriodF</f>
        <v>FOR THE TWELVE MONTHS ENDED JUNE 30, 2026</v>
      </c>
      <c r="B5" s="847"/>
      <c r="C5" s="847"/>
      <c r="D5" s="847"/>
      <c r="E5" s="847"/>
      <c r="F5" s="847"/>
      <c r="G5" s="847"/>
      <c r="H5" s="847"/>
      <c r="I5" s="847"/>
      <c r="J5" s="847"/>
      <c r="K5" s="847"/>
      <c r="L5" s="847"/>
      <c r="M5" s="847"/>
      <c r="N5" s="847"/>
      <c r="O5" s="847"/>
      <c r="P5" s="847"/>
      <c r="Q5" s="847"/>
      <c r="R5" s="537"/>
      <c r="S5" s="537"/>
      <c r="T5" s="537"/>
      <c r="U5" s="537"/>
      <c r="V5" s="537"/>
    </row>
    <row r="6" spans="1:2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</row>
    <row r="7" spans="1:22">
      <c r="A7" s="537" t="str">
        <f>DataB</f>
        <v>DATA: "X" BASE PERIOD  "X" FORECASTED PERIOD</v>
      </c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9" t="s">
        <v>2559</v>
      </c>
      <c r="P7" s="539"/>
      <c r="Q7" s="537"/>
      <c r="R7" s="537"/>
      <c r="S7" s="537"/>
      <c r="T7" s="537"/>
      <c r="U7" s="537"/>
      <c r="V7" s="537"/>
    </row>
    <row r="8" spans="1:22">
      <c r="A8" s="537" t="str">
        <f>Type</f>
        <v xml:space="preserve">TYPE OF FILING:  "X" ORIGINAL   UPDATED    REVISED  </v>
      </c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9" t="s">
        <v>2560</v>
      </c>
      <c r="P8" s="539"/>
      <c r="Q8" s="537"/>
      <c r="R8" s="537"/>
      <c r="S8" s="537"/>
      <c r="T8" s="537"/>
      <c r="U8" s="537"/>
      <c r="V8" s="537"/>
    </row>
    <row r="9" spans="1:22">
      <c r="A9" s="539" t="s">
        <v>694</v>
      </c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9" t="s">
        <v>2561</v>
      </c>
      <c r="P9" s="539"/>
      <c r="Q9" s="537"/>
      <c r="R9" s="537"/>
      <c r="S9" s="537"/>
      <c r="T9" s="537"/>
      <c r="U9" s="537"/>
      <c r="V9" s="537"/>
    </row>
    <row r="10" spans="1:2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 t="str">
        <f>"  "&amp;_WIT1</f>
        <v xml:space="preserve">  L. D. STEINKUHL</v>
      </c>
      <c r="P10" s="537"/>
      <c r="Q10" s="94"/>
      <c r="R10" s="537"/>
      <c r="S10" s="537"/>
      <c r="T10" s="537"/>
      <c r="U10" s="537"/>
      <c r="V10" s="537"/>
    </row>
    <row r="11" spans="1:22">
      <c r="A11" s="1559"/>
      <c r="B11" s="1559"/>
      <c r="C11" s="1559"/>
      <c r="D11" s="1559"/>
      <c r="E11" s="1559"/>
      <c r="F11" s="1559"/>
      <c r="G11" s="1559"/>
      <c r="H11" s="1559"/>
      <c r="I11" s="1559"/>
      <c r="J11" s="1559"/>
      <c r="K11" s="1559"/>
      <c r="L11" s="1559"/>
      <c r="M11" s="1559"/>
      <c r="N11" s="1559"/>
      <c r="O11" s="1559"/>
      <c r="P11" s="1559"/>
      <c r="Q11" s="1559"/>
      <c r="R11" s="537"/>
      <c r="S11" s="537"/>
      <c r="T11" s="537"/>
      <c r="U11" s="537"/>
      <c r="V11" s="537"/>
    </row>
    <row r="12" spans="1:22">
      <c r="A12" s="846"/>
      <c r="B12" s="846"/>
      <c r="C12" s="846"/>
      <c r="D12" s="846"/>
      <c r="E12" s="846"/>
      <c r="F12" s="846"/>
      <c r="G12" s="2162" t="s">
        <v>252</v>
      </c>
      <c r="H12" s="2162"/>
      <c r="I12" s="2162"/>
      <c r="J12" s="1560"/>
      <c r="K12" s="1560"/>
      <c r="L12" s="846"/>
      <c r="M12" s="2162" t="s">
        <v>403</v>
      </c>
      <c r="N12" s="2162"/>
      <c r="O12" s="2162"/>
      <c r="P12" s="1560"/>
      <c r="Q12" s="1560"/>
      <c r="R12" s="537"/>
      <c r="S12" s="537"/>
      <c r="T12" s="537"/>
      <c r="U12" s="537"/>
      <c r="V12" s="537"/>
    </row>
    <row r="13" spans="1:22">
      <c r="A13" s="538" t="s">
        <v>471</v>
      </c>
      <c r="B13" s="537"/>
      <c r="C13" s="538" t="s">
        <v>1045</v>
      </c>
      <c r="D13" s="538"/>
      <c r="E13" s="538" t="s">
        <v>2562</v>
      </c>
      <c r="F13" s="847"/>
      <c r="G13" s="848" t="s">
        <v>972</v>
      </c>
      <c r="H13" s="538"/>
      <c r="I13" s="2421" t="s">
        <v>937</v>
      </c>
      <c r="J13" s="2420"/>
      <c r="K13" s="2420"/>
      <c r="L13" s="847"/>
      <c r="M13" s="848" t="s">
        <v>972</v>
      </c>
      <c r="N13" s="538"/>
      <c r="O13" s="2421" t="s">
        <v>937</v>
      </c>
      <c r="P13" s="2420"/>
      <c r="Q13" s="2420"/>
      <c r="R13" s="537"/>
      <c r="S13" s="537"/>
      <c r="T13" s="537"/>
      <c r="U13" s="537"/>
      <c r="V13" s="537"/>
    </row>
    <row r="14" spans="1:22">
      <c r="A14" s="538" t="s">
        <v>533</v>
      </c>
      <c r="B14" s="537"/>
      <c r="C14" s="538" t="s">
        <v>533</v>
      </c>
      <c r="D14" s="538"/>
      <c r="E14" s="538" t="s">
        <v>2563</v>
      </c>
      <c r="F14" s="847"/>
      <c r="G14" s="538" t="s">
        <v>2540</v>
      </c>
      <c r="H14" s="538"/>
      <c r="I14" s="849" t="s">
        <v>2548</v>
      </c>
      <c r="J14" s="850"/>
      <c r="K14" s="538" t="s">
        <v>975</v>
      </c>
      <c r="L14" s="847"/>
      <c r="M14" s="538" t="s">
        <v>2540</v>
      </c>
      <c r="N14" s="538"/>
      <c r="O14" s="849" t="s">
        <v>2548</v>
      </c>
      <c r="P14" s="850"/>
      <c r="Q14" s="538" t="s">
        <v>975</v>
      </c>
      <c r="R14" s="537"/>
      <c r="S14" s="537"/>
      <c r="T14" s="537"/>
      <c r="U14" s="537"/>
      <c r="V14" s="537"/>
    </row>
    <row r="15" spans="1:22">
      <c r="A15" s="1559"/>
      <c r="B15" s="1559"/>
      <c r="C15" s="1559"/>
      <c r="D15" s="1559"/>
      <c r="E15" s="1559"/>
      <c r="F15" s="1559"/>
      <c r="G15" s="1559"/>
      <c r="H15" s="1559"/>
      <c r="I15" s="1558" t="s">
        <v>853</v>
      </c>
      <c r="J15" s="1559"/>
      <c r="K15" s="1559"/>
      <c r="L15" s="1559"/>
      <c r="M15" s="1559"/>
      <c r="N15" s="1559"/>
      <c r="O15" s="1558" t="s">
        <v>853</v>
      </c>
      <c r="P15" s="1559"/>
      <c r="Q15" s="1559"/>
      <c r="R15" s="537"/>
      <c r="S15" s="537"/>
      <c r="T15" s="537"/>
      <c r="U15" s="537"/>
      <c r="V15" s="537"/>
    </row>
    <row r="16" spans="1:22">
      <c r="A16" s="537"/>
      <c r="B16" s="537"/>
      <c r="C16" s="537"/>
      <c r="D16" s="537"/>
      <c r="E16" s="537"/>
      <c r="F16" s="537"/>
      <c r="G16" s="538" t="s">
        <v>1371</v>
      </c>
      <c r="H16" s="538"/>
      <c r="I16" s="538" t="s">
        <v>420</v>
      </c>
      <c r="J16" s="851"/>
      <c r="K16" s="538" t="s">
        <v>1371</v>
      </c>
      <c r="L16" s="537"/>
      <c r="M16" s="538" t="s">
        <v>1371</v>
      </c>
      <c r="N16" s="538"/>
      <c r="O16" s="538" t="s">
        <v>420</v>
      </c>
      <c r="P16" s="851"/>
      <c r="Q16" s="538" t="s">
        <v>1371</v>
      </c>
      <c r="R16" s="537"/>
      <c r="S16" s="537"/>
      <c r="T16" s="537"/>
      <c r="U16" s="537"/>
      <c r="V16" s="537"/>
    </row>
    <row r="17" spans="1:22">
      <c r="B17" s="537"/>
      <c r="C17" s="535"/>
      <c r="D17" s="537"/>
      <c r="E17" s="537"/>
      <c r="F17" s="537"/>
      <c r="G17" s="528"/>
      <c r="H17" s="537"/>
      <c r="I17" s="537"/>
      <c r="J17" s="537"/>
      <c r="K17" s="537"/>
      <c r="L17" s="537"/>
      <c r="M17" s="538"/>
      <c r="N17" s="538"/>
      <c r="O17" s="538"/>
      <c r="P17" s="851"/>
      <c r="Q17" s="538"/>
      <c r="R17" s="537"/>
      <c r="S17" s="537"/>
      <c r="T17" s="537"/>
      <c r="U17" s="537"/>
      <c r="V17" s="537"/>
    </row>
    <row r="18" spans="1:22">
      <c r="A18" s="538">
        <v>1</v>
      </c>
      <c r="B18" s="537"/>
      <c r="C18" s="538">
        <v>426100</v>
      </c>
      <c r="D18" s="537"/>
      <c r="E18" s="539" t="s">
        <v>2564</v>
      </c>
      <c r="F18" s="537"/>
      <c r="G18" s="853">
        <v>2950</v>
      </c>
      <c r="H18" s="854"/>
      <c r="I18" s="527">
        <f t="shared" ref="I18:I34" si="0">VLOOKUP($E$39,ALLOCTABLE,2)</f>
        <v>100</v>
      </c>
      <c r="J18" s="529"/>
      <c r="K18" s="30">
        <f t="shared" ref="K18:K34" si="1">ROUND(G18*(I18/100),2)</f>
        <v>2950</v>
      </c>
      <c r="L18" s="854"/>
      <c r="M18" s="853">
        <v>0</v>
      </c>
      <c r="N18" s="854"/>
      <c r="O18" s="527">
        <f t="shared" ref="O18:O34" si="2">VLOOKUP($E$39,ALLOCTABLE,2)</f>
        <v>100</v>
      </c>
      <c r="P18" s="529"/>
      <c r="Q18" s="30">
        <f t="shared" ref="Q18:Q32" si="3">ROUND(M18*(O18/100),2)</f>
        <v>0</v>
      </c>
      <c r="R18" s="537"/>
      <c r="S18" s="537"/>
      <c r="T18" s="537"/>
      <c r="U18" s="537"/>
      <c r="V18" s="537"/>
    </row>
    <row r="19" spans="1:22">
      <c r="A19" s="538">
        <f>A18+1</f>
        <v>2</v>
      </c>
      <c r="B19" s="537"/>
      <c r="C19" s="538">
        <v>426100</v>
      </c>
      <c r="D19" s="538"/>
      <c r="E19" s="539" t="s">
        <v>2565</v>
      </c>
      <c r="F19" s="537"/>
      <c r="G19" s="853">
        <v>2950</v>
      </c>
      <c r="H19" s="854"/>
      <c r="I19" s="527">
        <f t="shared" si="0"/>
        <v>100</v>
      </c>
      <c r="J19" s="529"/>
      <c r="K19" s="30">
        <f t="shared" si="1"/>
        <v>2950</v>
      </c>
      <c r="L19" s="854"/>
      <c r="M19" s="853">
        <v>0</v>
      </c>
      <c r="N19" s="854"/>
      <c r="O19" s="527">
        <f t="shared" si="2"/>
        <v>100</v>
      </c>
      <c r="P19" s="529"/>
      <c r="Q19" s="30">
        <f t="shared" si="3"/>
        <v>0</v>
      </c>
      <c r="R19" s="537"/>
      <c r="S19" s="537"/>
      <c r="T19" s="537"/>
      <c r="U19" s="537"/>
      <c r="V19" s="537"/>
    </row>
    <row r="20" spans="1:22">
      <c r="A20" s="538">
        <f t="shared" ref="A20:A36" si="4">A19+1</f>
        <v>3</v>
      </c>
      <c r="B20" s="537"/>
      <c r="C20" s="538">
        <v>426100</v>
      </c>
      <c r="D20" s="538"/>
      <c r="E20" s="539" t="s">
        <v>2566</v>
      </c>
      <c r="F20" s="537"/>
      <c r="G20" s="853">
        <v>23739</v>
      </c>
      <c r="H20" s="854"/>
      <c r="I20" s="527">
        <f t="shared" si="0"/>
        <v>100</v>
      </c>
      <c r="J20" s="529"/>
      <c r="K20" s="30">
        <f t="shared" si="1"/>
        <v>23739</v>
      </c>
      <c r="L20" s="854"/>
      <c r="M20" s="853">
        <v>0</v>
      </c>
      <c r="N20" s="854"/>
      <c r="O20" s="527">
        <f t="shared" si="2"/>
        <v>100</v>
      </c>
      <c r="P20" s="529"/>
      <c r="Q20" s="30">
        <f t="shared" si="3"/>
        <v>0</v>
      </c>
      <c r="R20" s="537"/>
      <c r="S20" s="537"/>
      <c r="T20" s="537"/>
      <c r="U20" s="537"/>
      <c r="V20" s="537"/>
    </row>
    <row r="21" spans="1:22">
      <c r="A21" s="538">
        <f t="shared" si="4"/>
        <v>4</v>
      </c>
      <c r="B21" s="537"/>
      <c r="C21" s="538">
        <v>426100</v>
      </c>
      <c r="D21" s="538"/>
      <c r="E21" s="539" t="s">
        <v>2567</v>
      </c>
      <c r="F21" s="537"/>
      <c r="G21" s="853">
        <v>1475</v>
      </c>
      <c r="H21" s="854"/>
      <c r="I21" s="527">
        <f t="shared" si="0"/>
        <v>100</v>
      </c>
      <c r="J21" s="529"/>
      <c r="K21" s="30">
        <f t="shared" si="1"/>
        <v>1475</v>
      </c>
      <c r="L21" s="854"/>
      <c r="M21" s="853">
        <v>0</v>
      </c>
      <c r="N21" s="854"/>
      <c r="O21" s="527">
        <f t="shared" si="2"/>
        <v>100</v>
      </c>
      <c r="P21" s="529"/>
      <c r="Q21" s="30">
        <f t="shared" si="3"/>
        <v>0</v>
      </c>
      <c r="R21" s="537"/>
      <c r="S21" s="537"/>
      <c r="T21" s="537"/>
      <c r="U21" s="537"/>
      <c r="V21" s="537"/>
    </row>
    <row r="22" spans="1:22">
      <c r="A22" s="538">
        <f t="shared" si="4"/>
        <v>5</v>
      </c>
      <c r="B22" s="537"/>
      <c r="C22" s="538">
        <v>426100</v>
      </c>
      <c r="D22" s="538"/>
      <c r="E22" s="539" t="s">
        <v>2568</v>
      </c>
      <c r="F22" s="537"/>
      <c r="G22" s="853">
        <v>4821</v>
      </c>
      <c r="H22" s="854"/>
      <c r="I22" s="527">
        <f t="shared" si="0"/>
        <v>100</v>
      </c>
      <c r="J22" s="529"/>
      <c r="K22" s="30">
        <f t="shared" si="1"/>
        <v>4821</v>
      </c>
      <c r="L22" s="854"/>
      <c r="M22" s="853">
        <v>0</v>
      </c>
      <c r="N22" s="854"/>
      <c r="O22" s="527">
        <f t="shared" si="2"/>
        <v>100</v>
      </c>
      <c r="P22" s="529"/>
      <c r="Q22" s="30">
        <f t="shared" si="3"/>
        <v>0</v>
      </c>
      <c r="R22" s="537"/>
      <c r="S22" s="537"/>
      <c r="T22" s="537"/>
      <c r="U22" s="537"/>
      <c r="V22" s="537"/>
    </row>
    <row r="23" spans="1:22">
      <c r="A23" s="538">
        <f t="shared" si="4"/>
        <v>6</v>
      </c>
      <c r="B23" s="537"/>
      <c r="C23" s="538">
        <v>426100</v>
      </c>
      <c r="D23" s="538"/>
      <c r="E23" s="539" t="s">
        <v>2569</v>
      </c>
      <c r="F23" s="537"/>
      <c r="G23" s="853">
        <v>1099</v>
      </c>
      <c r="H23" s="854"/>
      <c r="I23" s="527">
        <f t="shared" si="0"/>
        <v>100</v>
      </c>
      <c r="J23" s="529"/>
      <c r="K23" s="30">
        <f t="shared" si="1"/>
        <v>1099</v>
      </c>
      <c r="L23" s="854"/>
      <c r="M23" s="853">
        <v>0</v>
      </c>
      <c r="N23" s="854"/>
      <c r="O23" s="527">
        <f t="shared" si="2"/>
        <v>100</v>
      </c>
      <c r="P23" s="529"/>
      <c r="Q23" s="30">
        <f t="shared" si="3"/>
        <v>0</v>
      </c>
      <c r="R23" s="537"/>
      <c r="S23" s="537"/>
      <c r="T23" s="537"/>
      <c r="U23" s="537"/>
      <c r="V23" s="537"/>
    </row>
    <row r="24" spans="1:22">
      <c r="A24" s="538">
        <f t="shared" si="4"/>
        <v>7</v>
      </c>
      <c r="B24" s="537"/>
      <c r="C24" s="538">
        <v>426100</v>
      </c>
      <c r="D24" s="538"/>
      <c r="E24" s="539" t="s">
        <v>2570</v>
      </c>
      <c r="F24" s="537"/>
      <c r="G24" s="853">
        <v>1475</v>
      </c>
      <c r="H24" s="854"/>
      <c r="I24" s="527">
        <f t="shared" si="0"/>
        <v>100</v>
      </c>
      <c r="J24" s="529"/>
      <c r="K24" s="30">
        <f t="shared" si="1"/>
        <v>1475</v>
      </c>
      <c r="L24" s="854"/>
      <c r="M24" s="853">
        <v>0</v>
      </c>
      <c r="N24" s="854"/>
      <c r="O24" s="527">
        <f t="shared" si="2"/>
        <v>100</v>
      </c>
      <c r="P24" s="529"/>
      <c r="Q24" s="30">
        <f t="shared" si="3"/>
        <v>0</v>
      </c>
      <c r="R24" s="537"/>
      <c r="S24" s="537"/>
      <c r="T24" s="537"/>
      <c r="U24" s="537"/>
      <c r="V24" s="537"/>
    </row>
    <row r="25" spans="1:22">
      <c r="A25" s="538">
        <f t="shared" si="4"/>
        <v>8</v>
      </c>
      <c r="B25" s="537"/>
      <c r="C25" s="538">
        <v>426100</v>
      </c>
      <c r="D25" s="538"/>
      <c r="E25" s="539" t="s">
        <v>2571</v>
      </c>
      <c r="F25" s="537"/>
      <c r="G25" s="853">
        <v>1475</v>
      </c>
      <c r="H25" s="854"/>
      <c r="I25" s="527">
        <f t="shared" si="0"/>
        <v>100</v>
      </c>
      <c r="J25" s="529"/>
      <c r="K25" s="30">
        <f t="shared" si="1"/>
        <v>1475</v>
      </c>
      <c r="L25" s="854"/>
      <c r="M25" s="853">
        <v>0</v>
      </c>
      <c r="N25" s="854"/>
      <c r="O25" s="527">
        <f t="shared" si="2"/>
        <v>100</v>
      </c>
      <c r="P25" s="529"/>
      <c r="Q25" s="30">
        <f t="shared" si="3"/>
        <v>0</v>
      </c>
      <c r="R25" s="537"/>
      <c r="S25" s="537"/>
      <c r="T25" s="537"/>
      <c r="U25" s="537"/>
      <c r="V25" s="537"/>
    </row>
    <row r="26" spans="1:22">
      <c r="A26" s="538">
        <f t="shared" si="4"/>
        <v>9</v>
      </c>
      <c r="B26" s="537"/>
      <c r="C26" s="538">
        <v>426100</v>
      </c>
      <c r="D26" s="538"/>
      <c r="E26" s="539" t="s">
        <v>2572</v>
      </c>
      <c r="F26" s="537"/>
      <c r="G26" s="853">
        <v>5000</v>
      </c>
      <c r="H26" s="854"/>
      <c r="I26" s="527">
        <f t="shared" si="0"/>
        <v>100</v>
      </c>
      <c r="J26" s="529"/>
      <c r="K26" s="30">
        <f t="shared" si="1"/>
        <v>5000</v>
      </c>
      <c r="L26" s="854"/>
      <c r="M26" s="853">
        <v>0</v>
      </c>
      <c r="N26" s="854"/>
      <c r="O26" s="527">
        <f t="shared" si="2"/>
        <v>100</v>
      </c>
      <c r="P26" s="529"/>
      <c r="Q26" s="30">
        <f t="shared" si="3"/>
        <v>0</v>
      </c>
      <c r="R26" s="537"/>
      <c r="S26" s="537"/>
      <c r="T26" s="537"/>
      <c r="U26" s="537"/>
      <c r="V26" s="537"/>
    </row>
    <row r="27" spans="1:22">
      <c r="A27" s="538">
        <f t="shared" si="4"/>
        <v>10</v>
      </c>
      <c r="B27" s="537"/>
      <c r="C27" s="538">
        <v>426100</v>
      </c>
      <c r="D27" s="538"/>
      <c r="E27" s="539" t="s">
        <v>2573</v>
      </c>
      <c r="F27" s="537"/>
      <c r="G27" s="853">
        <v>1291</v>
      </c>
      <c r="H27" s="854"/>
      <c r="I27" s="527">
        <f t="shared" si="0"/>
        <v>100</v>
      </c>
      <c r="J27" s="529"/>
      <c r="K27" s="30">
        <f t="shared" si="1"/>
        <v>1291</v>
      </c>
      <c r="L27" s="854"/>
      <c r="M27" s="853">
        <v>0</v>
      </c>
      <c r="N27" s="854"/>
      <c r="O27" s="527">
        <f t="shared" si="2"/>
        <v>100</v>
      </c>
      <c r="P27" s="529"/>
      <c r="Q27" s="30">
        <f t="shared" si="3"/>
        <v>0</v>
      </c>
      <c r="R27" s="537"/>
      <c r="S27" s="537"/>
      <c r="T27" s="537"/>
      <c r="U27" s="537"/>
      <c r="V27" s="537"/>
    </row>
    <row r="28" spans="1:22">
      <c r="A28" s="538">
        <f t="shared" si="4"/>
        <v>11</v>
      </c>
      <c r="B28" s="537"/>
      <c r="C28" s="538">
        <v>426100</v>
      </c>
      <c r="D28" s="538"/>
      <c r="E28" s="539" t="s">
        <v>2574</v>
      </c>
      <c r="F28" s="537"/>
      <c r="G28" s="853">
        <v>2065</v>
      </c>
      <c r="H28" s="854"/>
      <c r="I28" s="527">
        <f t="shared" si="0"/>
        <v>100</v>
      </c>
      <c r="J28" s="529"/>
      <c r="K28" s="30">
        <f t="shared" si="1"/>
        <v>2065</v>
      </c>
      <c r="L28" s="854"/>
      <c r="M28" s="853">
        <v>0</v>
      </c>
      <c r="N28" s="854"/>
      <c r="O28" s="527">
        <f t="shared" si="2"/>
        <v>100</v>
      </c>
      <c r="P28" s="529"/>
      <c r="Q28" s="30">
        <f t="shared" si="3"/>
        <v>0</v>
      </c>
      <c r="R28" s="537"/>
      <c r="S28" s="537"/>
      <c r="T28" s="537"/>
      <c r="U28" s="537"/>
      <c r="V28" s="537"/>
    </row>
    <row r="29" spans="1:22">
      <c r="A29" s="538">
        <f t="shared" si="4"/>
        <v>12</v>
      </c>
      <c r="B29" s="537"/>
      <c r="C29" s="538">
        <v>426100</v>
      </c>
      <c r="D29" s="538"/>
      <c r="E29" s="539" t="s">
        <v>2575</v>
      </c>
      <c r="F29" s="537"/>
      <c r="G29" s="853">
        <v>1475</v>
      </c>
      <c r="H29" s="854"/>
      <c r="I29" s="527">
        <f t="shared" si="0"/>
        <v>100</v>
      </c>
      <c r="J29" s="529"/>
      <c r="K29" s="30">
        <f t="shared" si="1"/>
        <v>1475</v>
      </c>
      <c r="L29" s="854"/>
      <c r="M29" s="853">
        <v>0</v>
      </c>
      <c r="N29" s="854"/>
      <c r="O29" s="527">
        <f t="shared" si="2"/>
        <v>100</v>
      </c>
      <c r="P29" s="529"/>
      <c r="Q29" s="30">
        <f t="shared" ref="Q29" si="5">ROUND(M29*(O29/100),2)</f>
        <v>0</v>
      </c>
      <c r="R29" s="537"/>
      <c r="S29" s="537"/>
      <c r="T29" s="537"/>
      <c r="U29" s="537"/>
      <c r="V29" s="537"/>
    </row>
    <row r="30" spans="1:22">
      <c r="A30" s="538">
        <f t="shared" si="4"/>
        <v>13</v>
      </c>
      <c r="B30" s="537"/>
      <c r="C30" s="538">
        <v>426100</v>
      </c>
      <c r="D30" s="538"/>
      <c r="E30" s="539" t="s">
        <v>2576</v>
      </c>
      <c r="F30" s="537"/>
      <c r="G30" s="853">
        <v>2950</v>
      </c>
      <c r="H30" s="854"/>
      <c r="I30" s="527">
        <f t="shared" si="0"/>
        <v>100</v>
      </c>
      <c r="J30" s="529"/>
      <c r="K30" s="30">
        <f>ROUND(G30*(I30/100),2)</f>
        <v>2950</v>
      </c>
      <c r="L30" s="854"/>
      <c r="M30" s="853">
        <v>0</v>
      </c>
      <c r="N30" s="854"/>
      <c r="O30" s="527">
        <f t="shared" si="2"/>
        <v>100</v>
      </c>
      <c r="P30" s="529"/>
      <c r="Q30" s="30">
        <f>ROUND(M30*(O30/100),2)</f>
        <v>0</v>
      </c>
      <c r="R30" s="537"/>
      <c r="S30" s="537"/>
      <c r="T30" s="537"/>
      <c r="U30" s="537"/>
      <c r="V30" s="537"/>
    </row>
    <row r="31" spans="1:22">
      <c r="A31" s="538">
        <f t="shared" si="4"/>
        <v>14</v>
      </c>
      <c r="B31" s="537"/>
      <c r="C31" s="538">
        <v>426100</v>
      </c>
      <c r="D31" s="538"/>
      <c r="E31" s="539" t="s">
        <v>1510</v>
      </c>
      <c r="F31" s="537"/>
      <c r="G31" s="853">
        <v>57961</v>
      </c>
      <c r="H31" s="854"/>
      <c r="I31" s="527">
        <f t="shared" si="0"/>
        <v>100</v>
      </c>
      <c r="J31" s="529"/>
      <c r="K31" s="30">
        <f>ROUND(G31*(I31/100),2)</f>
        <v>57961</v>
      </c>
      <c r="L31" s="854"/>
      <c r="M31" s="853">
        <v>0</v>
      </c>
      <c r="N31" s="854"/>
      <c r="O31" s="527">
        <f t="shared" si="2"/>
        <v>100</v>
      </c>
      <c r="P31" s="529"/>
      <c r="Q31" s="30">
        <f t="shared" ref="Q31" si="6">ROUND(M31*(O31/100),2)</f>
        <v>0</v>
      </c>
      <c r="R31" s="537"/>
      <c r="S31" s="537"/>
      <c r="T31" s="537"/>
      <c r="U31" s="537"/>
      <c r="V31" s="537"/>
    </row>
    <row r="32" spans="1:22">
      <c r="A32" s="538">
        <f t="shared" si="4"/>
        <v>15</v>
      </c>
      <c r="B32" s="537"/>
      <c r="C32" s="538">
        <v>426100</v>
      </c>
      <c r="D32" s="538"/>
      <c r="E32" s="539" t="s">
        <v>2552</v>
      </c>
      <c r="F32" s="537"/>
      <c r="G32" s="853">
        <v>144785</v>
      </c>
      <c r="H32" s="854"/>
      <c r="I32" s="527">
        <f t="shared" si="0"/>
        <v>100</v>
      </c>
      <c r="J32" s="529"/>
      <c r="K32" s="30">
        <f t="shared" si="1"/>
        <v>144785</v>
      </c>
      <c r="L32" s="854"/>
      <c r="M32" s="853">
        <v>250027</v>
      </c>
      <c r="N32" s="854"/>
      <c r="O32" s="527">
        <f t="shared" si="2"/>
        <v>100</v>
      </c>
      <c r="P32" s="529"/>
      <c r="Q32" s="30">
        <f t="shared" si="3"/>
        <v>250027</v>
      </c>
      <c r="R32" s="537"/>
      <c r="S32" s="537"/>
      <c r="T32" s="537"/>
      <c r="U32" s="537"/>
      <c r="V32" s="537"/>
    </row>
    <row r="33" spans="1:22">
      <c r="A33" s="538">
        <f t="shared" si="4"/>
        <v>16</v>
      </c>
      <c r="B33" s="537"/>
      <c r="C33" s="538">
        <v>426512</v>
      </c>
      <c r="D33" s="538"/>
      <c r="E33" s="539" t="s">
        <v>2577</v>
      </c>
      <c r="F33" s="537"/>
      <c r="G33" s="853">
        <v>6816</v>
      </c>
      <c r="H33" s="854"/>
      <c r="I33" s="527">
        <f t="shared" si="0"/>
        <v>100</v>
      </c>
      <c r="J33" s="529"/>
      <c r="K33" s="30">
        <f t="shared" si="1"/>
        <v>6816</v>
      </c>
      <c r="L33" s="854"/>
      <c r="M33" s="853">
        <v>0</v>
      </c>
      <c r="N33" s="854"/>
      <c r="O33" s="527">
        <f t="shared" si="2"/>
        <v>100</v>
      </c>
      <c r="P33" s="529"/>
      <c r="Q33" s="30">
        <f t="shared" ref="Q33" si="7">ROUND(M33*(O33/100),2)</f>
        <v>0</v>
      </c>
      <c r="R33" s="537"/>
      <c r="S33" s="537"/>
      <c r="T33" s="537"/>
      <c r="U33" s="537"/>
      <c r="V33" s="537"/>
    </row>
    <row r="34" spans="1:22">
      <c r="A34" s="538">
        <f t="shared" si="4"/>
        <v>17</v>
      </c>
      <c r="B34" s="537"/>
      <c r="C34" s="538">
        <v>426512</v>
      </c>
      <c r="D34" s="538"/>
      <c r="E34" s="539" t="s">
        <v>1510</v>
      </c>
      <c r="F34" s="537"/>
      <c r="G34" s="1561">
        <v>4166</v>
      </c>
      <c r="H34" s="854"/>
      <c r="I34" s="527">
        <f t="shared" si="0"/>
        <v>100</v>
      </c>
      <c r="J34" s="529"/>
      <c r="K34" s="1485">
        <f t="shared" si="1"/>
        <v>4166</v>
      </c>
      <c r="L34" s="854"/>
      <c r="M34" s="1561">
        <v>0</v>
      </c>
      <c r="N34" s="854"/>
      <c r="O34" s="527">
        <f t="shared" si="2"/>
        <v>100</v>
      </c>
      <c r="P34" s="529"/>
      <c r="Q34" s="1485">
        <f t="shared" ref="Q34" si="8">ROUND(M34*(O34/100),2)</f>
        <v>0</v>
      </c>
      <c r="R34" s="537"/>
      <c r="S34" s="537"/>
      <c r="T34" s="537"/>
      <c r="U34" s="537"/>
      <c r="V34" s="537"/>
    </row>
    <row r="35" spans="1:22">
      <c r="A35" s="538">
        <f t="shared" si="4"/>
        <v>18</v>
      </c>
      <c r="B35" s="537"/>
      <c r="C35" s="538"/>
      <c r="D35" s="537"/>
      <c r="E35" s="539"/>
      <c r="F35" s="537"/>
      <c r="G35" s="540"/>
      <c r="H35" s="537"/>
      <c r="I35" s="527"/>
      <c r="J35" s="529"/>
      <c r="K35" s="533"/>
      <c r="L35" s="537"/>
      <c r="M35" s="537"/>
      <c r="N35" s="537"/>
      <c r="O35" s="527"/>
      <c r="P35" s="529"/>
      <c r="Q35" s="30"/>
      <c r="R35" s="537"/>
      <c r="S35" s="537"/>
      <c r="T35" s="537"/>
      <c r="U35" s="537"/>
      <c r="V35" s="537"/>
    </row>
    <row r="36" spans="1:22" ht="13.8" thickBot="1">
      <c r="A36" s="538">
        <f t="shared" si="4"/>
        <v>19</v>
      </c>
      <c r="B36" s="537"/>
      <c r="C36" s="537"/>
      <c r="D36" s="537"/>
      <c r="E36" s="537" t="s">
        <v>2578</v>
      </c>
      <c r="F36" s="537"/>
      <c r="G36" s="1968">
        <f>SUM(G18:G34)</f>
        <v>266493</v>
      </c>
      <c r="H36" s="854"/>
      <c r="I36" s="854"/>
      <c r="J36" s="854"/>
      <c r="K36" s="1968">
        <f>SUM(K18:K34)</f>
        <v>266493</v>
      </c>
      <c r="L36" s="537"/>
      <c r="M36" s="1968">
        <f>SUM(M18:M34)</f>
        <v>250027</v>
      </c>
      <c r="N36" s="537"/>
      <c r="O36" s="856"/>
      <c r="P36" s="537"/>
      <c r="Q36" s="1968">
        <f>SUM(Q18:Q34)</f>
        <v>250027</v>
      </c>
      <c r="R36" s="537"/>
      <c r="S36" s="537"/>
      <c r="T36" s="537"/>
      <c r="U36" s="537"/>
      <c r="V36" s="537"/>
    </row>
    <row r="37" spans="1:22" ht="13.8" thickTop="1">
      <c r="A37" s="537"/>
      <c r="B37" s="537"/>
      <c r="C37" s="537"/>
      <c r="D37" s="537"/>
      <c r="E37" s="537"/>
      <c r="F37" s="537"/>
      <c r="G37" s="537"/>
      <c r="H37" s="537"/>
      <c r="I37" s="537"/>
      <c r="J37" s="537"/>
      <c r="K37" s="537"/>
      <c r="L37" s="537"/>
      <c r="M37" s="537"/>
      <c r="N37" s="537"/>
      <c r="O37" s="537"/>
      <c r="P37" s="537"/>
      <c r="Q37" s="537"/>
      <c r="R37" s="537"/>
      <c r="S37" s="537"/>
      <c r="T37" s="537"/>
      <c r="U37" s="537"/>
      <c r="V37" s="537"/>
    </row>
    <row r="38" spans="1:22">
      <c r="A38" s="537"/>
      <c r="B38" s="537"/>
      <c r="C38" s="537"/>
      <c r="D38" s="537"/>
      <c r="E38" s="537"/>
      <c r="F38" s="537"/>
      <c r="G38" s="856"/>
      <c r="H38" s="537"/>
      <c r="I38" s="537"/>
      <c r="J38" s="537"/>
      <c r="K38" s="537"/>
      <c r="L38" s="537"/>
      <c r="M38" s="537"/>
      <c r="N38" s="537"/>
      <c r="O38" s="537"/>
      <c r="P38" s="537"/>
      <c r="Q38" s="537"/>
      <c r="R38" s="537"/>
      <c r="S38" s="537"/>
      <c r="T38" s="537"/>
      <c r="U38" s="537"/>
      <c r="V38" s="537"/>
    </row>
    <row r="39" spans="1:22">
      <c r="A39" s="537"/>
      <c r="B39" s="529" t="s">
        <v>2557</v>
      </c>
      <c r="C39" s="537"/>
      <c r="D39" s="529"/>
      <c r="E39" s="857" t="s">
        <v>428</v>
      </c>
      <c r="F39" s="537"/>
      <c r="G39" s="537"/>
      <c r="H39" s="537"/>
      <c r="I39" s="537"/>
      <c r="J39" s="537"/>
      <c r="K39" s="537"/>
      <c r="L39" s="537"/>
      <c r="M39" s="537"/>
      <c r="N39" s="537"/>
      <c r="O39" s="537"/>
      <c r="P39" s="537"/>
      <c r="Q39" s="537"/>
      <c r="R39" s="537"/>
      <c r="S39" s="537"/>
      <c r="T39" s="537"/>
      <c r="U39" s="537"/>
      <c r="V39" s="537"/>
    </row>
    <row r="40" spans="1:22">
      <c r="A40" s="537"/>
      <c r="B40" s="845"/>
      <c r="C40" s="537"/>
      <c r="D40" s="537"/>
      <c r="E40" s="537"/>
      <c r="F40" s="537"/>
      <c r="G40" s="537"/>
      <c r="H40" s="537"/>
      <c r="I40" s="537"/>
      <c r="J40" s="537"/>
      <c r="K40" s="537"/>
      <c r="L40" s="537"/>
      <c r="M40" s="537"/>
      <c r="N40" s="537"/>
      <c r="O40" s="537"/>
      <c r="P40" s="537"/>
      <c r="Q40" s="537"/>
      <c r="R40" s="537"/>
      <c r="S40" s="537"/>
      <c r="T40" s="537"/>
      <c r="U40" s="537"/>
      <c r="V40" s="537"/>
    </row>
    <row r="41" spans="1:22">
      <c r="A41" s="537"/>
      <c r="B41" s="845"/>
      <c r="C41" s="537"/>
      <c r="D41" s="537"/>
      <c r="E41" s="537"/>
      <c r="F41" s="537"/>
      <c r="G41" s="537"/>
      <c r="H41" s="537"/>
      <c r="I41" s="537"/>
      <c r="J41" s="537"/>
      <c r="K41" s="537"/>
      <c r="L41" s="537"/>
      <c r="M41" s="537"/>
      <c r="N41" s="537"/>
      <c r="O41" s="537"/>
      <c r="P41" s="537"/>
      <c r="Q41" s="537"/>
      <c r="R41" s="537"/>
      <c r="S41" s="537"/>
      <c r="T41" s="537"/>
      <c r="U41" s="537"/>
      <c r="V41" s="537"/>
    </row>
    <row r="42" spans="1:22">
      <c r="A42" s="537"/>
      <c r="B42" s="537"/>
      <c r="C42" s="537"/>
      <c r="D42" s="537"/>
      <c r="E42" s="537"/>
      <c r="F42" s="537"/>
      <c r="G42" s="537"/>
      <c r="H42" s="537"/>
      <c r="I42" s="537"/>
      <c r="J42" s="537"/>
      <c r="K42" s="537"/>
      <c r="L42" s="537"/>
      <c r="M42" s="537"/>
      <c r="N42" s="537"/>
      <c r="O42" s="537"/>
      <c r="P42" s="537"/>
      <c r="Q42" s="537"/>
      <c r="R42" s="537"/>
      <c r="S42" s="537"/>
      <c r="T42" s="537"/>
      <c r="U42" s="537"/>
      <c r="V42" s="537"/>
    </row>
    <row r="43" spans="1:22">
      <c r="A43" s="537"/>
      <c r="B43" s="537"/>
      <c r="C43" s="537"/>
      <c r="D43" s="537"/>
      <c r="E43" s="537"/>
      <c r="F43" s="537"/>
      <c r="G43" s="537"/>
      <c r="H43" s="537"/>
      <c r="I43" s="537"/>
      <c r="J43" s="537"/>
      <c r="K43" s="537"/>
      <c r="L43" s="537"/>
      <c r="M43" s="537"/>
      <c r="N43" s="537"/>
      <c r="O43" s="537"/>
      <c r="P43" s="537"/>
      <c r="Q43" s="537"/>
      <c r="R43" s="537"/>
      <c r="S43" s="537"/>
      <c r="T43" s="537"/>
      <c r="U43" s="537"/>
      <c r="V43" s="537"/>
    </row>
    <row r="44" spans="1:22">
      <c r="A44" s="537"/>
      <c r="B44" s="537"/>
      <c r="C44" s="537"/>
      <c r="D44" s="537"/>
      <c r="E44" s="537"/>
      <c r="F44" s="537"/>
      <c r="G44" s="537"/>
      <c r="H44" s="537"/>
      <c r="I44" s="537"/>
      <c r="J44" s="537"/>
      <c r="K44" s="537"/>
      <c r="L44" s="537"/>
      <c r="M44" s="537"/>
      <c r="N44" s="537"/>
      <c r="O44" s="537"/>
      <c r="P44" s="537"/>
      <c r="Q44" s="537"/>
      <c r="R44" s="537"/>
      <c r="S44" s="537"/>
      <c r="T44" s="537"/>
      <c r="U44" s="537"/>
      <c r="V44" s="537"/>
    </row>
    <row r="45" spans="1:22">
      <c r="A45" s="537"/>
      <c r="B45" s="537"/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</row>
    <row r="46" spans="1:22">
      <c r="A46" s="537"/>
      <c r="B46" s="537"/>
      <c r="C46" s="537"/>
      <c r="D46" s="537"/>
      <c r="E46" s="537"/>
      <c r="F46" s="537"/>
      <c r="G46" s="537"/>
      <c r="H46" s="537"/>
      <c r="I46" s="537"/>
      <c r="J46" s="537"/>
      <c r="K46" s="537"/>
      <c r="L46" s="537"/>
      <c r="M46" s="537"/>
      <c r="N46" s="537"/>
      <c r="O46" s="537"/>
      <c r="P46" s="537"/>
      <c r="Q46" s="537"/>
      <c r="R46" s="537"/>
      <c r="S46" s="537"/>
      <c r="T46" s="537"/>
      <c r="U46" s="537"/>
      <c r="V46" s="537"/>
    </row>
    <row r="47" spans="1:22">
      <c r="A47" s="537"/>
      <c r="B47" s="537"/>
      <c r="C47" s="537"/>
      <c r="D47" s="537"/>
      <c r="E47" s="537"/>
      <c r="F47" s="537"/>
      <c r="G47" s="537"/>
      <c r="H47" s="537"/>
      <c r="I47" s="537"/>
      <c r="J47" s="537"/>
      <c r="K47" s="537"/>
      <c r="L47" s="537"/>
      <c r="M47" s="537"/>
      <c r="N47" s="537"/>
      <c r="O47" s="537"/>
      <c r="P47" s="537"/>
      <c r="Q47" s="537"/>
      <c r="R47" s="537"/>
      <c r="S47" s="537"/>
      <c r="T47" s="537"/>
      <c r="U47" s="537"/>
      <c r="V47" s="537"/>
    </row>
    <row r="48" spans="1:22">
      <c r="A48" s="537"/>
      <c r="B48" s="537"/>
      <c r="C48" s="537"/>
      <c r="D48" s="537"/>
      <c r="E48" s="537"/>
      <c r="F48" s="537"/>
      <c r="G48" s="537"/>
      <c r="H48" s="537"/>
      <c r="I48" s="537"/>
      <c r="J48" s="537"/>
      <c r="K48" s="537"/>
      <c r="L48" s="537"/>
      <c r="M48" s="537"/>
      <c r="N48" s="537"/>
      <c r="O48" s="537"/>
      <c r="P48" s="537"/>
      <c r="Q48" s="537"/>
      <c r="R48" s="537"/>
      <c r="S48" s="537"/>
      <c r="T48" s="537"/>
      <c r="U48" s="537"/>
      <c r="V48" s="537"/>
    </row>
    <row r="49" spans="1:22">
      <c r="A49" s="537"/>
      <c r="B49" s="537"/>
      <c r="C49" s="537"/>
      <c r="D49" s="537"/>
      <c r="E49" s="537"/>
      <c r="F49" s="537"/>
      <c r="G49" s="537"/>
      <c r="H49" s="537"/>
      <c r="I49" s="537"/>
      <c r="J49" s="537"/>
      <c r="K49" s="537"/>
      <c r="L49" s="537"/>
      <c r="M49" s="537"/>
      <c r="N49" s="537"/>
      <c r="O49" s="537"/>
      <c r="P49" s="537"/>
      <c r="Q49" s="537"/>
      <c r="R49" s="537"/>
      <c r="S49" s="537"/>
      <c r="T49" s="537"/>
      <c r="U49" s="537"/>
      <c r="V49" s="537"/>
    </row>
    <row r="50" spans="1:22">
      <c r="A50" s="537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</row>
    <row r="51" spans="1:22">
      <c r="A51" s="537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</row>
    <row r="52" spans="1:22">
      <c r="A52" s="537"/>
      <c r="B52" s="537"/>
      <c r="C52" s="537"/>
      <c r="D52" s="537"/>
      <c r="E52" s="537"/>
      <c r="F52" s="537"/>
      <c r="G52" s="537"/>
      <c r="H52" s="537"/>
      <c r="I52" s="537"/>
      <c r="J52" s="537"/>
      <c r="K52" s="537"/>
      <c r="L52" s="537"/>
      <c r="M52" s="537"/>
      <c r="N52" s="537"/>
      <c r="O52" s="537"/>
      <c r="P52" s="537"/>
      <c r="Q52" s="537"/>
      <c r="R52" s="537"/>
      <c r="S52" s="537"/>
      <c r="T52" s="537"/>
      <c r="U52" s="537"/>
      <c r="V52" s="537"/>
    </row>
    <row r="53" spans="1:22">
      <c r="A53" s="537"/>
      <c r="B53" s="537"/>
      <c r="C53" s="537"/>
      <c r="D53" s="537"/>
      <c r="E53" s="537"/>
      <c r="F53" s="537"/>
      <c r="G53" s="537"/>
      <c r="H53" s="537"/>
      <c r="I53" s="537"/>
      <c r="J53" s="537"/>
      <c r="K53" s="537"/>
      <c r="L53" s="537"/>
      <c r="M53" s="537"/>
      <c r="N53" s="537"/>
      <c r="O53" s="537"/>
      <c r="P53" s="537"/>
      <c r="Q53" s="537"/>
      <c r="R53" s="537"/>
      <c r="S53" s="537"/>
      <c r="T53" s="537"/>
      <c r="U53" s="537"/>
      <c r="V53" s="537"/>
    </row>
    <row r="54" spans="1:22">
      <c r="A54" s="537"/>
      <c r="B54" s="537"/>
      <c r="C54" s="537"/>
      <c r="D54" s="537"/>
      <c r="E54" s="537"/>
      <c r="F54" s="537"/>
      <c r="G54" s="537"/>
      <c r="H54" s="537"/>
      <c r="I54" s="537"/>
      <c r="J54" s="537"/>
      <c r="K54" s="537"/>
      <c r="L54" s="537"/>
      <c r="M54" s="537"/>
      <c r="N54" s="537"/>
      <c r="O54" s="537"/>
      <c r="P54" s="537"/>
      <c r="Q54" s="537"/>
      <c r="R54" s="537"/>
      <c r="S54" s="537"/>
      <c r="T54" s="537"/>
      <c r="U54" s="537"/>
      <c r="V54" s="537"/>
    </row>
    <row r="55" spans="1:22">
      <c r="A55" s="537"/>
      <c r="B55" s="537"/>
      <c r="C55" s="537"/>
      <c r="D55" s="537"/>
      <c r="E55" s="537"/>
      <c r="F55" s="537"/>
      <c r="G55" s="537"/>
      <c r="H55" s="537"/>
      <c r="I55" s="537"/>
      <c r="J55" s="537"/>
      <c r="K55" s="537"/>
      <c r="L55" s="537"/>
      <c r="M55" s="537"/>
      <c r="N55" s="537"/>
      <c r="O55" s="537"/>
      <c r="P55" s="537"/>
      <c r="Q55" s="537"/>
      <c r="R55" s="537"/>
      <c r="S55" s="537"/>
      <c r="T55" s="537"/>
      <c r="U55" s="537"/>
      <c r="V55" s="537"/>
    </row>
    <row r="56" spans="1:22">
      <c r="A56" s="537"/>
      <c r="B56" s="537"/>
      <c r="C56" s="537"/>
      <c r="D56" s="537"/>
      <c r="E56" s="537"/>
      <c r="F56" s="537"/>
      <c r="G56" s="537"/>
      <c r="H56" s="537"/>
      <c r="I56" s="537"/>
      <c r="J56" s="537"/>
      <c r="K56" s="537"/>
      <c r="L56" s="537"/>
      <c r="M56" s="537"/>
      <c r="N56" s="537"/>
      <c r="O56" s="537"/>
      <c r="P56" s="537"/>
      <c r="Q56" s="537"/>
      <c r="R56" s="537"/>
      <c r="S56" s="537"/>
      <c r="T56" s="537"/>
      <c r="U56" s="537"/>
      <c r="V56" s="537"/>
    </row>
  </sheetData>
  <mergeCells count="2">
    <mergeCell ref="O13:Q13"/>
    <mergeCell ref="I13:K13"/>
  </mergeCells>
  <phoneticPr fontId="19" type="noConversion"/>
  <pageMargins left="1" right="0.75" top="0.98425196850393704" bottom="0" header="0" footer="0"/>
  <pageSetup scale="73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51">
    <tabColor rgb="FFFFC000"/>
    <pageSetUpPr fitToPage="1"/>
  </sheetPr>
  <dimension ref="A1:V59"/>
  <sheetViews>
    <sheetView workbookViewId="0"/>
  </sheetViews>
  <sheetFormatPr defaultColWidth="8" defaultRowHeight="13.2"/>
  <cols>
    <col min="1" max="1" width="6" customWidth="1"/>
    <col min="2" max="2" width="2" customWidth="1"/>
    <col min="3" max="3" width="17.5546875" customWidth="1"/>
    <col min="4" max="4" width="2.5546875" customWidth="1"/>
    <col min="5" max="5" width="41.44140625" customWidth="1"/>
    <col min="6" max="6" width="1.5546875" customWidth="1"/>
    <col min="7" max="7" width="14.5546875" customWidth="1"/>
    <col min="8" max="8" width="1.44140625" customWidth="1"/>
    <col min="9" max="9" width="14.44140625" customWidth="1"/>
    <col min="10" max="10" width="1.44140625" customWidth="1"/>
    <col min="11" max="11" width="14.5546875" customWidth="1"/>
    <col min="12" max="12" width="3" customWidth="1"/>
    <col min="13" max="13" width="16.44140625" customWidth="1"/>
    <col min="14" max="14" width="1.44140625" customWidth="1"/>
    <col min="15" max="15" width="14.5546875" customWidth="1"/>
    <col min="16" max="16" width="1.5546875" customWidth="1"/>
    <col min="17" max="17" width="18.5546875" customWidth="1"/>
  </cols>
  <sheetData>
    <row r="1" spans="1:22">
      <c r="A1" s="907" t="str">
        <f>COMPANY</f>
        <v>DUKE ENERGY KENTUCKY, INC.</v>
      </c>
      <c r="B1" s="907"/>
      <c r="C1" s="907"/>
      <c r="D1" s="907"/>
      <c r="E1" s="907"/>
      <c r="F1" s="907"/>
      <c r="G1" s="907"/>
      <c r="H1" s="907"/>
      <c r="I1" s="907"/>
      <c r="J1" s="907"/>
      <c r="K1" s="907"/>
      <c r="L1" s="907"/>
      <c r="M1" s="907"/>
      <c r="N1" s="907"/>
      <c r="O1" s="907"/>
      <c r="P1" s="907"/>
      <c r="Q1" s="907"/>
      <c r="R1" s="530"/>
      <c r="S1" s="530"/>
      <c r="T1" s="530"/>
      <c r="U1" s="530"/>
      <c r="V1" s="530"/>
    </row>
    <row r="2" spans="1:22">
      <c r="A2" s="907" t="str">
        <f>CASE</f>
        <v>CASE NO. 2024-00354</v>
      </c>
      <c r="B2" s="907"/>
      <c r="C2" s="907"/>
      <c r="D2" s="907"/>
      <c r="E2" s="907"/>
      <c r="F2" s="907"/>
      <c r="G2" s="907"/>
      <c r="H2" s="907"/>
      <c r="I2" s="907"/>
      <c r="J2" s="907"/>
      <c r="K2" s="907"/>
      <c r="L2" s="907"/>
      <c r="M2" s="907"/>
      <c r="N2" s="907"/>
      <c r="O2" s="907"/>
      <c r="P2" s="907"/>
      <c r="Q2" s="907"/>
      <c r="R2" s="530"/>
      <c r="S2" s="530"/>
      <c r="T2" s="530"/>
      <c r="U2" s="530"/>
      <c r="V2" s="530"/>
    </row>
    <row r="3" spans="1:22">
      <c r="A3" s="918" t="s">
        <v>2579</v>
      </c>
      <c r="B3" s="907"/>
      <c r="C3" s="907"/>
      <c r="D3" s="907"/>
      <c r="E3" s="907"/>
      <c r="F3" s="907"/>
      <c r="G3" s="907"/>
      <c r="H3" s="907"/>
      <c r="I3" s="907"/>
      <c r="J3" s="907"/>
      <c r="K3" s="907"/>
      <c r="L3" s="907"/>
      <c r="M3" s="907"/>
      <c r="N3" s="918"/>
      <c r="O3" s="907"/>
      <c r="P3" s="907"/>
      <c r="Q3" s="907"/>
      <c r="R3" s="530"/>
      <c r="S3" s="530"/>
      <c r="T3" s="530"/>
      <c r="U3" s="530"/>
      <c r="V3" s="530"/>
    </row>
    <row r="4" spans="1:22">
      <c r="A4" s="918" t="str">
        <f>PERIOD</f>
        <v>FOR THE TWELVE MONTHS ENDED FEBRUARY 28, 2025</v>
      </c>
      <c r="B4" s="907"/>
      <c r="C4" s="907"/>
      <c r="D4" s="907"/>
      <c r="E4" s="907"/>
      <c r="F4" s="907"/>
      <c r="G4" s="907"/>
      <c r="H4" s="907"/>
      <c r="I4" s="907"/>
      <c r="J4" s="907"/>
      <c r="K4" s="907"/>
      <c r="L4" s="907"/>
      <c r="M4" s="907"/>
      <c r="N4" s="918"/>
      <c r="O4" s="907"/>
      <c r="P4" s="907"/>
      <c r="Q4" s="907"/>
      <c r="R4" s="530"/>
      <c r="S4" s="530"/>
      <c r="T4" s="530"/>
      <c r="U4" s="530"/>
      <c r="V4" s="530"/>
    </row>
    <row r="5" spans="1:22">
      <c r="A5" s="907" t="str">
        <f>PeriodF</f>
        <v>FOR THE TWELVE MONTHS ENDED JUNE 30, 2026</v>
      </c>
      <c r="B5" s="907"/>
      <c r="C5" s="907"/>
      <c r="D5" s="907"/>
      <c r="E5" s="907"/>
      <c r="F5" s="907"/>
      <c r="G5" s="907"/>
      <c r="H5" s="907"/>
      <c r="I5" s="907"/>
      <c r="J5" s="907"/>
      <c r="K5" s="907"/>
      <c r="L5" s="907"/>
      <c r="M5" s="907"/>
      <c r="N5" s="907"/>
      <c r="O5" s="907"/>
      <c r="P5" s="907"/>
      <c r="Q5" s="907"/>
      <c r="R5" s="530"/>
      <c r="S5" s="530"/>
      <c r="T5" s="530"/>
      <c r="U5" s="530"/>
      <c r="V5" s="530"/>
    </row>
    <row r="6" spans="1:22">
      <c r="A6" s="530"/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</row>
    <row r="7" spans="1:22">
      <c r="A7" s="530" t="str">
        <f>DataB</f>
        <v>DATA: "X" BASE PERIOD  "X" FORECASTED PERIOD</v>
      </c>
      <c r="B7" s="530"/>
      <c r="C7" s="530"/>
      <c r="D7" s="530"/>
      <c r="E7" s="530"/>
      <c r="F7" s="530"/>
      <c r="G7" s="530"/>
      <c r="H7" s="530"/>
      <c r="I7" s="530"/>
      <c r="J7" s="530"/>
      <c r="K7" s="530"/>
      <c r="L7" s="530"/>
      <c r="M7" s="530"/>
      <c r="N7" s="530"/>
      <c r="O7" s="919" t="s">
        <v>2580</v>
      </c>
      <c r="P7" s="530"/>
      <c r="Q7" s="530"/>
      <c r="R7" s="530"/>
      <c r="S7" s="530"/>
      <c r="T7" s="530"/>
      <c r="U7" s="530"/>
      <c r="V7" s="530"/>
    </row>
    <row r="8" spans="1:22">
      <c r="A8" s="530" t="str">
        <f>LOGO!B15</f>
        <v xml:space="preserve">TYPE OF FILING:  "X" ORIGINAL   UPDATED    REVISED  </v>
      </c>
      <c r="B8" s="530"/>
      <c r="C8" s="530"/>
      <c r="D8" s="530"/>
      <c r="E8" s="530"/>
      <c r="F8" s="530"/>
      <c r="G8" s="530"/>
      <c r="H8" s="530"/>
      <c r="I8" s="530"/>
      <c r="J8" s="530"/>
      <c r="K8" s="530"/>
      <c r="L8" s="530"/>
      <c r="M8" s="530"/>
      <c r="N8" s="530"/>
      <c r="O8" s="919" t="s">
        <v>466</v>
      </c>
      <c r="P8" s="530"/>
      <c r="Q8" s="530"/>
      <c r="R8" s="530"/>
      <c r="S8" s="530"/>
      <c r="T8" s="530"/>
      <c r="U8" s="530"/>
      <c r="V8" s="530"/>
    </row>
    <row r="9" spans="1:22">
      <c r="A9" s="919" t="s">
        <v>694</v>
      </c>
      <c r="B9" s="530"/>
      <c r="C9" s="530"/>
      <c r="D9" s="530"/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919" t="s">
        <v>468</v>
      </c>
      <c r="P9" s="530"/>
      <c r="Q9" s="530"/>
      <c r="R9" s="530"/>
      <c r="S9" s="530"/>
      <c r="T9" s="530"/>
      <c r="U9" s="530"/>
      <c r="V9" s="530"/>
    </row>
    <row r="10" spans="1:22">
      <c r="A10" s="530"/>
      <c r="B10" s="530"/>
      <c r="C10" s="530"/>
      <c r="D10" s="530"/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 t="str">
        <f>_WIT1</f>
        <v>L. D. STEINKUHL</v>
      </c>
      <c r="P10" s="530"/>
      <c r="Q10" s="530"/>
      <c r="R10" s="530"/>
      <c r="S10" s="530"/>
      <c r="T10" s="530"/>
      <c r="U10" s="530"/>
      <c r="V10" s="530"/>
    </row>
    <row r="11" spans="1:22">
      <c r="A11" s="1562"/>
      <c r="B11" s="1562"/>
      <c r="C11" s="1562"/>
      <c r="D11" s="1562"/>
      <c r="E11" s="1562"/>
      <c r="F11" s="1562"/>
      <c r="G11" s="1562"/>
      <c r="H11" s="1562"/>
      <c r="I11" s="1562"/>
      <c r="J11" s="1562"/>
      <c r="K11" s="1562"/>
      <c r="L11" s="1562"/>
      <c r="M11" s="1562"/>
      <c r="N11" s="1562"/>
      <c r="O11" s="1562"/>
      <c r="P11" s="1562"/>
      <c r="Q11" s="1562"/>
      <c r="R11" s="530"/>
      <c r="S11" s="530"/>
      <c r="T11" s="530"/>
      <c r="U11" s="530"/>
      <c r="V11" s="530"/>
    </row>
    <row r="12" spans="1:22">
      <c r="A12" s="920"/>
      <c r="B12" s="920"/>
      <c r="C12" s="920"/>
      <c r="D12" s="920"/>
      <c r="E12" s="920"/>
      <c r="F12" s="920"/>
      <c r="G12" s="2162" t="s">
        <v>252</v>
      </c>
      <c r="H12" s="2163"/>
      <c r="I12" s="2163"/>
      <c r="J12" s="2163"/>
      <c r="K12" s="2163"/>
      <c r="L12" s="920"/>
      <c r="M12" s="2162" t="s">
        <v>403</v>
      </c>
      <c r="N12" s="2163"/>
      <c r="O12" s="2163"/>
      <c r="P12" s="2163"/>
      <c r="Q12" s="2163"/>
      <c r="R12" s="530"/>
      <c r="S12" s="530"/>
      <c r="T12" s="530"/>
      <c r="U12" s="530"/>
      <c r="V12" s="530"/>
    </row>
    <row r="13" spans="1:22">
      <c r="A13" s="891" t="s">
        <v>471</v>
      </c>
      <c r="B13" s="530"/>
      <c r="C13" s="891" t="s">
        <v>1045</v>
      </c>
      <c r="D13" s="891"/>
      <c r="E13" s="891" t="s">
        <v>2581</v>
      </c>
      <c r="F13" s="907"/>
      <c r="G13" s="889" t="s">
        <v>972</v>
      </c>
      <c r="H13" s="891"/>
      <c r="I13" s="2422" t="s">
        <v>937</v>
      </c>
      <c r="J13" s="2422"/>
      <c r="K13" s="2422"/>
      <c r="L13" s="907"/>
      <c r="M13" s="889" t="s">
        <v>972</v>
      </c>
      <c r="N13" s="891"/>
      <c r="O13" s="2422" t="s">
        <v>937</v>
      </c>
      <c r="P13" s="2422"/>
      <c r="Q13" s="2422"/>
      <c r="R13" s="530"/>
      <c r="S13" s="530"/>
      <c r="T13" s="530"/>
      <c r="U13" s="530"/>
      <c r="V13" s="530"/>
    </row>
    <row r="14" spans="1:22">
      <c r="A14" s="891" t="s">
        <v>533</v>
      </c>
      <c r="B14" s="530"/>
      <c r="C14" s="891" t="s">
        <v>533</v>
      </c>
      <c r="D14" s="891"/>
      <c r="E14" s="891" t="s">
        <v>2563</v>
      </c>
      <c r="F14" s="907"/>
      <c r="G14" s="891" t="s">
        <v>2540</v>
      </c>
      <c r="H14" s="891"/>
      <c r="I14" s="892" t="s">
        <v>2548</v>
      </c>
      <c r="J14" s="907"/>
      <c r="K14" s="891" t="s">
        <v>975</v>
      </c>
      <c r="L14" s="907"/>
      <c r="M14" s="891" t="s">
        <v>2540</v>
      </c>
      <c r="N14" s="891"/>
      <c r="O14" s="892" t="s">
        <v>2548</v>
      </c>
      <c r="P14" s="907"/>
      <c r="Q14" s="891" t="s">
        <v>975</v>
      </c>
      <c r="R14" s="530"/>
      <c r="S14" s="530"/>
      <c r="T14" s="530"/>
      <c r="U14" s="530"/>
      <c r="V14" s="530"/>
    </row>
    <row r="15" spans="1:22">
      <c r="A15" s="1562"/>
      <c r="B15" s="1562"/>
      <c r="C15" s="1562"/>
      <c r="D15" s="1562"/>
      <c r="E15" s="1562"/>
      <c r="F15" s="1562"/>
      <c r="G15" s="1562"/>
      <c r="H15" s="1562"/>
      <c r="I15" s="1563" t="s">
        <v>853</v>
      </c>
      <c r="J15" s="1562"/>
      <c r="K15" s="1562"/>
      <c r="L15" s="1562"/>
      <c r="M15" s="1562"/>
      <c r="N15" s="1562"/>
      <c r="O15" s="1563" t="s">
        <v>853</v>
      </c>
      <c r="P15" s="1562"/>
      <c r="Q15" s="1562"/>
      <c r="R15" s="530"/>
      <c r="S15" s="530"/>
      <c r="T15" s="530"/>
      <c r="U15" s="530"/>
      <c r="V15" s="530"/>
    </row>
    <row r="16" spans="1:22">
      <c r="A16" s="530"/>
      <c r="B16" s="530"/>
      <c r="C16" s="530"/>
      <c r="D16" s="530"/>
      <c r="E16" s="530"/>
      <c r="F16" s="530"/>
      <c r="G16" s="891" t="s">
        <v>1371</v>
      </c>
      <c r="H16" s="891"/>
      <c r="I16" s="891" t="s">
        <v>420</v>
      </c>
      <c r="J16" s="907"/>
      <c r="K16" s="891" t="s">
        <v>1371</v>
      </c>
      <c r="L16" s="530"/>
      <c r="M16" s="891" t="s">
        <v>1371</v>
      </c>
      <c r="N16" s="891"/>
      <c r="O16" s="891" t="s">
        <v>420</v>
      </c>
      <c r="P16" s="907"/>
      <c r="Q16" s="891" t="s">
        <v>1371</v>
      </c>
      <c r="R16" s="530"/>
      <c r="S16" s="530"/>
      <c r="T16" s="530"/>
      <c r="U16" s="530"/>
      <c r="V16" s="530"/>
    </row>
    <row r="17" spans="1:22">
      <c r="A17" s="534"/>
      <c r="B17" s="530"/>
      <c r="C17" s="535"/>
      <c r="D17" s="530"/>
      <c r="E17" s="530"/>
      <c r="F17" s="530"/>
      <c r="G17" s="528"/>
      <c r="H17" s="529"/>
      <c r="I17" s="529"/>
      <c r="J17" s="530"/>
      <c r="K17" s="530"/>
      <c r="L17" s="530"/>
      <c r="M17" s="531"/>
      <c r="N17" s="531"/>
      <c r="O17" s="530"/>
      <c r="P17" s="530"/>
      <c r="Q17" s="531"/>
      <c r="R17" s="530"/>
      <c r="S17" s="530"/>
      <c r="T17" s="530"/>
      <c r="U17" s="530"/>
      <c r="V17" s="530"/>
    </row>
    <row r="18" spans="1:22">
      <c r="A18" s="534"/>
      <c r="B18" s="529"/>
      <c r="C18" s="845" t="s">
        <v>3164</v>
      </c>
      <c r="D18" s="529"/>
      <c r="E18" s="29"/>
      <c r="F18" s="529"/>
      <c r="G18" s="532"/>
      <c r="H18" s="529"/>
      <c r="I18" s="527"/>
      <c r="J18" s="529"/>
      <c r="K18" s="533"/>
      <c r="L18" s="530"/>
      <c r="M18" s="532"/>
      <c r="N18" s="854"/>
      <c r="O18" s="527"/>
      <c r="P18" s="529"/>
      <c r="Q18" s="533"/>
      <c r="R18" s="530"/>
      <c r="S18" s="530"/>
      <c r="T18" s="530"/>
      <c r="U18" s="530"/>
      <c r="V18" s="530"/>
    </row>
    <row r="19" spans="1:22">
      <c r="A19" s="534"/>
      <c r="B19" s="529"/>
      <c r="C19" s="534"/>
      <c r="D19" s="529"/>
      <c r="E19" s="29"/>
      <c r="F19" s="529"/>
      <c r="G19" s="532"/>
      <c r="H19" s="529"/>
      <c r="I19" s="527"/>
      <c r="J19" s="529"/>
      <c r="K19" s="533"/>
      <c r="L19" s="530"/>
      <c r="M19" s="532"/>
      <c r="N19" s="854"/>
      <c r="O19" s="527"/>
      <c r="P19" s="529"/>
      <c r="Q19" s="533"/>
      <c r="R19" s="530"/>
      <c r="S19" s="530"/>
      <c r="T19" s="530"/>
      <c r="U19" s="530"/>
      <c r="V19" s="530"/>
    </row>
    <row r="20" spans="1:22">
      <c r="A20" s="534"/>
      <c r="B20" s="529"/>
      <c r="C20" s="534"/>
      <c r="D20" s="529"/>
      <c r="E20" s="29"/>
      <c r="F20" s="529"/>
      <c r="G20" s="532"/>
      <c r="H20" s="529"/>
      <c r="I20" s="527"/>
      <c r="J20" s="529"/>
      <c r="K20" s="533"/>
      <c r="L20" s="530"/>
      <c r="M20" s="532"/>
      <c r="N20" s="854"/>
      <c r="O20" s="527"/>
      <c r="P20" s="529"/>
      <c r="Q20" s="533"/>
      <c r="R20" s="530"/>
      <c r="S20" s="530"/>
      <c r="T20" s="530"/>
      <c r="U20" s="530"/>
      <c r="V20" s="530"/>
    </row>
    <row r="21" spans="1:22">
      <c r="A21" s="534"/>
      <c r="B21" s="529"/>
      <c r="C21" s="535"/>
      <c r="D21" s="529"/>
      <c r="E21" s="29"/>
      <c r="F21" s="529"/>
      <c r="G21" s="532"/>
      <c r="H21" s="529"/>
      <c r="I21" s="527"/>
      <c r="J21" s="529"/>
      <c r="K21" s="533"/>
      <c r="L21" s="530"/>
      <c r="M21" s="532"/>
      <c r="N21" s="854"/>
      <c r="O21" s="527"/>
      <c r="P21" s="529"/>
      <c r="Q21" s="533"/>
      <c r="R21" s="530"/>
      <c r="S21" s="530"/>
      <c r="T21" s="530"/>
      <c r="U21" s="530"/>
      <c r="V21" s="530"/>
    </row>
    <row r="22" spans="1:22">
      <c r="A22" s="534"/>
      <c r="B22" s="529"/>
      <c r="C22" s="534"/>
      <c r="D22" s="529"/>
      <c r="E22" s="29"/>
      <c r="F22" s="529"/>
      <c r="G22" s="532"/>
      <c r="H22" s="529"/>
      <c r="I22" s="527"/>
      <c r="J22" s="529"/>
      <c r="K22" s="533"/>
      <c r="L22" s="530"/>
      <c r="M22" s="532"/>
      <c r="N22" s="854"/>
      <c r="O22" s="527"/>
      <c r="P22" s="529"/>
      <c r="Q22" s="533"/>
      <c r="R22" s="530"/>
      <c r="S22" s="530"/>
      <c r="T22" s="530"/>
      <c r="U22" s="530"/>
      <c r="V22" s="530"/>
    </row>
    <row r="23" spans="1:22">
      <c r="A23" s="534"/>
      <c r="B23" s="529"/>
      <c r="C23" s="534"/>
      <c r="D23" s="529"/>
      <c r="E23" s="29"/>
      <c r="F23" s="529"/>
      <c r="G23" s="532"/>
      <c r="H23" s="529"/>
      <c r="I23" s="527"/>
      <c r="J23" s="529"/>
      <c r="K23" s="533"/>
      <c r="L23" s="530"/>
      <c r="M23" s="532"/>
      <c r="N23" s="854"/>
      <c r="O23" s="527"/>
      <c r="P23" s="529"/>
      <c r="Q23" s="533"/>
      <c r="R23" s="530"/>
      <c r="S23" s="530"/>
      <c r="T23" s="530"/>
      <c r="U23" s="530"/>
      <c r="V23" s="530"/>
    </row>
    <row r="24" spans="1:22">
      <c r="A24" s="534"/>
      <c r="B24" s="529"/>
      <c r="C24" s="534"/>
      <c r="D24" s="529"/>
      <c r="E24" s="29"/>
      <c r="F24" s="529"/>
      <c r="G24" s="532"/>
      <c r="H24" s="529"/>
      <c r="I24" s="527"/>
      <c r="J24" s="529"/>
      <c r="K24" s="533"/>
      <c r="L24" s="530"/>
      <c r="M24" s="532"/>
      <c r="N24" s="854"/>
      <c r="O24" s="527"/>
      <c r="P24" s="529"/>
      <c r="Q24" s="533"/>
      <c r="R24" s="530"/>
      <c r="S24" s="530"/>
      <c r="T24" s="530"/>
      <c r="U24" s="530"/>
      <c r="V24" s="530"/>
    </row>
    <row r="25" spans="1:22">
      <c r="A25" s="534"/>
      <c r="B25" s="529"/>
      <c r="C25" s="534"/>
      <c r="D25" s="529"/>
      <c r="E25" s="29"/>
      <c r="F25" s="529"/>
      <c r="G25" s="532"/>
      <c r="H25" s="529"/>
      <c r="I25" s="527"/>
      <c r="J25" s="529"/>
      <c r="K25" s="533"/>
      <c r="L25" s="530"/>
      <c r="M25" s="532"/>
      <c r="N25" s="854"/>
      <c r="O25" s="527"/>
      <c r="P25" s="529"/>
      <c r="Q25" s="533"/>
      <c r="R25" s="530"/>
      <c r="S25" s="530"/>
      <c r="T25" s="530"/>
      <c r="U25" s="530"/>
      <c r="V25" s="530"/>
    </row>
    <row r="26" spans="1:22">
      <c r="A26" s="534"/>
      <c r="B26" s="529"/>
      <c r="C26" s="534"/>
      <c r="D26" s="529"/>
      <c r="E26" s="29"/>
      <c r="F26" s="529"/>
      <c r="G26" s="532"/>
      <c r="H26" s="529"/>
      <c r="I26" s="527"/>
      <c r="J26" s="529"/>
      <c r="K26" s="533"/>
      <c r="L26" s="530"/>
      <c r="M26" s="532"/>
      <c r="N26" s="854"/>
      <c r="O26" s="527"/>
      <c r="P26" s="529"/>
      <c r="Q26" s="533"/>
      <c r="R26" s="530"/>
      <c r="S26" s="530"/>
      <c r="T26" s="530"/>
      <c r="U26" s="530"/>
      <c r="V26" s="530"/>
    </row>
    <row r="27" spans="1:22">
      <c r="A27" s="534"/>
      <c r="B27" s="529"/>
      <c r="C27" s="534"/>
      <c r="D27" s="529"/>
      <c r="E27" s="29"/>
      <c r="F27" s="529"/>
      <c r="G27" s="532"/>
      <c r="H27" s="529"/>
      <c r="I27" s="527"/>
      <c r="J27" s="529"/>
      <c r="K27" s="533"/>
      <c r="L27" s="530"/>
      <c r="M27" s="532"/>
      <c r="N27" s="854"/>
      <c r="O27" s="527"/>
      <c r="P27" s="529"/>
      <c r="Q27" s="533"/>
      <c r="R27" s="530"/>
      <c r="S27" s="530"/>
      <c r="T27" s="530"/>
      <c r="U27" s="530"/>
      <c r="V27" s="530"/>
    </row>
    <row r="28" spans="1:22">
      <c r="A28" s="534"/>
      <c r="B28" s="529"/>
      <c r="C28" s="534"/>
      <c r="D28" s="529"/>
      <c r="E28" s="29"/>
      <c r="F28" s="529"/>
      <c r="G28" s="532"/>
      <c r="H28" s="529"/>
      <c r="I28" s="527"/>
      <c r="J28" s="529"/>
      <c r="K28" s="533"/>
      <c r="L28" s="530"/>
      <c r="M28" s="532"/>
      <c r="N28" s="854"/>
      <c r="O28" s="527"/>
      <c r="P28" s="529"/>
      <c r="Q28" s="533"/>
      <c r="R28" s="530"/>
      <c r="S28" s="530"/>
      <c r="T28" s="530"/>
      <c r="U28" s="530"/>
      <c r="V28" s="530"/>
    </row>
    <row r="29" spans="1:22">
      <c r="A29" s="534"/>
      <c r="B29" s="529"/>
      <c r="C29" s="534"/>
      <c r="D29" s="529"/>
      <c r="E29" s="29"/>
      <c r="F29" s="529"/>
      <c r="G29" s="532"/>
      <c r="H29" s="529"/>
      <c r="I29" s="527"/>
      <c r="J29" s="529"/>
      <c r="K29" s="533"/>
      <c r="L29" s="530"/>
      <c r="M29" s="532"/>
      <c r="N29" s="854"/>
      <c r="O29" s="527"/>
      <c r="P29" s="529"/>
      <c r="Q29" s="533"/>
      <c r="R29" s="530"/>
      <c r="S29" s="530"/>
      <c r="T29" s="530"/>
      <c r="U29" s="530"/>
      <c r="V29" s="530"/>
    </row>
    <row r="30" spans="1:22">
      <c r="A30" s="534"/>
      <c r="B30" s="529"/>
      <c r="C30" s="534"/>
      <c r="D30" s="529"/>
      <c r="E30" s="29"/>
      <c r="F30" s="529"/>
      <c r="G30" s="532"/>
      <c r="H30" s="529"/>
      <c r="I30" s="527"/>
      <c r="J30" s="529"/>
      <c r="K30" s="533"/>
      <c r="L30" s="530"/>
      <c r="M30" s="532"/>
      <c r="N30" s="854"/>
      <c r="O30" s="527"/>
      <c r="P30" s="529"/>
      <c r="Q30" s="533"/>
      <c r="R30" s="530"/>
      <c r="S30" s="530"/>
      <c r="T30" s="530"/>
      <c r="U30" s="530"/>
      <c r="V30" s="530"/>
    </row>
    <row r="31" spans="1:22">
      <c r="A31" s="534"/>
      <c r="B31" s="529"/>
      <c r="C31" s="534"/>
      <c r="D31" s="921"/>
      <c r="E31" s="29"/>
      <c r="F31" s="529"/>
      <c r="G31" s="532"/>
      <c r="H31" s="529"/>
      <c r="I31" s="527"/>
      <c r="J31" s="529"/>
      <c r="K31" s="533"/>
      <c r="L31" s="530"/>
      <c r="M31" s="532"/>
      <c r="N31" s="854"/>
      <c r="O31" s="527"/>
      <c r="P31" s="529"/>
      <c r="Q31" s="533"/>
      <c r="R31" s="530"/>
      <c r="S31" s="530"/>
      <c r="T31" s="530"/>
      <c r="U31" s="530"/>
      <c r="V31" s="530"/>
    </row>
    <row r="32" spans="1:22">
      <c r="A32" s="534"/>
      <c r="B32" s="529"/>
      <c r="C32" s="534"/>
      <c r="D32" s="529"/>
      <c r="E32" s="29"/>
      <c r="F32" s="529"/>
      <c r="G32" s="532"/>
      <c r="H32" s="529"/>
      <c r="I32" s="527"/>
      <c r="J32" s="529"/>
      <c r="K32" s="533"/>
      <c r="L32" s="530"/>
      <c r="M32" s="532"/>
      <c r="N32" s="530"/>
      <c r="O32" s="527"/>
      <c r="P32" s="529"/>
      <c r="Q32" s="533"/>
      <c r="R32" s="530"/>
      <c r="S32" s="530"/>
      <c r="T32" s="530"/>
      <c r="U32" s="530"/>
      <c r="V32" s="530"/>
    </row>
    <row r="33" spans="1:22">
      <c r="A33" s="530"/>
      <c r="B33" s="530"/>
      <c r="C33" s="891"/>
      <c r="D33" s="530"/>
      <c r="E33" s="530"/>
      <c r="F33" s="530"/>
      <c r="G33" s="922"/>
      <c r="H33" s="530"/>
      <c r="I33" s="530"/>
      <c r="J33" s="530"/>
      <c r="K33" s="922"/>
      <c r="L33" s="530"/>
      <c r="M33" s="922"/>
      <c r="N33" s="530"/>
      <c r="O33" s="530"/>
      <c r="P33" s="530"/>
      <c r="Q33" s="922"/>
      <c r="R33" s="530"/>
      <c r="S33" s="530"/>
      <c r="T33" s="530"/>
      <c r="U33" s="530"/>
      <c r="V33" s="530"/>
    </row>
    <row r="34" spans="1:22">
      <c r="A34" s="530"/>
      <c r="B34" s="530"/>
      <c r="C34" s="891"/>
      <c r="D34" s="530"/>
      <c r="E34" s="530"/>
      <c r="F34" s="530"/>
      <c r="G34" s="530"/>
      <c r="H34" s="530"/>
      <c r="I34" s="530"/>
      <c r="J34" s="530"/>
      <c r="K34" s="530"/>
      <c r="L34" s="530"/>
      <c r="M34" s="923"/>
      <c r="N34" s="530"/>
      <c r="O34" s="530"/>
      <c r="P34" s="530"/>
      <c r="Q34" s="530"/>
      <c r="R34" s="530"/>
      <c r="S34" s="530"/>
      <c r="T34" s="530"/>
      <c r="U34" s="530"/>
      <c r="V34" s="530"/>
    </row>
    <row r="35" spans="1:22">
      <c r="A35" s="530"/>
      <c r="B35" s="529"/>
      <c r="C35" s="529"/>
      <c r="D35" s="529"/>
      <c r="E35" s="857"/>
      <c r="F35" s="530"/>
      <c r="G35" s="924"/>
      <c r="H35" s="530"/>
      <c r="I35" s="530"/>
      <c r="J35" s="530"/>
      <c r="K35" s="530"/>
      <c r="L35" s="530"/>
      <c r="M35" s="531"/>
      <c r="N35" s="530"/>
      <c r="O35" s="530"/>
      <c r="P35" s="530"/>
      <c r="Q35" s="531"/>
      <c r="R35" s="530"/>
      <c r="S35" s="530"/>
      <c r="T35" s="530"/>
      <c r="U35" s="530"/>
      <c r="V35" s="530"/>
    </row>
    <row r="36" spans="1:22">
      <c r="A36" s="530"/>
      <c r="B36" s="845"/>
      <c r="C36" s="530"/>
      <c r="D36" s="530"/>
      <c r="E36" s="530"/>
      <c r="F36" s="530"/>
      <c r="G36" s="530"/>
      <c r="H36" s="530"/>
      <c r="I36" s="530"/>
      <c r="J36" s="530"/>
      <c r="K36" s="530"/>
      <c r="L36" s="530"/>
      <c r="M36" s="530"/>
      <c r="N36" s="530"/>
      <c r="O36" s="530"/>
      <c r="P36" s="530"/>
      <c r="Q36" s="530"/>
      <c r="R36" s="530"/>
      <c r="S36" s="530"/>
      <c r="T36" s="530"/>
      <c r="U36" s="530"/>
      <c r="V36" s="530"/>
    </row>
    <row r="37" spans="1:22">
      <c r="A37" s="530"/>
      <c r="B37" s="530"/>
      <c r="C37" s="530"/>
      <c r="D37" s="530"/>
      <c r="E37" s="530"/>
      <c r="F37" s="530"/>
      <c r="G37" s="530"/>
      <c r="H37" s="530"/>
      <c r="I37" s="530"/>
      <c r="J37" s="530"/>
      <c r="K37" s="530"/>
      <c r="L37" s="530"/>
      <c r="M37" s="530"/>
      <c r="N37" s="530"/>
      <c r="O37" s="530"/>
      <c r="P37" s="530"/>
      <c r="Q37" s="530"/>
      <c r="R37" s="530"/>
      <c r="S37" s="530"/>
      <c r="T37" s="530"/>
      <c r="U37" s="530"/>
      <c r="V37" s="530"/>
    </row>
    <row r="38" spans="1:22">
      <c r="A38" s="530"/>
      <c r="B38" s="530"/>
      <c r="C38" s="530"/>
      <c r="D38" s="530"/>
      <c r="E38" s="530"/>
      <c r="F38" s="530"/>
      <c r="G38" s="530"/>
      <c r="H38" s="530"/>
      <c r="I38" s="530"/>
      <c r="J38" s="530"/>
      <c r="K38" s="530"/>
      <c r="L38" s="530"/>
      <c r="M38" s="530"/>
      <c r="N38" s="530"/>
      <c r="O38" s="530"/>
      <c r="P38" s="530"/>
      <c r="Q38" s="530"/>
      <c r="R38" s="530"/>
      <c r="S38" s="530"/>
      <c r="T38" s="530"/>
      <c r="U38" s="530"/>
      <c r="V38" s="530"/>
    </row>
    <row r="39" spans="1:22">
      <c r="A39" s="530"/>
      <c r="B39" s="530"/>
      <c r="C39" s="530"/>
      <c r="D39" s="530"/>
      <c r="E39" s="530"/>
      <c r="F39" s="530"/>
      <c r="G39" s="530"/>
      <c r="H39" s="530"/>
      <c r="I39" s="530"/>
      <c r="J39" s="530"/>
      <c r="K39" s="530"/>
      <c r="L39" s="530"/>
      <c r="M39" s="530"/>
      <c r="N39" s="530"/>
      <c r="O39" s="530"/>
      <c r="P39" s="530"/>
      <c r="Q39" s="530"/>
      <c r="R39" s="530"/>
      <c r="S39" s="530"/>
      <c r="T39" s="530"/>
      <c r="U39" s="530"/>
      <c r="V39" s="530"/>
    </row>
    <row r="40" spans="1:22">
      <c r="A40" s="536"/>
      <c r="B40" s="536"/>
      <c r="C40" s="536"/>
      <c r="D40" s="536"/>
      <c r="E40" s="536"/>
      <c r="F40" s="530"/>
      <c r="G40" s="530"/>
      <c r="H40" s="530"/>
      <c r="I40" s="530"/>
      <c r="J40" s="530"/>
      <c r="K40" s="530"/>
      <c r="L40" s="530"/>
      <c r="M40" s="530"/>
      <c r="N40" s="530"/>
      <c r="O40" s="530"/>
      <c r="P40" s="530"/>
      <c r="Q40" s="530"/>
      <c r="R40" s="530"/>
      <c r="S40" s="530"/>
      <c r="T40" s="530"/>
      <c r="U40" s="530"/>
      <c r="V40" s="530"/>
    </row>
    <row r="41" spans="1:22">
      <c r="A41" s="530"/>
      <c r="B41" s="530"/>
      <c r="C41" s="530"/>
      <c r="D41" s="530"/>
      <c r="E41" s="530"/>
      <c r="F41" s="530"/>
      <c r="G41" s="530"/>
      <c r="H41" s="530"/>
      <c r="I41" s="530"/>
      <c r="J41" s="530"/>
      <c r="K41" s="530"/>
      <c r="L41" s="530"/>
      <c r="M41" s="530"/>
      <c r="N41" s="530"/>
      <c r="O41" s="530"/>
      <c r="P41" s="530"/>
      <c r="Q41" s="530"/>
      <c r="R41" s="530"/>
      <c r="S41" s="530"/>
      <c r="T41" s="530"/>
      <c r="U41" s="530"/>
      <c r="V41" s="530"/>
    </row>
    <row r="42" spans="1:22">
      <c r="A42" s="530"/>
      <c r="B42" s="530"/>
      <c r="C42" s="530"/>
      <c r="D42" s="530"/>
      <c r="E42" s="530"/>
      <c r="F42" s="530"/>
      <c r="G42" s="530"/>
      <c r="H42" s="530"/>
      <c r="I42" s="530"/>
      <c r="J42" s="530"/>
      <c r="K42" s="530"/>
      <c r="L42" s="530"/>
      <c r="M42" s="530"/>
      <c r="N42" s="530"/>
      <c r="O42" s="530"/>
      <c r="P42" s="530"/>
      <c r="Q42" s="530"/>
      <c r="R42" s="530"/>
      <c r="S42" s="530"/>
      <c r="T42" s="530"/>
      <c r="U42" s="530"/>
      <c r="V42" s="530"/>
    </row>
    <row r="43" spans="1:22">
      <c r="A43" s="530"/>
      <c r="B43" s="530"/>
      <c r="C43" s="534"/>
      <c r="D43" s="529"/>
      <c r="E43" s="29"/>
      <c r="F43" s="529"/>
      <c r="G43" s="532"/>
      <c r="H43" s="530"/>
      <c r="I43" s="530"/>
      <c r="J43" s="530"/>
      <c r="K43" s="530"/>
      <c r="L43" s="530"/>
      <c r="M43" s="530"/>
      <c r="N43" s="530"/>
      <c r="O43" s="530"/>
      <c r="P43" s="530"/>
      <c r="Q43" s="530"/>
      <c r="R43" s="530"/>
      <c r="S43" s="530"/>
      <c r="T43" s="530"/>
      <c r="U43" s="530"/>
      <c r="V43" s="530"/>
    </row>
    <row r="44" spans="1:22">
      <c r="A44" s="530"/>
      <c r="B44" s="530"/>
      <c r="C44" s="534"/>
      <c r="D44" s="529"/>
      <c r="E44" s="29"/>
      <c r="F44" s="529"/>
      <c r="G44" s="532"/>
      <c r="H44" s="530"/>
      <c r="I44" s="530"/>
      <c r="J44" s="530"/>
      <c r="K44" s="530"/>
      <c r="L44" s="530"/>
      <c r="M44" s="530"/>
      <c r="N44" s="530"/>
      <c r="O44" s="530"/>
      <c r="P44" s="530"/>
      <c r="Q44" s="530"/>
      <c r="R44" s="530"/>
      <c r="S44" s="530"/>
      <c r="T44" s="530"/>
      <c r="U44" s="530"/>
      <c r="V44" s="530"/>
    </row>
    <row r="45" spans="1:22">
      <c r="A45" s="530"/>
      <c r="B45" s="530"/>
      <c r="C45" s="534"/>
      <c r="D45" s="529"/>
      <c r="E45" s="29"/>
      <c r="F45" s="529"/>
      <c r="G45" s="532"/>
      <c r="H45" s="530"/>
      <c r="I45" s="530"/>
      <c r="J45" s="530"/>
      <c r="K45" s="530"/>
      <c r="L45" s="530"/>
      <c r="M45" s="530"/>
      <c r="N45" s="530"/>
      <c r="O45" s="530"/>
      <c r="P45" s="530"/>
      <c r="Q45" s="530"/>
      <c r="R45" s="530"/>
      <c r="S45" s="530"/>
      <c r="T45" s="530"/>
      <c r="U45" s="530"/>
      <c r="V45" s="530"/>
    </row>
    <row r="46" spans="1:22">
      <c r="A46" s="530"/>
      <c r="B46" s="530"/>
      <c r="C46" s="534"/>
      <c r="D46" s="529"/>
      <c r="E46" s="29"/>
      <c r="F46" s="529"/>
      <c r="G46" s="532"/>
      <c r="H46" s="530"/>
      <c r="I46" s="530"/>
      <c r="J46" s="530"/>
      <c r="K46" s="530"/>
      <c r="L46" s="530"/>
      <c r="M46" s="530"/>
      <c r="N46" s="530"/>
      <c r="O46" s="530"/>
      <c r="P46" s="530"/>
      <c r="Q46" s="530"/>
      <c r="R46" s="530"/>
      <c r="S46" s="530"/>
      <c r="T46" s="530"/>
      <c r="U46" s="530"/>
      <c r="V46" s="530"/>
    </row>
    <row r="47" spans="1:22">
      <c r="A47" s="530"/>
      <c r="B47" s="530"/>
      <c r="C47" s="534"/>
      <c r="D47" s="529"/>
      <c r="E47" s="29"/>
      <c r="F47" s="529"/>
      <c r="G47" s="532"/>
      <c r="H47" s="530"/>
      <c r="I47" s="530"/>
      <c r="J47" s="530"/>
      <c r="K47" s="530"/>
      <c r="L47" s="530"/>
      <c r="M47" s="530"/>
      <c r="N47" s="530"/>
      <c r="O47" s="530"/>
      <c r="P47" s="530"/>
      <c r="Q47" s="530"/>
      <c r="R47" s="530"/>
      <c r="S47" s="530"/>
      <c r="T47" s="530"/>
      <c r="U47" s="530"/>
      <c r="V47" s="530"/>
    </row>
    <row r="48" spans="1:22">
      <c r="A48" s="530"/>
      <c r="B48" s="530"/>
      <c r="C48" s="534"/>
      <c r="D48" s="529"/>
      <c r="E48" s="29"/>
      <c r="F48" s="529"/>
      <c r="G48" s="532"/>
      <c r="H48" s="530"/>
      <c r="I48" s="530"/>
      <c r="J48" s="530"/>
      <c r="K48" s="530"/>
      <c r="L48" s="530"/>
      <c r="M48" s="530"/>
      <c r="N48" s="530"/>
      <c r="O48" s="530"/>
      <c r="P48" s="530"/>
      <c r="Q48" s="530"/>
      <c r="R48" s="530"/>
      <c r="S48" s="530"/>
      <c r="T48" s="530"/>
      <c r="U48" s="530"/>
      <c r="V48" s="530"/>
    </row>
    <row r="49" spans="1:22">
      <c r="A49" s="530"/>
      <c r="B49" s="530"/>
      <c r="C49" s="534"/>
      <c r="D49" s="529"/>
      <c r="E49" s="29"/>
      <c r="F49" s="529"/>
      <c r="G49" s="532"/>
      <c r="H49" s="530"/>
      <c r="I49" s="530"/>
      <c r="J49" s="530"/>
      <c r="K49" s="530"/>
      <c r="L49" s="530"/>
      <c r="M49" s="530"/>
      <c r="N49" s="530"/>
      <c r="O49" s="530"/>
      <c r="P49" s="530"/>
      <c r="Q49" s="530"/>
      <c r="R49" s="530"/>
      <c r="S49" s="530"/>
      <c r="T49" s="530"/>
      <c r="U49" s="530"/>
      <c r="V49" s="530"/>
    </row>
    <row r="50" spans="1:22">
      <c r="A50" s="530"/>
      <c r="B50" s="530"/>
      <c r="C50" s="534"/>
      <c r="D50" s="529"/>
      <c r="E50" s="29"/>
      <c r="F50" s="529"/>
      <c r="G50" s="532"/>
      <c r="H50" s="530"/>
      <c r="I50" s="530"/>
      <c r="J50" s="530"/>
      <c r="K50" s="530"/>
      <c r="L50" s="530"/>
      <c r="M50" s="530"/>
      <c r="N50" s="530"/>
      <c r="O50" s="530"/>
      <c r="P50" s="530"/>
      <c r="Q50" s="530"/>
      <c r="R50" s="530"/>
      <c r="S50" s="530"/>
      <c r="T50" s="530"/>
      <c r="U50" s="530"/>
      <c r="V50" s="530"/>
    </row>
    <row r="51" spans="1:22">
      <c r="A51" s="530"/>
      <c r="B51" s="530"/>
      <c r="C51" s="534"/>
      <c r="D51" s="529"/>
      <c r="E51" s="29"/>
      <c r="F51" s="529"/>
      <c r="G51" s="532"/>
      <c r="H51" s="530"/>
      <c r="I51" s="530"/>
      <c r="J51" s="530"/>
      <c r="K51" s="530"/>
      <c r="L51" s="530"/>
      <c r="M51" s="530"/>
      <c r="N51" s="530"/>
      <c r="O51" s="530"/>
      <c r="P51" s="530"/>
      <c r="Q51" s="530"/>
      <c r="R51" s="530"/>
      <c r="S51" s="530"/>
      <c r="T51" s="530"/>
      <c r="U51" s="530"/>
      <c r="V51" s="530"/>
    </row>
    <row r="52" spans="1:22">
      <c r="A52" s="530"/>
      <c r="B52" s="530"/>
      <c r="C52" s="534"/>
      <c r="D52" s="529"/>
      <c r="E52" s="29"/>
      <c r="F52" s="529"/>
      <c r="G52" s="532"/>
      <c r="H52" s="530"/>
      <c r="I52" s="530"/>
      <c r="J52" s="530"/>
      <c r="K52" s="530"/>
      <c r="L52" s="530"/>
      <c r="M52" s="530"/>
      <c r="N52" s="530"/>
      <c r="O52" s="530"/>
      <c r="P52" s="530"/>
      <c r="Q52" s="530"/>
      <c r="R52" s="530"/>
      <c r="S52" s="530"/>
      <c r="T52" s="530"/>
      <c r="U52" s="530"/>
      <c r="V52" s="530"/>
    </row>
    <row r="53" spans="1:22">
      <c r="A53" s="530"/>
      <c r="B53" s="530"/>
      <c r="C53" s="534"/>
      <c r="D53" s="529"/>
      <c r="E53" s="29"/>
      <c r="F53" s="529"/>
      <c r="G53" s="532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</row>
    <row r="54" spans="1:22">
      <c r="A54" s="530"/>
      <c r="B54" s="530"/>
      <c r="C54" s="530"/>
      <c r="D54" s="530"/>
      <c r="E54" s="530"/>
      <c r="F54" s="530"/>
      <c r="G54" s="530"/>
      <c r="H54" s="530"/>
      <c r="I54" s="530"/>
      <c r="J54" s="530"/>
      <c r="K54" s="530"/>
      <c r="L54" s="530"/>
      <c r="M54" s="530"/>
      <c r="N54" s="530"/>
      <c r="O54" s="530"/>
      <c r="P54" s="530"/>
      <c r="Q54" s="530"/>
      <c r="R54" s="530"/>
      <c r="S54" s="530"/>
      <c r="T54" s="530"/>
      <c r="U54" s="530"/>
      <c r="V54" s="530"/>
    </row>
    <row r="55" spans="1:22">
      <c r="A55" s="530"/>
      <c r="B55" s="530"/>
      <c r="C55" s="530"/>
      <c r="D55" s="530"/>
      <c r="E55" s="530"/>
      <c r="F55" s="530"/>
      <c r="G55" s="530"/>
      <c r="H55" s="530"/>
      <c r="I55" s="530"/>
      <c r="J55" s="530"/>
      <c r="K55" s="530"/>
      <c r="L55" s="530"/>
      <c r="M55" s="530"/>
      <c r="N55" s="530"/>
      <c r="O55" s="530"/>
      <c r="P55" s="530"/>
      <c r="Q55" s="530"/>
      <c r="R55" s="530"/>
      <c r="S55" s="530"/>
      <c r="T55" s="530"/>
      <c r="U55" s="530"/>
      <c r="V55" s="530"/>
    </row>
    <row r="56" spans="1:22">
      <c r="A56" s="530"/>
      <c r="B56" s="530"/>
      <c r="C56" s="530"/>
      <c r="D56" s="530"/>
      <c r="E56" s="530"/>
      <c r="F56" s="530"/>
      <c r="G56" s="530"/>
      <c r="H56" s="530"/>
      <c r="I56" s="530"/>
      <c r="J56" s="530"/>
      <c r="K56" s="530"/>
      <c r="L56" s="530"/>
      <c r="M56" s="530"/>
      <c r="N56" s="530"/>
      <c r="O56" s="530"/>
      <c r="P56" s="530"/>
      <c r="Q56" s="530"/>
      <c r="R56" s="530"/>
      <c r="S56" s="530"/>
      <c r="T56" s="530"/>
      <c r="U56" s="530"/>
      <c r="V56" s="530"/>
    </row>
    <row r="57" spans="1:22">
      <c r="A57" s="530"/>
      <c r="B57" s="530"/>
      <c r="C57" s="530"/>
      <c r="D57" s="530"/>
      <c r="E57" s="530"/>
      <c r="F57" s="530"/>
      <c r="G57" s="530"/>
      <c r="H57" s="530"/>
      <c r="I57" s="530"/>
      <c r="J57" s="530"/>
      <c r="K57" s="530"/>
      <c r="L57" s="530"/>
      <c r="M57" s="530"/>
      <c r="N57" s="530"/>
      <c r="O57" s="530"/>
      <c r="P57" s="530"/>
      <c r="Q57" s="530"/>
      <c r="R57" s="530"/>
      <c r="S57" s="530"/>
      <c r="T57" s="530"/>
      <c r="U57" s="530"/>
      <c r="V57" s="530"/>
    </row>
    <row r="58" spans="1:22">
      <c r="A58" s="530"/>
      <c r="B58" s="530"/>
      <c r="C58" s="530"/>
      <c r="D58" s="530"/>
      <c r="E58" s="530"/>
      <c r="F58" s="530"/>
      <c r="G58" s="530"/>
      <c r="H58" s="530"/>
      <c r="I58" s="530"/>
      <c r="J58" s="530"/>
      <c r="K58" s="530"/>
      <c r="L58" s="530"/>
      <c r="M58" s="530"/>
      <c r="N58" s="530"/>
      <c r="O58" s="530"/>
      <c r="P58" s="530"/>
      <c r="Q58" s="530"/>
      <c r="R58" s="530"/>
      <c r="S58" s="530"/>
      <c r="T58" s="530"/>
      <c r="U58" s="530"/>
      <c r="V58" s="530"/>
    </row>
    <row r="59" spans="1:22">
      <c r="A59" s="530"/>
      <c r="B59" s="530"/>
      <c r="C59" s="530"/>
      <c r="D59" s="530"/>
      <c r="E59" s="530"/>
      <c r="F59" s="530"/>
      <c r="G59" s="530"/>
      <c r="H59" s="530"/>
      <c r="I59" s="530"/>
      <c r="J59" s="530"/>
      <c r="K59" s="530"/>
      <c r="L59" s="530"/>
      <c r="M59" s="530"/>
      <c r="N59" s="530"/>
      <c r="O59" s="530"/>
      <c r="P59" s="530"/>
      <c r="Q59" s="530"/>
      <c r="R59" s="530"/>
      <c r="S59" s="530"/>
      <c r="T59" s="530"/>
      <c r="U59" s="530"/>
      <c r="V59" s="530"/>
    </row>
  </sheetData>
  <mergeCells count="2">
    <mergeCell ref="O13:Q13"/>
    <mergeCell ref="I13:K13"/>
  </mergeCells>
  <phoneticPr fontId="19" type="noConversion"/>
  <pageMargins left="1" right="0.75" top="0.98425196850393704" bottom="0" header="0" footer="0"/>
  <pageSetup scale="69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2">
    <tabColor rgb="FFFFC000"/>
    <pageSetUpPr fitToPage="1"/>
  </sheetPr>
  <dimension ref="A1:V49"/>
  <sheetViews>
    <sheetView workbookViewId="0"/>
  </sheetViews>
  <sheetFormatPr defaultColWidth="8" defaultRowHeight="13.2"/>
  <cols>
    <col min="1" max="1" width="6" customWidth="1"/>
    <col min="2" max="2" width="1.44140625" customWidth="1"/>
    <col min="3" max="3" width="12.5546875" customWidth="1"/>
    <col min="4" max="4" width="4.44140625" customWidth="1"/>
    <col min="5" max="5" width="37.5546875" customWidth="1"/>
    <col min="6" max="6" width="3.44140625" customWidth="1"/>
    <col min="7" max="7" width="14.44140625" customWidth="1"/>
    <col min="8" max="8" width="1.44140625" customWidth="1"/>
    <col min="9" max="9" width="13.44140625" customWidth="1"/>
    <col min="10" max="10" width="1.44140625" customWidth="1"/>
    <col min="11" max="11" width="14.44140625" customWidth="1"/>
    <col min="12" max="12" width="2.44140625" customWidth="1"/>
    <col min="13" max="13" width="14.5546875" customWidth="1"/>
    <col min="14" max="14" width="1.5546875" customWidth="1"/>
    <col min="15" max="15" width="12.44140625" customWidth="1"/>
    <col min="16" max="16" width="1" customWidth="1"/>
    <col min="17" max="17" width="13.44140625" customWidth="1"/>
  </cols>
  <sheetData>
    <row r="1" spans="1:22">
      <c r="A1" s="903" t="str">
        <f>COMPANY</f>
        <v>DUKE ENERGY KENTUCKY, INC.</v>
      </c>
      <c r="B1" s="903"/>
      <c r="C1" s="903"/>
      <c r="D1" s="903"/>
      <c r="E1" s="903"/>
      <c r="F1" s="903"/>
      <c r="G1" s="903"/>
      <c r="H1" s="903"/>
      <c r="I1" s="903"/>
      <c r="J1" s="903"/>
      <c r="K1" s="903"/>
      <c r="L1" s="903"/>
      <c r="M1" s="903"/>
      <c r="N1" s="903"/>
      <c r="O1" s="903"/>
      <c r="P1" s="903"/>
      <c r="Q1" s="903"/>
      <c r="R1" s="525"/>
      <c r="S1" s="525"/>
      <c r="T1" s="525"/>
      <c r="U1" s="525"/>
      <c r="V1" s="525"/>
    </row>
    <row r="2" spans="1:22">
      <c r="A2" s="903" t="str">
        <f>CASE</f>
        <v>CASE NO. 2024-00354</v>
      </c>
      <c r="B2" s="903"/>
      <c r="C2" s="903"/>
      <c r="D2" s="903"/>
      <c r="E2" s="903"/>
      <c r="F2" s="903"/>
      <c r="G2" s="903"/>
      <c r="H2" s="903"/>
      <c r="I2" s="903"/>
      <c r="J2" s="903"/>
      <c r="K2" s="903"/>
      <c r="L2" s="903"/>
      <c r="M2" s="903"/>
      <c r="N2" s="903"/>
      <c r="O2" s="903"/>
      <c r="P2" s="903"/>
      <c r="Q2" s="903"/>
      <c r="R2" s="525"/>
      <c r="S2" s="525"/>
      <c r="T2" s="525"/>
      <c r="U2" s="525"/>
      <c r="V2" s="525"/>
    </row>
    <row r="3" spans="1:22">
      <c r="A3" s="904" t="s">
        <v>2582</v>
      </c>
      <c r="B3" s="903"/>
      <c r="C3" s="903"/>
      <c r="D3" s="903"/>
      <c r="E3" s="903"/>
      <c r="F3" s="903"/>
      <c r="G3" s="903"/>
      <c r="H3" s="903"/>
      <c r="I3" s="903"/>
      <c r="J3" s="903"/>
      <c r="K3" s="903"/>
      <c r="L3" s="903"/>
      <c r="M3" s="903"/>
      <c r="N3" s="904"/>
      <c r="O3" s="903"/>
      <c r="P3" s="903"/>
      <c r="Q3" s="903"/>
      <c r="R3" s="525"/>
      <c r="S3" s="525"/>
      <c r="T3" s="525"/>
      <c r="U3" s="525"/>
      <c r="V3" s="525"/>
    </row>
    <row r="4" spans="1:22">
      <c r="A4" s="903" t="str">
        <f>PERIOD</f>
        <v>FOR THE TWELVE MONTHS ENDED FEBRUARY 28, 2025</v>
      </c>
      <c r="B4" s="903"/>
      <c r="C4" s="903"/>
      <c r="D4" s="903"/>
      <c r="E4" s="903"/>
      <c r="F4" s="903"/>
      <c r="G4" s="903"/>
      <c r="H4" s="903"/>
      <c r="I4" s="903"/>
      <c r="J4" s="903"/>
      <c r="K4" s="903"/>
      <c r="L4" s="903"/>
      <c r="M4" s="903"/>
      <c r="N4" s="903"/>
      <c r="O4" s="903"/>
      <c r="P4" s="903"/>
      <c r="Q4" s="903"/>
      <c r="R4" s="525"/>
      <c r="S4" s="525"/>
      <c r="T4" s="525"/>
      <c r="U4" s="525"/>
      <c r="V4" s="525"/>
    </row>
    <row r="5" spans="1:22">
      <c r="A5" s="903" t="str">
        <f>PeriodF</f>
        <v>FOR THE TWELVE MONTHS ENDED JUNE 30, 2026</v>
      </c>
      <c r="B5" s="903"/>
      <c r="C5" s="903"/>
      <c r="D5" s="903"/>
      <c r="E5" s="903"/>
      <c r="F5" s="903"/>
      <c r="G5" s="903"/>
      <c r="H5" s="903"/>
      <c r="I5" s="903"/>
      <c r="J5" s="903"/>
      <c r="K5" s="903"/>
      <c r="L5" s="903"/>
      <c r="M5" s="903"/>
      <c r="N5" s="903"/>
      <c r="O5" s="903"/>
      <c r="P5" s="903"/>
      <c r="Q5" s="903"/>
      <c r="R5" s="525"/>
      <c r="S5" s="525"/>
      <c r="T5" s="525"/>
      <c r="U5" s="525"/>
      <c r="V5" s="525"/>
    </row>
    <row r="6" spans="1:22">
      <c r="A6" s="525"/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25"/>
      <c r="O6" s="525"/>
      <c r="P6" s="525"/>
      <c r="Q6" s="525"/>
      <c r="R6" s="525"/>
      <c r="S6" s="525"/>
      <c r="T6" s="525"/>
      <c r="U6" s="525"/>
      <c r="V6" s="525"/>
    </row>
    <row r="7" spans="1:22">
      <c r="A7" s="525" t="str">
        <f>DataB</f>
        <v>DATA: "X" BASE PERIOD  "X" FORECASTED PERIOD</v>
      </c>
      <c r="B7" s="525"/>
      <c r="C7" s="525"/>
      <c r="D7" s="525"/>
      <c r="E7" s="525"/>
      <c r="F7" s="525"/>
      <c r="G7" s="525"/>
      <c r="H7" s="525"/>
      <c r="I7" s="525"/>
      <c r="J7" s="525"/>
      <c r="K7" s="525"/>
      <c r="L7" s="525"/>
      <c r="M7" s="525"/>
      <c r="N7" s="525"/>
      <c r="O7" s="905" t="s">
        <v>2583</v>
      </c>
      <c r="P7" s="525"/>
      <c r="Q7" s="525"/>
      <c r="R7" s="525"/>
      <c r="S7" s="525"/>
      <c r="T7" s="525"/>
      <c r="U7" s="525"/>
      <c r="V7" s="525"/>
    </row>
    <row r="8" spans="1:22">
      <c r="A8" s="525" t="str">
        <f>Type</f>
        <v xml:space="preserve">TYPE OF FILING:  "X" ORIGINAL   UPDATED    REVISED  </v>
      </c>
      <c r="B8" s="525"/>
      <c r="C8" s="525"/>
      <c r="D8" s="525"/>
      <c r="E8" s="525"/>
      <c r="F8" s="525"/>
      <c r="G8" s="525"/>
      <c r="H8" s="525"/>
      <c r="I8" s="525"/>
      <c r="J8" s="525"/>
      <c r="K8" s="525"/>
      <c r="L8" s="525"/>
      <c r="M8" s="525"/>
      <c r="N8" s="525"/>
      <c r="O8" s="905" t="s">
        <v>466</v>
      </c>
      <c r="P8" s="525"/>
      <c r="Q8" s="525"/>
      <c r="R8" s="525"/>
      <c r="S8" s="525"/>
      <c r="T8" s="525"/>
      <c r="U8" s="525"/>
      <c r="V8" s="525"/>
    </row>
    <row r="9" spans="1:22">
      <c r="A9" s="905" t="s">
        <v>694</v>
      </c>
      <c r="B9" s="525"/>
      <c r="C9" s="525"/>
      <c r="D9" s="525"/>
      <c r="E9" s="525"/>
      <c r="F9" s="525"/>
      <c r="G9" s="525"/>
      <c r="H9" s="525"/>
      <c r="I9" s="525"/>
      <c r="J9" s="525"/>
      <c r="K9" s="525"/>
      <c r="L9" s="525"/>
      <c r="M9" s="525"/>
      <c r="N9" s="525"/>
      <c r="O9" s="905" t="s">
        <v>468</v>
      </c>
      <c r="P9" s="525"/>
      <c r="Q9" s="525"/>
      <c r="R9" s="525"/>
      <c r="S9" s="525"/>
      <c r="T9" s="525"/>
      <c r="U9" s="525"/>
      <c r="V9" s="525"/>
    </row>
    <row r="10" spans="1:22">
      <c r="A10" s="525"/>
      <c r="B10" s="525"/>
      <c r="C10" s="525"/>
      <c r="D10" s="525"/>
      <c r="E10" s="525"/>
      <c r="F10" s="525"/>
      <c r="G10" s="525"/>
      <c r="H10" s="525"/>
      <c r="I10" s="525"/>
      <c r="J10" s="525"/>
      <c r="K10" s="525"/>
      <c r="L10" s="525"/>
      <c r="M10" s="525"/>
      <c r="N10" s="525"/>
      <c r="O10" s="1766" t="str">
        <f>_WIT1</f>
        <v>L. D. STEINKUHL</v>
      </c>
      <c r="P10" s="525"/>
      <c r="Q10" s="525"/>
      <c r="R10" s="525"/>
      <c r="S10" s="525"/>
      <c r="T10" s="525"/>
      <c r="U10" s="525"/>
      <c r="V10" s="525"/>
    </row>
    <row r="11" spans="1:22">
      <c r="A11" s="1564"/>
      <c r="B11" s="1564"/>
      <c r="C11" s="1564"/>
      <c r="D11" s="1564"/>
      <c r="E11" s="1564"/>
      <c r="F11" s="1564"/>
      <c r="G11" s="1564"/>
      <c r="H11" s="1564"/>
      <c r="I11" s="1564"/>
      <c r="J11" s="1564"/>
      <c r="K11" s="1564"/>
      <c r="L11" s="1564"/>
      <c r="M11" s="1564"/>
      <c r="N11" s="1564"/>
      <c r="O11" s="1564"/>
      <c r="P11" s="1564"/>
      <c r="Q11" s="1564"/>
      <c r="R11" s="525"/>
      <c r="S11" s="525"/>
      <c r="T11" s="525"/>
      <c r="U11" s="525"/>
      <c r="V11" s="525"/>
    </row>
    <row r="12" spans="1:22">
      <c r="A12" s="906"/>
      <c r="B12" s="906"/>
      <c r="C12" s="906"/>
      <c r="D12" s="906"/>
      <c r="E12" s="906"/>
      <c r="F12" s="906"/>
      <c r="G12" s="2162" t="s">
        <v>252</v>
      </c>
      <c r="H12" s="2163"/>
      <c r="I12" s="2163"/>
      <c r="J12" s="2163"/>
      <c r="K12" s="2163"/>
      <c r="L12" s="906"/>
      <c r="M12" s="2162" t="s">
        <v>403</v>
      </c>
      <c r="N12" s="2163"/>
      <c r="O12" s="2163"/>
      <c r="P12" s="2163"/>
      <c r="Q12" s="2163"/>
      <c r="R12" s="525"/>
      <c r="S12" s="525"/>
      <c r="T12" s="525"/>
      <c r="U12" s="525"/>
      <c r="V12" s="525"/>
    </row>
    <row r="13" spans="1:22">
      <c r="A13" s="894" t="s">
        <v>471</v>
      </c>
      <c r="B13" s="525"/>
      <c r="C13" s="894" t="s">
        <v>1045</v>
      </c>
      <c r="D13" s="525"/>
      <c r="E13" s="894" t="s">
        <v>2584</v>
      </c>
      <c r="F13" s="903"/>
      <c r="G13" s="889" t="s">
        <v>972</v>
      </c>
      <c r="H13" s="891"/>
      <c r="I13" s="2422" t="s">
        <v>937</v>
      </c>
      <c r="J13" s="2422"/>
      <c r="K13" s="2422"/>
      <c r="L13" s="903"/>
      <c r="M13" s="890" t="s">
        <v>972</v>
      </c>
      <c r="N13" s="894"/>
      <c r="O13" s="2423" t="s">
        <v>937</v>
      </c>
      <c r="P13" s="2423"/>
      <c r="Q13" s="2423"/>
      <c r="R13" s="525"/>
      <c r="S13" s="525"/>
      <c r="T13" s="525"/>
      <c r="U13" s="525"/>
      <c r="V13" s="525"/>
    </row>
    <row r="14" spans="1:22">
      <c r="A14" s="894" t="s">
        <v>533</v>
      </c>
      <c r="B14" s="525"/>
      <c r="C14" s="894" t="s">
        <v>533</v>
      </c>
      <c r="D14" s="525"/>
      <c r="E14" s="894" t="s">
        <v>2585</v>
      </c>
      <c r="F14" s="903"/>
      <c r="G14" s="891" t="s">
        <v>2540</v>
      </c>
      <c r="H14" s="891"/>
      <c r="I14" s="892" t="s">
        <v>2548</v>
      </c>
      <c r="J14" s="907"/>
      <c r="K14" s="891" t="s">
        <v>975</v>
      </c>
      <c r="L14" s="903"/>
      <c r="M14" s="894" t="s">
        <v>2540</v>
      </c>
      <c r="N14" s="894"/>
      <c r="O14" s="893" t="s">
        <v>2548</v>
      </c>
      <c r="P14" s="903"/>
      <c r="Q14" s="894" t="s">
        <v>975</v>
      </c>
      <c r="R14" s="525"/>
      <c r="S14" s="525"/>
      <c r="T14" s="525"/>
      <c r="U14" s="525"/>
      <c r="V14" s="525"/>
    </row>
    <row r="15" spans="1:22">
      <c r="A15" s="1564"/>
      <c r="B15" s="1564"/>
      <c r="C15" s="1564"/>
      <c r="D15" s="1564"/>
      <c r="E15" s="1564"/>
      <c r="F15" s="1564"/>
      <c r="G15" s="1562"/>
      <c r="H15" s="1562"/>
      <c r="I15" s="1563" t="s">
        <v>853</v>
      </c>
      <c r="J15" s="1562"/>
      <c r="K15" s="1562"/>
      <c r="L15" s="1564"/>
      <c r="M15" s="1564"/>
      <c r="N15" s="1564"/>
      <c r="O15" s="1565" t="s">
        <v>853</v>
      </c>
      <c r="P15" s="1564"/>
      <c r="Q15" s="1564"/>
      <c r="R15" s="525"/>
      <c r="S15" s="525"/>
      <c r="T15" s="525"/>
      <c r="U15" s="525"/>
      <c r="V15" s="525"/>
    </row>
    <row r="16" spans="1:22">
      <c r="A16" s="525"/>
      <c r="B16" s="525"/>
      <c r="C16" s="525"/>
      <c r="D16" s="525"/>
      <c r="E16" s="525"/>
      <c r="F16" s="525"/>
      <c r="G16" s="891" t="s">
        <v>1371</v>
      </c>
      <c r="H16" s="891"/>
      <c r="I16" s="891" t="s">
        <v>420</v>
      </c>
      <c r="J16" s="907"/>
      <c r="K16" s="891" t="s">
        <v>1371</v>
      </c>
      <c r="L16" s="525"/>
      <c r="M16" s="894" t="s">
        <v>1371</v>
      </c>
      <c r="N16" s="894"/>
      <c r="O16" s="894" t="s">
        <v>420</v>
      </c>
      <c r="P16" s="903"/>
      <c r="Q16" s="894" t="s">
        <v>1371</v>
      </c>
      <c r="R16" s="525"/>
      <c r="S16" s="525"/>
      <c r="T16" s="525"/>
      <c r="U16" s="525"/>
      <c r="V16" s="525"/>
    </row>
    <row r="17" spans="1:22">
      <c r="A17" s="525"/>
      <c r="B17" s="525"/>
      <c r="C17" s="525"/>
      <c r="D17" s="525"/>
      <c r="E17" s="525"/>
      <c r="F17" s="525"/>
      <c r="G17" s="525"/>
      <c r="H17" s="525"/>
      <c r="I17" s="525"/>
      <c r="J17" s="525"/>
      <c r="K17" s="525"/>
      <c r="L17" s="525"/>
      <c r="M17" s="743"/>
      <c r="N17" s="743"/>
      <c r="O17" s="525"/>
      <c r="P17" s="525"/>
      <c r="Q17" s="743"/>
      <c r="R17" s="525"/>
      <c r="S17" s="525"/>
      <c r="T17" s="525"/>
      <c r="U17" s="525"/>
      <c r="V17" s="525"/>
    </row>
    <row r="18" spans="1:22">
      <c r="A18" s="894">
        <v>1</v>
      </c>
      <c r="B18" s="908"/>
      <c r="C18" s="538">
        <v>500000</v>
      </c>
      <c r="D18" s="525"/>
      <c r="E18" s="525" t="s">
        <v>1510</v>
      </c>
      <c r="F18" s="909"/>
      <c r="G18" s="910">
        <v>2</v>
      </c>
      <c r="H18" s="525"/>
      <c r="I18" s="526">
        <f t="shared" ref="I18:I26" si="0">VLOOKUP($E$31,ALLOCTABLE,2)</f>
        <v>100</v>
      </c>
      <c r="J18" s="527"/>
      <c r="K18" s="744">
        <f t="shared" ref="K18:K26" si="1">ROUND(G18*(I18/100),2)</f>
        <v>2</v>
      </c>
      <c r="L18" s="743"/>
      <c r="M18" s="910">
        <v>0</v>
      </c>
      <c r="N18" s="525"/>
      <c r="O18" s="526">
        <f t="shared" ref="O18:O26" si="2">VLOOKUP($E$31,ALLOCTABLE,2)</f>
        <v>100</v>
      </c>
      <c r="P18" s="527"/>
      <c r="Q18" s="744">
        <f t="shared" ref="Q18:Q21" si="3">ROUND(M18*(O18/100),2)</f>
        <v>0</v>
      </c>
      <c r="R18" s="525"/>
      <c r="S18" s="525"/>
      <c r="T18" s="525"/>
      <c r="U18" s="525"/>
      <c r="V18" s="525"/>
    </row>
    <row r="19" spans="1:22">
      <c r="A19" s="894">
        <f>+A18+1</f>
        <v>2</v>
      </c>
      <c r="B19" s="908"/>
      <c r="C19" s="538">
        <v>549000</v>
      </c>
      <c r="D19" s="525"/>
      <c r="E19" s="525" t="s">
        <v>1510</v>
      </c>
      <c r="F19" s="909"/>
      <c r="G19" s="910">
        <v>2</v>
      </c>
      <c r="H19" s="525"/>
      <c r="I19" s="526">
        <f t="shared" si="0"/>
        <v>100</v>
      </c>
      <c r="J19" s="527"/>
      <c r="K19" s="744">
        <f t="shared" si="1"/>
        <v>2</v>
      </c>
      <c r="L19" s="743"/>
      <c r="M19" s="910">
        <v>0</v>
      </c>
      <c r="N19" s="525"/>
      <c r="O19" s="526">
        <f t="shared" si="2"/>
        <v>100</v>
      </c>
      <c r="P19" s="527"/>
      <c r="Q19" s="744">
        <f t="shared" ref="Q19:Q20" si="4">ROUND(M19*(O19/100),2)</f>
        <v>0</v>
      </c>
      <c r="R19" s="525"/>
      <c r="S19" s="525"/>
      <c r="T19" s="525"/>
      <c r="U19" s="525"/>
      <c r="V19" s="525"/>
    </row>
    <row r="20" spans="1:22">
      <c r="A20" s="894">
        <f t="shared" ref="A20:A26" si="5">+A19+1</f>
        <v>3</v>
      </c>
      <c r="B20" s="908"/>
      <c r="C20" s="538">
        <v>588100</v>
      </c>
      <c r="D20" s="525"/>
      <c r="E20" s="525" t="s">
        <v>1510</v>
      </c>
      <c r="F20" s="909"/>
      <c r="G20" s="910">
        <v>23</v>
      </c>
      <c r="H20" s="525"/>
      <c r="I20" s="526">
        <f t="shared" si="0"/>
        <v>100</v>
      </c>
      <c r="J20" s="527"/>
      <c r="K20" s="744">
        <f t="shared" si="1"/>
        <v>23</v>
      </c>
      <c r="L20" s="743"/>
      <c r="M20" s="910">
        <v>0</v>
      </c>
      <c r="N20" s="525"/>
      <c r="O20" s="526">
        <f t="shared" si="2"/>
        <v>100</v>
      </c>
      <c r="P20" s="527"/>
      <c r="Q20" s="744">
        <f t="shared" si="4"/>
        <v>0</v>
      </c>
      <c r="R20" s="525"/>
      <c r="S20" s="525"/>
      <c r="T20" s="525"/>
      <c r="U20" s="525"/>
      <c r="V20" s="525"/>
    </row>
    <row r="21" spans="1:22">
      <c r="A21" s="894">
        <f t="shared" si="5"/>
        <v>4</v>
      </c>
      <c r="B21" s="908"/>
      <c r="C21" s="538">
        <v>593000</v>
      </c>
      <c r="D21" s="525"/>
      <c r="E21" s="525" t="s">
        <v>1510</v>
      </c>
      <c r="F21" s="909"/>
      <c r="G21" s="910">
        <v>4</v>
      </c>
      <c r="H21" s="525"/>
      <c r="I21" s="526">
        <f t="shared" si="0"/>
        <v>100</v>
      </c>
      <c r="J21" s="527"/>
      <c r="K21" s="744">
        <f t="shared" si="1"/>
        <v>4</v>
      </c>
      <c r="L21" s="743"/>
      <c r="M21" s="910">
        <v>0</v>
      </c>
      <c r="N21" s="525"/>
      <c r="O21" s="526">
        <f t="shared" si="2"/>
        <v>100</v>
      </c>
      <c r="P21" s="527"/>
      <c r="Q21" s="744">
        <f t="shared" si="3"/>
        <v>0</v>
      </c>
      <c r="R21" s="525"/>
      <c r="S21" s="525"/>
      <c r="T21" s="525"/>
      <c r="U21" s="525"/>
      <c r="V21" s="525"/>
    </row>
    <row r="22" spans="1:22">
      <c r="A22" s="894">
        <f t="shared" si="5"/>
        <v>5</v>
      </c>
      <c r="B22" s="1675"/>
      <c r="C22" s="1676">
        <v>593100</v>
      </c>
      <c r="D22" s="1677"/>
      <c r="E22" s="1677" t="s">
        <v>1510</v>
      </c>
      <c r="F22" s="1678"/>
      <c r="G22" s="910">
        <v>1</v>
      </c>
      <c r="H22" s="1677"/>
      <c r="I22" s="1679">
        <f t="shared" si="0"/>
        <v>100</v>
      </c>
      <c r="J22" s="1680"/>
      <c r="K22" s="1681">
        <f t="shared" si="1"/>
        <v>1</v>
      </c>
      <c r="L22" s="1682"/>
      <c r="M22" s="910">
        <v>0</v>
      </c>
      <c r="N22" s="1677"/>
      <c r="O22" s="1679">
        <f t="shared" si="2"/>
        <v>100</v>
      </c>
      <c r="P22" s="1680"/>
      <c r="Q22" s="1681">
        <f>ROUND(M22*(O22/100),2)</f>
        <v>0</v>
      </c>
      <c r="R22" s="1677"/>
      <c r="S22" s="1677"/>
      <c r="T22" s="1677"/>
      <c r="U22" s="1677"/>
      <c r="V22" s="1677"/>
    </row>
    <row r="23" spans="1:22">
      <c r="A23" s="894">
        <f t="shared" si="5"/>
        <v>6</v>
      </c>
      <c r="B23" s="1675"/>
      <c r="C23" s="1676">
        <v>920000</v>
      </c>
      <c r="D23" s="1677"/>
      <c r="E23" s="1677" t="s">
        <v>1510</v>
      </c>
      <c r="F23" s="1678"/>
      <c r="G23" s="910">
        <v>0</v>
      </c>
      <c r="H23" s="1677"/>
      <c r="I23" s="1679">
        <f t="shared" si="0"/>
        <v>100</v>
      </c>
      <c r="J23" s="1680"/>
      <c r="K23" s="1681">
        <f t="shared" si="1"/>
        <v>0</v>
      </c>
      <c r="L23" s="1682"/>
      <c r="M23" s="910">
        <v>0</v>
      </c>
      <c r="N23" s="1677"/>
      <c r="O23" s="1679">
        <f t="shared" si="2"/>
        <v>100</v>
      </c>
      <c r="P23" s="1680"/>
      <c r="Q23" s="1681">
        <f>ROUND(M23*(O23/100),2)</f>
        <v>0</v>
      </c>
      <c r="R23" s="1677"/>
      <c r="S23" s="1677"/>
      <c r="T23" s="1677"/>
      <c r="U23" s="1677"/>
      <c r="V23" s="1677"/>
    </row>
    <row r="24" spans="1:22">
      <c r="A24" s="894">
        <f t="shared" si="5"/>
        <v>7</v>
      </c>
      <c r="B24" s="1675"/>
      <c r="C24" s="1676">
        <v>926000</v>
      </c>
      <c r="D24" s="1677"/>
      <c r="E24" s="1677" t="s">
        <v>1510</v>
      </c>
      <c r="F24" s="1678"/>
      <c r="G24" s="910">
        <v>10205</v>
      </c>
      <c r="H24" s="1677"/>
      <c r="I24" s="1679">
        <f t="shared" si="0"/>
        <v>100</v>
      </c>
      <c r="J24" s="1680"/>
      <c r="K24" s="1681">
        <f t="shared" si="1"/>
        <v>10205</v>
      </c>
      <c r="L24" s="1682"/>
      <c r="M24" s="910">
        <v>12043</v>
      </c>
      <c r="N24" s="1677"/>
      <c r="O24" s="1679">
        <f t="shared" si="2"/>
        <v>100</v>
      </c>
      <c r="P24" s="1680"/>
      <c r="Q24" s="1681">
        <f>ROUND(M24*(O24/100),2)</f>
        <v>12043</v>
      </c>
      <c r="R24" s="1677"/>
      <c r="S24" s="1677"/>
      <c r="T24" s="1677"/>
      <c r="U24" s="1677"/>
      <c r="V24" s="1677"/>
    </row>
    <row r="25" spans="1:22">
      <c r="A25" s="894">
        <f t="shared" si="5"/>
        <v>8</v>
      </c>
      <c r="B25" s="908"/>
      <c r="C25" s="538">
        <v>935200</v>
      </c>
      <c r="D25" s="525"/>
      <c r="E25" s="525" t="s">
        <v>1510</v>
      </c>
      <c r="F25" s="909"/>
      <c r="G25" s="910">
        <v>0</v>
      </c>
      <c r="H25" s="525"/>
      <c r="I25" s="526">
        <f t="shared" si="0"/>
        <v>100</v>
      </c>
      <c r="J25" s="527"/>
      <c r="K25" s="744">
        <f t="shared" si="1"/>
        <v>0</v>
      </c>
      <c r="L25" s="743"/>
      <c r="M25" s="910">
        <v>0</v>
      </c>
      <c r="N25" s="525"/>
      <c r="O25" s="526">
        <f t="shared" si="2"/>
        <v>100</v>
      </c>
      <c r="P25" s="527"/>
      <c r="Q25" s="744">
        <f t="shared" ref="Q25" si="6">ROUND(M25*(O25/100),2)</f>
        <v>0</v>
      </c>
      <c r="R25" s="525"/>
      <c r="S25" s="525"/>
      <c r="T25" s="525"/>
      <c r="U25" s="525"/>
      <c r="V25" s="525"/>
    </row>
    <row r="26" spans="1:22">
      <c r="A26" s="894">
        <f t="shared" si="5"/>
        <v>9</v>
      </c>
      <c r="B26" s="908"/>
      <c r="C26" s="538">
        <v>926000</v>
      </c>
      <c r="D26" s="525"/>
      <c r="E26" s="525" t="s">
        <v>2586</v>
      </c>
      <c r="F26" s="909"/>
      <c r="G26" s="910">
        <v>328</v>
      </c>
      <c r="H26" s="525"/>
      <c r="I26" s="526">
        <f t="shared" si="0"/>
        <v>100</v>
      </c>
      <c r="J26" s="527"/>
      <c r="K26" s="2386">
        <f t="shared" si="1"/>
        <v>328</v>
      </c>
      <c r="L26" s="743"/>
      <c r="M26" s="2387">
        <v>655</v>
      </c>
      <c r="N26" s="525"/>
      <c r="O26" s="526">
        <f t="shared" si="2"/>
        <v>100</v>
      </c>
      <c r="P26" s="527"/>
      <c r="Q26" s="2386">
        <f t="shared" ref="Q26" si="7">ROUND(M26*(O26/100),2)</f>
        <v>655</v>
      </c>
      <c r="R26" s="525"/>
      <c r="S26" s="525"/>
      <c r="T26" s="525"/>
      <c r="U26" s="525"/>
      <c r="V26" s="525"/>
    </row>
    <row r="27" spans="1:22">
      <c r="A27" s="894">
        <f>+A26+1</f>
        <v>10</v>
      </c>
      <c r="B27" s="525"/>
      <c r="C27" s="894"/>
      <c r="D27" s="525"/>
      <c r="E27" s="525"/>
      <c r="F27" s="525"/>
      <c r="G27" s="2164"/>
      <c r="H27" s="525"/>
      <c r="I27" s="526"/>
      <c r="J27" s="527"/>
      <c r="K27" s="744"/>
      <c r="L27" s="743"/>
      <c r="M27" s="910"/>
      <c r="N27" s="525"/>
      <c r="O27" s="526"/>
      <c r="P27" s="527"/>
      <c r="Q27" s="744"/>
      <c r="R27" s="525"/>
      <c r="S27" s="525"/>
      <c r="T27" s="525"/>
      <c r="U27" s="525"/>
      <c r="V27" s="525"/>
    </row>
    <row r="28" spans="1:22" ht="13.8" thickBot="1">
      <c r="A28" s="894">
        <f>+A27+1</f>
        <v>11</v>
      </c>
      <c r="B28" s="905"/>
      <c r="C28" s="525"/>
      <c r="D28" s="525"/>
      <c r="E28" s="911" t="s">
        <v>2587</v>
      </c>
      <c r="F28" s="912"/>
      <c r="G28" s="1969">
        <f>SUM(G18:G26)</f>
        <v>10565</v>
      </c>
      <c r="H28" s="913"/>
      <c r="I28" s="743"/>
      <c r="J28" s="743"/>
      <c r="K28" s="1969">
        <f>SUM(K18:K26)</f>
        <v>10565</v>
      </c>
      <c r="L28" s="914"/>
      <c r="M28" s="1969">
        <f>SUM(M18:M26)</f>
        <v>12698</v>
      </c>
      <c r="N28" s="913"/>
      <c r="O28" s="743"/>
      <c r="P28" s="743"/>
      <c r="Q28" s="1969">
        <f>SUM(Q18:Q26)</f>
        <v>12698</v>
      </c>
      <c r="R28" s="525"/>
      <c r="S28" s="525"/>
      <c r="T28" s="525"/>
      <c r="U28" s="525"/>
      <c r="V28" s="525"/>
    </row>
    <row r="29" spans="1:22" ht="13.8" thickTop="1">
      <c r="A29" s="894"/>
      <c r="B29" s="905"/>
      <c r="C29" s="525"/>
      <c r="D29" s="525"/>
      <c r="E29" s="912"/>
      <c r="F29" s="912"/>
      <c r="G29" s="915"/>
      <c r="H29" s="912"/>
      <c r="I29" s="912"/>
      <c r="J29" s="912"/>
      <c r="K29" s="915"/>
      <c r="L29" s="915"/>
      <c r="M29" s="916"/>
      <c r="N29" s="913"/>
      <c r="O29" s="743"/>
      <c r="P29" s="743"/>
      <c r="Q29" s="916"/>
      <c r="R29" s="743"/>
      <c r="S29" s="525"/>
      <c r="T29" s="525"/>
      <c r="U29" s="525"/>
      <c r="V29" s="525"/>
    </row>
    <row r="30" spans="1:22">
      <c r="A30" s="917"/>
      <c r="B30" s="525"/>
      <c r="C30" s="525"/>
      <c r="D30" s="525"/>
      <c r="E30" s="525"/>
      <c r="F30" s="525"/>
      <c r="G30" s="916"/>
      <c r="H30" s="525"/>
      <c r="I30" s="525"/>
      <c r="J30" s="525"/>
      <c r="K30" s="525"/>
      <c r="L30" s="525"/>
      <c r="M30" s="525"/>
      <c r="N30" s="525"/>
      <c r="O30" s="525"/>
      <c r="P30" s="525"/>
      <c r="Q30" s="525"/>
      <c r="R30" s="525"/>
      <c r="S30" s="525"/>
      <c r="T30" s="525"/>
      <c r="U30" s="525"/>
      <c r="V30" s="525"/>
    </row>
    <row r="31" spans="1:22">
      <c r="A31" s="917"/>
      <c r="B31" s="525"/>
      <c r="C31" s="525" t="s">
        <v>2588</v>
      </c>
      <c r="D31" s="525"/>
      <c r="E31" s="902" t="s">
        <v>428</v>
      </c>
      <c r="F31" s="525"/>
      <c r="G31" s="525"/>
      <c r="H31" s="525"/>
      <c r="I31" s="525"/>
      <c r="J31" s="525"/>
      <c r="K31" s="525"/>
      <c r="L31" s="525"/>
      <c r="M31" s="525"/>
      <c r="N31" s="525"/>
      <c r="O31" s="525"/>
      <c r="P31" s="525"/>
      <c r="Q31" s="525"/>
      <c r="R31" s="525"/>
      <c r="S31" s="525"/>
      <c r="T31" s="525"/>
      <c r="U31" s="525"/>
      <c r="V31" s="525"/>
    </row>
    <row r="32" spans="1:22">
      <c r="A32" s="917"/>
      <c r="B32" s="525"/>
      <c r="C32" s="909"/>
      <c r="D32" s="525"/>
      <c r="E32" s="525"/>
      <c r="F32" s="525"/>
      <c r="G32" s="525"/>
      <c r="H32" s="525"/>
      <c r="I32" s="525"/>
      <c r="J32" s="525"/>
      <c r="K32" s="525"/>
      <c r="L32" s="525"/>
      <c r="M32" s="525"/>
      <c r="N32" s="525"/>
      <c r="O32" s="525"/>
      <c r="P32" s="525"/>
      <c r="Q32" s="525"/>
      <c r="R32" s="525"/>
      <c r="S32" s="525"/>
      <c r="T32" s="525"/>
      <c r="U32" s="525"/>
      <c r="V32" s="525"/>
    </row>
    <row r="33" spans="1:22">
      <c r="A33" s="917"/>
      <c r="B33" s="525"/>
      <c r="C33" s="525"/>
      <c r="D33" s="525"/>
      <c r="E33" s="525"/>
      <c r="F33" s="525"/>
      <c r="G33" s="525"/>
      <c r="H33" s="525"/>
      <c r="I33" s="525"/>
      <c r="J33" s="525"/>
      <c r="K33" s="525"/>
      <c r="L33" s="525"/>
      <c r="M33" s="525"/>
      <c r="N33" s="525"/>
      <c r="O33" s="525"/>
      <c r="P33" s="525"/>
      <c r="Q33" s="525"/>
      <c r="R33" s="525"/>
      <c r="S33" s="525"/>
      <c r="T33" s="525"/>
      <c r="U33" s="525"/>
      <c r="V33" s="525"/>
    </row>
    <row r="34" spans="1:22">
      <c r="A34" s="917"/>
      <c r="B34" s="525"/>
      <c r="C34" s="525"/>
      <c r="D34" s="525"/>
      <c r="E34" s="525"/>
      <c r="F34" s="525"/>
      <c r="G34" s="525"/>
      <c r="H34" s="525"/>
      <c r="I34" s="525"/>
      <c r="J34" s="525"/>
      <c r="K34" s="525"/>
      <c r="L34" s="525"/>
      <c r="M34" s="525"/>
      <c r="N34" s="525"/>
      <c r="O34" s="525"/>
      <c r="P34" s="525"/>
      <c r="Q34" s="525"/>
      <c r="R34" s="525"/>
      <c r="S34" s="525"/>
      <c r="T34" s="525"/>
      <c r="U34" s="525"/>
      <c r="V34" s="525"/>
    </row>
    <row r="35" spans="1:22">
      <c r="A35" s="525"/>
      <c r="B35" s="525"/>
      <c r="C35" s="525"/>
      <c r="D35" s="525"/>
      <c r="E35" s="525"/>
      <c r="F35" s="525"/>
      <c r="G35" s="525"/>
      <c r="H35" s="525"/>
      <c r="I35" s="525"/>
      <c r="J35" s="525"/>
      <c r="K35" s="525"/>
      <c r="L35" s="525"/>
      <c r="M35" s="525"/>
      <c r="N35" s="525"/>
      <c r="O35" s="525"/>
      <c r="P35" s="525"/>
      <c r="Q35" s="525"/>
      <c r="R35" s="525"/>
      <c r="S35" s="525"/>
      <c r="T35" s="525"/>
      <c r="U35" s="525"/>
      <c r="V35" s="525"/>
    </row>
    <row r="36" spans="1:22">
      <c r="A36" s="536"/>
      <c r="B36" s="536"/>
      <c r="C36" s="536"/>
      <c r="D36" s="536"/>
      <c r="E36" s="536"/>
      <c r="F36" s="525"/>
      <c r="G36" s="525"/>
      <c r="H36" s="525"/>
      <c r="I36" s="525"/>
      <c r="J36" s="525"/>
      <c r="K36" s="525"/>
      <c r="L36" s="525"/>
      <c r="M36" s="525"/>
      <c r="N36" s="525"/>
      <c r="O36" s="525"/>
      <c r="P36" s="525"/>
      <c r="Q36" s="525"/>
      <c r="R36" s="525"/>
      <c r="S36" s="525"/>
      <c r="T36" s="525"/>
      <c r="U36" s="525"/>
      <c r="V36" s="525"/>
    </row>
    <row r="37" spans="1:22">
      <c r="A37" s="536"/>
      <c r="B37" s="525"/>
      <c r="C37" s="525"/>
      <c r="D37" s="525"/>
      <c r="E37" s="525"/>
      <c r="F37" s="525"/>
      <c r="G37" s="525"/>
      <c r="H37" s="525"/>
      <c r="I37" s="525"/>
      <c r="J37" s="525"/>
      <c r="K37" s="525"/>
      <c r="L37" s="525"/>
      <c r="M37" s="525"/>
      <c r="N37" s="525"/>
      <c r="O37" s="525"/>
      <c r="P37" s="525"/>
      <c r="Q37" s="525"/>
      <c r="R37" s="525"/>
      <c r="S37" s="525"/>
      <c r="T37" s="525"/>
      <c r="U37" s="525"/>
      <c r="V37" s="525"/>
    </row>
    <row r="38" spans="1:22">
      <c r="A38" s="525"/>
      <c r="B38" s="525"/>
      <c r="C38" s="525"/>
      <c r="D38" s="525"/>
      <c r="E38" s="525"/>
      <c r="F38" s="525"/>
      <c r="G38" s="525"/>
      <c r="H38" s="525"/>
      <c r="I38" s="525"/>
      <c r="J38" s="525"/>
      <c r="K38" s="525"/>
      <c r="L38" s="525"/>
      <c r="M38" s="525"/>
      <c r="N38" s="525"/>
      <c r="O38" s="525"/>
      <c r="P38" s="525"/>
      <c r="Q38" s="525"/>
      <c r="R38" s="525"/>
      <c r="S38" s="525"/>
      <c r="T38" s="525"/>
      <c r="U38" s="525"/>
      <c r="V38" s="525"/>
    </row>
    <row r="39" spans="1:22">
      <c r="A39" s="525"/>
      <c r="B39" s="525"/>
      <c r="C39" s="525"/>
      <c r="D39" s="525"/>
      <c r="E39" s="525"/>
      <c r="F39" s="525"/>
      <c r="G39" s="525"/>
      <c r="H39" s="525"/>
      <c r="I39" s="525"/>
      <c r="J39" s="525"/>
      <c r="K39" s="525"/>
      <c r="L39" s="525"/>
      <c r="M39" s="525"/>
      <c r="N39" s="525"/>
      <c r="O39" s="525"/>
      <c r="P39" s="525"/>
      <c r="Q39" s="525"/>
      <c r="R39" s="525"/>
      <c r="S39" s="525"/>
      <c r="T39" s="525"/>
      <c r="U39" s="525"/>
      <c r="V39" s="525"/>
    </row>
    <row r="40" spans="1:22">
      <c r="A40" s="525"/>
      <c r="B40" s="525"/>
      <c r="C40" s="525"/>
      <c r="D40" s="525"/>
      <c r="E40" s="525"/>
      <c r="F40" s="525"/>
      <c r="G40" s="525"/>
      <c r="H40" s="525"/>
      <c r="I40" s="525"/>
      <c r="J40" s="525"/>
      <c r="K40" s="525"/>
      <c r="L40" s="525"/>
      <c r="M40" s="525"/>
      <c r="N40" s="525"/>
      <c r="O40" s="525"/>
      <c r="P40" s="525"/>
      <c r="Q40" s="525"/>
      <c r="R40" s="525"/>
      <c r="S40" s="525"/>
      <c r="T40" s="525"/>
      <c r="U40" s="525"/>
      <c r="V40" s="525"/>
    </row>
    <row r="41" spans="1:22">
      <c r="A41" s="525"/>
      <c r="B41" s="525"/>
      <c r="C41" s="525"/>
      <c r="D41" s="525"/>
      <c r="E41" s="525"/>
      <c r="F41" s="525"/>
      <c r="G41" s="525"/>
      <c r="H41" s="525"/>
      <c r="I41" s="525"/>
      <c r="J41" s="525"/>
      <c r="K41" s="525"/>
      <c r="L41" s="525"/>
      <c r="M41" s="525"/>
      <c r="N41" s="525"/>
      <c r="O41" s="525"/>
      <c r="P41" s="525"/>
      <c r="Q41" s="525"/>
      <c r="R41" s="525"/>
      <c r="S41" s="525"/>
      <c r="T41" s="525"/>
      <c r="U41" s="525"/>
      <c r="V41" s="525"/>
    </row>
    <row r="42" spans="1:22">
      <c r="A42" s="525"/>
      <c r="B42" s="525"/>
      <c r="C42" s="525"/>
      <c r="D42" s="525"/>
      <c r="E42" s="525"/>
      <c r="F42" s="525"/>
      <c r="G42" s="525"/>
      <c r="H42" s="525"/>
      <c r="I42" s="525"/>
      <c r="J42" s="525"/>
      <c r="K42" s="525"/>
      <c r="L42" s="525"/>
      <c r="M42" s="525"/>
      <c r="N42" s="525"/>
      <c r="O42" s="525"/>
      <c r="P42" s="525"/>
      <c r="Q42" s="525"/>
      <c r="R42" s="525"/>
      <c r="S42" s="525"/>
      <c r="T42" s="525"/>
      <c r="U42" s="525"/>
      <c r="V42" s="525"/>
    </row>
    <row r="43" spans="1:22">
      <c r="A43" s="525"/>
      <c r="B43" s="525"/>
      <c r="C43" s="525"/>
      <c r="D43" s="525"/>
      <c r="E43" s="525"/>
      <c r="F43" s="525"/>
      <c r="G43" s="525"/>
      <c r="H43" s="525"/>
      <c r="I43" s="525"/>
      <c r="J43" s="525"/>
      <c r="K43" s="525"/>
      <c r="L43" s="525"/>
      <c r="M43" s="525"/>
      <c r="N43" s="525"/>
      <c r="O43" s="525"/>
      <c r="P43" s="525"/>
      <c r="Q43" s="525"/>
      <c r="R43" s="525"/>
      <c r="S43" s="525"/>
      <c r="T43" s="525"/>
      <c r="U43" s="525"/>
      <c r="V43" s="525"/>
    </row>
    <row r="44" spans="1:22">
      <c r="A44" s="525"/>
      <c r="B44" s="525"/>
      <c r="C44" s="525"/>
      <c r="D44" s="525"/>
      <c r="E44" s="525"/>
      <c r="F44" s="525"/>
      <c r="G44" s="525"/>
      <c r="H44" s="525"/>
      <c r="I44" s="525"/>
      <c r="J44" s="525"/>
      <c r="K44" s="525"/>
      <c r="L44" s="525"/>
      <c r="M44" s="525"/>
      <c r="N44" s="525"/>
      <c r="O44" s="525"/>
      <c r="P44" s="525"/>
      <c r="Q44" s="525"/>
      <c r="R44" s="525"/>
      <c r="S44" s="525"/>
      <c r="T44" s="525"/>
      <c r="U44" s="525"/>
      <c r="V44" s="525"/>
    </row>
    <row r="45" spans="1:22">
      <c r="A45" s="525"/>
      <c r="B45" s="525"/>
      <c r="C45" s="525"/>
      <c r="D45" s="525"/>
      <c r="E45" s="525"/>
      <c r="F45" s="525"/>
      <c r="G45" s="525"/>
      <c r="H45" s="525"/>
      <c r="I45" s="525"/>
      <c r="J45" s="525"/>
      <c r="K45" s="525"/>
      <c r="L45" s="525"/>
      <c r="M45" s="525"/>
      <c r="N45" s="525"/>
      <c r="O45" s="525"/>
      <c r="P45" s="525"/>
      <c r="Q45" s="525"/>
      <c r="R45" s="525"/>
      <c r="S45" s="525"/>
      <c r="T45" s="525"/>
      <c r="U45" s="525"/>
      <c r="V45" s="525"/>
    </row>
    <row r="46" spans="1:22">
      <c r="A46" s="525"/>
      <c r="B46" s="525"/>
      <c r="C46" s="525"/>
      <c r="D46" s="525"/>
      <c r="E46" s="525"/>
      <c r="F46" s="525"/>
      <c r="G46" s="525"/>
      <c r="H46" s="525"/>
      <c r="I46" s="525"/>
      <c r="J46" s="525"/>
      <c r="K46" s="525"/>
      <c r="L46" s="525"/>
      <c r="M46" s="525"/>
      <c r="N46" s="525"/>
      <c r="O46" s="525"/>
      <c r="P46" s="525"/>
      <c r="Q46" s="525"/>
      <c r="R46" s="525"/>
      <c r="S46" s="525"/>
      <c r="T46" s="525"/>
      <c r="U46" s="525"/>
      <c r="V46" s="525"/>
    </row>
    <row r="47" spans="1:22">
      <c r="A47" s="525"/>
      <c r="B47" s="525"/>
      <c r="C47" s="525"/>
      <c r="D47" s="525"/>
      <c r="E47" s="525"/>
      <c r="F47" s="525"/>
      <c r="G47" s="525"/>
      <c r="H47" s="525"/>
      <c r="I47" s="525"/>
      <c r="J47" s="525"/>
      <c r="K47" s="525"/>
      <c r="L47" s="525"/>
      <c r="M47" s="525"/>
      <c r="N47" s="525"/>
      <c r="O47" s="525"/>
      <c r="P47" s="525"/>
      <c r="Q47" s="525"/>
      <c r="R47" s="525"/>
      <c r="S47" s="525"/>
      <c r="T47" s="525"/>
      <c r="U47" s="525"/>
      <c r="V47" s="525"/>
    </row>
    <row r="48" spans="1:22">
      <c r="A48" s="525"/>
      <c r="B48" s="525"/>
      <c r="C48" s="525"/>
      <c r="D48" s="525"/>
      <c r="E48" s="525"/>
      <c r="F48" s="525"/>
      <c r="G48" s="525"/>
      <c r="H48" s="525"/>
      <c r="I48" s="525"/>
      <c r="J48" s="525"/>
      <c r="K48" s="525"/>
      <c r="L48" s="525"/>
      <c r="M48" s="525"/>
      <c r="N48" s="525"/>
      <c r="O48" s="525"/>
      <c r="P48" s="525"/>
      <c r="Q48" s="525"/>
      <c r="R48" s="525"/>
      <c r="S48" s="525"/>
      <c r="T48" s="525"/>
      <c r="U48" s="525"/>
      <c r="V48" s="525"/>
    </row>
    <row r="49" spans="1:22">
      <c r="A49" s="525"/>
      <c r="B49" s="525"/>
      <c r="C49" s="525"/>
      <c r="D49" s="525"/>
      <c r="E49" s="525"/>
      <c r="F49" s="525"/>
      <c r="G49" s="525"/>
      <c r="H49" s="525"/>
      <c r="I49" s="525"/>
      <c r="J49" s="525"/>
      <c r="K49" s="525"/>
      <c r="L49" s="525"/>
      <c r="M49" s="525"/>
      <c r="N49" s="525"/>
      <c r="O49" s="525"/>
      <c r="P49" s="525"/>
      <c r="Q49" s="525"/>
      <c r="R49" s="525"/>
      <c r="S49" s="525"/>
      <c r="T49" s="525"/>
      <c r="U49" s="525"/>
      <c r="V49" s="525"/>
    </row>
  </sheetData>
  <mergeCells count="2">
    <mergeCell ref="O13:Q13"/>
    <mergeCell ref="I13:K13"/>
  </mergeCells>
  <phoneticPr fontId="19" type="noConversion"/>
  <pageMargins left="1" right="0.75" top="0.98425196850393704" bottom="0" header="0" footer="0"/>
  <pageSetup scale="77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53">
    <tabColor rgb="FFFFC000"/>
    <pageSetUpPr fitToPage="1"/>
  </sheetPr>
  <dimension ref="A1:V50"/>
  <sheetViews>
    <sheetView workbookViewId="0"/>
  </sheetViews>
  <sheetFormatPr defaultColWidth="16.44140625" defaultRowHeight="13.2"/>
  <cols>
    <col min="1" max="1" width="3.44140625" customWidth="1"/>
    <col min="2" max="2" width="7.44140625" customWidth="1"/>
    <col min="3" max="3" width="5.5546875" customWidth="1"/>
    <col min="4" max="4" width="14.5546875" customWidth="1"/>
    <col min="5" max="5" width="2.6640625" customWidth="1"/>
    <col min="6" max="8" width="16" customWidth="1"/>
    <col min="9" max="9" width="14.5546875" customWidth="1"/>
    <col min="10" max="10" width="12.5546875" customWidth="1"/>
    <col min="11" max="11" width="14.5546875" customWidth="1"/>
    <col min="12" max="12" width="3" customWidth="1"/>
    <col min="13" max="13" width="16.44140625" hidden="1" customWidth="1"/>
    <col min="14" max="14" width="1.5546875" hidden="1" customWidth="1"/>
    <col min="15" max="15" width="16.44140625" hidden="1" customWidth="1"/>
    <col min="16" max="16" width="2" hidden="1" customWidth="1"/>
    <col min="17" max="19" width="14.5546875" customWidth="1"/>
    <col min="20" max="20" width="5.44140625" customWidth="1"/>
    <col min="21" max="21" width="7.5546875" customWidth="1"/>
    <col min="22" max="22" width="2.5546875" customWidth="1"/>
    <col min="23" max="23" width="42.5546875" customWidth="1"/>
  </cols>
  <sheetData>
    <row r="1" spans="1:22">
      <c r="A1" s="885"/>
      <c r="B1" s="886"/>
      <c r="C1" s="887" t="str">
        <f>COMPANY</f>
        <v>DUKE ENERGY KENTUCKY, INC.</v>
      </c>
      <c r="D1" s="887"/>
      <c r="E1" s="887"/>
      <c r="F1" s="887"/>
      <c r="G1" s="887"/>
      <c r="H1" s="887"/>
      <c r="I1" s="887"/>
      <c r="J1" s="887"/>
      <c r="K1" s="887"/>
      <c r="L1" s="887"/>
      <c r="M1" s="887"/>
      <c r="N1" s="887"/>
      <c r="O1" s="887"/>
      <c r="P1" s="887"/>
      <c r="Q1" s="887"/>
      <c r="R1" s="887"/>
      <c r="S1" s="887"/>
      <c r="T1" s="885"/>
      <c r="U1" s="885"/>
      <c r="V1" s="885"/>
    </row>
    <row r="2" spans="1:22">
      <c r="A2" s="885"/>
      <c r="B2" s="886"/>
      <c r="C2" s="887" t="str">
        <f>CASE</f>
        <v>CASE NO. 2024-00354</v>
      </c>
      <c r="D2" s="887"/>
      <c r="E2" s="887"/>
      <c r="F2" s="887"/>
      <c r="G2" s="887"/>
      <c r="H2" s="887"/>
      <c r="I2" s="887"/>
      <c r="J2" s="887"/>
      <c r="K2" s="887"/>
      <c r="L2" s="887"/>
      <c r="M2" s="887"/>
      <c r="N2" s="887"/>
      <c r="O2" s="887"/>
      <c r="P2" s="887"/>
      <c r="Q2" s="887"/>
      <c r="R2" s="887"/>
      <c r="S2" s="887"/>
      <c r="T2" s="885"/>
      <c r="U2" s="885"/>
      <c r="V2" s="885"/>
    </row>
    <row r="3" spans="1:22">
      <c r="A3" s="885"/>
      <c r="B3" s="886"/>
      <c r="C3" s="887" t="s">
        <v>2589</v>
      </c>
      <c r="D3" s="887"/>
      <c r="E3" s="887"/>
      <c r="F3" s="887"/>
      <c r="G3" s="887"/>
      <c r="H3" s="887"/>
      <c r="I3" s="887"/>
      <c r="J3" s="887"/>
      <c r="K3" s="887"/>
      <c r="L3" s="887"/>
      <c r="M3" s="887"/>
      <c r="N3" s="887"/>
      <c r="O3" s="887"/>
      <c r="P3" s="887"/>
      <c r="Q3" s="887"/>
      <c r="R3" s="887"/>
      <c r="S3" s="887"/>
      <c r="T3" s="885"/>
      <c r="U3" s="885"/>
      <c r="V3" s="885"/>
    </row>
    <row r="4" spans="1:22">
      <c r="A4" s="885"/>
      <c r="B4" s="886"/>
      <c r="C4" s="887" t="str">
        <f>PERIOD</f>
        <v>FOR THE TWELVE MONTHS ENDED FEBRUARY 28, 2025</v>
      </c>
      <c r="D4" s="887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5"/>
      <c r="U4" s="885"/>
      <c r="V4" s="885"/>
    </row>
    <row r="5" spans="1:22">
      <c r="A5" s="885"/>
      <c r="B5" s="886"/>
      <c r="C5" s="887" t="str">
        <f>PeriodF</f>
        <v>FOR THE TWELVE MONTHS ENDED JUNE 30, 2026</v>
      </c>
      <c r="D5" s="887"/>
      <c r="E5" s="887"/>
      <c r="F5" s="887"/>
      <c r="G5" s="887"/>
      <c r="H5" s="887"/>
      <c r="I5" s="887"/>
      <c r="J5" s="887"/>
      <c r="K5" s="887"/>
      <c r="L5" s="887"/>
      <c r="M5" s="887"/>
      <c r="N5" s="887"/>
      <c r="O5" s="887"/>
      <c r="P5" s="887"/>
      <c r="Q5" s="887"/>
      <c r="R5" s="887"/>
      <c r="S5" s="887"/>
      <c r="T5" s="885"/>
      <c r="U5" s="885"/>
      <c r="V5" s="885"/>
    </row>
    <row r="6" spans="1:22">
      <c r="A6" s="885"/>
      <c r="B6" s="886"/>
      <c r="C6" s="885"/>
      <c r="D6" s="885"/>
      <c r="E6" s="885"/>
      <c r="F6" s="885"/>
      <c r="G6" s="885"/>
      <c r="H6" s="885"/>
      <c r="I6" s="885"/>
      <c r="J6" s="885"/>
      <c r="K6" s="885"/>
      <c r="L6" s="885"/>
      <c r="M6" s="885"/>
      <c r="N6" s="885"/>
      <c r="O6" s="885"/>
      <c r="P6" s="885"/>
      <c r="Q6" s="885"/>
      <c r="R6" s="885"/>
      <c r="S6" s="885"/>
      <c r="T6" s="885"/>
      <c r="U6" s="885"/>
      <c r="V6" s="885"/>
    </row>
    <row r="7" spans="1:22">
      <c r="A7" s="885"/>
      <c r="B7" s="886"/>
      <c r="C7" s="885" t="str">
        <f>DataB</f>
        <v>DATA: "X" BASE PERIOD  "X" FORECASTED PERIOD</v>
      </c>
      <c r="D7" s="885"/>
      <c r="E7" s="885"/>
      <c r="F7" s="885"/>
      <c r="G7" s="885"/>
      <c r="H7" s="885"/>
      <c r="I7" s="885"/>
      <c r="J7" s="885"/>
      <c r="K7" s="885"/>
      <c r="L7" s="885"/>
      <c r="M7" s="885"/>
      <c r="N7" s="885"/>
      <c r="O7" s="885"/>
      <c r="P7" s="888"/>
      <c r="Q7" s="885"/>
      <c r="R7" s="888" t="s">
        <v>2590</v>
      </c>
      <c r="S7" s="885"/>
      <c r="T7" s="885"/>
      <c r="U7" s="885"/>
      <c r="V7" s="885"/>
    </row>
    <row r="8" spans="1:22">
      <c r="A8" s="885"/>
      <c r="B8" s="886"/>
      <c r="C8" s="885" t="str">
        <f>Type</f>
        <v xml:space="preserve">TYPE OF FILING:  "X" ORIGINAL   UPDATED    REVISED  </v>
      </c>
      <c r="D8" s="885"/>
      <c r="E8" s="885"/>
      <c r="F8" s="885"/>
      <c r="G8" s="885"/>
      <c r="H8" s="885"/>
      <c r="I8" s="885"/>
      <c r="J8" s="885"/>
      <c r="K8" s="885"/>
      <c r="L8" s="885"/>
      <c r="M8" s="885"/>
      <c r="N8" s="885"/>
      <c r="O8" s="885"/>
      <c r="P8" s="888"/>
      <c r="Q8" s="885"/>
      <c r="R8" s="888" t="s">
        <v>466</v>
      </c>
      <c r="S8" s="885"/>
      <c r="T8" s="885"/>
      <c r="U8" s="885"/>
      <c r="V8" s="885"/>
    </row>
    <row r="9" spans="1:22">
      <c r="A9" s="885"/>
      <c r="B9" s="886"/>
      <c r="C9" s="888" t="s">
        <v>2591</v>
      </c>
      <c r="D9" s="885"/>
      <c r="E9" s="885"/>
      <c r="F9" s="885"/>
      <c r="G9" s="885"/>
      <c r="H9" s="885"/>
      <c r="I9" s="885"/>
      <c r="J9" s="885"/>
      <c r="K9" s="885"/>
      <c r="L9" s="885"/>
      <c r="M9" s="885"/>
      <c r="N9" s="885"/>
      <c r="O9" s="885"/>
      <c r="P9" s="888"/>
      <c r="Q9" s="885"/>
      <c r="R9" s="888" t="s">
        <v>468</v>
      </c>
      <c r="S9" s="885"/>
      <c r="T9" s="885"/>
      <c r="U9" s="885"/>
      <c r="V9" s="885"/>
    </row>
    <row r="10" spans="1:22">
      <c r="A10" s="885"/>
      <c r="B10" s="886"/>
      <c r="C10" s="885"/>
      <c r="D10" s="885"/>
      <c r="E10" s="885"/>
      <c r="F10" s="885"/>
      <c r="G10" s="885"/>
      <c r="H10" s="885"/>
      <c r="I10" s="885"/>
      <c r="J10" s="885"/>
      <c r="K10" s="885"/>
      <c r="L10" s="885"/>
      <c r="M10" s="885"/>
      <c r="N10" s="885"/>
      <c r="O10" s="885"/>
      <c r="P10" s="886"/>
      <c r="Q10" s="885"/>
      <c r="R10" s="1766" t="str">
        <f>_WIT1</f>
        <v>L. D. STEINKUHL</v>
      </c>
      <c r="S10" s="885"/>
      <c r="T10" s="885"/>
      <c r="U10" s="885"/>
      <c r="V10" s="885"/>
    </row>
    <row r="11" spans="1:22">
      <c r="A11" s="885"/>
      <c r="B11" s="886"/>
      <c r="C11" s="1566"/>
      <c r="D11" s="1566"/>
      <c r="E11" s="1566"/>
      <c r="F11" s="1566"/>
      <c r="G11" s="1566"/>
      <c r="H11" s="1566"/>
      <c r="I11" s="1566"/>
      <c r="J11" s="1566"/>
      <c r="K11" s="1566"/>
      <c r="L11" s="1566"/>
      <c r="M11" s="1566"/>
      <c r="N11" s="1566"/>
      <c r="O11" s="1566"/>
      <c r="P11" s="1566"/>
      <c r="Q11" s="1566"/>
      <c r="R11" s="1566"/>
      <c r="S11" s="1566"/>
      <c r="T11" s="885"/>
      <c r="U11" s="885"/>
      <c r="V11" s="885"/>
    </row>
    <row r="12" spans="1:22">
      <c r="A12" s="885"/>
      <c r="B12" s="886"/>
      <c r="C12" s="885"/>
      <c r="D12" s="885"/>
      <c r="E12" s="885"/>
      <c r="F12" s="885"/>
      <c r="G12" s="885"/>
      <c r="H12" s="885"/>
      <c r="I12" s="2162" t="s">
        <v>252</v>
      </c>
      <c r="J12" s="2163"/>
      <c r="K12" s="2163"/>
      <c r="L12" s="885"/>
      <c r="M12" s="885"/>
      <c r="N12" s="885"/>
      <c r="O12" s="885"/>
      <c r="P12" s="886"/>
      <c r="Q12" s="2162" t="s">
        <v>403</v>
      </c>
      <c r="R12" s="2163"/>
      <c r="S12" s="2163"/>
      <c r="T12" s="886"/>
      <c r="U12" s="885"/>
      <c r="V12" s="885"/>
    </row>
    <row r="13" spans="1:22">
      <c r="A13" s="885"/>
      <c r="B13" s="886"/>
      <c r="C13" s="886" t="s">
        <v>471</v>
      </c>
      <c r="D13" s="886" t="s">
        <v>1045</v>
      </c>
      <c r="E13" s="885"/>
      <c r="F13" s="885"/>
      <c r="G13" s="885"/>
      <c r="H13" s="885"/>
      <c r="I13" s="889" t="s">
        <v>972</v>
      </c>
      <c r="J13" s="2422" t="s">
        <v>937</v>
      </c>
      <c r="K13" s="2422"/>
      <c r="L13" s="885"/>
      <c r="M13" s="885"/>
      <c r="N13" s="886"/>
      <c r="O13" s="886" t="s">
        <v>2592</v>
      </c>
      <c r="P13" s="886"/>
      <c r="Q13" s="890" t="s">
        <v>972</v>
      </c>
      <c r="R13" s="2423" t="s">
        <v>937</v>
      </c>
      <c r="S13" s="2423"/>
      <c r="T13" s="886"/>
      <c r="U13" s="885"/>
      <c r="V13" s="885"/>
    </row>
    <row r="14" spans="1:22">
      <c r="A14" s="885"/>
      <c r="B14" s="886"/>
      <c r="C14" s="886" t="s">
        <v>475</v>
      </c>
      <c r="D14" s="886" t="s">
        <v>2593</v>
      </c>
      <c r="E14" s="2424" t="s">
        <v>2594</v>
      </c>
      <c r="F14" s="2424"/>
      <c r="G14" s="2424"/>
      <c r="H14" s="885"/>
      <c r="I14" s="891" t="s">
        <v>1153</v>
      </c>
      <c r="J14" s="892" t="s">
        <v>2548</v>
      </c>
      <c r="K14" s="891" t="s">
        <v>975</v>
      </c>
      <c r="L14" s="885"/>
      <c r="M14" s="886" t="s">
        <v>2595</v>
      </c>
      <c r="N14" s="886"/>
      <c r="O14" s="886" t="s">
        <v>2595</v>
      </c>
      <c r="P14" s="886"/>
      <c r="Q14" s="891" t="s">
        <v>1153</v>
      </c>
      <c r="R14" s="893" t="s">
        <v>2548</v>
      </c>
      <c r="S14" s="894" t="s">
        <v>975</v>
      </c>
      <c r="T14" s="886"/>
      <c r="U14" s="885"/>
      <c r="V14" s="885"/>
    </row>
    <row r="15" spans="1:22">
      <c r="A15" s="885"/>
      <c r="B15" s="886"/>
      <c r="C15" s="1567"/>
      <c r="D15" s="1568"/>
      <c r="E15" s="1568"/>
      <c r="F15" s="1568"/>
      <c r="G15" s="1568"/>
      <c r="H15" s="1568"/>
      <c r="I15" s="1562"/>
      <c r="J15" s="1563" t="s">
        <v>853</v>
      </c>
      <c r="K15" s="1562"/>
      <c r="L15" s="1568"/>
      <c r="M15" s="1567"/>
      <c r="N15" s="1566"/>
      <c r="O15" s="1567"/>
      <c r="P15" s="1566"/>
      <c r="Q15" s="1564"/>
      <c r="R15" s="1565" t="s">
        <v>853</v>
      </c>
      <c r="S15" s="1564"/>
      <c r="T15" s="886"/>
      <c r="U15" s="885"/>
      <c r="V15" s="885"/>
    </row>
    <row r="16" spans="1:22">
      <c r="A16" s="885"/>
      <c r="B16" s="886"/>
      <c r="C16" s="885"/>
      <c r="D16" s="885"/>
      <c r="E16" s="885"/>
      <c r="F16" s="885"/>
      <c r="G16" s="885"/>
      <c r="H16" s="885"/>
      <c r="I16" s="891" t="s">
        <v>1371</v>
      </c>
      <c r="J16" s="891" t="s">
        <v>420</v>
      </c>
      <c r="K16" s="891" t="s">
        <v>1371</v>
      </c>
      <c r="L16" s="885"/>
      <c r="M16" s="886" t="s">
        <v>1371</v>
      </c>
      <c r="N16" s="886"/>
      <c r="O16" s="886" t="s">
        <v>1371</v>
      </c>
      <c r="P16" s="886"/>
      <c r="Q16" s="894" t="s">
        <v>1371</v>
      </c>
      <c r="R16" s="894" t="s">
        <v>420</v>
      </c>
      <c r="S16" s="894" t="s">
        <v>1371</v>
      </c>
      <c r="T16" s="895"/>
      <c r="U16" s="885"/>
      <c r="V16" s="885"/>
    </row>
    <row r="17" spans="1:22">
      <c r="A17" s="885"/>
      <c r="B17" s="886"/>
      <c r="C17" s="886">
        <v>1</v>
      </c>
      <c r="D17" s="885"/>
      <c r="E17" s="896" t="s">
        <v>2596</v>
      </c>
      <c r="F17" s="885"/>
      <c r="G17" s="885"/>
      <c r="H17" s="885"/>
      <c r="I17" s="885"/>
      <c r="J17" s="885"/>
      <c r="K17" s="885"/>
      <c r="L17" s="885"/>
      <c r="M17" s="885"/>
      <c r="N17" s="885"/>
      <c r="O17" s="885"/>
      <c r="P17" s="885"/>
      <c r="Q17" s="885"/>
      <c r="R17" s="885"/>
      <c r="S17" s="885"/>
      <c r="T17" s="885"/>
      <c r="U17" s="885"/>
      <c r="V17" s="885"/>
    </row>
    <row r="18" spans="1:22">
      <c r="A18" s="885"/>
      <c r="B18" s="886">
        <v>908</v>
      </c>
      <c r="C18" s="886">
        <v>2</v>
      </c>
      <c r="D18" s="886">
        <v>908</v>
      </c>
      <c r="E18" s="897" t="str">
        <f>'SCH_C2.1 - Base Period'!F230</f>
        <v xml:space="preserve">  Customer Assistance Activities</v>
      </c>
      <c r="F18" s="885"/>
      <c r="G18" s="885"/>
      <c r="H18" s="885"/>
      <c r="I18" s="215">
        <f t="array" ref="I18">SUM(IF(FERCBP=B18,AmountBP))</f>
        <v>100</v>
      </c>
      <c r="J18" s="898">
        <f>VLOOKUP($F$35,ALLOCTABLE,2)</f>
        <v>100</v>
      </c>
      <c r="K18" s="897">
        <f>ROUND(I18*(J18/100),0)</f>
        <v>100</v>
      </c>
      <c r="L18" s="885"/>
      <c r="M18" s="899">
        <v>0</v>
      </c>
      <c r="N18" s="899"/>
      <c r="O18" s="897">
        <f>Q18-M18</f>
        <v>0</v>
      </c>
      <c r="P18" s="897"/>
      <c r="Q18" s="215">
        <f t="array" ref="Q18">SUM(IF(FERCFP=B18,AmountFP))</f>
        <v>0</v>
      </c>
      <c r="R18" s="898">
        <f>VLOOKUP($F$35,ALLOCTABLE,2)</f>
        <v>100</v>
      </c>
      <c r="S18" s="897">
        <f>ROUND(Q18*(R18/100),0)</f>
        <v>0</v>
      </c>
      <c r="T18" s="885"/>
      <c r="U18" s="885"/>
      <c r="V18" s="885"/>
    </row>
    <row r="19" spans="1:22">
      <c r="A19" s="885"/>
      <c r="B19" s="886">
        <v>909</v>
      </c>
      <c r="C19" s="886">
        <v>3</v>
      </c>
      <c r="D19" s="886">
        <v>909</v>
      </c>
      <c r="E19" s="897" t="str">
        <f>'SCH_C2.1 - Base Period'!F231</f>
        <v xml:space="preserve">  Informational &amp; Instructional Adver.</v>
      </c>
      <c r="F19" s="885"/>
      <c r="G19" s="885"/>
      <c r="H19" s="885"/>
      <c r="I19" s="215">
        <f t="array" ref="I19">SUM(IF(FERCBP=B19,AmountBP))</f>
        <v>6719</v>
      </c>
      <c r="J19" s="898">
        <f>VLOOKUP($F$35,ALLOCTABLE,2)</f>
        <v>100</v>
      </c>
      <c r="K19" s="897">
        <f>ROUND(I19*(J19/100),0)</f>
        <v>6719</v>
      </c>
      <c r="L19" s="900"/>
      <c r="M19" s="899">
        <v>0</v>
      </c>
      <c r="N19" s="899"/>
      <c r="O19" s="897">
        <f>Q19-M19</f>
        <v>0</v>
      </c>
      <c r="P19" s="897"/>
      <c r="Q19" s="215">
        <f t="array" ref="Q19">SUM(IF(FERCFP=B19,AmountFP))</f>
        <v>0</v>
      </c>
      <c r="R19" s="898">
        <f>VLOOKUP($F$35,ALLOCTABLE,2)</f>
        <v>100</v>
      </c>
      <c r="S19" s="897">
        <f>ROUND(Q19*(R19/100),0)</f>
        <v>0</v>
      </c>
      <c r="T19" s="885"/>
      <c r="U19" s="885"/>
      <c r="V19" s="885"/>
    </row>
    <row r="20" spans="1:22">
      <c r="A20" s="885"/>
      <c r="B20" s="886">
        <v>910</v>
      </c>
      <c r="C20" s="886">
        <v>4</v>
      </c>
      <c r="D20" s="886">
        <v>910</v>
      </c>
      <c r="E20" s="897" t="str">
        <f>'SCH_C2.1 - Base Period'!F232</f>
        <v xml:space="preserve">  Misc. Cust. Serv. &amp; Info.</v>
      </c>
      <c r="F20" s="885"/>
      <c r="G20" s="885"/>
      <c r="H20" s="885"/>
      <c r="I20" s="215">
        <f t="array" ref="I20">SUM(IF(FERCBP=B20,AmountBP))</f>
        <v>1168708</v>
      </c>
      <c r="J20" s="898">
        <f>VLOOKUP($F$35,ALLOCTABLE,2)</f>
        <v>100</v>
      </c>
      <c r="K20" s="897">
        <f>ROUND(I20*(J20/100),0)</f>
        <v>1168708</v>
      </c>
      <c r="L20" s="900"/>
      <c r="M20" s="899">
        <v>0</v>
      </c>
      <c r="N20" s="899"/>
      <c r="O20" s="897">
        <f>Q20-M20</f>
        <v>1514280</v>
      </c>
      <c r="P20" s="897"/>
      <c r="Q20" s="215">
        <f t="array" ref="Q20">SUM(IF(FERCFP=B20,AmountFP))</f>
        <v>1514280</v>
      </c>
      <c r="R20" s="898">
        <f>VLOOKUP($F$35,ALLOCTABLE,2)</f>
        <v>100</v>
      </c>
      <c r="S20" s="897">
        <f>ROUND(Q20*(R20/100),0)</f>
        <v>1514280</v>
      </c>
      <c r="T20" s="885"/>
      <c r="U20" s="885"/>
      <c r="V20" s="885"/>
    </row>
    <row r="21" spans="1:22">
      <c r="A21" s="885"/>
      <c r="B21" s="886"/>
      <c r="C21" s="886">
        <v>5</v>
      </c>
      <c r="D21" s="886"/>
      <c r="E21" s="888" t="s">
        <v>2597</v>
      </c>
      <c r="F21" s="885"/>
      <c r="G21" s="885"/>
      <c r="H21" s="885"/>
      <c r="I21" s="2165">
        <f>SUM(I18:I20)</f>
        <v>1175527</v>
      </c>
      <c r="J21" s="886"/>
      <c r="K21" s="2165">
        <f>SUM(K18:K20)</f>
        <v>1175527</v>
      </c>
      <c r="L21" s="885"/>
      <c r="M21" s="2165">
        <f>SUM(M18:M20)</f>
        <v>0</v>
      </c>
      <c r="N21" s="897"/>
      <c r="O21" s="2165">
        <f>SUM(O18:O20)</f>
        <v>1514280</v>
      </c>
      <c r="P21" s="897"/>
      <c r="Q21" s="2165">
        <f>SUM(Q18:Q20)</f>
        <v>1514280</v>
      </c>
      <c r="R21" s="886"/>
      <c r="S21" s="2165">
        <f>SUM(S18:S20)</f>
        <v>1514280</v>
      </c>
      <c r="T21" s="885"/>
      <c r="U21" s="885"/>
      <c r="V21" s="885"/>
    </row>
    <row r="22" spans="1:22">
      <c r="A22" s="885"/>
      <c r="B22" s="886"/>
      <c r="C22" s="886">
        <v>6</v>
      </c>
      <c r="D22" s="886"/>
      <c r="E22" s="888"/>
      <c r="F22" s="885"/>
      <c r="G22" s="885"/>
      <c r="H22" s="885"/>
      <c r="I22" s="897"/>
      <c r="J22" s="898"/>
      <c r="K22" s="897"/>
      <c r="L22" s="900"/>
      <c r="M22" s="899"/>
      <c r="N22" s="899"/>
      <c r="O22" s="897"/>
      <c r="P22" s="897"/>
      <c r="Q22" s="897"/>
      <c r="R22" s="898"/>
      <c r="S22" s="897"/>
      <c r="T22" s="885"/>
      <c r="U22" s="885"/>
      <c r="V22" s="885"/>
    </row>
    <row r="23" spans="1:22">
      <c r="A23" s="885"/>
      <c r="B23" s="886"/>
      <c r="C23" s="886">
        <v>7</v>
      </c>
      <c r="D23" s="886"/>
      <c r="E23" s="896" t="s">
        <v>342</v>
      </c>
      <c r="F23" s="885"/>
      <c r="G23" s="885"/>
      <c r="H23" s="885"/>
      <c r="I23" s="897"/>
      <c r="J23" s="898"/>
      <c r="K23" s="897"/>
      <c r="L23" s="900"/>
      <c r="M23" s="899"/>
      <c r="N23" s="899"/>
      <c r="O23" s="897"/>
      <c r="P23" s="897"/>
      <c r="Q23" s="897"/>
      <c r="R23" s="898"/>
      <c r="S23" s="897"/>
      <c r="T23" s="885"/>
      <c r="U23" s="885"/>
      <c r="V23" s="885"/>
    </row>
    <row r="24" spans="1:22">
      <c r="A24" s="885"/>
      <c r="B24" s="886">
        <v>911</v>
      </c>
      <c r="C24" s="886">
        <v>8</v>
      </c>
      <c r="D24" s="886">
        <v>911</v>
      </c>
      <c r="E24" s="897" t="str">
        <f>'SCH_C2.1 - Base Period'!F239</f>
        <v xml:space="preserve">  Supervision</v>
      </c>
      <c r="F24" s="885"/>
      <c r="G24" s="885"/>
      <c r="H24" s="885"/>
      <c r="I24" s="215">
        <f t="array" ref="I24">SUM(IF(FERCBP=B24,AmountBP))</f>
        <v>0</v>
      </c>
      <c r="J24" s="898">
        <f>VLOOKUP($F$35,ALLOCTABLE,2)</f>
        <v>100</v>
      </c>
      <c r="K24" s="897">
        <f>ROUND(I24*(J24/100),0)</f>
        <v>0</v>
      </c>
      <c r="L24" s="900"/>
      <c r="M24" s="899">
        <v>0</v>
      </c>
      <c r="N24" s="899"/>
      <c r="O24" s="897">
        <f>Q24-M24</f>
        <v>0</v>
      </c>
      <c r="P24" s="897"/>
      <c r="Q24" s="215">
        <f t="array" ref="Q24">SUM(IF(FERCFP=B24,AmountFP))</f>
        <v>0</v>
      </c>
      <c r="R24" s="898">
        <f>VLOOKUP($F$35,ALLOCTABLE,2)</f>
        <v>100</v>
      </c>
      <c r="S24" s="897">
        <f>ROUND(Q24*(R24/100),0)</f>
        <v>0</v>
      </c>
      <c r="T24" s="885"/>
      <c r="U24" s="885"/>
      <c r="V24" s="885"/>
    </row>
    <row r="25" spans="1:22">
      <c r="A25" s="885"/>
      <c r="B25" s="886">
        <v>912</v>
      </c>
      <c r="C25" s="886">
        <v>9</v>
      </c>
      <c r="D25" s="886">
        <v>912</v>
      </c>
      <c r="E25" s="897" t="str">
        <f>'SCH_C2.1 - Base Period'!F240</f>
        <v xml:space="preserve">  Demonstrating &amp; Selling Exp</v>
      </c>
      <c r="F25" s="885"/>
      <c r="G25" s="885"/>
      <c r="H25" s="885"/>
      <c r="I25" s="215">
        <f t="array" ref="I25">SUM(IF(FERCBP=B25,AmountBP))</f>
        <v>74183</v>
      </c>
      <c r="J25" s="898">
        <f>VLOOKUP($F$35,ALLOCTABLE,2)</f>
        <v>100</v>
      </c>
      <c r="K25" s="897">
        <f>ROUND(I25*(J25/100),0)</f>
        <v>74183</v>
      </c>
      <c r="L25" s="900"/>
      <c r="M25" s="899">
        <v>0</v>
      </c>
      <c r="N25" s="899"/>
      <c r="O25" s="897">
        <f>Q25-M25</f>
        <v>102807</v>
      </c>
      <c r="P25" s="897"/>
      <c r="Q25" s="215">
        <f t="array" ref="Q25">SUM(IF(FERCFP=B25,AmountFP))</f>
        <v>102807</v>
      </c>
      <c r="R25" s="898">
        <f>VLOOKUP($F$35,ALLOCTABLE,2)</f>
        <v>100</v>
      </c>
      <c r="S25" s="897">
        <f>ROUND(Q25*(R25/100),0)</f>
        <v>102807</v>
      </c>
      <c r="T25" s="885"/>
      <c r="U25" s="885"/>
      <c r="V25" s="885"/>
    </row>
    <row r="26" spans="1:22">
      <c r="A26" s="885"/>
      <c r="B26" s="886">
        <v>913</v>
      </c>
      <c r="C26" s="886">
        <v>10</v>
      </c>
      <c r="D26" s="886">
        <v>913</v>
      </c>
      <c r="E26" s="897" t="str">
        <f>'SCH_C2.1 - Base Period'!F241</f>
        <v xml:space="preserve">  Advertising</v>
      </c>
      <c r="F26" s="885"/>
      <c r="G26" s="885"/>
      <c r="H26" s="885"/>
      <c r="I26" s="215">
        <f t="array" ref="I26">SUM(IF(FERCBP=B26,AmountBP))</f>
        <v>77993</v>
      </c>
      <c r="J26" s="898">
        <f>VLOOKUP($F$35,ALLOCTABLE,2)</f>
        <v>100</v>
      </c>
      <c r="K26" s="897">
        <f>ROUND(I26*(J26/100),0)</f>
        <v>77993</v>
      </c>
      <c r="L26" s="900"/>
      <c r="M26" s="899"/>
      <c r="N26" s="899"/>
      <c r="O26" s="897"/>
      <c r="P26" s="897"/>
      <c r="Q26" s="215">
        <f t="array" ref="Q26">SUM(IF(FERCFP=B26,AmountFP))</f>
        <v>153352</v>
      </c>
      <c r="R26" s="898">
        <f>VLOOKUP($F$35,ALLOCTABLE,2)</f>
        <v>100</v>
      </c>
      <c r="S26" s="897">
        <f>ROUND(Q26*(R26/100),0)</f>
        <v>153352</v>
      </c>
      <c r="T26" s="885"/>
      <c r="U26" s="885"/>
      <c r="V26" s="885"/>
    </row>
    <row r="27" spans="1:22">
      <c r="A27" s="885"/>
      <c r="B27" s="886"/>
      <c r="C27" s="886">
        <v>11</v>
      </c>
      <c r="D27" s="886"/>
      <c r="E27" s="888" t="s">
        <v>2598</v>
      </c>
      <c r="F27" s="885"/>
      <c r="G27" s="885"/>
      <c r="H27" s="885"/>
      <c r="I27" s="2165">
        <f>SUM(I24:I26)</f>
        <v>152176</v>
      </c>
      <c r="J27" s="898"/>
      <c r="K27" s="2165">
        <f>SUM(K24:K26)</f>
        <v>152176</v>
      </c>
      <c r="L27" s="900"/>
      <c r="M27" s="899"/>
      <c r="N27" s="899"/>
      <c r="O27" s="897"/>
      <c r="P27" s="897"/>
      <c r="Q27" s="2165">
        <f>SUM(Q24:Q26)</f>
        <v>256159</v>
      </c>
      <c r="R27" s="898"/>
      <c r="S27" s="2165">
        <f>SUM(S24:S26)</f>
        <v>256159</v>
      </c>
      <c r="T27" s="885"/>
      <c r="U27" s="885"/>
      <c r="V27" s="885"/>
    </row>
    <row r="28" spans="1:22">
      <c r="A28" s="885"/>
      <c r="B28" s="886"/>
      <c r="C28" s="886">
        <v>12</v>
      </c>
      <c r="D28" s="886"/>
      <c r="E28" s="897"/>
      <c r="F28" s="885"/>
      <c r="G28" s="885"/>
      <c r="H28" s="885"/>
      <c r="I28" s="897"/>
      <c r="J28" s="898"/>
      <c r="K28" s="897"/>
      <c r="L28" s="900"/>
      <c r="M28" s="899"/>
      <c r="N28" s="899"/>
      <c r="O28" s="897"/>
      <c r="P28" s="897"/>
      <c r="Q28" s="897"/>
      <c r="R28" s="898"/>
      <c r="S28" s="897"/>
      <c r="T28" s="885"/>
      <c r="U28" s="885"/>
      <c r="V28" s="885"/>
    </row>
    <row r="29" spans="1:22">
      <c r="A29" s="885"/>
      <c r="B29" s="886"/>
      <c r="C29" s="886">
        <v>13</v>
      </c>
      <c r="D29" s="886"/>
      <c r="E29" s="896" t="s">
        <v>2599</v>
      </c>
      <c r="F29" s="885"/>
      <c r="G29" s="885"/>
      <c r="H29" s="885"/>
      <c r="I29" s="897"/>
      <c r="J29" s="898"/>
      <c r="K29" s="897"/>
      <c r="L29" s="900"/>
      <c r="M29" s="899"/>
      <c r="N29" s="899"/>
      <c r="O29" s="897"/>
      <c r="P29" s="897"/>
      <c r="Q29" s="897"/>
      <c r="R29" s="898"/>
      <c r="S29" s="897"/>
      <c r="T29" s="885"/>
      <c r="U29" s="885"/>
      <c r="V29" s="885"/>
    </row>
    <row r="30" spans="1:22">
      <c r="A30" s="885"/>
      <c r="B30" s="886">
        <v>930150</v>
      </c>
      <c r="C30" s="886">
        <v>14</v>
      </c>
      <c r="D30" s="886">
        <v>930150</v>
      </c>
      <c r="E30" s="897" t="str">
        <f>'SCH_C2.1 - Base Period'!F271</f>
        <v xml:space="preserve">  Miscellaneous Advertising Exp</v>
      </c>
      <c r="F30" s="885"/>
      <c r="G30" s="885"/>
      <c r="H30" s="885"/>
      <c r="I30" s="215">
        <f t="shared" ref="I30" si="0">ROUND(VLOOKUP(B30,BasePeriod,5,FALSE),0)</f>
        <v>266115</v>
      </c>
      <c r="J30" s="898">
        <f>VLOOKUP($F$35,ALLOCTABLE,2)</f>
        <v>100</v>
      </c>
      <c r="K30" s="897">
        <f t="shared" ref="K30" si="1">ROUND(I30*(J30/100),0)</f>
        <v>266115</v>
      </c>
      <c r="L30" s="900"/>
      <c r="M30" s="899">
        <v>0</v>
      </c>
      <c r="N30" s="899"/>
      <c r="O30" s="897">
        <f>Q30-M30</f>
        <v>231622</v>
      </c>
      <c r="P30" s="897"/>
      <c r="Q30" s="215">
        <f t="shared" ref="Q30" si="2">ROUND(VLOOKUP(B30,FPERIOD,5,FALSE),0)</f>
        <v>231622</v>
      </c>
      <c r="R30" s="898">
        <f>VLOOKUP($F$35,ALLOCTABLE,2)</f>
        <v>100</v>
      </c>
      <c r="S30" s="897">
        <f t="shared" ref="S30" si="3">ROUND(Q30*(R30/100),0)</f>
        <v>231622</v>
      </c>
      <c r="T30" s="885"/>
      <c r="U30" s="885"/>
      <c r="V30" s="885"/>
    </row>
    <row r="31" spans="1:22">
      <c r="A31" s="885"/>
      <c r="B31" s="886"/>
      <c r="C31" s="886">
        <v>15</v>
      </c>
      <c r="D31" s="886"/>
      <c r="E31" s="888" t="s">
        <v>2600</v>
      </c>
      <c r="F31" s="885"/>
      <c r="G31" s="885"/>
      <c r="H31" s="885"/>
      <c r="I31" s="2165">
        <f>SUM(I30:I30)</f>
        <v>266115</v>
      </c>
      <c r="J31" s="898"/>
      <c r="K31" s="2165">
        <f>SUM(K30:K30)</f>
        <v>266115</v>
      </c>
      <c r="L31" s="900"/>
      <c r="M31" s="899">
        <v>0</v>
      </c>
      <c r="N31" s="899"/>
      <c r="O31" s="897">
        <f>Q31-M31</f>
        <v>231622</v>
      </c>
      <c r="P31" s="897"/>
      <c r="Q31" s="2165">
        <f>SUM(Q30:Q30)</f>
        <v>231622</v>
      </c>
      <c r="R31" s="898"/>
      <c r="S31" s="2165">
        <f>SUM(S30:S30)</f>
        <v>231622</v>
      </c>
      <c r="T31" s="885"/>
      <c r="U31" s="885"/>
      <c r="V31" s="885"/>
    </row>
    <row r="32" spans="1:22">
      <c r="A32" s="885"/>
      <c r="B32" s="886"/>
      <c r="C32" s="885"/>
      <c r="D32" s="886"/>
      <c r="E32" s="888"/>
      <c r="F32" s="885"/>
      <c r="G32" s="885"/>
      <c r="H32" s="885"/>
      <c r="I32" s="897"/>
      <c r="J32" s="897"/>
      <c r="K32" s="897"/>
      <c r="L32" s="900"/>
      <c r="M32" s="899"/>
      <c r="N32" s="899"/>
      <c r="O32" s="897"/>
      <c r="P32" s="897"/>
      <c r="Q32" s="897"/>
      <c r="R32" s="900"/>
      <c r="S32" s="897"/>
      <c r="T32" s="885"/>
      <c r="U32" s="885"/>
      <c r="V32" s="885"/>
    </row>
    <row r="33" spans="1:22">
      <c r="A33" s="885"/>
      <c r="B33" s="886"/>
      <c r="C33" s="885"/>
      <c r="D33" s="901"/>
      <c r="E33" s="888"/>
      <c r="F33" s="885"/>
      <c r="G33" s="885"/>
      <c r="H33" s="885"/>
      <c r="I33" s="897"/>
      <c r="J33" s="897"/>
      <c r="K33" s="897"/>
      <c r="L33" s="900"/>
      <c r="M33" s="899"/>
      <c r="N33" s="899"/>
      <c r="O33" s="897"/>
      <c r="P33" s="897"/>
      <c r="Q33" s="897"/>
      <c r="R33" s="900"/>
      <c r="S33" s="897"/>
      <c r="T33" s="885"/>
      <c r="U33" s="885"/>
      <c r="V33" s="885"/>
    </row>
    <row r="34" spans="1:22">
      <c r="A34" s="885"/>
      <c r="B34" s="886"/>
      <c r="C34" s="885"/>
      <c r="D34" s="885"/>
      <c r="E34" s="885"/>
      <c r="F34" s="885"/>
      <c r="G34" s="885"/>
      <c r="H34" s="885"/>
      <c r="I34" s="885"/>
      <c r="J34" s="885"/>
      <c r="K34" s="885"/>
      <c r="L34" s="885"/>
      <c r="M34" s="885"/>
      <c r="N34" s="885"/>
      <c r="O34" s="885"/>
      <c r="P34" s="885"/>
      <c r="Q34" s="885"/>
      <c r="R34" s="885"/>
      <c r="S34" s="885"/>
      <c r="T34" s="885"/>
      <c r="U34" s="885"/>
      <c r="V34" s="885"/>
    </row>
    <row r="35" spans="1:22">
      <c r="A35" s="885"/>
      <c r="B35" s="886"/>
      <c r="C35" s="885"/>
      <c r="D35" s="525" t="s">
        <v>2588</v>
      </c>
      <c r="E35" s="525"/>
      <c r="F35" s="902" t="s">
        <v>428</v>
      </c>
      <c r="G35" s="885"/>
      <c r="H35" s="885"/>
      <c r="I35" s="885"/>
      <c r="J35" s="885"/>
      <c r="K35" s="885"/>
      <c r="L35" s="885"/>
      <c r="M35" s="885"/>
      <c r="N35" s="885"/>
      <c r="O35" s="885"/>
      <c r="P35" s="885"/>
      <c r="Q35" s="885"/>
      <c r="R35" s="885"/>
      <c r="S35" s="885"/>
      <c r="T35" s="885"/>
      <c r="U35" s="885"/>
      <c r="V35" s="885"/>
    </row>
    <row r="36" spans="1:22">
      <c r="A36" s="885"/>
      <c r="B36" s="886"/>
      <c r="C36" s="885"/>
      <c r="D36" s="885"/>
      <c r="E36" s="885"/>
      <c r="F36" s="885"/>
      <c r="G36" s="885"/>
      <c r="H36" s="885"/>
      <c r="I36" s="885"/>
      <c r="J36" s="885"/>
      <c r="K36" s="885"/>
      <c r="L36" s="885"/>
      <c r="M36" s="885"/>
      <c r="N36" s="885"/>
      <c r="O36" s="885"/>
      <c r="P36" s="885"/>
      <c r="Q36" s="885"/>
      <c r="R36" s="885"/>
      <c r="S36" s="885"/>
      <c r="T36" s="885"/>
      <c r="U36" s="885"/>
      <c r="V36" s="885"/>
    </row>
    <row r="37" spans="1:22">
      <c r="A37" s="885"/>
      <c r="B37" s="886"/>
      <c r="C37" s="885"/>
      <c r="D37" s="885"/>
      <c r="E37" s="885"/>
      <c r="F37" s="885"/>
      <c r="G37" s="885"/>
      <c r="H37" s="885"/>
      <c r="I37" s="885"/>
      <c r="J37" s="885"/>
      <c r="K37" s="885"/>
      <c r="L37" s="885"/>
      <c r="M37" s="885"/>
      <c r="N37" s="885"/>
      <c r="O37" s="885"/>
      <c r="P37" s="885"/>
      <c r="Q37" s="885"/>
      <c r="R37" s="885"/>
      <c r="S37" s="885"/>
      <c r="T37" s="885"/>
      <c r="U37" s="885"/>
      <c r="V37" s="885"/>
    </row>
    <row r="38" spans="1:22">
      <c r="A38" s="885"/>
      <c r="B38" s="886"/>
      <c r="C38" s="885"/>
      <c r="D38" s="885"/>
      <c r="E38" s="885"/>
      <c r="F38" s="885"/>
      <c r="G38" s="885"/>
      <c r="H38" s="885"/>
      <c r="I38" s="885"/>
      <c r="J38" s="885"/>
      <c r="K38" s="885"/>
      <c r="L38" s="885"/>
      <c r="M38" s="885"/>
      <c r="N38" s="885"/>
      <c r="O38" s="885"/>
      <c r="P38" s="885"/>
      <c r="Q38" s="885"/>
      <c r="R38" s="885"/>
      <c r="S38" s="885"/>
      <c r="T38" s="885"/>
      <c r="U38" s="885"/>
      <c r="V38" s="885"/>
    </row>
    <row r="39" spans="1:22">
      <c r="A39" s="885"/>
      <c r="B39" s="886"/>
      <c r="C39" s="885"/>
      <c r="D39" s="885"/>
      <c r="E39" s="885"/>
      <c r="F39" s="885"/>
      <c r="G39" s="885"/>
      <c r="H39" s="885"/>
      <c r="I39" s="885"/>
      <c r="J39" s="885"/>
      <c r="K39" s="885"/>
      <c r="L39" s="885"/>
      <c r="M39" s="885"/>
      <c r="N39" s="885"/>
      <c r="O39" s="885"/>
      <c r="P39" s="885"/>
      <c r="Q39" s="885"/>
      <c r="R39" s="885"/>
      <c r="S39" s="885"/>
      <c r="T39" s="885"/>
      <c r="U39" s="885"/>
      <c r="V39" s="885"/>
    </row>
    <row r="40" spans="1:22">
      <c r="A40" s="885"/>
      <c r="B40" s="886"/>
      <c r="C40" s="885"/>
      <c r="D40" s="885"/>
      <c r="E40" s="885"/>
      <c r="F40" s="885"/>
      <c r="G40" s="885"/>
      <c r="H40" s="885"/>
      <c r="I40" s="885"/>
      <c r="J40" s="885"/>
      <c r="K40" s="885"/>
      <c r="L40" s="885"/>
      <c r="M40" s="885"/>
      <c r="N40" s="885"/>
      <c r="O40" s="885"/>
      <c r="P40" s="885"/>
      <c r="Q40" s="885"/>
      <c r="R40" s="885"/>
      <c r="S40" s="885"/>
      <c r="T40" s="885"/>
      <c r="U40" s="94"/>
      <c r="V40" s="94"/>
    </row>
    <row r="41" spans="1:22">
      <c r="A41" s="885"/>
      <c r="B41" s="886"/>
      <c r="C41" s="885"/>
      <c r="D41" s="885"/>
      <c r="E41" s="885"/>
      <c r="F41" s="885"/>
      <c r="G41" s="885"/>
      <c r="H41" s="885"/>
      <c r="I41" s="885"/>
      <c r="J41" s="885"/>
      <c r="K41" s="885"/>
      <c r="L41" s="885"/>
      <c r="M41" s="885"/>
      <c r="N41" s="885"/>
      <c r="O41" s="885"/>
      <c r="P41" s="885"/>
      <c r="Q41" s="885"/>
      <c r="R41" s="885"/>
      <c r="S41" s="885"/>
      <c r="T41" s="885"/>
      <c r="U41" s="94"/>
      <c r="V41" s="94"/>
    </row>
    <row r="42" spans="1:22">
      <c r="A42" s="885"/>
      <c r="B42" s="886"/>
      <c r="C42" s="885"/>
      <c r="D42" s="885"/>
      <c r="E42" s="885"/>
      <c r="F42" s="885"/>
      <c r="G42" s="885"/>
      <c r="H42" s="885"/>
      <c r="I42" s="885"/>
      <c r="J42" s="885"/>
      <c r="K42" s="885"/>
      <c r="L42" s="885"/>
      <c r="M42" s="885"/>
      <c r="N42" s="885"/>
      <c r="O42" s="885"/>
      <c r="P42" s="885"/>
      <c r="Q42" s="885"/>
      <c r="R42" s="885"/>
      <c r="S42" s="885"/>
      <c r="T42" s="885"/>
      <c r="U42" s="94"/>
      <c r="V42" s="94"/>
    </row>
    <row r="43" spans="1:22">
      <c r="A43" s="885"/>
      <c r="B43" s="886"/>
      <c r="C43" s="885"/>
      <c r="D43" s="885"/>
      <c r="E43" s="885"/>
      <c r="F43" s="885"/>
      <c r="G43" s="885"/>
      <c r="H43" s="885"/>
      <c r="I43" s="885"/>
      <c r="J43" s="885"/>
      <c r="K43" s="885"/>
      <c r="L43" s="885"/>
      <c r="M43" s="885"/>
      <c r="N43" s="885"/>
      <c r="O43" s="885"/>
      <c r="P43" s="885"/>
      <c r="Q43" s="885"/>
      <c r="R43" s="885"/>
      <c r="S43" s="885"/>
      <c r="T43" s="885"/>
      <c r="U43" s="192"/>
      <c r="V43" s="94"/>
    </row>
    <row r="44" spans="1:22">
      <c r="A44" s="885"/>
      <c r="B44" s="886"/>
      <c r="C44" s="885"/>
      <c r="D44" s="885"/>
      <c r="E44" s="885"/>
      <c r="F44" s="885"/>
      <c r="G44" s="885"/>
      <c r="H44" s="885"/>
      <c r="I44" s="885"/>
      <c r="J44" s="885"/>
      <c r="K44" s="885"/>
      <c r="L44" s="885"/>
      <c r="M44" s="885"/>
      <c r="N44" s="885"/>
      <c r="O44" s="885"/>
      <c r="P44" s="885"/>
      <c r="Q44" s="885"/>
      <c r="R44" s="885"/>
      <c r="S44" s="885"/>
      <c r="T44" s="885"/>
      <c r="U44" s="94"/>
      <c r="V44" s="94"/>
    </row>
    <row r="45" spans="1:22">
      <c r="A45" s="885"/>
      <c r="B45" s="886"/>
      <c r="C45" s="885"/>
      <c r="D45" s="885"/>
      <c r="E45" s="885"/>
      <c r="F45" s="885"/>
      <c r="G45" s="885"/>
      <c r="H45" s="885"/>
      <c r="I45" s="885"/>
      <c r="J45" s="885"/>
      <c r="K45" s="885"/>
      <c r="L45" s="885"/>
      <c r="M45" s="885"/>
      <c r="N45" s="885"/>
      <c r="O45" s="885"/>
      <c r="P45" s="885"/>
      <c r="Q45" s="885"/>
      <c r="R45" s="885"/>
      <c r="S45" s="885"/>
      <c r="T45" s="885"/>
      <c r="U45" s="94"/>
      <c r="V45" s="94"/>
    </row>
    <row r="46" spans="1:22">
      <c r="A46" s="885"/>
      <c r="B46" s="886"/>
      <c r="C46" s="885"/>
      <c r="D46" s="885"/>
      <c r="E46" s="885"/>
      <c r="F46" s="885"/>
      <c r="G46" s="885"/>
      <c r="H46" s="885"/>
      <c r="I46" s="885"/>
      <c r="J46" s="885"/>
      <c r="K46" s="885"/>
      <c r="L46" s="885"/>
      <c r="M46" s="885"/>
      <c r="N46" s="885"/>
      <c r="O46" s="885"/>
      <c r="P46" s="885"/>
      <c r="Q46" s="885"/>
      <c r="R46" s="885"/>
      <c r="S46" s="885"/>
      <c r="T46" s="885"/>
      <c r="U46" s="126"/>
      <c r="V46" s="126"/>
    </row>
    <row r="47" spans="1:22">
      <c r="A47" s="885"/>
      <c r="B47" s="886"/>
      <c r="C47" s="885"/>
      <c r="D47" s="885"/>
      <c r="E47" s="885"/>
      <c r="F47" s="885"/>
      <c r="G47" s="885"/>
      <c r="H47" s="885"/>
      <c r="I47" s="885"/>
      <c r="J47" s="885"/>
      <c r="K47" s="885"/>
      <c r="L47" s="885"/>
      <c r="M47" s="885"/>
      <c r="N47" s="885"/>
      <c r="O47" s="885"/>
      <c r="P47" s="885"/>
      <c r="Q47" s="885"/>
      <c r="R47" s="885"/>
      <c r="S47" s="885"/>
      <c r="T47" s="885"/>
      <c r="U47" s="97"/>
      <c r="V47" s="97"/>
    </row>
    <row r="48" spans="1:22">
      <c r="A48" s="885"/>
      <c r="B48" s="886"/>
      <c r="C48" s="885"/>
      <c r="D48" s="885"/>
      <c r="E48" s="885"/>
      <c r="F48" s="885"/>
      <c r="G48" s="885"/>
      <c r="H48" s="885"/>
      <c r="I48" s="885"/>
      <c r="J48" s="885"/>
      <c r="K48" s="885"/>
      <c r="L48" s="885"/>
      <c r="M48" s="885"/>
      <c r="N48" s="885"/>
      <c r="O48" s="885"/>
      <c r="P48" s="885"/>
      <c r="Q48" s="885"/>
      <c r="R48" s="885"/>
      <c r="S48" s="885"/>
      <c r="T48" s="885"/>
      <c r="U48" s="94"/>
      <c r="V48" s="94"/>
    </row>
    <row r="49" spans="1:22">
      <c r="A49" s="885"/>
      <c r="B49" s="886"/>
      <c r="C49" s="885"/>
      <c r="D49" s="885"/>
      <c r="E49" s="885"/>
      <c r="F49" s="885"/>
      <c r="G49" s="885"/>
      <c r="H49" s="885"/>
      <c r="I49" s="885"/>
      <c r="J49" s="885"/>
      <c r="K49" s="885"/>
      <c r="L49" s="885"/>
      <c r="M49" s="885"/>
      <c r="N49" s="885"/>
      <c r="O49" s="885"/>
      <c r="P49" s="885"/>
      <c r="Q49" s="885"/>
      <c r="R49" s="885"/>
      <c r="S49" s="885"/>
      <c r="T49" s="885"/>
      <c r="U49" s="94"/>
      <c r="V49" s="94"/>
    </row>
    <row r="50" spans="1:22">
      <c r="A50" s="885"/>
      <c r="B50" s="886"/>
      <c r="C50" s="885"/>
      <c r="D50" s="885"/>
      <c r="E50" s="885"/>
      <c r="F50" s="885"/>
      <c r="G50" s="885"/>
      <c r="H50" s="885"/>
      <c r="I50" s="885"/>
      <c r="J50" s="885"/>
      <c r="K50" s="885"/>
      <c r="L50" s="885"/>
      <c r="M50" s="885"/>
      <c r="N50" s="885"/>
      <c r="O50" s="885"/>
      <c r="P50" s="885"/>
      <c r="Q50" s="885"/>
      <c r="R50" s="885"/>
      <c r="S50" s="885"/>
      <c r="T50" s="885"/>
      <c r="U50" s="94"/>
      <c r="V50" s="94"/>
    </row>
  </sheetData>
  <mergeCells count="3">
    <mergeCell ref="E14:G14"/>
    <mergeCell ref="J13:K13"/>
    <mergeCell ref="R13:S13"/>
  </mergeCells>
  <phoneticPr fontId="19" type="noConversion"/>
  <pageMargins left="1" right="0.75" top="1" bottom="0" header="0" footer="0"/>
  <pageSetup scale="75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55">
    <tabColor rgb="FFFFC000"/>
    <pageSetUpPr fitToPage="1"/>
  </sheetPr>
  <dimension ref="A1:AC176"/>
  <sheetViews>
    <sheetView workbookViewId="0">
      <selection activeCell="G21" sqref="G21"/>
    </sheetView>
  </sheetViews>
  <sheetFormatPr defaultColWidth="8" defaultRowHeight="13.2"/>
  <cols>
    <col min="1" max="1" width="6.44140625" customWidth="1"/>
    <col min="2" max="2" width="1.44140625" customWidth="1"/>
    <col min="3" max="3" width="36.5546875" customWidth="1"/>
    <col min="4" max="4" width="1.44140625" customWidth="1"/>
    <col min="5" max="5" width="17.5546875" customWidth="1"/>
    <col min="6" max="6" width="18.5546875" customWidth="1"/>
    <col min="7" max="7" width="19" customWidth="1"/>
    <col min="8" max="8" width="16.44140625" customWidth="1"/>
    <col min="9" max="9" width="14.5546875" customWidth="1"/>
    <col min="10" max="10" width="14.44140625" customWidth="1"/>
    <col min="11" max="11" width="16.5546875" customWidth="1"/>
    <col min="12" max="13" width="8" customWidth="1"/>
    <col min="14" max="14" width="36.5546875" customWidth="1"/>
    <col min="15" max="27" width="11.5546875" customWidth="1"/>
  </cols>
  <sheetData>
    <row r="1" spans="1:29">
      <c r="A1" s="499" t="str">
        <f>COMPANY</f>
        <v>DUKE ENERGY KENTUCKY, INC.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500"/>
      <c r="M1" s="492"/>
      <c r="N1" s="434"/>
      <c r="O1" s="492"/>
      <c r="P1" s="498"/>
      <c r="Q1" s="498"/>
      <c r="R1" s="498"/>
      <c r="S1" s="501"/>
      <c r="T1" s="498"/>
      <c r="U1" s="498"/>
      <c r="V1" s="498"/>
      <c r="W1" s="498"/>
      <c r="X1" s="498"/>
      <c r="Y1" s="498"/>
      <c r="Z1" s="498"/>
      <c r="AA1" s="498"/>
      <c r="AB1" s="500"/>
      <c r="AC1" s="500"/>
    </row>
    <row r="2" spans="1:29">
      <c r="A2" s="499" t="str">
        <f>CASE</f>
        <v>CASE NO. 2024-00354</v>
      </c>
      <c r="B2" s="499"/>
      <c r="C2" s="499"/>
      <c r="D2" s="499"/>
      <c r="E2" s="499"/>
      <c r="F2" s="499"/>
      <c r="G2" s="499"/>
      <c r="H2" s="499"/>
      <c r="I2" s="499"/>
      <c r="J2" s="499"/>
      <c r="K2" s="499"/>
      <c r="L2" s="500"/>
      <c r="M2" s="492"/>
      <c r="N2" s="492"/>
      <c r="O2" s="492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500"/>
      <c r="AC2" s="500"/>
    </row>
    <row r="3" spans="1:29">
      <c r="A3" s="502" t="s">
        <v>2601</v>
      </c>
      <c r="B3" s="499"/>
      <c r="C3" s="499"/>
      <c r="D3" s="499"/>
      <c r="E3" s="499"/>
      <c r="F3" s="499"/>
      <c r="G3" s="502"/>
      <c r="H3" s="502"/>
      <c r="I3" s="499"/>
      <c r="J3" s="499"/>
      <c r="K3" s="499"/>
      <c r="L3" s="500"/>
      <c r="M3" s="492"/>
      <c r="N3" s="503"/>
      <c r="O3" s="492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500"/>
      <c r="AC3" s="500"/>
    </row>
    <row r="4" spans="1:29">
      <c r="A4" s="499" t="str">
        <f>PERIOD</f>
        <v>FOR THE TWELVE MONTHS ENDED FEBRUARY 28, 2025</v>
      </c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500"/>
      <c r="M4" s="492"/>
      <c r="N4" s="492"/>
      <c r="O4" s="492"/>
      <c r="P4" s="498"/>
      <c r="Q4" s="498"/>
      <c r="R4" s="498"/>
      <c r="S4" s="498"/>
      <c r="T4" s="498"/>
      <c r="U4" s="498"/>
      <c r="V4" s="498"/>
      <c r="W4" s="498"/>
      <c r="X4" s="498"/>
      <c r="Y4" s="498"/>
      <c r="Z4" s="498"/>
      <c r="AA4" s="498"/>
      <c r="AB4" s="500"/>
      <c r="AC4" s="500"/>
    </row>
    <row r="5" spans="1:29">
      <c r="A5" s="500"/>
      <c r="B5" s="500"/>
      <c r="C5" s="500"/>
      <c r="D5" s="500"/>
      <c r="E5" s="500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  <c r="Q5" s="500"/>
      <c r="R5" s="500"/>
      <c r="S5" s="500"/>
      <c r="T5" s="500"/>
      <c r="U5" s="500"/>
      <c r="V5" s="500"/>
      <c r="W5" s="500"/>
      <c r="X5" s="500"/>
      <c r="Y5" s="500"/>
      <c r="Z5" s="500"/>
      <c r="AA5" s="500"/>
      <c r="AB5" s="500"/>
      <c r="AC5" s="500"/>
    </row>
    <row r="6" spans="1:29">
      <c r="A6" s="500" t="str">
        <f>Data</f>
        <v>DATA: "X" BASE PERIOD   FORECASTED PERIOD</v>
      </c>
      <c r="B6" s="500"/>
      <c r="C6" s="500"/>
      <c r="D6" s="500"/>
      <c r="E6" s="500"/>
      <c r="F6" s="500"/>
      <c r="G6" s="500"/>
      <c r="H6" s="500"/>
      <c r="I6" s="500"/>
      <c r="J6" s="261" t="s">
        <v>2602</v>
      </c>
      <c r="K6" s="500"/>
      <c r="L6" s="500"/>
      <c r="M6" s="500"/>
      <c r="N6" s="500"/>
      <c r="O6" s="500"/>
      <c r="P6" s="500"/>
      <c r="Q6" s="500"/>
      <c r="R6" s="500"/>
      <c r="S6" s="500"/>
      <c r="T6" s="500"/>
      <c r="U6" s="500"/>
      <c r="V6" s="500"/>
      <c r="W6" s="500"/>
      <c r="X6" s="500"/>
      <c r="Y6" s="500"/>
      <c r="Z6" s="500"/>
      <c r="AA6" s="500"/>
      <c r="AB6" s="500"/>
      <c r="AC6" s="500"/>
    </row>
    <row r="7" spans="1:29">
      <c r="A7" s="500" t="str">
        <f>Type</f>
        <v xml:space="preserve">TYPE OF FILING:  "X" ORIGINAL   UPDATED    REVISED  </v>
      </c>
      <c r="B7" s="500"/>
      <c r="C7" s="500"/>
      <c r="D7" s="500"/>
      <c r="E7" s="500"/>
      <c r="F7" s="500"/>
      <c r="G7" s="500"/>
      <c r="H7" s="500"/>
      <c r="I7" s="500"/>
      <c r="J7" s="261" t="s">
        <v>571</v>
      </c>
      <c r="K7" s="500"/>
      <c r="L7" s="500"/>
      <c r="M7" s="500"/>
      <c r="N7" s="500"/>
      <c r="O7" s="500"/>
      <c r="P7" s="500"/>
      <c r="Q7" s="500"/>
      <c r="R7" s="500"/>
      <c r="S7" s="500"/>
      <c r="T7" s="500"/>
      <c r="U7" s="500"/>
      <c r="V7" s="500"/>
      <c r="W7" s="500"/>
      <c r="X7" s="500"/>
      <c r="Y7" s="500"/>
      <c r="Z7" s="500"/>
      <c r="AA7" s="500"/>
      <c r="AB7" s="500"/>
      <c r="AC7" s="500"/>
    </row>
    <row r="8" spans="1:29">
      <c r="A8" s="261" t="s">
        <v>2603</v>
      </c>
      <c r="B8" s="500"/>
      <c r="C8" s="500"/>
      <c r="D8" s="500"/>
      <c r="E8" s="500"/>
      <c r="F8" s="500"/>
      <c r="G8" s="500"/>
      <c r="H8" s="500"/>
      <c r="I8" s="500"/>
      <c r="J8" s="261" t="s">
        <v>468</v>
      </c>
      <c r="K8" s="500"/>
      <c r="L8" s="500"/>
      <c r="M8" s="500"/>
      <c r="N8" s="500"/>
      <c r="O8" s="500"/>
      <c r="P8" s="500"/>
      <c r="Q8" s="500"/>
      <c r="R8" s="500"/>
      <c r="S8" s="500"/>
      <c r="T8" s="500"/>
      <c r="U8" s="500"/>
      <c r="V8" s="500"/>
      <c r="W8" s="500"/>
      <c r="X8" s="500"/>
      <c r="Y8" s="500"/>
      <c r="Z8" s="500"/>
      <c r="AA8" s="500"/>
      <c r="AB8" s="500"/>
      <c r="AC8" s="500"/>
    </row>
    <row r="9" spans="1:29">
      <c r="A9" s="500"/>
      <c r="B9" s="500"/>
      <c r="C9" s="500"/>
      <c r="D9" s="500"/>
      <c r="E9" s="500"/>
      <c r="F9" s="500"/>
      <c r="G9" s="500"/>
      <c r="H9" s="500"/>
      <c r="I9" s="500"/>
      <c r="J9" s="500" t="str">
        <f>_WIT1</f>
        <v>L. D. STEINKUHL</v>
      </c>
      <c r="K9" s="94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  <c r="AB9" s="500"/>
      <c r="AC9" s="500"/>
    </row>
    <row r="10" spans="1:29">
      <c r="A10" s="1569"/>
      <c r="B10" s="1569"/>
      <c r="C10" s="1569"/>
      <c r="D10" s="1569"/>
      <c r="E10" s="1569"/>
      <c r="F10" s="1569"/>
      <c r="G10" s="1569"/>
      <c r="H10" s="1569"/>
      <c r="I10" s="1569"/>
      <c r="J10" s="1569"/>
      <c r="K10" s="1569"/>
      <c r="L10" s="500"/>
      <c r="M10" s="500"/>
      <c r="N10" s="500"/>
      <c r="O10" s="500"/>
      <c r="P10" s="500"/>
      <c r="Q10" s="500"/>
      <c r="R10" s="500"/>
      <c r="S10" s="500"/>
      <c r="T10" s="500"/>
      <c r="U10" s="500"/>
      <c r="V10" s="500"/>
      <c r="W10" s="500"/>
      <c r="X10" s="500"/>
      <c r="Y10" s="500"/>
      <c r="Z10" s="500"/>
      <c r="AA10" s="500"/>
      <c r="AB10" s="500"/>
      <c r="AC10" s="500"/>
    </row>
    <row r="11" spans="1:29">
      <c r="A11" s="500"/>
      <c r="B11" s="500"/>
      <c r="C11" s="504"/>
      <c r="D11" s="499"/>
      <c r="E11" s="504" t="s">
        <v>2604</v>
      </c>
      <c r="F11" s="505"/>
      <c r="G11" s="504"/>
      <c r="H11" s="504"/>
      <c r="I11" s="506"/>
      <c r="J11" s="499"/>
      <c r="K11" s="500"/>
      <c r="L11" s="500"/>
      <c r="M11" s="500"/>
      <c r="N11" s="500"/>
      <c r="O11" s="500"/>
      <c r="P11" s="500"/>
      <c r="Q11" s="500"/>
      <c r="R11" s="500"/>
      <c r="S11" s="500"/>
      <c r="T11" s="500"/>
      <c r="U11" s="500"/>
      <c r="V11" s="500"/>
      <c r="W11" s="500"/>
      <c r="X11" s="500"/>
      <c r="Y11" s="500"/>
      <c r="Z11" s="500"/>
      <c r="AA11" s="500"/>
      <c r="AB11" s="500"/>
      <c r="AC11" s="500"/>
    </row>
    <row r="12" spans="1:29">
      <c r="A12" s="504" t="s">
        <v>471</v>
      </c>
      <c r="B12" s="500"/>
      <c r="C12" s="500"/>
      <c r="D12" s="500"/>
      <c r="E12" s="504" t="s">
        <v>2605</v>
      </c>
      <c r="F12" s="504" t="s">
        <v>2606</v>
      </c>
      <c r="G12" s="504" t="s">
        <v>2607</v>
      </c>
      <c r="H12" s="504"/>
      <c r="I12" s="507" t="s">
        <v>1794</v>
      </c>
      <c r="J12" s="499"/>
      <c r="K12" s="505"/>
      <c r="L12" s="500"/>
      <c r="M12" s="500"/>
      <c r="N12" s="500"/>
      <c r="O12" s="500"/>
      <c r="P12" s="500"/>
      <c r="Q12" s="500"/>
      <c r="R12" s="500"/>
      <c r="S12" s="500"/>
      <c r="T12" s="500"/>
      <c r="U12" s="500"/>
      <c r="V12" s="500"/>
      <c r="W12" s="500"/>
      <c r="X12" s="500"/>
      <c r="Y12" s="500"/>
      <c r="Z12" s="500"/>
      <c r="AA12" s="500"/>
      <c r="AB12" s="500"/>
      <c r="AC12" s="500"/>
    </row>
    <row r="13" spans="1:29">
      <c r="A13" s="504" t="s">
        <v>533</v>
      </c>
      <c r="B13" s="500"/>
      <c r="C13" s="504" t="s">
        <v>2608</v>
      </c>
      <c r="D13" s="500"/>
      <c r="E13" s="504" t="s">
        <v>2601</v>
      </c>
      <c r="F13" s="504" t="s">
        <v>2601</v>
      </c>
      <c r="G13" s="504" t="s">
        <v>2601</v>
      </c>
      <c r="H13" s="504" t="s">
        <v>2609</v>
      </c>
      <c r="I13" s="507" t="s">
        <v>1796</v>
      </c>
      <c r="J13" s="499" t="s">
        <v>413</v>
      </c>
      <c r="K13" s="505" t="s">
        <v>972</v>
      </c>
      <c r="L13" s="500"/>
      <c r="M13" s="500"/>
      <c r="N13" s="500"/>
      <c r="O13" s="500"/>
      <c r="P13" s="500"/>
      <c r="Q13" s="500"/>
      <c r="R13" s="500"/>
      <c r="S13" s="500"/>
      <c r="T13" s="500"/>
      <c r="U13" s="500"/>
      <c r="V13" s="500"/>
      <c r="W13" s="500"/>
      <c r="X13" s="500"/>
      <c r="Y13" s="500"/>
      <c r="Z13" s="500"/>
      <c r="AA13" s="500"/>
      <c r="AB13" s="500"/>
      <c r="AC13" s="500"/>
    </row>
    <row r="14" spans="1:29">
      <c r="A14" s="1569"/>
      <c r="B14" s="1569"/>
      <c r="C14" s="1570" t="s">
        <v>853</v>
      </c>
      <c r="D14" s="1569"/>
      <c r="E14" s="1570" t="s">
        <v>1104</v>
      </c>
      <c r="F14" s="1570" t="s">
        <v>856</v>
      </c>
      <c r="G14" s="1570" t="s">
        <v>857</v>
      </c>
      <c r="H14" s="1570" t="s">
        <v>858</v>
      </c>
      <c r="I14" s="1570" t="s">
        <v>859</v>
      </c>
      <c r="J14" s="1570" t="s">
        <v>2610</v>
      </c>
      <c r="K14" s="1570" t="s">
        <v>861</v>
      </c>
      <c r="L14" s="500"/>
      <c r="M14" s="500"/>
      <c r="N14" s="500"/>
      <c r="O14" s="500"/>
      <c r="P14" s="500"/>
      <c r="Q14" s="500"/>
      <c r="R14" s="500"/>
      <c r="S14" s="500"/>
      <c r="T14" s="500"/>
      <c r="U14" s="500"/>
      <c r="V14" s="500"/>
      <c r="W14" s="500"/>
      <c r="X14" s="500"/>
      <c r="Y14" s="500"/>
      <c r="Z14" s="500"/>
      <c r="AA14" s="500"/>
      <c r="AB14" s="500"/>
      <c r="AC14" s="500"/>
    </row>
    <row r="15" spans="1:29">
      <c r="A15" s="675"/>
      <c r="B15" s="675"/>
      <c r="C15" s="504"/>
      <c r="D15" s="675"/>
      <c r="E15" s="504"/>
      <c r="F15" s="504"/>
      <c r="G15" s="504"/>
      <c r="H15" s="504"/>
      <c r="I15" s="504"/>
      <c r="J15" s="504"/>
      <c r="K15" s="504"/>
      <c r="L15" s="500"/>
      <c r="M15" s="500"/>
      <c r="N15" s="500"/>
      <c r="O15" s="500"/>
      <c r="P15" s="500"/>
      <c r="Q15" s="500"/>
      <c r="R15" s="500"/>
      <c r="S15" s="500"/>
      <c r="T15" s="500"/>
      <c r="U15" s="500"/>
      <c r="V15" s="500"/>
      <c r="W15" s="500"/>
      <c r="X15" s="500"/>
      <c r="Y15" s="500"/>
      <c r="Z15" s="500"/>
      <c r="AA15" s="500"/>
      <c r="AB15" s="500"/>
      <c r="AC15" s="500"/>
    </row>
    <row r="16" spans="1:29">
      <c r="A16" s="504">
        <v>1</v>
      </c>
      <c r="B16" s="500"/>
      <c r="C16" s="508" t="s">
        <v>2611</v>
      </c>
      <c r="D16" s="500"/>
      <c r="E16" s="509"/>
      <c r="F16" s="510"/>
      <c r="G16" s="510"/>
      <c r="H16" s="510"/>
      <c r="I16" s="511"/>
      <c r="J16" s="512"/>
      <c r="K16" s="514">
        <f>SUM(E16:J16)</f>
        <v>0</v>
      </c>
      <c r="L16" s="500"/>
      <c r="M16" s="500"/>
      <c r="N16" s="500"/>
      <c r="O16" s="500"/>
      <c r="P16" s="500"/>
      <c r="Q16" s="500"/>
      <c r="R16" s="500"/>
      <c r="S16" s="500"/>
      <c r="T16" s="500"/>
      <c r="U16" s="500"/>
      <c r="V16" s="500"/>
      <c r="W16" s="500"/>
      <c r="X16" s="500"/>
      <c r="Y16" s="500"/>
      <c r="Z16" s="500"/>
      <c r="AA16" s="500"/>
      <c r="AB16" s="500"/>
      <c r="AC16" s="500"/>
    </row>
    <row r="17" spans="1:29">
      <c r="A17" s="504">
        <v>2</v>
      </c>
      <c r="B17" s="500"/>
      <c r="C17" s="500"/>
      <c r="D17" s="500"/>
      <c r="E17" s="513"/>
      <c r="F17" s="513"/>
      <c r="G17" s="513"/>
      <c r="H17" s="513"/>
      <c r="I17" s="513"/>
      <c r="J17" s="513"/>
      <c r="K17" s="514"/>
      <c r="L17" s="500"/>
      <c r="M17" s="500"/>
      <c r="N17" s="500"/>
      <c r="O17" s="500"/>
      <c r="P17" s="500"/>
      <c r="Q17" s="500"/>
      <c r="R17" s="500"/>
      <c r="S17" s="500"/>
      <c r="T17" s="500"/>
      <c r="U17" s="500"/>
      <c r="V17" s="500"/>
      <c r="W17" s="500"/>
      <c r="X17" s="500"/>
      <c r="Y17" s="500"/>
      <c r="Z17" s="500"/>
      <c r="AA17" s="500"/>
      <c r="AB17" s="500"/>
      <c r="AC17" s="500"/>
    </row>
    <row r="18" spans="1:29">
      <c r="A18" s="504">
        <v>3</v>
      </c>
      <c r="B18" s="500"/>
      <c r="C18" s="508" t="s">
        <v>2612</v>
      </c>
      <c r="D18" s="500"/>
      <c r="E18" s="515"/>
      <c r="F18" s="515"/>
      <c r="G18" s="513"/>
      <c r="H18" s="513"/>
      <c r="I18" s="513"/>
      <c r="J18" s="515">
        <f>O53</f>
        <v>0</v>
      </c>
      <c r="K18" s="514">
        <f>SUM(E18:J18)</f>
        <v>0</v>
      </c>
      <c r="L18" s="500"/>
      <c r="M18" s="500"/>
      <c r="N18" s="500"/>
      <c r="O18" s="500"/>
      <c r="P18" s="500"/>
      <c r="Q18" s="500"/>
      <c r="R18" s="500"/>
      <c r="S18" s="500"/>
      <c r="T18" s="500"/>
      <c r="U18" s="500"/>
      <c r="V18" s="500"/>
      <c r="W18" s="500"/>
      <c r="X18" s="500"/>
      <c r="Y18" s="500"/>
      <c r="Z18" s="500"/>
      <c r="AA18" s="500"/>
      <c r="AB18" s="500"/>
      <c r="AC18" s="500"/>
    </row>
    <row r="19" spans="1:29">
      <c r="A19" s="504">
        <v>4</v>
      </c>
      <c r="B19" s="500"/>
      <c r="C19" s="500"/>
      <c r="D19" s="500"/>
      <c r="E19" s="515"/>
      <c r="F19" s="515"/>
      <c r="G19" s="515"/>
      <c r="H19" s="515"/>
      <c r="I19" s="515"/>
      <c r="J19" s="515"/>
      <c r="K19" s="514"/>
      <c r="L19" s="500"/>
      <c r="M19" s="500"/>
      <c r="N19" s="500"/>
      <c r="O19" s="500"/>
      <c r="P19" s="500"/>
      <c r="Q19" s="500"/>
      <c r="R19" s="500"/>
      <c r="S19" s="500"/>
      <c r="T19" s="500"/>
      <c r="U19" s="500"/>
      <c r="V19" s="500"/>
      <c r="W19" s="500"/>
      <c r="X19" s="500"/>
      <c r="Y19" s="500"/>
      <c r="Z19" s="500"/>
      <c r="AA19" s="500"/>
      <c r="AB19" s="500"/>
      <c r="AC19" s="500"/>
    </row>
    <row r="20" spans="1:29">
      <c r="A20" s="504">
        <v>5</v>
      </c>
      <c r="B20" s="261"/>
      <c r="C20" s="508" t="s">
        <v>2613</v>
      </c>
      <c r="D20" s="500"/>
      <c r="E20" s="516"/>
      <c r="F20" s="515"/>
      <c r="G20" s="516"/>
      <c r="H20" s="516"/>
      <c r="I20" s="515"/>
      <c r="J20" s="515"/>
      <c r="K20" s="514">
        <f>SUM(E20:J20)</f>
        <v>0</v>
      </c>
      <c r="L20" s="500"/>
      <c r="M20" s="500"/>
      <c r="N20" s="500"/>
      <c r="O20" s="500"/>
      <c r="P20" s="500"/>
      <c r="Q20" s="500"/>
      <c r="R20" s="500"/>
      <c r="S20" s="500"/>
      <c r="T20" s="500"/>
      <c r="U20" s="500"/>
      <c r="V20" s="500"/>
      <c r="W20" s="500"/>
      <c r="X20" s="500"/>
      <c r="Y20" s="500"/>
      <c r="Z20" s="500"/>
      <c r="AA20" s="500"/>
      <c r="AB20" s="500"/>
      <c r="AC20" s="500"/>
    </row>
    <row r="21" spans="1:29">
      <c r="A21" s="504">
        <v>6</v>
      </c>
      <c r="B21" s="261"/>
      <c r="C21" s="500"/>
      <c r="D21" s="500"/>
      <c r="E21" s="516"/>
      <c r="F21" s="515"/>
      <c r="G21" s="516"/>
      <c r="H21" s="516"/>
      <c r="I21" s="515"/>
      <c r="J21" s="515"/>
      <c r="K21" s="514"/>
      <c r="L21" s="500"/>
      <c r="M21" s="500"/>
      <c r="N21" s="500"/>
      <c r="O21" s="500"/>
      <c r="P21" s="500"/>
      <c r="Q21" s="500"/>
      <c r="R21" s="500"/>
      <c r="S21" s="500"/>
      <c r="T21" s="500"/>
      <c r="U21" s="500"/>
      <c r="V21" s="500"/>
      <c r="W21" s="500"/>
      <c r="X21" s="500"/>
      <c r="Y21" s="500"/>
      <c r="Z21" s="500"/>
      <c r="AA21" s="500"/>
      <c r="AB21" s="500"/>
      <c r="AC21" s="500"/>
    </row>
    <row r="22" spans="1:29">
      <c r="A22" s="504">
        <v>7</v>
      </c>
      <c r="B22" s="500"/>
      <c r="C22" s="508" t="s">
        <v>2614</v>
      </c>
      <c r="D22" s="500"/>
      <c r="E22" s="515"/>
      <c r="F22" s="515"/>
      <c r="G22" s="515"/>
      <c r="H22" s="515"/>
      <c r="I22" s="515"/>
      <c r="J22" s="515"/>
      <c r="K22" s="514">
        <f>SUM(E22:J22)</f>
        <v>0</v>
      </c>
      <c r="L22" s="500"/>
      <c r="M22" s="500"/>
      <c r="N22" s="500"/>
      <c r="O22" s="500"/>
      <c r="P22" s="500"/>
      <c r="Q22" s="500"/>
      <c r="R22" s="500"/>
      <c r="S22" s="500"/>
      <c r="T22" s="500"/>
      <c r="U22" s="500"/>
      <c r="V22" s="500"/>
      <c r="W22" s="500"/>
      <c r="X22" s="500"/>
      <c r="Y22" s="500"/>
      <c r="Z22" s="500"/>
      <c r="AA22" s="500"/>
      <c r="AB22" s="500"/>
      <c r="AC22" s="500"/>
    </row>
    <row r="23" spans="1:29">
      <c r="A23" s="504">
        <v>8</v>
      </c>
      <c r="B23" s="500"/>
      <c r="C23" s="500"/>
      <c r="D23" s="500"/>
      <c r="E23" s="515"/>
      <c r="F23" s="515"/>
      <c r="G23" s="515"/>
      <c r="H23" s="515"/>
      <c r="I23" s="515"/>
      <c r="J23" s="515"/>
      <c r="K23" s="514"/>
      <c r="L23" s="500"/>
      <c r="M23" s="500"/>
      <c r="N23" s="500"/>
      <c r="O23" s="500"/>
      <c r="P23" s="500"/>
      <c r="Q23" s="500"/>
      <c r="R23" s="500"/>
      <c r="S23" s="500"/>
      <c r="T23" s="500"/>
      <c r="U23" s="500"/>
      <c r="V23" s="500"/>
      <c r="W23" s="500"/>
      <c r="X23" s="500"/>
      <c r="Y23" s="500"/>
      <c r="Z23" s="500"/>
      <c r="AA23" s="500"/>
      <c r="AB23" s="500"/>
      <c r="AC23" s="500"/>
    </row>
    <row r="24" spans="1:29">
      <c r="A24" s="504">
        <v>9</v>
      </c>
      <c r="B24" s="500"/>
      <c r="C24" s="508" t="s">
        <v>2615</v>
      </c>
      <c r="D24" s="500"/>
      <c r="E24" s="515"/>
      <c r="F24" s="515"/>
      <c r="G24" s="515">
        <f>O60</f>
        <v>76105</v>
      </c>
      <c r="H24" s="515">
        <f>O61</f>
        <v>0</v>
      </c>
      <c r="I24" s="515"/>
      <c r="J24" s="515"/>
      <c r="K24" s="514">
        <f>SUM(E24:J24)</f>
        <v>76105</v>
      </c>
      <c r="L24" s="500"/>
      <c r="M24" s="500"/>
      <c r="N24" s="500"/>
      <c r="O24" s="500"/>
      <c r="P24" s="500"/>
      <c r="Q24" s="500"/>
      <c r="R24" s="500"/>
      <c r="S24" s="500"/>
      <c r="T24" s="500"/>
      <c r="U24" s="500"/>
      <c r="V24" s="500"/>
      <c r="W24" s="500"/>
      <c r="X24" s="500"/>
      <c r="Y24" s="500"/>
      <c r="Z24" s="500"/>
      <c r="AA24" s="500"/>
      <c r="AB24" s="500"/>
      <c r="AC24" s="500"/>
    </row>
    <row r="25" spans="1:29">
      <c r="A25" s="504">
        <v>10</v>
      </c>
      <c r="B25" s="500"/>
      <c r="C25" s="500"/>
      <c r="D25" s="500"/>
      <c r="E25" s="515"/>
      <c r="F25" s="515"/>
      <c r="G25" s="515"/>
      <c r="H25" s="515"/>
      <c r="I25" s="515"/>
      <c r="J25" s="515"/>
      <c r="K25" s="514"/>
      <c r="L25" s="500"/>
      <c r="M25" s="500"/>
      <c r="N25" s="500"/>
      <c r="O25" s="500"/>
      <c r="P25" s="500"/>
      <c r="Q25" s="500"/>
      <c r="R25" s="500"/>
      <c r="S25" s="500"/>
      <c r="T25" s="500"/>
      <c r="U25" s="500"/>
      <c r="V25" s="500"/>
      <c r="W25" s="500"/>
      <c r="X25" s="500"/>
      <c r="Y25" s="500"/>
      <c r="Z25" s="500"/>
      <c r="AA25" s="500"/>
      <c r="AB25" s="500"/>
      <c r="AC25" s="500"/>
    </row>
    <row r="26" spans="1:29">
      <c r="A26" s="504">
        <v>11</v>
      </c>
      <c r="B26" s="500"/>
      <c r="C26" s="508" t="s">
        <v>2616</v>
      </c>
      <c r="D26" s="500"/>
      <c r="E26" s="515"/>
      <c r="F26" s="515"/>
      <c r="G26" s="515"/>
      <c r="H26" s="515"/>
      <c r="I26" s="515"/>
      <c r="J26" s="515">
        <f>O64</f>
        <v>1888</v>
      </c>
      <c r="K26" s="514">
        <f>SUM(E26:J26)</f>
        <v>1888</v>
      </c>
      <c r="L26" s="500"/>
      <c r="M26" s="500"/>
      <c r="N26" s="500"/>
      <c r="O26" s="500"/>
      <c r="P26" s="500"/>
      <c r="Q26" s="500"/>
      <c r="R26" s="500"/>
      <c r="S26" s="500"/>
      <c r="T26" s="500"/>
      <c r="U26" s="500"/>
      <c r="V26" s="500"/>
      <c r="W26" s="500"/>
      <c r="X26" s="500"/>
      <c r="Y26" s="500"/>
      <c r="Z26" s="500"/>
      <c r="AA26" s="500"/>
      <c r="AB26" s="500"/>
      <c r="AC26" s="500"/>
    </row>
    <row r="27" spans="1:29">
      <c r="A27" s="504">
        <v>12</v>
      </c>
      <c r="B27" s="500"/>
      <c r="C27" s="500"/>
      <c r="D27" s="500"/>
      <c r="E27" s="515"/>
      <c r="F27" s="515"/>
      <c r="G27" s="515"/>
      <c r="H27" s="515"/>
      <c r="I27" s="515"/>
      <c r="J27" s="515"/>
      <c r="K27" s="514"/>
      <c r="L27" s="500"/>
      <c r="M27" s="500"/>
      <c r="N27" s="500"/>
      <c r="O27" s="500"/>
      <c r="P27" s="500"/>
      <c r="Q27" s="500"/>
      <c r="R27" s="500"/>
      <c r="S27" s="500"/>
      <c r="T27" s="500"/>
      <c r="U27" s="500"/>
      <c r="V27" s="500"/>
      <c r="W27" s="500"/>
      <c r="X27" s="500"/>
      <c r="Y27" s="500"/>
      <c r="Z27" s="500"/>
      <c r="AA27" s="500"/>
      <c r="AB27" s="500"/>
      <c r="AC27" s="500"/>
    </row>
    <row r="28" spans="1:29">
      <c r="A28" s="504">
        <v>13</v>
      </c>
      <c r="B28" s="500"/>
      <c r="C28" s="508" t="s">
        <v>2617</v>
      </c>
      <c r="D28" s="500"/>
      <c r="E28" s="515"/>
      <c r="F28" s="515"/>
      <c r="G28" s="515"/>
      <c r="H28" s="515"/>
      <c r="I28" s="515"/>
      <c r="J28" s="515">
        <f>O66</f>
        <v>272834</v>
      </c>
      <c r="K28" s="514">
        <f>SUM(E28:J28)</f>
        <v>272834</v>
      </c>
      <c r="L28" s="500"/>
      <c r="M28" s="500"/>
      <c r="N28" s="500"/>
      <c r="O28" s="500"/>
      <c r="P28" s="500"/>
      <c r="Q28" s="500"/>
      <c r="R28" s="500"/>
      <c r="S28" s="500"/>
      <c r="T28" s="500"/>
      <c r="U28" s="500"/>
      <c r="V28" s="500"/>
      <c r="W28" s="500"/>
      <c r="X28" s="500"/>
      <c r="Y28" s="500"/>
      <c r="Z28" s="500"/>
      <c r="AA28" s="500"/>
      <c r="AB28" s="500"/>
      <c r="AC28" s="500"/>
    </row>
    <row r="29" spans="1:29">
      <c r="A29" s="504">
        <v>14</v>
      </c>
      <c r="B29" s="500"/>
      <c r="C29" s="500"/>
      <c r="D29" s="500"/>
      <c r="E29" s="515"/>
      <c r="F29" s="515"/>
      <c r="G29" s="515"/>
      <c r="H29" s="515"/>
      <c r="I29" s="515"/>
      <c r="J29" s="515"/>
      <c r="K29" s="514"/>
      <c r="L29" s="500"/>
      <c r="M29" s="500"/>
      <c r="N29" s="500"/>
      <c r="O29" s="500"/>
      <c r="P29" s="500"/>
      <c r="Q29" s="500"/>
      <c r="R29" s="500"/>
      <c r="S29" s="500"/>
      <c r="T29" s="500"/>
      <c r="U29" s="500"/>
      <c r="V29" s="500"/>
      <c r="W29" s="500"/>
      <c r="X29" s="500"/>
      <c r="Y29" s="500"/>
      <c r="Z29" s="500"/>
      <c r="AA29" s="500"/>
      <c r="AB29" s="500"/>
      <c r="AC29" s="500"/>
    </row>
    <row r="30" spans="1:29">
      <c r="A30" s="504">
        <v>15</v>
      </c>
      <c r="B30" s="500"/>
      <c r="C30" s="500" t="s">
        <v>258</v>
      </c>
      <c r="D30" s="500"/>
      <c r="E30" s="517">
        <f t="shared" ref="E30:K30" si="0">SUM(E16:E28)</f>
        <v>0</v>
      </c>
      <c r="F30" s="517">
        <f t="shared" si="0"/>
        <v>0</v>
      </c>
      <c r="G30" s="517">
        <f t="shared" si="0"/>
        <v>76105</v>
      </c>
      <c r="H30" s="517">
        <f t="shared" si="0"/>
        <v>0</v>
      </c>
      <c r="I30" s="517">
        <f t="shared" si="0"/>
        <v>0</v>
      </c>
      <c r="J30" s="517">
        <f t="shared" si="0"/>
        <v>274722</v>
      </c>
      <c r="K30" s="517">
        <f t="shared" si="0"/>
        <v>350827</v>
      </c>
      <c r="L30" s="500"/>
      <c r="M30" s="500"/>
      <c r="N30" s="500"/>
      <c r="O30" s="500"/>
      <c r="P30" s="500"/>
      <c r="Q30" s="500"/>
      <c r="R30" s="500"/>
      <c r="S30" s="500"/>
      <c r="T30" s="500"/>
      <c r="U30" s="500"/>
      <c r="V30" s="500"/>
      <c r="W30" s="500"/>
      <c r="X30" s="500"/>
      <c r="Y30" s="500"/>
      <c r="Z30" s="500"/>
      <c r="AA30" s="500"/>
      <c r="AB30" s="500"/>
      <c r="AC30" s="500"/>
    </row>
    <row r="31" spans="1:29">
      <c r="A31" s="504">
        <v>16</v>
      </c>
      <c r="B31" s="500"/>
      <c r="C31" s="500"/>
      <c r="D31" s="500"/>
      <c r="E31" s="517"/>
      <c r="F31" s="517"/>
      <c r="G31" s="517"/>
      <c r="H31" s="517"/>
      <c r="I31" s="517"/>
      <c r="J31" s="517"/>
      <c r="K31" s="518"/>
      <c r="L31" s="500"/>
      <c r="M31" s="500"/>
      <c r="N31" s="500"/>
      <c r="O31" s="500"/>
      <c r="P31" s="500"/>
      <c r="Q31" s="500"/>
      <c r="R31" s="500"/>
      <c r="S31" s="500"/>
      <c r="T31" s="500"/>
      <c r="U31" s="500"/>
      <c r="V31" s="500"/>
      <c r="W31" s="500"/>
      <c r="X31" s="500"/>
      <c r="Y31" s="500"/>
      <c r="Z31" s="500"/>
      <c r="AA31" s="500"/>
      <c r="AB31" s="500"/>
      <c r="AC31" s="500"/>
    </row>
    <row r="32" spans="1:29">
      <c r="A32" s="504">
        <v>17</v>
      </c>
      <c r="B32" s="500"/>
      <c r="C32" s="500" t="s">
        <v>2618</v>
      </c>
      <c r="D32" s="500"/>
      <c r="E32" s="517"/>
      <c r="F32" s="517"/>
      <c r="G32" s="517"/>
      <c r="H32" s="517"/>
      <c r="I32" s="517"/>
      <c r="J32" s="517"/>
      <c r="K32" s="518"/>
      <c r="L32" s="500"/>
      <c r="M32" s="500"/>
      <c r="N32" s="500"/>
      <c r="O32" s="500"/>
      <c r="P32" s="500"/>
      <c r="Q32" s="500"/>
      <c r="R32" s="500"/>
      <c r="S32" s="500"/>
      <c r="T32" s="500"/>
      <c r="U32" s="500"/>
      <c r="V32" s="500"/>
      <c r="W32" s="500"/>
      <c r="X32" s="500"/>
      <c r="Y32" s="500"/>
      <c r="Z32" s="500"/>
      <c r="AA32" s="500"/>
      <c r="AB32" s="500"/>
      <c r="AC32" s="500"/>
    </row>
    <row r="33" spans="1:29">
      <c r="A33" s="504">
        <v>18</v>
      </c>
      <c r="B33" s="500"/>
      <c r="C33" s="500" t="s">
        <v>2619</v>
      </c>
      <c r="D33" s="500"/>
      <c r="E33" s="517">
        <f t="shared" ref="E33:J33" si="1">E30</f>
        <v>0</v>
      </c>
      <c r="F33" s="517">
        <f t="shared" si="1"/>
        <v>0</v>
      </c>
      <c r="G33" s="517">
        <f t="shared" si="1"/>
        <v>76105</v>
      </c>
      <c r="H33" s="517">
        <f t="shared" si="1"/>
        <v>0</v>
      </c>
      <c r="I33" s="517">
        <f t="shared" si="1"/>
        <v>0</v>
      </c>
      <c r="J33" s="517">
        <f t="shared" si="1"/>
        <v>274722</v>
      </c>
      <c r="K33" s="518">
        <f>SUM(E33:J33)</f>
        <v>350827</v>
      </c>
      <c r="L33" s="500"/>
      <c r="M33" s="500"/>
      <c r="N33" s="500"/>
      <c r="O33" s="500"/>
      <c r="P33" s="500"/>
      <c r="Q33" s="500"/>
      <c r="R33" s="500"/>
      <c r="S33" s="500"/>
      <c r="T33" s="500"/>
      <c r="U33" s="500"/>
      <c r="V33" s="500"/>
      <c r="W33" s="500"/>
      <c r="X33" s="500"/>
      <c r="Y33" s="500"/>
      <c r="Z33" s="500"/>
      <c r="AA33" s="500"/>
      <c r="AB33" s="500"/>
      <c r="AC33" s="500"/>
    </row>
    <row r="34" spans="1:29">
      <c r="A34" s="500"/>
      <c r="B34" s="500"/>
      <c r="C34" s="500"/>
      <c r="D34" s="500"/>
      <c r="E34" s="509"/>
      <c r="F34" s="509"/>
      <c r="G34" s="509"/>
      <c r="H34" s="509"/>
      <c r="I34" s="509"/>
      <c r="J34" s="509"/>
      <c r="K34" s="509"/>
      <c r="L34" s="500"/>
      <c r="M34" s="500"/>
      <c r="N34" s="500"/>
      <c r="O34" s="500"/>
      <c r="P34" s="500"/>
      <c r="Q34" s="500"/>
      <c r="R34" s="500"/>
      <c r="S34" s="500"/>
      <c r="T34" s="500"/>
      <c r="U34" s="500"/>
      <c r="V34" s="500"/>
      <c r="W34" s="500"/>
      <c r="X34" s="500"/>
      <c r="Y34" s="500"/>
      <c r="Z34" s="500"/>
      <c r="AA34" s="500"/>
      <c r="AB34" s="500"/>
      <c r="AC34" s="500"/>
    </row>
    <row r="35" spans="1:29">
      <c r="A35" s="500"/>
      <c r="B35" s="500"/>
      <c r="C35" s="500"/>
      <c r="D35" s="500"/>
      <c r="E35" s="509"/>
      <c r="F35" s="509"/>
      <c r="G35" s="509"/>
      <c r="H35" s="509"/>
      <c r="I35" s="509"/>
      <c r="J35" s="509"/>
      <c r="K35" s="509"/>
      <c r="L35" s="500"/>
      <c r="M35" s="500"/>
      <c r="N35" s="500"/>
      <c r="O35" s="500"/>
      <c r="P35" s="500"/>
      <c r="Q35" s="500"/>
      <c r="R35" s="500"/>
      <c r="S35" s="500"/>
      <c r="T35" s="500"/>
      <c r="U35" s="500"/>
      <c r="V35" s="500"/>
      <c r="W35" s="500"/>
      <c r="X35" s="500"/>
      <c r="Y35" s="500"/>
      <c r="Z35" s="500"/>
      <c r="AA35" s="500"/>
      <c r="AB35" s="500"/>
      <c r="AC35" s="500"/>
    </row>
    <row r="36" spans="1:29" ht="15.6">
      <c r="A36" s="500"/>
      <c r="B36" s="500"/>
      <c r="C36" s="519"/>
      <c r="D36" s="500"/>
      <c r="E36" s="509"/>
      <c r="F36" s="509"/>
      <c r="G36" s="509"/>
      <c r="H36" s="509"/>
      <c r="I36" s="509"/>
      <c r="J36" s="509"/>
      <c r="K36" s="509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</row>
    <row r="37" spans="1:29">
      <c r="A37" s="500"/>
      <c r="B37" s="500"/>
      <c r="C37" s="500"/>
      <c r="D37" s="500"/>
      <c r="E37" s="500"/>
      <c r="F37" s="500"/>
      <c r="G37" s="500"/>
      <c r="H37" s="500"/>
      <c r="I37" s="500"/>
      <c r="J37" s="500"/>
      <c r="K37" s="500"/>
      <c r="L37" s="500"/>
      <c r="M37" s="434" t="str">
        <f>COMPANY</f>
        <v>DUKE ENERGY KENTUCKY, INC.</v>
      </c>
      <c r="N37" s="494"/>
      <c r="O37" s="494"/>
      <c r="P37" s="494"/>
      <c r="Q37" s="494"/>
      <c r="R37" s="520"/>
      <c r="S37" s="494"/>
      <c r="T37" s="494"/>
      <c r="U37" s="492"/>
      <c r="V37" s="494"/>
      <c r="W37" s="494"/>
      <c r="X37" s="492"/>
      <c r="Y37" s="434" t="s">
        <v>2620</v>
      </c>
      <c r="Z37" s="492"/>
      <c r="AA37" s="492"/>
      <c r="AB37" s="500"/>
      <c r="AC37" s="500"/>
    </row>
    <row r="38" spans="1:29">
      <c r="A38" s="500"/>
      <c r="B38" s="500"/>
      <c r="C38" s="500"/>
      <c r="D38" s="500"/>
      <c r="E38" s="500"/>
      <c r="F38" s="500"/>
      <c r="G38" s="500"/>
      <c r="H38" s="500"/>
      <c r="I38" s="500"/>
      <c r="J38" s="500"/>
      <c r="K38" s="500"/>
      <c r="L38" s="500"/>
      <c r="M38" s="434" t="str">
        <f>CASE</f>
        <v>CASE NO. 2024-00354</v>
      </c>
      <c r="N38" s="494"/>
      <c r="O38" s="494"/>
      <c r="P38" s="494"/>
      <c r="Q38" s="494"/>
      <c r="R38" s="520"/>
      <c r="S38" s="494"/>
      <c r="T38" s="494"/>
      <c r="U38" s="492"/>
      <c r="V38" s="494"/>
      <c r="W38" s="494"/>
      <c r="X38" s="492"/>
      <c r="Y38" s="434" t="s">
        <v>468</v>
      </c>
      <c r="Z38" s="492"/>
      <c r="AA38" s="492"/>
      <c r="AB38" s="500"/>
      <c r="AC38" s="500"/>
    </row>
    <row r="39" spans="1:29">
      <c r="A39" s="500"/>
      <c r="B39" s="500"/>
      <c r="C39" s="500"/>
      <c r="D39" s="500"/>
      <c r="E39" s="500"/>
      <c r="F39" s="500"/>
      <c r="G39" s="500"/>
      <c r="H39" s="500"/>
      <c r="I39" s="500"/>
      <c r="J39" s="500"/>
      <c r="K39" s="500"/>
      <c r="L39" s="500"/>
      <c r="M39" s="521" t="str">
        <f>A71</f>
        <v>ADVERTISING</v>
      </c>
      <c r="N39" s="494"/>
      <c r="O39" s="494"/>
      <c r="P39" s="494"/>
      <c r="Q39" s="494"/>
      <c r="R39" s="520"/>
      <c r="S39" s="494"/>
      <c r="T39" s="494"/>
      <c r="U39" s="492"/>
      <c r="V39" s="494"/>
      <c r="W39" s="494"/>
      <c r="X39" s="492"/>
      <c r="Y39" s="434" t="str">
        <f>_WIT1</f>
        <v>L. D. STEINKUHL</v>
      </c>
      <c r="Z39" s="492"/>
      <c r="AA39" s="492"/>
      <c r="AB39" s="500"/>
      <c r="AC39" s="500"/>
    </row>
    <row r="40" spans="1:29">
      <c r="A40" s="500"/>
      <c r="B40" s="500"/>
      <c r="C40" s="500"/>
      <c r="D40" s="500"/>
      <c r="E40" s="500"/>
      <c r="F40" s="500"/>
      <c r="G40" s="500"/>
      <c r="H40" s="500"/>
      <c r="I40" s="500"/>
      <c r="J40" s="500"/>
      <c r="K40" s="500"/>
      <c r="L40" s="500"/>
      <c r="M40" s="492" t="str">
        <f>Data</f>
        <v>DATA: "X" BASE PERIOD   FORECASTED PERIOD</v>
      </c>
      <c r="N40" s="494"/>
      <c r="O40" s="494"/>
      <c r="P40" s="494"/>
      <c r="Q40" s="494"/>
      <c r="R40" s="520"/>
      <c r="S40" s="494"/>
      <c r="T40" s="494"/>
      <c r="U40" s="492"/>
      <c r="V40" s="494"/>
      <c r="W40" s="494"/>
      <c r="X40" s="492"/>
      <c r="Y40" s="492"/>
      <c r="Z40" s="492"/>
      <c r="AA40" s="492"/>
      <c r="AB40" s="500"/>
      <c r="AC40" s="500"/>
    </row>
    <row r="41" spans="1:29">
      <c r="A41" s="500"/>
      <c r="B41" s="500"/>
      <c r="C41" s="500"/>
      <c r="D41" s="500"/>
      <c r="E41" s="500"/>
      <c r="F41" s="500"/>
      <c r="G41" s="500"/>
      <c r="H41" s="500"/>
      <c r="I41" s="500"/>
      <c r="J41" s="500"/>
      <c r="K41" s="500"/>
      <c r="L41" s="500"/>
      <c r="M41" s="434" t="str">
        <f>PERIOD</f>
        <v>FOR THE TWELVE MONTHS ENDED FEBRUARY 28, 2025</v>
      </c>
      <c r="N41" s="494"/>
      <c r="O41" s="494"/>
      <c r="P41" s="494"/>
      <c r="Q41" s="494"/>
      <c r="R41" s="494"/>
      <c r="S41" s="494"/>
      <c r="T41" s="494"/>
      <c r="U41" s="494"/>
      <c r="V41" s="494"/>
      <c r="W41" s="494"/>
      <c r="X41" s="492"/>
      <c r="Y41" s="492"/>
      <c r="Z41" s="492"/>
      <c r="AA41" s="492"/>
      <c r="AB41" s="500"/>
      <c r="AC41" s="500"/>
    </row>
    <row r="42" spans="1:29">
      <c r="A42" s="500"/>
      <c r="B42" s="500"/>
      <c r="C42" s="500"/>
      <c r="D42" s="500"/>
      <c r="E42" s="500"/>
      <c r="F42" s="500"/>
      <c r="G42" s="500"/>
      <c r="H42" s="500"/>
      <c r="I42" s="500"/>
      <c r="J42" s="500"/>
      <c r="K42" s="500"/>
      <c r="L42" s="500"/>
      <c r="M42" s="492"/>
      <c r="N42" s="492"/>
      <c r="O42" s="492"/>
      <c r="P42" s="492"/>
      <c r="Q42" s="492"/>
      <c r="R42" s="492"/>
      <c r="S42" s="492"/>
      <c r="T42" s="492"/>
      <c r="U42" s="492"/>
      <c r="V42" s="492"/>
      <c r="W42" s="492"/>
      <c r="X42" s="492"/>
      <c r="Y42" s="492"/>
      <c r="Z42" s="492"/>
      <c r="AA42" s="492"/>
      <c r="AB42" s="500"/>
      <c r="AC42" s="500"/>
    </row>
    <row r="43" spans="1:29">
      <c r="A43" s="500"/>
      <c r="B43" s="500"/>
      <c r="C43" s="500"/>
      <c r="D43" s="500"/>
      <c r="E43" s="500"/>
      <c r="F43" s="500"/>
      <c r="G43" s="500"/>
      <c r="H43" s="500"/>
      <c r="I43" s="500"/>
      <c r="J43" s="500"/>
      <c r="K43" s="500"/>
      <c r="L43" s="500"/>
      <c r="M43" s="492"/>
      <c r="N43" s="492"/>
      <c r="O43" s="492"/>
      <c r="P43" s="492"/>
      <c r="Q43" s="492"/>
      <c r="R43" s="492"/>
      <c r="S43" s="492"/>
      <c r="T43" s="492"/>
      <c r="U43" s="434"/>
      <c r="V43" s="492"/>
      <c r="W43" s="492"/>
      <c r="X43" s="492"/>
      <c r="Y43" s="492"/>
      <c r="Z43" s="492"/>
      <c r="AA43" s="492"/>
      <c r="AB43" s="500"/>
      <c r="AC43" s="500"/>
    </row>
    <row r="44" spans="1:29">
      <c r="A44" s="500"/>
      <c r="B44" s="500"/>
      <c r="C44" s="500"/>
      <c r="D44" s="500"/>
      <c r="E44" s="500"/>
      <c r="F44" s="500"/>
      <c r="G44" s="500"/>
      <c r="H44" s="500"/>
      <c r="I44" s="500"/>
      <c r="J44" s="500"/>
      <c r="K44" s="500"/>
      <c r="L44" s="500"/>
      <c r="M44" s="1571"/>
      <c r="N44" s="1571"/>
      <c r="O44" s="1571"/>
      <c r="P44" s="1571"/>
      <c r="Q44" s="1571"/>
      <c r="R44" s="1571"/>
      <c r="S44" s="1571"/>
      <c r="T44" s="1571"/>
      <c r="U44" s="1571"/>
      <c r="V44" s="1571"/>
      <c r="W44" s="1571"/>
      <c r="X44" s="1571"/>
      <c r="Y44" s="1571"/>
      <c r="Z44" s="1571"/>
      <c r="AA44" s="1571"/>
      <c r="AB44" s="500"/>
      <c r="AC44" s="500"/>
    </row>
    <row r="45" spans="1:29">
      <c r="A45" s="500"/>
      <c r="B45" s="500"/>
      <c r="C45" s="500"/>
      <c r="D45" s="500"/>
      <c r="E45" s="500"/>
      <c r="F45" s="500"/>
      <c r="G45" s="500"/>
      <c r="H45" s="500"/>
      <c r="I45" s="500"/>
      <c r="J45" s="500"/>
      <c r="K45" s="500"/>
      <c r="L45" s="500"/>
      <c r="M45" s="492"/>
      <c r="N45" s="495"/>
      <c r="O45" s="2166"/>
      <c r="P45" s="2166"/>
      <c r="Q45" s="2166"/>
      <c r="R45" s="495"/>
      <c r="S45" s="495"/>
      <c r="T45" s="492"/>
      <c r="U45" s="492"/>
      <c r="V45" s="492"/>
      <c r="W45" s="492"/>
      <c r="X45" s="492"/>
      <c r="Y45" s="492"/>
      <c r="Z45" s="492"/>
      <c r="AA45" s="492"/>
      <c r="AB45" s="500"/>
      <c r="AC45" s="500"/>
    </row>
    <row r="46" spans="1:29">
      <c r="A46" s="500"/>
      <c r="B46" s="500"/>
      <c r="C46" s="500"/>
      <c r="D46" s="500"/>
      <c r="E46" s="500"/>
      <c r="F46" s="500"/>
      <c r="G46" s="500"/>
      <c r="H46" s="500"/>
      <c r="I46" s="500"/>
      <c r="J46" s="500"/>
      <c r="K46" s="500"/>
      <c r="L46" s="500"/>
      <c r="M46" s="495" t="s">
        <v>573</v>
      </c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500"/>
      <c r="AC46" s="500"/>
    </row>
    <row r="47" spans="1:29">
      <c r="A47" s="500"/>
      <c r="B47" s="500"/>
      <c r="C47" s="500"/>
      <c r="D47" s="500"/>
      <c r="E47" s="500"/>
      <c r="F47" s="500"/>
      <c r="G47" s="500"/>
      <c r="H47" s="500"/>
      <c r="I47" s="500"/>
      <c r="J47" s="500"/>
      <c r="K47" s="500"/>
      <c r="L47" s="500"/>
      <c r="M47" s="495" t="s">
        <v>576</v>
      </c>
      <c r="N47" s="495" t="s">
        <v>2621</v>
      </c>
      <c r="O47" s="495" t="s">
        <v>258</v>
      </c>
      <c r="P47" s="435">
        <f>LOGO!$I$7</f>
        <v>45382</v>
      </c>
      <c r="Q47" s="435">
        <f>LOGO!$I$8</f>
        <v>45412</v>
      </c>
      <c r="R47" s="435">
        <f>LOGO!$I$9</f>
        <v>45443</v>
      </c>
      <c r="S47" s="435">
        <f>LOGO!$I$10</f>
        <v>45473</v>
      </c>
      <c r="T47" s="435">
        <f>LOGO!$I$11</f>
        <v>45504</v>
      </c>
      <c r="U47" s="435">
        <f>LOGO!$I$12</f>
        <v>45535</v>
      </c>
      <c r="V47" s="435">
        <f>LOGO!$I$13</f>
        <v>45565</v>
      </c>
      <c r="W47" s="435">
        <f>LOGO!$I$14</f>
        <v>45596</v>
      </c>
      <c r="X47" s="435">
        <f>LOGO!$I$15</f>
        <v>45626</v>
      </c>
      <c r="Y47" s="435">
        <f>LOGO!$I$16</f>
        <v>45657</v>
      </c>
      <c r="Z47" s="435">
        <f>LOGO!$I$17</f>
        <v>45688</v>
      </c>
      <c r="AA47" s="435">
        <f>LOGO!$I$18</f>
        <v>45716</v>
      </c>
      <c r="AB47" s="500"/>
      <c r="AC47" s="500"/>
    </row>
    <row r="48" spans="1:29">
      <c r="A48" s="500"/>
      <c r="B48" s="500"/>
      <c r="C48" s="500"/>
      <c r="D48" s="500"/>
      <c r="E48" s="500"/>
      <c r="F48" s="500"/>
      <c r="G48" s="500"/>
      <c r="H48" s="500"/>
      <c r="I48" s="500"/>
      <c r="J48" s="500"/>
      <c r="K48" s="500"/>
      <c r="L48" s="500"/>
      <c r="M48" s="1571"/>
      <c r="N48" s="1571"/>
      <c r="O48" s="1571"/>
      <c r="P48" s="1571"/>
      <c r="Q48" s="1571"/>
      <c r="R48" s="1571"/>
      <c r="S48" s="1571"/>
      <c r="T48" s="1571"/>
      <c r="U48" s="1571"/>
      <c r="V48" s="1571"/>
      <c r="W48" s="1571"/>
      <c r="X48" s="1571"/>
      <c r="Y48" s="1571"/>
      <c r="Z48" s="1571"/>
      <c r="AA48" s="1571"/>
      <c r="AB48" s="500"/>
      <c r="AC48" s="500"/>
    </row>
    <row r="49" spans="1:29">
      <c r="A49" s="500"/>
      <c r="B49" s="500"/>
      <c r="C49" s="500"/>
      <c r="D49" s="500"/>
      <c r="E49" s="500"/>
      <c r="F49" s="500"/>
      <c r="G49" s="500"/>
      <c r="H49" s="500"/>
      <c r="I49" s="500"/>
      <c r="J49" s="500"/>
      <c r="K49" s="500"/>
      <c r="L49" s="500"/>
      <c r="M49" s="492"/>
      <c r="N49" s="492"/>
      <c r="O49" s="495" t="s">
        <v>1371</v>
      </c>
      <c r="P49" s="495" t="s">
        <v>1371</v>
      </c>
      <c r="Q49" s="495" t="s">
        <v>1371</v>
      </c>
      <c r="R49" s="495" t="s">
        <v>1371</v>
      </c>
      <c r="S49" s="495" t="s">
        <v>1371</v>
      </c>
      <c r="T49" s="495" t="s">
        <v>1371</v>
      </c>
      <c r="U49" s="495" t="s">
        <v>1371</v>
      </c>
      <c r="V49" s="495" t="s">
        <v>1371</v>
      </c>
      <c r="W49" s="495" t="s">
        <v>1371</v>
      </c>
      <c r="X49" s="495" t="s">
        <v>1371</v>
      </c>
      <c r="Y49" s="495" t="s">
        <v>1371</v>
      </c>
      <c r="Z49" s="495" t="s">
        <v>1371</v>
      </c>
      <c r="AA49" s="495" t="s">
        <v>1371</v>
      </c>
      <c r="AB49" s="500"/>
      <c r="AC49" s="500"/>
    </row>
    <row r="50" spans="1:29">
      <c r="A50" s="500"/>
      <c r="B50" s="500"/>
      <c r="C50" s="500"/>
      <c r="D50" s="500"/>
      <c r="E50" s="500"/>
      <c r="F50" s="500"/>
      <c r="G50" s="500"/>
      <c r="H50" s="500"/>
      <c r="I50" s="500"/>
      <c r="J50" s="500"/>
      <c r="K50" s="500"/>
      <c r="L50" s="500"/>
      <c r="M50" s="495"/>
      <c r="N50" s="522"/>
      <c r="O50" s="492"/>
      <c r="P50" s="492"/>
      <c r="Q50" s="492"/>
      <c r="R50" s="492"/>
      <c r="S50" s="492"/>
      <c r="T50" s="492"/>
      <c r="U50" s="492"/>
      <c r="V50" s="492"/>
      <c r="W50" s="492"/>
      <c r="X50" s="492"/>
      <c r="Y50" s="492"/>
      <c r="Z50" s="492"/>
      <c r="AA50" s="492"/>
      <c r="AB50" s="500"/>
      <c r="AC50" s="500"/>
    </row>
    <row r="51" spans="1:29">
      <c r="A51" s="500"/>
      <c r="B51" s="500"/>
      <c r="C51" s="500"/>
      <c r="D51" s="500"/>
      <c r="E51" s="500"/>
      <c r="F51" s="500"/>
      <c r="G51" s="500"/>
      <c r="H51" s="500"/>
      <c r="I51" s="500"/>
      <c r="J51" s="500"/>
      <c r="K51" s="500"/>
      <c r="L51" s="500"/>
      <c r="M51" s="495">
        <v>1</v>
      </c>
      <c r="N51" s="508" t="s">
        <v>2611</v>
      </c>
      <c r="O51" s="493">
        <f>SUM(P51:AA51)</f>
        <v>0</v>
      </c>
      <c r="P51" s="496">
        <v>0</v>
      </c>
      <c r="Q51" s="496">
        <v>0</v>
      </c>
      <c r="R51" s="496">
        <v>0</v>
      </c>
      <c r="S51" s="496">
        <v>0</v>
      </c>
      <c r="T51" s="496">
        <v>0</v>
      </c>
      <c r="U51" s="496">
        <v>0</v>
      </c>
      <c r="V51" s="496">
        <v>0</v>
      </c>
      <c r="W51" s="496">
        <v>0</v>
      </c>
      <c r="X51" s="496">
        <v>0</v>
      </c>
      <c r="Y51" s="496">
        <v>0</v>
      </c>
      <c r="Z51" s="496">
        <v>0</v>
      </c>
      <c r="AA51" s="496">
        <v>0</v>
      </c>
      <c r="AB51" s="500"/>
      <c r="AC51" s="500"/>
    </row>
    <row r="52" spans="1:29">
      <c r="A52" s="500"/>
      <c r="B52" s="500"/>
      <c r="C52" s="500"/>
      <c r="D52" s="500"/>
      <c r="E52" s="500"/>
      <c r="F52" s="500"/>
      <c r="G52" s="500"/>
      <c r="H52" s="500"/>
      <c r="I52" s="500"/>
      <c r="J52" s="500"/>
      <c r="K52" s="500"/>
      <c r="L52" s="500"/>
      <c r="M52" s="495">
        <v>2</v>
      </c>
      <c r="N52" s="500"/>
      <c r="O52" s="493"/>
      <c r="P52" s="496"/>
      <c r="Q52" s="496"/>
      <c r="R52" s="496"/>
      <c r="S52" s="496"/>
      <c r="T52" s="496"/>
      <c r="U52" s="496"/>
      <c r="V52" s="496"/>
      <c r="W52" s="496"/>
      <c r="X52" s="496"/>
      <c r="Y52" s="496"/>
      <c r="Z52" s="496"/>
      <c r="AA52" s="496"/>
      <c r="AB52" s="500"/>
      <c r="AC52" s="500"/>
    </row>
    <row r="53" spans="1:29">
      <c r="A53" s="500"/>
      <c r="B53" s="500"/>
      <c r="C53" s="500"/>
      <c r="D53" s="500"/>
      <c r="E53" s="500"/>
      <c r="F53" s="500"/>
      <c r="G53" s="500"/>
      <c r="H53" s="500"/>
      <c r="I53" s="500"/>
      <c r="J53" s="500"/>
      <c r="K53" s="500"/>
      <c r="L53" s="500"/>
      <c r="M53" s="495">
        <v>3</v>
      </c>
      <c r="N53" s="508" t="s">
        <v>2612</v>
      </c>
      <c r="O53" s="493">
        <f>SUM(P53:AA53)</f>
        <v>0</v>
      </c>
      <c r="P53" s="496">
        <v>0</v>
      </c>
      <c r="Q53" s="496">
        <v>0</v>
      </c>
      <c r="R53" s="496">
        <v>0</v>
      </c>
      <c r="S53" s="496">
        <v>0</v>
      </c>
      <c r="T53" s="496">
        <v>0</v>
      </c>
      <c r="U53" s="496">
        <v>0</v>
      </c>
      <c r="V53" s="496">
        <v>0</v>
      </c>
      <c r="W53" s="496">
        <v>0</v>
      </c>
      <c r="X53" s="496">
        <v>0</v>
      </c>
      <c r="Y53" s="496">
        <v>0</v>
      </c>
      <c r="Z53" s="496">
        <v>0</v>
      </c>
      <c r="AA53" s="496">
        <v>0</v>
      </c>
      <c r="AB53" s="500"/>
      <c r="AC53" s="500"/>
    </row>
    <row r="54" spans="1:29">
      <c r="A54" s="500"/>
      <c r="B54" s="500"/>
      <c r="C54" s="500"/>
      <c r="D54" s="500"/>
      <c r="E54" s="500"/>
      <c r="F54" s="500"/>
      <c r="G54" s="500"/>
      <c r="H54" s="500"/>
      <c r="I54" s="500"/>
      <c r="J54" s="500"/>
      <c r="K54" s="500"/>
      <c r="L54" s="500"/>
      <c r="M54" s="495">
        <v>4</v>
      </c>
      <c r="N54" s="500"/>
      <c r="O54" s="493"/>
      <c r="P54" s="496"/>
      <c r="Q54" s="496"/>
      <c r="R54" s="496"/>
      <c r="S54" s="496"/>
      <c r="T54" s="496"/>
      <c r="U54" s="496"/>
      <c r="V54" s="496"/>
      <c r="W54" s="496"/>
      <c r="X54" s="496"/>
      <c r="Y54" s="496"/>
      <c r="Z54" s="496"/>
      <c r="AA54" s="496"/>
      <c r="AB54" s="500"/>
      <c r="AC54" s="500"/>
    </row>
    <row r="55" spans="1:29">
      <c r="A55" s="500"/>
      <c r="B55" s="500"/>
      <c r="C55" s="500"/>
      <c r="D55" s="500"/>
      <c r="E55" s="500"/>
      <c r="F55" s="500"/>
      <c r="G55" s="500"/>
      <c r="H55" s="500"/>
      <c r="I55" s="500"/>
      <c r="J55" s="500"/>
      <c r="K55" s="500"/>
      <c r="L55" s="500"/>
      <c r="M55" s="495">
        <v>5</v>
      </c>
      <c r="N55" s="508" t="s">
        <v>2613</v>
      </c>
      <c r="O55" s="493">
        <f>SUM(P55:AA55)</f>
        <v>0</v>
      </c>
      <c r="P55" s="496">
        <v>0</v>
      </c>
      <c r="Q55" s="496">
        <v>0</v>
      </c>
      <c r="R55" s="496">
        <v>0</v>
      </c>
      <c r="S55" s="496">
        <v>0</v>
      </c>
      <c r="T55" s="496">
        <v>0</v>
      </c>
      <c r="U55" s="496">
        <v>0</v>
      </c>
      <c r="V55" s="496">
        <v>0</v>
      </c>
      <c r="W55" s="496">
        <v>0</v>
      </c>
      <c r="X55" s="496">
        <v>0</v>
      </c>
      <c r="Y55" s="496">
        <v>0</v>
      </c>
      <c r="Z55" s="496">
        <v>0</v>
      </c>
      <c r="AA55" s="496">
        <v>0</v>
      </c>
      <c r="AB55" s="500"/>
      <c r="AC55" s="500"/>
    </row>
    <row r="56" spans="1:29">
      <c r="A56" s="500"/>
      <c r="B56" s="500"/>
      <c r="C56" s="500"/>
      <c r="D56" s="500"/>
      <c r="E56" s="500"/>
      <c r="F56" s="500"/>
      <c r="G56" s="500"/>
      <c r="H56" s="500"/>
      <c r="I56" s="500"/>
      <c r="J56" s="500"/>
      <c r="K56" s="500"/>
      <c r="L56" s="500"/>
      <c r="M56" s="495">
        <v>6</v>
      </c>
      <c r="N56" s="500"/>
      <c r="O56" s="493"/>
      <c r="P56" s="496"/>
      <c r="Q56" s="496"/>
      <c r="R56" s="496"/>
      <c r="S56" s="496"/>
      <c r="T56" s="496"/>
      <c r="U56" s="496"/>
      <c r="V56" s="496"/>
      <c r="W56" s="496"/>
      <c r="X56" s="496"/>
      <c r="Y56" s="496"/>
      <c r="Z56" s="496"/>
      <c r="AA56" s="496"/>
      <c r="AB56" s="500"/>
      <c r="AC56" s="500"/>
    </row>
    <row r="57" spans="1:29">
      <c r="A57" s="500"/>
      <c r="B57" s="500"/>
      <c r="C57" s="500"/>
      <c r="D57" s="500"/>
      <c r="E57" s="500"/>
      <c r="F57" s="500"/>
      <c r="G57" s="500"/>
      <c r="H57" s="500"/>
      <c r="I57" s="500"/>
      <c r="J57" s="500"/>
      <c r="K57" s="500"/>
      <c r="L57" s="500"/>
      <c r="M57" s="495">
        <v>7</v>
      </c>
      <c r="N57" s="508" t="s">
        <v>2614</v>
      </c>
      <c r="O57" s="493">
        <f>SUM(P57:AA57)</f>
        <v>0</v>
      </c>
      <c r="P57" s="496">
        <v>0</v>
      </c>
      <c r="Q57" s="496">
        <v>0</v>
      </c>
      <c r="R57" s="496">
        <v>0</v>
      </c>
      <c r="S57" s="496">
        <v>0</v>
      </c>
      <c r="T57" s="496">
        <v>0</v>
      </c>
      <c r="U57" s="496">
        <v>0</v>
      </c>
      <c r="V57" s="496">
        <v>0</v>
      </c>
      <c r="W57" s="496">
        <v>0</v>
      </c>
      <c r="X57" s="496">
        <v>0</v>
      </c>
      <c r="Y57" s="496">
        <v>0</v>
      </c>
      <c r="Z57" s="496">
        <v>0</v>
      </c>
      <c r="AA57" s="496">
        <v>0</v>
      </c>
      <c r="AB57" s="500"/>
      <c r="AC57" s="500"/>
    </row>
    <row r="58" spans="1:29">
      <c r="A58" s="500"/>
      <c r="B58" s="500"/>
      <c r="C58" s="500"/>
      <c r="D58" s="500"/>
      <c r="E58" s="500"/>
      <c r="F58" s="500"/>
      <c r="G58" s="500"/>
      <c r="H58" s="500"/>
      <c r="I58" s="500"/>
      <c r="J58" s="500"/>
      <c r="K58" s="500"/>
      <c r="L58" s="500"/>
      <c r="M58" s="495">
        <v>8</v>
      </c>
      <c r="N58" s="500"/>
      <c r="AB58" s="500"/>
      <c r="AC58" s="500"/>
    </row>
    <row r="59" spans="1:29">
      <c r="A59" s="500"/>
      <c r="B59" s="500"/>
      <c r="C59" s="500"/>
      <c r="D59" s="500"/>
      <c r="E59" s="500"/>
      <c r="F59" s="500"/>
      <c r="G59" s="500"/>
      <c r="H59" s="500"/>
      <c r="I59" s="500"/>
      <c r="J59" s="500"/>
      <c r="K59" s="500"/>
      <c r="L59" s="500"/>
      <c r="M59" s="495">
        <v>9</v>
      </c>
      <c r="N59" s="508" t="s">
        <v>2615</v>
      </c>
      <c r="AB59" s="500"/>
      <c r="AC59" s="500"/>
    </row>
    <row r="60" spans="1:29">
      <c r="A60" s="500"/>
      <c r="B60" s="500"/>
      <c r="C60" s="500"/>
      <c r="D60" s="500"/>
      <c r="E60" s="500"/>
      <c r="F60" s="500"/>
      <c r="G60" s="500"/>
      <c r="H60" s="500"/>
      <c r="I60" s="500"/>
      <c r="J60" s="500"/>
      <c r="K60" s="500"/>
      <c r="L60" s="500"/>
      <c r="M60" s="495">
        <v>10</v>
      </c>
      <c r="N60" s="500" t="s">
        <v>2622</v>
      </c>
      <c r="O60" s="493">
        <f>SUM(P60:AA60)</f>
        <v>76105</v>
      </c>
      <c r="P60" s="496">
        <v>-56</v>
      </c>
      <c r="Q60" s="496">
        <v>85</v>
      </c>
      <c r="R60" s="496">
        <v>-22</v>
      </c>
      <c r="S60" s="496">
        <v>0</v>
      </c>
      <c r="T60" s="496">
        <v>0</v>
      </c>
      <c r="U60" s="496">
        <v>0</v>
      </c>
      <c r="V60" s="496">
        <v>12683</v>
      </c>
      <c r="W60" s="496">
        <v>12683</v>
      </c>
      <c r="X60" s="496">
        <v>12683</v>
      </c>
      <c r="Y60" s="496">
        <v>12683</v>
      </c>
      <c r="Z60" s="496">
        <v>12683</v>
      </c>
      <c r="AA60" s="496">
        <v>12683</v>
      </c>
      <c r="AB60" s="500"/>
      <c r="AC60" s="500"/>
    </row>
    <row r="61" spans="1:29">
      <c r="A61" s="500"/>
      <c r="B61" s="500"/>
      <c r="C61" s="500"/>
      <c r="D61" s="500"/>
      <c r="E61" s="500"/>
      <c r="F61" s="500"/>
      <c r="G61" s="500"/>
      <c r="H61" s="500"/>
      <c r="I61" s="500"/>
      <c r="J61" s="500"/>
      <c r="K61" s="500"/>
      <c r="L61" s="500"/>
      <c r="M61" s="495">
        <v>11</v>
      </c>
      <c r="N61" s="500" t="s">
        <v>2623</v>
      </c>
      <c r="O61" s="493">
        <f>SUM(P61:AA61)</f>
        <v>0</v>
      </c>
      <c r="P61" s="496">
        <v>0</v>
      </c>
      <c r="Q61" s="496">
        <v>0</v>
      </c>
      <c r="R61" s="496">
        <v>0</v>
      </c>
      <c r="S61" s="496">
        <v>0</v>
      </c>
      <c r="T61" s="496">
        <v>0</v>
      </c>
      <c r="U61" s="496">
        <v>0</v>
      </c>
      <c r="V61" s="496">
        <v>0</v>
      </c>
      <c r="W61" s="496">
        <v>0</v>
      </c>
      <c r="X61" s="496">
        <v>0</v>
      </c>
      <c r="Y61" s="496">
        <v>0</v>
      </c>
      <c r="Z61" s="496">
        <v>0</v>
      </c>
      <c r="AA61" s="496">
        <v>0</v>
      </c>
      <c r="AB61" s="500"/>
      <c r="AC61" s="500"/>
    </row>
    <row r="62" spans="1:29">
      <c r="A62" s="500"/>
      <c r="B62" s="500"/>
      <c r="C62" s="500"/>
      <c r="D62" s="500"/>
      <c r="E62" s="500"/>
      <c r="F62" s="500"/>
      <c r="G62" s="500"/>
      <c r="H62" s="500"/>
      <c r="I62" s="500"/>
      <c r="J62" s="500"/>
      <c r="K62" s="500"/>
      <c r="L62" s="500"/>
      <c r="M62" s="495">
        <v>12</v>
      </c>
      <c r="N62" s="500"/>
      <c r="O62" s="2167">
        <f>SUM(O60:O61)</f>
        <v>76105</v>
      </c>
      <c r="P62" s="2167">
        <f t="shared" ref="P62" si="2">SUM(P60:P61)</f>
        <v>-56</v>
      </c>
      <c r="Q62" s="2167">
        <f t="shared" ref="Q62:AA62" si="3">SUM(Q60:Q61)</f>
        <v>85</v>
      </c>
      <c r="R62" s="2167">
        <f t="shared" si="3"/>
        <v>-22</v>
      </c>
      <c r="S62" s="2167">
        <f t="shared" si="3"/>
        <v>0</v>
      </c>
      <c r="T62" s="2167">
        <f t="shared" si="3"/>
        <v>0</v>
      </c>
      <c r="U62" s="2167">
        <f t="shared" si="3"/>
        <v>0</v>
      </c>
      <c r="V62" s="2167">
        <f t="shared" si="3"/>
        <v>12683</v>
      </c>
      <c r="W62" s="2167">
        <f t="shared" si="3"/>
        <v>12683</v>
      </c>
      <c r="X62" s="2167">
        <f t="shared" si="3"/>
        <v>12683</v>
      </c>
      <c r="Y62" s="2167">
        <f t="shared" si="3"/>
        <v>12683</v>
      </c>
      <c r="Z62" s="2167">
        <f t="shared" si="3"/>
        <v>12683</v>
      </c>
      <c r="AA62" s="2167">
        <f t="shared" si="3"/>
        <v>12683</v>
      </c>
      <c r="AB62" s="500"/>
      <c r="AC62" s="500"/>
    </row>
    <row r="63" spans="1:29">
      <c r="A63" s="500"/>
      <c r="B63" s="500"/>
      <c r="C63" s="500"/>
      <c r="D63" s="500"/>
      <c r="E63" s="500"/>
      <c r="F63" s="500"/>
      <c r="G63" s="500"/>
      <c r="H63" s="500"/>
      <c r="I63" s="500"/>
      <c r="J63" s="500"/>
      <c r="K63" s="500"/>
      <c r="L63" s="500"/>
      <c r="M63" s="495">
        <v>13</v>
      </c>
      <c r="N63" s="500"/>
      <c r="O63" s="493"/>
      <c r="P63" s="493"/>
      <c r="Q63" s="493"/>
      <c r="R63" s="493"/>
      <c r="S63" s="493"/>
      <c r="T63" s="493"/>
      <c r="U63" s="493"/>
      <c r="V63" s="493"/>
      <c r="W63" s="493"/>
      <c r="X63" s="493"/>
      <c r="Y63" s="493"/>
      <c r="Z63" s="493"/>
      <c r="AA63" s="493"/>
      <c r="AB63" s="500"/>
      <c r="AC63" s="500"/>
    </row>
    <row r="64" spans="1:29">
      <c r="A64" s="500"/>
      <c r="B64" s="500"/>
      <c r="C64" s="500"/>
      <c r="D64" s="500"/>
      <c r="E64" s="500"/>
      <c r="F64" s="500"/>
      <c r="G64" s="500"/>
      <c r="H64" s="500"/>
      <c r="I64" s="500"/>
      <c r="J64" s="500"/>
      <c r="K64" s="500"/>
      <c r="L64" s="500"/>
      <c r="M64" s="495">
        <v>14</v>
      </c>
      <c r="N64" s="508" t="s">
        <v>2616</v>
      </c>
      <c r="O64" s="493">
        <f>SUM(P64:AA64)</f>
        <v>1888</v>
      </c>
      <c r="P64" s="496">
        <v>81</v>
      </c>
      <c r="Q64" s="496">
        <v>840</v>
      </c>
      <c r="R64" s="496">
        <v>181</v>
      </c>
      <c r="S64" s="496">
        <v>138</v>
      </c>
      <c r="T64" s="496">
        <v>45</v>
      </c>
      <c r="U64" s="496">
        <v>25</v>
      </c>
      <c r="V64" s="496">
        <v>255</v>
      </c>
      <c r="W64" s="496">
        <v>17</v>
      </c>
      <c r="X64" s="496">
        <v>17</v>
      </c>
      <c r="Y64" s="496">
        <v>255</v>
      </c>
      <c r="Z64" s="496">
        <v>17</v>
      </c>
      <c r="AA64" s="496">
        <v>17</v>
      </c>
      <c r="AB64" s="500"/>
      <c r="AC64" s="500"/>
    </row>
    <row r="65" spans="1:29">
      <c r="A65" s="500"/>
      <c r="B65" s="500"/>
      <c r="C65" s="500"/>
      <c r="D65" s="500"/>
      <c r="E65" s="500"/>
      <c r="F65" s="500"/>
      <c r="G65" s="500"/>
      <c r="H65" s="500"/>
      <c r="I65" s="500"/>
      <c r="J65" s="500"/>
      <c r="K65" s="500"/>
      <c r="L65" s="500"/>
      <c r="M65" s="495">
        <v>15</v>
      </c>
      <c r="N65" s="508"/>
      <c r="O65" s="493"/>
      <c r="P65" s="496"/>
      <c r="Q65" s="496"/>
      <c r="R65" s="496"/>
      <c r="S65" s="496"/>
      <c r="T65" s="496"/>
      <c r="U65" s="496"/>
      <c r="V65" s="496"/>
      <c r="W65" s="496"/>
      <c r="X65" s="496"/>
      <c r="Y65" s="496"/>
      <c r="Z65" s="496"/>
      <c r="AA65" s="496"/>
      <c r="AB65" s="500"/>
      <c r="AC65" s="500"/>
    </row>
    <row r="66" spans="1:29">
      <c r="A66" s="500"/>
      <c r="B66" s="500"/>
      <c r="C66" s="500"/>
      <c r="D66" s="500"/>
      <c r="E66" s="500"/>
      <c r="F66" s="500"/>
      <c r="G66" s="500"/>
      <c r="H66" s="500"/>
      <c r="I66" s="500"/>
      <c r="J66" s="500"/>
      <c r="K66" s="500"/>
      <c r="L66" s="500"/>
      <c r="M66" s="495">
        <v>16</v>
      </c>
      <c r="N66" s="508" t="s">
        <v>2617</v>
      </c>
      <c r="O66" s="493">
        <f>SUM(P66:AA66)</f>
        <v>272834</v>
      </c>
      <c r="P66" s="496">
        <v>4485</v>
      </c>
      <c r="Q66" s="496">
        <v>708</v>
      </c>
      <c r="R66" s="496">
        <v>3047</v>
      </c>
      <c r="S66" s="496">
        <v>146014</v>
      </c>
      <c r="T66" s="496">
        <v>-46757</v>
      </c>
      <c r="U66" s="496">
        <v>49871</v>
      </c>
      <c r="V66" s="496">
        <v>20236</v>
      </c>
      <c r="W66" s="496">
        <v>18749</v>
      </c>
      <c r="X66" s="496">
        <v>18749</v>
      </c>
      <c r="Y66" s="496">
        <v>20237</v>
      </c>
      <c r="Z66" s="496">
        <v>18749</v>
      </c>
      <c r="AA66" s="496">
        <v>18746</v>
      </c>
      <c r="AB66" s="500"/>
      <c r="AC66" s="500"/>
    </row>
    <row r="67" spans="1:29">
      <c r="A67" s="500"/>
      <c r="B67" s="500"/>
      <c r="C67" s="500"/>
      <c r="D67" s="500"/>
      <c r="E67" s="500"/>
      <c r="F67" s="500"/>
      <c r="G67" s="500"/>
      <c r="H67" s="500"/>
      <c r="I67" s="500"/>
      <c r="J67" s="500"/>
      <c r="K67" s="500"/>
      <c r="L67" s="500"/>
      <c r="M67" s="495">
        <v>17</v>
      </c>
      <c r="N67" s="500"/>
      <c r="O67" s="498"/>
      <c r="P67" s="523"/>
      <c r="Q67" s="496"/>
      <c r="R67" s="493"/>
      <c r="S67" s="501"/>
      <c r="T67" s="498"/>
      <c r="U67" s="523"/>
      <c r="V67" s="498"/>
      <c r="W67" s="497"/>
      <c r="X67" s="498"/>
      <c r="Y67" s="498"/>
      <c r="Z67" s="498"/>
      <c r="AA67" s="498"/>
      <c r="AB67" s="500"/>
      <c r="AC67" s="500"/>
    </row>
    <row r="68" spans="1:29" ht="13.8" thickBot="1">
      <c r="A68" s="500"/>
      <c r="B68" s="500"/>
      <c r="C68" s="500"/>
      <c r="D68" s="500"/>
      <c r="E68" s="500"/>
      <c r="F68" s="500"/>
      <c r="G68" s="500"/>
      <c r="H68" s="500"/>
      <c r="I68" s="500"/>
      <c r="J68" s="500"/>
      <c r="K68" s="500"/>
      <c r="L68" s="500"/>
      <c r="M68" s="495">
        <v>18</v>
      </c>
      <c r="N68" s="434" t="s">
        <v>801</v>
      </c>
      <c r="O68" s="1970">
        <f t="shared" ref="O68:AA68" si="4">O51+O53+O55+O57+O62+O64+O66</f>
        <v>350827</v>
      </c>
      <c r="P68" s="1970">
        <f t="shared" si="4"/>
        <v>4510</v>
      </c>
      <c r="Q68" s="1970">
        <f>Q51+Q53+Q55+Q57+Q62+Q64+Q66</f>
        <v>1633</v>
      </c>
      <c r="R68" s="1970">
        <f t="shared" si="4"/>
        <v>3206</v>
      </c>
      <c r="S68" s="1970">
        <f t="shared" si="4"/>
        <v>146152</v>
      </c>
      <c r="T68" s="1970">
        <f t="shared" si="4"/>
        <v>-46712</v>
      </c>
      <c r="U68" s="1970">
        <f t="shared" si="4"/>
        <v>49896</v>
      </c>
      <c r="V68" s="1970">
        <f t="shared" si="4"/>
        <v>33174</v>
      </c>
      <c r="W68" s="1970">
        <f t="shared" si="4"/>
        <v>31449</v>
      </c>
      <c r="X68" s="1970">
        <f t="shared" si="4"/>
        <v>31449</v>
      </c>
      <c r="Y68" s="1970">
        <f t="shared" si="4"/>
        <v>33175</v>
      </c>
      <c r="Z68" s="1970">
        <f t="shared" si="4"/>
        <v>31449</v>
      </c>
      <c r="AA68" s="1970">
        <f t="shared" si="4"/>
        <v>31446</v>
      </c>
      <c r="AB68" s="500"/>
      <c r="AC68" s="500"/>
    </row>
    <row r="69" spans="1:29" ht="13.8" thickTop="1">
      <c r="A69" s="499" t="str">
        <f>COMPANY</f>
        <v>DUKE ENERGY KENTUCKY, INC.</v>
      </c>
      <c r="B69" s="499"/>
      <c r="C69" s="499"/>
      <c r="D69" s="499"/>
      <c r="E69" s="499"/>
      <c r="F69" s="499"/>
      <c r="G69" s="499"/>
      <c r="H69" s="499"/>
      <c r="I69" s="499"/>
      <c r="J69" s="499"/>
      <c r="K69" s="499"/>
      <c r="L69" s="500"/>
      <c r="M69" s="492"/>
      <c r="N69" s="434"/>
      <c r="O69" s="492"/>
      <c r="P69" s="498"/>
      <c r="Q69" s="498"/>
      <c r="R69" s="498"/>
      <c r="S69" s="501"/>
      <c r="T69" s="498"/>
      <c r="U69" s="498"/>
      <c r="V69" s="498"/>
      <c r="W69" s="498"/>
      <c r="X69" s="498"/>
      <c r="Y69" s="498"/>
      <c r="Z69" s="498"/>
      <c r="AA69" s="498"/>
      <c r="AB69" s="500"/>
      <c r="AC69" s="500"/>
    </row>
    <row r="70" spans="1:29">
      <c r="A70" s="499" t="str">
        <f>CASE</f>
        <v>CASE NO. 2024-00354</v>
      </c>
      <c r="B70" s="499"/>
      <c r="C70" s="499"/>
      <c r="D70" s="499"/>
      <c r="E70" s="499"/>
      <c r="F70" s="499"/>
      <c r="G70" s="499"/>
      <c r="H70" s="499"/>
      <c r="I70" s="499"/>
      <c r="J70" s="499"/>
      <c r="K70" s="499"/>
      <c r="L70" s="500"/>
      <c r="M70" s="500"/>
      <c r="N70" s="500"/>
      <c r="O70" s="493">
        <f>SUM(P70:AA70)</f>
        <v>350827</v>
      </c>
      <c r="P70" s="515">
        <f>'BASE PERIOD'!F190+'BASE PERIOD'!F195+'BASE PERIOD'!F231</f>
        <v>4510</v>
      </c>
      <c r="Q70" s="515">
        <f>'BASE PERIOD'!G190+'BASE PERIOD'!G195+'BASE PERIOD'!G231</f>
        <v>1633</v>
      </c>
      <c r="R70" s="515">
        <f>'BASE PERIOD'!H190+'BASE PERIOD'!H195+'BASE PERIOD'!H231</f>
        <v>3206</v>
      </c>
      <c r="S70" s="515">
        <f>'BASE PERIOD'!I190+'BASE PERIOD'!I195+'BASE PERIOD'!I231</f>
        <v>146152</v>
      </c>
      <c r="T70" s="515">
        <f>'BASE PERIOD'!J190+'BASE PERIOD'!J195+'BASE PERIOD'!J231</f>
        <v>-46712</v>
      </c>
      <c r="U70" s="515">
        <f>'BASE PERIOD'!K190+'BASE PERIOD'!K195+'BASE PERIOD'!K231</f>
        <v>49896</v>
      </c>
      <c r="V70" s="515">
        <f>'BASE PERIOD'!L190+'BASE PERIOD'!L195+'BASE PERIOD'!L231</f>
        <v>33174</v>
      </c>
      <c r="W70" s="515">
        <f>'BASE PERIOD'!M190+'BASE PERIOD'!M195+'BASE PERIOD'!M231</f>
        <v>31449</v>
      </c>
      <c r="X70" s="515">
        <f>'BASE PERIOD'!N190+'BASE PERIOD'!N195+'BASE PERIOD'!N231</f>
        <v>31449</v>
      </c>
      <c r="Y70" s="515">
        <f>'BASE PERIOD'!O190+'BASE PERIOD'!O195+'BASE PERIOD'!O231</f>
        <v>33175</v>
      </c>
      <c r="Z70" s="515">
        <f>'BASE PERIOD'!P190+'BASE PERIOD'!P195+'BASE PERIOD'!P231</f>
        <v>31449</v>
      </c>
      <c r="AA70" s="515">
        <f>'BASE PERIOD'!Q190+'BASE PERIOD'!Q195+'BASE PERIOD'!Q231</f>
        <v>31446</v>
      </c>
      <c r="AB70" s="500"/>
      <c r="AC70" s="500"/>
    </row>
    <row r="71" spans="1:29">
      <c r="A71" s="502" t="s">
        <v>2601</v>
      </c>
      <c r="B71" s="499"/>
      <c r="C71" s="499"/>
      <c r="D71" s="499"/>
      <c r="E71" s="499"/>
      <c r="F71" s="499"/>
      <c r="G71" s="502"/>
      <c r="H71" s="502"/>
      <c r="I71" s="499"/>
      <c r="J71" s="499"/>
      <c r="K71" s="499"/>
      <c r="L71" s="500"/>
      <c r="M71" s="500"/>
      <c r="N71" s="500"/>
      <c r="O71" s="493">
        <f>SUM(P71:AA71)</f>
        <v>0</v>
      </c>
      <c r="P71" s="515">
        <f>P70-P68</f>
        <v>0</v>
      </c>
      <c r="Q71" s="515">
        <f t="shared" ref="Q71:AA71" si="5">Q70-Q68</f>
        <v>0</v>
      </c>
      <c r="R71" s="515">
        <f t="shared" si="5"/>
        <v>0</v>
      </c>
      <c r="S71" s="515">
        <f t="shared" si="5"/>
        <v>0</v>
      </c>
      <c r="T71" s="515">
        <f t="shared" si="5"/>
        <v>0</v>
      </c>
      <c r="U71" s="515">
        <f t="shared" si="5"/>
        <v>0</v>
      </c>
      <c r="V71" s="515">
        <f t="shared" si="5"/>
        <v>0</v>
      </c>
      <c r="W71" s="515">
        <f t="shared" si="5"/>
        <v>0</v>
      </c>
      <c r="X71" s="515">
        <f t="shared" si="5"/>
        <v>0</v>
      </c>
      <c r="Y71" s="515">
        <f t="shared" si="5"/>
        <v>0</v>
      </c>
      <c r="Z71" s="515">
        <f t="shared" si="5"/>
        <v>0</v>
      </c>
      <c r="AA71" s="515">
        <f t="shared" si="5"/>
        <v>0</v>
      </c>
      <c r="AB71" s="500"/>
      <c r="AC71" s="500"/>
    </row>
    <row r="72" spans="1:29">
      <c r="A72" s="499" t="str">
        <f>PeriodF</f>
        <v>FOR THE TWELVE MONTHS ENDED JUNE 30, 2026</v>
      </c>
      <c r="B72" s="499"/>
      <c r="C72" s="499"/>
      <c r="D72" s="499"/>
      <c r="E72" s="499"/>
      <c r="F72" s="499"/>
      <c r="G72" s="499"/>
      <c r="H72" s="499"/>
      <c r="I72" s="499"/>
      <c r="J72" s="499"/>
      <c r="K72" s="499"/>
      <c r="L72" s="500"/>
      <c r="M72" s="500"/>
      <c r="N72" s="500"/>
      <c r="O72" s="500"/>
      <c r="P72" s="500"/>
      <c r="Q72" s="500"/>
      <c r="R72" s="500"/>
      <c r="S72" s="500"/>
      <c r="T72" s="500"/>
      <c r="U72" s="500"/>
      <c r="V72" s="500"/>
      <c r="W72" s="500"/>
      <c r="X72" s="500"/>
      <c r="Y72" s="500"/>
      <c r="Z72" s="500"/>
      <c r="AA72" s="500"/>
      <c r="AB72" s="500"/>
      <c r="AC72" s="500"/>
    </row>
    <row r="73" spans="1:29">
      <c r="A73" s="500"/>
      <c r="B73" s="500"/>
      <c r="C73" s="500"/>
      <c r="D73" s="500"/>
      <c r="E73" s="500"/>
      <c r="F73" s="500"/>
      <c r="G73" s="500"/>
      <c r="H73" s="500"/>
      <c r="I73" s="500"/>
      <c r="J73" s="500"/>
      <c r="K73" s="500"/>
      <c r="L73" s="500"/>
      <c r="M73" s="500"/>
      <c r="N73" s="500"/>
      <c r="O73" s="500"/>
      <c r="P73" s="500"/>
      <c r="Q73" s="500"/>
      <c r="R73" s="500"/>
      <c r="S73" s="500"/>
      <c r="T73" s="500"/>
      <c r="U73" s="500"/>
      <c r="V73" s="500"/>
      <c r="W73" s="500"/>
      <c r="X73" s="500"/>
      <c r="Y73" s="500"/>
      <c r="Z73" s="500"/>
      <c r="AA73" s="500"/>
      <c r="AB73" s="500"/>
      <c r="AC73" s="500"/>
    </row>
    <row r="74" spans="1:29">
      <c r="A74" s="500" t="str">
        <f>DataF</f>
        <v>DATA:  BASE PERIOD  "X" FORECASTED PERIOD</v>
      </c>
      <c r="B74" s="500"/>
      <c r="C74" s="500"/>
      <c r="D74" s="500"/>
      <c r="E74" s="500"/>
      <c r="F74" s="500"/>
      <c r="G74" s="500"/>
      <c r="H74" s="500"/>
      <c r="I74" s="500"/>
      <c r="J74" s="261" t="s">
        <v>2602</v>
      </c>
      <c r="K74" s="500"/>
      <c r="L74" s="500"/>
      <c r="M74" s="500"/>
      <c r="N74" s="500"/>
      <c r="O74" s="500"/>
      <c r="P74" s="500"/>
      <c r="Q74" s="500"/>
      <c r="R74" s="500"/>
      <c r="S74" s="500"/>
      <c r="T74" s="500"/>
      <c r="U74" s="500"/>
      <c r="V74" s="500"/>
      <c r="W74" s="500"/>
      <c r="X74" s="500"/>
      <c r="Y74" s="500"/>
      <c r="Z74" s="500"/>
      <c r="AA74" s="500"/>
      <c r="AB74" s="500"/>
      <c r="AC74" s="500"/>
    </row>
    <row r="75" spans="1:29">
      <c r="A75" s="500" t="str">
        <f>Type</f>
        <v xml:space="preserve">TYPE OF FILING:  "X" ORIGINAL   UPDATED    REVISED  </v>
      </c>
      <c r="B75" s="500"/>
      <c r="C75" s="500"/>
      <c r="D75" s="500"/>
      <c r="E75" s="500"/>
      <c r="F75" s="500"/>
      <c r="G75" s="500"/>
      <c r="H75" s="500"/>
      <c r="I75" s="500"/>
      <c r="J75" s="261" t="s">
        <v>590</v>
      </c>
      <c r="K75" s="500"/>
      <c r="L75" s="500"/>
      <c r="M75" s="500"/>
      <c r="N75" s="500"/>
      <c r="O75" s="500"/>
      <c r="P75" s="500"/>
      <c r="Q75" s="500"/>
      <c r="R75" s="500"/>
      <c r="S75" s="500"/>
      <c r="T75" s="500"/>
      <c r="U75" s="500"/>
      <c r="V75" s="500"/>
      <c r="W75" s="500"/>
      <c r="X75" s="500"/>
      <c r="Y75" s="500"/>
      <c r="Z75" s="500"/>
      <c r="AA75" s="500"/>
      <c r="AB75" s="500"/>
      <c r="AC75" s="500"/>
    </row>
    <row r="76" spans="1:29">
      <c r="A76" s="261" t="s">
        <v>2624</v>
      </c>
      <c r="B76" s="500"/>
      <c r="C76" s="500"/>
      <c r="D76" s="500"/>
      <c r="E76" s="500"/>
      <c r="F76" s="500"/>
      <c r="G76" s="500"/>
      <c r="H76" s="500"/>
      <c r="I76" s="500"/>
      <c r="J76" s="261" t="s">
        <v>468</v>
      </c>
      <c r="K76" s="500"/>
      <c r="L76" s="500"/>
      <c r="M76" s="500"/>
      <c r="N76" s="500"/>
      <c r="O76" s="500"/>
      <c r="P76" s="500"/>
      <c r="Q76" s="500"/>
      <c r="R76" s="500"/>
      <c r="S76" s="500"/>
      <c r="T76" s="500"/>
      <c r="U76" s="500"/>
      <c r="V76" s="500"/>
      <c r="W76" s="500"/>
      <c r="X76" s="500"/>
      <c r="Y76" s="500"/>
      <c r="Z76" s="500"/>
      <c r="AA76" s="500"/>
      <c r="AB76" s="500"/>
      <c r="AC76" s="500"/>
    </row>
    <row r="77" spans="1:29">
      <c r="A77" s="500"/>
      <c r="B77" s="500"/>
      <c r="C77" s="500"/>
      <c r="D77" s="500"/>
      <c r="E77" s="500"/>
      <c r="F77" s="500"/>
      <c r="G77" s="500"/>
      <c r="H77" s="500"/>
      <c r="I77" s="500"/>
      <c r="J77" s="500" t="str">
        <f>_WIT1</f>
        <v>L. D. STEINKUHL</v>
      </c>
      <c r="K77" s="94"/>
      <c r="L77" s="500"/>
      <c r="M77" s="500"/>
      <c r="N77" s="500"/>
      <c r="O77" s="500"/>
      <c r="P77" s="500"/>
      <c r="Q77" s="500"/>
      <c r="R77" s="500"/>
      <c r="S77" s="500"/>
      <c r="T77" s="500"/>
      <c r="U77" s="500"/>
      <c r="V77" s="500"/>
      <c r="W77" s="500"/>
      <c r="X77" s="500"/>
      <c r="Y77" s="500"/>
      <c r="Z77" s="500"/>
      <c r="AA77" s="500"/>
      <c r="AB77" s="500"/>
      <c r="AC77" s="500"/>
    </row>
    <row r="78" spans="1:29">
      <c r="A78" s="1569"/>
      <c r="B78" s="1569"/>
      <c r="C78" s="1569"/>
      <c r="D78" s="1569"/>
      <c r="E78" s="1569"/>
      <c r="F78" s="1569"/>
      <c r="G78" s="1569"/>
      <c r="H78" s="1569"/>
      <c r="I78" s="1569"/>
      <c r="J78" s="1569"/>
      <c r="K78" s="1569"/>
      <c r="L78" s="500"/>
      <c r="M78" s="500"/>
      <c r="N78" s="500"/>
      <c r="O78" s="500"/>
      <c r="P78" s="500"/>
      <c r="Q78" s="500"/>
      <c r="R78" s="500"/>
      <c r="S78" s="500"/>
      <c r="T78" s="500"/>
      <c r="U78" s="500"/>
      <c r="V78" s="500"/>
      <c r="W78" s="500"/>
      <c r="X78" s="500"/>
      <c r="Y78" s="500"/>
      <c r="Z78" s="500"/>
      <c r="AA78" s="500"/>
      <c r="AB78" s="500"/>
      <c r="AC78" s="500"/>
    </row>
    <row r="79" spans="1:29">
      <c r="A79" s="500"/>
      <c r="B79" s="500"/>
      <c r="C79" s="504"/>
      <c r="D79" s="499"/>
      <c r="E79" s="504" t="s">
        <v>2604</v>
      </c>
      <c r="F79" s="505"/>
      <c r="G79" s="504"/>
      <c r="H79" s="504"/>
      <c r="I79" s="506"/>
      <c r="J79" s="499"/>
      <c r="K79" s="500"/>
      <c r="L79" s="500"/>
      <c r="M79" s="500"/>
      <c r="N79" s="500"/>
      <c r="O79" s="500"/>
      <c r="P79" s="500"/>
      <c r="Q79" s="500"/>
      <c r="R79" s="500"/>
      <c r="S79" s="500"/>
      <c r="T79" s="500"/>
      <c r="U79" s="500"/>
      <c r="V79" s="500"/>
      <c r="W79" s="500"/>
      <c r="X79" s="500"/>
      <c r="Y79" s="500"/>
      <c r="Z79" s="500"/>
      <c r="AA79" s="500"/>
      <c r="AB79" s="500"/>
      <c r="AC79" s="500"/>
    </row>
    <row r="80" spans="1:29">
      <c r="A80" s="504" t="s">
        <v>471</v>
      </c>
      <c r="B80" s="500"/>
      <c r="C80" s="500"/>
      <c r="D80" s="500"/>
      <c r="E80" s="504" t="s">
        <v>2605</v>
      </c>
      <c r="F80" s="504" t="s">
        <v>2606</v>
      </c>
      <c r="G80" s="504" t="s">
        <v>2607</v>
      </c>
      <c r="H80" s="504"/>
      <c r="I80" s="507" t="s">
        <v>1794</v>
      </c>
      <c r="J80" s="499"/>
      <c r="K80" s="505"/>
      <c r="L80" s="500"/>
      <c r="M80" s="500"/>
      <c r="N80" s="500"/>
      <c r="O80" s="500"/>
      <c r="P80" s="500"/>
      <c r="Q80" s="500"/>
      <c r="R80" s="500"/>
      <c r="S80" s="500"/>
      <c r="T80" s="500"/>
      <c r="U80" s="500"/>
      <c r="V80" s="500"/>
      <c r="W80" s="500"/>
      <c r="X80" s="500"/>
      <c r="Y80" s="500"/>
      <c r="Z80" s="500"/>
      <c r="AA80" s="500"/>
      <c r="AB80" s="500"/>
      <c r="AC80" s="500"/>
    </row>
    <row r="81" spans="1:29" ht="15.6">
      <c r="A81" s="504" t="s">
        <v>533</v>
      </c>
      <c r="B81" s="500"/>
      <c r="C81" s="504" t="s">
        <v>2608</v>
      </c>
      <c r="D81" s="500"/>
      <c r="E81" s="504" t="s">
        <v>2601</v>
      </c>
      <c r="F81" s="504" t="s">
        <v>2601</v>
      </c>
      <c r="G81" s="504" t="s">
        <v>2601</v>
      </c>
      <c r="H81" s="504" t="s">
        <v>2609</v>
      </c>
      <c r="I81" s="507" t="s">
        <v>1796</v>
      </c>
      <c r="J81" s="499" t="s">
        <v>413</v>
      </c>
      <c r="K81" s="505" t="s">
        <v>2625</v>
      </c>
      <c r="L81" s="500"/>
      <c r="M81" s="500"/>
      <c r="N81" s="500"/>
      <c r="O81" s="500"/>
      <c r="P81" s="500"/>
      <c r="Q81" s="500"/>
      <c r="R81" s="500"/>
      <c r="S81" s="500"/>
      <c r="T81" s="500"/>
      <c r="U81" s="500"/>
      <c r="V81" s="500"/>
      <c r="W81" s="500"/>
      <c r="X81" s="500"/>
      <c r="Y81" s="500"/>
      <c r="Z81" s="500"/>
      <c r="AA81" s="500"/>
      <c r="AB81" s="500"/>
      <c r="AC81" s="500"/>
    </row>
    <row r="82" spans="1:29">
      <c r="A82" s="1569"/>
      <c r="B82" s="1569"/>
      <c r="C82" s="1570" t="s">
        <v>853</v>
      </c>
      <c r="D82" s="1569"/>
      <c r="E82" s="1570" t="s">
        <v>1104</v>
      </c>
      <c r="F82" s="1570" t="s">
        <v>856</v>
      </c>
      <c r="G82" s="1570" t="s">
        <v>857</v>
      </c>
      <c r="H82" s="1570" t="s">
        <v>858</v>
      </c>
      <c r="I82" s="1570" t="s">
        <v>859</v>
      </c>
      <c r="J82" s="1570" t="s">
        <v>2610</v>
      </c>
      <c r="K82" s="1570" t="s">
        <v>861</v>
      </c>
      <c r="L82" s="500"/>
      <c r="M82" s="500"/>
      <c r="N82" s="500"/>
      <c r="O82" s="500"/>
      <c r="P82" s="500"/>
      <c r="Q82" s="500"/>
      <c r="R82" s="500"/>
      <c r="S82" s="500"/>
      <c r="T82" s="500"/>
      <c r="U82" s="500"/>
      <c r="V82" s="500"/>
      <c r="W82" s="500"/>
      <c r="X82" s="500"/>
      <c r="Y82" s="500"/>
      <c r="Z82" s="500"/>
      <c r="AA82" s="500"/>
      <c r="AB82" s="500"/>
      <c r="AC82" s="500"/>
    </row>
    <row r="83" spans="1:29">
      <c r="A83" s="675"/>
      <c r="B83" s="675"/>
      <c r="C83" s="504"/>
      <c r="D83" s="675"/>
      <c r="E83" s="504"/>
      <c r="F83" s="504"/>
      <c r="G83" s="504"/>
      <c r="H83" s="504"/>
      <c r="I83" s="504"/>
      <c r="J83" s="504"/>
      <c r="K83" s="504"/>
      <c r="L83" s="500"/>
      <c r="M83" s="500"/>
      <c r="N83" s="500"/>
      <c r="O83" s="500"/>
      <c r="P83" s="500"/>
      <c r="Q83" s="500"/>
      <c r="R83" s="500"/>
      <c r="S83" s="500"/>
      <c r="T83" s="500"/>
      <c r="U83" s="500"/>
      <c r="V83" s="500"/>
      <c r="W83" s="500"/>
      <c r="X83" s="500"/>
      <c r="Y83" s="500"/>
      <c r="Z83" s="500"/>
      <c r="AA83" s="500"/>
      <c r="AB83" s="500"/>
      <c r="AC83" s="500"/>
    </row>
    <row r="84" spans="1:29">
      <c r="A84" s="504">
        <v>1</v>
      </c>
      <c r="B84" s="500"/>
      <c r="C84" s="508" t="s">
        <v>2611</v>
      </c>
      <c r="D84" s="500"/>
      <c r="E84" s="509"/>
      <c r="F84" s="510"/>
      <c r="G84" s="510"/>
      <c r="H84" s="510"/>
      <c r="I84" s="511"/>
      <c r="J84" s="512"/>
      <c r="K84" s="514">
        <f>SUM(E84:J84)</f>
        <v>0</v>
      </c>
      <c r="L84" s="500"/>
      <c r="M84" s="500"/>
      <c r="N84" s="500"/>
      <c r="O84" s="500"/>
      <c r="P84" s="500"/>
      <c r="Q84" s="500"/>
      <c r="R84" s="500"/>
      <c r="S84" s="500"/>
      <c r="T84" s="500"/>
      <c r="U84" s="500"/>
      <c r="V84" s="500"/>
      <c r="W84" s="500"/>
      <c r="X84" s="500"/>
      <c r="Y84" s="500"/>
      <c r="Z84" s="500"/>
      <c r="AA84" s="500"/>
      <c r="AB84" s="500"/>
      <c r="AC84" s="500"/>
    </row>
    <row r="85" spans="1:29">
      <c r="A85" s="504">
        <v>2</v>
      </c>
      <c r="B85" s="500"/>
      <c r="C85" s="500"/>
      <c r="D85" s="500"/>
      <c r="E85" s="513"/>
      <c r="F85" s="513"/>
      <c r="G85" s="513"/>
      <c r="H85" s="513"/>
      <c r="I85" s="513"/>
      <c r="J85" s="513"/>
      <c r="K85" s="514"/>
      <c r="L85" s="500"/>
      <c r="M85" s="500"/>
      <c r="N85" s="500"/>
      <c r="O85" s="500"/>
      <c r="P85" s="500"/>
      <c r="Q85" s="500"/>
      <c r="R85" s="500"/>
      <c r="S85" s="500"/>
      <c r="T85" s="500"/>
      <c r="U85" s="500"/>
      <c r="V85" s="500"/>
      <c r="W85" s="500"/>
      <c r="X85" s="500"/>
      <c r="Y85" s="500"/>
      <c r="Z85" s="500"/>
      <c r="AA85" s="500"/>
      <c r="AB85" s="500"/>
      <c r="AC85" s="500"/>
    </row>
    <row r="86" spans="1:29">
      <c r="A86" s="504">
        <v>3</v>
      </c>
      <c r="B86" s="500"/>
      <c r="C86" s="508" t="s">
        <v>2612</v>
      </c>
      <c r="D86" s="500"/>
      <c r="E86" s="513"/>
      <c r="F86" s="513"/>
      <c r="G86" s="513"/>
      <c r="H86" s="513"/>
      <c r="I86" s="513"/>
      <c r="J86" s="513"/>
      <c r="K86" s="514">
        <f>SUM(E86:J86)</f>
        <v>0</v>
      </c>
      <c r="L86" s="500"/>
      <c r="M86" s="500"/>
      <c r="N86" s="500"/>
      <c r="O86" s="500"/>
      <c r="P86" s="500"/>
      <c r="Q86" s="500"/>
      <c r="R86" s="500"/>
      <c r="S86" s="500"/>
      <c r="T86" s="500"/>
      <c r="U86" s="500"/>
      <c r="V86" s="500"/>
      <c r="W86" s="500"/>
      <c r="X86" s="500"/>
      <c r="Y86" s="500"/>
      <c r="Z86" s="500"/>
      <c r="AA86" s="500"/>
      <c r="AB86" s="500"/>
      <c r="AC86" s="500"/>
    </row>
    <row r="87" spans="1:29">
      <c r="A87" s="504">
        <v>4</v>
      </c>
      <c r="B87" s="500"/>
      <c r="C87" s="500"/>
      <c r="D87" s="500"/>
      <c r="E87" s="515"/>
      <c r="F87" s="515"/>
      <c r="G87" s="515"/>
      <c r="H87" s="515"/>
      <c r="I87" s="515"/>
      <c r="J87" s="515"/>
      <c r="K87" s="514"/>
      <c r="L87" s="500"/>
      <c r="M87" s="500"/>
      <c r="N87" s="500"/>
      <c r="O87" s="500"/>
      <c r="P87" s="500"/>
      <c r="Q87" s="500"/>
      <c r="R87" s="500"/>
      <c r="S87" s="500"/>
      <c r="T87" s="500"/>
      <c r="U87" s="500"/>
      <c r="V87" s="500"/>
      <c r="W87" s="500"/>
      <c r="X87" s="500"/>
      <c r="Y87" s="500"/>
      <c r="Z87" s="500"/>
      <c r="AA87" s="500"/>
      <c r="AB87" s="500"/>
      <c r="AC87" s="500"/>
    </row>
    <row r="88" spans="1:29">
      <c r="A88" s="504">
        <v>5</v>
      </c>
      <c r="B88" s="261"/>
      <c r="C88" s="508" t="s">
        <v>2613</v>
      </c>
      <c r="D88" s="500"/>
      <c r="E88" s="516"/>
      <c r="F88" s="515"/>
      <c r="G88" s="516"/>
      <c r="H88" s="516"/>
      <c r="I88" s="515"/>
      <c r="J88" s="515"/>
      <c r="K88" s="514">
        <f>SUM(E88:J88)</f>
        <v>0</v>
      </c>
      <c r="L88" s="524"/>
      <c r="M88" s="500"/>
      <c r="N88" s="500"/>
      <c r="O88" s="500"/>
      <c r="P88" s="500"/>
      <c r="Q88" s="500"/>
      <c r="R88" s="500"/>
      <c r="S88" s="500"/>
      <c r="T88" s="500"/>
      <c r="U88" s="500"/>
      <c r="V88" s="500"/>
      <c r="W88" s="500"/>
      <c r="X88" s="500"/>
      <c r="Y88" s="500"/>
      <c r="Z88" s="500"/>
      <c r="AA88" s="500"/>
      <c r="AB88" s="500"/>
      <c r="AC88" s="500"/>
    </row>
    <row r="89" spans="1:29">
      <c r="A89" s="504">
        <v>6</v>
      </c>
      <c r="B89" s="261"/>
      <c r="C89" s="500"/>
      <c r="D89" s="500"/>
      <c r="E89" s="516"/>
      <c r="F89" s="515"/>
      <c r="G89" s="516"/>
      <c r="H89" s="516"/>
      <c r="I89" s="515"/>
      <c r="J89" s="515"/>
      <c r="K89" s="514"/>
      <c r="L89" s="515"/>
      <c r="M89" s="500"/>
      <c r="N89" s="500"/>
      <c r="O89" s="500"/>
      <c r="P89" s="500"/>
      <c r="Q89" s="500"/>
      <c r="R89" s="500"/>
      <c r="S89" s="500"/>
      <c r="T89" s="500"/>
      <c r="U89" s="500"/>
      <c r="V89" s="500"/>
      <c r="W89" s="500"/>
      <c r="X89" s="500"/>
      <c r="Y89" s="500"/>
      <c r="Z89" s="500"/>
      <c r="AA89" s="500"/>
      <c r="AB89" s="500"/>
      <c r="AC89" s="500"/>
    </row>
    <row r="90" spans="1:29">
      <c r="A90" s="504">
        <v>7</v>
      </c>
      <c r="B90" s="500"/>
      <c r="C90" s="508" t="s">
        <v>2614</v>
      </c>
      <c r="D90" s="500"/>
      <c r="E90" s="515"/>
      <c r="F90" s="515"/>
      <c r="G90" s="515"/>
      <c r="H90" s="515"/>
      <c r="I90" s="515"/>
      <c r="J90" s="515"/>
      <c r="K90" s="514">
        <f>SUM(E90:J90)</f>
        <v>0</v>
      </c>
      <c r="L90" s="500"/>
      <c r="M90" s="500"/>
      <c r="N90" s="500"/>
      <c r="O90" s="500"/>
      <c r="P90" s="500"/>
      <c r="Q90" s="500"/>
      <c r="R90" s="500"/>
      <c r="S90" s="500"/>
      <c r="T90" s="500"/>
      <c r="U90" s="500"/>
      <c r="V90" s="500"/>
      <c r="W90" s="500"/>
      <c r="X90" s="500"/>
      <c r="Y90" s="500"/>
      <c r="Z90" s="500"/>
      <c r="AA90" s="500"/>
      <c r="AB90" s="500"/>
      <c r="AC90" s="500"/>
    </row>
    <row r="91" spans="1:29">
      <c r="A91" s="504">
        <v>8</v>
      </c>
      <c r="B91" s="500"/>
      <c r="C91" s="500"/>
      <c r="D91" s="500"/>
      <c r="E91" s="515"/>
      <c r="F91" s="515"/>
      <c r="G91" s="515"/>
      <c r="H91" s="515"/>
      <c r="I91" s="515"/>
      <c r="J91" s="515"/>
      <c r="K91" s="514"/>
      <c r="L91" s="500"/>
      <c r="M91" s="500"/>
      <c r="N91" s="500"/>
      <c r="O91" s="500"/>
      <c r="P91" s="500"/>
      <c r="Q91" s="500"/>
      <c r="R91" s="500"/>
      <c r="S91" s="500"/>
      <c r="T91" s="500"/>
      <c r="U91" s="500"/>
      <c r="V91" s="500"/>
      <c r="W91" s="500"/>
      <c r="X91" s="500"/>
      <c r="Y91" s="500"/>
      <c r="Z91" s="500"/>
      <c r="AA91" s="500"/>
      <c r="AB91" s="500"/>
      <c r="AC91" s="500"/>
    </row>
    <row r="92" spans="1:29">
      <c r="A92" s="504">
        <v>9</v>
      </c>
      <c r="B92" s="500"/>
      <c r="C92" s="508" t="s">
        <v>2615</v>
      </c>
      <c r="D92" s="500"/>
      <c r="E92" s="515"/>
      <c r="F92" s="515"/>
      <c r="G92" s="515"/>
      <c r="H92" s="515"/>
      <c r="I92" s="515"/>
      <c r="J92" s="515"/>
      <c r="K92" s="514">
        <f>SUM(E92:J92)</f>
        <v>0</v>
      </c>
      <c r="L92" s="500"/>
      <c r="M92" s="500"/>
      <c r="N92" s="500"/>
      <c r="O92" s="500"/>
      <c r="P92" s="500"/>
      <c r="Q92" s="500"/>
      <c r="R92" s="500"/>
      <c r="S92" s="500"/>
      <c r="T92" s="500"/>
      <c r="U92" s="500"/>
      <c r="V92" s="500"/>
      <c r="W92" s="500"/>
      <c r="X92" s="500"/>
      <c r="Y92" s="500"/>
      <c r="Z92" s="500"/>
      <c r="AA92" s="500"/>
      <c r="AB92" s="500"/>
      <c r="AC92" s="500"/>
    </row>
    <row r="93" spans="1:29">
      <c r="A93" s="504">
        <v>10</v>
      </c>
      <c r="B93" s="500"/>
      <c r="C93" s="500"/>
      <c r="D93" s="500"/>
      <c r="E93" s="515"/>
      <c r="F93" s="515"/>
      <c r="G93" s="515"/>
      <c r="H93" s="515"/>
      <c r="I93" s="515"/>
      <c r="J93" s="515"/>
      <c r="K93" s="514"/>
      <c r="L93" s="500"/>
      <c r="M93" s="500"/>
      <c r="N93" s="500"/>
      <c r="O93" s="500"/>
      <c r="P93" s="500"/>
      <c r="Q93" s="500"/>
      <c r="R93" s="500"/>
      <c r="S93" s="500"/>
      <c r="T93" s="500"/>
      <c r="U93" s="500"/>
      <c r="V93" s="500"/>
      <c r="W93" s="500"/>
      <c r="X93" s="500"/>
      <c r="Y93" s="500"/>
      <c r="Z93" s="500"/>
      <c r="AA93" s="500"/>
      <c r="AB93" s="500"/>
      <c r="AC93" s="500"/>
    </row>
    <row r="94" spans="1:29">
      <c r="A94" s="504">
        <v>11</v>
      </c>
      <c r="B94" s="500"/>
      <c r="C94" s="508" t="s">
        <v>2616</v>
      </c>
      <c r="D94" s="500"/>
      <c r="E94" s="515"/>
      <c r="F94" s="515"/>
      <c r="G94" s="515"/>
      <c r="H94" s="515"/>
      <c r="I94" s="515"/>
      <c r="J94" s="515">
        <f>O133</f>
        <v>1156</v>
      </c>
      <c r="K94" s="514">
        <f>SUM(E94:J94)</f>
        <v>1156</v>
      </c>
      <c r="L94" s="500"/>
      <c r="M94" s="500"/>
      <c r="N94" s="500"/>
      <c r="O94" s="500"/>
      <c r="P94" s="500"/>
      <c r="Q94" s="500"/>
      <c r="R94" s="500"/>
      <c r="S94" s="500"/>
      <c r="T94" s="500"/>
      <c r="U94" s="500"/>
      <c r="V94" s="500"/>
      <c r="W94" s="500"/>
      <c r="X94" s="500"/>
      <c r="Y94" s="500"/>
      <c r="Z94" s="500"/>
      <c r="AA94" s="500"/>
      <c r="AB94" s="500"/>
      <c r="AC94" s="500"/>
    </row>
    <row r="95" spans="1:29">
      <c r="A95" s="504">
        <v>12</v>
      </c>
      <c r="B95" s="500"/>
      <c r="C95" s="500"/>
      <c r="D95" s="500"/>
      <c r="E95" s="515"/>
      <c r="F95" s="515"/>
      <c r="G95" s="515"/>
      <c r="H95" s="515"/>
      <c r="I95" s="515"/>
      <c r="J95" s="515"/>
      <c r="K95" s="514"/>
      <c r="L95" s="500"/>
      <c r="M95" s="500"/>
      <c r="N95" s="500"/>
      <c r="O95" s="500"/>
      <c r="P95" s="500"/>
      <c r="Q95" s="500"/>
      <c r="R95" s="500"/>
      <c r="S95" s="500"/>
      <c r="T95" s="500"/>
      <c r="U95" s="500"/>
      <c r="V95" s="500"/>
      <c r="W95" s="500"/>
      <c r="X95" s="500"/>
      <c r="Y95" s="500"/>
      <c r="Z95" s="500"/>
      <c r="AA95" s="500"/>
      <c r="AB95" s="500"/>
      <c r="AC95" s="500"/>
    </row>
    <row r="96" spans="1:29">
      <c r="A96" s="504">
        <v>13</v>
      </c>
      <c r="B96" s="500"/>
      <c r="C96" s="508" t="s">
        <v>2617</v>
      </c>
      <c r="D96" s="500"/>
      <c r="E96" s="515"/>
      <c r="F96" s="515"/>
      <c r="G96" s="515"/>
      <c r="H96" s="515"/>
      <c r="I96" s="515"/>
      <c r="J96" s="515">
        <f>O135</f>
        <v>383818</v>
      </c>
      <c r="K96" s="514">
        <f>SUM(E96:J96)</f>
        <v>383818</v>
      </c>
      <c r="L96" s="500"/>
      <c r="M96" s="500"/>
      <c r="N96" s="500"/>
      <c r="O96" s="500"/>
      <c r="P96" s="500"/>
      <c r="Q96" s="500"/>
      <c r="R96" s="500"/>
      <c r="S96" s="500"/>
      <c r="T96" s="500"/>
      <c r="U96" s="500"/>
      <c r="V96" s="500"/>
      <c r="W96" s="500"/>
      <c r="X96" s="500"/>
      <c r="Y96" s="500"/>
      <c r="Z96" s="500"/>
      <c r="AA96" s="500"/>
      <c r="AB96" s="500"/>
      <c r="AC96" s="500"/>
    </row>
    <row r="97" spans="1:29">
      <c r="A97" s="504">
        <v>14</v>
      </c>
      <c r="B97" s="500"/>
      <c r="C97" s="500"/>
      <c r="D97" s="500"/>
      <c r="E97" s="515"/>
      <c r="F97" s="515"/>
      <c r="G97" s="515"/>
      <c r="H97" s="515"/>
      <c r="I97" s="515"/>
      <c r="J97" s="515"/>
      <c r="K97" s="514"/>
      <c r="L97" s="500"/>
      <c r="M97" s="500"/>
      <c r="N97" s="500"/>
      <c r="O97" s="500"/>
      <c r="P97" s="500"/>
      <c r="Q97" s="500"/>
      <c r="R97" s="500"/>
      <c r="S97" s="500"/>
      <c r="T97" s="500"/>
      <c r="U97" s="500"/>
      <c r="V97" s="500"/>
      <c r="W97" s="500"/>
      <c r="X97" s="500"/>
      <c r="Y97" s="500"/>
      <c r="Z97" s="500"/>
      <c r="AA97" s="500"/>
      <c r="AB97" s="500"/>
      <c r="AC97" s="500"/>
    </row>
    <row r="98" spans="1:29">
      <c r="A98" s="504">
        <v>15</v>
      </c>
      <c r="B98" s="500"/>
      <c r="C98" s="500" t="s">
        <v>258</v>
      </c>
      <c r="D98" s="500"/>
      <c r="E98" s="517">
        <f t="shared" ref="E98:K98" si="6">SUM(E84:E97)</f>
        <v>0</v>
      </c>
      <c r="F98" s="517">
        <f t="shared" si="6"/>
        <v>0</v>
      </c>
      <c r="G98" s="517">
        <f t="shared" si="6"/>
        <v>0</v>
      </c>
      <c r="H98" s="517">
        <f>SUM(H84:H97)</f>
        <v>0</v>
      </c>
      <c r="I98" s="517">
        <f t="shared" si="6"/>
        <v>0</v>
      </c>
      <c r="J98" s="517">
        <f t="shared" si="6"/>
        <v>384974</v>
      </c>
      <c r="K98" s="517">
        <f t="shared" si="6"/>
        <v>384974</v>
      </c>
      <c r="L98" s="500"/>
      <c r="M98" s="500"/>
      <c r="N98" s="500"/>
      <c r="O98" s="500"/>
      <c r="P98" s="500"/>
      <c r="Q98" s="500"/>
      <c r="R98" s="500"/>
      <c r="S98" s="500"/>
      <c r="T98" s="500"/>
      <c r="U98" s="500"/>
      <c r="V98" s="500"/>
      <c r="W98" s="500"/>
      <c r="X98" s="500"/>
      <c r="Y98" s="500"/>
      <c r="Z98" s="500"/>
      <c r="AA98" s="500"/>
      <c r="AB98" s="500"/>
      <c r="AC98" s="500"/>
    </row>
    <row r="99" spans="1:29">
      <c r="A99" s="504">
        <v>16</v>
      </c>
      <c r="B99" s="500"/>
      <c r="C99" s="500"/>
      <c r="D99" s="500"/>
      <c r="E99" s="517"/>
      <c r="F99" s="517"/>
      <c r="G99" s="517"/>
      <c r="H99" s="517"/>
      <c r="I99" s="517"/>
      <c r="J99" s="517"/>
      <c r="K99" s="518"/>
      <c r="L99" s="500"/>
      <c r="M99" s="500"/>
      <c r="N99" s="500"/>
      <c r="O99" s="500"/>
      <c r="P99" s="500"/>
      <c r="Q99" s="500"/>
      <c r="R99" s="500"/>
      <c r="S99" s="500"/>
      <c r="T99" s="500"/>
      <c r="U99" s="500"/>
      <c r="V99" s="500"/>
      <c r="W99" s="500"/>
      <c r="X99" s="500"/>
      <c r="Y99" s="500"/>
      <c r="Z99" s="500"/>
      <c r="AA99" s="500"/>
      <c r="AB99" s="500"/>
      <c r="AC99" s="500"/>
    </row>
    <row r="100" spans="1:29">
      <c r="A100" s="504">
        <v>17</v>
      </c>
      <c r="B100" s="500"/>
      <c r="C100" s="500" t="s">
        <v>2618</v>
      </c>
      <c r="D100" s="500"/>
      <c r="E100" s="517"/>
      <c r="F100" s="517"/>
      <c r="G100" s="517"/>
      <c r="H100" s="517"/>
      <c r="I100" s="517"/>
      <c r="J100" s="517"/>
      <c r="K100" s="518"/>
      <c r="L100" s="500"/>
      <c r="M100" s="500"/>
      <c r="N100" s="500"/>
      <c r="O100" s="500"/>
      <c r="P100" s="500"/>
      <c r="Q100" s="500"/>
      <c r="R100" s="500"/>
      <c r="S100" s="500"/>
      <c r="T100" s="500"/>
      <c r="U100" s="500"/>
      <c r="V100" s="500"/>
      <c r="W100" s="500"/>
      <c r="X100" s="500"/>
      <c r="Y100" s="500"/>
      <c r="Z100" s="500"/>
      <c r="AA100" s="500"/>
      <c r="AB100" s="500"/>
      <c r="AC100" s="500"/>
    </row>
    <row r="101" spans="1:29">
      <c r="A101" s="504">
        <v>18</v>
      </c>
      <c r="B101" s="500"/>
      <c r="C101" s="500" t="s">
        <v>2619</v>
      </c>
      <c r="D101" s="500"/>
      <c r="E101" s="517">
        <f t="shared" ref="E101:J101" si="7">E98</f>
        <v>0</v>
      </c>
      <c r="F101" s="517">
        <f t="shared" si="7"/>
        <v>0</v>
      </c>
      <c r="G101" s="517">
        <f t="shared" si="7"/>
        <v>0</v>
      </c>
      <c r="H101" s="517">
        <f t="shared" si="7"/>
        <v>0</v>
      </c>
      <c r="I101" s="517">
        <f t="shared" si="7"/>
        <v>0</v>
      </c>
      <c r="J101" s="517">
        <f t="shared" si="7"/>
        <v>384974</v>
      </c>
      <c r="K101" s="518">
        <f>SUM(E101:J101)</f>
        <v>384974</v>
      </c>
      <c r="L101" s="500"/>
      <c r="M101" s="500"/>
      <c r="N101" s="500"/>
      <c r="O101" s="500"/>
      <c r="P101" s="500"/>
      <c r="Q101" s="500"/>
      <c r="R101" s="500"/>
      <c r="S101" s="500"/>
      <c r="T101" s="500"/>
      <c r="U101" s="500"/>
      <c r="V101" s="500"/>
      <c r="W101" s="500"/>
      <c r="X101" s="500"/>
      <c r="Y101" s="500"/>
      <c r="Z101" s="500"/>
      <c r="AA101" s="500"/>
      <c r="AB101" s="500"/>
      <c r="AC101" s="500"/>
    </row>
    <row r="102" spans="1:29">
      <c r="A102" s="500"/>
      <c r="B102" s="500"/>
      <c r="C102" s="500"/>
      <c r="D102" s="500"/>
      <c r="E102" s="509"/>
      <c r="F102" s="509"/>
      <c r="G102" s="509"/>
      <c r="H102" s="509"/>
      <c r="I102" s="509"/>
      <c r="J102" s="509"/>
      <c r="K102" s="509"/>
      <c r="L102" s="500"/>
      <c r="M102" s="500"/>
      <c r="N102" s="500"/>
      <c r="O102" s="500"/>
      <c r="P102" s="500"/>
      <c r="Q102" s="500"/>
      <c r="R102" s="500"/>
      <c r="S102" s="500"/>
      <c r="T102" s="500"/>
      <c r="U102" s="500"/>
      <c r="V102" s="500"/>
      <c r="W102" s="500"/>
      <c r="X102" s="500"/>
      <c r="Y102" s="500"/>
      <c r="Z102" s="500"/>
      <c r="AA102" s="500"/>
      <c r="AB102" s="500"/>
      <c r="AC102" s="500"/>
    </row>
    <row r="103" spans="1:29">
      <c r="A103" s="500"/>
      <c r="B103" s="500"/>
      <c r="C103" s="500" t="s">
        <v>1479</v>
      </c>
      <c r="D103" s="500"/>
      <c r="E103" s="509"/>
      <c r="F103" s="509"/>
      <c r="G103" s="509"/>
      <c r="H103" s="509"/>
      <c r="I103" s="509"/>
      <c r="J103" s="509"/>
      <c r="K103" s="509"/>
      <c r="L103" s="500"/>
      <c r="M103" s="500"/>
      <c r="N103" s="500"/>
      <c r="O103" s="500"/>
      <c r="P103" s="500"/>
      <c r="Q103" s="500"/>
      <c r="R103" s="500"/>
      <c r="S103" s="500"/>
      <c r="T103" s="500"/>
      <c r="U103" s="500"/>
      <c r="V103" s="500"/>
      <c r="W103" s="500"/>
      <c r="X103" s="500"/>
      <c r="Y103" s="500"/>
      <c r="Z103" s="500"/>
      <c r="AA103" s="500"/>
      <c r="AB103" s="500"/>
      <c r="AC103" s="500"/>
    </row>
    <row r="104" spans="1:29" ht="15.6">
      <c r="A104" s="500"/>
      <c r="B104" s="500"/>
      <c r="C104" s="519" t="s">
        <v>2626</v>
      </c>
      <c r="D104" s="500"/>
      <c r="E104" s="509"/>
      <c r="F104" s="509"/>
      <c r="G104" s="509"/>
      <c r="H104" s="509"/>
      <c r="I104" s="509"/>
      <c r="J104" s="509"/>
      <c r="K104" s="509"/>
      <c r="L104" s="500"/>
      <c r="M104" s="500"/>
      <c r="N104" s="500"/>
      <c r="O104" s="500"/>
      <c r="P104" s="500"/>
      <c r="Q104" s="500"/>
      <c r="R104" s="500"/>
      <c r="S104" s="500"/>
      <c r="T104" s="500"/>
      <c r="U104" s="500"/>
      <c r="V104" s="500"/>
      <c r="W104" s="500"/>
      <c r="X104" s="500"/>
      <c r="Y104" s="500"/>
      <c r="Z104" s="500"/>
      <c r="AA104" s="500"/>
      <c r="AB104" s="500"/>
      <c r="AC104" s="500"/>
    </row>
    <row r="105" spans="1:29">
      <c r="A105" s="500"/>
      <c r="B105" s="500"/>
      <c r="C105" s="500"/>
      <c r="D105" s="500"/>
      <c r="E105" s="509"/>
      <c r="F105" s="509"/>
      <c r="G105" s="509"/>
      <c r="H105" s="509"/>
      <c r="I105" s="509"/>
      <c r="J105" s="509"/>
      <c r="K105" s="509"/>
      <c r="L105" s="500"/>
      <c r="M105" s="500"/>
      <c r="N105" s="500"/>
      <c r="O105" s="500"/>
      <c r="P105" s="500"/>
      <c r="Q105" s="500"/>
      <c r="R105" s="500"/>
      <c r="S105" s="500"/>
      <c r="T105" s="500"/>
      <c r="U105" s="500"/>
      <c r="V105" s="500"/>
      <c r="W105" s="500"/>
      <c r="X105" s="500"/>
      <c r="Y105" s="500"/>
      <c r="Z105" s="500"/>
      <c r="AA105" s="500"/>
      <c r="AB105" s="500"/>
      <c r="AC105" s="500"/>
    </row>
    <row r="106" spans="1:29">
      <c r="A106" s="500"/>
      <c r="B106" s="500"/>
      <c r="C106" s="500"/>
      <c r="D106" s="500"/>
      <c r="E106" s="509"/>
      <c r="F106" s="509"/>
      <c r="G106" s="509"/>
      <c r="H106" s="509"/>
      <c r="I106" s="509"/>
      <c r="J106" s="509"/>
      <c r="K106" s="509"/>
      <c r="L106" s="500"/>
      <c r="M106" s="500"/>
      <c r="N106" s="500"/>
      <c r="O106" s="500"/>
      <c r="P106" s="500"/>
      <c r="Q106" s="500"/>
      <c r="R106" s="500"/>
      <c r="S106" s="500"/>
      <c r="T106" s="500"/>
      <c r="U106" s="500"/>
      <c r="V106" s="500"/>
      <c r="W106" s="500"/>
      <c r="X106" s="500"/>
      <c r="Y106" s="500"/>
      <c r="Z106" s="500"/>
      <c r="AA106" s="500"/>
      <c r="AB106" s="500"/>
      <c r="AC106" s="500"/>
    </row>
    <row r="107" spans="1:29">
      <c r="A107" s="500"/>
      <c r="B107" s="500"/>
      <c r="C107" s="500"/>
      <c r="D107" s="500"/>
      <c r="E107" s="509"/>
      <c r="F107" s="509"/>
      <c r="G107" s="509"/>
      <c r="H107" s="509"/>
      <c r="I107" s="509"/>
      <c r="J107" s="509"/>
      <c r="K107" s="509"/>
      <c r="L107" s="500"/>
      <c r="M107" s="500"/>
      <c r="N107" s="500"/>
      <c r="O107" s="500"/>
      <c r="P107" s="500"/>
      <c r="Q107" s="500"/>
      <c r="R107" s="500"/>
      <c r="S107" s="500"/>
      <c r="T107" s="500"/>
      <c r="U107" s="500"/>
      <c r="V107" s="500"/>
      <c r="W107" s="500"/>
      <c r="X107" s="500"/>
      <c r="Y107" s="500"/>
      <c r="Z107" s="500"/>
      <c r="AA107" s="500"/>
      <c r="AB107" s="500"/>
      <c r="AC107" s="500"/>
    </row>
    <row r="108" spans="1:29">
      <c r="A108" s="500"/>
      <c r="B108" s="500"/>
      <c r="C108" s="500"/>
      <c r="D108" s="500"/>
      <c r="E108" s="509"/>
      <c r="F108" s="509"/>
      <c r="G108" s="509"/>
      <c r="H108" s="509"/>
      <c r="I108" s="509"/>
      <c r="J108" s="509"/>
      <c r="K108" s="509"/>
      <c r="L108" s="500"/>
      <c r="M108" s="500"/>
      <c r="N108" s="500"/>
      <c r="O108" s="500"/>
      <c r="P108" s="500"/>
      <c r="Q108" s="500"/>
      <c r="R108" s="500"/>
      <c r="S108" s="500"/>
      <c r="T108" s="500"/>
      <c r="U108" s="500"/>
      <c r="V108" s="500"/>
      <c r="W108" s="500"/>
      <c r="X108" s="500"/>
      <c r="Y108" s="500"/>
      <c r="Z108" s="500"/>
      <c r="AA108" s="500"/>
      <c r="AB108" s="500"/>
      <c r="AC108" s="500"/>
    </row>
    <row r="109" spans="1:29">
      <c r="A109" s="500"/>
      <c r="B109" s="500"/>
      <c r="C109" s="500"/>
      <c r="D109" s="500"/>
      <c r="E109" s="509"/>
      <c r="F109" s="509"/>
      <c r="G109" s="509"/>
      <c r="H109" s="509"/>
      <c r="I109" s="509"/>
      <c r="J109" s="509"/>
      <c r="K109" s="509"/>
      <c r="L109" s="500"/>
      <c r="M109" s="434" t="str">
        <f>COMPANY</f>
        <v>DUKE ENERGY KENTUCKY, INC.</v>
      </c>
      <c r="N109" s="494"/>
      <c r="O109" s="494"/>
      <c r="P109" s="494"/>
      <c r="Q109" s="494"/>
      <c r="R109" s="520"/>
      <c r="S109" s="494"/>
      <c r="T109" s="494"/>
      <c r="U109" s="492"/>
      <c r="V109" s="494"/>
      <c r="W109" s="494"/>
      <c r="X109" s="492"/>
      <c r="Y109" s="434" t="s">
        <v>2627</v>
      </c>
      <c r="Z109" s="492"/>
      <c r="AA109" s="492"/>
      <c r="AB109" s="500"/>
      <c r="AC109" s="500"/>
    </row>
    <row r="110" spans="1:29">
      <c r="A110" s="500"/>
      <c r="B110" s="500"/>
      <c r="C110" s="500"/>
      <c r="D110" s="500"/>
      <c r="E110" s="509"/>
      <c r="F110" s="509"/>
      <c r="G110" s="509"/>
      <c r="H110" s="509"/>
      <c r="I110" s="509"/>
      <c r="J110" s="509"/>
      <c r="K110" s="509"/>
      <c r="L110" s="500"/>
      <c r="M110" s="434" t="str">
        <f>CASE</f>
        <v>CASE NO. 2024-00354</v>
      </c>
      <c r="N110" s="494"/>
      <c r="O110" s="494"/>
      <c r="P110" s="494"/>
      <c r="Q110" s="494"/>
      <c r="R110" s="520"/>
      <c r="S110" s="494"/>
      <c r="T110" s="494"/>
      <c r="U110" s="492"/>
      <c r="V110" s="494"/>
      <c r="W110" s="494"/>
      <c r="X110" s="492"/>
      <c r="Y110" s="434" t="s">
        <v>468</v>
      </c>
      <c r="Z110" s="492"/>
      <c r="AA110" s="492"/>
      <c r="AB110" s="500"/>
      <c r="AC110" s="500"/>
    </row>
    <row r="111" spans="1:29">
      <c r="A111" s="500"/>
      <c r="B111" s="500"/>
      <c r="C111" s="500"/>
      <c r="D111" s="500"/>
      <c r="E111" s="509"/>
      <c r="F111" s="509"/>
      <c r="G111" s="509"/>
      <c r="H111" s="509"/>
      <c r="I111" s="509"/>
      <c r="J111" s="509"/>
      <c r="K111" s="509"/>
      <c r="L111" s="500"/>
      <c r="M111" s="521" t="str">
        <f>A71</f>
        <v>ADVERTISING</v>
      </c>
      <c r="N111" s="494"/>
      <c r="O111" s="494"/>
      <c r="P111" s="494"/>
      <c r="Q111" s="494"/>
      <c r="R111" s="520"/>
      <c r="S111" s="494"/>
      <c r="T111" s="494"/>
      <c r="U111" s="492"/>
      <c r="V111" s="494"/>
      <c r="W111" s="494"/>
      <c r="X111" s="492"/>
      <c r="Y111" s="434" t="str">
        <f>_WIT1</f>
        <v>L. D. STEINKUHL</v>
      </c>
      <c r="Z111" s="492"/>
      <c r="AA111" s="492"/>
      <c r="AB111" s="500"/>
      <c r="AC111" s="500"/>
    </row>
    <row r="112" spans="1:29">
      <c r="A112" s="500"/>
      <c r="B112" s="500"/>
      <c r="C112" s="500"/>
      <c r="D112" s="500"/>
      <c r="E112" s="509"/>
      <c r="F112" s="509"/>
      <c r="G112" s="509"/>
      <c r="H112" s="509"/>
      <c r="I112" s="509"/>
      <c r="J112" s="509"/>
      <c r="K112" s="509"/>
      <c r="L112" s="500"/>
      <c r="M112" s="492" t="str">
        <f>DataF</f>
        <v>DATA:  BASE PERIOD  "X" FORECASTED PERIOD</v>
      </c>
      <c r="N112" s="494"/>
      <c r="O112" s="494"/>
      <c r="P112" s="494"/>
      <c r="Q112" s="494"/>
      <c r="R112" s="520"/>
      <c r="S112" s="494"/>
      <c r="T112" s="494"/>
      <c r="U112" s="492"/>
      <c r="V112" s="494"/>
      <c r="W112" s="494"/>
      <c r="X112" s="492"/>
      <c r="Y112" s="492"/>
      <c r="Z112" s="492"/>
      <c r="AA112" s="492"/>
      <c r="AB112" s="500"/>
      <c r="AC112" s="500"/>
    </row>
    <row r="113" spans="1:29">
      <c r="A113" s="500"/>
      <c r="B113" s="500"/>
      <c r="C113" s="500"/>
      <c r="D113" s="500"/>
      <c r="E113" s="509"/>
      <c r="F113" s="509"/>
      <c r="G113" s="509"/>
      <c r="H113" s="509"/>
      <c r="I113" s="509"/>
      <c r="J113" s="509"/>
      <c r="K113" s="509"/>
      <c r="L113" s="500"/>
      <c r="M113" s="434" t="str">
        <f>PeriodF</f>
        <v>FOR THE TWELVE MONTHS ENDED JUNE 30, 2026</v>
      </c>
      <c r="N113" s="494"/>
      <c r="O113" s="494"/>
      <c r="P113" s="494"/>
      <c r="Q113" s="494"/>
      <c r="R113" s="494"/>
      <c r="S113" s="494"/>
      <c r="T113" s="494"/>
      <c r="U113" s="494"/>
      <c r="V113" s="494"/>
      <c r="W113" s="494"/>
      <c r="X113" s="492"/>
      <c r="Y113" s="492"/>
      <c r="Z113" s="492"/>
      <c r="AA113" s="492"/>
      <c r="AB113" s="500"/>
      <c r="AC113" s="500"/>
    </row>
    <row r="114" spans="1:29">
      <c r="A114" s="500"/>
      <c r="B114" s="500"/>
      <c r="C114" s="500"/>
      <c r="D114" s="500"/>
      <c r="E114" s="509"/>
      <c r="F114" s="509"/>
      <c r="G114" s="509"/>
      <c r="H114" s="509"/>
      <c r="I114" s="509"/>
      <c r="J114" s="509"/>
      <c r="K114" s="509"/>
      <c r="L114" s="500"/>
      <c r="M114" s="492"/>
      <c r="N114" s="492"/>
      <c r="O114" s="492"/>
      <c r="P114" s="492"/>
      <c r="Q114" s="492"/>
      <c r="R114" s="492"/>
      <c r="S114" s="492"/>
      <c r="T114" s="492"/>
      <c r="U114" s="492"/>
      <c r="V114" s="492"/>
      <c r="W114" s="492"/>
      <c r="X114" s="492"/>
      <c r="Y114" s="492"/>
      <c r="Z114" s="492"/>
      <c r="AA114" s="492"/>
      <c r="AB114" s="500"/>
      <c r="AC114" s="500"/>
    </row>
    <row r="115" spans="1:29">
      <c r="A115" s="500"/>
      <c r="B115" s="500"/>
      <c r="C115" s="500"/>
      <c r="D115" s="500"/>
      <c r="E115" s="509"/>
      <c r="F115" s="509"/>
      <c r="G115" s="509"/>
      <c r="H115" s="509"/>
      <c r="I115" s="509"/>
      <c r="J115" s="509"/>
      <c r="K115" s="509"/>
      <c r="L115" s="500"/>
      <c r="M115" s="492"/>
      <c r="N115" s="492"/>
      <c r="O115" s="492"/>
      <c r="P115" s="492"/>
      <c r="Q115" s="492"/>
      <c r="R115" s="492"/>
      <c r="S115" s="492"/>
      <c r="T115" s="492"/>
      <c r="U115" s="434"/>
      <c r="V115" s="492"/>
      <c r="W115" s="492"/>
      <c r="X115" s="492"/>
      <c r="Y115" s="492"/>
      <c r="Z115" s="492"/>
      <c r="AA115" s="492"/>
      <c r="AB115" s="500"/>
      <c r="AC115" s="500"/>
    </row>
    <row r="116" spans="1:29">
      <c r="A116" s="500"/>
      <c r="B116" s="500"/>
      <c r="C116" s="500"/>
      <c r="D116" s="500"/>
      <c r="E116" s="509"/>
      <c r="F116" s="509"/>
      <c r="G116" s="509"/>
      <c r="H116" s="509"/>
      <c r="I116" s="509"/>
      <c r="J116" s="509"/>
      <c r="K116" s="509"/>
      <c r="L116" s="500"/>
      <c r="M116" s="1571"/>
      <c r="N116" s="1571"/>
      <c r="O116" s="1571"/>
      <c r="P116" s="1571"/>
      <c r="Q116" s="1571"/>
      <c r="R116" s="1571"/>
      <c r="S116" s="1571"/>
      <c r="T116" s="1571"/>
      <c r="U116" s="1571"/>
      <c r="V116" s="1571"/>
      <c r="W116" s="1571"/>
      <c r="X116" s="1571"/>
      <c r="Y116" s="1571"/>
      <c r="Z116" s="1571"/>
      <c r="AA116" s="1571"/>
      <c r="AB116" s="500"/>
      <c r="AC116" s="500"/>
    </row>
    <row r="117" spans="1:29">
      <c r="A117" s="500"/>
      <c r="B117" s="500"/>
      <c r="C117" s="500"/>
      <c r="D117" s="500"/>
      <c r="E117" s="509"/>
      <c r="F117" s="509"/>
      <c r="G117" s="509"/>
      <c r="H117" s="509"/>
      <c r="I117" s="509"/>
      <c r="J117" s="509"/>
      <c r="K117" s="509"/>
      <c r="L117" s="500"/>
      <c r="M117" s="492"/>
      <c r="N117" s="495"/>
      <c r="O117" s="2166"/>
      <c r="P117" s="2166"/>
      <c r="Q117" s="2166"/>
      <c r="R117" s="495"/>
      <c r="S117" s="495"/>
      <c r="T117" s="492"/>
      <c r="U117" s="492"/>
      <c r="V117" s="492"/>
      <c r="W117" s="492"/>
      <c r="X117" s="492"/>
      <c r="Y117" s="492"/>
      <c r="Z117" s="492"/>
      <c r="AA117" s="492"/>
      <c r="AB117" s="500"/>
      <c r="AC117" s="500"/>
    </row>
    <row r="118" spans="1:29">
      <c r="A118" s="500"/>
      <c r="B118" s="500"/>
      <c r="C118" s="500"/>
      <c r="D118" s="500"/>
      <c r="E118" s="509"/>
      <c r="F118" s="509"/>
      <c r="G118" s="509"/>
      <c r="H118" s="509"/>
      <c r="I118" s="509"/>
      <c r="J118" s="509"/>
      <c r="K118" s="509"/>
      <c r="L118" s="500"/>
      <c r="M118" s="495" t="s">
        <v>573</v>
      </c>
      <c r="N118" s="495"/>
      <c r="O118" s="495"/>
      <c r="P118" s="495"/>
      <c r="Q118" s="495"/>
      <c r="R118" s="495"/>
      <c r="S118" s="495"/>
      <c r="T118" s="495"/>
      <c r="U118" s="495"/>
      <c r="V118" s="495"/>
      <c r="W118" s="495"/>
      <c r="X118" s="495"/>
      <c r="Y118" s="495"/>
      <c r="Z118" s="495"/>
      <c r="AA118" s="495"/>
      <c r="AB118" s="500"/>
      <c r="AC118" s="500"/>
    </row>
    <row r="119" spans="1:29">
      <c r="A119" s="500"/>
      <c r="B119" s="500"/>
      <c r="C119" s="500"/>
      <c r="D119" s="500"/>
      <c r="E119" s="509"/>
      <c r="F119" s="509"/>
      <c r="G119" s="509"/>
      <c r="H119" s="509"/>
      <c r="I119" s="509"/>
      <c r="J119" s="509"/>
      <c r="K119" s="509"/>
      <c r="L119" s="500"/>
      <c r="M119" s="495" t="s">
        <v>576</v>
      </c>
      <c r="N119" s="495" t="s">
        <v>2621</v>
      </c>
      <c r="O119" s="495" t="s">
        <v>258</v>
      </c>
      <c r="P119" s="435">
        <f>LOGO!$J$7</f>
        <v>45869</v>
      </c>
      <c r="Q119" s="435">
        <f>LOGO!$J$8</f>
        <v>45900</v>
      </c>
      <c r="R119" s="435">
        <f>LOGO!$J$9</f>
        <v>45930</v>
      </c>
      <c r="S119" s="435">
        <f>LOGO!$J$10</f>
        <v>45961</v>
      </c>
      <c r="T119" s="435">
        <f>LOGO!$J$11</f>
        <v>45991</v>
      </c>
      <c r="U119" s="435">
        <f>LOGO!$J$12</f>
        <v>46022</v>
      </c>
      <c r="V119" s="435">
        <f>LOGO!$J$13</f>
        <v>46053</v>
      </c>
      <c r="W119" s="435">
        <f>LOGO!$J$14</f>
        <v>46081</v>
      </c>
      <c r="X119" s="435">
        <f>LOGO!$J$15</f>
        <v>46112</v>
      </c>
      <c r="Y119" s="435">
        <f>LOGO!$J$16</f>
        <v>46142</v>
      </c>
      <c r="Z119" s="435">
        <f>LOGO!$J$17</f>
        <v>46173</v>
      </c>
      <c r="AA119" s="435">
        <f>LOGO!$J$18</f>
        <v>46203</v>
      </c>
      <c r="AB119" s="500"/>
      <c r="AC119" s="500"/>
    </row>
    <row r="120" spans="1:29">
      <c r="A120" s="500"/>
      <c r="B120" s="500"/>
      <c r="C120" s="500"/>
      <c r="D120" s="500"/>
      <c r="E120" s="509"/>
      <c r="F120" s="509"/>
      <c r="G120" s="509"/>
      <c r="H120" s="509"/>
      <c r="I120" s="509"/>
      <c r="J120" s="509"/>
      <c r="K120" s="509"/>
      <c r="L120" s="500"/>
      <c r="M120" s="1571"/>
      <c r="N120" s="1571"/>
      <c r="O120" s="1571"/>
      <c r="P120" s="1571"/>
      <c r="Q120" s="1571"/>
      <c r="R120" s="1571"/>
      <c r="S120" s="1571"/>
      <c r="T120" s="1571"/>
      <c r="U120" s="1571"/>
      <c r="V120" s="1571"/>
      <c r="W120" s="1571"/>
      <c r="X120" s="1571"/>
      <c r="Y120" s="1571"/>
      <c r="Z120" s="1571"/>
      <c r="AA120" s="1571"/>
      <c r="AB120" s="500"/>
      <c r="AC120" s="500"/>
    </row>
    <row r="121" spans="1:29">
      <c r="A121" s="500"/>
      <c r="B121" s="500"/>
      <c r="C121" s="500"/>
      <c r="D121" s="500"/>
      <c r="E121" s="509"/>
      <c r="F121" s="509"/>
      <c r="G121" s="509"/>
      <c r="H121" s="509"/>
      <c r="I121" s="509"/>
      <c r="J121" s="509"/>
      <c r="K121" s="509"/>
      <c r="L121" s="500"/>
      <c r="M121" s="492"/>
      <c r="N121" s="492"/>
      <c r="O121" s="495" t="s">
        <v>1371</v>
      </c>
      <c r="P121" s="495" t="s">
        <v>1371</v>
      </c>
      <c r="Q121" s="495" t="s">
        <v>1371</v>
      </c>
      <c r="R121" s="495" t="s">
        <v>1371</v>
      </c>
      <c r="S121" s="495" t="s">
        <v>1371</v>
      </c>
      <c r="T121" s="495" t="s">
        <v>1371</v>
      </c>
      <c r="U121" s="495" t="s">
        <v>1371</v>
      </c>
      <c r="V121" s="495" t="s">
        <v>1371</v>
      </c>
      <c r="W121" s="495" t="s">
        <v>1371</v>
      </c>
      <c r="X121" s="495" t="s">
        <v>1371</v>
      </c>
      <c r="Y121" s="495" t="s">
        <v>1371</v>
      </c>
      <c r="Z121" s="495" t="s">
        <v>1371</v>
      </c>
      <c r="AA121" s="495" t="s">
        <v>1371</v>
      </c>
      <c r="AB121" s="500"/>
      <c r="AC121" s="500"/>
    </row>
    <row r="122" spans="1:29">
      <c r="A122" s="500"/>
      <c r="B122" s="500"/>
      <c r="C122" s="500"/>
      <c r="D122" s="500"/>
      <c r="E122" s="500"/>
      <c r="F122" s="500"/>
      <c r="G122" s="500"/>
      <c r="H122" s="500"/>
      <c r="I122" s="500"/>
      <c r="J122" s="500"/>
      <c r="K122" s="500"/>
      <c r="L122" s="500"/>
      <c r="M122" s="495"/>
      <c r="N122" s="522"/>
      <c r="O122" s="492"/>
      <c r="P122" s="492"/>
      <c r="Q122" s="492"/>
      <c r="R122" s="492"/>
      <c r="S122" s="492"/>
      <c r="T122" s="492"/>
      <c r="U122" s="492"/>
      <c r="V122" s="492"/>
      <c r="W122" s="492"/>
      <c r="X122" s="492"/>
      <c r="Y122" s="492"/>
      <c r="Z122" s="492"/>
      <c r="AA122" s="492"/>
      <c r="AB122" s="500"/>
      <c r="AC122" s="500"/>
    </row>
    <row r="123" spans="1:29">
      <c r="A123" s="500"/>
      <c r="B123" s="500"/>
      <c r="C123" s="500"/>
      <c r="D123" s="500"/>
      <c r="E123" s="500"/>
      <c r="F123" s="500"/>
      <c r="G123" s="500"/>
      <c r="H123" s="500"/>
      <c r="I123" s="500"/>
      <c r="J123" s="500"/>
      <c r="K123" s="500"/>
      <c r="L123" s="500"/>
      <c r="M123" s="495">
        <v>1</v>
      </c>
      <c r="N123" s="508" t="s">
        <v>2611</v>
      </c>
      <c r="O123" s="493">
        <f>SUM(P123:AA123)</f>
        <v>0</v>
      </c>
      <c r="P123" s="496">
        <v>0</v>
      </c>
      <c r="Q123" s="496">
        <v>0</v>
      </c>
      <c r="R123" s="496">
        <v>0</v>
      </c>
      <c r="S123" s="496">
        <v>0</v>
      </c>
      <c r="T123" s="496">
        <v>0</v>
      </c>
      <c r="U123" s="496">
        <v>0</v>
      </c>
      <c r="V123" s="496">
        <v>0</v>
      </c>
      <c r="W123" s="496">
        <v>0</v>
      </c>
      <c r="X123" s="496">
        <v>0</v>
      </c>
      <c r="Y123" s="496">
        <v>0</v>
      </c>
      <c r="Z123" s="496">
        <v>0</v>
      </c>
      <c r="AA123" s="496">
        <v>0</v>
      </c>
      <c r="AB123" s="500"/>
      <c r="AC123" s="500"/>
    </row>
    <row r="124" spans="1:29">
      <c r="A124" s="500"/>
      <c r="B124" s="500"/>
      <c r="C124" s="500"/>
      <c r="D124" s="500"/>
      <c r="E124" s="500"/>
      <c r="F124" s="500"/>
      <c r="G124" s="500"/>
      <c r="H124" s="500"/>
      <c r="I124" s="500"/>
      <c r="J124" s="500"/>
      <c r="K124" s="500"/>
      <c r="L124" s="500"/>
      <c r="M124" s="495">
        <v>2</v>
      </c>
      <c r="N124" s="500"/>
      <c r="O124" s="493"/>
      <c r="P124" s="496"/>
      <c r="Q124" s="496"/>
      <c r="R124" s="496"/>
      <c r="S124" s="496"/>
      <c r="T124" s="496"/>
      <c r="U124" s="496"/>
      <c r="V124" s="496"/>
      <c r="W124" s="496"/>
      <c r="X124" s="496"/>
      <c r="Y124" s="496"/>
      <c r="Z124" s="496"/>
      <c r="AA124" s="496"/>
      <c r="AB124" s="500"/>
      <c r="AC124" s="500"/>
    </row>
    <row r="125" spans="1:29">
      <c r="A125" s="500"/>
      <c r="B125" s="500"/>
      <c r="C125" s="500"/>
      <c r="D125" s="500"/>
      <c r="E125" s="500"/>
      <c r="F125" s="500"/>
      <c r="G125" s="500"/>
      <c r="H125" s="500"/>
      <c r="I125" s="500"/>
      <c r="J125" s="500"/>
      <c r="K125" s="500"/>
      <c r="L125" s="500"/>
      <c r="M125" s="495">
        <v>3</v>
      </c>
      <c r="N125" s="508" t="s">
        <v>2612</v>
      </c>
      <c r="O125" s="493">
        <f>SUM(P125:AA125)</f>
        <v>0</v>
      </c>
      <c r="P125" s="496">
        <v>0</v>
      </c>
      <c r="Q125" s="496">
        <v>0</v>
      </c>
      <c r="R125" s="496">
        <v>0</v>
      </c>
      <c r="S125" s="496">
        <v>0</v>
      </c>
      <c r="T125" s="496">
        <v>0</v>
      </c>
      <c r="U125" s="496">
        <v>0</v>
      </c>
      <c r="V125" s="496">
        <v>0</v>
      </c>
      <c r="W125" s="496">
        <v>0</v>
      </c>
      <c r="X125" s="496">
        <v>0</v>
      </c>
      <c r="Y125" s="496">
        <v>0</v>
      </c>
      <c r="Z125" s="496">
        <v>0</v>
      </c>
      <c r="AA125" s="496">
        <v>0</v>
      </c>
      <c r="AB125" s="500"/>
      <c r="AC125" s="500"/>
    </row>
    <row r="126" spans="1:29">
      <c r="A126" s="500"/>
      <c r="B126" s="500"/>
      <c r="C126" s="500"/>
      <c r="D126" s="500"/>
      <c r="E126" s="500"/>
      <c r="F126" s="500"/>
      <c r="G126" s="500"/>
      <c r="H126" s="500"/>
      <c r="I126" s="500"/>
      <c r="J126" s="500"/>
      <c r="K126" s="500"/>
      <c r="L126" s="500"/>
      <c r="M126" s="495">
        <v>4</v>
      </c>
      <c r="N126" s="500"/>
      <c r="O126" s="493"/>
      <c r="P126" s="496"/>
      <c r="Q126" s="496"/>
      <c r="R126" s="496"/>
      <c r="S126" s="496"/>
      <c r="T126" s="496"/>
      <c r="U126" s="496"/>
      <c r="V126" s="496"/>
      <c r="W126" s="496"/>
      <c r="X126" s="496"/>
      <c r="Y126" s="496"/>
      <c r="Z126" s="496"/>
      <c r="AA126" s="496"/>
      <c r="AB126" s="500"/>
      <c r="AC126" s="500"/>
    </row>
    <row r="127" spans="1:29">
      <c r="A127" s="500"/>
      <c r="B127" s="500"/>
      <c r="C127" s="500"/>
      <c r="D127" s="500"/>
      <c r="E127" s="500"/>
      <c r="F127" s="500"/>
      <c r="G127" s="500"/>
      <c r="H127" s="500"/>
      <c r="I127" s="500"/>
      <c r="J127" s="500"/>
      <c r="K127" s="500"/>
      <c r="L127" s="500"/>
      <c r="M127" s="495">
        <v>5</v>
      </c>
      <c r="N127" s="508" t="s">
        <v>2613</v>
      </c>
      <c r="O127" s="493">
        <f>SUM(P127:AA127)</f>
        <v>0</v>
      </c>
      <c r="P127" s="496">
        <v>0</v>
      </c>
      <c r="Q127" s="496">
        <v>0</v>
      </c>
      <c r="R127" s="496">
        <v>0</v>
      </c>
      <c r="S127" s="496">
        <v>0</v>
      </c>
      <c r="T127" s="496">
        <v>0</v>
      </c>
      <c r="U127" s="496">
        <v>0</v>
      </c>
      <c r="V127" s="496">
        <v>0</v>
      </c>
      <c r="W127" s="496">
        <v>0</v>
      </c>
      <c r="X127" s="496">
        <v>0</v>
      </c>
      <c r="Y127" s="496">
        <v>0</v>
      </c>
      <c r="Z127" s="496">
        <v>0</v>
      </c>
      <c r="AA127" s="496">
        <v>0</v>
      </c>
      <c r="AB127" s="500"/>
      <c r="AC127" s="500"/>
    </row>
    <row r="128" spans="1:29">
      <c r="A128" s="500"/>
      <c r="B128" s="500"/>
      <c r="C128" s="500"/>
      <c r="D128" s="500"/>
      <c r="E128" s="500"/>
      <c r="F128" s="500"/>
      <c r="G128" s="500"/>
      <c r="H128" s="500"/>
      <c r="I128" s="500"/>
      <c r="J128" s="500"/>
      <c r="K128" s="500"/>
      <c r="L128" s="500"/>
      <c r="M128" s="495">
        <v>6</v>
      </c>
      <c r="N128" s="500"/>
      <c r="O128" s="493"/>
      <c r="P128" s="496"/>
      <c r="Q128" s="496"/>
      <c r="R128" s="496"/>
      <c r="S128" s="496"/>
      <c r="T128" s="496"/>
      <c r="U128" s="496"/>
      <c r="V128" s="496"/>
      <c r="W128" s="496"/>
      <c r="X128" s="496"/>
      <c r="Y128" s="496"/>
      <c r="Z128" s="496"/>
      <c r="AA128" s="496"/>
      <c r="AB128" s="500"/>
      <c r="AC128" s="500"/>
    </row>
    <row r="129" spans="1:29">
      <c r="A129" s="500"/>
      <c r="B129" s="500"/>
      <c r="C129" s="500"/>
      <c r="D129" s="500"/>
      <c r="E129" s="500"/>
      <c r="F129" s="500"/>
      <c r="G129" s="500"/>
      <c r="H129" s="500"/>
      <c r="I129" s="500"/>
      <c r="J129" s="500"/>
      <c r="K129" s="500"/>
      <c r="L129" s="500"/>
      <c r="M129" s="495">
        <v>7</v>
      </c>
      <c r="N129" s="508" t="s">
        <v>2614</v>
      </c>
      <c r="O129" s="493">
        <f>SUM(P129:AA129)</f>
        <v>0</v>
      </c>
      <c r="P129" s="496">
        <v>0</v>
      </c>
      <c r="Q129" s="496">
        <v>0</v>
      </c>
      <c r="R129" s="496">
        <v>0</v>
      </c>
      <c r="S129" s="496">
        <v>0</v>
      </c>
      <c r="T129" s="496">
        <v>0</v>
      </c>
      <c r="U129" s="496">
        <v>0</v>
      </c>
      <c r="V129" s="496">
        <v>0</v>
      </c>
      <c r="W129" s="496">
        <v>0</v>
      </c>
      <c r="X129" s="496">
        <v>0</v>
      </c>
      <c r="Y129" s="496">
        <v>0</v>
      </c>
      <c r="Z129" s="496">
        <v>0</v>
      </c>
      <c r="AA129" s="496">
        <v>0</v>
      </c>
      <c r="AB129" s="500"/>
      <c r="AC129" s="500"/>
    </row>
    <row r="130" spans="1:29">
      <c r="A130" s="500"/>
      <c r="B130" s="500"/>
      <c r="C130" s="500"/>
      <c r="D130" s="500"/>
      <c r="E130" s="500"/>
      <c r="F130" s="500"/>
      <c r="G130" s="500"/>
      <c r="H130" s="500"/>
      <c r="I130" s="500"/>
      <c r="J130" s="500"/>
      <c r="K130" s="500"/>
      <c r="L130" s="500"/>
      <c r="M130" s="495">
        <v>8</v>
      </c>
      <c r="N130" s="500"/>
      <c r="O130" s="493"/>
      <c r="P130" s="496"/>
      <c r="Q130" s="496"/>
      <c r="R130" s="496"/>
      <c r="S130" s="496"/>
      <c r="T130" s="496"/>
      <c r="U130" s="496"/>
      <c r="V130" s="496"/>
      <c r="W130" s="496"/>
      <c r="X130" s="496"/>
      <c r="Y130" s="496"/>
      <c r="Z130" s="496"/>
      <c r="AA130" s="496"/>
      <c r="AB130" s="500"/>
      <c r="AC130" s="500"/>
    </row>
    <row r="131" spans="1:29">
      <c r="A131" s="500"/>
      <c r="B131" s="500"/>
      <c r="C131" s="500"/>
      <c r="D131" s="500"/>
      <c r="E131" s="500"/>
      <c r="F131" s="500"/>
      <c r="G131" s="500"/>
      <c r="H131" s="500"/>
      <c r="I131" s="500"/>
      <c r="J131" s="500"/>
      <c r="K131" s="500"/>
      <c r="L131" s="500"/>
      <c r="M131" s="495">
        <v>9</v>
      </c>
      <c r="N131" s="508" t="s">
        <v>2615</v>
      </c>
      <c r="O131" s="493">
        <f>SUM(P131:AA131)</f>
        <v>0</v>
      </c>
      <c r="P131" s="496">
        <v>0</v>
      </c>
      <c r="Q131" s="496">
        <v>0</v>
      </c>
      <c r="R131" s="496">
        <v>0</v>
      </c>
      <c r="S131" s="496">
        <v>0</v>
      </c>
      <c r="T131" s="496">
        <v>0</v>
      </c>
      <c r="U131" s="496">
        <v>0</v>
      </c>
      <c r="V131" s="496">
        <v>0</v>
      </c>
      <c r="W131" s="496">
        <v>0</v>
      </c>
      <c r="X131" s="496">
        <v>0</v>
      </c>
      <c r="Y131" s="496">
        <v>0</v>
      </c>
      <c r="Z131" s="496">
        <v>0</v>
      </c>
      <c r="AA131" s="496">
        <v>0</v>
      </c>
      <c r="AB131" s="500"/>
      <c r="AC131" s="500"/>
    </row>
    <row r="132" spans="1:29">
      <c r="A132" s="500"/>
      <c r="B132" s="500"/>
      <c r="C132" s="500"/>
      <c r="D132" s="500"/>
      <c r="E132" s="500"/>
      <c r="F132" s="500"/>
      <c r="G132" s="500"/>
      <c r="H132" s="500"/>
      <c r="I132" s="500"/>
      <c r="J132" s="500"/>
      <c r="K132" s="500"/>
      <c r="L132" s="500"/>
      <c r="M132" s="495">
        <v>10</v>
      </c>
      <c r="N132" s="500"/>
      <c r="O132" s="493"/>
      <c r="P132" s="496"/>
      <c r="Q132" s="496"/>
      <c r="R132" s="496"/>
      <c r="S132" s="496"/>
      <c r="T132" s="496"/>
      <c r="U132" s="496"/>
      <c r="V132" s="496"/>
      <c r="W132" s="496"/>
      <c r="X132" s="496"/>
      <c r="Y132" s="496"/>
      <c r="Z132" s="496"/>
      <c r="AA132" s="496"/>
      <c r="AB132" s="500"/>
      <c r="AC132" s="500"/>
    </row>
    <row r="133" spans="1:29">
      <c r="A133" s="500"/>
      <c r="B133" s="500"/>
      <c r="C133" s="500"/>
      <c r="D133" s="500"/>
      <c r="E133" s="500"/>
      <c r="F133" s="500"/>
      <c r="G133" s="500"/>
      <c r="H133" s="500"/>
      <c r="I133" s="500"/>
      <c r="J133" s="500"/>
      <c r="K133" s="500"/>
      <c r="L133" s="500"/>
      <c r="M133" s="495">
        <v>11</v>
      </c>
      <c r="N133" s="508" t="s">
        <v>2616</v>
      </c>
      <c r="O133" s="493">
        <f>SUM(P133:AA133)</f>
        <v>1156</v>
      </c>
      <c r="P133" s="496">
        <v>17</v>
      </c>
      <c r="Q133" s="496">
        <v>17</v>
      </c>
      <c r="R133" s="496">
        <v>255</v>
      </c>
      <c r="S133" s="496">
        <v>17</v>
      </c>
      <c r="T133" s="496">
        <v>17</v>
      </c>
      <c r="U133" s="496">
        <v>255</v>
      </c>
      <c r="V133" s="496">
        <v>17</v>
      </c>
      <c r="W133" s="496">
        <v>17</v>
      </c>
      <c r="X133" s="496">
        <v>255</v>
      </c>
      <c r="Y133" s="496">
        <v>17</v>
      </c>
      <c r="Z133" s="496">
        <v>17</v>
      </c>
      <c r="AA133" s="496">
        <v>255</v>
      </c>
      <c r="AB133" s="500"/>
      <c r="AC133" s="500"/>
    </row>
    <row r="134" spans="1:29">
      <c r="A134" s="500"/>
      <c r="B134" s="500"/>
      <c r="C134" s="500"/>
      <c r="D134" s="500"/>
      <c r="E134" s="500"/>
      <c r="F134" s="500"/>
      <c r="G134" s="500"/>
      <c r="H134" s="500"/>
      <c r="I134" s="500"/>
      <c r="J134" s="500"/>
      <c r="K134" s="500"/>
      <c r="L134" s="500"/>
      <c r="M134" s="495">
        <v>12</v>
      </c>
      <c r="N134" s="508"/>
      <c r="O134" s="493"/>
      <c r="P134" s="496"/>
      <c r="Q134" s="496"/>
      <c r="R134" s="496"/>
      <c r="S134" s="496"/>
      <c r="T134" s="496"/>
      <c r="U134" s="496"/>
      <c r="V134" s="496"/>
      <c r="W134" s="496"/>
      <c r="X134" s="496"/>
      <c r="Y134" s="496"/>
      <c r="Z134" s="496"/>
      <c r="AA134" s="496"/>
      <c r="AB134" s="500"/>
      <c r="AC134" s="500"/>
    </row>
    <row r="135" spans="1:29">
      <c r="A135" s="500"/>
      <c r="B135" s="500"/>
      <c r="C135" s="500"/>
      <c r="D135" s="500"/>
      <c r="E135" s="500"/>
      <c r="F135" s="500"/>
      <c r="G135" s="500"/>
      <c r="H135" s="500"/>
      <c r="I135" s="500"/>
      <c r="J135" s="500"/>
      <c r="K135" s="500"/>
      <c r="L135" s="500"/>
      <c r="M135" s="495">
        <v>13</v>
      </c>
      <c r="N135" s="508" t="s">
        <v>2617</v>
      </c>
      <c r="O135" s="493">
        <f>SUM(P135:AA135)</f>
        <v>383818</v>
      </c>
      <c r="P135" s="496">
        <v>31451</v>
      </c>
      <c r="Q135" s="496">
        <v>31451</v>
      </c>
      <c r="R135" s="496">
        <v>32938</v>
      </c>
      <c r="S135" s="496">
        <v>31451</v>
      </c>
      <c r="T135" s="496">
        <v>31451</v>
      </c>
      <c r="U135" s="496">
        <v>32939</v>
      </c>
      <c r="V135" s="496">
        <v>31451</v>
      </c>
      <c r="W135" s="496">
        <v>31448</v>
      </c>
      <c r="X135" s="496">
        <v>33340</v>
      </c>
      <c r="Y135" s="496">
        <v>31470</v>
      </c>
      <c r="Z135" s="496">
        <v>31470</v>
      </c>
      <c r="AA135" s="496">
        <v>32958</v>
      </c>
      <c r="AB135" s="500"/>
      <c r="AC135" s="500"/>
    </row>
    <row r="136" spans="1:29">
      <c r="A136" s="500"/>
      <c r="B136" s="500"/>
      <c r="C136" s="500"/>
      <c r="D136" s="500"/>
      <c r="E136" s="500"/>
      <c r="F136" s="500"/>
      <c r="G136" s="500"/>
      <c r="H136" s="500"/>
      <c r="I136" s="500"/>
      <c r="J136" s="500"/>
      <c r="K136" s="500"/>
      <c r="L136" s="500"/>
      <c r="M136" s="495">
        <v>14</v>
      </c>
      <c r="N136" s="500"/>
      <c r="O136" s="498"/>
      <c r="P136" s="523"/>
      <c r="Q136" s="496"/>
      <c r="R136" s="493"/>
      <c r="S136" s="501"/>
      <c r="T136" s="498"/>
      <c r="U136" s="523"/>
      <c r="V136" s="498"/>
      <c r="W136" s="497"/>
      <c r="X136" s="498"/>
      <c r="Y136" s="498"/>
      <c r="Z136" s="498"/>
      <c r="AA136" s="498"/>
      <c r="AB136" s="500"/>
      <c r="AC136" s="500"/>
    </row>
    <row r="137" spans="1:29" ht="13.8" thickBot="1">
      <c r="A137" s="500"/>
      <c r="B137" s="500"/>
      <c r="C137" s="500"/>
      <c r="D137" s="500"/>
      <c r="E137" s="500"/>
      <c r="F137" s="500"/>
      <c r="G137" s="500"/>
      <c r="H137" s="500"/>
      <c r="I137" s="500"/>
      <c r="J137" s="500"/>
      <c r="K137" s="500"/>
      <c r="L137" s="500"/>
      <c r="M137" s="495">
        <v>15</v>
      </c>
      <c r="N137" s="434" t="s">
        <v>801</v>
      </c>
      <c r="O137" s="1970">
        <f t="shared" ref="O137:AA137" si="8">O123+O125+O127+O129+O131+O133+O135</f>
        <v>384974</v>
      </c>
      <c r="P137" s="1970">
        <f t="shared" si="8"/>
        <v>31468</v>
      </c>
      <c r="Q137" s="1970">
        <f t="shared" si="8"/>
        <v>31468</v>
      </c>
      <c r="R137" s="1970">
        <f t="shared" si="8"/>
        <v>33193</v>
      </c>
      <c r="S137" s="1970">
        <f t="shared" si="8"/>
        <v>31468</v>
      </c>
      <c r="T137" s="1970">
        <f t="shared" si="8"/>
        <v>31468</v>
      </c>
      <c r="U137" s="1970">
        <f t="shared" si="8"/>
        <v>33194</v>
      </c>
      <c r="V137" s="1970">
        <f t="shared" si="8"/>
        <v>31468</v>
      </c>
      <c r="W137" s="1970">
        <f t="shared" si="8"/>
        <v>31465</v>
      </c>
      <c r="X137" s="1970">
        <f t="shared" si="8"/>
        <v>33595</v>
      </c>
      <c r="Y137" s="1970">
        <f t="shared" si="8"/>
        <v>31487</v>
      </c>
      <c r="Z137" s="1970">
        <f t="shared" si="8"/>
        <v>31487</v>
      </c>
      <c r="AA137" s="1970">
        <f t="shared" si="8"/>
        <v>33213</v>
      </c>
      <c r="AB137" s="500"/>
      <c r="AC137" s="500"/>
    </row>
    <row r="138" spans="1:29" ht="13.8" thickTop="1">
      <c r="A138" s="500"/>
      <c r="B138" s="500"/>
      <c r="C138" s="500"/>
      <c r="D138" s="500"/>
      <c r="E138" s="500"/>
      <c r="F138" s="500"/>
      <c r="G138" s="500"/>
      <c r="H138" s="500"/>
      <c r="I138" s="500"/>
      <c r="J138" s="500"/>
      <c r="K138" s="500"/>
      <c r="L138" s="500"/>
      <c r="M138" s="495"/>
      <c r="N138" s="434"/>
      <c r="O138" s="498"/>
      <c r="P138" s="498"/>
      <c r="Q138" s="498"/>
      <c r="R138" s="498"/>
      <c r="S138" s="498"/>
      <c r="T138" s="498"/>
      <c r="U138" s="498"/>
      <c r="V138" s="498"/>
      <c r="W138" s="498"/>
      <c r="X138" s="498"/>
      <c r="Y138" s="498"/>
      <c r="Z138" s="498"/>
      <c r="AA138" s="498"/>
      <c r="AB138" s="500"/>
      <c r="AC138" s="500"/>
    </row>
    <row r="139" spans="1:29">
      <c r="A139" s="500"/>
      <c r="B139" s="500"/>
      <c r="C139" s="500"/>
      <c r="D139" s="500"/>
      <c r="E139" s="500"/>
      <c r="F139" s="500"/>
      <c r="G139" s="500"/>
      <c r="H139" s="500"/>
      <c r="I139" s="500"/>
      <c r="J139" s="500"/>
      <c r="K139" s="500"/>
      <c r="L139" s="500"/>
      <c r="M139" s="495"/>
      <c r="N139" s="500" t="s">
        <v>1479</v>
      </c>
      <c r="O139" s="498"/>
      <c r="P139" s="498"/>
      <c r="Q139" s="498"/>
      <c r="R139" s="498"/>
      <c r="S139" s="498"/>
      <c r="T139" s="498"/>
      <c r="U139" s="498"/>
      <c r="V139" s="498"/>
      <c r="W139" s="498"/>
      <c r="X139" s="498"/>
      <c r="Y139" s="498"/>
      <c r="Z139" s="498"/>
      <c r="AA139" s="498"/>
      <c r="AB139" s="500"/>
      <c r="AC139" s="500"/>
    </row>
    <row r="140" spans="1:29" ht="15.6">
      <c r="A140" s="500"/>
      <c r="B140" s="500"/>
      <c r="C140" s="500"/>
      <c r="D140" s="500"/>
      <c r="E140" s="500"/>
      <c r="F140" s="500"/>
      <c r="G140" s="500"/>
      <c r="H140" s="500"/>
      <c r="I140" s="500"/>
      <c r="J140" s="500"/>
      <c r="K140" s="500"/>
      <c r="L140" s="500"/>
      <c r="M140" s="495"/>
      <c r="N140" s="519" t="s">
        <v>2626</v>
      </c>
      <c r="O140" s="498"/>
      <c r="P140" s="498"/>
      <c r="Q140" s="498"/>
      <c r="R140" s="498"/>
      <c r="S140" s="498"/>
      <c r="T140" s="498"/>
      <c r="U140" s="498"/>
      <c r="V140" s="498"/>
      <c r="W140" s="498"/>
      <c r="X140" s="498"/>
      <c r="Y140" s="498"/>
      <c r="Z140" s="498"/>
      <c r="AA140" s="498"/>
      <c r="AB140" s="500"/>
      <c r="AC140" s="500"/>
    </row>
    <row r="141" spans="1:29">
      <c r="A141" s="500"/>
      <c r="B141" s="500"/>
      <c r="C141" s="500"/>
      <c r="D141" s="500"/>
      <c r="E141" s="500"/>
      <c r="F141" s="500"/>
      <c r="G141" s="500"/>
      <c r="H141" s="500"/>
      <c r="I141" s="500"/>
      <c r="J141" s="500"/>
      <c r="K141" s="500"/>
      <c r="L141" s="500"/>
      <c r="M141" s="500"/>
      <c r="N141" s="500"/>
      <c r="O141" s="500"/>
      <c r="P141" s="500"/>
      <c r="Q141" s="500"/>
      <c r="R141" s="500"/>
      <c r="S141" s="500"/>
      <c r="T141" s="500"/>
      <c r="U141" s="500"/>
      <c r="V141" s="500"/>
      <c r="W141" s="500"/>
      <c r="X141" s="500"/>
      <c r="Y141" s="500"/>
      <c r="Z141" s="500"/>
      <c r="AA141" s="500"/>
      <c r="AB141" s="500"/>
      <c r="AC141" s="500"/>
    </row>
    <row r="142" spans="1:29">
      <c r="A142" s="500"/>
      <c r="B142" s="500"/>
      <c r="C142" s="500"/>
      <c r="D142" s="500"/>
      <c r="E142" s="500"/>
      <c r="F142" s="500"/>
      <c r="G142" s="500"/>
      <c r="H142" s="500"/>
      <c r="I142" s="500"/>
      <c r="J142" s="500"/>
      <c r="K142" s="500"/>
      <c r="L142" s="500"/>
      <c r="M142" s="500"/>
      <c r="N142" s="500"/>
      <c r="O142" s="493">
        <f>SUM(P142:AA142)</f>
        <v>384974</v>
      </c>
      <c r="P142" s="515">
        <f>'FORECASTED PERIOD'!F187+'FORECASTED PERIOD'!F192+'FORECASTED PERIOD'!F228</f>
        <v>31468</v>
      </c>
      <c r="Q142" s="515">
        <f>'FORECASTED PERIOD'!G187+'FORECASTED PERIOD'!G192+'FORECASTED PERIOD'!G228</f>
        <v>31468</v>
      </c>
      <c r="R142" s="515">
        <f>'FORECASTED PERIOD'!H187+'FORECASTED PERIOD'!H192+'FORECASTED PERIOD'!H228</f>
        <v>33193</v>
      </c>
      <c r="S142" s="515">
        <f>'FORECASTED PERIOD'!I187+'FORECASTED PERIOD'!I192+'FORECASTED PERIOD'!I228</f>
        <v>31468</v>
      </c>
      <c r="T142" s="515">
        <f>'FORECASTED PERIOD'!J187+'FORECASTED PERIOD'!J192+'FORECASTED PERIOD'!J228</f>
        <v>31468</v>
      </c>
      <c r="U142" s="515">
        <f>'FORECASTED PERIOD'!K187+'FORECASTED PERIOD'!K192+'FORECASTED PERIOD'!K228</f>
        <v>33194</v>
      </c>
      <c r="V142" s="515">
        <f>'FORECASTED PERIOD'!L187+'FORECASTED PERIOD'!L192+'FORECASTED PERIOD'!L228</f>
        <v>31468</v>
      </c>
      <c r="W142" s="515">
        <f>'FORECASTED PERIOD'!M187+'FORECASTED PERIOD'!M192+'FORECASTED PERIOD'!M228</f>
        <v>31465</v>
      </c>
      <c r="X142" s="515">
        <f>'FORECASTED PERIOD'!N187+'FORECASTED PERIOD'!N192+'FORECASTED PERIOD'!N228</f>
        <v>33595</v>
      </c>
      <c r="Y142" s="515">
        <f>'FORECASTED PERIOD'!O187+'FORECASTED PERIOD'!O192+'FORECASTED PERIOD'!O228</f>
        <v>31487</v>
      </c>
      <c r="Z142" s="515">
        <f>'FORECASTED PERIOD'!P187+'FORECASTED PERIOD'!P192+'FORECASTED PERIOD'!P228</f>
        <v>31487</v>
      </c>
      <c r="AA142" s="515">
        <f>'FORECASTED PERIOD'!Q187+'FORECASTED PERIOD'!Q192+'FORECASTED PERIOD'!Q228</f>
        <v>33213</v>
      </c>
      <c r="AB142" s="500"/>
      <c r="AC142" s="500"/>
    </row>
    <row r="143" spans="1:29">
      <c r="A143" s="500"/>
      <c r="B143" s="500"/>
      <c r="C143" s="500"/>
      <c r="D143" s="500"/>
      <c r="E143" s="500"/>
      <c r="F143" s="500"/>
      <c r="G143" s="500"/>
      <c r="H143" s="500"/>
      <c r="I143" s="500"/>
      <c r="J143" s="500"/>
      <c r="K143" s="500"/>
      <c r="L143" s="500"/>
      <c r="M143" s="500"/>
      <c r="N143" s="500"/>
      <c r="O143" s="493">
        <f>SUM(P143:AA143)</f>
        <v>0</v>
      </c>
      <c r="P143" s="515">
        <f>P142-P137</f>
        <v>0</v>
      </c>
      <c r="Q143" s="515">
        <f t="shared" ref="Q143:AA143" si="9">Q142-Q137</f>
        <v>0</v>
      </c>
      <c r="R143" s="515">
        <f t="shared" si="9"/>
        <v>0</v>
      </c>
      <c r="S143" s="515">
        <f t="shared" si="9"/>
        <v>0</v>
      </c>
      <c r="T143" s="515">
        <f t="shared" si="9"/>
        <v>0</v>
      </c>
      <c r="U143" s="515">
        <f t="shared" si="9"/>
        <v>0</v>
      </c>
      <c r="V143" s="515">
        <f t="shared" si="9"/>
        <v>0</v>
      </c>
      <c r="W143" s="515">
        <f t="shared" si="9"/>
        <v>0</v>
      </c>
      <c r="X143" s="515">
        <f t="shared" si="9"/>
        <v>0</v>
      </c>
      <c r="Y143" s="515">
        <f t="shared" si="9"/>
        <v>0</v>
      </c>
      <c r="Z143" s="515">
        <f t="shared" si="9"/>
        <v>0</v>
      </c>
      <c r="AA143" s="515">
        <f t="shared" si="9"/>
        <v>0</v>
      </c>
      <c r="AB143" s="500"/>
      <c r="AC143" s="500"/>
    </row>
    <row r="144" spans="1:29">
      <c r="A144" s="500"/>
      <c r="B144" s="500"/>
      <c r="C144" s="500"/>
      <c r="D144" s="500"/>
      <c r="E144" s="500"/>
      <c r="F144" s="500"/>
      <c r="G144" s="500"/>
      <c r="H144" s="500"/>
      <c r="I144" s="500"/>
      <c r="J144" s="500"/>
      <c r="K144" s="500"/>
      <c r="L144" s="500"/>
      <c r="M144" s="500"/>
      <c r="N144" s="500"/>
      <c r="O144" s="500"/>
      <c r="P144" s="500"/>
      <c r="Q144" s="500"/>
      <c r="R144" s="500"/>
      <c r="S144" s="500"/>
      <c r="T144" s="500"/>
      <c r="U144" s="500"/>
      <c r="V144" s="500"/>
      <c r="W144" s="500"/>
      <c r="X144" s="500"/>
      <c r="Y144" s="500"/>
      <c r="Z144" s="500"/>
      <c r="AA144" s="500"/>
      <c r="AB144" s="500"/>
      <c r="AC144" s="500"/>
    </row>
    <row r="145" spans="1:29">
      <c r="A145" s="500"/>
      <c r="B145" s="500"/>
      <c r="C145" s="500"/>
      <c r="D145" s="500"/>
      <c r="E145" s="500"/>
      <c r="F145" s="500"/>
      <c r="G145" s="500"/>
      <c r="H145" s="500"/>
      <c r="I145" s="500"/>
      <c r="J145" s="500"/>
      <c r="K145" s="500"/>
      <c r="L145" s="500"/>
      <c r="M145" s="500"/>
      <c r="N145" s="500"/>
      <c r="O145" s="500"/>
      <c r="P145" s="500"/>
      <c r="Q145" s="500"/>
      <c r="R145" s="500"/>
      <c r="S145" s="500"/>
      <c r="T145" s="500"/>
      <c r="U145" s="500"/>
      <c r="V145" s="500"/>
      <c r="W145" s="500"/>
      <c r="X145" s="500"/>
      <c r="Y145" s="500"/>
      <c r="Z145" s="500"/>
      <c r="AA145" s="500"/>
      <c r="AB145" s="500"/>
      <c r="AC145" s="500"/>
    </row>
    <row r="146" spans="1:29">
      <c r="A146" s="500"/>
      <c r="B146" s="500"/>
      <c r="C146" s="500"/>
      <c r="D146" s="500"/>
      <c r="E146" s="500"/>
      <c r="F146" s="500"/>
      <c r="G146" s="500"/>
      <c r="H146" s="500"/>
      <c r="I146" s="500"/>
      <c r="J146" s="500"/>
      <c r="K146" s="500"/>
      <c r="L146" s="500"/>
      <c r="M146" s="500"/>
      <c r="N146" s="500"/>
      <c r="O146" s="500"/>
      <c r="P146" s="500"/>
      <c r="Q146" s="500"/>
      <c r="R146" s="500"/>
      <c r="S146" s="500"/>
      <c r="T146" s="500"/>
      <c r="U146" s="500"/>
      <c r="V146" s="500"/>
      <c r="W146" s="500"/>
      <c r="X146" s="500"/>
      <c r="Y146" s="500"/>
      <c r="Z146" s="500"/>
      <c r="AA146" s="500"/>
      <c r="AB146" s="500"/>
      <c r="AC146" s="500"/>
    </row>
    <row r="147" spans="1:29">
      <c r="A147" s="500"/>
      <c r="B147" s="500"/>
      <c r="C147" s="500"/>
      <c r="D147" s="500"/>
      <c r="E147" s="500"/>
      <c r="F147" s="500"/>
      <c r="G147" s="500"/>
      <c r="H147" s="500"/>
      <c r="I147" s="500"/>
      <c r="J147" s="500"/>
      <c r="K147" s="500"/>
      <c r="L147" s="500"/>
      <c r="M147" s="500"/>
      <c r="N147" s="500"/>
      <c r="O147" s="500"/>
      <c r="P147" s="500"/>
      <c r="Q147" s="500"/>
      <c r="R147" s="500"/>
      <c r="S147" s="500"/>
      <c r="T147" s="500"/>
      <c r="U147" s="500"/>
      <c r="V147" s="500"/>
      <c r="W147" s="500"/>
      <c r="X147" s="500"/>
      <c r="Y147" s="500"/>
      <c r="Z147" s="500"/>
      <c r="AA147" s="500"/>
      <c r="AB147" s="500"/>
      <c r="AC147" s="500"/>
    </row>
    <row r="148" spans="1:29">
      <c r="A148" s="500"/>
      <c r="B148" s="500"/>
      <c r="C148" s="500"/>
      <c r="D148" s="500"/>
      <c r="E148" s="500"/>
      <c r="F148" s="500"/>
      <c r="G148" s="500"/>
      <c r="H148" s="500"/>
      <c r="I148" s="500"/>
      <c r="J148" s="500"/>
      <c r="K148" s="500"/>
      <c r="L148" s="500"/>
      <c r="M148" s="500"/>
      <c r="N148" s="500"/>
      <c r="O148" s="500"/>
      <c r="P148" s="500"/>
      <c r="Q148" s="500"/>
      <c r="R148" s="500"/>
      <c r="S148" s="500"/>
      <c r="T148" s="500"/>
      <c r="U148" s="500"/>
      <c r="V148" s="500"/>
      <c r="W148" s="500"/>
      <c r="X148" s="500"/>
      <c r="Y148" s="500"/>
      <c r="Z148" s="500"/>
      <c r="AA148" s="500"/>
      <c r="AB148" s="500"/>
      <c r="AC148" s="500"/>
    </row>
    <row r="149" spans="1:29">
      <c r="A149" s="500"/>
      <c r="B149" s="500"/>
      <c r="C149" s="500"/>
      <c r="D149" s="500"/>
      <c r="E149" s="500"/>
      <c r="F149" s="500"/>
      <c r="G149" s="500"/>
      <c r="H149" s="500"/>
      <c r="I149" s="500"/>
      <c r="J149" s="500"/>
      <c r="K149" s="500"/>
      <c r="L149" s="500"/>
      <c r="M149" s="500"/>
      <c r="N149" s="500"/>
      <c r="O149" s="500"/>
      <c r="P149" s="500"/>
      <c r="Q149" s="500"/>
      <c r="R149" s="500"/>
      <c r="S149" s="500"/>
      <c r="T149" s="500"/>
      <c r="U149" s="500"/>
      <c r="V149" s="500"/>
      <c r="W149" s="500"/>
      <c r="X149" s="500"/>
      <c r="Y149" s="500"/>
      <c r="Z149" s="500"/>
      <c r="AA149" s="500"/>
      <c r="AB149" s="500"/>
      <c r="AC149" s="500"/>
    </row>
    <row r="150" spans="1:29">
      <c r="A150" s="500"/>
      <c r="B150" s="500"/>
      <c r="C150" s="500"/>
      <c r="D150" s="500"/>
      <c r="E150" s="500"/>
      <c r="F150" s="500"/>
      <c r="G150" s="500"/>
      <c r="H150" s="500"/>
      <c r="I150" s="500"/>
      <c r="J150" s="500"/>
      <c r="K150" s="500"/>
      <c r="L150" s="500"/>
      <c r="M150" s="500"/>
      <c r="N150" s="500"/>
      <c r="O150" s="500"/>
      <c r="P150" s="500"/>
      <c r="Q150" s="500"/>
      <c r="R150" s="500"/>
      <c r="S150" s="500"/>
      <c r="T150" s="500"/>
      <c r="U150" s="500"/>
      <c r="V150" s="500"/>
      <c r="W150" s="500"/>
      <c r="X150" s="500"/>
      <c r="Y150" s="500"/>
      <c r="Z150" s="500"/>
      <c r="AA150" s="500"/>
      <c r="AB150" s="500"/>
      <c r="AC150" s="500"/>
    </row>
    <row r="151" spans="1:29">
      <c r="A151" s="500"/>
      <c r="B151" s="500"/>
      <c r="C151" s="500"/>
      <c r="D151" s="500"/>
      <c r="E151" s="500"/>
      <c r="F151" s="500"/>
      <c r="G151" s="500"/>
      <c r="H151" s="500"/>
      <c r="I151" s="500"/>
      <c r="J151" s="500"/>
      <c r="K151" s="500"/>
      <c r="L151" s="500"/>
      <c r="M151" s="500"/>
      <c r="N151" s="500"/>
      <c r="O151" s="500"/>
      <c r="P151" s="500"/>
      <c r="Q151" s="500"/>
      <c r="R151" s="500"/>
      <c r="S151" s="500"/>
      <c r="T151" s="500"/>
      <c r="U151" s="500"/>
      <c r="V151" s="500"/>
      <c r="W151" s="500"/>
      <c r="X151" s="500"/>
      <c r="Y151" s="500"/>
      <c r="Z151" s="500"/>
      <c r="AA151" s="500"/>
      <c r="AB151" s="500"/>
      <c r="AC151" s="500"/>
    </row>
    <row r="152" spans="1:29">
      <c r="A152" s="500"/>
      <c r="B152" s="500"/>
      <c r="C152" s="500"/>
      <c r="D152" s="500"/>
      <c r="E152" s="500"/>
      <c r="F152" s="500"/>
      <c r="G152" s="500"/>
      <c r="H152" s="500"/>
      <c r="I152" s="500"/>
      <c r="J152" s="500"/>
      <c r="K152" s="500"/>
      <c r="L152" s="500"/>
      <c r="M152" s="500"/>
      <c r="N152" s="500"/>
      <c r="O152" s="500"/>
      <c r="P152" s="500"/>
      <c r="Q152" s="500"/>
      <c r="R152" s="500"/>
      <c r="S152" s="500"/>
      <c r="T152" s="500"/>
      <c r="U152" s="500"/>
      <c r="V152" s="500"/>
      <c r="W152" s="500"/>
      <c r="X152" s="500"/>
      <c r="Y152" s="500"/>
      <c r="Z152" s="500"/>
      <c r="AA152" s="500"/>
      <c r="AB152" s="500"/>
      <c r="AC152" s="500"/>
    </row>
    <row r="153" spans="1:29">
      <c r="A153" s="500"/>
      <c r="B153" s="500"/>
      <c r="C153" s="500"/>
      <c r="D153" s="500"/>
      <c r="E153" s="500"/>
      <c r="F153" s="500"/>
      <c r="G153" s="500"/>
      <c r="H153" s="500"/>
      <c r="I153" s="500"/>
      <c r="J153" s="500"/>
      <c r="K153" s="500"/>
      <c r="L153" s="500"/>
      <c r="M153" s="500"/>
      <c r="N153" s="500"/>
      <c r="O153" s="500"/>
      <c r="P153" s="500"/>
      <c r="Q153" s="500"/>
      <c r="R153" s="500"/>
      <c r="S153" s="500"/>
      <c r="T153" s="500"/>
      <c r="U153" s="500"/>
      <c r="V153" s="500"/>
      <c r="W153" s="500"/>
      <c r="X153" s="500"/>
      <c r="Y153" s="500"/>
      <c r="Z153" s="500"/>
      <c r="AA153" s="500"/>
      <c r="AB153" s="500"/>
      <c r="AC153" s="500"/>
    </row>
    <row r="154" spans="1:29">
      <c r="A154" s="500"/>
      <c r="B154" s="500"/>
      <c r="C154" s="500"/>
      <c r="D154" s="500"/>
      <c r="E154" s="500"/>
      <c r="F154" s="500"/>
      <c r="G154" s="500"/>
      <c r="H154" s="500"/>
      <c r="I154" s="500"/>
      <c r="J154" s="500"/>
      <c r="K154" s="500"/>
      <c r="L154" s="500"/>
      <c r="M154" s="500"/>
      <c r="N154" s="500"/>
      <c r="O154" s="500"/>
      <c r="P154" s="500"/>
      <c r="Q154" s="500"/>
      <c r="R154" s="500"/>
      <c r="S154" s="500"/>
      <c r="T154" s="500"/>
      <c r="U154" s="500"/>
      <c r="V154" s="500"/>
      <c r="W154" s="500"/>
      <c r="X154" s="500"/>
      <c r="Y154" s="500"/>
      <c r="Z154" s="500"/>
      <c r="AA154" s="500"/>
      <c r="AB154" s="500"/>
      <c r="AC154" s="500"/>
    </row>
    <row r="155" spans="1:29">
      <c r="A155" s="500"/>
      <c r="B155" s="500"/>
      <c r="C155" s="500"/>
      <c r="D155" s="500"/>
      <c r="E155" s="500"/>
      <c r="F155" s="500"/>
      <c r="G155" s="500"/>
      <c r="H155" s="500"/>
      <c r="I155" s="500"/>
      <c r="J155" s="500"/>
      <c r="K155" s="500"/>
      <c r="L155" s="500"/>
      <c r="M155" s="500"/>
      <c r="N155" s="500"/>
      <c r="O155" s="500"/>
      <c r="P155" s="500"/>
      <c r="Q155" s="500"/>
      <c r="R155" s="500"/>
      <c r="S155" s="500"/>
      <c r="T155" s="500"/>
      <c r="U155" s="500"/>
      <c r="V155" s="500"/>
      <c r="W155" s="500"/>
      <c r="X155" s="500"/>
      <c r="Y155" s="500"/>
      <c r="Z155" s="500"/>
      <c r="AA155" s="500"/>
      <c r="AB155" s="500"/>
      <c r="AC155" s="500"/>
    </row>
    <row r="156" spans="1:29">
      <c r="A156" s="500"/>
      <c r="B156" s="500"/>
      <c r="C156" s="500"/>
      <c r="D156" s="500"/>
      <c r="E156" s="500"/>
      <c r="F156" s="500"/>
      <c r="G156" s="500"/>
      <c r="H156" s="500"/>
      <c r="I156" s="500"/>
      <c r="J156" s="500"/>
      <c r="K156" s="500"/>
      <c r="L156" s="500"/>
      <c r="M156" s="500"/>
      <c r="N156" s="500"/>
      <c r="O156" s="500"/>
      <c r="P156" s="500"/>
      <c r="Q156" s="500"/>
      <c r="R156" s="500"/>
      <c r="S156" s="500"/>
      <c r="T156" s="500"/>
      <c r="U156" s="500"/>
      <c r="V156" s="500"/>
      <c r="W156" s="500"/>
      <c r="X156" s="500"/>
      <c r="Y156" s="500"/>
      <c r="Z156" s="500"/>
      <c r="AA156" s="500"/>
      <c r="AB156" s="500"/>
      <c r="AC156" s="500"/>
    </row>
    <row r="157" spans="1:29">
      <c r="A157" s="500"/>
      <c r="B157" s="500"/>
      <c r="C157" s="500"/>
      <c r="D157" s="500"/>
      <c r="E157" s="500"/>
      <c r="F157" s="500"/>
      <c r="G157" s="500"/>
      <c r="H157" s="500"/>
      <c r="I157" s="500"/>
      <c r="J157" s="500"/>
      <c r="K157" s="500"/>
      <c r="L157" s="500"/>
      <c r="M157" s="500"/>
      <c r="N157" s="500"/>
      <c r="O157" s="500"/>
      <c r="P157" s="500"/>
      <c r="Q157" s="500"/>
      <c r="R157" s="500"/>
      <c r="S157" s="500"/>
      <c r="T157" s="500"/>
      <c r="U157" s="500"/>
      <c r="V157" s="500"/>
      <c r="W157" s="500"/>
      <c r="X157" s="500"/>
      <c r="Y157" s="500"/>
      <c r="Z157" s="500"/>
      <c r="AA157" s="500"/>
      <c r="AB157" s="500"/>
      <c r="AC157" s="500"/>
    </row>
    <row r="158" spans="1:29">
      <c r="A158" s="500"/>
      <c r="B158" s="500"/>
      <c r="C158" s="500"/>
      <c r="D158" s="500"/>
      <c r="E158" s="500"/>
      <c r="F158" s="500"/>
      <c r="G158" s="500"/>
      <c r="H158" s="500"/>
      <c r="I158" s="500"/>
      <c r="J158" s="500"/>
      <c r="K158" s="500"/>
      <c r="L158" s="500"/>
      <c r="M158" s="500"/>
      <c r="N158" s="500"/>
      <c r="O158" s="500"/>
      <c r="P158" s="500"/>
      <c r="Q158" s="500"/>
      <c r="R158" s="500"/>
      <c r="S158" s="500"/>
      <c r="T158" s="500"/>
      <c r="U158" s="500"/>
      <c r="V158" s="500"/>
      <c r="W158" s="500"/>
      <c r="X158" s="500"/>
      <c r="Y158" s="500"/>
      <c r="Z158" s="500"/>
      <c r="AA158" s="500"/>
      <c r="AB158" s="500"/>
      <c r="AC158" s="500"/>
    </row>
    <row r="159" spans="1:29">
      <c r="A159" s="500"/>
      <c r="B159" s="500"/>
      <c r="C159" s="500"/>
      <c r="D159" s="500"/>
      <c r="E159" s="500"/>
      <c r="F159" s="500"/>
      <c r="G159" s="500"/>
      <c r="H159" s="500"/>
      <c r="I159" s="500"/>
      <c r="J159" s="500"/>
      <c r="K159" s="500"/>
      <c r="L159" s="500"/>
      <c r="M159" s="500"/>
      <c r="N159" s="500"/>
      <c r="O159" s="500"/>
      <c r="P159" s="500"/>
      <c r="Q159" s="500"/>
      <c r="R159" s="500"/>
      <c r="S159" s="500"/>
      <c r="T159" s="500"/>
      <c r="U159" s="500"/>
      <c r="V159" s="500"/>
      <c r="W159" s="500"/>
      <c r="X159" s="500"/>
      <c r="Y159" s="500"/>
      <c r="Z159" s="500"/>
      <c r="AA159" s="500"/>
      <c r="AB159" s="500"/>
      <c r="AC159" s="500"/>
    </row>
    <row r="160" spans="1:29">
      <c r="A160" s="500"/>
      <c r="B160" s="500"/>
      <c r="C160" s="500"/>
      <c r="D160" s="500"/>
      <c r="E160" s="500"/>
      <c r="F160" s="500"/>
      <c r="G160" s="500"/>
      <c r="H160" s="500"/>
      <c r="I160" s="500"/>
      <c r="J160" s="500"/>
      <c r="K160" s="500"/>
      <c r="L160" s="500"/>
      <c r="M160" s="500"/>
      <c r="N160" s="500"/>
      <c r="O160" s="500"/>
      <c r="P160" s="500"/>
      <c r="Q160" s="500"/>
      <c r="R160" s="500"/>
      <c r="S160" s="500"/>
      <c r="T160" s="500"/>
      <c r="U160" s="500"/>
      <c r="V160" s="500"/>
      <c r="W160" s="500"/>
      <c r="X160" s="500"/>
      <c r="Y160" s="500"/>
      <c r="Z160" s="500"/>
      <c r="AA160" s="500"/>
      <c r="AB160" s="500"/>
      <c r="AC160" s="500"/>
    </row>
    <row r="161" spans="1:29">
      <c r="A161" s="500"/>
      <c r="B161" s="500"/>
      <c r="C161" s="500"/>
      <c r="D161" s="500"/>
      <c r="E161" s="500"/>
      <c r="F161" s="500"/>
      <c r="G161" s="500"/>
      <c r="H161" s="500"/>
      <c r="I161" s="500"/>
      <c r="J161" s="500"/>
      <c r="K161" s="500"/>
      <c r="L161" s="500"/>
      <c r="M161" s="500"/>
      <c r="N161" s="500"/>
      <c r="O161" s="500"/>
      <c r="P161" s="500"/>
      <c r="Q161" s="500"/>
      <c r="R161" s="500"/>
      <c r="S161" s="500"/>
      <c r="T161" s="500"/>
      <c r="U161" s="500"/>
      <c r="V161" s="500"/>
      <c r="W161" s="500"/>
      <c r="X161" s="500"/>
      <c r="Y161" s="500"/>
      <c r="Z161" s="500"/>
      <c r="AA161" s="500"/>
      <c r="AB161" s="500"/>
      <c r="AC161" s="500"/>
    </row>
    <row r="162" spans="1:29">
      <c r="A162" s="500"/>
      <c r="B162" s="500"/>
      <c r="C162" s="500"/>
      <c r="D162" s="500"/>
      <c r="E162" s="500"/>
      <c r="F162" s="500"/>
      <c r="G162" s="500"/>
      <c r="H162" s="500"/>
      <c r="I162" s="500"/>
      <c r="J162" s="500"/>
      <c r="K162" s="500"/>
      <c r="L162" s="500"/>
      <c r="M162" s="500"/>
      <c r="N162" s="500"/>
      <c r="O162" s="500"/>
      <c r="P162" s="500"/>
      <c r="Q162" s="500"/>
      <c r="R162" s="500"/>
      <c r="S162" s="500"/>
      <c r="T162" s="500"/>
      <c r="U162" s="500"/>
      <c r="V162" s="500"/>
      <c r="W162" s="500"/>
      <c r="X162" s="500"/>
      <c r="Y162" s="500"/>
      <c r="Z162" s="500"/>
      <c r="AA162" s="500"/>
      <c r="AB162" s="500"/>
      <c r="AC162" s="500"/>
    </row>
    <row r="163" spans="1:29">
      <c r="A163" s="500"/>
      <c r="B163" s="500"/>
      <c r="C163" s="500"/>
      <c r="D163" s="500"/>
      <c r="E163" s="500"/>
      <c r="F163" s="500"/>
      <c r="G163" s="500"/>
      <c r="H163" s="500"/>
      <c r="I163" s="500"/>
      <c r="J163" s="500"/>
      <c r="K163" s="500"/>
      <c r="L163" s="500"/>
      <c r="M163" s="500"/>
      <c r="N163" s="500"/>
      <c r="O163" s="500"/>
      <c r="P163" s="500"/>
      <c r="Q163" s="500"/>
      <c r="R163" s="500"/>
      <c r="S163" s="500"/>
      <c r="T163" s="500"/>
      <c r="U163" s="500"/>
      <c r="V163" s="500"/>
      <c r="W163" s="500"/>
      <c r="X163" s="500"/>
      <c r="Y163" s="500"/>
      <c r="Z163" s="500"/>
      <c r="AA163" s="500"/>
      <c r="AB163" s="500"/>
      <c r="AC163" s="500"/>
    </row>
    <row r="164" spans="1:29">
      <c r="A164" s="500"/>
      <c r="B164" s="500"/>
      <c r="C164" s="500"/>
      <c r="D164" s="500"/>
      <c r="E164" s="500"/>
      <c r="F164" s="500"/>
      <c r="G164" s="500"/>
      <c r="H164" s="500"/>
      <c r="I164" s="500"/>
      <c r="J164" s="500"/>
      <c r="K164" s="500"/>
      <c r="L164" s="500"/>
      <c r="M164" s="500"/>
      <c r="N164" s="500"/>
      <c r="O164" s="500"/>
      <c r="P164" s="500"/>
      <c r="Q164" s="500"/>
      <c r="R164" s="500"/>
      <c r="S164" s="500"/>
      <c r="T164" s="500"/>
      <c r="U164" s="500"/>
      <c r="V164" s="500"/>
      <c r="W164" s="500"/>
      <c r="X164" s="500"/>
      <c r="Y164" s="500"/>
      <c r="Z164" s="500"/>
      <c r="AA164" s="500"/>
      <c r="AB164" s="500"/>
      <c r="AC164" s="500"/>
    </row>
    <row r="165" spans="1:29">
      <c r="A165" s="500"/>
      <c r="B165" s="500"/>
      <c r="C165" s="500"/>
      <c r="D165" s="500"/>
      <c r="E165" s="500"/>
      <c r="F165" s="500"/>
      <c r="G165" s="500"/>
      <c r="H165" s="500"/>
      <c r="I165" s="500"/>
      <c r="J165" s="500"/>
      <c r="K165" s="500"/>
      <c r="L165" s="500"/>
      <c r="M165" s="500"/>
      <c r="N165" s="500"/>
      <c r="O165" s="500"/>
      <c r="P165" s="500"/>
      <c r="Q165" s="500"/>
      <c r="R165" s="500"/>
      <c r="S165" s="500"/>
      <c r="T165" s="500"/>
      <c r="U165" s="500"/>
      <c r="V165" s="500"/>
      <c r="W165" s="500"/>
      <c r="X165" s="500"/>
      <c r="Y165" s="500"/>
      <c r="Z165" s="500"/>
      <c r="AA165" s="500"/>
      <c r="AB165" s="500"/>
      <c r="AC165" s="500"/>
    </row>
    <row r="166" spans="1:29">
      <c r="A166" s="500"/>
      <c r="B166" s="500"/>
      <c r="C166" s="500"/>
      <c r="D166" s="500"/>
      <c r="E166" s="500"/>
      <c r="F166" s="500"/>
      <c r="G166" s="500"/>
      <c r="H166" s="500"/>
      <c r="I166" s="500"/>
      <c r="J166" s="500"/>
      <c r="K166" s="500"/>
      <c r="L166" s="500"/>
      <c r="M166" s="500"/>
      <c r="N166" s="500"/>
      <c r="O166" s="500"/>
      <c r="P166" s="500"/>
      <c r="Q166" s="500"/>
      <c r="R166" s="500"/>
      <c r="S166" s="500"/>
      <c r="T166" s="500"/>
      <c r="U166" s="500"/>
      <c r="V166" s="500"/>
      <c r="W166" s="500"/>
      <c r="X166" s="500"/>
      <c r="Y166" s="500"/>
      <c r="Z166" s="500"/>
      <c r="AA166" s="500"/>
      <c r="AB166" s="500"/>
      <c r="AC166" s="500"/>
    </row>
    <row r="167" spans="1:29">
      <c r="A167" s="500"/>
      <c r="B167" s="500"/>
      <c r="C167" s="500"/>
      <c r="D167" s="500"/>
      <c r="E167" s="500"/>
      <c r="F167" s="500"/>
      <c r="G167" s="500"/>
      <c r="H167" s="500"/>
      <c r="I167" s="500"/>
      <c r="J167" s="500"/>
      <c r="K167" s="500"/>
      <c r="L167" s="500"/>
      <c r="M167" s="500"/>
      <c r="N167" s="500"/>
      <c r="O167" s="500"/>
      <c r="P167" s="500"/>
      <c r="Q167" s="500"/>
      <c r="R167" s="500"/>
      <c r="S167" s="500"/>
      <c r="T167" s="500"/>
      <c r="U167" s="500"/>
      <c r="V167" s="500"/>
      <c r="W167" s="500"/>
      <c r="X167" s="500"/>
      <c r="Y167" s="500"/>
      <c r="Z167" s="500"/>
      <c r="AA167" s="500"/>
      <c r="AB167" s="500"/>
      <c r="AC167" s="500"/>
    </row>
    <row r="168" spans="1:29">
      <c r="A168" s="500"/>
      <c r="B168" s="500"/>
      <c r="C168" s="500"/>
      <c r="D168" s="500"/>
      <c r="E168" s="500"/>
      <c r="F168" s="500"/>
      <c r="G168" s="500"/>
      <c r="H168" s="500"/>
      <c r="I168" s="500"/>
      <c r="J168" s="500"/>
      <c r="K168" s="500"/>
      <c r="L168" s="500"/>
      <c r="M168" s="500"/>
      <c r="N168" s="500"/>
      <c r="O168" s="500"/>
      <c r="P168" s="500"/>
      <c r="Q168" s="500"/>
      <c r="R168" s="500"/>
      <c r="S168" s="500"/>
      <c r="T168" s="500"/>
      <c r="U168" s="500"/>
      <c r="V168" s="500"/>
      <c r="W168" s="500"/>
      <c r="X168" s="500"/>
      <c r="Y168" s="500"/>
      <c r="Z168" s="500"/>
      <c r="AA168" s="500"/>
      <c r="AB168" s="500"/>
      <c r="AC168" s="500"/>
    </row>
    <row r="169" spans="1:29">
      <c r="A169" s="500"/>
      <c r="B169" s="500"/>
      <c r="C169" s="500"/>
      <c r="D169" s="500"/>
      <c r="E169" s="500"/>
      <c r="F169" s="500"/>
      <c r="G169" s="500"/>
      <c r="H169" s="500"/>
      <c r="I169" s="500"/>
      <c r="J169" s="500"/>
      <c r="K169" s="500"/>
      <c r="L169" s="500"/>
      <c r="M169" s="500"/>
      <c r="N169" s="500"/>
      <c r="O169" s="500"/>
      <c r="P169" s="500"/>
      <c r="Q169" s="500"/>
      <c r="R169" s="500"/>
      <c r="S169" s="500"/>
      <c r="T169" s="500"/>
      <c r="U169" s="500"/>
      <c r="V169" s="500"/>
      <c r="W169" s="500"/>
      <c r="X169" s="500"/>
      <c r="Y169" s="500"/>
      <c r="Z169" s="500"/>
      <c r="AA169" s="500"/>
      <c r="AB169" s="500"/>
      <c r="AC169" s="500"/>
    </row>
    <row r="170" spans="1:29">
      <c r="A170" s="500"/>
      <c r="B170" s="500"/>
      <c r="C170" s="500"/>
      <c r="D170" s="500"/>
      <c r="E170" s="500"/>
      <c r="F170" s="500"/>
      <c r="G170" s="500"/>
      <c r="H170" s="500"/>
      <c r="I170" s="500"/>
      <c r="J170" s="500"/>
      <c r="K170" s="500"/>
      <c r="L170" s="500"/>
      <c r="M170" s="500"/>
      <c r="N170" s="500"/>
      <c r="O170" s="500"/>
      <c r="P170" s="500"/>
      <c r="Q170" s="500"/>
      <c r="R170" s="500"/>
      <c r="S170" s="500"/>
      <c r="T170" s="500"/>
      <c r="U170" s="500"/>
      <c r="V170" s="500"/>
      <c r="W170" s="500"/>
      <c r="X170" s="500"/>
      <c r="Y170" s="500"/>
      <c r="Z170" s="500"/>
      <c r="AA170" s="500"/>
      <c r="AB170" s="500"/>
      <c r="AC170" s="500"/>
    </row>
    <row r="171" spans="1:29">
      <c r="A171" s="500"/>
      <c r="B171" s="500"/>
      <c r="C171" s="500"/>
      <c r="D171" s="500"/>
      <c r="E171" s="500"/>
      <c r="F171" s="500"/>
      <c r="G171" s="500"/>
      <c r="H171" s="500"/>
      <c r="I171" s="500"/>
      <c r="J171" s="500"/>
      <c r="K171" s="500"/>
      <c r="L171" s="500"/>
      <c r="M171" s="500"/>
      <c r="N171" s="500"/>
      <c r="O171" s="500"/>
      <c r="P171" s="500"/>
      <c r="Q171" s="500"/>
      <c r="R171" s="500"/>
      <c r="S171" s="500"/>
      <c r="T171" s="500"/>
      <c r="U171" s="500"/>
      <c r="V171" s="500"/>
      <c r="W171" s="500"/>
      <c r="X171" s="500"/>
      <c r="Y171" s="500"/>
      <c r="Z171" s="500"/>
      <c r="AA171" s="500"/>
      <c r="AB171" s="500"/>
      <c r="AC171" s="500"/>
    </row>
    <row r="172" spans="1:29">
      <c r="A172" s="500"/>
      <c r="B172" s="500"/>
      <c r="C172" s="500"/>
      <c r="D172" s="500"/>
      <c r="E172" s="500"/>
      <c r="F172" s="500"/>
      <c r="G172" s="500"/>
      <c r="H172" s="500"/>
      <c r="I172" s="500"/>
      <c r="J172" s="500"/>
      <c r="K172" s="500"/>
      <c r="L172" s="500"/>
      <c r="M172" s="500"/>
      <c r="N172" s="500"/>
      <c r="O172" s="500"/>
      <c r="P172" s="500"/>
      <c r="Q172" s="500"/>
      <c r="R172" s="500"/>
      <c r="S172" s="500"/>
      <c r="T172" s="500"/>
      <c r="U172" s="500"/>
      <c r="V172" s="500"/>
      <c r="W172" s="500"/>
      <c r="X172" s="500"/>
      <c r="Y172" s="500"/>
      <c r="Z172" s="500"/>
      <c r="AA172" s="500"/>
      <c r="AB172" s="500"/>
      <c r="AC172" s="500"/>
    </row>
    <row r="173" spans="1:29">
      <c r="A173" s="500"/>
      <c r="B173" s="500"/>
      <c r="C173" s="500"/>
      <c r="D173" s="500"/>
      <c r="E173" s="500"/>
      <c r="F173" s="500"/>
      <c r="G173" s="500"/>
      <c r="H173" s="500"/>
      <c r="I173" s="500"/>
      <c r="J173" s="500"/>
      <c r="K173" s="500"/>
      <c r="L173" s="500"/>
      <c r="M173" s="500"/>
      <c r="N173" s="500"/>
      <c r="O173" s="500"/>
      <c r="P173" s="500"/>
      <c r="Q173" s="500"/>
      <c r="R173" s="500"/>
      <c r="S173" s="500"/>
      <c r="T173" s="500"/>
      <c r="U173" s="500"/>
      <c r="V173" s="500"/>
      <c r="W173" s="500"/>
      <c r="X173" s="500"/>
      <c r="Y173" s="500"/>
      <c r="Z173" s="500"/>
      <c r="AA173" s="500"/>
      <c r="AB173" s="500"/>
      <c r="AC173" s="500"/>
    </row>
    <row r="174" spans="1:29">
      <c r="A174" s="500"/>
      <c r="B174" s="500"/>
      <c r="C174" s="500"/>
      <c r="D174" s="500"/>
      <c r="E174" s="500"/>
      <c r="F174" s="500"/>
      <c r="G174" s="500"/>
      <c r="H174" s="500"/>
      <c r="I174" s="500"/>
      <c r="J174" s="500"/>
      <c r="K174" s="500"/>
      <c r="L174" s="500"/>
      <c r="M174" s="500"/>
      <c r="N174" s="500"/>
      <c r="O174" s="500"/>
      <c r="P174" s="500"/>
      <c r="Q174" s="500"/>
      <c r="R174" s="500"/>
      <c r="S174" s="500"/>
      <c r="T174" s="500"/>
      <c r="U174" s="500"/>
      <c r="V174" s="500"/>
      <c r="W174" s="500"/>
      <c r="X174" s="500"/>
      <c r="Y174" s="500"/>
      <c r="Z174" s="500"/>
      <c r="AA174" s="500"/>
      <c r="AB174" s="500"/>
      <c r="AC174" s="500"/>
    </row>
    <row r="175" spans="1:29">
      <c r="A175" s="500"/>
      <c r="B175" s="500"/>
      <c r="C175" s="500"/>
      <c r="D175" s="500"/>
      <c r="E175" s="500"/>
      <c r="F175" s="500"/>
      <c r="G175" s="500"/>
      <c r="H175" s="500"/>
      <c r="I175" s="500"/>
      <c r="J175" s="500"/>
      <c r="K175" s="500"/>
      <c r="L175" s="500"/>
      <c r="M175" s="500"/>
      <c r="N175" s="500"/>
      <c r="O175" s="500"/>
      <c r="P175" s="500"/>
      <c r="Q175" s="500"/>
      <c r="R175" s="500"/>
      <c r="S175" s="500"/>
      <c r="T175" s="500"/>
      <c r="U175" s="500"/>
      <c r="V175" s="500"/>
      <c r="W175" s="500"/>
      <c r="X175" s="500"/>
      <c r="Y175" s="500"/>
      <c r="Z175" s="500"/>
      <c r="AA175" s="500"/>
      <c r="AB175" s="500"/>
      <c r="AC175" s="500"/>
    </row>
    <row r="176" spans="1:29">
      <c r="A176" s="500"/>
      <c r="B176" s="500"/>
      <c r="C176" s="500"/>
      <c r="D176" s="500"/>
      <c r="E176" s="500"/>
      <c r="F176" s="500"/>
      <c r="G176" s="500"/>
      <c r="H176" s="500"/>
      <c r="I176" s="500"/>
      <c r="J176" s="500"/>
      <c r="K176" s="500"/>
      <c r="L176" s="500"/>
      <c r="M176" s="500"/>
      <c r="N176" s="500"/>
      <c r="O176" s="500"/>
      <c r="P176" s="500"/>
      <c r="Q176" s="500"/>
      <c r="R176" s="500"/>
      <c r="S176" s="500"/>
      <c r="T176" s="500"/>
      <c r="U176" s="500"/>
      <c r="V176" s="500"/>
      <c r="W176" s="500"/>
      <c r="X176" s="500"/>
      <c r="Y176" s="500"/>
      <c r="Z176" s="500"/>
      <c r="AA176" s="500"/>
      <c r="AB176" s="500"/>
      <c r="AC176" s="500"/>
    </row>
  </sheetData>
  <phoneticPr fontId="19" type="noConversion"/>
  <pageMargins left="1" right="0.75" top="0.98421000000000003" bottom="0" header="0" footer="0"/>
  <pageSetup scale="61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56">
    <tabColor rgb="FFFFC000"/>
    <pageSetUpPr fitToPage="1"/>
  </sheetPr>
  <dimension ref="A1:AC228"/>
  <sheetViews>
    <sheetView zoomScaleNormal="100" workbookViewId="0"/>
  </sheetViews>
  <sheetFormatPr defaultColWidth="8" defaultRowHeight="13.2"/>
  <cols>
    <col min="1" max="1" width="5.5546875" customWidth="1"/>
    <col min="2" max="2" width="23.5546875" customWidth="1"/>
    <col min="3" max="4" width="11.5546875" customWidth="1"/>
    <col min="5" max="5" width="15.5546875" customWidth="1"/>
    <col min="6" max="6" width="13.44140625" customWidth="1"/>
    <col min="7" max="7" width="11.5546875" customWidth="1"/>
    <col min="8" max="8" width="15" customWidth="1"/>
    <col min="9" max="9" width="14.5546875" customWidth="1"/>
    <col min="10" max="10" width="15" customWidth="1"/>
    <col min="11" max="11" width="13.44140625" customWidth="1"/>
    <col min="12" max="12" width="8" customWidth="1"/>
    <col min="13" max="13" width="6.44140625" customWidth="1"/>
    <col min="14" max="14" width="47.44140625" customWidth="1"/>
    <col min="15" max="15" width="13.44140625" customWidth="1"/>
    <col min="16" max="27" width="11.5546875" customWidth="1"/>
  </cols>
  <sheetData>
    <row r="1" spans="1:29">
      <c r="A1" s="494" t="str">
        <f>COMPANY</f>
        <v>DUKE ENERGY KENTUCKY, INC.</v>
      </c>
      <c r="B1" s="494"/>
      <c r="C1" s="494"/>
      <c r="D1" s="494"/>
      <c r="E1" s="494"/>
      <c r="F1" s="520"/>
      <c r="G1" s="494"/>
      <c r="H1" s="494"/>
      <c r="I1" s="494"/>
      <c r="J1" s="494"/>
      <c r="K1" s="494"/>
      <c r="L1" s="492"/>
      <c r="M1" s="492"/>
      <c r="N1" s="492"/>
      <c r="O1" s="492"/>
      <c r="P1" s="492"/>
      <c r="Q1" s="492"/>
      <c r="R1" s="492"/>
      <c r="S1" s="492"/>
      <c r="T1" s="492"/>
      <c r="U1" s="492"/>
      <c r="V1" s="492"/>
      <c r="W1" s="492"/>
      <c r="X1" s="492"/>
      <c r="Y1" s="492"/>
      <c r="Z1" s="492"/>
      <c r="AA1" s="492"/>
      <c r="AB1" s="492"/>
      <c r="AC1" s="492"/>
    </row>
    <row r="2" spans="1:29">
      <c r="A2" s="494" t="str">
        <f>CASE</f>
        <v>CASE NO. 2024-00354</v>
      </c>
      <c r="B2" s="494"/>
      <c r="C2" s="494"/>
      <c r="D2" s="494"/>
      <c r="E2" s="494"/>
      <c r="F2" s="520"/>
      <c r="G2" s="494"/>
      <c r="H2" s="494"/>
      <c r="I2" s="494"/>
      <c r="J2" s="494"/>
      <c r="K2" s="494"/>
      <c r="L2" s="492"/>
      <c r="M2" s="492"/>
      <c r="N2" s="492"/>
      <c r="O2" s="492"/>
      <c r="P2" s="492"/>
      <c r="Q2" s="492"/>
      <c r="R2" s="492"/>
      <c r="S2" s="492"/>
      <c r="T2" s="492"/>
      <c r="U2" s="492"/>
      <c r="V2" s="492"/>
      <c r="W2" s="492"/>
      <c r="X2" s="492"/>
      <c r="Y2" s="492"/>
      <c r="Z2" s="492"/>
      <c r="AA2" s="492"/>
      <c r="AB2" s="492"/>
      <c r="AC2" s="492"/>
    </row>
    <row r="3" spans="1:29">
      <c r="A3" s="494" t="s">
        <v>2628</v>
      </c>
      <c r="B3" s="494"/>
      <c r="C3" s="494"/>
      <c r="D3" s="494"/>
      <c r="E3" s="494"/>
      <c r="F3" s="520"/>
      <c r="G3" s="494"/>
      <c r="H3" s="494"/>
      <c r="I3" s="494"/>
      <c r="J3" s="494"/>
      <c r="K3" s="494"/>
      <c r="L3" s="492"/>
      <c r="M3" s="492"/>
      <c r="N3" s="492"/>
      <c r="O3" s="492"/>
      <c r="P3" s="492"/>
      <c r="Q3" s="492"/>
      <c r="R3" s="492"/>
      <c r="S3" s="492"/>
      <c r="T3" s="492"/>
      <c r="U3" s="492"/>
      <c r="V3" s="492"/>
      <c r="W3" s="492"/>
      <c r="X3" s="492"/>
      <c r="Y3" s="492"/>
      <c r="Z3" s="492"/>
      <c r="AA3" s="492"/>
      <c r="AB3" s="492"/>
      <c r="AC3" s="492"/>
    </row>
    <row r="4" spans="1:29">
      <c r="A4" s="494" t="str">
        <f>PERIOD</f>
        <v>FOR THE TWELVE MONTHS ENDED FEBRUARY 28, 2025</v>
      </c>
      <c r="B4" s="494"/>
      <c r="C4" s="494"/>
      <c r="D4" s="494"/>
      <c r="E4" s="494"/>
      <c r="F4" s="520"/>
      <c r="G4" s="494"/>
      <c r="H4" s="494"/>
      <c r="I4" s="494"/>
      <c r="J4" s="494"/>
      <c r="K4" s="494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  <c r="Z4" s="492"/>
      <c r="AA4" s="492"/>
      <c r="AB4" s="492"/>
      <c r="AC4" s="492"/>
    </row>
    <row r="5" spans="1:29">
      <c r="A5" s="494"/>
      <c r="B5" s="494"/>
      <c r="C5" s="494"/>
      <c r="D5" s="494"/>
      <c r="E5" s="494"/>
      <c r="F5" s="494"/>
      <c r="G5" s="494"/>
      <c r="H5" s="494"/>
      <c r="I5" s="494"/>
      <c r="J5" s="494"/>
      <c r="K5" s="494"/>
      <c r="L5" s="492"/>
      <c r="M5" s="492"/>
      <c r="N5" s="492"/>
      <c r="O5" s="492"/>
      <c r="P5" s="492"/>
      <c r="Q5" s="492"/>
      <c r="R5" s="492"/>
      <c r="S5" s="492"/>
      <c r="T5" s="492"/>
      <c r="U5" s="492"/>
      <c r="V5" s="492"/>
      <c r="W5" s="492"/>
      <c r="X5" s="492"/>
      <c r="Y5" s="492"/>
      <c r="Z5" s="492"/>
      <c r="AA5" s="492"/>
      <c r="AB5" s="492"/>
      <c r="AC5" s="492"/>
    </row>
    <row r="6" spans="1:29">
      <c r="A6" s="492"/>
      <c r="B6" s="492"/>
      <c r="C6" s="492"/>
      <c r="D6" s="492"/>
      <c r="E6" s="492"/>
      <c r="F6" s="492"/>
      <c r="G6" s="492"/>
      <c r="H6" s="492"/>
      <c r="I6" s="492"/>
      <c r="J6" s="492"/>
      <c r="K6" s="492"/>
      <c r="L6" s="492"/>
      <c r="M6" s="492"/>
      <c r="N6" s="492"/>
      <c r="O6" s="492"/>
      <c r="P6" s="492"/>
      <c r="Q6" s="492"/>
      <c r="R6" s="492"/>
      <c r="S6" s="492"/>
      <c r="T6" s="492"/>
      <c r="U6" s="492"/>
      <c r="V6" s="492"/>
      <c r="W6" s="492"/>
      <c r="X6" s="492"/>
      <c r="Y6" s="492"/>
      <c r="Z6" s="492"/>
      <c r="AA6" s="492"/>
      <c r="AB6" s="492"/>
      <c r="AC6" s="492"/>
    </row>
    <row r="7" spans="1:29">
      <c r="A7" s="492" t="str">
        <f>Data</f>
        <v>DATA: "X" BASE PERIOD   FORECASTED PERIOD</v>
      </c>
      <c r="B7" s="492"/>
      <c r="C7" s="492"/>
      <c r="D7" s="492"/>
      <c r="E7" s="492"/>
      <c r="F7" s="492"/>
      <c r="G7" s="492"/>
      <c r="H7" s="492"/>
      <c r="I7" s="434"/>
      <c r="J7" s="434" t="s">
        <v>2629</v>
      </c>
      <c r="K7" s="492"/>
      <c r="L7" s="492"/>
      <c r="M7" s="492"/>
      <c r="N7" s="492"/>
      <c r="O7" s="492"/>
      <c r="P7" s="492"/>
      <c r="Q7" s="492"/>
      <c r="R7" s="492"/>
      <c r="S7" s="492"/>
      <c r="T7" s="492"/>
      <c r="U7" s="492"/>
      <c r="V7" s="492"/>
      <c r="W7" s="492"/>
      <c r="X7" s="492"/>
      <c r="Y7" s="492"/>
      <c r="Z7" s="492"/>
      <c r="AA7" s="492"/>
      <c r="AB7" s="492"/>
      <c r="AC7" s="492"/>
    </row>
    <row r="8" spans="1:29">
      <c r="A8" s="492" t="str">
        <f>LOGO!$B$15</f>
        <v xml:space="preserve">TYPE OF FILING:  "X" ORIGINAL   UPDATED    REVISED  </v>
      </c>
      <c r="B8" s="492"/>
      <c r="C8" s="492"/>
      <c r="D8" s="492"/>
      <c r="E8" s="492"/>
      <c r="F8" s="492"/>
      <c r="G8" s="492"/>
      <c r="H8" s="492"/>
      <c r="I8" s="434"/>
      <c r="J8" s="434" t="s">
        <v>571</v>
      </c>
      <c r="K8" s="492"/>
      <c r="L8" s="492"/>
      <c r="M8" s="492"/>
      <c r="N8" s="492"/>
      <c r="O8" s="492"/>
      <c r="P8" s="492"/>
      <c r="Q8" s="492"/>
      <c r="R8" s="492"/>
      <c r="S8" s="492"/>
      <c r="T8" s="492"/>
      <c r="U8" s="492"/>
      <c r="V8" s="492"/>
      <c r="W8" s="492"/>
      <c r="X8" s="492"/>
      <c r="Y8" s="492"/>
      <c r="Z8" s="492"/>
      <c r="AA8" s="492"/>
      <c r="AB8" s="492"/>
      <c r="AC8" s="492"/>
    </row>
    <row r="9" spans="1:29">
      <c r="A9" s="434" t="s">
        <v>2630</v>
      </c>
      <c r="B9" s="492"/>
      <c r="C9" s="492"/>
      <c r="D9" s="492"/>
      <c r="E9" s="492"/>
      <c r="F9" s="492"/>
      <c r="G9" s="492"/>
      <c r="H9" s="492"/>
      <c r="I9" s="434"/>
      <c r="J9" s="434" t="s">
        <v>468</v>
      </c>
      <c r="K9" s="492"/>
      <c r="L9" s="492"/>
      <c r="M9" s="492"/>
      <c r="N9" s="492"/>
      <c r="O9" s="492"/>
      <c r="P9" s="492"/>
      <c r="Q9" s="492"/>
      <c r="R9" s="492"/>
      <c r="S9" s="492"/>
      <c r="T9" s="492"/>
      <c r="U9" s="492"/>
      <c r="V9" s="492"/>
      <c r="W9" s="492"/>
      <c r="X9" s="492"/>
      <c r="Y9" s="492"/>
      <c r="Z9" s="492"/>
      <c r="AA9" s="492"/>
      <c r="AB9" s="492"/>
      <c r="AC9" s="492"/>
    </row>
    <row r="10" spans="1:29">
      <c r="A10" s="492"/>
      <c r="B10" s="492"/>
      <c r="C10" s="492"/>
      <c r="D10" s="492"/>
      <c r="E10" s="492"/>
      <c r="F10" s="492"/>
      <c r="G10" s="492"/>
      <c r="H10" s="492"/>
      <c r="I10" s="434"/>
      <c r="J10" s="434" t="str">
        <f>_WIT1</f>
        <v>L. D. STEINKUHL</v>
      </c>
      <c r="K10" s="492"/>
      <c r="L10" s="492"/>
      <c r="M10" s="492"/>
      <c r="N10" s="492"/>
      <c r="O10" s="492"/>
      <c r="P10" s="492"/>
      <c r="Q10" s="492"/>
      <c r="R10" s="492"/>
      <c r="S10" s="492"/>
      <c r="T10" s="492"/>
      <c r="U10" s="492"/>
      <c r="V10" s="492"/>
      <c r="W10" s="492"/>
      <c r="X10" s="492"/>
      <c r="Y10" s="492"/>
      <c r="Z10" s="492"/>
      <c r="AA10" s="492"/>
      <c r="AB10" s="492"/>
      <c r="AC10" s="492"/>
    </row>
    <row r="11" spans="1:29">
      <c r="A11" s="1571"/>
      <c r="B11" s="1571"/>
      <c r="C11" s="1571"/>
      <c r="D11" s="1571"/>
      <c r="E11" s="1571"/>
      <c r="F11" s="1571"/>
      <c r="G11" s="1571"/>
      <c r="H11" s="1571"/>
      <c r="I11" s="1571"/>
      <c r="J11" s="1571"/>
      <c r="K11" s="1571"/>
      <c r="L11" s="492"/>
      <c r="M11" s="492"/>
      <c r="N11" s="492"/>
      <c r="O11" s="492"/>
      <c r="P11" s="492"/>
      <c r="Q11" s="492"/>
      <c r="R11" s="492"/>
      <c r="S11" s="492"/>
      <c r="T11" s="492"/>
      <c r="U11" s="492"/>
      <c r="V11" s="492"/>
      <c r="W11" s="492"/>
      <c r="X11" s="492"/>
      <c r="Y11" s="492"/>
      <c r="Z11" s="492"/>
      <c r="AA11" s="492"/>
      <c r="AB11" s="492"/>
      <c r="AC11" s="492"/>
    </row>
    <row r="12" spans="1:29">
      <c r="A12" s="492"/>
      <c r="B12" s="495"/>
      <c r="C12" s="2168" t="s">
        <v>2631</v>
      </c>
      <c r="D12" s="2168"/>
      <c r="E12" s="2168"/>
      <c r="F12" s="495" t="s">
        <v>258</v>
      </c>
      <c r="G12" s="495" t="s">
        <v>2632</v>
      </c>
      <c r="H12" s="492"/>
      <c r="I12" s="492"/>
      <c r="J12" s="492"/>
      <c r="K12" s="492"/>
      <c r="L12" s="492"/>
      <c r="M12" s="492"/>
      <c r="N12" s="492"/>
      <c r="O12" s="492"/>
      <c r="P12" s="492"/>
      <c r="Q12" s="492"/>
      <c r="R12" s="492"/>
      <c r="S12" s="492"/>
      <c r="T12" s="492"/>
      <c r="U12" s="492"/>
      <c r="V12" s="492"/>
      <c r="W12" s="492"/>
      <c r="X12" s="492"/>
      <c r="Y12" s="492"/>
      <c r="Z12" s="492"/>
      <c r="AA12" s="492"/>
      <c r="AB12" s="492"/>
      <c r="AC12" s="492"/>
    </row>
    <row r="13" spans="1:29">
      <c r="A13" s="495" t="s">
        <v>573</v>
      </c>
      <c r="B13" s="495"/>
      <c r="C13" s="495" t="s">
        <v>848</v>
      </c>
      <c r="D13" s="495" t="s">
        <v>2225</v>
      </c>
      <c r="E13" s="495"/>
      <c r="F13" s="495" t="s">
        <v>2633</v>
      </c>
      <c r="G13" s="495" t="s">
        <v>799</v>
      </c>
      <c r="H13" s="495" t="s">
        <v>574</v>
      </c>
      <c r="I13" s="495"/>
      <c r="J13" s="495" t="s">
        <v>574</v>
      </c>
      <c r="K13" s="495" t="s">
        <v>799</v>
      </c>
      <c r="L13" s="492"/>
      <c r="M13" s="492"/>
      <c r="N13" s="492"/>
      <c r="O13" s="492"/>
      <c r="P13" s="492"/>
      <c r="Q13" s="492"/>
      <c r="R13" s="492"/>
      <c r="S13" s="492"/>
      <c r="T13" s="492"/>
      <c r="U13" s="492"/>
      <c r="V13" s="492"/>
      <c r="W13" s="492"/>
      <c r="X13" s="492"/>
      <c r="Y13" s="492"/>
      <c r="Z13" s="492"/>
      <c r="AA13" s="492"/>
      <c r="AB13" s="492"/>
      <c r="AC13" s="492"/>
    </row>
    <row r="14" spans="1:29">
      <c r="A14" s="495" t="s">
        <v>576</v>
      </c>
      <c r="B14" s="495" t="s">
        <v>2</v>
      </c>
      <c r="C14" s="495" t="s">
        <v>2634</v>
      </c>
      <c r="D14" s="495" t="s">
        <v>2635</v>
      </c>
      <c r="E14" s="495" t="s">
        <v>217</v>
      </c>
      <c r="F14" s="495" t="s">
        <v>416</v>
      </c>
      <c r="G14" s="495" t="s">
        <v>2636</v>
      </c>
      <c r="H14" s="495" t="s">
        <v>416</v>
      </c>
      <c r="I14" s="495" t="s">
        <v>578</v>
      </c>
      <c r="J14" s="495" t="s">
        <v>575</v>
      </c>
      <c r="K14" s="495" t="s">
        <v>256</v>
      </c>
      <c r="L14" s="492"/>
      <c r="M14" s="492"/>
      <c r="N14" s="492"/>
      <c r="O14" s="492"/>
      <c r="P14" s="492"/>
      <c r="Q14" s="492"/>
      <c r="R14" s="492"/>
      <c r="S14" s="492"/>
      <c r="T14" s="492"/>
      <c r="U14" s="492"/>
      <c r="V14" s="492"/>
      <c r="W14" s="492"/>
      <c r="X14" s="492"/>
      <c r="Y14" s="492"/>
      <c r="Z14" s="492"/>
      <c r="AA14" s="492"/>
      <c r="AB14" s="492"/>
      <c r="AC14" s="492"/>
    </row>
    <row r="15" spans="1:29">
      <c r="A15" s="1571"/>
      <c r="B15" s="1571"/>
      <c r="C15" s="1571"/>
      <c r="D15" s="1571"/>
      <c r="E15" s="1571"/>
      <c r="F15" s="1571"/>
      <c r="G15" s="1571"/>
      <c r="H15" s="1571"/>
      <c r="I15" s="1571"/>
      <c r="J15" s="1571"/>
      <c r="K15" s="1571"/>
      <c r="L15" s="492"/>
      <c r="M15" s="492"/>
      <c r="N15" s="492"/>
      <c r="O15" s="492"/>
      <c r="P15" s="492"/>
      <c r="Q15" s="492"/>
      <c r="R15" s="492"/>
      <c r="S15" s="492"/>
      <c r="T15" s="492"/>
      <c r="U15" s="492"/>
      <c r="V15" s="492"/>
      <c r="W15" s="492"/>
      <c r="X15" s="492"/>
      <c r="Y15" s="492"/>
      <c r="Z15" s="492"/>
      <c r="AA15" s="492"/>
      <c r="AB15" s="492"/>
      <c r="AC15" s="492"/>
    </row>
    <row r="16" spans="1:29">
      <c r="A16" s="492"/>
      <c r="B16" s="492"/>
      <c r="C16" s="495" t="s">
        <v>1371</v>
      </c>
      <c r="D16" s="495" t="s">
        <v>1371</v>
      </c>
      <c r="E16" s="495" t="s">
        <v>1371</v>
      </c>
      <c r="F16" s="495" t="s">
        <v>1371</v>
      </c>
      <c r="G16" s="495"/>
      <c r="H16" s="495" t="s">
        <v>1371</v>
      </c>
      <c r="I16" s="495" t="s">
        <v>1371</v>
      </c>
      <c r="J16" s="495" t="s">
        <v>1371</v>
      </c>
      <c r="K16" s="492"/>
      <c r="L16" s="492"/>
      <c r="M16" s="492"/>
      <c r="N16" s="492"/>
      <c r="O16" s="492"/>
      <c r="P16" s="492"/>
      <c r="Q16" s="492"/>
      <c r="R16" s="492"/>
      <c r="S16" s="492"/>
      <c r="T16" s="492"/>
      <c r="U16" s="492"/>
      <c r="V16" s="492"/>
      <c r="W16" s="492"/>
      <c r="X16" s="492"/>
      <c r="Y16" s="492"/>
      <c r="Z16" s="492"/>
      <c r="AA16" s="492"/>
      <c r="AB16" s="492"/>
      <c r="AC16" s="492"/>
    </row>
    <row r="17" spans="1:29">
      <c r="A17" s="495">
        <v>1</v>
      </c>
      <c r="B17" s="522"/>
      <c r="C17" s="492"/>
      <c r="D17" s="492"/>
      <c r="E17" s="492"/>
      <c r="F17" s="492"/>
      <c r="G17" s="492"/>
      <c r="H17" s="492"/>
      <c r="I17" s="492"/>
      <c r="J17" s="492"/>
      <c r="K17" s="492"/>
      <c r="L17" s="492"/>
      <c r="M17" s="492"/>
      <c r="N17" s="492"/>
      <c r="O17" s="492"/>
      <c r="P17" s="492"/>
      <c r="Q17" s="492"/>
      <c r="R17" s="492"/>
      <c r="S17" s="492"/>
      <c r="T17" s="492"/>
      <c r="U17" s="492"/>
      <c r="V17" s="492"/>
      <c r="W17" s="492"/>
      <c r="X17" s="492"/>
      <c r="Y17" s="492"/>
      <c r="Z17" s="492"/>
      <c r="AA17" s="492"/>
      <c r="AB17" s="492"/>
      <c r="AC17" s="492"/>
    </row>
    <row r="18" spans="1:29">
      <c r="A18" s="495">
        <v>2</v>
      </c>
      <c r="B18" s="716" t="s">
        <v>2637</v>
      </c>
      <c r="C18" s="496">
        <v>0</v>
      </c>
      <c r="D18" s="496">
        <v>0</v>
      </c>
      <c r="E18" s="493">
        <f>O67</f>
        <v>79803</v>
      </c>
      <c r="F18" s="493">
        <f>SUM(C18:E18)</f>
        <v>79803</v>
      </c>
      <c r="G18" s="871">
        <f>VLOOKUP(K18,ALLOCTABLE,2)</f>
        <v>100</v>
      </c>
      <c r="H18" s="498">
        <f>ROUND(F18*(G18/100),0)</f>
        <v>79803</v>
      </c>
      <c r="I18" s="496">
        <v>0</v>
      </c>
      <c r="J18" s="498">
        <f>H18+I18</f>
        <v>79803</v>
      </c>
      <c r="K18" s="497" t="s">
        <v>428</v>
      </c>
      <c r="L18" s="492"/>
      <c r="M18" s="492"/>
      <c r="N18" s="492"/>
      <c r="O18" s="492"/>
      <c r="P18" s="492"/>
      <c r="Q18" s="492"/>
      <c r="R18" s="492"/>
      <c r="S18" s="492"/>
      <c r="T18" s="492"/>
      <c r="U18" s="492"/>
      <c r="V18" s="492"/>
      <c r="W18" s="492"/>
      <c r="X18" s="492"/>
      <c r="Y18" s="492"/>
      <c r="Z18" s="492"/>
      <c r="AA18" s="492"/>
      <c r="AB18" s="492"/>
      <c r="AC18" s="492"/>
    </row>
    <row r="19" spans="1:29">
      <c r="A19" s="495">
        <v>3</v>
      </c>
      <c r="B19" s="716"/>
      <c r="C19" s="496"/>
      <c r="D19" s="496"/>
      <c r="E19" s="493"/>
      <c r="F19" s="493"/>
      <c r="G19" s="871"/>
      <c r="H19" s="498"/>
      <c r="I19" s="496"/>
      <c r="J19" s="498"/>
      <c r="K19" s="497"/>
      <c r="L19" s="492"/>
      <c r="M19" s="492"/>
      <c r="N19" s="492"/>
      <c r="O19" s="492"/>
      <c r="P19" s="492"/>
      <c r="Q19" s="492"/>
      <c r="R19" s="492"/>
      <c r="S19" s="492"/>
      <c r="T19" s="492"/>
      <c r="U19" s="492"/>
      <c r="V19" s="492"/>
      <c r="W19" s="492"/>
      <c r="X19" s="492"/>
      <c r="Y19" s="492"/>
      <c r="Z19" s="492"/>
      <c r="AA19" s="492"/>
      <c r="AB19" s="492"/>
      <c r="AC19" s="492"/>
    </row>
    <row r="20" spans="1:29">
      <c r="A20" s="495">
        <v>4</v>
      </c>
      <c r="B20" s="434" t="s">
        <v>2638</v>
      </c>
      <c r="C20" s="496">
        <v>0</v>
      </c>
      <c r="D20" s="496">
        <v>0</v>
      </c>
      <c r="E20" s="493">
        <f>O71</f>
        <v>0</v>
      </c>
      <c r="F20" s="493">
        <f>SUM(C20:E20)</f>
        <v>0</v>
      </c>
      <c r="G20" s="871">
        <f>VLOOKUP(K20,ALLOCTABLE,2)</f>
        <v>100</v>
      </c>
      <c r="H20" s="498">
        <f>ROUND(F20*(G20/100),0)</f>
        <v>0</v>
      </c>
      <c r="I20" s="496">
        <v>0</v>
      </c>
      <c r="J20" s="498">
        <f>H20+I20</f>
        <v>0</v>
      </c>
      <c r="K20" s="497" t="s">
        <v>428</v>
      </c>
      <c r="L20" s="492"/>
      <c r="M20" s="492"/>
      <c r="N20" s="492"/>
      <c r="O20" s="492"/>
      <c r="P20" s="492"/>
      <c r="Q20" s="492"/>
      <c r="R20" s="492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</row>
    <row r="21" spans="1:29">
      <c r="A21" s="495">
        <v>5</v>
      </c>
      <c r="B21" s="872"/>
      <c r="C21" s="523"/>
      <c r="D21" s="523"/>
      <c r="E21" s="493"/>
      <c r="F21" s="493"/>
      <c r="G21" s="871"/>
      <c r="H21" s="498"/>
      <c r="I21" s="523"/>
      <c r="J21" s="498"/>
      <c r="K21" s="497"/>
      <c r="L21" s="492"/>
      <c r="M21" s="492"/>
      <c r="N21" s="492"/>
      <c r="O21" s="492"/>
      <c r="P21" s="492"/>
      <c r="Q21" s="492"/>
      <c r="R21" s="492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</row>
    <row r="22" spans="1:29">
      <c r="A22" s="495">
        <v>6</v>
      </c>
      <c r="B22" s="434" t="s">
        <v>1686</v>
      </c>
      <c r="C22" s="496">
        <v>0</v>
      </c>
      <c r="D22" s="496">
        <v>0</v>
      </c>
      <c r="E22" s="493">
        <f>O75</f>
        <v>0</v>
      </c>
      <c r="F22" s="493">
        <f>SUM(C22:E22)</f>
        <v>0</v>
      </c>
      <c r="G22" s="871">
        <f>VLOOKUP(K22,ALLOCTABLE,2)</f>
        <v>100</v>
      </c>
      <c r="H22" s="498">
        <f>ROUND(F22*(G22/100),0)</f>
        <v>0</v>
      </c>
      <c r="I22" s="496">
        <v>0</v>
      </c>
      <c r="J22" s="498">
        <f>H22+I22</f>
        <v>0</v>
      </c>
      <c r="K22" s="497" t="s">
        <v>428</v>
      </c>
      <c r="L22" s="492"/>
      <c r="M22" s="492"/>
      <c r="N22" s="492"/>
      <c r="O22" s="492"/>
      <c r="P22" s="492"/>
      <c r="Q22" s="492"/>
      <c r="R22" s="492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</row>
    <row r="23" spans="1:29">
      <c r="A23" s="495">
        <v>7</v>
      </c>
      <c r="B23" s="434"/>
      <c r="C23" s="523"/>
      <c r="D23" s="523"/>
      <c r="E23" s="498"/>
      <c r="F23" s="498"/>
      <c r="G23" s="492"/>
      <c r="H23" s="492"/>
      <c r="I23" s="523"/>
      <c r="J23" s="492"/>
      <c r="K23" s="492"/>
      <c r="L23" s="492"/>
      <c r="M23" s="492"/>
      <c r="N23" s="492"/>
      <c r="O23" s="492"/>
      <c r="P23" s="492"/>
      <c r="Q23" s="492"/>
      <c r="R23" s="492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</row>
    <row r="24" spans="1:29">
      <c r="A24" s="495">
        <v>8</v>
      </c>
      <c r="B24" s="716" t="s">
        <v>217</v>
      </c>
      <c r="C24" s="873">
        <v>0</v>
      </c>
      <c r="D24" s="873">
        <v>0</v>
      </c>
      <c r="E24" s="874">
        <f>O119</f>
        <v>2861326</v>
      </c>
      <c r="F24" s="874">
        <f>SUM(C24:E24)</f>
        <v>2861326</v>
      </c>
      <c r="G24" s="871">
        <f>VLOOKUP(K24,ALLOCTABLE,2)</f>
        <v>100</v>
      </c>
      <c r="H24" s="875">
        <f>ROUND(F24*(G24/100),0)</f>
        <v>2861326</v>
      </c>
      <c r="I24" s="873">
        <v>0</v>
      </c>
      <c r="J24" s="875">
        <f>H24+I24</f>
        <v>2861326</v>
      </c>
      <c r="K24" s="497" t="s">
        <v>428</v>
      </c>
      <c r="L24" s="492"/>
      <c r="M24" s="492"/>
      <c r="N24" s="492"/>
      <c r="O24" s="492"/>
      <c r="P24" s="492"/>
      <c r="Q24" s="492"/>
      <c r="R24" s="492"/>
      <c r="S24" s="492"/>
      <c r="T24" s="492"/>
      <c r="U24" s="492"/>
      <c r="V24" s="492"/>
      <c r="W24" s="492"/>
      <c r="X24" s="492"/>
      <c r="Y24" s="492"/>
      <c r="Z24" s="492"/>
      <c r="AA24" s="492"/>
      <c r="AB24" s="492"/>
      <c r="AC24" s="492"/>
    </row>
    <row r="25" spans="1:29">
      <c r="A25" s="495">
        <v>9</v>
      </c>
      <c r="B25" s="876"/>
      <c r="C25" s="496"/>
      <c r="D25" s="496"/>
      <c r="E25" s="496"/>
      <c r="F25" s="493"/>
      <c r="G25" s="877"/>
      <c r="H25" s="498"/>
      <c r="I25" s="498"/>
      <c r="J25" s="498"/>
      <c r="K25" s="497"/>
      <c r="L25" s="492"/>
      <c r="M25" s="492"/>
      <c r="N25" s="492"/>
      <c r="O25" s="492"/>
      <c r="P25" s="492"/>
      <c r="Q25" s="492"/>
      <c r="R25" s="492"/>
      <c r="S25" s="492"/>
      <c r="T25" s="492"/>
      <c r="U25" s="492"/>
      <c r="V25" s="492"/>
      <c r="W25" s="492"/>
      <c r="X25" s="492"/>
      <c r="Y25" s="492"/>
      <c r="Z25" s="492"/>
      <c r="AA25" s="492"/>
      <c r="AB25" s="492"/>
      <c r="AC25" s="492"/>
    </row>
    <row r="26" spans="1:29">
      <c r="A26" s="495">
        <v>10</v>
      </c>
      <c r="B26" s="878" t="s">
        <v>258</v>
      </c>
      <c r="C26" s="879">
        <f>C18+C20+C22+C24</f>
        <v>0</v>
      </c>
      <c r="D26" s="879">
        <f>D18+D20+D22+D24</f>
        <v>0</v>
      </c>
      <c r="E26" s="879">
        <f>E18+E20+E22+E24</f>
        <v>2941129</v>
      </c>
      <c r="F26" s="879">
        <f>F18+F20+F22+F24</f>
        <v>2941129</v>
      </c>
      <c r="G26" s="880"/>
      <c r="H26" s="879">
        <f>H18+H20+H22+H24</f>
        <v>2941129</v>
      </c>
      <c r="I26" s="879">
        <f>I18+I20+I22+I24</f>
        <v>0</v>
      </c>
      <c r="J26" s="879">
        <f>J18+J20+J22+J24</f>
        <v>2941129</v>
      </c>
      <c r="K26" s="496"/>
      <c r="L26" s="492"/>
      <c r="M26" s="492"/>
      <c r="N26" s="492"/>
      <c r="O26" s="492"/>
      <c r="P26" s="492"/>
      <c r="Q26" s="492"/>
      <c r="R26" s="492"/>
      <c r="S26" s="492"/>
      <c r="T26" s="492"/>
      <c r="U26" s="492"/>
      <c r="V26" s="492"/>
      <c r="W26" s="492"/>
      <c r="X26" s="492"/>
      <c r="Y26" s="492"/>
      <c r="Z26" s="492"/>
      <c r="AA26" s="492"/>
      <c r="AB26" s="492"/>
      <c r="AC26" s="492"/>
    </row>
    <row r="27" spans="1:29">
      <c r="A27" s="492"/>
      <c r="B27" s="492"/>
      <c r="C27" s="492"/>
      <c r="D27" s="492"/>
      <c r="E27" s="492"/>
      <c r="F27" s="492"/>
      <c r="G27" s="492"/>
      <c r="H27" s="492"/>
      <c r="I27" s="492"/>
      <c r="J27" s="492"/>
      <c r="K27" s="492"/>
      <c r="L27" s="492"/>
      <c r="M27" s="492"/>
      <c r="N27" s="492"/>
      <c r="O27" s="492"/>
      <c r="P27" s="492"/>
      <c r="Q27" s="492"/>
      <c r="R27" s="492"/>
      <c r="S27" s="492"/>
      <c r="T27" s="492"/>
      <c r="U27" s="492"/>
      <c r="V27" s="492"/>
      <c r="W27" s="492"/>
      <c r="X27" s="492"/>
      <c r="Y27" s="492"/>
      <c r="Z27" s="492"/>
      <c r="AA27" s="492"/>
      <c r="AB27" s="492"/>
      <c r="AC27" s="492"/>
    </row>
    <row r="28" spans="1:29">
      <c r="A28" s="492"/>
      <c r="B28" s="492"/>
      <c r="C28" s="492"/>
      <c r="D28" s="492"/>
      <c r="E28" s="492"/>
      <c r="F28" s="492"/>
      <c r="G28" s="492"/>
      <c r="H28" s="492"/>
      <c r="I28" s="492"/>
      <c r="J28" s="492"/>
      <c r="K28" s="492"/>
      <c r="L28" s="492"/>
      <c r="M28" s="492"/>
      <c r="N28" s="492"/>
      <c r="O28" s="492"/>
      <c r="P28" s="492"/>
      <c r="Q28" s="492"/>
      <c r="R28" s="492"/>
      <c r="S28" s="492"/>
      <c r="T28" s="492"/>
      <c r="U28" s="492"/>
      <c r="V28" s="492"/>
      <c r="W28" s="492"/>
      <c r="X28" s="492"/>
      <c r="Y28" s="492"/>
      <c r="Z28" s="492"/>
      <c r="AA28" s="492"/>
      <c r="AB28" s="492"/>
      <c r="AC28" s="492"/>
    </row>
    <row r="29" spans="1:29">
      <c r="A29" s="494" t="str">
        <f>COMPANY</f>
        <v>DUKE ENERGY KENTUCKY, INC.</v>
      </c>
      <c r="B29" s="494"/>
      <c r="C29" s="494"/>
      <c r="D29" s="494"/>
      <c r="E29" s="494"/>
      <c r="F29" s="520"/>
      <c r="G29" s="494"/>
      <c r="H29" s="494"/>
      <c r="I29" s="494"/>
      <c r="J29" s="494"/>
      <c r="K29" s="494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/>
      <c r="Z29" s="492"/>
      <c r="AA29" s="492"/>
      <c r="AB29" s="492"/>
      <c r="AC29" s="492"/>
    </row>
    <row r="30" spans="1:29">
      <c r="A30" s="494" t="str">
        <f>CASE</f>
        <v>CASE NO. 2024-00354</v>
      </c>
      <c r="B30" s="494"/>
      <c r="C30" s="494"/>
      <c r="D30" s="494"/>
      <c r="E30" s="494"/>
      <c r="F30" s="520"/>
      <c r="G30" s="494"/>
      <c r="H30" s="494"/>
      <c r="I30" s="494"/>
      <c r="J30" s="494"/>
      <c r="K30" s="494"/>
      <c r="L30" s="492"/>
      <c r="M30" s="492"/>
      <c r="N30" s="492"/>
      <c r="O30" s="492"/>
      <c r="P30" s="492"/>
      <c r="Q30" s="492"/>
      <c r="R30" s="492"/>
      <c r="S30" s="492"/>
      <c r="T30" s="492"/>
      <c r="U30" s="492"/>
      <c r="V30" s="492"/>
      <c r="W30" s="492"/>
      <c r="X30" s="492"/>
      <c r="Y30" s="492"/>
      <c r="Z30" s="492"/>
      <c r="AA30" s="492"/>
      <c r="AB30" s="492"/>
      <c r="AC30" s="492"/>
    </row>
    <row r="31" spans="1:29">
      <c r="A31" s="494" t="s">
        <v>2628</v>
      </c>
      <c r="B31" s="494"/>
      <c r="C31" s="494"/>
      <c r="D31" s="494"/>
      <c r="E31" s="494"/>
      <c r="F31" s="520"/>
      <c r="G31" s="494"/>
      <c r="H31" s="494"/>
      <c r="I31" s="494"/>
      <c r="J31" s="494"/>
      <c r="K31" s="494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  <c r="Z31" s="492"/>
      <c r="AA31" s="492"/>
      <c r="AB31" s="492"/>
      <c r="AC31" s="492"/>
    </row>
    <row r="32" spans="1:29">
      <c r="A32" s="494" t="str">
        <f>PeriodF</f>
        <v>FOR THE TWELVE MONTHS ENDED JUNE 30, 2026</v>
      </c>
      <c r="B32" s="494"/>
      <c r="C32" s="494"/>
      <c r="D32" s="494"/>
      <c r="E32" s="494"/>
      <c r="F32" s="520"/>
      <c r="G32" s="494"/>
      <c r="H32" s="494"/>
      <c r="I32" s="494"/>
      <c r="J32" s="494"/>
      <c r="K32" s="494"/>
      <c r="L32" s="492"/>
      <c r="M32" s="492"/>
      <c r="N32" s="492"/>
      <c r="O32" s="492"/>
      <c r="P32" s="492"/>
      <c r="Q32" s="492"/>
      <c r="R32" s="492"/>
      <c r="S32" s="492"/>
      <c r="T32" s="492"/>
      <c r="U32" s="492"/>
      <c r="V32" s="492"/>
      <c r="W32" s="492"/>
      <c r="X32" s="492"/>
      <c r="Y32" s="492"/>
      <c r="Z32" s="492"/>
      <c r="AA32" s="492"/>
      <c r="AB32" s="492"/>
      <c r="AC32" s="492"/>
    </row>
    <row r="33" spans="1:29">
      <c r="A33" s="494"/>
      <c r="B33" s="494"/>
      <c r="C33" s="494"/>
      <c r="D33" s="494"/>
      <c r="E33" s="494"/>
      <c r="F33" s="494"/>
      <c r="G33" s="494"/>
      <c r="H33" s="494"/>
      <c r="I33" s="494"/>
      <c r="J33" s="494"/>
      <c r="K33" s="494"/>
      <c r="L33" s="492"/>
      <c r="M33" s="492"/>
      <c r="N33" s="492"/>
      <c r="O33" s="492"/>
      <c r="P33" s="492"/>
      <c r="Q33" s="492"/>
      <c r="R33" s="492"/>
      <c r="S33" s="492"/>
      <c r="T33" s="492"/>
      <c r="U33" s="492"/>
      <c r="V33" s="492"/>
      <c r="W33" s="492"/>
      <c r="X33" s="492"/>
      <c r="Y33" s="492"/>
      <c r="Z33" s="492"/>
      <c r="AA33" s="492"/>
      <c r="AB33" s="492"/>
      <c r="AC33" s="492"/>
    </row>
    <row r="34" spans="1:29">
      <c r="A34" s="492"/>
      <c r="B34" s="492"/>
      <c r="C34" s="492"/>
      <c r="D34" s="492"/>
      <c r="E34" s="492"/>
      <c r="F34" s="492"/>
      <c r="G34" s="492"/>
      <c r="H34" s="492"/>
      <c r="I34" s="492"/>
      <c r="J34" s="492"/>
      <c r="K34" s="492"/>
      <c r="L34" s="492"/>
      <c r="M34" s="492"/>
      <c r="N34" s="492"/>
      <c r="O34" s="492"/>
      <c r="P34" s="492"/>
      <c r="Q34" s="492"/>
      <c r="R34" s="492"/>
      <c r="S34" s="492"/>
      <c r="T34" s="492"/>
      <c r="U34" s="492"/>
      <c r="V34" s="492"/>
      <c r="W34" s="492"/>
      <c r="X34" s="492"/>
      <c r="Y34" s="492"/>
      <c r="Z34" s="492"/>
      <c r="AA34" s="492"/>
      <c r="AB34" s="492"/>
      <c r="AC34" s="492"/>
    </row>
    <row r="35" spans="1:29">
      <c r="A35" s="492" t="str">
        <f>DataF</f>
        <v>DATA:  BASE PERIOD  "X" FORECASTED PERIOD</v>
      </c>
      <c r="B35" s="492"/>
      <c r="C35" s="492"/>
      <c r="D35" s="492"/>
      <c r="E35" s="492"/>
      <c r="F35" s="492"/>
      <c r="G35" s="492"/>
      <c r="H35" s="492"/>
      <c r="I35" s="434"/>
      <c r="J35" s="434" t="s">
        <v>2629</v>
      </c>
      <c r="K35" s="492"/>
      <c r="L35" s="492"/>
      <c r="M35" s="492"/>
      <c r="N35" s="492"/>
      <c r="O35" s="492"/>
      <c r="P35" s="492"/>
      <c r="Q35" s="492"/>
      <c r="R35" s="492"/>
      <c r="S35" s="492"/>
      <c r="T35" s="492"/>
      <c r="U35" s="492"/>
      <c r="V35" s="492"/>
      <c r="W35" s="492"/>
      <c r="X35" s="492"/>
      <c r="Y35" s="492"/>
      <c r="Z35" s="492"/>
      <c r="AA35" s="492"/>
      <c r="AB35" s="492"/>
      <c r="AC35" s="492"/>
    </row>
    <row r="36" spans="1:29">
      <c r="A36" s="492" t="str">
        <f>LOGO!$B$15</f>
        <v xml:space="preserve">TYPE OF FILING:  "X" ORIGINAL   UPDATED    REVISED  </v>
      </c>
      <c r="B36" s="492"/>
      <c r="C36" s="492"/>
      <c r="D36" s="492"/>
      <c r="E36" s="492"/>
      <c r="F36" s="492"/>
      <c r="G36" s="492"/>
      <c r="H36" s="492"/>
      <c r="I36" s="434"/>
      <c r="J36" s="434" t="s">
        <v>590</v>
      </c>
      <c r="K36" s="492"/>
      <c r="L36" s="492"/>
      <c r="M36" s="492"/>
      <c r="N36" s="492"/>
      <c r="O36" s="492"/>
      <c r="P36" s="492"/>
      <c r="Q36" s="492"/>
      <c r="R36" s="492"/>
      <c r="S36" s="492"/>
      <c r="T36" s="492"/>
      <c r="U36" s="492"/>
      <c r="V36" s="492"/>
      <c r="W36" s="492"/>
      <c r="X36" s="492"/>
      <c r="Y36" s="492"/>
      <c r="Z36" s="492"/>
      <c r="AA36" s="492"/>
      <c r="AB36" s="492"/>
      <c r="AC36" s="492"/>
    </row>
    <row r="37" spans="1:29">
      <c r="A37" s="434" t="s">
        <v>2639</v>
      </c>
      <c r="B37" s="492"/>
      <c r="C37" s="492"/>
      <c r="D37" s="492"/>
      <c r="E37" s="492"/>
      <c r="F37" s="492"/>
      <c r="G37" s="492"/>
      <c r="H37" s="492"/>
      <c r="I37" s="434"/>
      <c r="J37" s="434" t="s">
        <v>468</v>
      </c>
      <c r="K37" s="492"/>
      <c r="L37" s="492"/>
      <c r="M37" s="492"/>
      <c r="N37" s="492"/>
      <c r="O37" s="492"/>
      <c r="P37" s="492"/>
      <c r="Q37" s="492"/>
      <c r="R37" s="492"/>
      <c r="S37" s="492"/>
      <c r="T37" s="492"/>
      <c r="U37" s="492"/>
      <c r="V37" s="492"/>
      <c r="W37" s="492"/>
      <c r="X37" s="492"/>
      <c r="Y37" s="492"/>
      <c r="Z37" s="492"/>
      <c r="AA37" s="492"/>
      <c r="AB37" s="492"/>
      <c r="AC37" s="492"/>
    </row>
    <row r="38" spans="1:29">
      <c r="A38" s="492"/>
      <c r="B38" s="492"/>
      <c r="C38" s="492"/>
      <c r="D38" s="492"/>
      <c r="E38" s="492"/>
      <c r="F38" s="492"/>
      <c r="G38" s="492"/>
      <c r="H38" s="492"/>
      <c r="I38" s="434"/>
      <c r="J38" s="434" t="str">
        <f>_WIT1</f>
        <v>L. D. STEINKUHL</v>
      </c>
      <c r="K38" s="492"/>
      <c r="L38" s="492"/>
      <c r="M38" s="492"/>
      <c r="N38" s="492"/>
      <c r="O38" s="492"/>
      <c r="P38" s="492"/>
      <c r="Q38" s="492"/>
      <c r="R38" s="492"/>
      <c r="S38" s="492"/>
      <c r="T38" s="492"/>
      <c r="U38" s="492"/>
      <c r="V38" s="492"/>
      <c r="W38" s="492"/>
      <c r="X38" s="492"/>
      <c r="Y38" s="492"/>
      <c r="Z38" s="492"/>
      <c r="AA38" s="492"/>
      <c r="AB38" s="492"/>
      <c r="AC38" s="492"/>
    </row>
    <row r="39" spans="1:29">
      <c r="A39" s="1571"/>
      <c r="B39" s="1571"/>
      <c r="C39" s="1571"/>
      <c r="D39" s="1571"/>
      <c r="E39" s="1571"/>
      <c r="F39" s="1571"/>
      <c r="G39" s="1571"/>
      <c r="H39" s="1571"/>
      <c r="I39" s="1571"/>
      <c r="J39" s="1571"/>
      <c r="K39" s="1571"/>
      <c r="L39" s="492"/>
      <c r="M39" s="492"/>
      <c r="N39" s="492"/>
      <c r="O39" s="492"/>
      <c r="P39" s="492"/>
      <c r="Q39" s="492"/>
      <c r="R39" s="492"/>
      <c r="S39" s="492"/>
      <c r="T39" s="492"/>
      <c r="U39" s="492"/>
      <c r="V39" s="492"/>
      <c r="W39" s="492"/>
      <c r="X39" s="492"/>
      <c r="Y39" s="492"/>
      <c r="Z39" s="492"/>
      <c r="AA39" s="492"/>
      <c r="AB39" s="492"/>
      <c r="AC39" s="492"/>
    </row>
    <row r="40" spans="1:29">
      <c r="A40" s="492"/>
      <c r="B40" s="495"/>
      <c r="C40" s="2168" t="s">
        <v>2631</v>
      </c>
      <c r="D40" s="2168"/>
      <c r="E40" s="2168"/>
      <c r="F40" s="495" t="s">
        <v>258</v>
      </c>
      <c r="G40" s="495" t="s">
        <v>2632</v>
      </c>
      <c r="H40" s="492"/>
      <c r="I40" s="492"/>
      <c r="J40" s="492"/>
      <c r="K40" s="492"/>
      <c r="L40" s="492"/>
      <c r="M40" s="492"/>
      <c r="N40" s="492"/>
      <c r="O40" s="492"/>
      <c r="P40" s="492"/>
      <c r="Q40" s="492"/>
      <c r="R40" s="492"/>
      <c r="S40" s="492"/>
      <c r="T40" s="492"/>
      <c r="U40" s="492"/>
      <c r="V40" s="492"/>
      <c r="W40" s="492"/>
      <c r="X40" s="492"/>
      <c r="Y40" s="492"/>
      <c r="Z40" s="492"/>
      <c r="AA40" s="492"/>
      <c r="AB40" s="492"/>
      <c r="AC40" s="492"/>
    </row>
    <row r="41" spans="1:29">
      <c r="A41" s="495" t="s">
        <v>573</v>
      </c>
      <c r="B41" s="495"/>
      <c r="C41" s="495" t="s">
        <v>848</v>
      </c>
      <c r="D41" s="495" t="s">
        <v>2225</v>
      </c>
      <c r="E41" s="495"/>
      <c r="F41" s="495" t="s">
        <v>2633</v>
      </c>
      <c r="G41" s="495" t="s">
        <v>799</v>
      </c>
      <c r="H41" s="495" t="s">
        <v>574</v>
      </c>
      <c r="I41" s="495"/>
      <c r="J41" s="495" t="s">
        <v>574</v>
      </c>
      <c r="K41" s="495" t="s">
        <v>799</v>
      </c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2"/>
      <c r="Y41" s="492"/>
      <c r="Z41" s="492"/>
      <c r="AA41" s="492"/>
      <c r="AB41" s="492"/>
      <c r="AC41" s="492"/>
    </row>
    <row r="42" spans="1:29">
      <c r="A42" s="495" t="s">
        <v>576</v>
      </c>
      <c r="B42" s="495" t="s">
        <v>2</v>
      </c>
      <c r="C42" s="495" t="s">
        <v>2634</v>
      </c>
      <c r="D42" s="495" t="s">
        <v>2635</v>
      </c>
      <c r="E42" s="495" t="s">
        <v>217</v>
      </c>
      <c r="F42" s="495" t="s">
        <v>416</v>
      </c>
      <c r="G42" s="495" t="s">
        <v>2636</v>
      </c>
      <c r="H42" s="495" t="s">
        <v>416</v>
      </c>
      <c r="I42" s="495" t="s">
        <v>578</v>
      </c>
      <c r="J42" s="495" t="s">
        <v>575</v>
      </c>
      <c r="K42" s="495" t="s">
        <v>256</v>
      </c>
      <c r="L42" s="492"/>
      <c r="M42" s="492"/>
      <c r="N42" s="492"/>
      <c r="O42" s="492"/>
      <c r="P42" s="492"/>
      <c r="Q42" s="492"/>
      <c r="R42" s="492"/>
      <c r="S42" s="492"/>
      <c r="T42" s="492"/>
      <c r="U42" s="492"/>
      <c r="V42" s="492"/>
      <c r="W42" s="492"/>
      <c r="X42" s="492"/>
      <c r="Y42" s="492"/>
      <c r="Z42" s="492"/>
      <c r="AA42" s="492"/>
      <c r="AB42" s="492"/>
      <c r="AC42" s="492"/>
    </row>
    <row r="43" spans="1:29">
      <c r="A43" s="1571"/>
      <c r="B43" s="1571"/>
      <c r="C43" s="1571"/>
      <c r="D43" s="1571"/>
      <c r="E43" s="1571"/>
      <c r="F43" s="1571"/>
      <c r="G43" s="1571"/>
      <c r="H43" s="1571"/>
      <c r="I43" s="1571"/>
      <c r="J43" s="1571"/>
      <c r="K43" s="1571"/>
      <c r="L43" s="492"/>
      <c r="M43" s="492"/>
      <c r="N43" s="492"/>
      <c r="O43" s="492"/>
      <c r="P43" s="492"/>
      <c r="Q43" s="492"/>
      <c r="R43" s="492"/>
      <c r="S43" s="492"/>
      <c r="T43" s="492"/>
      <c r="U43" s="492"/>
      <c r="V43" s="492"/>
      <c r="W43" s="492"/>
      <c r="X43" s="492"/>
      <c r="Y43" s="492"/>
      <c r="Z43" s="492"/>
      <c r="AA43" s="492"/>
      <c r="AB43" s="492"/>
      <c r="AC43" s="492"/>
    </row>
    <row r="44" spans="1:29">
      <c r="A44" s="492"/>
      <c r="B44" s="492"/>
      <c r="C44" s="495" t="s">
        <v>1371</v>
      </c>
      <c r="D44" s="495" t="s">
        <v>1371</v>
      </c>
      <c r="E44" s="495" t="s">
        <v>1371</v>
      </c>
      <c r="F44" s="495" t="s">
        <v>1371</v>
      </c>
      <c r="G44" s="495"/>
      <c r="H44" s="495" t="s">
        <v>1371</v>
      </c>
      <c r="I44" s="495" t="s">
        <v>1371</v>
      </c>
      <c r="J44" s="495" t="s">
        <v>1371</v>
      </c>
      <c r="K44" s="492"/>
      <c r="L44" s="492"/>
      <c r="M44" s="492"/>
      <c r="N44" s="492"/>
      <c r="O44" s="492"/>
      <c r="P44" s="492"/>
      <c r="Q44" s="492"/>
      <c r="R44" s="492"/>
      <c r="S44" s="492"/>
      <c r="T44" s="492"/>
      <c r="U44" s="492"/>
      <c r="V44" s="492"/>
      <c r="W44" s="492"/>
      <c r="X44" s="492"/>
      <c r="Y44" s="492"/>
      <c r="Z44" s="492"/>
      <c r="AA44" s="492"/>
      <c r="AB44" s="492"/>
      <c r="AC44" s="492"/>
    </row>
    <row r="45" spans="1:29">
      <c r="A45" s="495">
        <v>1</v>
      </c>
      <c r="B45" s="522"/>
      <c r="C45" s="492"/>
      <c r="D45" s="492"/>
      <c r="E45" s="492"/>
      <c r="F45" s="492"/>
      <c r="G45" s="492"/>
      <c r="H45" s="492"/>
      <c r="I45" s="492"/>
      <c r="J45" s="492"/>
      <c r="K45" s="492"/>
      <c r="L45" s="492"/>
      <c r="M45" s="492"/>
      <c r="N45" s="492"/>
      <c r="O45" s="492"/>
      <c r="P45" s="492"/>
      <c r="Q45" s="492"/>
      <c r="R45" s="492"/>
      <c r="S45" s="492"/>
      <c r="T45" s="492"/>
      <c r="U45" s="492"/>
      <c r="V45" s="492"/>
      <c r="W45" s="492"/>
      <c r="X45" s="492"/>
      <c r="Y45" s="492"/>
      <c r="Z45" s="492"/>
      <c r="AA45" s="492"/>
      <c r="AB45" s="492"/>
      <c r="AC45" s="492"/>
    </row>
    <row r="46" spans="1:29">
      <c r="A46" s="495">
        <v>2</v>
      </c>
      <c r="B46" s="716" t="s">
        <v>2637</v>
      </c>
      <c r="C46" s="496">
        <v>0</v>
      </c>
      <c r="D46" s="496">
        <v>0</v>
      </c>
      <c r="E46" s="493">
        <f>O139</f>
        <v>86200</v>
      </c>
      <c r="F46" s="493">
        <f>SUM(C46:E46)</f>
        <v>86200</v>
      </c>
      <c r="G46" s="881">
        <f>VLOOKUP(K46,ALLOCTABLE,2)</f>
        <v>100</v>
      </c>
      <c r="H46" s="498">
        <f>ROUND(F46*(G46/100),0)</f>
        <v>86200</v>
      </c>
      <c r="I46" s="496">
        <v>0</v>
      </c>
      <c r="J46" s="498">
        <f>H46+I46</f>
        <v>86200</v>
      </c>
      <c r="K46" s="497" t="s">
        <v>428</v>
      </c>
      <c r="L46" s="492"/>
      <c r="M46" s="492"/>
      <c r="N46" s="492"/>
      <c r="O46" s="492"/>
      <c r="P46" s="492"/>
      <c r="Q46" s="492"/>
      <c r="R46" s="492"/>
      <c r="S46" s="492"/>
      <c r="T46" s="492"/>
      <c r="U46" s="492"/>
      <c r="V46" s="492"/>
      <c r="W46" s="492"/>
      <c r="X46" s="492"/>
      <c r="Y46" s="492"/>
      <c r="Z46" s="492"/>
      <c r="AA46" s="492"/>
      <c r="AB46" s="492"/>
      <c r="AC46" s="492"/>
    </row>
    <row r="47" spans="1:29">
      <c r="A47" s="495">
        <v>3</v>
      </c>
      <c r="B47" s="716"/>
      <c r="C47" s="496"/>
      <c r="D47" s="496"/>
      <c r="E47" s="493"/>
      <c r="F47" s="493"/>
      <c r="G47" s="881"/>
      <c r="H47" s="498"/>
      <c r="I47" s="496"/>
      <c r="J47" s="498"/>
      <c r="K47" s="497"/>
      <c r="L47" s="492"/>
      <c r="M47" s="492"/>
      <c r="N47" s="492"/>
      <c r="O47" s="492"/>
      <c r="P47" s="492"/>
      <c r="Q47" s="492"/>
      <c r="R47" s="492"/>
      <c r="S47" s="492"/>
      <c r="T47" s="492"/>
      <c r="U47" s="492"/>
      <c r="V47" s="492"/>
      <c r="W47" s="492"/>
      <c r="X47" s="492"/>
      <c r="Y47" s="492"/>
      <c r="Z47" s="492"/>
      <c r="AA47" s="492"/>
      <c r="AB47" s="492"/>
      <c r="AC47" s="492"/>
    </row>
    <row r="48" spans="1:29">
      <c r="A48" s="495">
        <v>4</v>
      </c>
      <c r="B48" s="434" t="s">
        <v>2638</v>
      </c>
      <c r="C48" s="496">
        <v>0</v>
      </c>
      <c r="D48" s="496">
        <v>0</v>
      </c>
      <c r="E48" s="493">
        <f>O143</f>
        <v>0</v>
      </c>
      <c r="F48" s="493">
        <f>SUM(C48:E48)</f>
        <v>0</v>
      </c>
      <c r="G48" s="881">
        <f>VLOOKUP(K48,ALLOCTABLE,2)</f>
        <v>100</v>
      </c>
      <c r="H48" s="498">
        <f>ROUND(F48*(G48/100),0)</f>
        <v>0</v>
      </c>
      <c r="I48" s="496">
        <v>0</v>
      </c>
      <c r="J48" s="498">
        <f>H48+I48</f>
        <v>0</v>
      </c>
      <c r="K48" s="497" t="s">
        <v>428</v>
      </c>
      <c r="L48" s="492"/>
      <c r="M48" s="492"/>
      <c r="N48" s="492"/>
      <c r="O48" s="492"/>
      <c r="P48" s="492"/>
      <c r="Q48" s="492"/>
      <c r="R48" s="492"/>
      <c r="S48" s="492"/>
      <c r="T48" s="492"/>
      <c r="U48" s="492"/>
      <c r="V48" s="492"/>
      <c r="W48" s="492"/>
      <c r="X48" s="492"/>
      <c r="Y48" s="492"/>
      <c r="Z48" s="492"/>
      <c r="AA48" s="492"/>
      <c r="AB48" s="492"/>
      <c r="AC48" s="492"/>
    </row>
    <row r="49" spans="1:29">
      <c r="A49" s="495">
        <v>5</v>
      </c>
      <c r="B49" s="872"/>
      <c r="C49" s="523"/>
      <c r="D49" s="523"/>
      <c r="E49" s="493"/>
      <c r="F49" s="493"/>
      <c r="G49" s="881"/>
      <c r="H49" s="498"/>
      <c r="I49" s="523"/>
      <c r="J49" s="498"/>
      <c r="K49" s="497"/>
      <c r="L49" s="492"/>
      <c r="M49" s="492"/>
      <c r="N49" s="492"/>
      <c r="O49" s="492"/>
      <c r="P49" s="492"/>
      <c r="Q49" s="492"/>
      <c r="R49" s="492"/>
      <c r="S49" s="492"/>
      <c r="T49" s="492"/>
      <c r="U49" s="492"/>
      <c r="V49" s="492"/>
      <c r="W49" s="492"/>
      <c r="X49" s="492"/>
      <c r="Y49" s="492"/>
      <c r="Z49" s="492"/>
      <c r="AA49" s="492"/>
      <c r="AB49" s="492"/>
      <c r="AC49" s="492"/>
    </row>
    <row r="50" spans="1:29">
      <c r="A50" s="495">
        <v>6</v>
      </c>
      <c r="B50" s="434" t="s">
        <v>1686</v>
      </c>
      <c r="C50" s="496">
        <v>0</v>
      </c>
      <c r="D50" s="496">
        <v>0</v>
      </c>
      <c r="E50" s="493">
        <f>O146</f>
        <v>0</v>
      </c>
      <c r="F50" s="493">
        <f>SUM(C50:E50)</f>
        <v>0</v>
      </c>
      <c r="G50" s="881">
        <f>VLOOKUP(K50,ALLOCTABLE,2)</f>
        <v>100</v>
      </c>
      <c r="H50" s="498">
        <f>ROUND(F50*(G50/100),0)</f>
        <v>0</v>
      </c>
      <c r="I50" s="496">
        <v>0</v>
      </c>
      <c r="J50" s="498">
        <f>H50+I50</f>
        <v>0</v>
      </c>
      <c r="K50" s="497" t="s">
        <v>428</v>
      </c>
      <c r="L50" s="492"/>
      <c r="M50" s="492"/>
      <c r="N50" s="492"/>
      <c r="O50" s="492"/>
      <c r="P50" s="492"/>
      <c r="Q50" s="492"/>
      <c r="R50" s="492"/>
      <c r="S50" s="492"/>
      <c r="T50" s="492"/>
      <c r="U50" s="492"/>
      <c r="V50" s="492"/>
      <c r="W50" s="492"/>
      <c r="X50" s="492"/>
      <c r="Y50" s="492"/>
      <c r="Z50" s="492"/>
      <c r="AA50" s="492"/>
      <c r="AB50" s="492"/>
      <c r="AC50" s="492"/>
    </row>
    <row r="51" spans="1:29">
      <c r="A51" s="495">
        <v>7</v>
      </c>
      <c r="B51" s="434"/>
      <c r="C51" s="523"/>
      <c r="D51" s="523"/>
      <c r="E51" s="498"/>
      <c r="F51" s="498"/>
      <c r="G51" s="882"/>
      <c r="H51" s="492"/>
      <c r="I51" s="523"/>
      <c r="J51" s="492"/>
      <c r="K51" s="492"/>
      <c r="L51" s="492"/>
      <c r="M51" s="492"/>
      <c r="N51" s="492"/>
      <c r="O51" s="492"/>
      <c r="P51" s="492"/>
      <c r="Q51" s="492"/>
      <c r="R51" s="492"/>
      <c r="S51" s="492"/>
      <c r="T51" s="492"/>
      <c r="U51" s="492"/>
      <c r="V51" s="492"/>
      <c r="W51" s="492"/>
      <c r="X51" s="492"/>
      <c r="Y51" s="492"/>
      <c r="Z51" s="492"/>
      <c r="AA51" s="492"/>
      <c r="AB51" s="492"/>
      <c r="AC51" s="492"/>
    </row>
    <row r="52" spans="1:29">
      <c r="A52" s="495">
        <v>8</v>
      </c>
      <c r="B52" s="716" t="s">
        <v>217</v>
      </c>
      <c r="C52" s="873">
        <v>0</v>
      </c>
      <c r="D52" s="873">
        <v>0</v>
      </c>
      <c r="E52" s="874">
        <f>O171</f>
        <v>2065490</v>
      </c>
      <c r="F52" s="874">
        <f>SUM(C52:E52)</f>
        <v>2065490</v>
      </c>
      <c r="G52" s="881">
        <f>VLOOKUP(K52,ALLOCTABLE,2)</f>
        <v>100</v>
      </c>
      <c r="H52" s="875">
        <f>ROUND(F52*(G52/100),0)</f>
        <v>2065490</v>
      </c>
      <c r="I52" s="873">
        <v>0</v>
      </c>
      <c r="J52" s="875">
        <f>H52+I52</f>
        <v>2065490</v>
      </c>
      <c r="K52" s="497" t="s">
        <v>428</v>
      </c>
      <c r="L52" s="492"/>
      <c r="M52" s="492"/>
      <c r="N52" s="492"/>
      <c r="O52" s="492"/>
      <c r="P52" s="492"/>
      <c r="Q52" s="492"/>
      <c r="R52" s="492"/>
      <c r="S52" s="492"/>
      <c r="T52" s="492"/>
      <c r="U52" s="492"/>
      <c r="V52" s="492"/>
      <c r="W52" s="492"/>
      <c r="X52" s="492"/>
      <c r="Y52" s="492"/>
      <c r="Z52" s="492"/>
      <c r="AA52" s="492"/>
      <c r="AB52" s="492"/>
      <c r="AC52" s="492"/>
    </row>
    <row r="53" spans="1:29">
      <c r="A53" s="495">
        <v>9</v>
      </c>
      <c r="B53" s="876"/>
      <c r="C53" s="496"/>
      <c r="D53" s="496"/>
      <c r="E53" s="496"/>
      <c r="F53" s="493"/>
      <c r="G53" s="877"/>
      <c r="H53" s="498"/>
      <c r="I53" s="498"/>
      <c r="J53" s="498"/>
      <c r="K53" s="497"/>
      <c r="L53" s="492"/>
      <c r="M53" s="492"/>
      <c r="N53" s="492"/>
      <c r="O53" s="492"/>
      <c r="P53" s="492"/>
      <c r="Q53" s="492"/>
      <c r="R53" s="492"/>
      <c r="S53" s="492"/>
      <c r="T53" s="492"/>
      <c r="U53" s="492"/>
      <c r="V53" s="492"/>
      <c r="W53" s="492"/>
      <c r="X53" s="492"/>
      <c r="Y53" s="492"/>
      <c r="Z53" s="492"/>
      <c r="AA53" s="492"/>
      <c r="AB53" s="492"/>
      <c r="AC53" s="492"/>
    </row>
    <row r="54" spans="1:29">
      <c r="A54" s="495">
        <v>10</v>
      </c>
      <c r="B54" s="878" t="s">
        <v>258</v>
      </c>
      <c r="C54" s="879">
        <f>C46+C48+C50+C52</f>
        <v>0</v>
      </c>
      <c r="D54" s="879">
        <f>D46+D48+D50+D52</f>
        <v>0</v>
      </c>
      <c r="E54" s="879">
        <f>E46+E48+E50+E52</f>
        <v>2151690</v>
      </c>
      <c r="F54" s="879">
        <f>F46+F48+F50+F52</f>
        <v>2151690</v>
      </c>
      <c r="G54" s="880"/>
      <c r="H54" s="879">
        <f>H46+H48+H50+H52</f>
        <v>2151690</v>
      </c>
      <c r="I54" s="879">
        <f>I46+I48+I50+I52</f>
        <v>0</v>
      </c>
      <c r="J54" s="879">
        <f>J46+J48+J50+J52</f>
        <v>2151690</v>
      </c>
      <c r="K54" s="496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  <c r="Z54" s="492"/>
      <c r="AA54" s="492"/>
      <c r="AB54" s="492"/>
      <c r="AC54" s="492"/>
    </row>
    <row r="55" spans="1:29">
      <c r="A55" s="492"/>
      <c r="B55" s="434"/>
      <c r="C55" s="492"/>
      <c r="D55" s="492"/>
      <c r="E55" s="492"/>
      <c r="F55" s="492"/>
      <c r="G55" s="495"/>
      <c r="H55" s="492"/>
      <c r="I55" s="492"/>
      <c r="J55" s="492"/>
      <c r="K55" s="492"/>
      <c r="L55" s="492"/>
      <c r="M55" s="492"/>
      <c r="N55" s="492"/>
      <c r="O55" s="492"/>
      <c r="P55" s="492"/>
      <c r="Q55" s="492"/>
      <c r="R55" s="492"/>
      <c r="S55" s="492"/>
      <c r="T55" s="492"/>
      <c r="U55" s="492"/>
      <c r="V55" s="492"/>
      <c r="W55" s="492"/>
      <c r="X55" s="492"/>
      <c r="Y55" s="492"/>
      <c r="Z55" s="492"/>
      <c r="AA55" s="492"/>
      <c r="AB55" s="492"/>
      <c r="AC55" s="492"/>
    </row>
    <row r="56" spans="1:29">
      <c r="A56" s="492"/>
      <c r="B56" s="492"/>
      <c r="C56" s="492"/>
      <c r="D56" s="492"/>
      <c r="E56" s="492"/>
      <c r="F56" s="492"/>
      <c r="G56" s="492"/>
      <c r="H56" s="492"/>
      <c r="I56" s="492"/>
      <c r="J56" s="492"/>
      <c r="K56" s="492"/>
      <c r="L56" s="492"/>
      <c r="M56" s="434" t="str">
        <f>COMPANY</f>
        <v>DUKE ENERGY KENTUCKY, INC.</v>
      </c>
      <c r="N56" s="494"/>
      <c r="O56" s="494"/>
      <c r="P56" s="494"/>
      <c r="Q56" s="494"/>
      <c r="R56" s="520"/>
      <c r="S56" s="494"/>
      <c r="T56" s="494"/>
      <c r="U56" s="492"/>
      <c r="V56" s="494"/>
      <c r="W56" s="494"/>
      <c r="X56" s="492"/>
      <c r="Y56" s="434" t="s">
        <v>2640</v>
      </c>
      <c r="Z56" s="492"/>
      <c r="AA56" s="492"/>
      <c r="AB56" s="492"/>
      <c r="AC56" s="492"/>
    </row>
    <row r="57" spans="1:29">
      <c r="A57" s="492"/>
      <c r="B57" s="492"/>
      <c r="C57" s="492"/>
      <c r="D57" s="492"/>
      <c r="E57" s="492"/>
      <c r="F57" s="492"/>
      <c r="G57" s="492"/>
      <c r="H57" s="492"/>
      <c r="I57" s="492"/>
      <c r="J57" s="492"/>
      <c r="K57" s="492"/>
      <c r="L57" s="492"/>
      <c r="M57" s="434" t="str">
        <f>CASE</f>
        <v>CASE NO. 2024-00354</v>
      </c>
      <c r="N57" s="494"/>
      <c r="O57" s="494"/>
      <c r="P57" s="494"/>
      <c r="Q57" s="494"/>
      <c r="R57" s="520"/>
      <c r="S57" s="494"/>
      <c r="T57" s="494"/>
      <c r="U57" s="492"/>
      <c r="V57" s="494"/>
      <c r="W57" s="494"/>
      <c r="X57" s="492"/>
      <c r="Y57" s="434" t="s">
        <v>468</v>
      </c>
      <c r="Z57" s="492"/>
      <c r="AA57" s="492"/>
      <c r="AB57" s="492"/>
      <c r="AC57" s="492"/>
    </row>
    <row r="58" spans="1:29">
      <c r="A58" s="492"/>
      <c r="B58" s="492"/>
      <c r="C58" s="492"/>
      <c r="D58" s="492"/>
      <c r="E58" s="492"/>
      <c r="F58" s="492"/>
      <c r="G58" s="492"/>
      <c r="H58" s="492"/>
      <c r="I58" s="492"/>
      <c r="J58" s="492"/>
      <c r="K58" s="492"/>
      <c r="L58" s="492"/>
      <c r="M58" s="434" t="s">
        <v>2628</v>
      </c>
      <c r="N58" s="494"/>
      <c r="O58" s="494"/>
      <c r="P58" s="494"/>
      <c r="Q58" s="494"/>
      <c r="R58" s="520"/>
      <c r="S58" s="494"/>
      <c r="T58" s="494"/>
      <c r="U58" s="492"/>
      <c r="V58" s="494"/>
      <c r="W58" s="494"/>
      <c r="X58" s="492"/>
      <c r="Y58" s="434" t="str">
        <f>_WIT1</f>
        <v>L. D. STEINKUHL</v>
      </c>
      <c r="Z58" s="492"/>
      <c r="AA58" s="492"/>
      <c r="AB58" s="492"/>
      <c r="AC58" s="492"/>
    </row>
    <row r="59" spans="1:29">
      <c r="A59" s="492"/>
      <c r="B59" s="492"/>
      <c r="C59" s="492"/>
      <c r="D59" s="492"/>
      <c r="E59" s="492"/>
      <c r="F59" s="492"/>
      <c r="G59" s="492"/>
      <c r="H59" s="492"/>
      <c r="I59" s="492"/>
      <c r="J59" s="492"/>
      <c r="K59" s="492"/>
      <c r="L59" s="492"/>
      <c r="M59" s="492" t="str">
        <f>Data</f>
        <v>DATA: "X" BASE PERIOD   FORECASTED PERIOD</v>
      </c>
      <c r="N59" s="494"/>
      <c r="O59" s="494"/>
      <c r="P59" s="494"/>
      <c r="Q59" s="494"/>
      <c r="R59" s="520"/>
      <c r="S59" s="494"/>
      <c r="T59" s="494"/>
      <c r="U59" s="492"/>
      <c r="V59" s="494"/>
      <c r="W59" s="494"/>
      <c r="X59" s="492"/>
      <c r="Y59" s="434" t="s">
        <v>571</v>
      </c>
      <c r="Z59" s="492"/>
      <c r="AA59" s="492"/>
      <c r="AB59" s="492"/>
      <c r="AC59" s="492"/>
    </row>
    <row r="60" spans="1:29">
      <c r="A60" s="492"/>
      <c r="B60" s="492"/>
      <c r="C60" s="492"/>
      <c r="D60" s="492"/>
      <c r="E60" s="492"/>
      <c r="F60" s="492"/>
      <c r="G60" s="492"/>
      <c r="H60" s="492"/>
      <c r="I60" s="492"/>
      <c r="J60" s="492"/>
      <c r="K60" s="492"/>
      <c r="L60" s="492"/>
      <c r="M60" s="434" t="str">
        <f>PERIOD</f>
        <v>FOR THE TWELVE MONTHS ENDED FEBRUARY 28, 2025</v>
      </c>
      <c r="N60" s="494"/>
      <c r="O60" s="494"/>
      <c r="P60" s="494"/>
      <c r="Q60" s="494"/>
      <c r="R60" s="494"/>
      <c r="S60" s="494"/>
      <c r="T60" s="494"/>
      <c r="U60" s="494"/>
      <c r="V60" s="494"/>
      <c r="W60" s="494"/>
      <c r="X60" s="492"/>
      <c r="Y60" s="492"/>
      <c r="Z60" s="492"/>
      <c r="AA60" s="492"/>
      <c r="AB60" s="492"/>
      <c r="AC60" s="492"/>
    </row>
    <row r="61" spans="1:29">
      <c r="A61" s="492"/>
      <c r="B61" s="492"/>
      <c r="C61" s="492"/>
      <c r="D61" s="492"/>
      <c r="E61" s="492"/>
      <c r="F61" s="492"/>
      <c r="G61" s="492"/>
      <c r="H61" s="492"/>
      <c r="I61" s="492"/>
      <c r="J61" s="492"/>
      <c r="K61" s="492"/>
      <c r="L61" s="492"/>
      <c r="M61" s="1571"/>
      <c r="N61" s="1571"/>
      <c r="O61" s="1571"/>
      <c r="P61" s="1571"/>
      <c r="Q61" s="1571"/>
      <c r="R61" s="1571"/>
      <c r="S61" s="1571"/>
      <c r="T61" s="1571"/>
      <c r="U61" s="1571"/>
      <c r="V61" s="1571"/>
      <c r="W61" s="1571"/>
      <c r="X61" s="1571"/>
      <c r="Y61" s="1571"/>
      <c r="Z61" s="1571"/>
      <c r="AA61" s="1571"/>
      <c r="AB61" s="492"/>
      <c r="AC61" s="492"/>
    </row>
    <row r="62" spans="1:29">
      <c r="A62" s="492"/>
      <c r="B62" s="492"/>
      <c r="C62" s="492"/>
      <c r="D62" s="492"/>
      <c r="E62" s="492"/>
      <c r="F62" s="492"/>
      <c r="G62" s="492"/>
      <c r="H62" s="492"/>
      <c r="I62" s="492"/>
      <c r="J62" s="492"/>
      <c r="K62" s="492"/>
      <c r="L62" s="492"/>
      <c r="M62" s="495" t="s">
        <v>573</v>
      </c>
      <c r="N62" s="495"/>
      <c r="O62" s="495"/>
      <c r="P62" s="495"/>
      <c r="Q62" s="495"/>
      <c r="R62" s="495"/>
      <c r="S62" s="495"/>
      <c r="T62" s="495"/>
      <c r="U62" s="495"/>
      <c r="V62" s="495"/>
      <c r="W62" s="495"/>
      <c r="X62" s="495"/>
      <c r="Y62" s="495"/>
      <c r="Z62" s="495"/>
      <c r="AA62" s="495"/>
      <c r="AB62" s="492"/>
      <c r="AC62" s="492"/>
    </row>
    <row r="63" spans="1:29">
      <c r="A63" s="492"/>
      <c r="B63" s="492"/>
      <c r="C63" s="492"/>
      <c r="D63" s="492"/>
      <c r="E63" s="492"/>
      <c r="F63" s="492"/>
      <c r="G63" s="492"/>
      <c r="H63" s="492"/>
      <c r="I63" s="492"/>
      <c r="J63" s="492"/>
      <c r="K63" s="492"/>
      <c r="L63" s="492"/>
      <c r="M63" s="495" t="s">
        <v>576</v>
      </c>
      <c r="N63" s="495" t="s">
        <v>2621</v>
      </c>
      <c r="O63" s="495" t="s">
        <v>258</v>
      </c>
      <c r="P63" s="435">
        <f>LOGO!$I$7</f>
        <v>45382</v>
      </c>
      <c r="Q63" s="435">
        <f>LOGO!$I$8</f>
        <v>45412</v>
      </c>
      <c r="R63" s="435">
        <f>LOGO!$I$9</f>
        <v>45443</v>
      </c>
      <c r="S63" s="435">
        <f>LOGO!$I$10</f>
        <v>45473</v>
      </c>
      <c r="T63" s="435">
        <f>LOGO!$I$11</f>
        <v>45504</v>
      </c>
      <c r="U63" s="435">
        <f>LOGO!$I$12</f>
        <v>45535</v>
      </c>
      <c r="V63" s="435">
        <f>LOGO!$I$13</f>
        <v>45565</v>
      </c>
      <c r="W63" s="435">
        <f>LOGO!$I$14</f>
        <v>45596</v>
      </c>
      <c r="X63" s="435">
        <f>LOGO!$I$15</f>
        <v>45626</v>
      </c>
      <c r="Y63" s="435">
        <f>LOGO!$I$16</f>
        <v>45657</v>
      </c>
      <c r="Z63" s="435">
        <f>LOGO!$I$17</f>
        <v>45688</v>
      </c>
      <c r="AA63" s="435">
        <f>LOGO!$I$18</f>
        <v>45716</v>
      </c>
      <c r="AB63" s="492"/>
      <c r="AC63" s="492"/>
    </row>
    <row r="64" spans="1:29">
      <c r="A64" s="492"/>
      <c r="B64" s="492"/>
      <c r="C64" s="492"/>
      <c r="D64" s="492"/>
      <c r="E64" s="492"/>
      <c r="F64" s="492"/>
      <c r="G64" s="492"/>
      <c r="H64" s="492"/>
      <c r="I64" s="492"/>
      <c r="J64" s="492"/>
      <c r="K64" s="492"/>
      <c r="L64" s="492"/>
      <c r="M64" s="2169"/>
      <c r="N64" s="2169"/>
      <c r="O64" s="2170" t="s">
        <v>1371</v>
      </c>
      <c r="P64" s="2170" t="s">
        <v>1371</v>
      </c>
      <c r="Q64" s="2170" t="s">
        <v>1371</v>
      </c>
      <c r="R64" s="2170" t="s">
        <v>1371</v>
      </c>
      <c r="S64" s="2170" t="s">
        <v>1371</v>
      </c>
      <c r="T64" s="2170" t="s">
        <v>1371</v>
      </c>
      <c r="U64" s="2170" t="s">
        <v>1371</v>
      </c>
      <c r="V64" s="2170" t="s">
        <v>1371</v>
      </c>
      <c r="W64" s="2170" t="s">
        <v>1371</v>
      </c>
      <c r="X64" s="2170" t="s">
        <v>1371</v>
      </c>
      <c r="Y64" s="2170" t="s">
        <v>1371</v>
      </c>
      <c r="Z64" s="2170" t="s">
        <v>1371</v>
      </c>
      <c r="AA64" s="2170" t="s">
        <v>1371</v>
      </c>
      <c r="AB64" s="492"/>
      <c r="AC64" s="492"/>
    </row>
    <row r="65" spans="1:29">
      <c r="A65" s="492"/>
      <c r="B65" s="492"/>
      <c r="C65" s="492"/>
      <c r="D65" s="492"/>
      <c r="E65" s="492"/>
      <c r="F65" s="492"/>
      <c r="G65" s="492"/>
      <c r="H65" s="492"/>
      <c r="I65" s="492"/>
      <c r="J65" s="492"/>
      <c r="K65" s="492"/>
      <c r="L65" s="492"/>
      <c r="M65" s="495">
        <v>1</v>
      </c>
      <c r="N65" s="522" t="s">
        <v>2637</v>
      </c>
      <c r="O65" s="492"/>
      <c r="P65" s="492"/>
      <c r="Q65" s="492"/>
      <c r="R65" s="492"/>
      <c r="S65" s="492"/>
      <c r="T65" s="492"/>
      <c r="U65" s="492"/>
      <c r="V65" s="492"/>
      <c r="W65" s="492"/>
      <c r="X65" s="492"/>
      <c r="Y65" s="492"/>
      <c r="Z65" s="492"/>
      <c r="AA65" s="492"/>
      <c r="AB65" s="492"/>
      <c r="AC65" s="492"/>
    </row>
    <row r="66" spans="1:29">
      <c r="A66" s="492"/>
      <c r="B66" s="492"/>
      <c r="C66" s="492"/>
      <c r="D66" s="492"/>
      <c r="E66" s="492"/>
      <c r="F66" s="492"/>
      <c r="G66" s="492"/>
      <c r="H66" s="492"/>
      <c r="I66" s="492"/>
      <c r="J66" s="492"/>
      <c r="K66" s="492"/>
      <c r="L66" s="492"/>
      <c r="M66" s="495">
        <f>+M65+1</f>
        <v>2</v>
      </c>
      <c r="N66" s="492" t="s">
        <v>2641</v>
      </c>
      <c r="O66" s="493">
        <f>SUM(P66:AA66)</f>
        <v>79803</v>
      </c>
      <c r="P66" s="496">
        <v>-671</v>
      </c>
      <c r="Q66" s="496">
        <v>22844</v>
      </c>
      <c r="R66" s="496">
        <v>219</v>
      </c>
      <c r="S66" s="496">
        <v>10334</v>
      </c>
      <c r="T66" s="496">
        <v>217</v>
      </c>
      <c r="U66" s="496">
        <v>312</v>
      </c>
      <c r="V66" s="496">
        <v>12930</v>
      </c>
      <c r="W66" s="496">
        <v>5172</v>
      </c>
      <c r="X66" s="496">
        <v>5172</v>
      </c>
      <c r="Y66" s="496">
        <v>18964</v>
      </c>
      <c r="Z66" s="496">
        <v>1724</v>
      </c>
      <c r="AA66" s="496">
        <v>2586</v>
      </c>
      <c r="AB66" s="492"/>
      <c r="AC66" s="492"/>
    </row>
    <row r="67" spans="1:29">
      <c r="A67" s="492"/>
      <c r="B67" s="492"/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5">
        <f t="shared" ref="M67:M97" si="0">M66+1</f>
        <v>3</v>
      </c>
      <c r="N67" s="872" t="s">
        <v>2642</v>
      </c>
      <c r="O67" s="2167">
        <f t="shared" ref="O67:AA67" si="1">SUM(O66:O66)</f>
        <v>79803</v>
      </c>
      <c r="P67" s="2167">
        <f t="shared" si="1"/>
        <v>-671</v>
      </c>
      <c r="Q67" s="2167">
        <f t="shared" si="1"/>
        <v>22844</v>
      </c>
      <c r="R67" s="2167">
        <f t="shared" si="1"/>
        <v>219</v>
      </c>
      <c r="S67" s="2167">
        <f t="shared" si="1"/>
        <v>10334</v>
      </c>
      <c r="T67" s="2167">
        <f t="shared" si="1"/>
        <v>217</v>
      </c>
      <c r="U67" s="2167">
        <f t="shared" si="1"/>
        <v>312</v>
      </c>
      <c r="V67" s="2167">
        <f t="shared" si="1"/>
        <v>12930</v>
      </c>
      <c r="W67" s="2167">
        <f t="shared" si="1"/>
        <v>5172</v>
      </c>
      <c r="X67" s="2167">
        <f t="shared" si="1"/>
        <v>5172</v>
      </c>
      <c r="Y67" s="2167">
        <f t="shared" si="1"/>
        <v>18964</v>
      </c>
      <c r="Z67" s="2167">
        <f t="shared" si="1"/>
        <v>1724</v>
      </c>
      <c r="AA67" s="2167">
        <f t="shared" si="1"/>
        <v>2586</v>
      </c>
      <c r="AB67" s="492"/>
      <c r="AC67" s="492"/>
    </row>
    <row r="68" spans="1:29">
      <c r="A68" s="492"/>
      <c r="B68" s="492"/>
      <c r="C68" s="492"/>
      <c r="D68" s="492"/>
      <c r="E68" s="492"/>
      <c r="F68" s="492"/>
      <c r="G68" s="492"/>
      <c r="H68" s="492"/>
      <c r="I68" s="492"/>
      <c r="J68" s="492"/>
      <c r="K68" s="492"/>
      <c r="L68" s="492"/>
      <c r="M68" s="495">
        <f t="shared" si="0"/>
        <v>4</v>
      </c>
      <c r="N68" s="716"/>
      <c r="O68" s="493"/>
      <c r="P68" s="496"/>
      <c r="Q68" s="496"/>
      <c r="R68" s="493"/>
      <c r="S68" s="501"/>
      <c r="T68" s="498"/>
      <c r="U68" s="496"/>
      <c r="V68" s="497"/>
      <c r="W68" s="498"/>
      <c r="X68" s="498"/>
      <c r="Y68" s="498"/>
      <c r="Z68" s="498"/>
      <c r="AA68" s="498"/>
      <c r="AB68" s="492"/>
      <c r="AC68" s="492"/>
    </row>
    <row r="69" spans="1:29">
      <c r="A69" s="492"/>
      <c r="B69" s="492"/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5">
        <f t="shared" si="0"/>
        <v>5</v>
      </c>
      <c r="N69" s="883" t="s">
        <v>2638</v>
      </c>
      <c r="O69" s="498"/>
      <c r="P69" s="498"/>
      <c r="Q69" s="498"/>
      <c r="R69" s="498"/>
      <c r="S69" s="498"/>
      <c r="T69" s="498"/>
      <c r="U69" s="498"/>
      <c r="V69" s="498"/>
      <c r="W69" s="498"/>
      <c r="X69" s="498"/>
      <c r="Y69" s="498"/>
      <c r="Z69" s="498"/>
      <c r="AA69" s="498"/>
      <c r="AB69" s="492"/>
      <c r="AC69" s="492"/>
    </row>
    <row r="70" spans="1:29">
      <c r="A70" s="492"/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5">
        <f t="shared" si="0"/>
        <v>6</v>
      </c>
      <c r="N70" s="434" t="s">
        <v>2643</v>
      </c>
      <c r="O70" s="493">
        <f>SUM(P70:AA70)</f>
        <v>0</v>
      </c>
      <c r="P70" s="496">
        <v>0</v>
      </c>
      <c r="Q70" s="496">
        <v>0</v>
      </c>
      <c r="R70" s="496">
        <v>0</v>
      </c>
      <c r="S70" s="496">
        <v>0</v>
      </c>
      <c r="T70" s="496">
        <v>0</v>
      </c>
      <c r="U70" s="496">
        <v>0</v>
      </c>
      <c r="V70" s="496">
        <v>0</v>
      </c>
      <c r="W70" s="496">
        <v>0</v>
      </c>
      <c r="X70" s="496">
        <v>0</v>
      </c>
      <c r="Y70" s="496">
        <v>0</v>
      </c>
      <c r="Z70" s="496">
        <v>0</v>
      </c>
      <c r="AA70" s="496">
        <v>0</v>
      </c>
      <c r="AB70" s="492"/>
      <c r="AC70" s="492"/>
    </row>
    <row r="71" spans="1:29">
      <c r="A71" s="492"/>
      <c r="B71" s="492"/>
      <c r="C71" s="492"/>
      <c r="D71" s="492"/>
      <c r="E71" s="492"/>
      <c r="F71" s="492"/>
      <c r="G71" s="492"/>
      <c r="H71" s="492"/>
      <c r="I71" s="492"/>
      <c r="J71" s="492"/>
      <c r="K71" s="492"/>
      <c r="L71" s="492"/>
      <c r="M71" s="495">
        <f t="shared" si="0"/>
        <v>7</v>
      </c>
      <c r="N71" s="872" t="s">
        <v>2644</v>
      </c>
      <c r="O71" s="2167">
        <f t="shared" ref="O71:AA71" si="2">SUM(O70)</f>
        <v>0</v>
      </c>
      <c r="P71" s="2167">
        <f t="shared" si="2"/>
        <v>0</v>
      </c>
      <c r="Q71" s="2167">
        <f t="shared" si="2"/>
        <v>0</v>
      </c>
      <c r="R71" s="2167">
        <f t="shared" si="2"/>
        <v>0</v>
      </c>
      <c r="S71" s="2167">
        <f t="shared" si="2"/>
        <v>0</v>
      </c>
      <c r="T71" s="2167">
        <f t="shared" si="2"/>
        <v>0</v>
      </c>
      <c r="U71" s="2167">
        <f t="shared" si="2"/>
        <v>0</v>
      </c>
      <c r="V71" s="2167">
        <f>SUM(V70)</f>
        <v>0</v>
      </c>
      <c r="W71" s="2167">
        <f>SUM(W70)</f>
        <v>0</v>
      </c>
      <c r="X71" s="2167">
        <f t="shared" si="2"/>
        <v>0</v>
      </c>
      <c r="Y71" s="2167">
        <f t="shared" si="2"/>
        <v>0</v>
      </c>
      <c r="Z71" s="2167">
        <f t="shared" si="2"/>
        <v>0</v>
      </c>
      <c r="AA71" s="2167">
        <f t="shared" si="2"/>
        <v>0</v>
      </c>
      <c r="AB71" s="492"/>
      <c r="AC71" s="492"/>
    </row>
    <row r="72" spans="1:29">
      <c r="A72" s="492"/>
      <c r="B72" s="492"/>
      <c r="C72" s="492"/>
      <c r="D72" s="492"/>
      <c r="E72" s="492"/>
      <c r="F72" s="492"/>
      <c r="G72" s="492"/>
      <c r="H72" s="492"/>
      <c r="I72" s="492"/>
      <c r="J72" s="492"/>
      <c r="K72" s="492"/>
      <c r="L72" s="492"/>
      <c r="M72" s="495">
        <f t="shared" si="0"/>
        <v>8</v>
      </c>
      <c r="N72" s="872"/>
      <c r="O72" s="498"/>
      <c r="P72" s="523"/>
      <c r="Q72" s="496"/>
      <c r="R72" s="493"/>
      <c r="S72" s="501"/>
      <c r="T72" s="498"/>
      <c r="U72" s="523"/>
      <c r="V72" s="497"/>
      <c r="W72" s="498"/>
      <c r="X72" s="498"/>
      <c r="Y72" s="498"/>
      <c r="Z72" s="498"/>
      <c r="AA72" s="498"/>
      <c r="AB72" s="492"/>
      <c r="AC72" s="492"/>
    </row>
    <row r="73" spans="1:29">
      <c r="A73" s="492"/>
      <c r="B73" s="492"/>
      <c r="C73" s="492"/>
      <c r="D73" s="492"/>
      <c r="E73" s="492"/>
      <c r="F73" s="492"/>
      <c r="G73" s="492"/>
      <c r="H73" s="492"/>
      <c r="I73" s="492"/>
      <c r="J73" s="492"/>
      <c r="K73" s="492"/>
      <c r="L73" s="492"/>
      <c r="M73" s="495">
        <f t="shared" si="0"/>
        <v>9</v>
      </c>
      <c r="N73" s="883" t="s">
        <v>1686</v>
      </c>
      <c r="O73" s="498"/>
      <c r="P73" s="498"/>
      <c r="Q73" s="498"/>
      <c r="R73" s="498"/>
      <c r="S73" s="498"/>
      <c r="T73" s="498"/>
      <c r="U73" s="498"/>
      <c r="V73" s="498"/>
      <c r="W73" s="498"/>
      <c r="X73" s="498"/>
      <c r="Y73" s="498"/>
      <c r="Z73" s="498"/>
      <c r="AA73" s="498"/>
      <c r="AB73" s="492"/>
      <c r="AC73" s="492"/>
    </row>
    <row r="74" spans="1:29">
      <c r="A74" s="492"/>
      <c r="B74" s="492"/>
      <c r="C74" s="492"/>
      <c r="D74" s="492"/>
      <c r="E74" s="492"/>
      <c r="F74" s="492"/>
      <c r="G74" s="492"/>
      <c r="H74" s="492"/>
      <c r="I74" s="492"/>
      <c r="J74" s="492"/>
      <c r="K74" s="492"/>
      <c r="L74" s="492"/>
      <c r="M74" s="495">
        <f t="shared" si="0"/>
        <v>10</v>
      </c>
      <c r="N74" s="434" t="s">
        <v>2643</v>
      </c>
      <c r="O74" s="493">
        <f>SUM(P74:AA74)</f>
        <v>0</v>
      </c>
      <c r="P74" s="496">
        <v>0</v>
      </c>
      <c r="Q74" s="496">
        <v>0</v>
      </c>
      <c r="R74" s="496">
        <v>0</v>
      </c>
      <c r="S74" s="496">
        <v>0</v>
      </c>
      <c r="T74" s="496">
        <v>0</v>
      </c>
      <c r="U74" s="496">
        <v>0</v>
      </c>
      <c r="V74" s="496">
        <v>0</v>
      </c>
      <c r="W74" s="496">
        <v>0</v>
      </c>
      <c r="X74" s="496">
        <v>0</v>
      </c>
      <c r="Y74" s="496">
        <v>0</v>
      </c>
      <c r="Z74" s="496">
        <v>0</v>
      </c>
      <c r="AA74" s="496">
        <v>0</v>
      </c>
      <c r="AB74" s="492"/>
      <c r="AC74" s="492"/>
    </row>
    <row r="75" spans="1:29">
      <c r="A75" s="492"/>
      <c r="B75" s="492"/>
      <c r="C75" s="492"/>
      <c r="D75" s="492"/>
      <c r="E75" s="492"/>
      <c r="F75" s="492"/>
      <c r="G75" s="492"/>
      <c r="H75" s="492"/>
      <c r="I75" s="492"/>
      <c r="J75" s="492"/>
      <c r="K75" s="492"/>
      <c r="L75" s="492"/>
      <c r="M75" s="495">
        <f t="shared" si="0"/>
        <v>11</v>
      </c>
      <c r="N75" s="872" t="s">
        <v>2645</v>
      </c>
      <c r="O75" s="2167">
        <f t="shared" ref="O75:AA75" si="3">SUM(O74)</f>
        <v>0</v>
      </c>
      <c r="P75" s="2167">
        <f t="shared" si="3"/>
        <v>0</v>
      </c>
      <c r="Q75" s="2167">
        <f t="shared" si="3"/>
        <v>0</v>
      </c>
      <c r="R75" s="2167">
        <f t="shared" si="3"/>
        <v>0</v>
      </c>
      <c r="S75" s="2167">
        <f t="shared" si="3"/>
        <v>0</v>
      </c>
      <c r="T75" s="2167">
        <f t="shared" si="3"/>
        <v>0</v>
      </c>
      <c r="U75" s="2167">
        <f t="shared" si="3"/>
        <v>0</v>
      </c>
      <c r="V75" s="2167">
        <f>SUM(V74)</f>
        <v>0</v>
      </c>
      <c r="W75" s="2167">
        <f>SUM(W74)</f>
        <v>0</v>
      </c>
      <c r="X75" s="2167">
        <f t="shared" si="3"/>
        <v>0</v>
      </c>
      <c r="Y75" s="2167">
        <f t="shared" si="3"/>
        <v>0</v>
      </c>
      <c r="Z75" s="2167">
        <f t="shared" si="3"/>
        <v>0</v>
      </c>
      <c r="AA75" s="2167">
        <f t="shared" si="3"/>
        <v>0</v>
      </c>
      <c r="AB75" s="492"/>
      <c r="AC75" s="492"/>
    </row>
    <row r="76" spans="1:29">
      <c r="A76" s="492"/>
      <c r="B76" s="492"/>
      <c r="C76" s="492"/>
      <c r="D76" s="492"/>
      <c r="E76" s="492"/>
      <c r="F76" s="492"/>
      <c r="G76" s="492"/>
      <c r="H76" s="492"/>
      <c r="I76" s="492"/>
      <c r="J76" s="492"/>
      <c r="K76" s="492"/>
      <c r="L76" s="492"/>
      <c r="M76" s="495">
        <f t="shared" si="0"/>
        <v>12</v>
      </c>
      <c r="N76" s="434"/>
      <c r="O76" s="498"/>
      <c r="P76" s="523"/>
      <c r="Q76" s="523"/>
      <c r="R76" s="498"/>
      <c r="S76" s="501"/>
      <c r="T76" s="498"/>
      <c r="U76" s="523"/>
      <c r="V76" s="498"/>
      <c r="W76" s="498"/>
      <c r="X76" s="498"/>
      <c r="Y76" s="498"/>
      <c r="Z76" s="498"/>
      <c r="AA76" s="498"/>
      <c r="AB76" s="492"/>
      <c r="AC76" s="492"/>
    </row>
    <row r="77" spans="1:29">
      <c r="A77" s="492"/>
      <c r="B77" s="492"/>
      <c r="C77" s="492"/>
      <c r="D77" s="492"/>
      <c r="E77" s="492"/>
      <c r="F77" s="492"/>
      <c r="G77" s="492"/>
      <c r="H77" s="492"/>
      <c r="I77" s="492"/>
      <c r="J77" s="492"/>
      <c r="K77" s="492"/>
      <c r="L77" s="492"/>
      <c r="M77" s="495">
        <f t="shared" si="0"/>
        <v>13</v>
      </c>
      <c r="N77" s="522" t="s">
        <v>217</v>
      </c>
      <c r="O77" s="493"/>
      <c r="P77" s="496"/>
      <c r="Q77" s="496"/>
      <c r="R77" s="493"/>
      <c r="S77" s="501"/>
      <c r="T77" s="498"/>
      <c r="U77" s="496"/>
      <c r="V77" s="497"/>
      <c r="W77" s="498"/>
      <c r="X77" s="498"/>
      <c r="Y77" s="498"/>
      <c r="Z77" s="498"/>
      <c r="AA77" s="498"/>
      <c r="AB77" s="492"/>
      <c r="AC77" s="492"/>
    </row>
    <row r="78" spans="1:29">
      <c r="A78" s="492"/>
      <c r="B78" s="492"/>
      <c r="C78" s="492"/>
      <c r="D78" s="492"/>
      <c r="E78" s="492"/>
      <c r="F78" s="492"/>
      <c r="G78" s="492"/>
      <c r="H78" s="492"/>
      <c r="I78" s="492"/>
      <c r="J78" s="492"/>
      <c r="K78" s="492"/>
      <c r="L78" s="492"/>
      <c r="M78" s="495">
        <f t="shared" si="0"/>
        <v>14</v>
      </c>
      <c r="N78" s="884" t="s">
        <v>2646</v>
      </c>
      <c r="O78" s="493">
        <f t="shared" ref="O78:O118" si="4">SUM(P78:AA78)</f>
        <v>70492</v>
      </c>
      <c r="P78" s="496">
        <v>9066</v>
      </c>
      <c r="Q78" s="496">
        <v>2185</v>
      </c>
      <c r="R78" s="496">
        <v>8223</v>
      </c>
      <c r="S78" s="496">
        <v>6134</v>
      </c>
      <c r="T78" s="496">
        <v>6540</v>
      </c>
      <c r="U78" s="496">
        <v>6592</v>
      </c>
      <c r="V78" s="496">
        <v>5292</v>
      </c>
      <c r="W78" s="496">
        <v>5292</v>
      </c>
      <c r="X78" s="496">
        <v>5292</v>
      </c>
      <c r="Y78" s="496">
        <v>5292</v>
      </c>
      <c r="Z78" s="496">
        <v>5292</v>
      </c>
      <c r="AA78" s="496">
        <v>5292</v>
      </c>
      <c r="AB78" s="492"/>
      <c r="AC78" s="492"/>
    </row>
    <row r="79" spans="1:29">
      <c r="A79" s="492"/>
      <c r="B79" s="492"/>
      <c r="C79" s="492"/>
      <c r="D79" s="492"/>
      <c r="E79" s="492"/>
      <c r="F79" s="492"/>
      <c r="G79" s="492"/>
      <c r="H79" s="492"/>
      <c r="I79" s="492"/>
      <c r="J79" s="492"/>
      <c r="K79" s="492"/>
      <c r="L79" s="492"/>
      <c r="M79" s="495">
        <f t="shared" si="0"/>
        <v>15</v>
      </c>
      <c r="N79" s="691" t="s">
        <v>2647</v>
      </c>
      <c r="O79" s="493">
        <f t="shared" si="4"/>
        <v>70719</v>
      </c>
      <c r="P79" s="496">
        <v>14520</v>
      </c>
      <c r="Q79" s="496">
        <v>11419</v>
      </c>
      <c r="R79" s="496">
        <v>9754</v>
      </c>
      <c r="S79" s="496">
        <v>3374</v>
      </c>
      <c r="T79" s="496">
        <v>13803</v>
      </c>
      <c r="U79" s="496">
        <v>11861</v>
      </c>
      <c r="V79" s="496">
        <v>0</v>
      </c>
      <c r="W79" s="496">
        <v>0</v>
      </c>
      <c r="X79" s="496">
        <v>0</v>
      </c>
      <c r="Y79" s="496">
        <v>0</v>
      </c>
      <c r="Z79" s="496">
        <v>5988</v>
      </c>
      <c r="AA79" s="496">
        <v>0</v>
      </c>
      <c r="AB79" s="492"/>
      <c r="AC79" s="492"/>
    </row>
    <row r="80" spans="1:29">
      <c r="A80" s="492"/>
      <c r="B80" s="492"/>
      <c r="C80" s="492"/>
      <c r="D80" s="492"/>
      <c r="E80" s="492"/>
      <c r="F80" s="492"/>
      <c r="G80" s="492"/>
      <c r="H80" s="492"/>
      <c r="I80" s="492"/>
      <c r="J80" s="492"/>
      <c r="K80" s="492"/>
      <c r="L80" s="492"/>
      <c r="M80" s="495">
        <f t="shared" si="0"/>
        <v>16</v>
      </c>
      <c r="N80" s="691" t="s">
        <v>2648</v>
      </c>
      <c r="O80" s="493">
        <f t="shared" si="4"/>
        <v>31870</v>
      </c>
      <c r="P80" s="496">
        <v>739</v>
      </c>
      <c r="Q80" s="496">
        <v>3779</v>
      </c>
      <c r="R80" s="496">
        <v>5450</v>
      </c>
      <c r="S80" s="496">
        <v>5117</v>
      </c>
      <c r="T80" s="496">
        <v>7432</v>
      </c>
      <c r="U80" s="496">
        <v>5117</v>
      </c>
      <c r="V80" s="496">
        <v>706</v>
      </c>
      <c r="W80" s="496">
        <v>706</v>
      </c>
      <c r="X80" s="496">
        <v>706</v>
      </c>
      <c r="Y80" s="496">
        <v>706</v>
      </c>
      <c r="Z80" s="496">
        <v>706</v>
      </c>
      <c r="AA80" s="496">
        <v>706</v>
      </c>
      <c r="AB80" s="492"/>
      <c r="AC80" s="492"/>
    </row>
    <row r="81" spans="1:29">
      <c r="A81" s="492"/>
      <c r="B81" s="492"/>
      <c r="C81" s="492"/>
      <c r="D81" s="492"/>
      <c r="E81" s="492"/>
      <c r="F81" s="492"/>
      <c r="G81" s="492"/>
      <c r="H81" s="492"/>
      <c r="I81" s="492"/>
      <c r="J81" s="492"/>
      <c r="K81" s="492"/>
      <c r="L81" s="492"/>
      <c r="M81" s="495">
        <f t="shared" si="0"/>
        <v>17</v>
      </c>
      <c r="N81" s="691" t="s">
        <v>2649</v>
      </c>
      <c r="O81" s="493">
        <f t="shared" si="4"/>
        <v>23994</v>
      </c>
      <c r="P81" s="496">
        <v>310</v>
      </c>
      <c r="Q81" s="496">
        <v>3116</v>
      </c>
      <c r="R81" s="496">
        <v>12935</v>
      </c>
      <c r="S81" s="496">
        <v>2627</v>
      </c>
      <c r="T81" s="496">
        <v>2146</v>
      </c>
      <c r="U81" s="496">
        <v>2860</v>
      </c>
      <c r="V81" s="496">
        <v>0</v>
      </c>
      <c r="W81" s="496">
        <v>0</v>
      </c>
      <c r="X81" s="496">
        <v>0</v>
      </c>
      <c r="Y81" s="496">
        <v>0</v>
      </c>
      <c r="Z81" s="496">
        <v>0</v>
      </c>
      <c r="AA81" s="496">
        <v>0</v>
      </c>
      <c r="AB81" s="492"/>
      <c r="AC81" s="492"/>
    </row>
    <row r="82" spans="1:29">
      <c r="A82" s="492"/>
      <c r="B82" s="492"/>
      <c r="C82" s="492"/>
      <c r="D82" s="492"/>
      <c r="E82" s="492"/>
      <c r="F82" s="492"/>
      <c r="G82" s="492"/>
      <c r="H82" s="492"/>
      <c r="I82" s="492"/>
      <c r="J82" s="492"/>
      <c r="K82" s="492"/>
      <c r="L82" s="492"/>
      <c r="M82" s="495">
        <f t="shared" si="0"/>
        <v>18</v>
      </c>
      <c r="N82" s="691" t="s">
        <v>2650</v>
      </c>
      <c r="O82" s="493">
        <f t="shared" si="4"/>
        <v>6942</v>
      </c>
      <c r="P82" s="496">
        <v>1177</v>
      </c>
      <c r="Q82" s="496">
        <v>1213</v>
      </c>
      <c r="R82" s="496">
        <v>1124</v>
      </c>
      <c r="S82" s="496">
        <v>1058</v>
      </c>
      <c r="T82" s="496">
        <v>1170</v>
      </c>
      <c r="U82" s="496">
        <v>1200</v>
      </c>
      <c r="V82" s="496">
        <v>0</v>
      </c>
      <c r="W82" s="496">
        <v>0</v>
      </c>
      <c r="X82" s="496">
        <v>0</v>
      </c>
      <c r="Y82" s="496">
        <v>0</v>
      </c>
      <c r="Z82" s="496">
        <v>0</v>
      </c>
      <c r="AA82" s="496">
        <v>0</v>
      </c>
      <c r="AB82" s="492"/>
      <c r="AC82" s="492"/>
    </row>
    <row r="83" spans="1:29">
      <c r="A83" s="492"/>
      <c r="B83" s="492"/>
      <c r="C83" s="492"/>
      <c r="D83" s="492"/>
      <c r="E83" s="492"/>
      <c r="F83" s="492"/>
      <c r="G83" s="492"/>
      <c r="H83" s="492"/>
      <c r="I83" s="492"/>
      <c r="J83" s="492"/>
      <c r="K83" s="492"/>
      <c r="L83" s="492"/>
      <c r="M83" s="495">
        <f t="shared" si="0"/>
        <v>19</v>
      </c>
      <c r="N83" s="691" t="s">
        <v>2651</v>
      </c>
      <c r="O83" s="493">
        <f t="shared" si="4"/>
        <v>512</v>
      </c>
      <c r="P83" s="496">
        <v>68</v>
      </c>
      <c r="Q83" s="496">
        <v>82</v>
      </c>
      <c r="R83" s="496">
        <v>62</v>
      </c>
      <c r="S83" s="496">
        <v>174</v>
      </c>
      <c r="T83" s="496">
        <v>62</v>
      </c>
      <c r="U83" s="496">
        <v>64</v>
      </c>
      <c r="V83" s="496">
        <v>0</v>
      </c>
      <c r="W83" s="496">
        <v>0</v>
      </c>
      <c r="X83" s="496">
        <v>0</v>
      </c>
      <c r="Y83" s="496">
        <v>0</v>
      </c>
      <c r="Z83" s="496">
        <v>0</v>
      </c>
      <c r="AA83" s="496">
        <v>0</v>
      </c>
      <c r="AB83" s="492"/>
      <c r="AC83" s="492"/>
    </row>
    <row r="84" spans="1:29">
      <c r="A84" s="492"/>
      <c r="B84" s="492"/>
      <c r="C84" s="492"/>
      <c r="D84" s="492"/>
      <c r="E84" s="492"/>
      <c r="F84" s="492"/>
      <c r="G84" s="492"/>
      <c r="H84" s="492"/>
      <c r="I84" s="492"/>
      <c r="J84" s="492"/>
      <c r="K84" s="492"/>
      <c r="L84" s="492"/>
      <c r="M84" s="495">
        <f t="shared" si="0"/>
        <v>20</v>
      </c>
      <c r="N84" s="691" t="s">
        <v>2652</v>
      </c>
      <c r="O84" s="493">
        <f t="shared" si="4"/>
        <v>58851</v>
      </c>
      <c r="P84" s="496">
        <v>8805</v>
      </c>
      <c r="Q84" s="496">
        <v>11798</v>
      </c>
      <c r="R84" s="496">
        <v>9559</v>
      </c>
      <c r="S84" s="496">
        <v>9559</v>
      </c>
      <c r="T84" s="496">
        <v>19119</v>
      </c>
      <c r="U84" s="496">
        <v>11</v>
      </c>
      <c r="V84" s="496">
        <v>0</v>
      </c>
      <c r="W84" s="496">
        <v>0</v>
      </c>
      <c r="X84" s="496">
        <v>0</v>
      </c>
      <c r="Y84" s="496">
        <v>0</v>
      </c>
      <c r="Z84" s="496">
        <v>0</v>
      </c>
      <c r="AA84" s="496">
        <v>0</v>
      </c>
      <c r="AB84" s="492"/>
      <c r="AC84" s="492"/>
    </row>
    <row r="85" spans="1:29">
      <c r="A85" s="492"/>
      <c r="B85" s="492"/>
      <c r="C85" s="492"/>
      <c r="D85" s="492"/>
      <c r="E85" s="492"/>
      <c r="F85" s="492"/>
      <c r="G85" s="492"/>
      <c r="H85" s="492"/>
      <c r="I85" s="492"/>
      <c r="J85" s="492"/>
      <c r="K85" s="492"/>
      <c r="L85" s="492"/>
      <c r="M85" s="495">
        <f t="shared" si="0"/>
        <v>21</v>
      </c>
      <c r="N85" s="691" t="s">
        <v>2653</v>
      </c>
      <c r="O85" s="493">
        <f t="shared" si="4"/>
        <v>21138</v>
      </c>
      <c r="P85" s="496">
        <v>1050</v>
      </c>
      <c r="Q85" s="496">
        <v>1369</v>
      </c>
      <c r="R85" s="496">
        <v>1090</v>
      </c>
      <c r="S85" s="496">
        <v>1381</v>
      </c>
      <c r="T85" s="496">
        <v>2280</v>
      </c>
      <c r="U85" s="496">
        <v>173</v>
      </c>
      <c r="V85" s="496">
        <v>2983</v>
      </c>
      <c r="W85" s="496">
        <v>3109</v>
      </c>
      <c r="X85" s="496">
        <v>2983</v>
      </c>
      <c r="Y85" s="496">
        <v>750</v>
      </c>
      <c r="Z85" s="496">
        <v>1426</v>
      </c>
      <c r="AA85" s="496">
        <v>2544</v>
      </c>
      <c r="AB85" s="492"/>
      <c r="AC85" s="492"/>
    </row>
    <row r="86" spans="1:29">
      <c r="A86" s="492"/>
      <c r="B86" s="492"/>
      <c r="C86" s="492"/>
      <c r="D86" s="492"/>
      <c r="E86" s="492"/>
      <c r="F86" s="492"/>
      <c r="G86" s="492"/>
      <c r="H86" s="492"/>
      <c r="I86" s="492"/>
      <c r="J86" s="492"/>
      <c r="K86" s="492"/>
      <c r="L86" s="492"/>
      <c r="M86" s="495">
        <f t="shared" si="0"/>
        <v>22</v>
      </c>
      <c r="N86" s="691" t="s">
        <v>2654</v>
      </c>
      <c r="O86" s="493">
        <f t="shared" si="4"/>
        <v>85956</v>
      </c>
      <c r="P86" s="496">
        <v>17420</v>
      </c>
      <c r="Q86" s="496">
        <v>17420</v>
      </c>
      <c r="R86" s="496">
        <v>0</v>
      </c>
      <c r="S86" s="496">
        <v>0</v>
      </c>
      <c r="T86" s="496">
        <v>0</v>
      </c>
      <c r="U86" s="496">
        <v>17420</v>
      </c>
      <c r="V86" s="496">
        <v>0</v>
      </c>
      <c r="W86" s="496">
        <v>0</v>
      </c>
      <c r="X86" s="496">
        <v>16848</v>
      </c>
      <c r="Y86" s="496">
        <v>0</v>
      </c>
      <c r="Z86" s="496">
        <v>0</v>
      </c>
      <c r="AA86" s="496">
        <v>16848</v>
      </c>
      <c r="AB86" s="492"/>
      <c r="AC86" s="492"/>
    </row>
    <row r="87" spans="1:29">
      <c r="A87" s="492"/>
      <c r="B87" s="492"/>
      <c r="C87" s="492"/>
      <c r="D87" s="492"/>
      <c r="E87" s="492"/>
      <c r="F87" s="492"/>
      <c r="G87" s="492"/>
      <c r="H87" s="492"/>
      <c r="I87" s="492"/>
      <c r="J87" s="492"/>
      <c r="K87" s="492"/>
      <c r="L87" s="492"/>
      <c r="M87" s="495">
        <f t="shared" si="0"/>
        <v>23</v>
      </c>
      <c r="N87" s="691" t="s">
        <v>2655</v>
      </c>
      <c r="O87" s="493">
        <f t="shared" si="4"/>
        <v>6852</v>
      </c>
      <c r="P87" s="496">
        <v>0</v>
      </c>
      <c r="Q87" s="496">
        <v>0</v>
      </c>
      <c r="R87" s="496">
        <v>0</v>
      </c>
      <c r="S87" s="496">
        <v>0</v>
      </c>
      <c r="T87" s="496">
        <v>0</v>
      </c>
      <c r="U87" s="496">
        <v>0</v>
      </c>
      <c r="V87" s="496">
        <v>1142</v>
      </c>
      <c r="W87" s="496">
        <v>1142</v>
      </c>
      <c r="X87" s="496">
        <v>1142</v>
      </c>
      <c r="Y87" s="496">
        <v>1142</v>
      </c>
      <c r="Z87" s="496">
        <v>1142</v>
      </c>
      <c r="AA87" s="496">
        <v>1142</v>
      </c>
      <c r="AB87" s="492"/>
      <c r="AC87" s="492"/>
    </row>
    <row r="88" spans="1:29">
      <c r="A88" s="492"/>
      <c r="B88" s="492"/>
      <c r="C88" s="492"/>
      <c r="D88" s="492"/>
      <c r="E88" s="492"/>
      <c r="F88" s="492"/>
      <c r="G88" s="492"/>
      <c r="H88" s="492"/>
      <c r="I88" s="492"/>
      <c r="J88" s="492"/>
      <c r="K88" s="492"/>
      <c r="L88" s="492"/>
      <c r="M88" s="495">
        <f t="shared" si="0"/>
        <v>24</v>
      </c>
      <c r="N88" s="691" t="s">
        <v>2656</v>
      </c>
      <c r="O88" s="493">
        <f t="shared" si="4"/>
        <v>11034</v>
      </c>
      <c r="P88" s="496">
        <v>0</v>
      </c>
      <c r="Q88" s="496">
        <v>0</v>
      </c>
      <c r="R88" s="496">
        <v>0</v>
      </c>
      <c r="S88" s="496">
        <v>0</v>
      </c>
      <c r="T88" s="496">
        <v>0</v>
      </c>
      <c r="U88" s="496">
        <v>0</v>
      </c>
      <c r="V88" s="496">
        <v>4089</v>
      </c>
      <c r="W88" s="496">
        <v>1389</v>
      </c>
      <c r="X88" s="496">
        <v>1389</v>
      </c>
      <c r="Y88" s="496">
        <v>1389</v>
      </c>
      <c r="Z88" s="496">
        <v>1389</v>
      </c>
      <c r="AA88" s="496">
        <v>1389</v>
      </c>
      <c r="AB88" s="492"/>
      <c r="AC88" s="492"/>
    </row>
    <row r="89" spans="1:29">
      <c r="A89" s="492"/>
      <c r="B89" s="492"/>
      <c r="C89" s="492"/>
      <c r="D89" s="492"/>
      <c r="E89" s="492"/>
      <c r="F89" s="492"/>
      <c r="G89" s="492"/>
      <c r="H89" s="492"/>
      <c r="I89" s="492"/>
      <c r="J89" s="492"/>
      <c r="K89" s="492"/>
      <c r="L89" s="492"/>
      <c r="M89" s="495">
        <f t="shared" si="0"/>
        <v>25</v>
      </c>
      <c r="N89" s="691" t="s">
        <v>2657</v>
      </c>
      <c r="O89" s="493">
        <f t="shared" si="4"/>
        <v>4392</v>
      </c>
      <c r="P89" s="496">
        <v>0</v>
      </c>
      <c r="Q89" s="496">
        <v>2471</v>
      </c>
      <c r="R89" s="496">
        <v>0</v>
      </c>
      <c r="S89" s="496">
        <v>43</v>
      </c>
      <c r="T89" s="496">
        <v>0</v>
      </c>
      <c r="U89" s="496">
        <v>0</v>
      </c>
      <c r="V89" s="496">
        <v>313</v>
      </c>
      <c r="W89" s="496">
        <v>313</v>
      </c>
      <c r="X89" s="496">
        <v>313</v>
      </c>
      <c r="Y89" s="496">
        <v>313</v>
      </c>
      <c r="Z89" s="496">
        <v>313</v>
      </c>
      <c r="AA89" s="496">
        <v>313</v>
      </c>
      <c r="AB89" s="492"/>
      <c r="AC89" s="492"/>
    </row>
    <row r="90" spans="1:29">
      <c r="A90" s="492"/>
      <c r="B90" s="492"/>
      <c r="C90" s="492"/>
      <c r="D90" s="492"/>
      <c r="E90" s="492"/>
      <c r="F90" s="492"/>
      <c r="G90" s="492"/>
      <c r="H90" s="492"/>
      <c r="I90" s="492"/>
      <c r="J90" s="492"/>
      <c r="K90" s="492"/>
      <c r="L90" s="492"/>
      <c r="M90" s="495">
        <f t="shared" si="0"/>
        <v>26</v>
      </c>
      <c r="N90" s="691" t="s">
        <v>2658</v>
      </c>
      <c r="O90" s="493">
        <f t="shared" si="4"/>
        <v>41045</v>
      </c>
      <c r="P90" s="496">
        <v>0</v>
      </c>
      <c r="Q90" s="496">
        <v>2052</v>
      </c>
      <c r="R90" s="496">
        <v>-2052</v>
      </c>
      <c r="S90" s="496">
        <v>0</v>
      </c>
      <c r="T90" s="496">
        <v>0</v>
      </c>
      <c r="U90" s="496">
        <v>41045</v>
      </c>
      <c r="V90" s="496">
        <v>0</v>
      </c>
      <c r="W90" s="496">
        <v>0</v>
      </c>
      <c r="X90" s="496">
        <v>0</v>
      </c>
      <c r="Y90" s="496">
        <v>0</v>
      </c>
      <c r="Z90" s="496">
        <v>0</v>
      </c>
      <c r="AA90" s="496">
        <v>0</v>
      </c>
      <c r="AB90" s="492"/>
      <c r="AC90" s="492"/>
    </row>
    <row r="91" spans="1:29">
      <c r="A91" s="492"/>
      <c r="B91" s="492"/>
      <c r="C91" s="492"/>
      <c r="D91" s="492"/>
      <c r="E91" s="492"/>
      <c r="F91" s="492"/>
      <c r="G91" s="492"/>
      <c r="H91" s="492"/>
      <c r="I91" s="492"/>
      <c r="J91" s="492"/>
      <c r="K91" s="492"/>
      <c r="L91" s="492"/>
      <c r="M91" s="495">
        <f t="shared" si="0"/>
        <v>27</v>
      </c>
      <c r="N91" s="691" t="s">
        <v>2659</v>
      </c>
      <c r="O91" s="493">
        <f t="shared" si="4"/>
        <v>242</v>
      </c>
      <c r="P91" s="496">
        <v>0</v>
      </c>
      <c r="Q91" s="496">
        <v>242</v>
      </c>
      <c r="R91" s="496">
        <v>0</v>
      </c>
      <c r="S91" s="496">
        <v>0</v>
      </c>
      <c r="T91" s="496">
        <v>0</v>
      </c>
      <c r="U91" s="496">
        <v>0</v>
      </c>
      <c r="V91" s="496">
        <v>0</v>
      </c>
      <c r="W91" s="496">
        <v>0</v>
      </c>
      <c r="X91" s="496">
        <v>0</v>
      </c>
      <c r="Y91" s="496">
        <v>0</v>
      </c>
      <c r="Z91" s="496">
        <v>0</v>
      </c>
      <c r="AA91" s="496">
        <v>0</v>
      </c>
      <c r="AB91" s="492"/>
      <c r="AC91" s="492"/>
    </row>
    <row r="92" spans="1:29">
      <c r="A92" s="492"/>
      <c r="B92" s="492"/>
      <c r="C92" s="492"/>
      <c r="D92" s="492"/>
      <c r="E92" s="492"/>
      <c r="F92" s="492"/>
      <c r="G92" s="492"/>
      <c r="H92" s="492"/>
      <c r="I92" s="492"/>
      <c r="J92" s="492"/>
      <c r="K92" s="492"/>
      <c r="L92" s="492"/>
      <c r="M92" s="495">
        <f t="shared" si="0"/>
        <v>28</v>
      </c>
      <c r="N92" s="691" t="s">
        <v>2660</v>
      </c>
      <c r="O92" s="493">
        <f t="shared" si="4"/>
        <v>156</v>
      </c>
      <c r="P92" s="496">
        <v>77</v>
      </c>
      <c r="Q92" s="496">
        <v>280</v>
      </c>
      <c r="R92" s="496">
        <v>67</v>
      </c>
      <c r="S92" s="496">
        <v>42</v>
      </c>
      <c r="T92" s="496">
        <v>52</v>
      </c>
      <c r="U92" s="496">
        <v>2</v>
      </c>
      <c r="V92" s="496">
        <v>-70</v>
      </c>
      <c r="W92" s="496">
        <v>-84</v>
      </c>
      <c r="X92" s="496">
        <v>-70</v>
      </c>
      <c r="Y92" s="496">
        <v>-83</v>
      </c>
      <c r="Z92" s="496">
        <v>-35</v>
      </c>
      <c r="AA92" s="496">
        <v>-22</v>
      </c>
      <c r="AB92" s="492"/>
      <c r="AC92" s="492"/>
    </row>
    <row r="93" spans="1:29">
      <c r="A93" s="492"/>
      <c r="B93" s="492"/>
      <c r="C93" s="492"/>
      <c r="D93" s="492"/>
      <c r="E93" s="492"/>
      <c r="F93" s="492"/>
      <c r="G93" s="492"/>
      <c r="H93" s="492"/>
      <c r="I93" s="492"/>
      <c r="J93" s="492"/>
      <c r="K93" s="492"/>
      <c r="L93" s="492"/>
      <c r="M93" s="495">
        <f t="shared" si="0"/>
        <v>29</v>
      </c>
      <c r="N93" s="691" t="s">
        <v>2661</v>
      </c>
      <c r="O93" s="493">
        <f t="shared" si="4"/>
        <v>1500</v>
      </c>
      <c r="P93" s="496">
        <v>0</v>
      </c>
      <c r="Q93" s="496">
        <v>0</v>
      </c>
      <c r="R93" s="496">
        <v>0</v>
      </c>
      <c r="S93" s="496">
        <v>0</v>
      </c>
      <c r="T93" s="496">
        <v>0</v>
      </c>
      <c r="U93" s="496">
        <v>0</v>
      </c>
      <c r="V93" s="496">
        <v>250</v>
      </c>
      <c r="W93" s="496">
        <v>250</v>
      </c>
      <c r="X93" s="496">
        <v>250</v>
      </c>
      <c r="Y93" s="496">
        <v>250</v>
      </c>
      <c r="Z93" s="496">
        <v>250</v>
      </c>
      <c r="AA93" s="496">
        <v>250</v>
      </c>
      <c r="AB93" s="492"/>
      <c r="AC93" s="492"/>
    </row>
    <row r="94" spans="1:29">
      <c r="A94" s="492"/>
      <c r="B94" s="492"/>
      <c r="C94" s="492"/>
      <c r="D94" s="492"/>
      <c r="E94" s="492"/>
      <c r="F94" s="492"/>
      <c r="G94" s="492"/>
      <c r="H94" s="492"/>
      <c r="I94" s="492"/>
      <c r="J94" s="492"/>
      <c r="K94" s="492"/>
      <c r="L94" s="492"/>
      <c r="M94" s="495">
        <f t="shared" si="0"/>
        <v>30</v>
      </c>
      <c r="N94" s="691" t="s">
        <v>2662</v>
      </c>
      <c r="O94" s="493">
        <f t="shared" si="4"/>
        <v>209217</v>
      </c>
      <c r="P94" s="496">
        <v>0</v>
      </c>
      <c r="Q94" s="496">
        <v>0</v>
      </c>
      <c r="R94" s="496">
        <v>0</v>
      </c>
      <c r="S94" s="496">
        <v>0</v>
      </c>
      <c r="T94" s="496">
        <v>230</v>
      </c>
      <c r="U94" s="496">
        <v>0</v>
      </c>
      <c r="V94" s="496">
        <v>34082</v>
      </c>
      <c r="W94" s="496">
        <v>34082</v>
      </c>
      <c r="X94" s="496">
        <v>34082</v>
      </c>
      <c r="Y94" s="496">
        <v>38577</v>
      </c>
      <c r="Z94" s="496">
        <v>34082</v>
      </c>
      <c r="AA94" s="496">
        <v>34082</v>
      </c>
      <c r="AB94" s="492"/>
      <c r="AC94" s="492"/>
    </row>
    <row r="95" spans="1:29">
      <c r="A95" s="492"/>
      <c r="B95" s="492"/>
      <c r="C95" s="492"/>
      <c r="D95" s="492"/>
      <c r="E95" s="492"/>
      <c r="F95" s="492"/>
      <c r="G95" s="492"/>
      <c r="H95" s="492"/>
      <c r="I95" s="492"/>
      <c r="J95" s="492"/>
      <c r="K95" s="492"/>
      <c r="L95" s="492"/>
      <c r="M95" s="495">
        <f t="shared" si="0"/>
        <v>31</v>
      </c>
      <c r="N95" s="691" t="s">
        <v>2663</v>
      </c>
      <c r="O95" s="493">
        <f t="shared" si="4"/>
        <v>199</v>
      </c>
      <c r="P95" s="496">
        <v>0</v>
      </c>
      <c r="Q95" s="496">
        <v>0</v>
      </c>
      <c r="R95" s="496">
        <v>0</v>
      </c>
      <c r="S95" s="496">
        <v>0</v>
      </c>
      <c r="T95" s="496">
        <v>74</v>
      </c>
      <c r="U95" s="496">
        <v>125</v>
      </c>
      <c r="V95" s="496">
        <v>0</v>
      </c>
      <c r="W95" s="496">
        <v>0</v>
      </c>
      <c r="X95" s="496">
        <v>0</v>
      </c>
      <c r="Y95" s="496">
        <v>0</v>
      </c>
      <c r="Z95" s="496">
        <v>0</v>
      </c>
      <c r="AA95" s="496">
        <v>0</v>
      </c>
      <c r="AB95" s="492"/>
      <c r="AC95" s="492"/>
    </row>
    <row r="96" spans="1:29">
      <c r="A96" s="492"/>
      <c r="B96" s="492"/>
      <c r="C96" s="492"/>
      <c r="D96" s="492"/>
      <c r="E96" s="492"/>
      <c r="F96" s="492"/>
      <c r="G96" s="492"/>
      <c r="H96" s="492"/>
      <c r="I96" s="492"/>
      <c r="J96" s="492"/>
      <c r="K96" s="492"/>
      <c r="L96" s="492"/>
      <c r="M96" s="495">
        <f t="shared" si="0"/>
        <v>32</v>
      </c>
      <c r="N96" s="691" t="s">
        <v>2664</v>
      </c>
      <c r="O96" s="493">
        <f t="shared" si="4"/>
        <v>225</v>
      </c>
      <c r="P96" s="496">
        <v>75</v>
      </c>
      <c r="Q96" s="496">
        <v>0</v>
      </c>
      <c r="R96" s="496">
        <v>0</v>
      </c>
      <c r="S96" s="496">
        <v>0</v>
      </c>
      <c r="T96" s="496">
        <v>0</v>
      </c>
      <c r="U96" s="496">
        <v>150</v>
      </c>
      <c r="V96" s="496">
        <v>0</v>
      </c>
      <c r="W96" s="496">
        <v>0</v>
      </c>
      <c r="X96" s="496">
        <v>0</v>
      </c>
      <c r="Y96" s="496">
        <v>0</v>
      </c>
      <c r="Z96" s="496">
        <v>0</v>
      </c>
      <c r="AA96" s="496">
        <v>0</v>
      </c>
      <c r="AB96" s="492"/>
      <c r="AC96" s="492"/>
    </row>
    <row r="97" spans="1:29">
      <c r="A97" s="492"/>
      <c r="B97" s="492"/>
      <c r="C97" s="492"/>
      <c r="D97" s="492"/>
      <c r="E97" s="492"/>
      <c r="F97" s="492"/>
      <c r="G97" s="492"/>
      <c r="H97" s="492"/>
      <c r="I97" s="492"/>
      <c r="J97" s="492"/>
      <c r="K97" s="492"/>
      <c r="L97" s="492"/>
      <c r="M97" s="495">
        <f t="shared" si="0"/>
        <v>33</v>
      </c>
      <c r="N97" s="691" t="s">
        <v>2665</v>
      </c>
      <c r="O97" s="493">
        <f t="shared" si="4"/>
        <v>218</v>
      </c>
      <c r="P97" s="496">
        <v>0</v>
      </c>
      <c r="Q97" s="496">
        <v>0</v>
      </c>
      <c r="R97" s="496">
        <v>0</v>
      </c>
      <c r="S97" s="496">
        <v>0</v>
      </c>
      <c r="T97" s="496">
        <v>0</v>
      </c>
      <c r="U97" s="496">
        <v>218</v>
      </c>
      <c r="V97" s="496">
        <v>0</v>
      </c>
      <c r="W97" s="496">
        <v>0</v>
      </c>
      <c r="X97" s="496">
        <v>0</v>
      </c>
      <c r="Y97" s="496">
        <v>0</v>
      </c>
      <c r="Z97" s="496">
        <v>0</v>
      </c>
      <c r="AA97" s="496">
        <v>0</v>
      </c>
      <c r="AB97" s="492"/>
      <c r="AC97" s="492"/>
    </row>
    <row r="98" spans="1:29">
      <c r="A98" s="492"/>
      <c r="B98" s="492"/>
      <c r="C98" s="492"/>
      <c r="D98" s="492"/>
      <c r="E98" s="492"/>
      <c r="F98" s="492"/>
      <c r="G98" s="492"/>
      <c r="H98" s="492"/>
      <c r="I98" s="492"/>
      <c r="J98" s="492"/>
      <c r="K98" s="492"/>
      <c r="L98" s="492"/>
      <c r="M98" s="495">
        <f t="shared" ref="M98:M121" si="5">M97+1</f>
        <v>34</v>
      </c>
      <c r="N98" s="691" t="s">
        <v>2666</v>
      </c>
      <c r="O98" s="493">
        <f>SUM(P98:AA98)</f>
        <v>-287209</v>
      </c>
      <c r="P98" s="496">
        <v>-24762</v>
      </c>
      <c r="Q98" s="496">
        <v>-25110</v>
      </c>
      <c r="R98" s="496">
        <v>-24165</v>
      </c>
      <c r="S98" s="496">
        <v>-34963</v>
      </c>
      <c r="T98" s="496">
        <v>-39199</v>
      </c>
      <c r="U98" s="496">
        <v>-14462</v>
      </c>
      <c r="V98" s="496">
        <v>-20885</v>
      </c>
      <c r="W98" s="496">
        <v>-21182</v>
      </c>
      <c r="X98" s="496">
        <v>-21113</v>
      </c>
      <c r="Y98" s="496">
        <v>-21183</v>
      </c>
      <c r="Z98" s="496">
        <v>-20345</v>
      </c>
      <c r="AA98" s="496">
        <v>-19840</v>
      </c>
      <c r="AB98" s="492"/>
      <c r="AC98" s="492"/>
    </row>
    <row r="99" spans="1:29">
      <c r="A99" s="492"/>
      <c r="B99" s="492"/>
      <c r="C99" s="492"/>
      <c r="D99" s="492"/>
      <c r="E99" s="492"/>
      <c r="F99" s="492"/>
      <c r="G99" s="492"/>
      <c r="H99" s="492"/>
      <c r="I99" s="492"/>
      <c r="J99" s="492"/>
      <c r="K99" s="492"/>
      <c r="L99" s="492"/>
      <c r="M99" s="495">
        <f t="shared" si="5"/>
        <v>35</v>
      </c>
      <c r="N99" s="691" t="s">
        <v>2667</v>
      </c>
      <c r="O99" s="493">
        <f>SUM(P99:AA99)</f>
        <v>18132</v>
      </c>
      <c r="P99" s="496">
        <v>924</v>
      </c>
      <c r="Q99" s="496">
        <v>702</v>
      </c>
      <c r="R99" s="496">
        <v>1217</v>
      </c>
      <c r="S99" s="496">
        <v>702</v>
      </c>
      <c r="T99" s="496">
        <v>1405</v>
      </c>
      <c r="U99" s="496">
        <v>936</v>
      </c>
      <c r="V99" s="496">
        <v>2045</v>
      </c>
      <c r="W99" s="496">
        <v>2045</v>
      </c>
      <c r="X99" s="496">
        <v>2045</v>
      </c>
      <c r="Y99" s="496">
        <v>2045</v>
      </c>
      <c r="Z99" s="496">
        <v>2033</v>
      </c>
      <c r="AA99" s="496">
        <v>2033</v>
      </c>
      <c r="AB99" s="492"/>
      <c r="AC99" s="492"/>
    </row>
    <row r="100" spans="1:29">
      <c r="A100" s="492"/>
      <c r="B100" s="492"/>
      <c r="C100" s="492"/>
      <c r="D100" s="492"/>
      <c r="E100" s="492"/>
      <c r="F100" s="492"/>
      <c r="G100" s="492"/>
      <c r="H100" s="492"/>
      <c r="I100" s="492"/>
      <c r="J100" s="492"/>
      <c r="K100" s="492"/>
      <c r="L100" s="492"/>
      <c r="M100" s="495">
        <f t="shared" si="5"/>
        <v>36</v>
      </c>
      <c r="N100" s="691" t="s">
        <v>2668</v>
      </c>
      <c r="O100" s="493">
        <f t="shared" si="4"/>
        <v>72397</v>
      </c>
      <c r="P100" s="496">
        <v>5474</v>
      </c>
      <c r="Q100" s="496">
        <v>5676</v>
      </c>
      <c r="R100" s="496">
        <v>4280</v>
      </c>
      <c r="S100" s="496">
        <v>7956</v>
      </c>
      <c r="T100" s="496">
        <v>6427</v>
      </c>
      <c r="U100" s="496">
        <v>5503</v>
      </c>
      <c r="V100" s="496">
        <v>6419</v>
      </c>
      <c r="W100" s="496">
        <v>6362</v>
      </c>
      <c r="X100" s="496">
        <v>6254</v>
      </c>
      <c r="Y100" s="496">
        <v>6502</v>
      </c>
      <c r="Z100" s="496">
        <v>5963</v>
      </c>
      <c r="AA100" s="496">
        <v>5581</v>
      </c>
      <c r="AB100" s="492"/>
      <c r="AC100" s="492"/>
    </row>
    <row r="101" spans="1:29">
      <c r="A101" s="492"/>
      <c r="B101" s="492"/>
      <c r="C101" s="492"/>
      <c r="D101" s="492"/>
      <c r="E101" s="492"/>
      <c r="F101" s="492"/>
      <c r="G101" s="492"/>
      <c r="H101" s="492"/>
      <c r="I101" s="492"/>
      <c r="J101" s="492"/>
      <c r="K101" s="492"/>
      <c r="L101" s="492"/>
      <c r="M101" s="495">
        <f t="shared" si="5"/>
        <v>37</v>
      </c>
      <c r="N101" s="691" t="s">
        <v>2669</v>
      </c>
      <c r="O101" s="493">
        <f t="shared" si="4"/>
        <v>28709</v>
      </c>
      <c r="P101" s="496">
        <v>1827</v>
      </c>
      <c r="Q101" s="496">
        <v>2194</v>
      </c>
      <c r="R101" s="496">
        <v>1921</v>
      </c>
      <c r="S101" s="496">
        <v>3473</v>
      </c>
      <c r="T101" s="496">
        <v>2579</v>
      </c>
      <c r="U101" s="496">
        <v>3168</v>
      </c>
      <c r="V101" s="496">
        <v>2274</v>
      </c>
      <c r="W101" s="496">
        <v>2197</v>
      </c>
      <c r="X101" s="496">
        <v>2289</v>
      </c>
      <c r="Y101" s="496">
        <v>2215</v>
      </c>
      <c r="Z101" s="496">
        <v>2365</v>
      </c>
      <c r="AA101" s="496">
        <v>2207</v>
      </c>
      <c r="AB101" s="492"/>
      <c r="AC101" s="492"/>
    </row>
    <row r="102" spans="1:29">
      <c r="A102" s="492"/>
      <c r="B102" s="492"/>
      <c r="C102" s="492"/>
      <c r="D102" s="492"/>
      <c r="E102" s="492"/>
      <c r="F102" s="492"/>
      <c r="G102" s="492"/>
      <c r="H102" s="492"/>
      <c r="I102" s="492"/>
      <c r="J102" s="492"/>
      <c r="K102" s="492"/>
      <c r="L102" s="492"/>
      <c r="M102" s="495">
        <f t="shared" si="5"/>
        <v>38</v>
      </c>
      <c r="N102" s="691" t="s">
        <v>2670</v>
      </c>
      <c r="O102" s="493">
        <f t="shared" ref="O102:O113" si="6">SUM(P102:AA102)</f>
        <v>196</v>
      </c>
      <c r="P102" s="496">
        <v>0</v>
      </c>
      <c r="Q102" s="496">
        <v>138</v>
      </c>
      <c r="R102" s="496">
        <v>0</v>
      </c>
      <c r="S102" s="496">
        <v>58</v>
      </c>
      <c r="T102" s="496">
        <v>0</v>
      </c>
      <c r="U102" s="496">
        <v>0</v>
      </c>
      <c r="V102" s="496">
        <v>0</v>
      </c>
      <c r="W102" s="496">
        <v>0</v>
      </c>
      <c r="X102" s="496">
        <v>0</v>
      </c>
      <c r="Y102" s="496">
        <v>0</v>
      </c>
      <c r="Z102" s="496">
        <v>0</v>
      </c>
      <c r="AA102" s="496">
        <v>0</v>
      </c>
      <c r="AB102" s="492"/>
      <c r="AC102" s="492"/>
    </row>
    <row r="103" spans="1:29">
      <c r="A103" s="492"/>
      <c r="B103" s="492"/>
      <c r="C103" s="492"/>
      <c r="D103" s="492"/>
      <c r="E103" s="492"/>
      <c r="F103" s="492"/>
      <c r="G103" s="492"/>
      <c r="H103" s="492"/>
      <c r="I103" s="492"/>
      <c r="J103" s="492"/>
      <c r="K103" s="492"/>
      <c r="L103" s="492"/>
      <c r="M103" s="495">
        <f t="shared" si="5"/>
        <v>39</v>
      </c>
      <c r="N103" s="691" t="s">
        <v>2671</v>
      </c>
      <c r="O103" s="493">
        <f t="shared" si="6"/>
        <v>546</v>
      </c>
      <c r="P103" s="496">
        <v>273</v>
      </c>
      <c r="Q103" s="496">
        <v>273</v>
      </c>
      <c r="R103" s="496">
        <v>0</v>
      </c>
      <c r="S103" s="496">
        <v>0</v>
      </c>
      <c r="T103" s="496">
        <v>0</v>
      </c>
      <c r="U103" s="496">
        <v>0</v>
      </c>
      <c r="V103" s="496">
        <v>0</v>
      </c>
      <c r="W103" s="496">
        <v>0</v>
      </c>
      <c r="X103" s="496">
        <v>0</v>
      </c>
      <c r="Y103" s="496">
        <v>0</v>
      </c>
      <c r="Z103" s="496">
        <v>0</v>
      </c>
      <c r="AA103" s="496">
        <v>0</v>
      </c>
      <c r="AB103" s="492"/>
      <c r="AC103" s="492"/>
    </row>
    <row r="104" spans="1:29">
      <c r="A104" s="492"/>
      <c r="B104" s="492"/>
      <c r="C104" s="492"/>
      <c r="D104" s="492"/>
      <c r="E104" s="492"/>
      <c r="F104" s="492"/>
      <c r="G104" s="492"/>
      <c r="H104" s="492"/>
      <c r="I104" s="492"/>
      <c r="J104" s="492"/>
      <c r="K104" s="492"/>
      <c r="L104" s="492"/>
      <c r="M104" s="495">
        <f t="shared" si="5"/>
        <v>40</v>
      </c>
      <c r="N104" s="691" t="s">
        <v>2672</v>
      </c>
      <c r="O104" s="493">
        <f t="shared" si="6"/>
        <v>322</v>
      </c>
      <c r="P104" s="496">
        <v>0</v>
      </c>
      <c r="Q104" s="496">
        <v>0</v>
      </c>
      <c r="R104" s="496">
        <v>0</v>
      </c>
      <c r="S104" s="496">
        <v>322</v>
      </c>
      <c r="T104" s="496">
        <v>0</v>
      </c>
      <c r="U104" s="496">
        <v>0</v>
      </c>
      <c r="V104" s="496">
        <v>0</v>
      </c>
      <c r="W104" s="496">
        <v>0</v>
      </c>
      <c r="X104" s="496">
        <v>0</v>
      </c>
      <c r="Y104" s="496">
        <v>0</v>
      </c>
      <c r="Z104" s="496">
        <v>0</v>
      </c>
      <c r="AA104" s="496">
        <v>0</v>
      </c>
      <c r="AB104" s="492"/>
      <c r="AC104" s="492"/>
    </row>
    <row r="105" spans="1:29">
      <c r="A105" s="492"/>
      <c r="B105" s="492"/>
      <c r="C105" s="492"/>
      <c r="D105" s="492"/>
      <c r="E105" s="492"/>
      <c r="F105" s="492"/>
      <c r="G105" s="492"/>
      <c r="H105" s="492"/>
      <c r="I105" s="492"/>
      <c r="J105" s="492"/>
      <c r="K105" s="492"/>
      <c r="L105" s="492"/>
      <c r="M105" s="495">
        <f t="shared" si="5"/>
        <v>41</v>
      </c>
      <c r="N105" s="691" t="s">
        <v>2673</v>
      </c>
      <c r="O105" s="493">
        <f t="shared" si="6"/>
        <v>0</v>
      </c>
      <c r="P105" s="496">
        <v>0</v>
      </c>
      <c r="Q105" s="496">
        <v>0</v>
      </c>
      <c r="R105" s="496">
        <v>-3608</v>
      </c>
      <c r="S105" s="496">
        <v>3608</v>
      </c>
      <c r="T105" s="496">
        <v>0</v>
      </c>
      <c r="U105" s="496">
        <v>0</v>
      </c>
      <c r="V105" s="496">
        <v>0</v>
      </c>
      <c r="W105" s="496">
        <v>0</v>
      </c>
      <c r="X105" s="496">
        <v>0</v>
      </c>
      <c r="Y105" s="496">
        <v>0</v>
      </c>
      <c r="Z105" s="496">
        <v>0</v>
      </c>
      <c r="AA105" s="496">
        <v>0</v>
      </c>
      <c r="AB105" s="492"/>
      <c r="AC105" s="492"/>
    </row>
    <row r="106" spans="1:29">
      <c r="A106" s="492"/>
      <c r="B106" s="492"/>
      <c r="C106" s="492"/>
      <c r="D106" s="492"/>
      <c r="E106" s="492"/>
      <c r="F106" s="492"/>
      <c r="G106" s="492"/>
      <c r="H106" s="492"/>
      <c r="I106" s="492"/>
      <c r="J106" s="492"/>
      <c r="K106" s="492"/>
      <c r="L106" s="492"/>
      <c r="M106" s="495">
        <f t="shared" si="5"/>
        <v>42</v>
      </c>
      <c r="N106" s="691" t="s">
        <v>2674</v>
      </c>
      <c r="O106" s="493">
        <f t="shared" si="6"/>
        <v>1035</v>
      </c>
      <c r="P106" s="496">
        <v>791</v>
      </c>
      <c r="Q106" s="496">
        <v>0</v>
      </c>
      <c r="R106" s="496">
        <v>0</v>
      </c>
      <c r="S106" s="496">
        <v>0</v>
      </c>
      <c r="T106" s="496">
        <v>244</v>
      </c>
      <c r="U106" s="496">
        <v>0</v>
      </c>
      <c r="V106" s="496">
        <v>0</v>
      </c>
      <c r="W106" s="496">
        <v>0</v>
      </c>
      <c r="X106" s="496">
        <v>0</v>
      </c>
      <c r="Y106" s="496">
        <v>0</v>
      </c>
      <c r="Z106" s="496">
        <v>0</v>
      </c>
      <c r="AA106" s="496">
        <v>0</v>
      </c>
      <c r="AB106" s="492"/>
      <c r="AC106" s="492"/>
    </row>
    <row r="107" spans="1:29">
      <c r="A107" s="492"/>
      <c r="B107" s="492"/>
      <c r="C107" s="492"/>
      <c r="D107" s="492"/>
      <c r="E107" s="492"/>
      <c r="F107" s="492"/>
      <c r="G107" s="492"/>
      <c r="H107" s="492"/>
      <c r="I107" s="492"/>
      <c r="J107" s="492"/>
      <c r="K107" s="492"/>
      <c r="L107" s="492"/>
      <c r="M107" s="495">
        <f t="shared" si="5"/>
        <v>43</v>
      </c>
      <c r="N107" s="691" t="s">
        <v>2675</v>
      </c>
      <c r="O107" s="493">
        <f t="shared" si="6"/>
        <v>-39428</v>
      </c>
      <c r="P107" s="496">
        <v>302</v>
      </c>
      <c r="Q107" s="496">
        <v>-4733</v>
      </c>
      <c r="R107" s="496">
        <v>397</v>
      </c>
      <c r="S107" s="496">
        <v>-11268</v>
      </c>
      <c r="T107" s="496">
        <v>-3948</v>
      </c>
      <c r="U107" s="496">
        <v>-7476</v>
      </c>
      <c r="V107" s="496">
        <v>-2820</v>
      </c>
      <c r="W107" s="496">
        <v>954</v>
      </c>
      <c r="X107" s="496">
        <v>-4621</v>
      </c>
      <c r="Y107" s="496">
        <v>-2821</v>
      </c>
      <c r="Z107" s="496">
        <v>1298</v>
      </c>
      <c r="AA107" s="496">
        <v>-4692</v>
      </c>
      <c r="AB107" s="492"/>
      <c r="AC107" s="492"/>
    </row>
    <row r="108" spans="1:29">
      <c r="A108" s="492"/>
      <c r="B108" s="492"/>
      <c r="C108" s="492"/>
      <c r="D108" s="492"/>
      <c r="E108" s="492"/>
      <c r="F108" s="492"/>
      <c r="G108" s="492"/>
      <c r="H108" s="492"/>
      <c r="I108" s="492"/>
      <c r="J108" s="492"/>
      <c r="K108" s="492"/>
      <c r="L108" s="492"/>
      <c r="M108" s="495">
        <f t="shared" si="5"/>
        <v>44</v>
      </c>
      <c r="N108" s="691" t="s">
        <v>2676</v>
      </c>
      <c r="O108" s="493">
        <f t="shared" si="6"/>
        <v>11428</v>
      </c>
      <c r="P108" s="496">
        <v>5714</v>
      </c>
      <c r="Q108" s="496">
        <v>5714</v>
      </c>
      <c r="R108" s="496">
        <v>0</v>
      </c>
      <c r="S108" s="496">
        <v>0</v>
      </c>
      <c r="T108" s="496">
        <v>0</v>
      </c>
      <c r="U108" s="496">
        <v>0</v>
      </c>
      <c r="V108" s="496">
        <v>0</v>
      </c>
      <c r="W108" s="496">
        <v>0</v>
      </c>
      <c r="X108" s="496">
        <v>0</v>
      </c>
      <c r="Y108" s="496">
        <v>0</v>
      </c>
      <c r="Z108" s="496">
        <v>0</v>
      </c>
      <c r="AA108" s="496">
        <v>0</v>
      </c>
      <c r="AB108" s="492"/>
      <c r="AC108" s="492"/>
    </row>
    <row r="109" spans="1:29">
      <c r="A109" s="492"/>
      <c r="B109" s="492"/>
      <c r="C109" s="492"/>
      <c r="D109" s="492"/>
      <c r="E109" s="492"/>
      <c r="F109" s="492"/>
      <c r="G109" s="492"/>
      <c r="H109" s="492"/>
      <c r="I109" s="492"/>
      <c r="J109" s="492"/>
      <c r="K109" s="492"/>
      <c r="L109" s="492"/>
      <c r="M109" s="495">
        <f t="shared" si="5"/>
        <v>45</v>
      </c>
      <c r="N109" s="691" t="s">
        <v>2677</v>
      </c>
      <c r="O109" s="493">
        <f t="shared" si="6"/>
        <v>435710</v>
      </c>
      <c r="P109" s="496">
        <v>35034</v>
      </c>
      <c r="Q109" s="496">
        <v>47004</v>
      </c>
      <c r="R109" s="496">
        <v>39662</v>
      </c>
      <c r="S109" s="496">
        <v>37454</v>
      </c>
      <c r="T109" s="496">
        <v>97101</v>
      </c>
      <c r="U109" s="496">
        <v>1114</v>
      </c>
      <c r="V109" s="496">
        <v>39680</v>
      </c>
      <c r="W109" s="496">
        <v>39680</v>
      </c>
      <c r="X109" s="496">
        <v>39680</v>
      </c>
      <c r="Y109" s="496">
        <v>461</v>
      </c>
      <c r="Z109" s="496">
        <v>19160</v>
      </c>
      <c r="AA109" s="496">
        <v>39680</v>
      </c>
      <c r="AB109" s="492"/>
      <c r="AC109" s="492"/>
    </row>
    <row r="110" spans="1:29">
      <c r="A110" s="492"/>
      <c r="B110" s="492"/>
      <c r="C110" s="492"/>
      <c r="D110" s="492"/>
      <c r="E110" s="492"/>
      <c r="F110" s="492"/>
      <c r="G110" s="492"/>
      <c r="H110" s="492"/>
      <c r="I110" s="492"/>
      <c r="J110" s="492"/>
      <c r="K110" s="492"/>
      <c r="L110" s="492"/>
      <c r="M110" s="495">
        <f t="shared" si="5"/>
        <v>46</v>
      </c>
      <c r="N110" s="691" t="s">
        <v>2678</v>
      </c>
      <c r="O110" s="493">
        <f t="shared" si="6"/>
        <v>2230</v>
      </c>
      <c r="P110" s="496">
        <v>182</v>
      </c>
      <c r="Q110" s="496">
        <v>278</v>
      </c>
      <c r="R110" s="496">
        <v>135</v>
      </c>
      <c r="S110" s="496">
        <v>1077</v>
      </c>
      <c r="T110" s="496">
        <v>265</v>
      </c>
      <c r="U110" s="496">
        <v>701</v>
      </c>
      <c r="V110" s="496">
        <v>-68</v>
      </c>
      <c r="W110" s="496">
        <v>-68</v>
      </c>
      <c r="X110" s="496">
        <v>-68</v>
      </c>
      <c r="Y110" s="496">
        <v>-68</v>
      </c>
      <c r="Z110" s="496">
        <v>-68</v>
      </c>
      <c r="AA110" s="496">
        <v>-68</v>
      </c>
      <c r="AB110" s="492"/>
      <c r="AC110" s="492"/>
    </row>
    <row r="111" spans="1:29">
      <c r="A111" s="492"/>
      <c r="B111" s="492"/>
      <c r="C111" s="492"/>
      <c r="D111" s="492"/>
      <c r="E111" s="492"/>
      <c r="F111" s="492"/>
      <c r="G111" s="492"/>
      <c r="H111" s="492"/>
      <c r="I111" s="492"/>
      <c r="J111" s="492"/>
      <c r="K111" s="492"/>
      <c r="L111" s="492"/>
      <c r="M111" s="495">
        <f t="shared" si="5"/>
        <v>47</v>
      </c>
      <c r="N111" s="691" t="s">
        <v>2679</v>
      </c>
      <c r="O111" s="493">
        <f t="shared" si="6"/>
        <v>7783</v>
      </c>
      <c r="P111" s="496">
        <v>837</v>
      </c>
      <c r="Q111" s="496">
        <v>836</v>
      </c>
      <c r="R111" s="496">
        <v>619</v>
      </c>
      <c r="S111" s="496">
        <v>510</v>
      </c>
      <c r="T111" s="496">
        <v>293</v>
      </c>
      <c r="U111" s="496">
        <v>245</v>
      </c>
      <c r="V111" s="496">
        <v>722</v>
      </c>
      <c r="W111" s="496">
        <v>881</v>
      </c>
      <c r="X111" s="496">
        <v>720</v>
      </c>
      <c r="Y111" s="496">
        <v>720</v>
      </c>
      <c r="Z111" s="496">
        <v>700</v>
      </c>
      <c r="AA111" s="496">
        <v>700</v>
      </c>
      <c r="AB111" s="492"/>
      <c r="AC111" s="492"/>
    </row>
    <row r="112" spans="1:29">
      <c r="A112" s="492"/>
      <c r="B112" s="492"/>
      <c r="C112" s="492"/>
      <c r="D112" s="492"/>
      <c r="E112" s="492"/>
      <c r="F112" s="492"/>
      <c r="G112" s="492"/>
      <c r="H112" s="492"/>
      <c r="I112" s="492"/>
      <c r="J112" s="492"/>
      <c r="K112" s="492"/>
      <c r="L112" s="492"/>
      <c r="M112" s="495">
        <f t="shared" si="5"/>
        <v>48</v>
      </c>
      <c r="N112" s="691" t="s">
        <v>2680</v>
      </c>
      <c r="O112" s="493">
        <f t="shared" si="6"/>
        <v>11418</v>
      </c>
      <c r="P112" s="496">
        <v>3075</v>
      </c>
      <c r="Q112" s="496">
        <v>3074</v>
      </c>
      <c r="R112" s="496">
        <v>2284</v>
      </c>
      <c r="S112" s="496">
        <v>1869</v>
      </c>
      <c r="T112" s="496">
        <v>210</v>
      </c>
      <c r="U112" s="496">
        <v>906</v>
      </c>
      <c r="V112" s="496">
        <v>0</v>
      </c>
      <c r="W112" s="496">
        <v>0</v>
      </c>
      <c r="X112" s="496">
        <v>0</v>
      </c>
      <c r="Y112" s="496">
        <v>0</v>
      </c>
      <c r="Z112" s="496">
        <v>0</v>
      </c>
      <c r="AA112" s="496">
        <v>0</v>
      </c>
      <c r="AB112" s="492"/>
      <c r="AC112" s="492"/>
    </row>
    <row r="113" spans="1:29">
      <c r="A113" s="492"/>
      <c r="B113" s="492"/>
      <c r="C113" s="492"/>
      <c r="D113" s="492"/>
      <c r="E113" s="492"/>
      <c r="F113" s="492"/>
      <c r="G113" s="492"/>
      <c r="H113" s="492"/>
      <c r="I113" s="492"/>
      <c r="J113" s="492"/>
      <c r="K113" s="492"/>
      <c r="L113" s="492"/>
      <c r="M113" s="495">
        <f t="shared" si="5"/>
        <v>49</v>
      </c>
      <c r="N113" s="691" t="s">
        <v>2681</v>
      </c>
      <c r="O113" s="493">
        <f t="shared" si="6"/>
        <v>17500</v>
      </c>
      <c r="P113" s="496">
        <v>1206</v>
      </c>
      <c r="Q113" s="496">
        <v>1755</v>
      </c>
      <c r="R113" s="496">
        <v>1296</v>
      </c>
      <c r="S113" s="496">
        <v>1891</v>
      </c>
      <c r="T113" s="496">
        <v>2983</v>
      </c>
      <c r="U113" s="496">
        <v>1759</v>
      </c>
      <c r="V113" s="496">
        <v>800</v>
      </c>
      <c r="W113" s="496">
        <v>1250</v>
      </c>
      <c r="X113" s="496">
        <v>1480</v>
      </c>
      <c r="Y113" s="496">
        <v>1480</v>
      </c>
      <c r="Z113" s="496">
        <v>800</v>
      </c>
      <c r="AA113" s="496">
        <v>800</v>
      </c>
      <c r="AB113" s="492"/>
      <c r="AC113" s="492"/>
    </row>
    <row r="114" spans="1:29">
      <c r="A114" s="492"/>
      <c r="B114" s="492"/>
      <c r="C114" s="492"/>
      <c r="D114" s="492"/>
      <c r="E114" s="492"/>
      <c r="F114" s="492"/>
      <c r="G114" s="492"/>
      <c r="H114" s="492"/>
      <c r="I114" s="492"/>
      <c r="J114" s="492"/>
      <c r="K114" s="492"/>
      <c r="L114" s="492"/>
      <c r="M114" s="495">
        <f t="shared" si="5"/>
        <v>50</v>
      </c>
      <c r="N114" s="691" t="s">
        <v>2682</v>
      </c>
      <c r="O114" s="493">
        <f t="shared" si="4"/>
        <v>171</v>
      </c>
      <c r="P114" s="496">
        <v>0</v>
      </c>
      <c r="Q114" s="496">
        <v>0</v>
      </c>
      <c r="R114" s="496">
        <v>171</v>
      </c>
      <c r="S114" s="496">
        <v>0</v>
      </c>
      <c r="T114" s="496">
        <v>0</v>
      </c>
      <c r="U114" s="496">
        <v>0</v>
      </c>
      <c r="V114" s="496">
        <v>0</v>
      </c>
      <c r="W114" s="496">
        <v>0</v>
      </c>
      <c r="X114" s="496">
        <v>0</v>
      </c>
      <c r="Y114" s="496">
        <v>0</v>
      </c>
      <c r="Z114" s="496">
        <v>0</v>
      </c>
      <c r="AA114" s="496">
        <v>0</v>
      </c>
      <c r="AB114" s="492"/>
      <c r="AC114" s="492"/>
    </row>
    <row r="115" spans="1:29">
      <c r="A115" s="492"/>
      <c r="B115" s="492"/>
      <c r="C115" s="492"/>
      <c r="D115" s="492"/>
      <c r="E115" s="492"/>
      <c r="F115" s="492"/>
      <c r="G115" s="492"/>
      <c r="H115" s="492"/>
      <c r="I115" s="492"/>
      <c r="J115" s="492"/>
      <c r="K115" s="492"/>
      <c r="L115" s="492"/>
      <c r="M115" s="495">
        <f t="shared" si="5"/>
        <v>51</v>
      </c>
      <c r="N115" s="1725" t="s">
        <v>2683</v>
      </c>
      <c r="O115" s="493">
        <f t="shared" si="4"/>
        <v>20620</v>
      </c>
      <c r="P115" s="496">
        <v>0</v>
      </c>
      <c r="Q115" s="496">
        <v>0</v>
      </c>
      <c r="R115" s="496">
        <v>0</v>
      </c>
      <c r="S115" s="496">
        <v>0</v>
      </c>
      <c r="T115" s="496">
        <v>0</v>
      </c>
      <c r="U115" s="496">
        <v>20620</v>
      </c>
      <c r="V115" s="496">
        <v>0</v>
      </c>
      <c r="W115" s="496">
        <v>0</v>
      </c>
      <c r="X115" s="496">
        <v>0</v>
      </c>
      <c r="Y115" s="496">
        <v>0</v>
      </c>
      <c r="Z115" s="496">
        <v>0</v>
      </c>
      <c r="AA115" s="496">
        <v>0</v>
      </c>
      <c r="AB115" s="492"/>
      <c r="AC115" s="492"/>
    </row>
    <row r="116" spans="1:29">
      <c r="A116" s="492"/>
      <c r="B116" s="492"/>
      <c r="C116" s="492"/>
      <c r="D116" s="492"/>
      <c r="E116" s="492"/>
      <c r="F116" s="492"/>
      <c r="G116" s="492"/>
      <c r="H116" s="492"/>
      <c r="I116" s="492"/>
      <c r="J116" s="492"/>
      <c r="K116" s="492"/>
      <c r="L116" s="492"/>
      <c r="M116" s="495">
        <f t="shared" si="5"/>
        <v>52</v>
      </c>
      <c r="N116" s="1725" t="s">
        <v>2684</v>
      </c>
      <c r="O116" s="493">
        <f t="shared" si="4"/>
        <v>683675</v>
      </c>
      <c r="P116" s="496">
        <v>0</v>
      </c>
      <c r="Q116" s="496">
        <v>0</v>
      </c>
      <c r="R116" s="496">
        <v>10939</v>
      </c>
      <c r="S116" s="496">
        <v>0</v>
      </c>
      <c r="T116" s="496">
        <v>0</v>
      </c>
      <c r="U116" s="496">
        <v>672736</v>
      </c>
      <c r="V116" s="496">
        <v>0</v>
      </c>
      <c r="W116" s="496">
        <v>0</v>
      </c>
      <c r="X116" s="496">
        <v>0</v>
      </c>
      <c r="Y116" s="496">
        <v>0</v>
      </c>
      <c r="Z116" s="496">
        <v>0</v>
      </c>
      <c r="AA116" s="496">
        <v>0</v>
      </c>
      <c r="AB116" s="492"/>
      <c r="AC116" s="492"/>
    </row>
    <row r="117" spans="1:29">
      <c r="A117" s="492"/>
      <c r="B117" s="492"/>
      <c r="C117" s="492"/>
      <c r="D117" s="492"/>
      <c r="E117" s="492"/>
      <c r="F117" s="492"/>
      <c r="G117" s="492"/>
      <c r="H117" s="492"/>
      <c r="I117" s="492"/>
      <c r="J117" s="492"/>
      <c r="K117" s="492"/>
      <c r="L117" s="492"/>
      <c r="M117" s="495">
        <f t="shared" si="5"/>
        <v>53</v>
      </c>
      <c r="N117" s="1726" t="s">
        <v>2685</v>
      </c>
      <c r="O117" s="493">
        <f t="shared" si="4"/>
        <v>648910</v>
      </c>
      <c r="P117" s="496">
        <v>95047</v>
      </c>
      <c r="Q117" s="496">
        <v>103545</v>
      </c>
      <c r="R117" s="496">
        <v>113469</v>
      </c>
      <c r="S117" s="496">
        <v>113742</v>
      </c>
      <c r="T117" s="496">
        <v>124836</v>
      </c>
      <c r="U117" s="496">
        <v>98271</v>
      </c>
      <c r="V117" s="496">
        <v>0</v>
      </c>
      <c r="W117" s="496">
        <v>0</v>
      </c>
      <c r="X117" s="496">
        <v>0</v>
      </c>
      <c r="Y117" s="496">
        <v>0</v>
      </c>
      <c r="Z117" s="496">
        <v>0</v>
      </c>
      <c r="AA117" s="496">
        <v>0</v>
      </c>
      <c r="AB117" s="492"/>
      <c r="AC117" s="492"/>
    </row>
    <row r="118" spans="1:29">
      <c r="A118" s="492"/>
      <c r="B118" s="492"/>
      <c r="C118" s="492"/>
      <c r="D118" s="492"/>
      <c r="E118" s="492"/>
      <c r="F118" s="492"/>
      <c r="G118" s="492"/>
      <c r="H118" s="492"/>
      <c r="I118" s="492"/>
      <c r="J118" s="492"/>
      <c r="K118" s="492"/>
      <c r="L118" s="492"/>
      <c r="M118" s="495">
        <f t="shared" si="5"/>
        <v>54</v>
      </c>
      <c r="N118" s="1726" t="s">
        <v>2552</v>
      </c>
      <c r="O118" s="493">
        <f t="shared" si="4"/>
        <v>581627</v>
      </c>
      <c r="P118" s="496">
        <v>0</v>
      </c>
      <c r="Q118" s="496">
        <v>0</v>
      </c>
      <c r="R118" s="496">
        <v>0</v>
      </c>
      <c r="S118" s="496">
        <v>0</v>
      </c>
      <c r="T118" s="496">
        <v>0</v>
      </c>
      <c r="U118" s="496">
        <v>0</v>
      </c>
      <c r="V118" s="496">
        <v>99242</v>
      </c>
      <c r="W118" s="496">
        <v>84516</v>
      </c>
      <c r="X118" s="496">
        <v>91824</v>
      </c>
      <c r="Y118" s="496">
        <v>107031</v>
      </c>
      <c r="Z118" s="496">
        <v>106333</v>
      </c>
      <c r="AA118" s="496">
        <v>92681</v>
      </c>
      <c r="AB118" s="492"/>
      <c r="AC118" s="492"/>
    </row>
    <row r="119" spans="1:29">
      <c r="A119" s="492"/>
      <c r="B119" s="492"/>
      <c r="C119" s="492"/>
      <c r="D119" s="492"/>
      <c r="E119" s="492"/>
      <c r="F119" s="492"/>
      <c r="G119" s="492"/>
      <c r="H119" s="492"/>
      <c r="I119" s="492"/>
      <c r="J119" s="492"/>
      <c r="K119" s="492"/>
      <c r="L119" s="492"/>
      <c r="M119" s="495">
        <f t="shared" si="5"/>
        <v>55</v>
      </c>
      <c r="N119" s="872" t="s">
        <v>2686</v>
      </c>
      <c r="O119" s="2167">
        <f t="shared" ref="O119:AA119" si="7">SUM(O78:O118)</f>
        <v>2861326</v>
      </c>
      <c r="P119" s="2167">
        <f t="shared" si="7"/>
        <v>179231</v>
      </c>
      <c r="Q119" s="2167">
        <f t="shared" si="7"/>
        <v>198772</v>
      </c>
      <c r="R119" s="2167">
        <f t="shared" si="7"/>
        <v>194829</v>
      </c>
      <c r="S119" s="2167">
        <f t="shared" si="7"/>
        <v>155940</v>
      </c>
      <c r="T119" s="2167">
        <f t="shared" si="7"/>
        <v>246104</v>
      </c>
      <c r="U119" s="2167">
        <f t="shared" si="7"/>
        <v>870859</v>
      </c>
      <c r="V119" s="2167">
        <f t="shared" si="7"/>
        <v>176196</v>
      </c>
      <c r="W119" s="2167">
        <f t="shared" si="7"/>
        <v>162834</v>
      </c>
      <c r="X119" s="2167">
        <f t="shared" si="7"/>
        <v>181425</v>
      </c>
      <c r="Y119" s="2167">
        <f t="shared" si="7"/>
        <v>144718</v>
      </c>
      <c r="Z119" s="2167">
        <f t="shared" si="7"/>
        <v>168792</v>
      </c>
      <c r="AA119" s="2167">
        <f t="shared" si="7"/>
        <v>181626</v>
      </c>
      <c r="AB119" s="492"/>
      <c r="AC119" s="492"/>
    </row>
    <row r="120" spans="1:29">
      <c r="A120" s="492"/>
      <c r="B120" s="492"/>
      <c r="C120" s="492"/>
      <c r="D120" s="492"/>
      <c r="E120" s="492"/>
      <c r="F120" s="492"/>
      <c r="G120" s="492"/>
      <c r="H120" s="492"/>
      <c r="I120" s="492"/>
      <c r="J120" s="492"/>
      <c r="K120" s="492"/>
      <c r="L120" s="492"/>
      <c r="M120" s="495">
        <f t="shared" si="5"/>
        <v>56</v>
      </c>
      <c r="N120" s="872"/>
      <c r="O120" s="493"/>
      <c r="P120" s="493"/>
      <c r="Q120" s="493"/>
      <c r="R120" s="493"/>
      <c r="S120" s="501"/>
      <c r="T120" s="493"/>
      <c r="U120" s="493"/>
      <c r="V120" s="493"/>
      <c r="W120" s="497"/>
      <c r="X120" s="498"/>
      <c r="Y120" s="498"/>
      <c r="Z120" s="498"/>
      <c r="AA120" s="498"/>
      <c r="AB120" s="492"/>
      <c r="AC120" s="492"/>
    </row>
    <row r="121" spans="1:29" ht="13.8" thickBot="1">
      <c r="A121" s="492"/>
      <c r="B121" s="492"/>
      <c r="C121" s="492"/>
      <c r="D121" s="492"/>
      <c r="E121" s="492"/>
      <c r="F121" s="492"/>
      <c r="G121" s="492"/>
      <c r="H121" s="492"/>
      <c r="I121" s="492"/>
      <c r="J121" s="492"/>
      <c r="K121" s="492"/>
      <c r="L121" s="492"/>
      <c r="M121" s="495">
        <f t="shared" si="5"/>
        <v>57</v>
      </c>
      <c r="N121" s="434" t="s">
        <v>801</v>
      </c>
      <c r="O121" s="1970">
        <f t="shared" ref="O121:AA121" si="8">O119+O75+O71+O67</f>
        <v>2941129</v>
      </c>
      <c r="P121" s="1970">
        <f t="shared" si="8"/>
        <v>178560</v>
      </c>
      <c r="Q121" s="1970">
        <f t="shared" si="8"/>
        <v>221616</v>
      </c>
      <c r="R121" s="1970">
        <f t="shared" si="8"/>
        <v>195048</v>
      </c>
      <c r="S121" s="1970">
        <f t="shared" si="8"/>
        <v>166274</v>
      </c>
      <c r="T121" s="1970">
        <f t="shared" si="8"/>
        <v>246321</v>
      </c>
      <c r="U121" s="1970">
        <f t="shared" si="8"/>
        <v>871171</v>
      </c>
      <c r="V121" s="1970">
        <f t="shared" si="8"/>
        <v>189126</v>
      </c>
      <c r="W121" s="1970">
        <f t="shared" si="8"/>
        <v>168006</v>
      </c>
      <c r="X121" s="1970">
        <f t="shared" si="8"/>
        <v>186597</v>
      </c>
      <c r="Y121" s="1970">
        <f t="shared" si="8"/>
        <v>163682</v>
      </c>
      <c r="Z121" s="1970">
        <f t="shared" si="8"/>
        <v>170516</v>
      </c>
      <c r="AA121" s="1970">
        <f t="shared" si="8"/>
        <v>184212</v>
      </c>
      <c r="AB121" s="492"/>
      <c r="AC121" s="492"/>
    </row>
    <row r="122" spans="1:29" ht="13.8" thickTop="1">
      <c r="A122" s="492"/>
      <c r="B122" s="492"/>
      <c r="C122" s="492"/>
      <c r="D122" s="492"/>
      <c r="E122" s="492"/>
      <c r="F122" s="492"/>
      <c r="G122" s="492"/>
      <c r="H122" s="492"/>
      <c r="I122" s="492"/>
      <c r="J122" s="492"/>
      <c r="K122" s="492"/>
      <c r="L122" s="492"/>
      <c r="M122" s="492"/>
      <c r="N122" s="434"/>
      <c r="O122" s="492"/>
      <c r="P122" s="498"/>
      <c r="Q122" s="498"/>
      <c r="R122" s="498"/>
      <c r="S122" s="501"/>
      <c r="T122" s="498"/>
      <c r="U122" s="498"/>
      <c r="V122" s="498"/>
      <c r="W122" s="498"/>
      <c r="X122" s="498"/>
      <c r="Y122" s="498"/>
      <c r="Z122" s="498"/>
      <c r="AA122" s="498"/>
      <c r="AB122" s="492"/>
      <c r="AC122" s="492"/>
    </row>
    <row r="123" spans="1:29">
      <c r="A123" s="492"/>
      <c r="B123" s="492"/>
      <c r="C123" s="492"/>
      <c r="D123" s="492"/>
      <c r="E123" s="492"/>
      <c r="F123" s="492"/>
      <c r="G123" s="492"/>
      <c r="H123" s="492"/>
      <c r="I123" s="492"/>
      <c r="J123" s="492"/>
      <c r="K123" s="492"/>
      <c r="L123" s="492"/>
      <c r="M123" s="492"/>
      <c r="N123" s="492"/>
      <c r="O123" s="492"/>
      <c r="P123" s="492"/>
      <c r="Q123" s="492"/>
      <c r="R123" s="492"/>
      <c r="S123" s="492"/>
      <c r="T123" s="492"/>
      <c r="U123" s="492"/>
      <c r="V123" s="492"/>
      <c r="W123" s="492"/>
      <c r="X123" s="492"/>
      <c r="Y123" s="492"/>
      <c r="Z123" s="492"/>
      <c r="AA123" s="492"/>
      <c r="AB123" s="492"/>
      <c r="AC123" s="492"/>
    </row>
    <row r="124" spans="1:29">
      <c r="A124" s="492"/>
      <c r="B124" s="492"/>
      <c r="C124" s="492"/>
      <c r="D124" s="492"/>
      <c r="E124" s="492"/>
      <c r="F124" s="492"/>
      <c r="G124" s="492"/>
      <c r="H124" s="492"/>
      <c r="I124" s="492"/>
      <c r="J124" s="492"/>
      <c r="K124" s="492"/>
      <c r="L124" s="492"/>
      <c r="M124" s="492"/>
      <c r="N124" s="492"/>
      <c r="O124" s="492"/>
      <c r="P124" s="498"/>
      <c r="Q124" s="498"/>
      <c r="R124" s="498"/>
      <c r="S124" s="498"/>
      <c r="T124" s="498"/>
      <c r="U124" s="498"/>
      <c r="V124" s="498"/>
      <c r="W124" s="498"/>
      <c r="X124" s="498"/>
      <c r="Y124" s="498"/>
      <c r="Z124" s="498"/>
      <c r="AA124" s="498"/>
      <c r="AB124" s="492"/>
      <c r="AC124" s="492"/>
    </row>
    <row r="125" spans="1:29">
      <c r="A125" s="492"/>
      <c r="B125" s="492"/>
      <c r="C125" s="492"/>
      <c r="D125" s="492"/>
      <c r="E125" s="492"/>
      <c r="F125" s="492"/>
      <c r="G125" s="492"/>
      <c r="H125" s="492"/>
      <c r="I125" s="492"/>
      <c r="J125" s="492"/>
      <c r="K125" s="492"/>
      <c r="L125" s="492"/>
      <c r="N125" s="492"/>
      <c r="O125" s="492"/>
      <c r="P125" s="498"/>
      <c r="Q125" s="498"/>
      <c r="R125" s="498"/>
      <c r="S125" s="498"/>
      <c r="T125" s="498"/>
      <c r="U125" s="498"/>
      <c r="V125" s="498"/>
      <c r="W125" s="498"/>
      <c r="X125" s="498"/>
      <c r="Y125" s="498"/>
      <c r="Z125" s="498"/>
      <c r="AA125" s="498"/>
      <c r="AB125" s="492"/>
      <c r="AC125" s="492"/>
    </row>
    <row r="126" spans="1:29">
      <c r="A126" s="492"/>
      <c r="B126" s="492"/>
      <c r="C126" s="492"/>
      <c r="D126" s="492"/>
      <c r="E126" s="492"/>
      <c r="F126" s="492"/>
      <c r="G126" s="492"/>
      <c r="H126" s="492"/>
      <c r="I126" s="492"/>
      <c r="J126" s="492"/>
      <c r="K126" s="492"/>
      <c r="L126" s="492"/>
      <c r="N126" s="492"/>
      <c r="O126" s="492"/>
      <c r="P126" s="498"/>
      <c r="Q126" s="498"/>
      <c r="R126" s="498"/>
      <c r="S126" s="498"/>
      <c r="T126" s="498"/>
      <c r="U126" s="498"/>
      <c r="V126" s="498"/>
      <c r="W126" s="498"/>
      <c r="X126" s="498"/>
      <c r="Y126" s="498"/>
      <c r="Z126" s="498"/>
      <c r="AA126" s="498"/>
      <c r="AB126" s="492"/>
      <c r="AC126" s="492"/>
    </row>
    <row r="127" spans="1:29">
      <c r="A127" s="492"/>
      <c r="B127" s="492"/>
      <c r="C127" s="492"/>
      <c r="D127" s="492"/>
      <c r="E127" s="492"/>
      <c r="F127" s="492"/>
      <c r="G127" s="492"/>
      <c r="H127" s="492"/>
      <c r="I127" s="492"/>
      <c r="J127" s="492"/>
      <c r="K127" s="492"/>
      <c r="L127" s="492"/>
      <c r="M127" s="492"/>
      <c r="N127" s="492"/>
      <c r="O127" s="492"/>
      <c r="P127" s="498"/>
      <c r="Q127" s="498"/>
      <c r="R127" s="498"/>
      <c r="S127" s="498"/>
      <c r="T127" s="498"/>
      <c r="U127" s="498"/>
      <c r="V127" s="498"/>
      <c r="W127" s="498"/>
      <c r="X127" s="498"/>
      <c r="Y127" s="498"/>
      <c r="Z127" s="498"/>
      <c r="AA127" s="498"/>
      <c r="AB127" s="492"/>
      <c r="AC127" s="492"/>
    </row>
    <row r="128" spans="1:29">
      <c r="A128" s="492"/>
      <c r="B128" s="492"/>
      <c r="C128" s="492"/>
      <c r="D128" s="492"/>
      <c r="E128" s="492"/>
      <c r="F128" s="492"/>
      <c r="G128" s="492"/>
      <c r="H128" s="492"/>
      <c r="I128" s="492"/>
      <c r="J128" s="492"/>
      <c r="K128" s="492"/>
      <c r="L128" s="492"/>
      <c r="M128" s="434" t="str">
        <f>COMPANY</f>
        <v>DUKE ENERGY KENTUCKY, INC.</v>
      </c>
      <c r="N128" s="494"/>
      <c r="O128" s="494"/>
      <c r="P128" s="494"/>
      <c r="Q128" s="494"/>
      <c r="R128" s="520"/>
      <c r="S128" s="494"/>
      <c r="T128" s="494"/>
      <c r="U128" s="492"/>
      <c r="V128" s="494"/>
      <c r="W128" s="494"/>
      <c r="X128" s="492"/>
      <c r="Y128" s="434" t="s">
        <v>2687</v>
      </c>
      <c r="Z128" s="492"/>
      <c r="AA128" s="492"/>
      <c r="AB128" s="492"/>
      <c r="AC128" s="492"/>
    </row>
    <row r="129" spans="1:29">
      <c r="A129" s="492"/>
      <c r="B129" s="492"/>
      <c r="C129" s="492"/>
      <c r="D129" s="492"/>
      <c r="E129" s="492"/>
      <c r="F129" s="492"/>
      <c r="G129" s="492"/>
      <c r="H129" s="492"/>
      <c r="I129" s="492"/>
      <c r="J129" s="492"/>
      <c r="K129" s="492"/>
      <c r="L129" s="492"/>
      <c r="M129" s="434" t="str">
        <f>CASE</f>
        <v>CASE NO. 2024-00354</v>
      </c>
      <c r="N129" s="494"/>
      <c r="O129" s="494"/>
      <c r="P129" s="494"/>
      <c r="Q129" s="494"/>
      <c r="R129" s="520"/>
      <c r="S129" s="494"/>
      <c r="T129" s="494"/>
      <c r="U129" s="492"/>
      <c r="V129" s="494"/>
      <c r="W129" s="494"/>
      <c r="X129" s="492"/>
      <c r="Y129" s="434" t="s">
        <v>468</v>
      </c>
      <c r="Z129" s="492"/>
      <c r="AA129" s="492"/>
      <c r="AB129" s="492"/>
      <c r="AC129" s="492"/>
    </row>
    <row r="130" spans="1:29">
      <c r="A130" s="492"/>
      <c r="B130" s="492"/>
      <c r="C130" s="492"/>
      <c r="D130" s="492"/>
      <c r="E130" s="492"/>
      <c r="F130" s="492"/>
      <c r="G130" s="492"/>
      <c r="H130" s="492"/>
      <c r="I130" s="492"/>
      <c r="J130" s="492"/>
      <c r="K130" s="492"/>
      <c r="L130" s="492"/>
      <c r="M130" s="434" t="s">
        <v>2628</v>
      </c>
      <c r="N130" s="494"/>
      <c r="O130" s="494"/>
      <c r="P130" s="494"/>
      <c r="Q130" s="494"/>
      <c r="R130" s="520"/>
      <c r="S130" s="494"/>
      <c r="T130" s="494"/>
      <c r="U130" s="492"/>
      <c r="V130" s="494"/>
      <c r="W130" s="494"/>
      <c r="X130" s="492"/>
      <c r="Y130" s="434" t="str">
        <f>_WIT1</f>
        <v>L. D. STEINKUHL</v>
      </c>
      <c r="Z130" s="492"/>
      <c r="AA130" s="492"/>
      <c r="AB130" s="492"/>
      <c r="AC130" s="492"/>
    </row>
    <row r="131" spans="1:29">
      <c r="A131" s="492"/>
      <c r="B131" s="492"/>
      <c r="C131" s="492"/>
      <c r="D131" s="492"/>
      <c r="E131" s="492"/>
      <c r="F131" s="492"/>
      <c r="G131" s="492"/>
      <c r="H131" s="492"/>
      <c r="I131" s="492"/>
      <c r="J131" s="492"/>
      <c r="K131" s="492"/>
      <c r="L131" s="492"/>
      <c r="M131" s="492" t="str">
        <f>DataF</f>
        <v>DATA:  BASE PERIOD  "X" FORECASTED PERIOD</v>
      </c>
      <c r="N131" s="494"/>
      <c r="O131" s="494"/>
      <c r="P131" s="494"/>
      <c r="Q131" s="494"/>
      <c r="R131" s="520"/>
      <c r="S131" s="494"/>
      <c r="T131" s="494"/>
      <c r="U131" s="492"/>
      <c r="V131" s="494"/>
      <c r="W131" s="494"/>
      <c r="X131" s="492"/>
      <c r="Y131" s="434" t="s">
        <v>590</v>
      </c>
      <c r="Z131" s="492"/>
      <c r="AA131" s="492"/>
      <c r="AB131" s="492"/>
      <c r="AC131" s="492"/>
    </row>
    <row r="132" spans="1:29">
      <c r="A132" s="492"/>
      <c r="B132" s="492"/>
      <c r="C132" s="492"/>
      <c r="D132" s="492"/>
      <c r="E132" s="492"/>
      <c r="F132" s="492"/>
      <c r="G132" s="492"/>
      <c r="H132" s="492"/>
      <c r="I132" s="492"/>
      <c r="J132" s="492"/>
      <c r="K132" s="492"/>
      <c r="L132" s="492"/>
      <c r="M132" s="434" t="str">
        <f>PeriodF</f>
        <v>FOR THE TWELVE MONTHS ENDED JUNE 30, 2026</v>
      </c>
      <c r="N132" s="494"/>
      <c r="O132" s="494"/>
      <c r="P132" s="494"/>
      <c r="Q132" s="494"/>
      <c r="R132" s="494"/>
      <c r="S132" s="494"/>
      <c r="T132" s="494"/>
      <c r="U132" s="494"/>
      <c r="V132" s="494"/>
      <c r="W132" s="494"/>
      <c r="X132" s="492"/>
      <c r="Y132" s="492"/>
      <c r="Z132" s="492"/>
      <c r="AA132" s="492"/>
      <c r="AB132" s="492"/>
      <c r="AC132" s="492"/>
    </row>
    <row r="133" spans="1:29">
      <c r="A133" s="492"/>
      <c r="B133" s="492"/>
      <c r="C133" s="492"/>
      <c r="D133" s="492"/>
      <c r="E133" s="492"/>
      <c r="F133" s="492"/>
      <c r="G133" s="492"/>
      <c r="H133" s="492"/>
      <c r="I133" s="492"/>
      <c r="J133" s="492"/>
      <c r="K133" s="492"/>
      <c r="L133" s="492"/>
      <c r="M133" s="1571"/>
      <c r="N133" s="1571"/>
      <c r="O133" s="1571"/>
      <c r="P133" s="1571"/>
      <c r="Q133" s="1571"/>
      <c r="R133" s="1571"/>
      <c r="S133" s="1571"/>
      <c r="T133" s="1571"/>
      <c r="U133" s="1571"/>
      <c r="V133" s="1571"/>
      <c r="W133" s="1571"/>
      <c r="X133" s="1571"/>
      <c r="Y133" s="1571"/>
      <c r="Z133" s="1571"/>
      <c r="AA133" s="1571"/>
      <c r="AB133" s="492"/>
      <c r="AC133" s="492"/>
    </row>
    <row r="134" spans="1:29">
      <c r="A134" s="492"/>
      <c r="B134" s="492"/>
      <c r="C134" s="492"/>
      <c r="D134" s="492"/>
      <c r="E134" s="492"/>
      <c r="F134" s="492"/>
      <c r="G134" s="492"/>
      <c r="H134" s="492"/>
      <c r="I134" s="492"/>
      <c r="J134" s="492"/>
      <c r="K134" s="492"/>
      <c r="L134" s="492"/>
      <c r="M134" s="495" t="s">
        <v>573</v>
      </c>
      <c r="N134" s="495"/>
      <c r="O134" s="495"/>
      <c r="P134" s="495"/>
      <c r="Q134" s="495"/>
      <c r="R134" s="495"/>
      <c r="S134" s="495"/>
      <c r="T134" s="495"/>
      <c r="U134" s="495"/>
      <c r="V134" s="495"/>
      <c r="W134" s="495"/>
      <c r="X134" s="495"/>
      <c r="Y134" s="495"/>
      <c r="Z134" s="495"/>
      <c r="AA134" s="495"/>
      <c r="AB134" s="492"/>
      <c r="AC134" s="492"/>
    </row>
    <row r="135" spans="1:29">
      <c r="A135" s="492"/>
      <c r="B135" s="492"/>
      <c r="C135" s="492"/>
      <c r="D135" s="492"/>
      <c r="E135" s="492"/>
      <c r="F135" s="492"/>
      <c r="G135" s="492"/>
      <c r="H135" s="492"/>
      <c r="I135" s="492"/>
      <c r="J135" s="492"/>
      <c r="K135" s="492"/>
      <c r="L135" s="492"/>
      <c r="M135" s="495" t="s">
        <v>576</v>
      </c>
      <c r="N135" s="495" t="s">
        <v>2621</v>
      </c>
      <c r="O135" s="495" t="s">
        <v>258</v>
      </c>
      <c r="P135" s="435">
        <f>LOGO!$J$7</f>
        <v>45869</v>
      </c>
      <c r="Q135" s="435">
        <f>LOGO!$J$8</f>
        <v>45900</v>
      </c>
      <c r="R135" s="435">
        <f>LOGO!$J$9</f>
        <v>45930</v>
      </c>
      <c r="S135" s="435">
        <f>LOGO!$J$10</f>
        <v>45961</v>
      </c>
      <c r="T135" s="435">
        <f>LOGO!$J$11</f>
        <v>45991</v>
      </c>
      <c r="U135" s="435">
        <f>LOGO!$J$12</f>
        <v>46022</v>
      </c>
      <c r="V135" s="435">
        <f>LOGO!$J$13</f>
        <v>46053</v>
      </c>
      <c r="W135" s="435">
        <f>LOGO!$J$14</f>
        <v>46081</v>
      </c>
      <c r="X135" s="435">
        <f>LOGO!$J$15</f>
        <v>46112</v>
      </c>
      <c r="Y135" s="435">
        <f>LOGO!$J$16</f>
        <v>46142</v>
      </c>
      <c r="Z135" s="435">
        <f>LOGO!$J$17</f>
        <v>46173</v>
      </c>
      <c r="AA135" s="435">
        <f>LOGO!$J$18</f>
        <v>46203</v>
      </c>
      <c r="AB135" s="492"/>
      <c r="AC135" s="492"/>
    </row>
    <row r="136" spans="1:29">
      <c r="A136" s="492"/>
      <c r="B136" s="492"/>
      <c r="C136" s="492"/>
      <c r="D136" s="492"/>
      <c r="E136" s="492"/>
      <c r="F136" s="492"/>
      <c r="G136" s="492"/>
      <c r="H136" s="492"/>
      <c r="I136" s="492"/>
      <c r="J136" s="492"/>
      <c r="K136" s="492"/>
      <c r="L136" s="492"/>
      <c r="M136" s="2169"/>
      <c r="N136" s="2169"/>
      <c r="O136" s="2170" t="s">
        <v>1371</v>
      </c>
      <c r="P136" s="2170" t="s">
        <v>1371</v>
      </c>
      <c r="Q136" s="2170" t="s">
        <v>1371</v>
      </c>
      <c r="R136" s="2170" t="s">
        <v>1371</v>
      </c>
      <c r="S136" s="2170" t="s">
        <v>1371</v>
      </c>
      <c r="T136" s="2170" t="s">
        <v>1371</v>
      </c>
      <c r="U136" s="2170" t="s">
        <v>1371</v>
      </c>
      <c r="V136" s="2170" t="s">
        <v>1371</v>
      </c>
      <c r="W136" s="2170" t="s">
        <v>1371</v>
      </c>
      <c r="X136" s="2170" t="s">
        <v>1371</v>
      </c>
      <c r="Y136" s="2170" t="s">
        <v>1371</v>
      </c>
      <c r="Z136" s="2170" t="s">
        <v>1371</v>
      </c>
      <c r="AA136" s="2170" t="s">
        <v>1371</v>
      </c>
      <c r="AB136" s="492"/>
      <c r="AC136" s="492"/>
    </row>
    <row r="137" spans="1:29">
      <c r="A137" s="492"/>
      <c r="B137" s="492"/>
      <c r="C137" s="492"/>
      <c r="D137" s="492"/>
      <c r="E137" s="492"/>
      <c r="F137" s="492"/>
      <c r="G137" s="492"/>
      <c r="H137" s="492"/>
      <c r="I137" s="492"/>
      <c r="J137" s="492"/>
      <c r="K137" s="492"/>
      <c r="L137" s="492"/>
      <c r="M137" s="495">
        <v>1</v>
      </c>
      <c r="N137" s="522" t="s">
        <v>2637</v>
      </c>
      <c r="O137" s="492"/>
      <c r="P137" s="492"/>
      <c r="Q137" s="492"/>
      <c r="R137" s="492"/>
      <c r="S137" s="492"/>
      <c r="T137" s="492"/>
      <c r="U137" s="492"/>
      <c r="V137" s="492"/>
      <c r="W137" s="492"/>
      <c r="X137" s="492"/>
      <c r="Y137" s="492"/>
      <c r="Z137" s="492"/>
      <c r="AA137" s="492"/>
      <c r="AB137" s="492"/>
      <c r="AC137" s="492"/>
    </row>
    <row r="138" spans="1:29">
      <c r="A138" s="492"/>
      <c r="B138" s="492"/>
      <c r="C138" s="492"/>
      <c r="D138" s="492"/>
      <c r="E138" s="492"/>
      <c r="F138" s="492"/>
      <c r="G138" s="492"/>
      <c r="H138" s="492"/>
      <c r="I138" s="492"/>
      <c r="J138" s="492"/>
      <c r="K138" s="492"/>
      <c r="L138" s="492"/>
      <c r="M138" s="495">
        <f>+M137+1</f>
        <v>2</v>
      </c>
      <c r="N138" s="492" t="s">
        <v>2641</v>
      </c>
      <c r="O138" s="493">
        <f>SUM(P138:AA138)</f>
        <v>86200</v>
      </c>
      <c r="P138" s="496">
        <v>3448</v>
      </c>
      <c r="Q138" s="496">
        <v>5172</v>
      </c>
      <c r="R138" s="496">
        <v>12930</v>
      </c>
      <c r="S138" s="496">
        <v>5172</v>
      </c>
      <c r="T138" s="496">
        <v>5172</v>
      </c>
      <c r="U138" s="496">
        <v>18964</v>
      </c>
      <c r="V138" s="496">
        <v>1724</v>
      </c>
      <c r="W138" s="496">
        <v>2586</v>
      </c>
      <c r="X138" s="496">
        <v>9482</v>
      </c>
      <c r="Y138" s="496">
        <v>5172</v>
      </c>
      <c r="Z138" s="496">
        <v>5172</v>
      </c>
      <c r="AA138" s="496">
        <v>11206</v>
      </c>
      <c r="AB138" s="492"/>
      <c r="AC138" s="492"/>
    </row>
    <row r="139" spans="1:29">
      <c r="A139" s="492"/>
      <c r="B139" s="492"/>
      <c r="C139" s="492"/>
      <c r="D139" s="492"/>
      <c r="E139" s="492"/>
      <c r="F139" s="492"/>
      <c r="G139" s="492"/>
      <c r="H139" s="492"/>
      <c r="I139" s="492"/>
      <c r="J139" s="492"/>
      <c r="K139" s="492"/>
      <c r="L139" s="492"/>
      <c r="M139" s="495">
        <f t="shared" ref="M139:M159" si="9">M138+1</f>
        <v>3</v>
      </c>
      <c r="N139" s="872" t="s">
        <v>2642</v>
      </c>
      <c r="O139" s="2167">
        <f t="shared" ref="O139:AA139" si="10">SUM(O138:O138)</f>
        <v>86200</v>
      </c>
      <c r="P139" s="2167">
        <f t="shared" si="10"/>
        <v>3448</v>
      </c>
      <c r="Q139" s="2167">
        <f t="shared" si="10"/>
        <v>5172</v>
      </c>
      <c r="R139" s="2167">
        <f t="shared" si="10"/>
        <v>12930</v>
      </c>
      <c r="S139" s="2167">
        <f t="shared" si="10"/>
        <v>5172</v>
      </c>
      <c r="T139" s="2167">
        <f t="shared" si="10"/>
        <v>5172</v>
      </c>
      <c r="U139" s="2167">
        <f t="shared" si="10"/>
        <v>18964</v>
      </c>
      <c r="V139" s="2167">
        <f t="shared" si="10"/>
        <v>1724</v>
      </c>
      <c r="W139" s="2167">
        <f t="shared" si="10"/>
        <v>2586</v>
      </c>
      <c r="X139" s="2167">
        <f t="shared" si="10"/>
        <v>9482</v>
      </c>
      <c r="Y139" s="2167">
        <f t="shared" si="10"/>
        <v>5172</v>
      </c>
      <c r="Z139" s="2167">
        <f t="shared" si="10"/>
        <v>5172</v>
      </c>
      <c r="AA139" s="2167">
        <f t="shared" si="10"/>
        <v>11206</v>
      </c>
      <c r="AB139" s="492"/>
      <c r="AC139" s="492"/>
    </row>
    <row r="140" spans="1:29">
      <c r="A140" s="492"/>
      <c r="B140" s="492"/>
      <c r="C140" s="492"/>
      <c r="D140" s="492"/>
      <c r="E140" s="492"/>
      <c r="F140" s="492"/>
      <c r="G140" s="492"/>
      <c r="H140" s="492"/>
      <c r="I140" s="492"/>
      <c r="J140" s="492"/>
      <c r="K140" s="492"/>
      <c r="L140" s="492"/>
      <c r="M140" s="495">
        <f t="shared" si="9"/>
        <v>4</v>
      </c>
      <c r="N140" s="716"/>
      <c r="O140" s="493"/>
      <c r="P140" s="496"/>
      <c r="Q140" s="496"/>
      <c r="R140" s="496"/>
      <c r="S140" s="496"/>
      <c r="T140" s="498"/>
      <c r="U140" s="496"/>
      <c r="V140" s="498"/>
      <c r="W140" s="497"/>
      <c r="X140" s="498"/>
      <c r="Y140" s="498"/>
      <c r="Z140" s="498"/>
      <c r="AA140" s="498"/>
      <c r="AB140" s="492"/>
      <c r="AC140" s="492"/>
    </row>
    <row r="141" spans="1:29">
      <c r="A141" s="492"/>
      <c r="B141" s="492"/>
      <c r="C141" s="492"/>
      <c r="D141" s="492"/>
      <c r="E141" s="492"/>
      <c r="F141" s="492"/>
      <c r="G141" s="492"/>
      <c r="H141" s="492"/>
      <c r="I141" s="492"/>
      <c r="J141" s="492"/>
      <c r="K141" s="492"/>
      <c r="L141" s="492"/>
      <c r="M141" s="495">
        <f t="shared" si="9"/>
        <v>5</v>
      </c>
      <c r="N141" s="883" t="s">
        <v>2638</v>
      </c>
      <c r="O141" s="492"/>
      <c r="P141" s="498"/>
      <c r="Q141" s="498"/>
      <c r="R141" s="498"/>
      <c r="S141" s="498"/>
      <c r="T141" s="498"/>
      <c r="U141" s="498"/>
      <c r="V141" s="498"/>
      <c r="W141" s="498"/>
      <c r="X141" s="498"/>
      <c r="Y141" s="498"/>
      <c r="Z141" s="498"/>
      <c r="AA141" s="498"/>
      <c r="AB141" s="492"/>
      <c r="AC141" s="492"/>
    </row>
    <row r="142" spans="1:29">
      <c r="A142" s="492"/>
      <c r="B142" s="492"/>
      <c r="C142" s="492"/>
      <c r="D142" s="492"/>
      <c r="E142" s="492"/>
      <c r="F142" s="492"/>
      <c r="G142" s="492"/>
      <c r="H142" s="492"/>
      <c r="I142" s="492"/>
      <c r="J142" s="492"/>
      <c r="K142" s="492"/>
      <c r="L142" s="492"/>
      <c r="M142" s="495">
        <f t="shared" si="9"/>
        <v>6</v>
      </c>
      <c r="N142" s="434" t="s">
        <v>2643</v>
      </c>
      <c r="O142" s="493">
        <f>SUM(P142:AA142)</f>
        <v>0</v>
      </c>
      <c r="P142" s="496">
        <v>0</v>
      </c>
      <c r="Q142" s="496">
        <v>0</v>
      </c>
      <c r="R142" s="496">
        <v>0</v>
      </c>
      <c r="S142" s="496">
        <v>0</v>
      </c>
      <c r="T142" s="496">
        <v>0</v>
      </c>
      <c r="U142" s="496">
        <v>0</v>
      </c>
      <c r="V142" s="496">
        <v>0</v>
      </c>
      <c r="W142" s="496">
        <v>0</v>
      </c>
      <c r="X142" s="496">
        <v>0</v>
      </c>
      <c r="Y142" s="496">
        <v>0</v>
      </c>
      <c r="Z142" s="496">
        <v>0</v>
      </c>
      <c r="AA142" s="496">
        <v>0</v>
      </c>
      <c r="AB142" s="492"/>
      <c r="AC142" s="492"/>
    </row>
    <row r="143" spans="1:29">
      <c r="A143" s="492"/>
      <c r="B143" s="492"/>
      <c r="C143" s="492"/>
      <c r="D143" s="492"/>
      <c r="E143" s="492"/>
      <c r="F143" s="492"/>
      <c r="G143" s="492"/>
      <c r="H143" s="492"/>
      <c r="I143" s="492"/>
      <c r="J143" s="492"/>
      <c r="K143" s="492"/>
      <c r="L143" s="492"/>
      <c r="M143" s="495">
        <f t="shared" si="9"/>
        <v>7</v>
      </c>
      <c r="N143" s="872" t="s">
        <v>2644</v>
      </c>
      <c r="O143" s="2167">
        <f>SUM(O142)</f>
        <v>0</v>
      </c>
      <c r="P143" s="2171">
        <f>SUM(P142)</f>
        <v>0</v>
      </c>
      <c r="Q143" s="2171">
        <f t="shared" ref="Q143:S143" si="11">SUM(Q142)</f>
        <v>0</v>
      </c>
      <c r="R143" s="2171">
        <f t="shared" si="11"/>
        <v>0</v>
      </c>
      <c r="S143" s="2171">
        <f t="shared" si="11"/>
        <v>0</v>
      </c>
      <c r="T143" s="2171">
        <f t="shared" ref="T143:AA143" si="12">SUM(T142)</f>
        <v>0</v>
      </c>
      <c r="U143" s="2171">
        <f t="shared" si="12"/>
        <v>0</v>
      </c>
      <c r="V143" s="2171">
        <f t="shared" si="12"/>
        <v>0</v>
      </c>
      <c r="W143" s="2171">
        <f t="shared" si="12"/>
        <v>0</v>
      </c>
      <c r="X143" s="2171">
        <f t="shared" si="12"/>
        <v>0</v>
      </c>
      <c r="Y143" s="2171">
        <f t="shared" si="12"/>
        <v>0</v>
      </c>
      <c r="Z143" s="2171">
        <f t="shared" si="12"/>
        <v>0</v>
      </c>
      <c r="AA143" s="2171">
        <f t="shared" si="12"/>
        <v>0</v>
      </c>
      <c r="AB143" s="492"/>
      <c r="AC143" s="492"/>
    </row>
    <row r="144" spans="1:29">
      <c r="A144" s="492"/>
      <c r="B144" s="492"/>
      <c r="C144" s="492"/>
      <c r="D144" s="492"/>
      <c r="E144" s="492"/>
      <c r="F144" s="492"/>
      <c r="G144" s="492"/>
      <c r="H144" s="492"/>
      <c r="I144" s="492"/>
      <c r="J144" s="492"/>
      <c r="K144" s="492"/>
      <c r="L144" s="492"/>
      <c r="M144" s="495">
        <f t="shared" si="9"/>
        <v>8</v>
      </c>
      <c r="N144" s="872"/>
      <c r="O144" s="498"/>
      <c r="P144" s="523"/>
      <c r="Q144" s="523"/>
      <c r="R144" s="523"/>
      <c r="S144" s="523"/>
      <c r="T144" s="498"/>
      <c r="U144" s="523"/>
      <c r="V144" s="498"/>
      <c r="W144" s="497"/>
      <c r="X144" s="498"/>
      <c r="Y144" s="498"/>
      <c r="Z144" s="498"/>
      <c r="AA144" s="498"/>
      <c r="AB144" s="492"/>
      <c r="AC144" s="492"/>
    </row>
    <row r="145" spans="1:29">
      <c r="A145" s="492"/>
      <c r="B145" s="492"/>
      <c r="C145" s="492"/>
      <c r="D145" s="492"/>
      <c r="E145" s="492"/>
      <c r="F145" s="492"/>
      <c r="G145" s="492"/>
      <c r="H145" s="492"/>
      <c r="I145" s="492"/>
      <c r="J145" s="492"/>
      <c r="K145" s="492"/>
      <c r="L145" s="492"/>
      <c r="M145" s="495">
        <f t="shared" si="9"/>
        <v>9</v>
      </c>
      <c r="N145" s="883" t="s">
        <v>1686</v>
      </c>
      <c r="O145" s="492"/>
      <c r="P145" s="498"/>
      <c r="Q145" s="498"/>
      <c r="R145" s="498"/>
      <c r="S145" s="498"/>
      <c r="T145" s="498"/>
      <c r="U145" s="498"/>
      <c r="V145" s="498"/>
      <c r="W145" s="498"/>
      <c r="X145" s="498"/>
      <c r="Y145" s="498"/>
      <c r="Z145" s="498"/>
      <c r="AA145" s="498"/>
      <c r="AB145" s="492"/>
      <c r="AC145" s="492"/>
    </row>
    <row r="146" spans="1:29">
      <c r="A146" s="492"/>
      <c r="B146" s="492"/>
      <c r="C146" s="492"/>
      <c r="D146" s="492"/>
      <c r="E146" s="492"/>
      <c r="F146" s="492"/>
      <c r="G146" s="492"/>
      <c r="H146" s="492"/>
      <c r="I146" s="492"/>
      <c r="J146" s="492"/>
      <c r="K146" s="492"/>
      <c r="L146" s="492"/>
      <c r="M146" s="495">
        <f t="shared" si="9"/>
        <v>10</v>
      </c>
      <c r="N146" s="434" t="s">
        <v>2643</v>
      </c>
      <c r="O146" s="493">
        <f>SUM(P146:AA146)</f>
        <v>0</v>
      </c>
      <c r="P146" s="496">
        <v>0</v>
      </c>
      <c r="Q146" s="496">
        <v>0</v>
      </c>
      <c r="R146" s="496">
        <v>0</v>
      </c>
      <c r="S146" s="496">
        <v>0</v>
      </c>
      <c r="T146" s="496">
        <v>0</v>
      </c>
      <c r="U146" s="496">
        <v>0</v>
      </c>
      <c r="V146" s="496">
        <v>0</v>
      </c>
      <c r="W146" s="496">
        <v>0</v>
      </c>
      <c r="X146" s="496">
        <v>0</v>
      </c>
      <c r="Y146" s="496">
        <v>0</v>
      </c>
      <c r="Z146" s="496">
        <v>0</v>
      </c>
      <c r="AA146" s="496">
        <v>0</v>
      </c>
      <c r="AB146" s="492"/>
      <c r="AC146" s="492"/>
    </row>
    <row r="147" spans="1:29">
      <c r="A147" s="492"/>
      <c r="B147" s="492"/>
      <c r="C147" s="492"/>
      <c r="D147" s="492"/>
      <c r="E147" s="492"/>
      <c r="F147" s="492"/>
      <c r="G147" s="492"/>
      <c r="H147" s="492"/>
      <c r="I147" s="492"/>
      <c r="J147" s="492"/>
      <c r="K147" s="492"/>
      <c r="L147" s="492"/>
      <c r="M147" s="495">
        <f t="shared" si="9"/>
        <v>11</v>
      </c>
      <c r="N147" s="872" t="s">
        <v>2645</v>
      </c>
      <c r="O147" s="2167">
        <f t="shared" ref="O147:AA147" si="13">SUM(O146)</f>
        <v>0</v>
      </c>
      <c r="P147" s="2171">
        <f t="shared" si="13"/>
        <v>0</v>
      </c>
      <c r="Q147" s="2171">
        <f t="shared" ref="Q147:S147" si="14">SUM(Q146)</f>
        <v>0</v>
      </c>
      <c r="R147" s="2171">
        <f t="shared" si="14"/>
        <v>0</v>
      </c>
      <c r="S147" s="2171">
        <f t="shared" si="14"/>
        <v>0</v>
      </c>
      <c r="T147" s="2171">
        <f t="shared" si="13"/>
        <v>0</v>
      </c>
      <c r="U147" s="2171">
        <f t="shared" si="13"/>
        <v>0</v>
      </c>
      <c r="V147" s="2171">
        <f t="shared" si="13"/>
        <v>0</v>
      </c>
      <c r="W147" s="2171">
        <f t="shared" si="13"/>
        <v>0</v>
      </c>
      <c r="X147" s="2171">
        <f t="shared" si="13"/>
        <v>0</v>
      </c>
      <c r="Y147" s="2171">
        <f t="shared" si="13"/>
        <v>0</v>
      </c>
      <c r="Z147" s="2171">
        <f t="shared" si="13"/>
        <v>0</v>
      </c>
      <c r="AA147" s="2171">
        <f t="shared" si="13"/>
        <v>0</v>
      </c>
      <c r="AB147" s="492"/>
      <c r="AC147" s="492"/>
    </row>
    <row r="148" spans="1:29">
      <c r="A148" s="492"/>
      <c r="B148" s="492"/>
      <c r="C148" s="492"/>
      <c r="D148" s="492"/>
      <c r="E148" s="492"/>
      <c r="F148" s="492"/>
      <c r="G148" s="492"/>
      <c r="H148" s="492"/>
      <c r="I148" s="492"/>
      <c r="J148" s="492"/>
      <c r="K148" s="492"/>
      <c r="L148" s="492"/>
      <c r="M148" s="495">
        <f t="shared" si="9"/>
        <v>12</v>
      </c>
      <c r="N148" s="434"/>
      <c r="O148" s="498"/>
      <c r="P148" s="523"/>
      <c r="Q148" s="523"/>
      <c r="R148" s="523"/>
      <c r="S148" s="523"/>
      <c r="T148" s="498"/>
      <c r="U148" s="523"/>
      <c r="V148" s="498"/>
      <c r="W148" s="498"/>
      <c r="X148" s="498"/>
      <c r="Y148" s="498"/>
      <c r="Z148" s="498"/>
      <c r="AA148" s="498"/>
      <c r="AB148" s="492"/>
      <c r="AC148" s="492"/>
    </row>
    <row r="149" spans="1:29">
      <c r="A149" s="492"/>
      <c r="B149" s="492"/>
      <c r="C149" s="492"/>
      <c r="D149" s="492"/>
      <c r="E149" s="492"/>
      <c r="F149" s="492"/>
      <c r="G149" s="492"/>
      <c r="H149" s="492"/>
      <c r="I149" s="492"/>
      <c r="J149" s="492"/>
      <c r="K149" s="492"/>
      <c r="L149" s="492"/>
      <c r="M149" s="495">
        <f t="shared" si="9"/>
        <v>13</v>
      </c>
      <c r="N149" s="522" t="s">
        <v>217</v>
      </c>
      <c r="O149" s="493"/>
      <c r="P149" s="496"/>
      <c r="Q149" s="496"/>
      <c r="R149" s="496"/>
      <c r="S149" s="496"/>
      <c r="T149" s="498"/>
      <c r="U149" s="496"/>
      <c r="V149" s="498"/>
      <c r="W149" s="497"/>
      <c r="X149" s="498"/>
      <c r="Y149" s="498"/>
      <c r="Z149" s="498"/>
      <c r="AA149" s="498"/>
      <c r="AB149" s="492"/>
      <c r="AC149" s="492"/>
    </row>
    <row r="150" spans="1:29">
      <c r="A150" s="492"/>
      <c r="B150" s="492"/>
      <c r="C150" s="492"/>
      <c r="D150" s="492"/>
      <c r="E150" s="492"/>
      <c r="F150" s="492"/>
      <c r="G150" s="492"/>
      <c r="H150" s="492"/>
      <c r="I150" s="492"/>
      <c r="J150" s="492"/>
      <c r="K150" s="492"/>
      <c r="L150" s="492"/>
      <c r="M150" s="495">
        <f t="shared" si="9"/>
        <v>14</v>
      </c>
      <c r="N150" s="691" t="s">
        <v>2646</v>
      </c>
      <c r="O150" s="493">
        <f t="shared" ref="O150:O169" si="15">SUM(P150:AA150)</f>
        <v>63504</v>
      </c>
      <c r="P150" s="496">
        <v>5292</v>
      </c>
      <c r="Q150" s="496">
        <v>5292</v>
      </c>
      <c r="R150" s="496">
        <v>5292</v>
      </c>
      <c r="S150" s="496">
        <v>5292</v>
      </c>
      <c r="T150" s="496">
        <v>5292</v>
      </c>
      <c r="U150" s="496">
        <v>5292</v>
      </c>
      <c r="V150" s="496">
        <v>5292</v>
      </c>
      <c r="W150" s="496">
        <v>5292</v>
      </c>
      <c r="X150" s="496">
        <v>5292</v>
      </c>
      <c r="Y150" s="496">
        <v>5292</v>
      </c>
      <c r="Z150" s="496">
        <v>5292</v>
      </c>
      <c r="AA150" s="496">
        <v>5292</v>
      </c>
      <c r="AB150" s="492"/>
      <c r="AC150" s="492"/>
    </row>
    <row r="151" spans="1:29">
      <c r="A151" s="492"/>
      <c r="B151" s="492"/>
      <c r="C151" s="492"/>
      <c r="D151" s="492"/>
      <c r="E151" s="492"/>
      <c r="F151" s="492"/>
      <c r="G151" s="492"/>
      <c r="H151" s="492"/>
      <c r="I151" s="492"/>
      <c r="J151" s="492"/>
      <c r="K151" s="492"/>
      <c r="L151" s="492"/>
      <c r="M151" s="495">
        <f t="shared" si="9"/>
        <v>15</v>
      </c>
      <c r="N151" s="691" t="s">
        <v>2647</v>
      </c>
      <c r="O151" s="493">
        <f t="shared" si="15"/>
        <v>5988</v>
      </c>
      <c r="P151" s="496">
        <v>0</v>
      </c>
      <c r="Q151" s="496">
        <v>0</v>
      </c>
      <c r="R151" s="496">
        <v>0</v>
      </c>
      <c r="S151" s="496">
        <v>0</v>
      </c>
      <c r="T151" s="496">
        <v>0</v>
      </c>
      <c r="U151" s="496">
        <v>0</v>
      </c>
      <c r="V151" s="496">
        <v>5988</v>
      </c>
      <c r="W151" s="496">
        <v>0</v>
      </c>
      <c r="X151" s="496">
        <v>0</v>
      </c>
      <c r="Y151" s="496">
        <v>0</v>
      </c>
      <c r="Z151" s="496">
        <v>0</v>
      </c>
      <c r="AA151" s="496">
        <v>0</v>
      </c>
      <c r="AB151" s="492"/>
      <c r="AC151" s="492"/>
    </row>
    <row r="152" spans="1:29">
      <c r="A152" s="492"/>
      <c r="B152" s="492"/>
      <c r="C152" s="492"/>
      <c r="D152" s="492"/>
      <c r="E152" s="492"/>
      <c r="F152" s="492"/>
      <c r="G152" s="492"/>
      <c r="H152" s="492"/>
      <c r="I152" s="492"/>
      <c r="J152" s="492"/>
      <c r="K152" s="492"/>
      <c r="L152" s="492"/>
      <c r="M152" s="495">
        <f t="shared" si="9"/>
        <v>16</v>
      </c>
      <c r="N152" s="691" t="s">
        <v>2648</v>
      </c>
      <c r="O152" s="493">
        <f t="shared" si="15"/>
        <v>8472</v>
      </c>
      <c r="P152" s="496">
        <v>706</v>
      </c>
      <c r="Q152" s="496">
        <v>706</v>
      </c>
      <c r="R152" s="496">
        <v>706</v>
      </c>
      <c r="S152" s="496">
        <v>706</v>
      </c>
      <c r="T152" s="496">
        <v>706</v>
      </c>
      <c r="U152" s="496">
        <v>706</v>
      </c>
      <c r="V152" s="496">
        <v>706</v>
      </c>
      <c r="W152" s="496">
        <v>706</v>
      </c>
      <c r="X152" s="496">
        <v>706</v>
      </c>
      <c r="Y152" s="496">
        <v>706</v>
      </c>
      <c r="Z152" s="496">
        <v>706</v>
      </c>
      <c r="AA152" s="496">
        <v>706</v>
      </c>
      <c r="AB152" s="492"/>
      <c r="AC152" s="492"/>
    </row>
    <row r="153" spans="1:29">
      <c r="A153" s="492"/>
      <c r="B153" s="492"/>
      <c r="C153" s="492"/>
      <c r="D153" s="492"/>
      <c r="E153" s="492"/>
      <c r="F153" s="492"/>
      <c r="G153" s="492"/>
      <c r="H153" s="492"/>
      <c r="I153" s="492"/>
      <c r="J153" s="492"/>
      <c r="K153" s="492"/>
      <c r="L153" s="492"/>
      <c r="M153" s="495">
        <f t="shared" si="9"/>
        <v>17</v>
      </c>
      <c r="N153" s="691" t="s">
        <v>2653</v>
      </c>
      <c r="O153" s="493">
        <f t="shared" si="15"/>
        <v>31109</v>
      </c>
      <c r="P153" s="496">
        <v>3109</v>
      </c>
      <c r="Q153" s="496">
        <v>3046</v>
      </c>
      <c r="R153" s="496">
        <v>2983</v>
      </c>
      <c r="S153" s="496">
        <v>3109</v>
      </c>
      <c r="T153" s="496">
        <v>2983</v>
      </c>
      <c r="U153" s="496">
        <v>750</v>
      </c>
      <c r="V153" s="496">
        <v>1426</v>
      </c>
      <c r="W153" s="496">
        <v>2544</v>
      </c>
      <c r="X153" s="496">
        <v>2544</v>
      </c>
      <c r="Y153" s="496">
        <v>2586</v>
      </c>
      <c r="Z153" s="496">
        <v>3109</v>
      </c>
      <c r="AA153" s="496">
        <v>2920</v>
      </c>
      <c r="AB153" s="492"/>
      <c r="AC153" s="492"/>
    </row>
    <row r="154" spans="1:29" ht="15.6">
      <c r="A154" s="492"/>
      <c r="B154" s="492"/>
      <c r="C154" s="492"/>
      <c r="D154" s="492"/>
      <c r="E154" s="492"/>
      <c r="F154" s="492"/>
      <c r="G154" s="492"/>
      <c r="H154" s="492"/>
      <c r="I154" s="492"/>
      <c r="J154" s="492"/>
      <c r="K154" s="492"/>
      <c r="L154" s="492"/>
      <c r="M154" s="495">
        <f t="shared" si="9"/>
        <v>18</v>
      </c>
      <c r="N154" s="691" t="s">
        <v>2688</v>
      </c>
      <c r="O154" s="493">
        <f t="shared" si="15"/>
        <v>67392</v>
      </c>
      <c r="P154" s="496">
        <v>0</v>
      </c>
      <c r="Q154" s="496">
        <v>16848</v>
      </c>
      <c r="R154" s="496">
        <v>0</v>
      </c>
      <c r="S154" s="496">
        <v>0</v>
      </c>
      <c r="T154" s="496">
        <v>16848</v>
      </c>
      <c r="U154" s="496">
        <v>0</v>
      </c>
      <c r="V154" s="496">
        <v>0</v>
      </c>
      <c r="W154" s="496">
        <v>16848</v>
      </c>
      <c r="X154" s="496">
        <v>0</v>
      </c>
      <c r="Y154" s="496">
        <v>0</v>
      </c>
      <c r="Z154" s="496">
        <v>16848</v>
      </c>
      <c r="AA154" s="496">
        <v>0</v>
      </c>
      <c r="AB154" s="492"/>
      <c r="AC154" s="492"/>
    </row>
    <row r="155" spans="1:29">
      <c r="A155" s="492"/>
      <c r="B155" s="492"/>
      <c r="C155" s="492"/>
      <c r="D155" s="492"/>
      <c r="E155" s="492"/>
      <c r="F155" s="492"/>
      <c r="G155" s="492"/>
      <c r="H155" s="492"/>
      <c r="I155" s="492"/>
      <c r="J155" s="492"/>
      <c r="K155" s="492"/>
      <c r="L155" s="492"/>
      <c r="M155" s="495">
        <f t="shared" si="9"/>
        <v>19</v>
      </c>
      <c r="N155" s="691" t="s">
        <v>2655</v>
      </c>
      <c r="O155" s="493">
        <f t="shared" si="15"/>
        <v>13704</v>
      </c>
      <c r="P155" s="496">
        <v>1142</v>
      </c>
      <c r="Q155" s="496">
        <v>1142</v>
      </c>
      <c r="R155" s="496">
        <v>1142</v>
      </c>
      <c r="S155" s="496">
        <v>1142</v>
      </c>
      <c r="T155" s="496">
        <v>1142</v>
      </c>
      <c r="U155" s="496">
        <v>1142</v>
      </c>
      <c r="V155" s="496">
        <v>1142</v>
      </c>
      <c r="W155" s="496">
        <v>1142</v>
      </c>
      <c r="X155" s="496">
        <v>1142</v>
      </c>
      <c r="Y155" s="496">
        <v>1142</v>
      </c>
      <c r="Z155" s="496">
        <v>1142</v>
      </c>
      <c r="AA155" s="496">
        <v>1142</v>
      </c>
      <c r="AB155" s="492"/>
      <c r="AC155" s="492"/>
    </row>
    <row r="156" spans="1:29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5">
        <f t="shared" si="9"/>
        <v>20</v>
      </c>
      <c r="N156" s="691" t="s">
        <v>2656</v>
      </c>
      <c r="O156" s="493">
        <f t="shared" si="15"/>
        <v>21518</v>
      </c>
      <c r="P156" s="496">
        <v>1389</v>
      </c>
      <c r="Q156" s="496">
        <v>1389</v>
      </c>
      <c r="R156" s="496">
        <v>4089</v>
      </c>
      <c r="S156" s="496">
        <v>1389</v>
      </c>
      <c r="T156" s="496">
        <v>1389</v>
      </c>
      <c r="U156" s="496">
        <v>1389</v>
      </c>
      <c r="V156" s="496">
        <v>1389</v>
      </c>
      <c r="W156" s="496">
        <v>1389</v>
      </c>
      <c r="X156" s="496">
        <v>2289</v>
      </c>
      <c r="Y156" s="496">
        <v>1389</v>
      </c>
      <c r="Z156" s="496">
        <v>1389</v>
      </c>
      <c r="AA156" s="496">
        <v>2639</v>
      </c>
      <c r="AB156" s="492"/>
      <c r="AC156" s="492"/>
    </row>
    <row r="157" spans="1:29">
      <c r="A157" s="492"/>
      <c r="B157" s="492"/>
      <c r="C157" s="492"/>
      <c r="D157" s="492"/>
      <c r="E157" s="492"/>
      <c r="F157" s="492"/>
      <c r="G157" s="492"/>
      <c r="H157" s="492"/>
      <c r="I157" s="492"/>
      <c r="J157" s="492"/>
      <c r="K157" s="492"/>
      <c r="L157" s="492"/>
      <c r="M157" s="495">
        <f t="shared" si="9"/>
        <v>21</v>
      </c>
      <c r="N157" s="691" t="s">
        <v>2657</v>
      </c>
      <c r="O157" s="493">
        <f t="shared" si="15"/>
        <v>3756</v>
      </c>
      <c r="P157" s="496">
        <v>313</v>
      </c>
      <c r="Q157" s="496">
        <v>313</v>
      </c>
      <c r="R157" s="496">
        <v>313</v>
      </c>
      <c r="S157" s="496">
        <v>313</v>
      </c>
      <c r="T157" s="496">
        <v>313</v>
      </c>
      <c r="U157" s="496">
        <v>313</v>
      </c>
      <c r="V157" s="496">
        <v>313</v>
      </c>
      <c r="W157" s="496">
        <v>313</v>
      </c>
      <c r="X157" s="496">
        <v>313</v>
      </c>
      <c r="Y157" s="496">
        <v>313</v>
      </c>
      <c r="Z157" s="496">
        <v>313</v>
      </c>
      <c r="AA157" s="496">
        <v>313</v>
      </c>
      <c r="AB157" s="492"/>
      <c r="AC157" s="492"/>
    </row>
    <row r="158" spans="1:29">
      <c r="A158" s="492"/>
      <c r="B158" s="492"/>
      <c r="C158" s="492"/>
      <c r="D158" s="492"/>
      <c r="E158" s="492"/>
      <c r="F158" s="492"/>
      <c r="G158" s="492"/>
      <c r="H158" s="492"/>
      <c r="I158" s="492"/>
      <c r="J158" s="492"/>
      <c r="K158" s="492"/>
      <c r="L158" s="492"/>
      <c r="M158" s="495">
        <f t="shared" si="9"/>
        <v>22</v>
      </c>
      <c r="N158" s="691" t="s">
        <v>2660</v>
      </c>
      <c r="O158" s="493">
        <f t="shared" si="15"/>
        <v>-767</v>
      </c>
      <c r="P158" s="496">
        <v>-70</v>
      </c>
      <c r="Q158" s="496">
        <v>-84</v>
      </c>
      <c r="R158" s="496">
        <v>-70</v>
      </c>
      <c r="S158" s="496">
        <v>-84</v>
      </c>
      <c r="T158" s="496">
        <v>-70</v>
      </c>
      <c r="U158" s="496">
        <v>-83</v>
      </c>
      <c r="V158" s="496">
        <v>-35</v>
      </c>
      <c r="W158" s="496">
        <v>-22</v>
      </c>
      <c r="X158" s="496">
        <v>-35</v>
      </c>
      <c r="Y158" s="496">
        <v>-60</v>
      </c>
      <c r="Z158" s="496">
        <v>-70</v>
      </c>
      <c r="AA158" s="496">
        <v>-84</v>
      </c>
      <c r="AB158" s="492"/>
      <c r="AC158" s="492"/>
    </row>
    <row r="159" spans="1:29">
      <c r="A159" s="492"/>
      <c r="B159" s="492"/>
      <c r="C159" s="492"/>
      <c r="D159" s="492"/>
      <c r="E159" s="492"/>
      <c r="F159" s="492"/>
      <c r="G159" s="492"/>
      <c r="H159" s="492"/>
      <c r="I159" s="492"/>
      <c r="J159" s="492"/>
      <c r="K159" s="492"/>
      <c r="L159" s="492"/>
      <c r="M159" s="495">
        <f t="shared" si="9"/>
        <v>23</v>
      </c>
      <c r="N159" s="691" t="s">
        <v>2661</v>
      </c>
      <c r="O159" s="493">
        <f t="shared" ref="O159:O167" si="16">SUM(P159:AA159)</f>
        <v>3000</v>
      </c>
      <c r="P159" s="496">
        <v>250</v>
      </c>
      <c r="Q159" s="496">
        <v>250</v>
      </c>
      <c r="R159" s="496">
        <v>250</v>
      </c>
      <c r="S159" s="496">
        <v>250</v>
      </c>
      <c r="T159" s="496">
        <v>250</v>
      </c>
      <c r="U159" s="496">
        <v>250</v>
      </c>
      <c r="V159" s="496">
        <v>250</v>
      </c>
      <c r="W159" s="496">
        <v>250</v>
      </c>
      <c r="X159" s="496">
        <v>250</v>
      </c>
      <c r="Y159" s="496">
        <v>250</v>
      </c>
      <c r="Z159" s="496">
        <v>250</v>
      </c>
      <c r="AA159" s="496">
        <v>250</v>
      </c>
      <c r="AB159" s="492"/>
      <c r="AC159" s="492"/>
    </row>
    <row r="160" spans="1:29">
      <c r="A160" s="492"/>
      <c r="B160" s="492"/>
      <c r="C160" s="492"/>
      <c r="D160" s="492"/>
      <c r="E160" s="492"/>
      <c r="F160" s="492"/>
      <c r="G160" s="492"/>
      <c r="H160" s="492"/>
      <c r="I160" s="492"/>
      <c r="J160" s="492"/>
      <c r="K160" s="492"/>
      <c r="L160" s="492"/>
      <c r="M160" s="495">
        <f t="shared" ref="M160:M173" si="17">M159+1</f>
        <v>24</v>
      </c>
      <c r="N160" s="691" t="s">
        <v>2662</v>
      </c>
      <c r="O160" s="493">
        <f t="shared" si="16"/>
        <v>413479</v>
      </c>
      <c r="P160" s="496">
        <v>34082</v>
      </c>
      <c r="Q160" s="496">
        <v>34082</v>
      </c>
      <c r="R160" s="496">
        <v>34082</v>
      </c>
      <c r="S160" s="496">
        <v>34082</v>
      </c>
      <c r="T160" s="496">
        <v>34082</v>
      </c>
      <c r="U160" s="496">
        <v>38577</v>
      </c>
      <c r="V160" s="496">
        <v>34082</v>
      </c>
      <c r="W160" s="496">
        <v>34082</v>
      </c>
      <c r="X160" s="496">
        <v>34082</v>
      </c>
      <c r="Y160" s="496">
        <v>34082</v>
      </c>
      <c r="Z160" s="496">
        <v>34082</v>
      </c>
      <c r="AA160" s="496">
        <v>34082</v>
      </c>
      <c r="AB160" s="492"/>
      <c r="AC160" s="492"/>
    </row>
    <row r="161" spans="1:29">
      <c r="A161" s="492"/>
      <c r="B161" s="492"/>
      <c r="C161" s="492"/>
      <c r="D161" s="492"/>
      <c r="E161" s="492"/>
      <c r="F161" s="492"/>
      <c r="G161" s="492"/>
      <c r="H161" s="492"/>
      <c r="I161" s="492"/>
      <c r="J161" s="492"/>
      <c r="K161" s="492"/>
      <c r="L161" s="492"/>
      <c r="M161" s="495">
        <f t="shared" si="17"/>
        <v>25</v>
      </c>
      <c r="N161" s="691" t="s">
        <v>2666</v>
      </c>
      <c r="O161" s="493">
        <f t="shared" si="16"/>
        <v>-248670</v>
      </c>
      <c r="P161" s="496">
        <v>-20763</v>
      </c>
      <c r="Q161" s="496">
        <v>-21615</v>
      </c>
      <c r="R161" s="496">
        <v>-20885</v>
      </c>
      <c r="S161" s="496">
        <v>-21182</v>
      </c>
      <c r="T161" s="496">
        <v>-21113</v>
      </c>
      <c r="U161" s="496">
        <v>-21183</v>
      </c>
      <c r="V161" s="496">
        <v>-20345</v>
      </c>
      <c r="W161" s="496">
        <v>-19840</v>
      </c>
      <c r="X161" s="496">
        <v>-20864</v>
      </c>
      <c r="Y161" s="496">
        <v>-19580</v>
      </c>
      <c r="Z161" s="496">
        <v>-20472</v>
      </c>
      <c r="AA161" s="496">
        <v>-20828</v>
      </c>
      <c r="AB161" s="492"/>
      <c r="AC161" s="492"/>
    </row>
    <row r="162" spans="1:29">
      <c r="A162" s="492"/>
      <c r="B162" s="492"/>
      <c r="C162" s="492"/>
      <c r="D162" s="492"/>
      <c r="E162" s="492"/>
      <c r="F162" s="492"/>
      <c r="G162" s="492"/>
      <c r="H162" s="492"/>
      <c r="I162" s="492"/>
      <c r="J162" s="492"/>
      <c r="K162" s="492"/>
      <c r="L162" s="492"/>
      <c r="M162" s="495">
        <f t="shared" si="17"/>
        <v>26</v>
      </c>
      <c r="N162" s="691" t="s">
        <v>2667</v>
      </c>
      <c r="O162" s="493">
        <f t="shared" si="16"/>
        <v>24952</v>
      </c>
      <c r="P162" s="496">
        <v>2072</v>
      </c>
      <c r="Q162" s="496">
        <v>2072</v>
      </c>
      <c r="R162" s="496">
        <v>2072</v>
      </c>
      <c r="S162" s="496">
        <v>2072</v>
      </c>
      <c r="T162" s="496">
        <v>2072</v>
      </c>
      <c r="U162" s="496">
        <v>2072</v>
      </c>
      <c r="V162" s="496">
        <v>2060</v>
      </c>
      <c r="W162" s="496">
        <v>2060</v>
      </c>
      <c r="X162" s="496">
        <v>2100</v>
      </c>
      <c r="Y162" s="496">
        <v>2100</v>
      </c>
      <c r="Z162" s="496">
        <v>2100</v>
      </c>
      <c r="AA162" s="496">
        <v>2100</v>
      </c>
      <c r="AB162" s="492"/>
      <c r="AC162" s="492"/>
    </row>
    <row r="163" spans="1:29">
      <c r="A163" s="492"/>
      <c r="B163" s="492"/>
      <c r="C163" s="492"/>
      <c r="D163" s="492"/>
      <c r="E163" s="492"/>
      <c r="F163" s="492"/>
      <c r="G163" s="492"/>
      <c r="H163" s="492"/>
      <c r="I163" s="492"/>
      <c r="J163" s="492"/>
      <c r="K163" s="492"/>
      <c r="L163" s="492"/>
      <c r="M163" s="495">
        <f t="shared" si="17"/>
        <v>27</v>
      </c>
      <c r="N163" s="691" t="s">
        <v>2668</v>
      </c>
      <c r="O163" s="493">
        <f t="shared" si="16"/>
        <v>73179</v>
      </c>
      <c r="P163" s="496">
        <v>5900</v>
      </c>
      <c r="Q163" s="496">
        <v>6192</v>
      </c>
      <c r="R163" s="496">
        <v>6419</v>
      </c>
      <c r="S163" s="496">
        <v>6364</v>
      </c>
      <c r="T163" s="496">
        <v>6253</v>
      </c>
      <c r="U163" s="496">
        <v>6503</v>
      </c>
      <c r="V163" s="496">
        <v>5963</v>
      </c>
      <c r="W163" s="496">
        <v>5581</v>
      </c>
      <c r="X163" s="496">
        <v>5975</v>
      </c>
      <c r="Y163" s="496">
        <v>5247</v>
      </c>
      <c r="Z163" s="496">
        <v>6190</v>
      </c>
      <c r="AA163" s="496">
        <v>6592</v>
      </c>
      <c r="AB163" s="492"/>
      <c r="AC163" s="492"/>
    </row>
    <row r="164" spans="1:29">
      <c r="A164" s="492"/>
      <c r="B164" s="492"/>
      <c r="C164" s="492"/>
      <c r="D164" s="492"/>
      <c r="E164" s="492"/>
      <c r="F164" s="492"/>
      <c r="G164" s="492"/>
      <c r="H164" s="492"/>
      <c r="I164" s="492"/>
      <c r="J164" s="492"/>
      <c r="K164" s="492"/>
      <c r="L164" s="492"/>
      <c r="M164" s="495">
        <f t="shared" si="17"/>
        <v>28</v>
      </c>
      <c r="N164" s="691" t="s">
        <v>2669</v>
      </c>
      <c r="O164" s="493">
        <f t="shared" si="16"/>
        <v>27262</v>
      </c>
      <c r="P164" s="496">
        <v>2171</v>
      </c>
      <c r="Q164" s="496">
        <v>2313</v>
      </c>
      <c r="R164" s="496">
        <v>2275</v>
      </c>
      <c r="S164" s="496">
        <v>2198</v>
      </c>
      <c r="T164" s="496">
        <v>2288</v>
      </c>
      <c r="U164" s="496">
        <v>2215</v>
      </c>
      <c r="V164" s="496">
        <v>2365</v>
      </c>
      <c r="W164" s="496">
        <v>2208</v>
      </c>
      <c r="X164" s="496">
        <v>2214</v>
      </c>
      <c r="Y164" s="496">
        <v>2083</v>
      </c>
      <c r="Z164" s="496">
        <v>2525</v>
      </c>
      <c r="AA164" s="496">
        <v>2407</v>
      </c>
      <c r="AB164" s="492"/>
      <c r="AC164" s="492"/>
    </row>
    <row r="165" spans="1:29">
      <c r="A165" s="492"/>
      <c r="B165" s="492"/>
      <c r="C165" s="492"/>
      <c r="D165" s="492"/>
      <c r="E165" s="492"/>
      <c r="F165" s="492"/>
      <c r="G165" s="492"/>
      <c r="H165" s="492"/>
      <c r="I165" s="492"/>
      <c r="J165" s="492"/>
      <c r="K165" s="492"/>
      <c r="L165" s="492"/>
      <c r="M165" s="495">
        <f t="shared" si="17"/>
        <v>29</v>
      </c>
      <c r="N165" s="691" t="s">
        <v>2675</v>
      </c>
      <c r="O165" s="493">
        <f t="shared" si="16"/>
        <v>-25332</v>
      </c>
      <c r="P165" s="496">
        <v>906</v>
      </c>
      <c r="Q165" s="496">
        <v>-4635</v>
      </c>
      <c r="R165" s="496">
        <v>-2820</v>
      </c>
      <c r="S165" s="496">
        <v>954</v>
      </c>
      <c r="T165" s="496">
        <v>-4621</v>
      </c>
      <c r="U165" s="496">
        <v>-2821</v>
      </c>
      <c r="V165" s="496">
        <v>1298</v>
      </c>
      <c r="W165" s="496">
        <v>-4692</v>
      </c>
      <c r="X165" s="496">
        <v>-2404</v>
      </c>
      <c r="Y165" s="496">
        <v>906</v>
      </c>
      <c r="Z165" s="496">
        <v>-4715</v>
      </c>
      <c r="AA165" s="496">
        <v>-2688</v>
      </c>
      <c r="AB165" s="492"/>
      <c r="AC165" s="492"/>
    </row>
    <row r="166" spans="1:29">
      <c r="A166" s="492"/>
      <c r="B166" s="492"/>
      <c r="C166" s="492"/>
      <c r="D166" s="492"/>
      <c r="E166" s="492"/>
      <c r="F166" s="492"/>
      <c r="G166" s="492"/>
      <c r="H166" s="492"/>
      <c r="I166" s="492"/>
      <c r="J166" s="492"/>
      <c r="K166" s="492"/>
      <c r="L166" s="492"/>
      <c r="M166" s="495">
        <f t="shared" si="17"/>
        <v>30</v>
      </c>
      <c r="N166" s="691" t="s">
        <v>2677</v>
      </c>
      <c r="O166" s="493">
        <f t="shared" si="16"/>
        <v>416421</v>
      </c>
      <c r="P166" s="496">
        <v>39680</v>
      </c>
      <c r="Q166" s="496">
        <v>39680</v>
      </c>
      <c r="R166" s="496">
        <v>39680</v>
      </c>
      <c r="S166" s="496">
        <v>39680</v>
      </c>
      <c r="T166" s="496">
        <v>39680</v>
      </c>
      <c r="U166" s="496">
        <v>461</v>
      </c>
      <c r="V166" s="496">
        <v>19160</v>
      </c>
      <c r="W166" s="496">
        <v>39680</v>
      </c>
      <c r="X166" s="496">
        <v>39680</v>
      </c>
      <c r="Y166" s="496">
        <v>39680</v>
      </c>
      <c r="Z166" s="496">
        <v>39680</v>
      </c>
      <c r="AA166" s="496">
        <v>39680</v>
      </c>
      <c r="AB166" s="492"/>
      <c r="AC166" s="492"/>
    </row>
    <row r="167" spans="1:29">
      <c r="A167" s="492"/>
      <c r="B167" s="492"/>
      <c r="C167" s="492"/>
      <c r="D167" s="492"/>
      <c r="E167" s="492"/>
      <c r="F167" s="492"/>
      <c r="G167" s="492"/>
      <c r="H167" s="492"/>
      <c r="I167" s="492"/>
      <c r="J167" s="492"/>
      <c r="K167" s="492"/>
      <c r="L167" s="492"/>
      <c r="M167" s="495">
        <f t="shared" si="17"/>
        <v>31</v>
      </c>
      <c r="N167" s="716" t="s">
        <v>2678</v>
      </c>
      <c r="O167" s="493">
        <f t="shared" si="16"/>
        <v>-816</v>
      </c>
      <c r="P167" s="496">
        <v>-68</v>
      </c>
      <c r="Q167" s="496">
        <v>-68</v>
      </c>
      <c r="R167" s="496">
        <v>-68</v>
      </c>
      <c r="S167" s="496">
        <v>-68</v>
      </c>
      <c r="T167" s="496">
        <v>-68</v>
      </c>
      <c r="U167" s="496">
        <v>-68</v>
      </c>
      <c r="V167" s="496">
        <v>-68</v>
      </c>
      <c r="W167" s="496">
        <v>-68</v>
      </c>
      <c r="X167" s="496">
        <v>-68</v>
      </c>
      <c r="Y167" s="496">
        <v>-68</v>
      </c>
      <c r="Z167" s="496">
        <v>-68</v>
      </c>
      <c r="AA167" s="496">
        <v>-68</v>
      </c>
      <c r="AB167" s="492"/>
      <c r="AC167" s="492"/>
    </row>
    <row r="168" spans="1:29">
      <c r="A168" s="492"/>
      <c r="B168" s="492"/>
      <c r="C168" s="492"/>
      <c r="D168" s="492"/>
      <c r="E168" s="492"/>
      <c r="F168" s="492"/>
      <c r="G168" s="492"/>
      <c r="H168" s="492"/>
      <c r="I168" s="492"/>
      <c r="J168" s="492"/>
      <c r="K168" s="492"/>
      <c r="L168" s="492"/>
      <c r="M168" s="495">
        <f t="shared" si="17"/>
        <v>32</v>
      </c>
      <c r="N168" s="691" t="s">
        <v>2679</v>
      </c>
      <c r="O168" s="493">
        <f t="shared" si="15"/>
        <v>8713</v>
      </c>
      <c r="P168" s="496">
        <v>700</v>
      </c>
      <c r="Q168" s="496">
        <v>737</v>
      </c>
      <c r="R168" s="496">
        <v>722</v>
      </c>
      <c r="S168" s="496">
        <v>881</v>
      </c>
      <c r="T168" s="496">
        <v>720</v>
      </c>
      <c r="U168" s="496">
        <v>720</v>
      </c>
      <c r="V168" s="496">
        <v>700</v>
      </c>
      <c r="W168" s="496">
        <v>700</v>
      </c>
      <c r="X168" s="496">
        <v>703</v>
      </c>
      <c r="Y168" s="496">
        <v>727</v>
      </c>
      <c r="Z168" s="496">
        <v>700</v>
      </c>
      <c r="AA168" s="496">
        <v>703</v>
      </c>
      <c r="AB168" s="492"/>
      <c r="AC168" s="492"/>
    </row>
    <row r="169" spans="1:29">
      <c r="A169" s="492"/>
      <c r="B169" s="492"/>
      <c r="C169" s="492"/>
      <c r="D169" s="492"/>
      <c r="E169" s="492"/>
      <c r="F169" s="492"/>
      <c r="G169" s="492"/>
      <c r="H169" s="492"/>
      <c r="I169" s="492"/>
      <c r="J169" s="492"/>
      <c r="K169" s="492"/>
      <c r="L169" s="492"/>
      <c r="M169" s="495">
        <f t="shared" si="17"/>
        <v>33</v>
      </c>
      <c r="N169" s="691" t="s">
        <v>2681</v>
      </c>
      <c r="O169" s="493">
        <f t="shared" si="15"/>
        <v>11410</v>
      </c>
      <c r="P169" s="496">
        <v>800</v>
      </c>
      <c r="Q169" s="496">
        <v>800</v>
      </c>
      <c r="R169" s="496">
        <v>800</v>
      </c>
      <c r="S169" s="496">
        <v>1250</v>
      </c>
      <c r="T169" s="496">
        <v>1480</v>
      </c>
      <c r="U169" s="496">
        <v>1480</v>
      </c>
      <c r="V169" s="496">
        <v>800</v>
      </c>
      <c r="W169" s="496">
        <v>800</v>
      </c>
      <c r="X169" s="496">
        <v>800</v>
      </c>
      <c r="Y169" s="496">
        <v>800</v>
      </c>
      <c r="Z169" s="496">
        <v>800</v>
      </c>
      <c r="AA169" s="496">
        <v>800</v>
      </c>
      <c r="AB169" s="492"/>
      <c r="AC169" s="492"/>
    </row>
    <row r="170" spans="1:29">
      <c r="A170" s="2078"/>
      <c r="B170" s="2078"/>
      <c r="C170" s="2078"/>
      <c r="D170" s="2078"/>
      <c r="E170" s="2078"/>
      <c r="F170" s="2078"/>
      <c r="G170" s="2078"/>
      <c r="H170" s="2078"/>
      <c r="I170" s="2078"/>
      <c r="J170" s="2078"/>
      <c r="K170" s="2078"/>
      <c r="L170" s="2078"/>
      <c r="M170" s="495">
        <f t="shared" si="17"/>
        <v>34</v>
      </c>
      <c r="N170" s="1726" t="s">
        <v>2685</v>
      </c>
      <c r="O170" s="2079">
        <f>SUM(P170:AA170)</f>
        <v>1147216</v>
      </c>
      <c r="P170" s="496">
        <v>83828</v>
      </c>
      <c r="Q170" s="496">
        <v>88912</v>
      </c>
      <c r="R170" s="496">
        <v>99242</v>
      </c>
      <c r="S170" s="496">
        <v>84517</v>
      </c>
      <c r="T170" s="496">
        <v>91826</v>
      </c>
      <c r="U170" s="496">
        <v>107031</v>
      </c>
      <c r="V170" s="496">
        <v>106334</v>
      </c>
      <c r="W170" s="496">
        <v>92682</v>
      </c>
      <c r="X170" s="496">
        <v>100730</v>
      </c>
      <c r="Y170" s="496">
        <v>88561</v>
      </c>
      <c r="Z170" s="496">
        <v>107162</v>
      </c>
      <c r="AA170" s="496">
        <v>96391</v>
      </c>
      <c r="AB170" s="2078"/>
      <c r="AC170" s="2078"/>
    </row>
    <row r="171" spans="1:29">
      <c r="A171" s="492"/>
      <c r="B171" s="492"/>
      <c r="C171" s="492"/>
      <c r="D171" s="492"/>
      <c r="E171" s="492"/>
      <c r="F171" s="492"/>
      <c r="G171" s="492"/>
      <c r="H171" s="492"/>
      <c r="I171" s="492"/>
      <c r="J171" s="492"/>
      <c r="K171" s="492"/>
      <c r="L171" s="492"/>
      <c r="M171" s="495">
        <f t="shared" si="17"/>
        <v>35</v>
      </c>
      <c r="N171" s="872" t="s">
        <v>2686</v>
      </c>
      <c r="O171" s="2167">
        <f t="shared" ref="O171:AA171" si="18">SUM(O150:O170)</f>
        <v>2065490</v>
      </c>
      <c r="P171" s="2167">
        <f t="shared" si="18"/>
        <v>161439</v>
      </c>
      <c r="Q171" s="2167">
        <f t="shared" si="18"/>
        <v>177372</v>
      </c>
      <c r="R171" s="2167">
        <f t="shared" si="18"/>
        <v>176224</v>
      </c>
      <c r="S171" s="2167">
        <f t="shared" si="18"/>
        <v>162865</v>
      </c>
      <c r="T171" s="2167">
        <f t="shared" si="18"/>
        <v>181452</v>
      </c>
      <c r="U171" s="2167">
        <f t="shared" si="18"/>
        <v>144746</v>
      </c>
      <c r="V171" s="2167">
        <f t="shared" si="18"/>
        <v>168820</v>
      </c>
      <c r="W171" s="2167">
        <f t="shared" si="18"/>
        <v>181655</v>
      </c>
      <c r="X171" s="2167">
        <f t="shared" si="18"/>
        <v>175449</v>
      </c>
      <c r="Y171" s="2167">
        <f t="shared" si="18"/>
        <v>166156</v>
      </c>
      <c r="Z171" s="2167">
        <f t="shared" si="18"/>
        <v>196963</v>
      </c>
      <c r="AA171" s="2167">
        <f t="shared" si="18"/>
        <v>172349</v>
      </c>
      <c r="AB171" s="492"/>
      <c r="AC171" s="492"/>
    </row>
    <row r="172" spans="1:29">
      <c r="A172" s="492"/>
      <c r="B172" s="492"/>
      <c r="C172" s="492"/>
      <c r="D172" s="492"/>
      <c r="E172" s="492"/>
      <c r="F172" s="492"/>
      <c r="G172" s="492"/>
      <c r="H172" s="492"/>
      <c r="I172" s="492"/>
      <c r="J172" s="492"/>
      <c r="K172" s="492"/>
      <c r="L172" s="492"/>
      <c r="M172" s="495">
        <f t="shared" si="17"/>
        <v>36</v>
      </c>
      <c r="N172" s="872"/>
      <c r="O172" s="493"/>
      <c r="P172" s="493"/>
      <c r="Q172" s="493"/>
      <c r="R172" s="493"/>
      <c r="S172" s="501"/>
      <c r="T172" s="493"/>
      <c r="U172" s="493"/>
      <c r="V172" s="493"/>
      <c r="W172" s="497"/>
      <c r="X172" s="498"/>
      <c r="Y172" s="498"/>
      <c r="Z172" s="498"/>
      <c r="AA172" s="498"/>
      <c r="AB172" s="492"/>
      <c r="AC172" s="492"/>
    </row>
    <row r="173" spans="1:29" ht="13.8" thickBot="1">
      <c r="A173" s="492"/>
      <c r="B173" s="492"/>
      <c r="C173" s="492"/>
      <c r="D173" s="492"/>
      <c r="E173" s="492"/>
      <c r="F173" s="492"/>
      <c r="G173" s="492"/>
      <c r="H173" s="492"/>
      <c r="I173" s="492"/>
      <c r="J173" s="492"/>
      <c r="K173" s="492"/>
      <c r="L173" s="492"/>
      <c r="M173" s="495">
        <f t="shared" si="17"/>
        <v>37</v>
      </c>
      <c r="N173" s="434" t="s">
        <v>801</v>
      </c>
      <c r="O173" s="1970">
        <f t="shared" ref="O173:AA173" si="19">O171+O147+O143+O139</f>
        <v>2151690</v>
      </c>
      <c r="P173" s="1970">
        <f t="shared" si="19"/>
        <v>164887</v>
      </c>
      <c r="Q173" s="1970">
        <f t="shared" si="19"/>
        <v>182544</v>
      </c>
      <c r="R173" s="1970">
        <f t="shared" si="19"/>
        <v>189154</v>
      </c>
      <c r="S173" s="1970">
        <f t="shared" si="19"/>
        <v>168037</v>
      </c>
      <c r="T173" s="1970">
        <f t="shared" si="19"/>
        <v>186624</v>
      </c>
      <c r="U173" s="1970">
        <f t="shared" si="19"/>
        <v>163710</v>
      </c>
      <c r="V173" s="1970">
        <f t="shared" si="19"/>
        <v>170544</v>
      </c>
      <c r="W173" s="1970">
        <f t="shared" si="19"/>
        <v>184241</v>
      </c>
      <c r="X173" s="1970">
        <f t="shared" si="19"/>
        <v>184931</v>
      </c>
      <c r="Y173" s="1970">
        <f t="shared" si="19"/>
        <v>171328</v>
      </c>
      <c r="Z173" s="1970">
        <f t="shared" si="19"/>
        <v>202135</v>
      </c>
      <c r="AA173" s="1970">
        <f t="shared" si="19"/>
        <v>183555</v>
      </c>
      <c r="AB173" s="492"/>
      <c r="AC173" s="492"/>
    </row>
    <row r="174" spans="1:29" ht="13.8" thickTop="1">
      <c r="A174" s="492"/>
      <c r="B174" s="492"/>
      <c r="C174" s="492"/>
      <c r="D174" s="492"/>
      <c r="E174" s="492"/>
      <c r="F174" s="492"/>
      <c r="G174" s="492"/>
      <c r="H174" s="492"/>
      <c r="I174" s="492"/>
      <c r="J174" s="492"/>
      <c r="K174" s="492"/>
      <c r="L174" s="492"/>
      <c r="M174" s="495"/>
      <c r="N174" s="434"/>
      <c r="O174" s="492"/>
      <c r="P174" s="498"/>
      <c r="Q174" s="498"/>
      <c r="R174" s="498"/>
      <c r="S174" s="501"/>
      <c r="T174" s="498"/>
      <c r="U174" s="498"/>
      <c r="V174" s="498"/>
      <c r="W174" s="498"/>
      <c r="X174" s="498"/>
      <c r="Y174" s="498"/>
      <c r="Z174" s="498"/>
      <c r="AA174" s="498"/>
      <c r="AB174" s="492"/>
      <c r="AC174" s="492"/>
    </row>
    <row r="175" spans="1:29">
      <c r="A175" s="492"/>
      <c r="B175" s="492"/>
      <c r="C175" s="492"/>
      <c r="D175" s="492"/>
      <c r="E175" s="492"/>
      <c r="F175" s="492"/>
      <c r="G175" s="492"/>
      <c r="H175" s="492"/>
      <c r="I175" s="492"/>
      <c r="J175" s="492"/>
      <c r="K175" s="492"/>
      <c r="L175" s="492"/>
      <c r="M175" s="500" t="s">
        <v>1479</v>
      </c>
      <c r="N175" s="434"/>
      <c r="O175" s="492"/>
      <c r="P175" s="498"/>
      <c r="Q175" s="498"/>
      <c r="R175" s="498"/>
      <c r="S175" s="501"/>
      <c r="T175" s="498"/>
      <c r="U175" s="498"/>
      <c r="V175" s="498"/>
      <c r="W175" s="498"/>
      <c r="X175" s="498"/>
      <c r="Y175" s="498"/>
      <c r="Z175" s="498"/>
      <c r="AA175" s="498"/>
      <c r="AB175" s="492"/>
      <c r="AC175" s="492"/>
    </row>
    <row r="176" spans="1:29" ht="15.6">
      <c r="A176" s="492"/>
      <c r="B176" s="492"/>
      <c r="C176" s="492"/>
      <c r="D176" s="492"/>
      <c r="E176" s="492"/>
      <c r="F176" s="492"/>
      <c r="G176" s="492"/>
      <c r="H176" s="492"/>
      <c r="I176" s="492"/>
      <c r="J176" s="492"/>
      <c r="K176" s="492"/>
      <c r="L176" s="492"/>
      <c r="M176" s="519" t="s">
        <v>2626</v>
      </c>
      <c r="N176" s="434"/>
      <c r="O176" s="492"/>
      <c r="P176" s="498"/>
      <c r="Q176" s="498"/>
      <c r="R176" s="498"/>
      <c r="S176" s="501"/>
      <c r="T176" s="498"/>
      <c r="U176" s="498"/>
      <c r="V176" s="498"/>
      <c r="W176" s="498"/>
      <c r="X176" s="498"/>
      <c r="Y176" s="498"/>
      <c r="Z176" s="498"/>
      <c r="AA176" s="498"/>
      <c r="AB176" s="492"/>
      <c r="AC176" s="492"/>
    </row>
    <row r="177" spans="1:29">
      <c r="A177" s="492"/>
      <c r="B177" s="492"/>
      <c r="C177" s="492"/>
      <c r="D177" s="492"/>
      <c r="E177" s="492"/>
      <c r="F177" s="492"/>
      <c r="G177" s="492"/>
      <c r="H177" s="492"/>
      <c r="I177" s="492"/>
      <c r="J177" s="492"/>
      <c r="K177" s="492"/>
      <c r="L177" s="492"/>
      <c r="M177" s="495"/>
      <c r="N177" s="434"/>
      <c r="O177" s="492"/>
      <c r="P177" s="498"/>
      <c r="Q177" s="498"/>
      <c r="R177" s="498"/>
      <c r="S177" s="501"/>
      <c r="T177" s="498"/>
      <c r="U177" s="498"/>
      <c r="V177" s="498"/>
      <c r="W177" s="498"/>
      <c r="X177" s="498"/>
      <c r="Y177" s="498"/>
      <c r="Z177" s="498"/>
      <c r="AA177" s="498"/>
      <c r="AB177" s="492"/>
      <c r="AC177" s="492"/>
    </row>
    <row r="178" spans="1:29">
      <c r="A178" s="492"/>
      <c r="B178" s="492"/>
      <c r="C178" s="492"/>
      <c r="D178" s="492"/>
      <c r="E178" s="492"/>
      <c r="F178" s="492"/>
      <c r="G178" s="492"/>
      <c r="H178" s="492"/>
      <c r="I178" s="492"/>
      <c r="J178" s="492"/>
      <c r="K178" s="492"/>
      <c r="L178" s="492"/>
      <c r="M178" s="492"/>
      <c r="N178" s="492"/>
      <c r="O178" s="492"/>
      <c r="P178" s="492"/>
      <c r="Q178" s="492"/>
      <c r="R178" s="492"/>
      <c r="S178" s="492"/>
      <c r="T178" s="492"/>
      <c r="U178" s="492"/>
      <c r="V178" s="492"/>
      <c r="W178" s="492"/>
      <c r="X178" s="492"/>
      <c r="Y178" s="492"/>
      <c r="Z178" s="492"/>
      <c r="AA178" s="492"/>
      <c r="AB178" s="492"/>
      <c r="AC178" s="492"/>
    </row>
    <row r="179" spans="1:29">
      <c r="A179" s="492"/>
      <c r="B179" s="492"/>
      <c r="C179" s="492"/>
      <c r="D179" s="492"/>
      <c r="E179" s="492"/>
      <c r="F179" s="492"/>
      <c r="G179" s="492"/>
      <c r="H179" s="492"/>
      <c r="I179" s="492"/>
      <c r="J179" s="492"/>
      <c r="K179" s="492"/>
      <c r="L179" s="492"/>
      <c r="M179" s="492"/>
      <c r="N179" s="492"/>
      <c r="O179" s="492"/>
      <c r="P179" s="498"/>
      <c r="Q179" s="498"/>
      <c r="R179" s="498"/>
      <c r="S179" s="498"/>
      <c r="T179" s="498"/>
      <c r="U179" s="498"/>
      <c r="V179" s="498"/>
      <c r="W179" s="498"/>
      <c r="X179" s="498"/>
      <c r="Y179" s="498"/>
      <c r="Z179" s="498"/>
      <c r="AA179" s="498"/>
      <c r="AB179" s="492"/>
      <c r="AC179" s="492"/>
    </row>
    <row r="180" spans="1:29">
      <c r="A180" s="492"/>
      <c r="B180" s="492"/>
      <c r="C180" s="492"/>
      <c r="D180" s="492"/>
      <c r="E180" s="492"/>
      <c r="F180" s="492"/>
      <c r="G180" s="492"/>
      <c r="H180" s="492"/>
      <c r="I180" s="492"/>
      <c r="J180" s="492"/>
      <c r="K180" s="492"/>
      <c r="L180" s="492"/>
      <c r="M180" s="492"/>
      <c r="N180" s="492"/>
      <c r="O180" s="492"/>
      <c r="P180" s="498"/>
      <c r="Q180" s="498"/>
      <c r="R180" s="498"/>
      <c r="S180" s="498"/>
      <c r="T180" s="498"/>
      <c r="U180" s="498"/>
      <c r="V180" s="498"/>
      <c r="W180" s="498"/>
      <c r="X180" s="498"/>
      <c r="Y180" s="498"/>
      <c r="Z180" s="498"/>
      <c r="AA180" s="498"/>
      <c r="AB180" s="492"/>
      <c r="AC180" s="492"/>
    </row>
    <row r="181" spans="1:29">
      <c r="A181" s="492"/>
      <c r="B181" s="492"/>
      <c r="C181" s="492"/>
      <c r="D181" s="492"/>
      <c r="E181" s="492"/>
      <c r="F181" s="492"/>
      <c r="G181" s="492"/>
      <c r="H181" s="492"/>
      <c r="I181" s="492"/>
      <c r="J181" s="492"/>
      <c r="K181" s="492"/>
      <c r="L181" s="492"/>
      <c r="N181" s="492"/>
      <c r="O181" s="492"/>
      <c r="P181" s="492"/>
      <c r="Q181" s="492"/>
      <c r="R181" s="492"/>
      <c r="S181" s="492"/>
      <c r="T181" s="492"/>
      <c r="U181" s="492"/>
      <c r="V181" s="492"/>
      <c r="W181" s="492"/>
      <c r="X181" s="492"/>
      <c r="Y181" s="492"/>
      <c r="Z181" s="492"/>
      <c r="AA181" s="492"/>
      <c r="AB181" s="492"/>
      <c r="AC181" s="492"/>
    </row>
    <row r="182" spans="1:29">
      <c r="A182" s="492"/>
      <c r="B182" s="492"/>
      <c r="C182" s="492"/>
      <c r="D182" s="492"/>
      <c r="E182" s="492"/>
      <c r="F182" s="492"/>
      <c r="G182" s="492"/>
      <c r="H182" s="492"/>
      <c r="I182" s="492"/>
      <c r="J182" s="492"/>
      <c r="K182" s="492"/>
      <c r="L182" s="492"/>
      <c r="N182" s="492"/>
      <c r="O182" s="492"/>
      <c r="P182" s="498"/>
      <c r="Q182" s="498"/>
      <c r="R182" s="498"/>
      <c r="S182" s="498"/>
      <c r="T182" s="498"/>
      <c r="U182" s="498"/>
      <c r="V182" s="498"/>
      <c r="W182" s="498"/>
      <c r="X182" s="498"/>
      <c r="Y182" s="498"/>
      <c r="Z182" s="498"/>
      <c r="AA182" s="498"/>
      <c r="AB182" s="492"/>
      <c r="AC182" s="492"/>
    </row>
    <row r="183" spans="1:29">
      <c r="A183" s="492"/>
      <c r="B183" s="492"/>
      <c r="C183" s="492"/>
      <c r="D183" s="492"/>
      <c r="E183" s="492"/>
      <c r="F183" s="492"/>
      <c r="G183" s="492"/>
      <c r="H183" s="492"/>
      <c r="I183" s="492"/>
      <c r="J183" s="492"/>
      <c r="K183" s="492"/>
      <c r="L183" s="492"/>
      <c r="M183" s="492"/>
      <c r="N183" s="492"/>
      <c r="O183" s="492"/>
      <c r="P183" s="498"/>
      <c r="Q183" s="498"/>
      <c r="R183" s="498"/>
      <c r="S183" s="498"/>
      <c r="T183" s="498"/>
      <c r="U183" s="498"/>
      <c r="V183" s="498"/>
      <c r="W183" s="498"/>
      <c r="X183" s="498"/>
      <c r="Y183" s="498"/>
      <c r="Z183" s="498"/>
      <c r="AA183" s="498"/>
      <c r="AB183" s="492"/>
      <c r="AC183" s="492"/>
    </row>
    <row r="184" spans="1:29">
      <c r="A184" s="492"/>
      <c r="B184" s="492"/>
      <c r="C184" s="492"/>
      <c r="D184" s="492"/>
      <c r="E184" s="492"/>
      <c r="F184" s="492"/>
      <c r="G184" s="492"/>
      <c r="H184" s="492"/>
      <c r="I184" s="492"/>
      <c r="J184" s="492"/>
      <c r="K184" s="492"/>
      <c r="L184" s="492"/>
      <c r="M184" s="492"/>
      <c r="N184" s="492"/>
      <c r="O184" s="492"/>
      <c r="P184" s="498"/>
      <c r="Q184" s="498"/>
      <c r="R184" s="498"/>
      <c r="S184" s="498"/>
      <c r="T184" s="498"/>
      <c r="U184" s="498"/>
      <c r="V184" s="498"/>
      <c r="W184" s="498"/>
      <c r="X184" s="498"/>
      <c r="Y184" s="498"/>
      <c r="Z184" s="498"/>
      <c r="AA184" s="498"/>
      <c r="AB184" s="492"/>
      <c r="AC184" s="492"/>
    </row>
    <row r="185" spans="1:29">
      <c r="A185" s="492"/>
      <c r="B185" s="492"/>
      <c r="C185" s="492"/>
      <c r="D185" s="492"/>
      <c r="E185" s="492"/>
      <c r="F185" s="492"/>
      <c r="G185" s="492"/>
      <c r="H185" s="492"/>
      <c r="I185" s="492"/>
      <c r="J185" s="492"/>
      <c r="K185" s="492"/>
      <c r="L185" s="492"/>
      <c r="M185" s="492"/>
      <c r="N185" s="492"/>
      <c r="O185" s="492"/>
      <c r="P185" s="498"/>
      <c r="Q185" s="498"/>
      <c r="R185" s="498"/>
      <c r="S185" s="498"/>
      <c r="T185" s="498"/>
      <c r="U185" s="498"/>
      <c r="V185" s="498"/>
      <c r="W185" s="498"/>
      <c r="X185" s="498"/>
      <c r="Y185" s="498"/>
      <c r="Z185" s="498"/>
      <c r="AA185" s="498"/>
      <c r="AB185" s="492"/>
      <c r="AC185" s="492"/>
    </row>
    <row r="186" spans="1:29">
      <c r="A186" s="492"/>
      <c r="B186" s="492"/>
      <c r="C186" s="492"/>
      <c r="D186" s="492"/>
      <c r="E186" s="492"/>
      <c r="F186" s="492"/>
      <c r="G186" s="492"/>
      <c r="H186" s="492"/>
      <c r="I186" s="492"/>
      <c r="J186" s="492"/>
      <c r="K186" s="492"/>
      <c r="L186" s="492"/>
      <c r="M186" s="492"/>
      <c r="N186" s="492"/>
      <c r="O186" s="492"/>
      <c r="P186" s="498"/>
      <c r="Q186" s="498"/>
      <c r="R186" s="498"/>
      <c r="S186" s="498"/>
      <c r="T186" s="498"/>
      <c r="U186" s="498"/>
      <c r="V186" s="498"/>
      <c r="W186" s="498"/>
      <c r="X186" s="498"/>
      <c r="Y186" s="498"/>
      <c r="Z186" s="498"/>
      <c r="AA186" s="498"/>
      <c r="AB186" s="492"/>
      <c r="AC186" s="492"/>
    </row>
    <row r="187" spans="1:29">
      <c r="M187" s="492"/>
      <c r="N187" s="492"/>
      <c r="O187" s="492"/>
      <c r="P187" s="498"/>
      <c r="Q187" s="498"/>
      <c r="R187" s="498"/>
      <c r="S187" s="498"/>
      <c r="T187" s="498"/>
      <c r="U187" s="498"/>
      <c r="V187" s="498"/>
      <c r="W187" s="498"/>
      <c r="X187" s="498"/>
      <c r="Y187" s="498"/>
      <c r="Z187" s="498"/>
      <c r="AA187" s="498"/>
    </row>
    <row r="188" spans="1:29">
      <c r="M188" s="492"/>
      <c r="N188" s="492"/>
      <c r="O188" s="492"/>
      <c r="P188" s="498"/>
      <c r="Q188" s="498"/>
      <c r="R188" s="498"/>
      <c r="S188" s="498"/>
      <c r="T188" s="498"/>
      <c r="U188" s="498"/>
      <c r="V188" s="498"/>
      <c r="W188" s="498"/>
      <c r="X188" s="498"/>
      <c r="Y188" s="498"/>
      <c r="Z188" s="498"/>
      <c r="AA188" s="498"/>
    </row>
    <row r="189" spans="1:29">
      <c r="M189" s="492"/>
      <c r="N189" s="492"/>
      <c r="O189" s="492"/>
      <c r="P189" s="498"/>
      <c r="Q189" s="498"/>
      <c r="R189" s="498"/>
      <c r="S189" s="498"/>
      <c r="T189" s="498"/>
      <c r="U189" s="498"/>
      <c r="V189" s="498"/>
      <c r="W189" s="498"/>
      <c r="X189" s="498"/>
      <c r="Y189" s="498"/>
      <c r="Z189" s="498"/>
      <c r="AA189" s="498"/>
    </row>
    <row r="190" spans="1:29">
      <c r="M190" s="492"/>
      <c r="N190" s="492"/>
      <c r="O190" s="492"/>
      <c r="P190" s="498"/>
      <c r="Q190" s="498"/>
      <c r="R190" s="498"/>
      <c r="S190" s="498"/>
      <c r="T190" s="498"/>
      <c r="U190" s="498"/>
      <c r="V190" s="498"/>
      <c r="W190" s="498"/>
      <c r="X190" s="498"/>
      <c r="Y190" s="498"/>
      <c r="Z190" s="498"/>
      <c r="AA190" s="498"/>
    </row>
    <row r="191" spans="1:29">
      <c r="P191" s="498"/>
      <c r="Q191" s="498"/>
      <c r="R191" s="498"/>
      <c r="S191" s="498"/>
      <c r="T191" s="498"/>
      <c r="U191" s="498"/>
      <c r="V191" s="498"/>
      <c r="W191" s="498"/>
      <c r="X191" s="498"/>
      <c r="Y191" s="498"/>
      <c r="Z191" s="498"/>
      <c r="AA191" s="498"/>
    </row>
    <row r="192" spans="1:29">
      <c r="P192" s="498"/>
      <c r="Q192" s="498"/>
      <c r="R192" s="498"/>
      <c r="S192" s="498"/>
      <c r="T192" s="498"/>
      <c r="U192" s="498"/>
      <c r="V192" s="498"/>
      <c r="W192" s="498"/>
      <c r="X192" s="498"/>
      <c r="Y192" s="498"/>
      <c r="Z192" s="498"/>
      <c r="AA192" s="498"/>
    </row>
    <row r="193" spans="16:27">
      <c r="P193" s="498"/>
      <c r="Q193" s="498"/>
      <c r="R193" s="498"/>
      <c r="S193" s="498"/>
      <c r="T193" s="498"/>
      <c r="U193" s="498"/>
      <c r="V193" s="498"/>
      <c r="W193" s="498"/>
      <c r="X193" s="498"/>
      <c r="Y193" s="498"/>
      <c r="Z193" s="498"/>
      <c r="AA193" s="498"/>
    </row>
    <row r="194" spans="16:27">
      <c r="P194" s="498"/>
      <c r="Q194" s="498"/>
      <c r="R194" s="498"/>
      <c r="S194" s="498"/>
      <c r="T194" s="498"/>
      <c r="U194" s="498"/>
      <c r="V194" s="498"/>
      <c r="W194" s="498"/>
      <c r="X194" s="498"/>
      <c r="Y194" s="498"/>
      <c r="Z194" s="498"/>
      <c r="AA194" s="498"/>
    </row>
    <row r="195" spans="16:27">
      <c r="P195" s="498"/>
      <c r="Q195" s="498"/>
      <c r="R195" s="498"/>
      <c r="S195" s="498"/>
      <c r="T195" s="498"/>
      <c r="U195" s="498"/>
      <c r="V195" s="498"/>
      <c r="W195" s="498"/>
      <c r="X195" s="498"/>
      <c r="Y195" s="498"/>
      <c r="Z195" s="498"/>
      <c r="AA195" s="498"/>
    </row>
    <row r="196" spans="16:27">
      <c r="P196" s="498"/>
      <c r="Q196" s="498"/>
      <c r="R196" s="498"/>
      <c r="S196" s="498"/>
      <c r="T196" s="498"/>
      <c r="U196" s="498"/>
      <c r="V196" s="498"/>
      <c r="W196" s="498"/>
      <c r="X196" s="498"/>
      <c r="Y196" s="498"/>
      <c r="Z196" s="498"/>
      <c r="AA196" s="498"/>
    </row>
    <row r="197" spans="16:27">
      <c r="P197" s="498"/>
      <c r="Q197" s="498"/>
      <c r="R197" s="498"/>
      <c r="S197" s="498"/>
      <c r="T197" s="498"/>
      <c r="U197" s="498"/>
      <c r="V197" s="498"/>
      <c r="W197" s="498"/>
      <c r="X197" s="498"/>
      <c r="Y197" s="498"/>
      <c r="Z197" s="498"/>
      <c r="AA197" s="498"/>
    </row>
    <row r="198" spans="16:27">
      <c r="P198" s="498"/>
      <c r="Q198" s="498"/>
      <c r="R198" s="498"/>
      <c r="S198" s="498"/>
      <c r="T198" s="498"/>
      <c r="U198" s="498"/>
      <c r="V198" s="498"/>
      <c r="W198" s="498"/>
      <c r="X198" s="498"/>
      <c r="Y198" s="498"/>
      <c r="Z198" s="498"/>
      <c r="AA198" s="498"/>
    </row>
    <row r="199" spans="16:27">
      <c r="P199" s="498"/>
      <c r="Q199" s="498"/>
      <c r="R199" s="498"/>
      <c r="S199" s="498"/>
      <c r="T199" s="498"/>
      <c r="U199" s="498"/>
      <c r="V199" s="498"/>
      <c r="W199" s="498"/>
      <c r="X199" s="498"/>
      <c r="Y199" s="498"/>
      <c r="Z199" s="498"/>
      <c r="AA199" s="498"/>
    </row>
    <row r="200" spans="16:27">
      <c r="P200" s="498"/>
      <c r="Q200" s="498"/>
      <c r="R200" s="498"/>
      <c r="S200" s="498"/>
      <c r="T200" s="498"/>
      <c r="U200" s="498"/>
      <c r="V200" s="498"/>
      <c r="W200" s="498"/>
      <c r="X200" s="498"/>
      <c r="Y200" s="498"/>
      <c r="Z200" s="498"/>
      <c r="AA200" s="498"/>
    </row>
    <row r="201" spans="16:27">
      <c r="P201" s="498"/>
      <c r="Q201" s="498"/>
      <c r="R201" s="498"/>
      <c r="S201" s="498"/>
      <c r="T201" s="498"/>
      <c r="U201" s="498"/>
      <c r="V201" s="498"/>
      <c r="W201" s="498"/>
      <c r="X201" s="498"/>
      <c r="Y201" s="498"/>
      <c r="Z201" s="498"/>
      <c r="AA201" s="498"/>
    </row>
    <row r="202" spans="16:27">
      <c r="P202" s="498"/>
      <c r="Q202" s="498"/>
      <c r="R202" s="498"/>
      <c r="S202" s="498"/>
      <c r="T202" s="498"/>
      <c r="U202" s="498"/>
      <c r="V202" s="498"/>
      <c r="W202" s="498"/>
      <c r="X202" s="498"/>
      <c r="Y202" s="498"/>
      <c r="Z202" s="498"/>
      <c r="AA202" s="498"/>
    </row>
    <row r="203" spans="16:27">
      <c r="P203" s="498"/>
      <c r="Q203" s="498"/>
      <c r="R203" s="498"/>
      <c r="S203" s="498"/>
      <c r="T203" s="498"/>
      <c r="U203" s="498"/>
      <c r="V203" s="498"/>
      <c r="W203" s="498"/>
      <c r="X203" s="498"/>
      <c r="Y203" s="498"/>
      <c r="Z203" s="498"/>
      <c r="AA203" s="498"/>
    </row>
    <row r="204" spans="16:27">
      <c r="P204" s="498"/>
      <c r="Q204" s="498"/>
      <c r="R204" s="498"/>
      <c r="S204" s="498"/>
      <c r="T204" s="498"/>
      <c r="U204" s="498"/>
      <c r="V204" s="498"/>
      <c r="W204" s="498"/>
      <c r="X204" s="498"/>
      <c r="Y204" s="498"/>
      <c r="Z204" s="498"/>
      <c r="AA204" s="498"/>
    </row>
    <row r="205" spans="16:27">
      <c r="P205" s="498"/>
      <c r="Q205" s="498"/>
      <c r="R205" s="498"/>
      <c r="S205" s="498"/>
      <c r="T205" s="498"/>
      <c r="U205" s="498"/>
      <c r="V205" s="498"/>
      <c r="W205" s="498"/>
      <c r="X205" s="498"/>
      <c r="Y205" s="498"/>
      <c r="Z205" s="498"/>
      <c r="AA205" s="498"/>
    </row>
    <row r="206" spans="16:27">
      <c r="P206" s="498"/>
      <c r="Q206" s="498"/>
      <c r="R206" s="498"/>
      <c r="S206" s="498"/>
      <c r="T206" s="498"/>
      <c r="U206" s="498"/>
      <c r="V206" s="498"/>
      <c r="W206" s="498"/>
      <c r="X206" s="498"/>
      <c r="Y206" s="498"/>
      <c r="Z206" s="498"/>
      <c r="AA206" s="498"/>
    </row>
    <row r="207" spans="16:27">
      <c r="P207" s="498"/>
      <c r="Q207" s="498"/>
      <c r="R207" s="498"/>
      <c r="S207" s="498"/>
      <c r="T207" s="498"/>
      <c r="U207" s="498"/>
      <c r="V207" s="498"/>
      <c r="W207" s="498"/>
      <c r="X207" s="498"/>
      <c r="Y207" s="498"/>
      <c r="Z207" s="498"/>
      <c r="AA207" s="498"/>
    </row>
    <row r="208" spans="16:27">
      <c r="P208" s="498"/>
      <c r="Q208" s="498"/>
      <c r="R208" s="498"/>
      <c r="S208" s="498"/>
      <c r="T208" s="498"/>
      <c r="U208" s="498"/>
      <c r="V208" s="498"/>
      <c r="W208" s="498"/>
      <c r="X208" s="498"/>
      <c r="Y208" s="498"/>
      <c r="Z208" s="498"/>
      <c r="AA208" s="498"/>
    </row>
    <row r="209" spans="16:27">
      <c r="P209" s="498"/>
      <c r="Q209" s="498"/>
      <c r="R209" s="498"/>
      <c r="S209" s="498"/>
      <c r="T209" s="498"/>
      <c r="U209" s="498"/>
      <c r="V209" s="498"/>
      <c r="W209" s="498"/>
      <c r="X209" s="498"/>
      <c r="Y209" s="498"/>
      <c r="Z209" s="498"/>
      <c r="AA209" s="498"/>
    </row>
    <row r="210" spans="16:27">
      <c r="P210" s="498"/>
      <c r="Q210" s="498"/>
      <c r="R210" s="498"/>
      <c r="S210" s="498"/>
      <c r="T210" s="498"/>
      <c r="U210" s="498"/>
      <c r="V210" s="498"/>
      <c r="W210" s="498"/>
      <c r="X210" s="498"/>
      <c r="Y210" s="498"/>
      <c r="Z210" s="498"/>
      <c r="AA210" s="498"/>
    </row>
    <row r="211" spans="16:27">
      <c r="P211" s="498"/>
      <c r="Q211" s="498"/>
      <c r="R211" s="498"/>
      <c r="S211" s="498"/>
      <c r="T211" s="498"/>
      <c r="U211" s="498"/>
      <c r="V211" s="498"/>
      <c r="W211" s="498"/>
      <c r="X211" s="498"/>
      <c r="Y211" s="498"/>
      <c r="Z211" s="498"/>
      <c r="AA211" s="498"/>
    </row>
    <row r="212" spans="16:27">
      <c r="P212" s="498"/>
      <c r="Q212" s="498"/>
      <c r="R212" s="498"/>
      <c r="S212" s="498"/>
      <c r="T212" s="498"/>
      <c r="U212" s="498"/>
      <c r="V212" s="498"/>
      <c r="W212" s="498"/>
      <c r="X212" s="498"/>
      <c r="Y212" s="498"/>
      <c r="Z212" s="498"/>
      <c r="AA212" s="498"/>
    </row>
    <row r="213" spans="16:27">
      <c r="P213" s="498"/>
      <c r="Q213" s="498"/>
      <c r="R213" s="498"/>
      <c r="S213" s="498"/>
      <c r="T213" s="498"/>
      <c r="U213" s="498"/>
      <c r="V213" s="498"/>
      <c r="W213" s="498"/>
      <c r="X213" s="498"/>
      <c r="Y213" s="498"/>
      <c r="Z213" s="498"/>
      <c r="AA213" s="498"/>
    </row>
    <row r="214" spans="16:27">
      <c r="P214" s="498"/>
      <c r="Q214" s="498"/>
      <c r="R214" s="498"/>
      <c r="S214" s="498"/>
      <c r="T214" s="498"/>
      <c r="U214" s="498"/>
      <c r="V214" s="498"/>
      <c r="W214" s="498"/>
      <c r="X214" s="498"/>
      <c r="Y214" s="498"/>
      <c r="Z214" s="498"/>
      <c r="AA214" s="498"/>
    </row>
    <row r="215" spans="16:27">
      <c r="P215" s="498"/>
      <c r="Q215" s="498"/>
      <c r="R215" s="498"/>
      <c r="S215" s="498"/>
      <c r="T215" s="498"/>
      <c r="U215" s="498"/>
      <c r="V215" s="498"/>
      <c r="W215" s="498"/>
      <c r="X215" s="498"/>
      <c r="Y215" s="498"/>
      <c r="Z215" s="498"/>
      <c r="AA215" s="498"/>
    </row>
    <row r="216" spans="16:27">
      <c r="P216" s="498"/>
      <c r="Q216" s="498"/>
      <c r="R216" s="498"/>
      <c r="S216" s="498"/>
      <c r="T216" s="498"/>
      <c r="U216" s="498"/>
      <c r="V216" s="498"/>
      <c r="W216" s="498"/>
      <c r="X216" s="498"/>
      <c r="Y216" s="498"/>
      <c r="Z216" s="498"/>
      <c r="AA216" s="498"/>
    </row>
    <row r="217" spans="16:27">
      <c r="P217" s="498"/>
      <c r="Q217" s="498"/>
      <c r="R217" s="498"/>
      <c r="S217" s="498"/>
      <c r="T217" s="498"/>
      <c r="U217" s="498"/>
      <c r="V217" s="498"/>
      <c r="W217" s="498"/>
      <c r="X217" s="498"/>
      <c r="Y217" s="498"/>
      <c r="Z217" s="498"/>
      <c r="AA217" s="498"/>
    </row>
    <row r="218" spans="16:27">
      <c r="P218" s="498"/>
      <c r="Q218" s="498"/>
      <c r="R218" s="498"/>
      <c r="S218" s="498"/>
      <c r="T218" s="498"/>
      <c r="U218" s="498"/>
      <c r="V218" s="498"/>
      <c r="W218" s="498"/>
      <c r="X218" s="498"/>
      <c r="Y218" s="498"/>
      <c r="Z218" s="498"/>
      <c r="AA218" s="498"/>
    </row>
    <row r="219" spans="16:27">
      <c r="P219" s="498"/>
      <c r="Q219" s="498"/>
      <c r="R219" s="498"/>
      <c r="S219" s="498"/>
      <c r="T219" s="498"/>
      <c r="U219" s="498"/>
      <c r="V219" s="498"/>
      <c r="W219" s="498"/>
      <c r="X219" s="498"/>
      <c r="Y219" s="498"/>
      <c r="Z219" s="498"/>
      <c r="AA219" s="498"/>
    </row>
    <row r="220" spans="16:27">
      <c r="P220" s="498"/>
      <c r="Q220" s="498"/>
      <c r="R220" s="498"/>
      <c r="S220" s="498"/>
      <c r="T220" s="498"/>
      <c r="U220" s="498"/>
      <c r="V220" s="498"/>
      <c r="W220" s="498"/>
      <c r="X220" s="498"/>
      <c r="Y220" s="498"/>
      <c r="Z220" s="498"/>
      <c r="AA220" s="498"/>
    </row>
    <row r="221" spans="16:27">
      <c r="P221" s="498"/>
      <c r="Q221" s="498"/>
      <c r="R221" s="498"/>
      <c r="S221" s="498"/>
      <c r="T221" s="498"/>
      <c r="U221" s="498"/>
      <c r="V221" s="498"/>
      <c r="W221" s="498"/>
      <c r="X221" s="498"/>
      <c r="Y221" s="498"/>
      <c r="Z221" s="498"/>
      <c r="AA221" s="498"/>
    </row>
    <row r="222" spans="16:27">
      <c r="P222" s="498"/>
      <c r="Q222" s="498"/>
      <c r="R222" s="498"/>
      <c r="S222" s="498"/>
      <c r="T222" s="498"/>
      <c r="U222" s="498"/>
      <c r="V222" s="498"/>
      <c r="W222" s="498"/>
      <c r="X222" s="498"/>
      <c r="Y222" s="498"/>
      <c r="Z222" s="498"/>
      <c r="AA222" s="498"/>
    </row>
    <row r="223" spans="16:27">
      <c r="P223" s="498"/>
    </row>
    <row r="224" spans="16:27">
      <c r="P224" s="498"/>
    </row>
    <row r="225" spans="16:16">
      <c r="P225" s="498"/>
    </row>
    <row r="226" spans="16:16">
      <c r="P226" s="498"/>
    </row>
    <row r="227" spans="16:16">
      <c r="P227" s="498"/>
    </row>
    <row r="228" spans="16:16">
      <c r="P228" s="498"/>
    </row>
  </sheetData>
  <phoneticPr fontId="19" type="noConversion"/>
  <pageMargins left="1" right="0.75" top="1" bottom="0.5" header="0" footer="0"/>
  <pageSetup scale="58" orientation="landscape" blackAndWhite="1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57">
    <tabColor rgb="FFFFC000"/>
    <pageSetUpPr fitToPage="1"/>
  </sheetPr>
  <dimension ref="A1:O63"/>
  <sheetViews>
    <sheetView workbookViewId="0">
      <selection activeCell="B3" sqref="B3"/>
    </sheetView>
  </sheetViews>
  <sheetFormatPr defaultColWidth="8" defaultRowHeight="13.2"/>
  <cols>
    <col min="1" max="1" width="8" customWidth="1"/>
    <col min="2" max="2" width="35" customWidth="1"/>
    <col min="3" max="3" width="15.44140625" customWidth="1"/>
    <col min="4" max="4" width="0.5546875" customWidth="1"/>
    <col min="5" max="5" width="13.5546875" customWidth="1"/>
    <col min="6" max="6" width="0.5546875" customWidth="1"/>
    <col min="7" max="7" width="17.44140625" customWidth="1"/>
    <col min="8" max="8" width="0.5546875" customWidth="1"/>
    <col min="9" max="9" width="13" customWidth="1"/>
    <col min="10" max="10" width="0.44140625" customWidth="1"/>
    <col min="11" max="11" width="17.44140625" customWidth="1"/>
    <col min="12" max="12" width="18.44140625" customWidth="1"/>
  </cols>
  <sheetData>
    <row r="1" spans="1:13">
      <c r="A1" s="858" t="str">
        <f>COMPANY</f>
        <v>DUKE ENERGY KENTUCKY, INC.</v>
      </c>
      <c r="B1" s="859"/>
      <c r="C1" s="859"/>
      <c r="D1" s="859"/>
      <c r="E1" s="859"/>
      <c r="F1" s="859"/>
      <c r="G1" s="859"/>
      <c r="H1" s="859"/>
      <c r="I1" s="859"/>
      <c r="J1" s="859"/>
      <c r="K1" s="859"/>
      <c r="L1" s="859"/>
      <c r="M1" s="486"/>
    </row>
    <row r="2" spans="1:13">
      <c r="A2" s="859" t="str">
        <f>CASE</f>
        <v>CASE NO. 2024-00354</v>
      </c>
      <c r="B2" s="859"/>
      <c r="C2" s="859"/>
      <c r="D2" s="859"/>
      <c r="E2" s="858"/>
      <c r="F2" s="858"/>
      <c r="G2" s="859"/>
      <c r="H2" s="859"/>
      <c r="I2" s="859"/>
      <c r="J2" s="859"/>
      <c r="K2" s="859"/>
      <c r="L2" s="858"/>
      <c r="M2" s="486"/>
    </row>
    <row r="3" spans="1:13">
      <c r="A3" s="859" t="s">
        <v>2005</v>
      </c>
      <c r="B3" s="859"/>
      <c r="C3" s="859"/>
      <c r="D3" s="859"/>
      <c r="E3" s="859"/>
      <c r="F3" s="859"/>
      <c r="G3" s="859"/>
      <c r="H3" s="859"/>
      <c r="I3" s="859"/>
      <c r="J3" s="859"/>
      <c r="K3" s="859"/>
      <c r="L3" s="859"/>
      <c r="M3" s="486"/>
    </row>
    <row r="4" spans="1:13">
      <c r="A4" s="859" t="str">
        <f>LOGO!B8</f>
        <v>FOR THE TWELVE MONTHS ENDED JUNE 30, 2026</v>
      </c>
      <c r="B4" s="859"/>
      <c r="C4" s="859"/>
      <c r="D4" s="859"/>
      <c r="E4" s="859"/>
      <c r="F4" s="859"/>
      <c r="G4" s="859"/>
      <c r="H4" s="859"/>
      <c r="I4" s="859"/>
      <c r="J4" s="859"/>
      <c r="K4" s="859"/>
      <c r="L4" s="859"/>
      <c r="M4" s="486"/>
    </row>
    <row r="5" spans="1:13">
      <c r="A5" s="486"/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</row>
    <row r="6" spans="1:13">
      <c r="A6" s="486" t="str">
        <f>DataF</f>
        <v>DATA:  BASE PERIOD  "X" FORECASTED PERIOD</v>
      </c>
      <c r="B6" s="486"/>
      <c r="C6" s="486"/>
      <c r="D6" s="486"/>
      <c r="E6" s="486"/>
      <c r="F6" s="486"/>
      <c r="G6" s="486"/>
      <c r="H6" s="486"/>
      <c r="I6" s="486"/>
      <c r="J6" s="486"/>
      <c r="K6" s="860" t="s">
        <v>2689</v>
      </c>
      <c r="L6" s="486"/>
      <c r="M6" s="486"/>
    </row>
    <row r="7" spans="1:13">
      <c r="A7" s="486" t="str">
        <f>Type</f>
        <v xml:space="preserve">TYPE OF FILING:  "X" ORIGINAL   UPDATED    REVISED  </v>
      </c>
      <c r="B7" s="486"/>
      <c r="C7" s="486"/>
      <c r="D7" s="486"/>
      <c r="E7" s="486"/>
      <c r="F7" s="486"/>
      <c r="G7" s="486"/>
      <c r="H7" s="486"/>
      <c r="I7" s="486"/>
      <c r="J7" s="486"/>
      <c r="K7" s="860" t="s">
        <v>2690</v>
      </c>
      <c r="L7" s="486"/>
      <c r="M7" s="486"/>
    </row>
    <row r="8" spans="1:13">
      <c r="A8" s="861" t="s">
        <v>723</v>
      </c>
      <c r="B8" s="486"/>
      <c r="C8" s="486"/>
      <c r="D8" s="486"/>
      <c r="E8" s="486"/>
      <c r="F8" s="486"/>
      <c r="G8" s="486"/>
      <c r="H8" s="486"/>
      <c r="I8" s="486"/>
      <c r="J8" s="486"/>
      <c r="K8" s="860" t="s">
        <v>2691</v>
      </c>
      <c r="L8" s="486"/>
      <c r="M8" s="486"/>
    </row>
    <row r="9" spans="1:13">
      <c r="A9" s="486"/>
      <c r="B9" s="486"/>
      <c r="C9" s="486"/>
      <c r="D9" s="486"/>
      <c r="E9" s="486"/>
      <c r="F9" s="486"/>
      <c r="G9" s="486"/>
      <c r="H9" s="486"/>
      <c r="I9" s="486"/>
      <c r="J9" s="486"/>
      <c r="K9" s="861" t="str">
        <f>"        "&amp;_WIT1</f>
        <v xml:space="preserve">        L. D. STEINKUHL</v>
      </c>
      <c r="L9" s="486"/>
      <c r="M9" s="486"/>
    </row>
    <row r="10" spans="1:13">
      <c r="A10" s="1291"/>
      <c r="B10" s="1572"/>
      <c r="C10" s="1572"/>
      <c r="D10" s="1572"/>
      <c r="E10" s="1572"/>
      <c r="F10" s="1572"/>
      <c r="G10" s="1572"/>
      <c r="H10" s="1572"/>
      <c r="I10" s="1572"/>
      <c r="J10" s="1572"/>
      <c r="K10" s="1572"/>
      <c r="L10" s="1572"/>
      <c r="M10" s="486"/>
    </row>
    <row r="11" spans="1:13">
      <c r="A11" s="2172"/>
      <c r="B11" s="2425" t="s">
        <v>2692</v>
      </c>
      <c r="C11" s="2425"/>
      <c r="D11" s="2425"/>
      <c r="E11" s="2425"/>
      <c r="F11" s="2425"/>
      <c r="G11" s="2425"/>
      <c r="H11" s="2425"/>
      <c r="I11" s="2425"/>
      <c r="J11" s="2425"/>
      <c r="K11" s="2425"/>
      <c r="L11" s="2425"/>
      <c r="M11" s="486"/>
    </row>
    <row r="12" spans="1:13">
      <c r="A12" s="486"/>
      <c r="B12" s="486"/>
      <c r="C12" s="862" t="s">
        <v>2693</v>
      </c>
      <c r="D12" s="1824"/>
      <c r="E12" s="1825" t="s">
        <v>2693</v>
      </c>
      <c r="F12" s="1826"/>
      <c r="G12" s="859"/>
      <c r="H12" s="486"/>
      <c r="I12" s="1825" t="s">
        <v>2693</v>
      </c>
      <c r="J12" s="1826"/>
      <c r="K12" s="859"/>
      <c r="L12" s="862" t="s">
        <v>2694</v>
      </c>
      <c r="M12" s="486"/>
    </row>
    <row r="13" spans="1:13">
      <c r="A13" s="862" t="s">
        <v>471</v>
      </c>
      <c r="B13" s="486"/>
      <c r="C13" s="1827" t="str">
        <f>RIGHT(CASE,10)</f>
        <v>2024-00354</v>
      </c>
      <c r="D13" s="861"/>
      <c r="E13" s="1828" t="s">
        <v>2695</v>
      </c>
      <c r="F13" s="1829"/>
      <c r="G13" s="1829"/>
      <c r="H13" s="486"/>
      <c r="I13" s="1828" t="s">
        <v>2696</v>
      </c>
      <c r="J13" s="1829"/>
      <c r="K13" s="1829"/>
      <c r="L13" s="862" t="s">
        <v>2697</v>
      </c>
      <c r="M13" s="486"/>
    </row>
    <row r="14" spans="1:13">
      <c r="A14" s="862" t="s">
        <v>533</v>
      </c>
      <c r="B14" s="861" t="s">
        <v>2698</v>
      </c>
      <c r="C14" s="862" t="s">
        <v>2699</v>
      </c>
      <c r="D14" s="862"/>
      <c r="E14" s="862" t="s">
        <v>253</v>
      </c>
      <c r="F14" s="862"/>
      <c r="G14" s="862" t="s">
        <v>2699</v>
      </c>
      <c r="H14" s="486"/>
      <c r="I14" s="862" t="s">
        <v>253</v>
      </c>
      <c r="J14" s="862"/>
      <c r="K14" s="862" t="s">
        <v>2699</v>
      </c>
      <c r="L14" s="862" t="s">
        <v>2700</v>
      </c>
      <c r="M14" s="486"/>
    </row>
    <row r="15" spans="1:13">
      <c r="A15" s="1291"/>
      <c r="B15" s="1572"/>
      <c r="C15" s="1292" t="s">
        <v>1371</v>
      </c>
      <c r="D15" s="1572"/>
      <c r="E15" s="1292" t="s">
        <v>1371</v>
      </c>
      <c r="F15" s="1572"/>
      <c r="G15" s="1292" t="s">
        <v>1371</v>
      </c>
      <c r="H15" s="1572"/>
      <c r="I15" s="1292" t="s">
        <v>1371</v>
      </c>
      <c r="J15" s="1572"/>
      <c r="K15" s="1292" t="s">
        <v>1371</v>
      </c>
      <c r="L15" s="1572"/>
      <c r="M15" s="486"/>
    </row>
    <row r="16" spans="1:13">
      <c r="A16" s="486"/>
      <c r="B16" s="486"/>
      <c r="C16" s="486"/>
      <c r="D16" s="486"/>
      <c r="E16" s="486"/>
      <c r="F16" s="486"/>
      <c r="G16" s="486"/>
      <c r="H16" s="486"/>
      <c r="I16" s="486"/>
      <c r="J16" s="486"/>
      <c r="K16" s="486"/>
      <c r="L16" s="486"/>
      <c r="M16" s="486"/>
    </row>
    <row r="17" spans="1:13">
      <c r="A17" s="862">
        <v>1</v>
      </c>
      <c r="B17" s="861" t="s">
        <v>2637</v>
      </c>
      <c r="C17" s="489">
        <v>325000</v>
      </c>
      <c r="D17" s="490"/>
      <c r="E17" s="489">
        <v>187718</v>
      </c>
      <c r="F17" s="489"/>
      <c r="G17" s="773">
        <v>425000</v>
      </c>
      <c r="H17" s="486"/>
      <c r="I17" s="489">
        <v>67223</v>
      </c>
      <c r="J17" s="489"/>
      <c r="K17" s="489">
        <v>163460</v>
      </c>
      <c r="L17" s="486"/>
      <c r="M17" s="486"/>
    </row>
    <row r="18" spans="1:13">
      <c r="A18" s="862">
        <f t="shared" ref="A18:A47" si="0">A17+1</f>
        <v>2</v>
      </c>
      <c r="B18" s="861" t="s">
        <v>2701</v>
      </c>
      <c r="C18" s="489">
        <v>60000</v>
      </c>
      <c r="D18" s="490"/>
      <c r="E18" s="489">
        <v>60114</v>
      </c>
      <c r="F18" s="489"/>
      <c r="G18" s="773">
        <v>60000</v>
      </c>
      <c r="H18" s="490"/>
      <c r="I18" s="489">
        <v>7619</v>
      </c>
      <c r="J18" s="489"/>
      <c r="K18" s="489">
        <v>0</v>
      </c>
      <c r="L18" s="486"/>
      <c r="M18" s="486"/>
    </row>
    <row r="19" spans="1:13">
      <c r="A19" s="862">
        <f t="shared" si="0"/>
        <v>3</v>
      </c>
      <c r="B19" s="861" t="s">
        <v>2702</v>
      </c>
      <c r="C19" s="489">
        <v>0</v>
      </c>
      <c r="D19" s="490"/>
      <c r="E19" s="489">
        <v>62730</v>
      </c>
      <c r="F19" s="489"/>
      <c r="G19" s="773">
        <v>105000</v>
      </c>
      <c r="H19" s="490"/>
      <c r="I19" s="489">
        <v>0</v>
      </c>
      <c r="J19" s="489"/>
      <c r="K19" s="489">
        <v>0</v>
      </c>
      <c r="L19" s="486"/>
      <c r="M19" s="486"/>
    </row>
    <row r="20" spans="1:13">
      <c r="A20" s="862">
        <f t="shared" si="0"/>
        <v>4</v>
      </c>
      <c r="B20" s="861" t="s">
        <v>2703</v>
      </c>
      <c r="C20" s="489">
        <v>110000</v>
      </c>
      <c r="D20" s="490"/>
      <c r="E20" s="489">
        <v>101885</v>
      </c>
      <c r="F20" s="489"/>
      <c r="G20" s="773">
        <v>110000</v>
      </c>
      <c r="H20" s="490"/>
      <c r="I20" s="489">
        <v>0</v>
      </c>
      <c r="J20" s="489"/>
      <c r="K20" s="489">
        <v>0</v>
      </c>
      <c r="L20" s="486"/>
      <c r="M20" s="486"/>
    </row>
    <row r="21" spans="1:13">
      <c r="A21" s="862">
        <f t="shared" si="0"/>
        <v>5</v>
      </c>
      <c r="B21" s="861" t="s">
        <v>2704</v>
      </c>
      <c r="C21" s="489">
        <v>140000</v>
      </c>
      <c r="D21" s="490"/>
      <c r="E21" s="489">
        <v>105945</v>
      </c>
      <c r="F21" s="489"/>
      <c r="G21" s="773">
        <v>176000</v>
      </c>
      <c r="H21" s="490"/>
      <c r="I21" s="489">
        <v>0</v>
      </c>
      <c r="J21" s="489"/>
      <c r="K21" s="489">
        <v>15000</v>
      </c>
      <c r="L21" s="486"/>
      <c r="M21" s="486"/>
    </row>
    <row r="22" spans="1:13">
      <c r="A22" s="862">
        <f t="shared" si="0"/>
        <v>6</v>
      </c>
      <c r="B22" s="861" t="s">
        <v>2705</v>
      </c>
      <c r="C22" s="489">
        <v>75000</v>
      </c>
      <c r="D22" s="490"/>
      <c r="E22" s="489">
        <v>109165</v>
      </c>
      <c r="F22" s="489"/>
      <c r="G22" s="773">
        <v>75000</v>
      </c>
      <c r="H22" s="486"/>
      <c r="I22" s="489">
        <v>81856</v>
      </c>
      <c r="J22" s="489"/>
      <c r="K22" s="489">
        <v>50000</v>
      </c>
      <c r="L22" s="486"/>
      <c r="M22" s="486"/>
    </row>
    <row r="23" spans="1:13">
      <c r="A23" s="862">
        <f t="shared" si="0"/>
        <v>7</v>
      </c>
      <c r="B23" s="861" t="s">
        <v>2706</v>
      </c>
      <c r="C23" s="489">
        <v>0</v>
      </c>
      <c r="D23" s="490"/>
      <c r="E23" s="489">
        <v>0</v>
      </c>
      <c r="F23" s="489"/>
      <c r="G23" s="773">
        <v>85000</v>
      </c>
      <c r="H23" s="486"/>
      <c r="I23" s="489">
        <v>0</v>
      </c>
      <c r="J23" s="489"/>
      <c r="K23" s="489">
        <v>0</v>
      </c>
      <c r="L23" s="486"/>
      <c r="M23" s="486"/>
    </row>
    <row r="24" spans="1:13">
      <c r="A24" s="862">
        <f t="shared" si="0"/>
        <v>8</v>
      </c>
      <c r="B24" s="861" t="s">
        <v>2707</v>
      </c>
      <c r="C24" s="489">
        <v>0</v>
      </c>
      <c r="D24" s="490"/>
      <c r="E24" s="489">
        <v>0</v>
      </c>
      <c r="F24" s="489"/>
      <c r="G24" s="773">
        <v>0</v>
      </c>
      <c r="H24" s="486"/>
      <c r="I24" s="489">
        <v>0</v>
      </c>
      <c r="J24" s="489"/>
      <c r="K24" s="489">
        <v>0</v>
      </c>
      <c r="L24" s="486"/>
      <c r="M24" s="486"/>
    </row>
    <row r="25" spans="1:13">
      <c r="A25" s="862">
        <f t="shared" si="0"/>
        <v>9</v>
      </c>
      <c r="B25" s="861" t="s">
        <v>2708</v>
      </c>
      <c r="C25" s="489">
        <v>110333</v>
      </c>
      <c r="D25" s="490"/>
      <c r="E25" s="489">
        <v>106390</v>
      </c>
      <c r="F25" s="489"/>
      <c r="G25" s="773">
        <v>40000</v>
      </c>
      <c r="H25" s="486"/>
      <c r="I25" s="489">
        <v>38638</v>
      </c>
      <c r="J25" s="489"/>
      <c r="K25" s="489">
        <v>85000</v>
      </c>
      <c r="L25" s="486"/>
      <c r="M25" s="486"/>
    </row>
    <row r="26" spans="1:13">
      <c r="A26" s="862">
        <f t="shared" si="0"/>
        <v>10</v>
      </c>
      <c r="B26" s="861" t="s">
        <v>2709</v>
      </c>
      <c r="C26" s="489">
        <v>50000</v>
      </c>
      <c r="D26" s="490"/>
      <c r="E26" s="489">
        <v>45156</v>
      </c>
      <c r="F26" s="489"/>
      <c r="G26" s="773">
        <v>50000</v>
      </c>
      <c r="H26" s="486"/>
      <c r="I26" s="489">
        <v>11534</v>
      </c>
      <c r="J26" s="489"/>
      <c r="K26" s="489">
        <v>30000</v>
      </c>
      <c r="L26" s="486"/>
      <c r="M26" s="486"/>
    </row>
    <row r="27" spans="1:13">
      <c r="A27" s="862">
        <f t="shared" si="0"/>
        <v>11</v>
      </c>
      <c r="B27" s="861" t="s">
        <v>1510</v>
      </c>
      <c r="C27" s="489">
        <v>10000</v>
      </c>
      <c r="D27" s="490"/>
      <c r="E27" s="489">
        <v>8962</v>
      </c>
      <c r="F27" s="489"/>
      <c r="G27" s="773">
        <v>10000</v>
      </c>
      <c r="H27" s="486"/>
      <c r="I27" s="489">
        <v>17826</v>
      </c>
      <c r="J27" s="489"/>
      <c r="K27" s="489">
        <v>10000</v>
      </c>
      <c r="L27" s="486"/>
      <c r="M27" s="486"/>
    </row>
    <row r="28" spans="1:13" ht="13.8" thickBot="1">
      <c r="A28" s="862">
        <f t="shared" si="0"/>
        <v>12</v>
      </c>
      <c r="B28" s="861" t="s">
        <v>2710</v>
      </c>
      <c r="C28" s="1704">
        <f>SUM(C17:C27)</f>
        <v>880333</v>
      </c>
      <c r="D28" s="490"/>
      <c r="E28" s="1704">
        <f>SUM(E17:E27)</f>
        <v>788065</v>
      </c>
      <c r="F28" s="490"/>
      <c r="G28" s="1704">
        <f>SUM(G17:G27)</f>
        <v>1136000</v>
      </c>
      <c r="H28" s="486"/>
      <c r="I28" s="1704">
        <f>SUM(I17:I27)</f>
        <v>224696</v>
      </c>
      <c r="J28" s="1704"/>
      <c r="K28" s="1704">
        <f>SUM(K17:K27)</f>
        <v>353460</v>
      </c>
      <c r="L28" s="486"/>
      <c r="M28" s="486"/>
    </row>
    <row r="29" spans="1:13" ht="13.8" thickTop="1">
      <c r="A29" s="862">
        <f t="shared" si="0"/>
        <v>13</v>
      </c>
      <c r="B29" s="486"/>
      <c r="C29" s="863"/>
      <c r="D29" s="863"/>
      <c r="E29" s="863"/>
      <c r="F29" s="863"/>
      <c r="G29" s="863"/>
      <c r="H29" s="486"/>
      <c r="I29" s="863"/>
      <c r="J29" s="863"/>
      <c r="K29" s="863"/>
      <c r="L29" s="486"/>
      <c r="M29" s="486"/>
    </row>
    <row r="30" spans="1:13">
      <c r="A30" s="862">
        <f t="shared" si="0"/>
        <v>14</v>
      </c>
      <c r="B30" s="1572"/>
      <c r="C30" s="1572"/>
      <c r="D30" s="1572"/>
      <c r="E30" s="1572"/>
      <c r="F30" s="1572"/>
      <c r="G30" s="1572"/>
      <c r="H30" s="1572"/>
      <c r="I30" s="1572"/>
      <c r="J30" s="1572"/>
      <c r="K30" s="1572"/>
      <c r="L30" s="1572"/>
      <c r="M30" s="486"/>
    </row>
    <row r="31" spans="1:13">
      <c r="A31" s="862">
        <f t="shared" si="0"/>
        <v>15</v>
      </c>
      <c r="B31" s="486"/>
      <c r="C31" s="859"/>
      <c r="D31" s="859"/>
      <c r="E31" s="859"/>
      <c r="F31" s="859"/>
      <c r="G31" s="859"/>
      <c r="H31" s="859"/>
      <c r="I31" s="859"/>
      <c r="J31" s="859"/>
      <c r="K31" s="859"/>
      <c r="L31" s="859"/>
      <c r="M31" s="486"/>
    </row>
    <row r="32" spans="1:13">
      <c r="A32" s="862">
        <f t="shared" si="0"/>
        <v>16</v>
      </c>
      <c r="B32" s="859" t="s">
        <v>2711</v>
      </c>
      <c r="C32" s="859"/>
      <c r="D32" s="859"/>
      <c r="E32" s="859"/>
      <c r="F32" s="859"/>
      <c r="G32" s="859"/>
      <c r="H32" s="859"/>
      <c r="I32" s="859"/>
      <c r="J32" s="859"/>
      <c r="K32" s="859"/>
      <c r="L32" s="859"/>
      <c r="M32" s="486"/>
    </row>
    <row r="33" spans="1:13">
      <c r="A33" s="862">
        <f t="shared" si="0"/>
        <v>17</v>
      </c>
      <c r="B33" s="1572"/>
      <c r="C33" s="1572"/>
      <c r="D33" s="1572"/>
      <c r="E33" s="1572"/>
      <c r="F33" s="1572"/>
      <c r="G33" s="1572"/>
      <c r="H33" s="1572"/>
      <c r="I33" s="1572"/>
      <c r="J33" s="1572"/>
      <c r="K33" s="1572"/>
      <c r="L33" s="1572"/>
      <c r="M33" s="486"/>
    </row>
    <row r="34" spans="1:13">
      <c r="A34" s="862">
        <f t="shared" si="0"/>
        <v>18</v>
      </c>
      <c r="B34" s="862"/>
      <c r="C34" s="862"/>
      <c r="D34" s="864"/>
      <c r="E34" s="862"/>
      <c r="F34" s="864"/>
      <c r="G34" s="862"/>
      <c r="H34" s="486"/>
      <c r="I34" s="862"/>
      <c r="J34" s="862"/>
      <c r="K34" s="862" t="s">
        <v>2712</v>
      </c>
      <c r="L34" s="486"/>
      <c r="M34" s="486"/>
    </row>
    <row r="35" spans="1:13">
      <c r="A35" s="862">
        <f t="shared" si="0"/>
        <v>19</v>
      </c>
      <c r="B35" s="862"/>
      <c r="C35" s="862" t="s">
        <v>972</v>
      </c>
      <c r="D35" s="864"/>
      <c r="E35" s="862" t="s">
        <v>2713</v>
      </c>
      <c r="F35" s="864"/>
      <c r="G35" s="862"/>
      <c r="H35" s="486"/>
      <c r="I35" s="862" t="s">
        <v>975</v>
      </c>
      <c r="J35" s="864"/>
      <c r="K35" s="862" t="s">
        <v>2714</v>
      </c>
      <c r="L35" s="486"/>
      <c r="M35" s="486"/>
    </row>
    <row r="36" spans="1:13">
      <c r="A36" s="862">
        <f t="shared" si="0"/>
        <v>20</v>
      </c>
      <c r="B36" s="862"/>
      <c r="C36" s="862" t="s">
        <v>2715</v>
      </c>
      <c r="D36" s="862"/>
      <c r="E36" s="862" t="s">
        <v>2716</v>
      </c>
      <c r="F36" s="862"/>
      <c r="G36" s="862" t="s">
        <v>1814</v>
      </c>
      <c r="H36" s="486"/>
      <c r="I36" s="862" t="s">
        <v>2717</v>
      </c>
      <c r="J36" s="864"/>
      <c r="K36" s="862" t="s">
        <v>474</v>
      </c>
      <c r="L36" s="486"/>
      <c r="M36" s="486"/>
    </row>
    <row r="37" spans="1:13">
      <c r="A37" s="862">
        <f t="shared" si="0"/>
        <v>21</v>
      </c>
      <c r="B37" s="1291" t="s">
        <v>2718</v>
      </c>
      <c r="C37" s="1292" t="s">
        <v>2717</v>
      </c>
      <c r="D37" s="1292"/>
      <c r="E37" s="1292" t="s">
        <v>2719</v>
      </c>
      <c r="F37" s="1292"/>
      <c r="G37" s="1292" t="s">
        <v>478</v>
      </c>
      <c r="H37" s="1291"/>
      <c r="I37" s="1292" t="s">
        <v>2720</v>
      </c>
      <c r="J37" s="1292"/>
      <c r="K37" s="1292" t="s">
        <v>478</v>
      </c>
      <c r="L37" s="1291"/>
      <c r="M37" s="486"/>
    </row>
    <row r="38" spans="1:13">
      <c r="A38" s="862">
        <f t="shared" si="0"/>
        <v>22</v>
      </c>
      <c r="B38" s="486"/>
      <c r="C38" s="862" t="s">
        <v>1371</v>
      </c>
      <c r="D38" s="486"/>
      <c r="E38" s="486"/>
      <c r="F38" s="486"/>
      <c r="G38" s="486"/>
      <c r="H38" s="486"/>
      <c r="I38" s="862" t="s">
        <v>1371</v>
      </c>
      <c r="J38" s="486"/>
      <c r="K38" s="862" t="s">
        <v>1371</v>
      </c>
      <c r="L38" s="486"/>
      <c r="M38" s="486"/>
    </row>
    <row r="39" spans="1:13">
      <c r="A39" s="862">
        <f t="shared" si="0"/>
        <v>23</v>
      </c>
      <c r="B39" s="861" t="s">
        <v>2721</v>
      </c>
      <c r="C39" s="490">
        <f>C28</f>
        <v>880333</v>
      </c>
      <c r="D39" s="490"/>
      <c r="E39" s="865" t="s">
        <v>2722</v>
      </c>
      <c r="F39" s="865"/>
      <c r="G39" s="488" t="s">
        <v>544</v>
      </c>
      <c r="H39" s="486"/>
      <c r="I39" s="490">
        <v>0</v>
      </c>
      <c r="J39" s="490"/>
      <c r="K39" s="1763">
        <f>ROUND((C39-I39)/5,0)</f>
        <v>176067</v>
      </c>
      <c r="L39" s="861" t="s">
        <v>2723</v>
      </c>
      <c r="M39" s="486"/>
    </row>
    <row r="40" spans="1:13">
      <c r="A40" s="862">
        <f t="shared" si="0"/>
        <v>24</v>
      </c>
      <c r="B40" s="486"/>
      <c r="C40" s="486"/>
      <c r="D40" s="486"/>
      <c r="E40" s="486"/>
      <c r="F40" s="486"/>
      <c r="G40" s="867"/>
      <c r="H40" s="486"/>
      <c r="I40" s="868"/>
      <c r="J40" s="868"/>
      <c r="K40" s="486"/>
      <c r="L40" s="486"/>
      <c r="M40" s="486"/>
    </row>
    <row r="41" spans="1:13">
      <c r="A41" s="862">
        <f t="shared" si="0"/>
        <v>25</v>
      </c>
      <c r="B41" s="486" t="s">
        <v>2724</v>
      </c>
      <c r="C41" s="1868">
        <f>+E28</f>
        <v>788065</v>
      </c>
      <c r="D41" s="486"/>
      <c r="E41" s="1869">
        <v>45474</v>
      </c>
      <c r="F41" s="486"/>
      <c r="G41" s="867" t="s">
        <v>544</v>
      </c>
      <c r="H41" s="486"/>
      <c r="I41" s="1921">
        <v>270738</v>
      </c>
      <c r="J41" s="868"/>
      <c r="K41" s="489">
        <f>ROUND(($C$41/60)*12,0)</f>
        <v>157613</v>
      </c>
      <c r="L41" s="486" t="s">
        <v>1104</v>
      </c>
      <c r="M41" s="486"/>
    </row>
    <row r="42" spans="1:13">
      <c r="A42" s="862">
        <f t="shared" si="0"/>
        <v>26</v>
      </c>
      <c r="B42" s="486"/>
      <c r="C42" s="486"/>
      <c r="D42" s="486"/>
      <c r="E42" s="486"/>
      <c r="F42" s="486"/>
      <c r="G42" s="867"/>
      <c r="H42" s="486"/>
      <c r="I42" s="868"/>
      <c r="J42" s="868"/>
      <c r="K42" s="486"/>
      <c r="L42" s="486"/>
      <c r="M42" s="486"/>
    </row>
    <row r="43" spans="1:13">
      <c r="A43" s="862">
        <f t="shared" si="0"/>
        <v>27</v>
      </c>
      <c r="B43" s="861" t="s">
        <v>2725</v>
      </c>
      <c r="C43" s="869">
        <v>105215</v>
      </c>
      <c r="D43" s="491"/>
      <c r="E43" s="1714">
        <v>45211</v>
      </c>
      <c r="F43" s="487"/>
      <c r="G43" s="488" t="s">
        <v>544</v>
      </c>
      <c r="H43" s="870"/>
      <c r="I43" s="489">
        <v>36147</v>
      </c>
      <c r="J43" s="490"/>
      <c r="K43" s="489">
        <f>ROUND(($C$43/60)*12,0)</f>
        <v>21043</v>
      </c>
      <c r="L43" s="866" t="s">
        <v>856</v>
      </c>
      <c r="M43" s="486"/>
    </row>
    <row r="44" spans="1:13">
      <c r="A44" s="862">
        <f t="shared" si="0"/>
        <v>28</v>
      </c>
      <c r="B44" s="861"/>
      <c r="C44" s="869"/>
      <c r="D44" s="491"/>
      <c r="E44" s="1714"/>
      <c r="F44" s="487"/>
      <c r="G44" s="488"/>
      <c r="H44" s="870"/>
      <c r="I44" s="489"/>
      <c r="J44" s="490"/>
      <c r="K44" s="489"/>
      <c r="L44" s="486"/>
      <c r="M44" s="486"/>
    </row>
    <row r="45" spans="1:13">
      <c r="A45" s="862">
        <f t="shared" si="0"/>
        <v>29</v>
      </c>
      <c r="B45" s="1713" t="s">
        <v>217</v>
      </c>
      <c r="C45" s="869"/>
      <c r="D45" s="491"/>
      <c r="E45" s="1714"/>
      <c r="F45" s="487"/>
      <c r="G45" s="488"/>
      <c r="H45" s="870"/>
      <c r="I45" s="1867"/>
      <c r="J45" s="490"/>
      <c r="K45" s="489">
        <v>0</v>
      </c>
      <c r="L45" s="486"/>
      <c r="M45" s="486"/>
    </row>
    <row r="46" spans="1:13">
      <c r="A46" s="862">
        <f t="shared" si="0"/>
        <v>30</v>
      </c>
      <c r="B46" s="486"/>
      <c r="C46" s="486"/>
      <c r="D46" s="486"/>
      <c r="E46" s="1715"/>
      <c r="F46" s="486"/>
      <c r="G46" s="868"/>
      <c r="H46" s="486"/>
      <c r="I46" s="491"/>
      <c r="J46" s="868"/>
      <c r="K46" s="486"/>
      <c r="L46" s="486"/>
      <c r="M46" s="486"/>
    </row>
    <row r="47" spans="1:13" ht="13.8" thickBot="1">
      <c r="A47" s="862">
        <f t="shared" si="0"/>
        <v>31</v>
      </c>
      <c r="B47" s="861" t="s">
        <v>2726</v>
      </c>
      <c r="C47" s="486"/>
      <c r="D47" s="486"/>
      <c r="E47" s="486"/>
      <c r="F47" s="486"/>
      <c r="H47" s="486"/>
      <c r="I47" s="486"/>
      <c r="J47" s="486"/>
      <c r="K47" s="1704">
        <f>SUM(K39:K46)</f>
        <v>354723</v>
      </c>
      <c r="L47" s="866" t="s">
        <v>853</v>
      </c>
      <c r="M47" s="486"/>
    </row>
    <row r="48" spans="1:13" ht="13.8" thickTop="1">
      <c r="A48" s="862"/>
      <c r="B48" s="486"/>
      <c r="C48" s="486"/>
      <c r="D48" s="486"/>
      <c r="E48" s="486"/>
      <c r="F48" s="486"/>
      <c r="G48" s="486"/>
      <c r="H48" s="486"/>
      <c r="I48" s="486"/>
      <c r="J48" s="486"/>
      <c r="K48" s="863"/>
      <c r="L48" s="486"/>
      <c r="M48" s="486"/>
    </row>
    <row r="49" spans="1:15">
      <c r="A49" s="862"/>
      <c r="B49" s="486"/>
      <c r="C49" s="486"/>
      <c r="D49" s="486"/>
      <c r="E49" s="486"/>
      <c r="F49" s="486"/>
      <c r="G49" s="486"/>
      <c r="H49" s="486"/>
      <c r="I49" s="486"/>
      <c r="J49" s="486"/>
      <c r="K49" s="863"/>
      <c r="L49" s="486"/>
      <c r="M49" s="486"/>
    </row>
    <row r="50" spans="1:15">
      <c r="A50" s="862"/>
      <c r="B50" s="861" t="s">
        <v>2727</v>
      </c>
      <c r="C50" s="486"/>
      <c r="D50" s="486"/>
      <c r="E50" s="486"/>
      <c r="F50" s="486"/>
      <c r="G50" s="486"/>
      <c r="H50" s="486"/>
      <c r="I50" s="486"/>
      <c r="J50" s="486"/>
      <c r="K50" s="486"/>
      <c r="L50" s="486"/>
      <c r="M50" s="861"/>
    </row>
    <row r="51" spans="1:15">
      <c r="A51" s="486"/>
      <c r="B51" s="486" t="s">
        <v>2728</v>
      </c>
      <c r="C51" s="486"/>
      <c r="D51" s="486"/>
      <c r="E51" s="486"/>
      <c r="F51" s="486"/>
      <c r="G51" s="486"/>
      <c r="H51" s="486"/>
      <c r="I51" s="486"/>
      <c r="J51" s="486"/>
      <c r="K51" s="486"/>
      <c r="L51" s="486"/>
      <c r="M51" s="861"/>
    </row>
    <row r="52" spans="1:15">
      <c r="A52" s="486"/>
      <c r="B52" s="866" t="s">
        <v>2729</v>
      </c>
      <c r="C52" s="486"/>
      <c r="D52" s="486"/>
      <c r="E52" s="486"/>
      <c r="F52" s="486"/>
      <c r="G52" s="486"/>
      <c r="H52" s="486"/>
      <c r="I52" s="486"/>
      <c r="J52" s="486"/>
      <c r="K52" s="1719"/>
      <c r="L52" s="486"/>
      <c r="M52" s="861"/>
      <c r="N52" s="486"/>
    </row>
    <row r="53" spans="1:15">
      <c r="A53" s="486"/>
      <c r="B53" s="486"/>
      <c r="C53" s="486"/>
      <c r="D53" s="486"/>
      <c r="E53" s="486"/>
      <c r="F53" s="486"/>
      <c r="G53" s="490"/>
      <c r="H53" s="486"/>
      <c r="I53" s="490"/>
      <c r="J53" s="486"/>
      <c r="K53" s="486"/>
      <c r="M53" s="1720"/>
      <c r="O53" s="490"/>
    </row>
    <row r="54" spans="1:15">
      <c r="A54" s="486"/>
      <c r="B54" s="486"/>
      <c r="C54" s="486"/>
      <c r="D54" s="486"/>
      <c r="E54" s="486"/>
      <c r="F54" s="486"/>
      <c r="G54" s="486"/>
      <c r="H54" s="486"/>
      <c r="I54" s="486"/>
      <c r="J54" s="486"/>
      <c r="K54" s="486"/>
      <c r="L54" s="486"/>
      <c r="M54" s="861"/>
    </row>
    <row r="55" spans="1:15">
      <c r="A55" s="486"/>
      <c r="B55" s="486"/>
      <c r="C55" s="486"/>
      <c r="D55" s="486"/>
      <c r="E55" s="486"/>
      <c r="F55" s="486"/>
      <c r="G55" s="486"/>
      <c r="H55" s="486"/>
      <c r="I55" s="486"/>
      <c r="J55" s="486"/>
      <c r="K55" s="486"/>
      <c r="L55" s="486"/>
      <c r="M55" s="486"/>
    </row>
    <row r="56" spans="1:15">
      <c r="A56" s="486"/>
      <c r="B56" s="486"/>
      <c r="C56" s="486"/>
      <c r="D56" s="486"/>
      <c r="E56" s="486"/>
      <c r="F56" s="486"/>
      <c r="G56" s="486"/>
      <c r="H56" s="486"/>
      <c r="I56" s="486"/>
      <c r="J56" s="486"/>
      <c r="K56" s="486"/>
      <c r="L56" s="486"/>
      <c r="M56" s="486"/>
    </row>
    <row r="57" spans="1:15">
      <c r="A57" s="486"/>
      <c r="B57" s="486"/>
      <c r="C57" s="486"/>
      <c r="D57" s="486"/>
      <c r="E57" s="486"/>
      <c r="F57" s="486"/>
      <c r="G57" s="486"/>
      <c r="H57" s="486"/>
      <c r="I57" s="486"/>
      <c r="J57" s="486"/>
      <c r="K57" s="486"/>
      <c r="L57" s="486"/>
      <c r="M57" s="486"/>
    </row>
    <row r="58" spans="1:15">
      <c r="A58" s="486"/>
      <c r="B58" s="486"/>
      <c r="C58" s="486"/>
      <c r="D58" s="486"/>
      <c r="E58" s="486"/>
      <c r="F58" s="486"/>
      <c r="G58" s="486"/>
      <c r="H58" s="486"/>
      <c r="I58" s="486"/>
      <c r="J58" s="486"/>
      <c r="K58" s="486"/>
      <c r="L58" s="486"/>
      <c r="M58" s="486"/>
    </row>
    <row r="59" spans="1:15">
      <c r="A59" s="486"/>
      <c r="B59" s="486"/>
      <c r="C59" s="486"/>
      <c r="D59" s="486"/>
      <c r="E59" s="486"/>
      <c r="F59" s="486"/>
      <c r="G59" s="486"/>
      <c r="H59" s="486"/>
      <c r="I59" s="486"/>
      <c r="J59" s="486"/>
      <c r="K59" s="486"/>
      <c r="L59" s="486"/>
      <c r="M59" s="486"/>
    </row>
    <row r="60" spans="1:15">
      <c r="A60" s="486"/>
      <c r="B60" s="486"/>
      <c r="C60" s="486"/>
      <c r="D60" s="486"/>
      <c r="E60" s="486"/>
      <c r="F60" s="486"/>
      <c r="G60" s="486"/>
      <c r="H60" s="486"/>
      <c r="I60" s="486"/>
      <c r="J60" s="486"/>
      <c r="K60" s="486"/>
      <c r="L60" s="486"/>
      <c r="M60" s="486"/>
    </row>
    <row r="61" spans="1:15">
      <c r="A61" s="486"/>
      <c r="B61" s="486"/>
      <c r="C61" s="486"/>
      <c r="D61" s="486"/>
      <c r="E61" s="486"/>
      <c r="F61" s="486"/>
      <c r="G61" s="486"/>
      <c r="H61" s="486"/>
      <c r="I61" s="486"/>
      <c r="J61" s="486"/>
      <c r="K61" s="486"/>
      <c r="L61" s="486"/>
      <c r="M61" s="486"/>
    </row>
    <row r="62" spans="1:15">
      <c r="A62" s="486"/>
      <c r="B62" s="486"/>
      <c r="C62" s="486"/>
      <c r="D62" s="486"/>
      <c r="E62" s="486"/>
      <c r="F62" s="486"/>
      <c r="G62" s="486"/>
      <c r="H62" s="486"/>
      <c r="I62" s="486"/>
      <c r="J62" s="486"/>
      <c r="K62" s="486"/>
      <c r="L62" s="486"/>
      <c r="M62" s="486"/>
    </row>
    <row r="63" spans="1:15">
      <c r="A63" s="486"/>
      <c r="B63" s="486"/>
      <c r="C63" s="486"/>
      <c r="D63" s="486"/>
      <c r="E63" s="486"/>
      <c r="F63" s="486"/>
      <c r="G63" s="486"/>
      <c r="H63" s="486"/>
      <c r="I63" s="486"/>
      <c r="J63" s="486"/>
      <c r="K63" s="486"/>
      <c r="L63" s="486"/>
      <c r="M63" s="486"/>
    </row>
  </sheetData>
  <mergeCells count="1">
    <mergeCell ref="B11:L11"/>
  </mergeCells>
  <phoneticPr fontId="19" type="noConversion"/>
  <pageMargins left="1" right="0.75" top="0.98425196850393704" bottom="0" header="0" footer="0"/>
  <pageSetup scale="62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8">
    <tabColor rgb="FFFFC000"/>
    <pageSetUpPr fitToPage="1"/>
  </sheetPr>
  <dimension ref="A1:S30"/>
  <sheetViews>
    <sheetView workbookViewId="0"/>
  </sheetViews>
  <sheetFormatPr defaultColWidth="8" defaultRowHeight="13.2"/>
  <cols>
    <col min="1" max="1" width="5.5546875" customWidth="1"/>
    <col min="2" max="2" width="3.6640625" customWidth="1"/>
    <col min="3" max="3" width="10.44140625" customWidth="1"/>
    <col min="4" max="4" width="3.6640625" customWidth="1"/>
    <col min="5" max="5" width="36.44140625" customWidth="1"/>
    <col min="6" max="6" width="0.5546875" customWidth="1"/>
    <col min="7" max="7" width="13.44140625" customWidth="1"/>
    <col min="8" max="8" width="1" customWidth="1"/>
    <col min="9" max="9" width="10.44140625" customWidth="1"/>
    <col min="10" max="10" width="0.5546875" customWidth="1"/>
    <col min="11" max="11" width="12.44140625" customWidth="1"/>
    <col min="12" max="12" width="1.44140625" customWidth="1"/>
    <col min="13" max="13" width="12.44140625" customWidth="1"/>
    <col min="14" max="14" width="1.44140625" customWidth="1"/>
    <col min="15" max="15" width="10.44140625" customWidth="1"/>
    <col min="16" max="16" width="1.44140625" customWidth="1"/>
    <col min="17" max="17" width="14.44140625" customWidth="1"/>
  </cols>
  <sheetData>
    <row r="1" spans="1:19">
      <c r="A1" s="842" t="str">
        <f>COMPANY</f>
        <v>DUKE ENERGY KENTUCKY, INC.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  <c r="Q1" s="842"/>
      <c r="R1" s="843"/>
      <c r="S1" s="843"/>
    </row>
    <row r="2" spans="1:19">
      <c r="A2" s="842" t="str">
        <f>CASE</f>
        <v>CASE NO. 2024-00354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  <c r="Q2" s="842"/>
      <c r="R2" s="843"/>
      <c r="S2" s="843"/>
    </row>
    <row r="3" spans="1:19">
      <c r="A3" s="844" t="s">
        <v>2730</v>
      </c>
      <c r="B3" s="842"/>
      <c r="C3" s="842"/>
      <c r="D3" s="842"/>
      <c r="E3" s="842"/>
      <c r="F3" s="842"/>
      <c r="G3" s="844"/>
      <c r="H3" s="842"/>
      <c r="I3" s="842"/>
      <c r="J3" s="842"/>
      <c r="K3" s="842"/>
      <c r="L3" s="842"/>
      <c r="M3" s="842"/>
      <c r="N3" s="842"/>
      <c r="O3" s="842"/>
      <c r="P3" s="842"/>
      <c r="Q3" s="842"/>
      <c r="R3" s="843"/>
      <c r="S3" s="843"/>
    </row>
    <row r="4" spans="1:19">
      <c r="A4" s="887" t="str">
        <f>PERIOD</f>
        <v>FOR THE TWELVE MONTHS ENDED FEBRUARY 28, 2025</v>
      </c>
      <c r="B4" s="842"/>
      <c r="C4" s="842"/>
      <c r="D4" s="842"/>
      <c r="E4" s="842"/>
      <c r="F4" s="842"/>
      <c r="G4" s="842"/>
      <c r="H4" s="842"/>
      <c r="I4" s="842"/>
      <c r="J4" s="842"/>
      <c r="K4" s="842"/>
      <c r="L4" s="842"/>
      <c r="M4" s="842"/>
      <c r="N4" s="842"/>
      <c r="O4" s="842"/>
      <c r="P4" s="842"/>
      <c r="Q4" s="842"/>
      <c r="R4" s="843"/>
      <c r="S4" s="843"/>
    </row>
    <row r="5" spans="1:19">
      <c r="A5" s="887" t="str">
        <f>PeriodF</f>
        <v>FOR THE TWELVE MONTHS ENDED JUNE 30, 2026</v>
      </c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2"/>
      <c r="O5" s="842"/>
      <c r="P5" s="842"/>
      <c r="Q5" s="842"/>
      <c r="R5" s="843"/>
      <c r="S5" s="843"/>
    </row>
    <row r="6" spans="1:19">
      <c r="A6" s="843"/>
      <c r="B6" s="843"/>
      <c r="C6" s="843"/>
      <c r="D6" s="843"/>
      <c r="E6" s="843"/>
      <c r="F6" s="843"/>
      <c r="G6" s="843"/>
      <c r="H6" s="843"/>
      <c r="I6" s="843"/>
      <c r="J6" s="843"/>
      <c r="K6" s="843"/>
      <c r="L6" s="843"/>
      <c r="M6" s="843"/>
      <c r="N6" s="843"/>
      <c r="O6" s="843"/>
      <c r="P6" s="843"/>
      <c r="Q6" s="843"/>
      <c r="R6" s="843"/>
      <c r="S6" s="843"/>
    </row>
    <row r="7" spans="1:19">
      <c r="A7" s="843" t="str">
        <f>DataB</f>
        <v>DATA: "X" BASE PERIOD  "X" FORECASTED PERIOD</v>
      </c>
      <c r="B7" s="843"/>
      <c r="C7" s="843"/>
      <c r="D7" s="843"/>
      <c r="E7" s="843"/>
      <c r="F7" s="843"/>
      <c r="G7" s="843"/>
      <c r="H7" s="843"/>
      <c r="J7" s="845"/>
      <c r="K7" s="845"/>
      <c r="L7" s="845"/>
      <c r="M7" s="845"/>
      <c r="N7" s="845"/>
      <c r="O7" s="845" t="s">
        <v>2731</v>
      </c>
      <c r="Q7" s="843"/>
      <c r="R7" s="843"/>
      <c r="S7" s="843"/>
    </row>
    <row r="8" spans="1:19">
      <c r="A8" s="843" t="str">
        <f>Type</f>
        <v xml:space="preserve">TYPE OF FILING:  "X" ORIGINAL   UPDATED    REVISED  </v>
      </c>
      <c r="B8" s="843"/>
      <c r="C8" s="843"/>
      <c r="D8" s="843"/>
      <c r="E8" s="843"/>
      <c r="F8" s="843"/>
      <c r="G8" s="843"/>
      <c r="H8" s="843"/>
      <c r="J8" s="845"/>
      <c r="K8" s="845"/>
      <c r="L8" s="845"/>
      <c r="M8" s="845"/>
      <c r="N8" s="845"/>
      <c r="O8" s="845" t="s">
        <v>2544</v>
      </c>
      <c r="Q8" s="843"/>
      <c r="R8" s="843"/>
      <c r="S8" s="843"/>
    </row>
    <row r="9" spans="1:19">
      <c r="A9" s="845" t="s">
        <v>694</v>
      </c>
      <c r="B9" s="843"/>
      <c r="C9" s="843"/>
      <c r="D9" s="843"/>
      <c r="E9" s="843"/>
      <c r="F9" s="843"/>
      <c r="G9" s="843"/>
      <c r="H9" s="843"/>
      <c r="J9" s="845"/>
      <c r="K9" s="845"/>
      <c r="L9" s="845"/>
      <c r="M9" s="845"/>
      <c r="N9" s="845"/>
      <c r="O9" s="845" t="s">
        <v>2545</v>
      </c>
      <c r="Q9" s="843"/>
      <c r="R9" s="843"/>
      <c r="S9" s="843"/>
    </row>
    <row r="10" spans="1:19">
      <c r="A10" s="843"/>
      <c r="B10" s="843"/>
      <c r="C10" s="843"/>
      <c r="D10" s="843"/>
      <c r="E10" s="843"/>
      <c r="F10" s="843"/>
      <c r="G10" s="843"/>
      <c r="H10" s="843"/>
      <c r="J10" s="843"/>
      <c r="K10" s="843"/>
      <c r="L10" s="843"/>
      <c r="M10" s="843"/>
      <c r="N10" s="843"/>
      <c r="O10" s="843" t="str">
        <f>"     "&amp;_WIT1</f>
        <v xml:space="preserve">     L. D. STEINKUHL</v>
      </c>
      <c r="Q10" s="843"/>
      <c r="R10" s="843"/>
      <c r="S10" s="843"/>
    </row>
    <row r="11" spans="1:19">
      <c r="A11" s="1573"/>
      <c r="B11" s="1573"/>
      <c r="C11" s="1573"/>
      <c r="D11" s="1573"/>
      <c r="E11" s="1573"/>
      <c r="F11" s="1573"/>
      <c r="G11" s="1573"/>
      <c r="H11" s="1573"/>
      <c r="I11" s="1573"/>
      <c r="J11" s="1573"/>
      <c r="K11" s="1573"/>
      <c r="L11" s="1573"/>
      <c r="M11" s="1573"/>
      <c r="N11" s="1573"/>
      <c r="O11" s="1573"/>
      <c r="P11" s="1573"/>
      <c r="Q11" s="1573"/>
      <c r="R11" s="843"/>
      <c r="S11" s="843"/>
    </row>
    <row r="12" spans="1:19">
      <c r="A12" s="846"/>
      <c r="B12" s="846"/>
      <c r="C12" s="846"/>
      <c r="D12" s="846"/>
      <c r="E12" s="846"/>
      <c r="F12" s="846"/>
      <c r="G12" s="2162" t="s">
        <v>252</v>
      </c>
      <c r="H12" s="2162"/>
      <c r="I12" s="2162"/>
      <c r="J12" s="1560"/>
      <c r="K12" s="1560"/>
      <c r="L12" s="846"/>
      <c r="M12" s="2162" t="s">
        <v>403</v>
      </c>
      <c r="N12" s="2162"/>
      <c r="O12" s="2162"/>
      <c r="P12" s="1560"/>
      <c r="Q12" s="1560"/>
      <c r="R12" s="843"/>
      <c r="S12" s="843"/>
    </row>
    <row r="13" spans="1:19">
      <c r="A13" s="538" t="s">
        <v>471</v>
      </c>
      <c r="B13" s="537"/>
      <c r="C13" s="538" t="s">
        <v>1045</v>
      </c>
      <c r="D13" s="538"/>
      <c r="E13" s="538"/>
      <c r="F13" s="847"/>
      <c r="G13" s="848" t="s">
        <v>972</v>
      </c>
      <c r="H13" s="538"/>
      <c r="I13" s="2421" t="s">
        <v>937</v>
      </c>
      <c r="J13" s="2420"/>
      <c r="K13" s="2420"/>
      <c r="L13" s="847"/>
      <c r="M13" s="848" t="s">
        <v>972</v>
      </c>
      <c r="N13" s="538"/>
      <c r="O13" s="2421" t="s">
        <v>937</v>
      </c>
      <c r="P13" s="2420"/>
      <c r="Q13" s="2420"/>
      <c r="R13" s="843"/>
      <c r="S13" s="843"/>
    </row>
    <row r="14" spans="1:19">
      <c r="A14" s="538" t="s">
        <v>533</v>
      </c>
      <c r="B14" s="537"/>
      <c r="C14" s="538" t="s">
        <v>533</v>
      </c>
      <c r="D14" s="538"/>
      <c r="E14" s="538" t="s">
        <v>2563</v>
      </c>
      <c r="F14" s="847"/>
      <c r="G14" s="538" t="s">
        <v>2540</v>
      </c>
      <c r="H14" s="538"/>
      <c r="I14" s="849" t="s">
        <v>2548</v>
      </c>
      <c r="J14" s="850"/>
      <c r="K14" s="538" t="s">
        <v>975</v>
      </c>
      <c r="L14" s="847"/>
      <c r="M14" s="538" t="s">
        <v>2540</v>
      </c>
      <c r="N14" s="538"/>
      <c r="O14" s="849" t="s">
        <v>2548</v>
      </c>
      <c r="P14" s="850"/>
      <c r="Q14" s="538" t="s">
        <v>975</v>
      </c>
      <c r="R14" s="843"/>
      <c r="S14" s="843"/>
    </row>
    <row r="15" spans="1:19">
      <c r="A15" s="1559"/>
      <c r="B15" s="1559"/>
      <c r="C15" s="1559"/>
      <c r="D15" s="1559"/>
      <c r="E15" s="1559"/>
      <c r="F15" s="1559"/>
      <c r="G15" s="1559"/>
      <c r="H15" s="1559"/>
      <c r="I15" s="1558" t="s">
        <v>853</v>
      </c>
      <c r="J15" s="1559"/>
      <c r="K15" s="1559"/>
      <c r="L15" s="1559"/>
      <c r="M15" s="1559"/>
      <c r="N15" s="1559"/>
      <c r="O15" s="1558" t="s">
        <v>853</v>
      </c>
      <c r="P15" s="1559"/>
      <c r="Q15" s="1559"/>
      <c r="R15" s="843"/>
      <c r="S15" s="843"/>
    </row>
    <row r="16" spans="1:19">
      <c r="A16" s="537"/>
      <c r="B16" s="537"/>
      <c r="C16" s="537"/>
      <c r="D16" s="537"/>
      <c r="E16" s="537"/>
      <c r="F16" s="537"/>
      <c r="G16" s="538" t="s">
        <v>1371</v>
      </c>
      <c r="H16" s="538"/>
      <c r="I16" s="538" t="s">
        <v>420</v>
      </c>
      <c r="J16" s="851"/>
      <c r="K16" s="538" t="s">
        <v>1371</v>
      </c>
      <c r="L16" s="537"/>
      <c r="M16" s="538" t="s">
        <v>1371</v>
      </c>
      <c r="N16" s="538"/>
      <c r="O16" s="538" t="s">
        <v>420</v>
      </c>
      <c r="P16" s="851"/>
      <c r="Q16" s="538" t="s">
        <v>1371</v>
      </c>
      <c r="R16" s="843"/>
      <c r="S16" s="843"/>
    </row>
    <row r="17" spans="1:19">
      <c r="A17" s="843"/>
      <c r="B17" s="843"/>
      <c r="C17" s="843"/>
      <c r="D17" s="843"/>
      <c r="E17" s="843"/>
      <c r="F17" s="852"/>
      <c r="G17" s="852"/>
      <c r="H17" s="843"/>
      <c r="I17" s="843"/>
      <c r="J17" s="843"/>
      <c r="K17" s="843"/>
      <c r="L17" s="843"/>
      <c r="M17" s="843"/>
      <c r="N17" s="843"/>
      <c r="O17" s="843"/>
      <c r="P17" s="843"/>
      <c r="Q17" s="852"/>
      <c r="R17" s="843"/>
      <c r="S17" s="843"/>
    </row>
    <row r="18" spans="1:19">
      <c r="A18" s="538">
        <v>1</v>
      </c>
      <c r="B18" s="537"/>
      <c r="C18" s="538">
        <v>426400</v>
      </c>
      <c r="D18" s="1676"/>
      <c r="E18" s="539" t="s">
        <v>2732</v>
      </c>
      <c r="F18" s="537"/>
      <c r="G18" s="853">
        <v>29157</v>
      </c>
      <c r="H18" s="854"/>
      <c r="I18" s="527">
        <f>VLOOKUP($E$23,ALLOCTABLE,2)</f>
        <v>100</v>
      </c>
      <c r="J18" s="529"/>
      <c r="K18" s="30">
        <f>ROUND(G18*(I18/100),2)</f>
        <v>29157</v>
      </c>
      <c r="L18" s="537"/>
      <c r="M18" s="853">
        <v>0</v>
      </c>
      <c r="N18" s="854"/>
      <c r="O18" s="527">
        <f>VLOOKUP($E$28,ALLOCTABLE,2)</f>
        <v>100</v>
      </c>
      <c r="P18" s="529"/>
      <c r="Q18" s="30">
        <f t="shared" ref="Q18:Q19" si="0">ROUND(M18*(O18/100),2)</f>
        <v>0</v>
      </c>
      <c r="R18" s="843"/>
      <c r="S18" s="843"/>
    </row>
    <row r="19" spans="1:19">
      <c r="A19" s="538">
        <f>+A18+1</f>
        <v>2</v>
      </c>
      <c r="B19" s="537"/>
      <c r="C19" s="538">
        <v>426400</v>
      </c>
      <c r="D19" s="538"/>
      <c r="E19" s="539" t="s">
        <v>2733</v>
      </c>
      <c r="F19" s="537"/>
      <c r="G19" s="853">
        <v>15966</v>
      </c>
      <c r="H19" s="854"/>
      <c r="I19" s="527">
        <f>VLOOKUP($E$23,ALLOCTABLE,2)</f>
        <v>100</v>
      </c>
      <c r="J19" s="529"/>
      <c r="K19" s="30">
        <f>ROUND(G19*(I19/100),2)</f>
        <v>15966</v>
      </c>
      <c r="L19" s="537"/>
      <c r="M19" s="853">
        <v>0</v>
      </c>
      <c r="N19" s="854"/>
      <c r="O19" s="527">
        <f>VLOOKUP($E$28,ALLOCTABLE,2)</f>
        <v>100</v>
      </c>
      <c r="P19" s="529"/>
      <c r="Q19" s="30">
        <f t="shared" si="0"/>
        <v>0</v>
      </c>
      <c r="R19" s="855"/>
      <c r="S19" s="843"/>
    </row>
    <row r="20" spans="1:19">
      <c r="A20" s="538">
        <f>+A19+1</f>
        <v>3</v>
      </c>
      <c r="B20" s="537"/>
      <c r="C20" s="538">
        <v>426400</v>
      </c>
      <c r="D20" s="538"/>
      <c r="E20" s="539" t="s">
        <v>2734</v>
      </c>
      <c r="F20" s="537"/>
      <c r="G20" s="853">
        <v>234869</v>
      </c>
      <c r="H20" s="854"/>
      <c r="I20" s="527">
        <f>VLOOKUP($E$23,ALLOCTABLE,2)</f>
        <v>100</v>
      </c>
      <c r="J20" s="529"/>
      <c r="K20" s="30">
        <f>ROUND(G20*(I20/100),2)</f>
        <v>234869</v>
      </c>
      <c r="L20" s="537"/>
      <c r="M20" s="853">
        <v>0</v>
      </c>
      <c r="N20" s="854"/>
      <c r="O20" s="527">
        <f>VLOOKUP($E$28,ALLOCTABLE,2)</f>
        <v>100</v>
      </c>
      <c r="P20" s="529"/>
      <c r="Q20" s="30">
        <f t="shared" ref="Q20:Q21" si="1">ROUND(M20*(O20/100),2)</f>
        <v>0</v>
      </c>
      <c r="R20" s="855"/>
      <c r="S20" s="843"/>
    </row>
    <row r="21" spans="1:19">
      <c r="A21" s="538">
        <f>+A20+1</f>
        <v>4</v>
      </c>
      <c r="B21" s="537"/>
      <c r="C21" s="538">
        <v>426400</v>
      </c>
      <c r="E21" t="s">
        <v>2552</v>
      </c>
      <c r="G21" s="1561">
        <v>263681</v>
      </c>
      <c r="H21" s="854"/>
      <c r="I21" s="527">
        <f>VLOOKUP($E$23,ALLOCTABLE,2)</f>
        <v>100</v>
      </c>
      <c r="J21" s="529"/>
      <c r="K21" s="1674">
        <f>ROUND(G21*(I21/100),2)</f>
        <v>263681</v>
      </c>
      <c r="L21" s="537"/>
      <c r="M21" s="1561">
        <v>509167</v>
      </c>
      <c r="N21" s="854"/>
      <c r="O21" s="527">
        <f>VLOOKUP($E$28,ALLOCTABLE,2)</f>
        <v>100</v>
      </c>
      <c r="P21" s="529"/>
      <c r="Q21" s="1485">
        <f t="shared" si="1"/>
        <v>509167</v>
      </c>
      <c r="R21" s="855"/>
      <c r="S21" s="843"/>
    </row>
    <row r="22" spans="1:19">
      <c r="A22" s="538">
        <f>+A21+1</f>
        <v>5</v>
      </c>
      <c r="B22" s="845"/>
      <c r="G22" s="28"/>
      <c r="K22" s="28"/>
      <c r="M22" s="28"/>
      <c r="Q22" s="28"/>
    </row>
    <row r="23" spans="1:19" ht="13.8" thickBot="1">
      <c r="A23" s="538">
        <f>+A22+1</f>
        <v>6</v>
      </c>
      <c r="B23" s="845"/>
      <c r="E23" s="537" t="s">
        <v>2735</v>
      </c>
      <c r="F23" s="537"/>
      <c r="G23" s="1968">
        <f>SUM(G18:G21)</f>
        <v>543673</v>
      </c>
      <c r="H23" s="537"/>
      <c r="I23" s="856"/>
      <c r="J23" s="537"/>
      <c r="K23" s="1968">
        <f>SUM(K18:K21)</f>
        <v>543673</v>
      </c>
      <c r="L23" s="537"/>
      <c r="M23" s="1968">
        <f>SUM(M18:M21)</f>
        <v>509167</v>
      </c>
      <c r="N23" s="537"/>
      <c r="O23" s="856"/>
      <c r="P23" s="537"/>
      <c r="Q23" s="1968">
        <f>SUM(Q18:Q21)</f>
        <v>509167</v>
      </c>
    </row>
    <row r="24" spans="1:19" ht="13.8" thickTop="1">
      <c r="B24" s="845"/>
      <c r="M24" s="28"/>
      <c r="Q24" s="28"/>
    </row>
    <row r="25" spans="1:19">
      <c r="B25" s="845"/>
    </row>
    <row r="28" spans="1:19">
      <c r="B28" s="529" t="s">
        <v>2557</v>
      </c>
      <c r="C28" s="537"/>
      <c r="D28" s="529"/>
      <c r="E28" s="857" t="s">
        <v>428</v>
      </c>
    </row>
    <row r="30" spans="1:19">
      <c r="B30" s="845" t="s">
        <v>2736</v>
      </c>
    </row>
  </sheetData>
  <mergeCells count="2">
    <mergeCell ref="I13:K13"/>
    <mergeCell ref="O13:Q13"/>
  </mergeCells>
  <phoneticPr fontId="19" type="noConversion"/>
  <pageMargins left="1" right="0.75" top="0.98425196850393704" bottom="0" header="0" footer="0"/>
  <pageSetup scale="62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59">
    <tabColor theme="0" tint="-0.499984740745262"/>
    <pageSetUpPr fitToPage="1"/>
  </sheetPr>
  <dimension ref="A1:M44"/>
  <sheetViews>
    <sheetView workbookViewId="0"/>
  </sheetViews>
  <sheetFormatPr defaultColWidth="8" defaultRowHeight="13.2"/>
  <cols>
    <col min="2" max="2" width="6.5546875" customWidth="1"/>
    <col min="3" max="3" width="1.44140625" customWidth="1"/>
    <col min="4" max="4" width="19.5546875" customWidth="1"/>
    <col min="5" max="5" width="5.5546875" customWidth="1"/>
    <col min="6" max="6" width="14.44140625" customWidth="1"/>
    <col min="7" max="7" width="12.5546875" customWidth="1"/>
    <col min="8" max="8" width="16.44140625" customWidth="1"/>
    <col min="9" max="9" width="1" customWidth="1"/>
    <col min="10" max="10" width="15.5546875" customWidth="1"/>
    <col min="11" max="11" width="1.44140625" customWidth="1"/>
    <col min="12" max="12" width="19" customWidth="1"/>
  </cols>
  <sheetData>
    <row r="1" spans="2:13">
      <c r="B1" s="476" t="str">
        <f>COMPANY</f>
        <v>DUKE ENERGY KENTUCKY, INC.</v>
      </c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57"/>
    </row>
    <row r="2" spans="2:13">
      <c r="B2" s="476" t="str">
        <f>CASE</f>
        <v>CASE NO. 2024-00354</v>
      </c>
      <c r="C2" s="476"/>
      <c r="D2" s="476"/>
      <c r="E2" s="476"/>
      <c r="F2" s="476"/>
      <c r="G2" s="477"/>
      <c r="H2" s="476"/>
      <c r="I2" s="476"/>
      <c r="J2" s="476"/>
      <c r="K2" s="476"/>
      <c r="L2" s="476"/>
      <c r="M2" s="457"/>
    </row>
    <row r="3" spans="2:13">
      <c r="B3" s="476" t="s">
        <v>2737</v>
      </c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57"/>
    </row>
    <row r="4" spans="2:13">
      <c r="B4" s="476" t="str">
        <f>PERIOD</f>
        <v>FOR THE TWELVE MONTHS ENDED FEBRUARY 28, 2025</v>
      </c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57"/>
    </row>
    <row r="5" spans="2:13">
      <c r="B5" s="476" t="str">
        <f>PeriodF</f>
        <v>FOR THE TWELVE MONTHS ENDED JUNE 30, 2026</v>
      </c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57"/>
    </row>
    <row r="6" spans="2:13">
      <c r="B6" s="457"/>
      <c r="C6" s="457"/>
      <c r="D6" s="457"/>
      <c r="E6" s="457"/>
      <c r="F6" s="457"/>
      <c r="G6" s="457"/>
      <c r="H6" s="457"/>
      <c r="I6" s="457"/>
      <c r="J6" s="457"/>
      <c r="K6" s="457"/>
      <c r="L6" s="457"/>
      <c r="M6" s="457"/>
    </row>
    <row r="7" spans="2:13">
      <c r="B7" s="457" t="str">
        <f>DataB</f>
        <v>DATA: "X" BASE PERIOD  "X" FORECASTED PERIOD</v>
      </c>
      <c r="C7" s="457"/>
      <c r="D7" s="457"/>
      <c r="E7" s="457"/>
      <c r="F7" s="457"/>
      <c r="G7" s="457"/>
      <c r="H7" s="457"/>
      <c r="I7" s="457"/>
      <c r="J7" s="478" t="s">
        <v>2738</v>
      </c>
      <c r="K7" s="479"/>
      <c r="L7" s="457"/>
      <c r="M7" s="457"/>
    </row>
    <row r="8" spans="2:13">
      <c r="B8" s="457" t="str">
        <f>Type</f>
        <v xml:space="preserve">TYPE OF FILING:  "X" ORIGINAL   UPDATED    REVISED  </v>
      </c>
      <c r="C8" s="457"/>
      <c r="D8" s="457"/>
      <c r="E8" s="457"/>
      <c r="F8" s="457"/>
      <c r="G8" s="457"/>
      <c r="H8" s="457"/>
      <c r="I8" s="457"/>
      <c r="J8" s="478" t="s">
        <v>2739</v>
      </c>
      <c r="K8" s="479"/>
      <c r="L8" s="457"/>
      <c r="M8" s="457"/>
    </row>
    <row r="9" spans="2:13">
      <c r="B9" s="479" t="s">
        <v>723</v>
      </c>
      <c r="C9" s="457"/>
      <c r="D9" s="457"/>
      <c r="E9" s="457"/>
      <c r="F9" s="457"/>
      <c r="G9" s="457"/>
      <c r="H9" s="457"/>
      <c r="I9" s="457"/>
      <c r="J9" s="478" t="s">
        <v>2740</v>
      </c>
      <c r="K9" s="479"/>
      <c r="L9" s="457"/>
      <c r="M9" s="457"/>
    </row>
    <row r="10" spans="2:13">
      <c r="B10" s="457"/>
      <c r="C10" s="457"/>
      <c r="D10" s="457"/>
      <c r="E10" s="457"/>
      <c r="F10" s="457"/>
      <c r="G10" s="457"/>
      <c r="H10" s="457"/>
      <c r="I10" s="457"/>
      <c r="J10" s="479" t="str">
        <f>"                      "&amp;_WIT1</f>
        <v xml:space="preserve">                      L. D. STEINKUHL</v>
      </c>
      <c r="K10" s="480"/>
      <c r="L10" s="94"/>
      <c r="M10" s="457"/>
    </row>
    <row r="11" spans="2:13">
      <c r="B11" s="1574"/>
      <c r="C11" s="1574"/>
      <c r="D11" s="1574"/>
      <c r="E11" s="1574"/>
      <c r="F11" s="1574"/>
      <c r="G11" s="1574"/>
      <c r="H11" s="1574"/>
      <c r="I11" s="1574"/>
      <c r="J11" s="1574"/>
      <c r="K11" s="1574"/>
      <c r="L11" s="1574"/>
      <c r="M11" s="457"/>
    </row>
    <row r="12" spans="2:13">
      <c r="B12" s="457"/>
      <c r="C12" s="457"/>
      <c r="D12" s="457"/>
      <c r="E12" s="457"/>
      <c r="F12" s="457"/>
      <c r="G12" s="457"/>
      <c r="H12" s="457"/>
      <c r="I12" s="457"/>
      <c r="J12" s="457"/>
      <c r="K12" s="457"/>
      <c r="L12" s="457"/>
      <c r="M12" s="457"/>
    </row>
    <row r="13" spans="2:13">
      <c r="B13" s="457"/>
      <c r="C13" s="457"/>
      <c r="D13" s="457"/>
      <c r="E13" s="457"/>
      <c r="F13" s="1575" t="s">
        <v>2741</v>
      </c>
      <c r="G13" s="1576"/>
      <c r="H13" s="1576"/>
      <c r="I13" s="1576"/>
      <c r="J13" s="1576"/>
      <c r="K13" s="1576"/>
      <c r="L13" s="1576"/>
      <c r="M13" s="457"/>
    </row>
    <row r="14" spans="2:13">
      <c r="B14" s="457"/>
      <c r="C14" s="457"/>
      <c r="D14" s="457"/>
      <c r="E14" s="457"/>
      <c r="F14" s="480" t="s">
        <v>972</v>
      </c>
      <c r="G14" s="480" t="s">
        <v>970</v>
      </c>
      <c r="H14" s="457"/>
      <c r="I14" s="457"/>
      <c r="J14" s="457"/>
      <c r="K14" s="457"/>
      <c r="L14" s="457"/>
      <c r="M14" s="457"/>
    </row>
    <row r="15" spans="2:13">
      <c r="B15" s="480" t="s">
        <v>471</v>
      </c>
      <c r="C15" s="457"/>
      <c r="D15" s="457"/>
      <c r="E15" s="457"/>
      <c r="F15" s="480" t="s">
        <v>1153</v>
      </c>
      <c r="G15" s="480" t="s">
        <v>973</v>
      </c>
      <c r="H15" s="480" t="s">
        <v>937</v>
      </c>
      <c r="I15" s="480"/>
      <c r="J15" s="457"/>
      <c r="K15" s="457"/>
      <c r="L15" s="480" t="s">
        <v>937</v>
      </c>
      <c r="M15" s="457"/>
    </row>
    <row r="16" spans="2:13">
      <c r="B16" s="480" t="s">
        <v>533</v>
      </c>
      <c r="C16" s="457"/>
      <c r="D16" s="480" t="s">
        <v>2737</v>
      </c>
      <c r="E16" s="480"/>
      <c r="F16" s="480" t="s">
        <v>1513</v>
      </c>
      <c r="G16" s="480" t="s">
        <v>2742</v>
      </c>
      <c r="H16" s="480" t="s">
        <v>1513</v>
      </c>
      <c r="I16" s="480"/>
      <c r="J16" s="480" t="s">
        <v>1800</v>
      </c>
      <c r="K16" s="480"/>
      <c r="L16" s="480" t="s">
        <v>1096</v>
      </c>
      <c r="M16" s="457"/>
    </row>
    <row r="17" spans="1:13">
      <c r="B17" s="1574"/>
      <c r="C17" s="1574"/>
      <c r="D17" s="1574"/>
      <c r="E17" s="1574"/>
      <c r="F17" s="1577"/>
      <c r="G17" s="1574"/>
      <c r="H17" s="1574"/>
      <c r="I17" s="1574"/>
      <c r="J17" s="1574"/>
      <c r="K17" s="1574"/>
      <c r="L17" s="1574"/>
      <c r="M17" s="457"/>
    </row>
    <row r="18" spans="1:13">
      <c r="B18" s="457"/>
      <c r="C18" s="457"/>
      <c r="D18" s="457"/>
      <c r="E18" s="457"/>
      <c r="F18" s="457"/>
      <c r="G18" s="457"/>
      <c r="H18" s="457"/>
      <c r="I18" s="457"/>
      <c r="J18" s="457"/>
      <c r="K18" s="457"/>
      <c r="L18" s="457"/>
      <c r="M18" s="457"/>
    </row>
    <row r="19" spans="1:13">
      <c r="B19" s="480">
        <v>1</v>
      </c>
      <c r="C19" s="457"/>
      <c r="D19" s="481" t="s">
        <v>25</v>
      </c>
      <c r="E19" s="457"/>
      <c r="F19" s="457"/>
      <c r="G19" s="457"/>
      <c r="H19" s="457"/>
      <c r="I19" s="457"/>
      <c r="J19" s="457"/>
      <c r="K19" s="457"/>
      <c r="L19" s="457"/>
      <c r="M19" s="457"/>
    </row>
    <row r="20" spans="1:13">
      <c r="B20" s="480">
        <v>2</v>
      </c>
      <c r="C20" s="457"/>
      <c r="D20" s="479" t="s">
        <v>2743</v>
      </c>
      <c r="E20" s="479"/>
      <c r="F20" s="1328">
        <v>23577358</v>
      </c>
      <c r="G20" s="482">
        <f>VLOOKUP($E$34,ALLOCTABLE,2)</f>
        <v>100</v>
      </c>
      <c r="H20" s="1329">
        <f>ROUND(F20*(G20/100),0)</f>
        <v>23577358</v>
      </c>
      <c r="I20" s="459"/>
      <c r="J20" s="1330">
        <v>0</v>
      </c>
      <c r="K20" s="459"/>
      <c r="L20" s="1329">
        <f>H20+J20</f>
        <v>23577358</v>
      </c>
      <c r="M20" s="457"/>
    </row>
    <row r="21" spans="1:13">
      <c r="B21" s="480">
        <v>3</v>
      </c>
      <c r="C21" s="457"/>
      <c r="D21" s="479" t="s">
        <v>2744</v>
      </c>
      <c r="E21" s="479"/>
      <c r="F21" s="1326">
        <v>3867524</v>
      </c>
      <c r="G21" s="482">
        <f>VLOOKUP($E$34,ALLOCTABLE,2)</f>
        <v>100</v>
      </c>
      <c r="H21" s="459">
        <f>ROUND(F21*(G21/100),0)</f>
        <v>3867524</v>
      </c>
      <c r="I21" s="459"/>
      <c r="J21" s="1331">
        <v>0</v>
      </c>
      <c r="K21" s="459"/>
      <c r="L21" s="459">
        <f>H21+J21</f>
        <v>3867524</v>
      </c>
      <c r="M21" s="457"/>
    </row>
    <row r="22" spans="1:13">
      <c r="A22">
        <v>926</v>
      </c>
      <c r="B22" s="480">
        <v>4</v>
      </c>
      <c r="C22" s="457"/>
      <c r="D22" s="479" t="s">
        <v>230</v>
      </c>
      <c r="E22" s="479"/>
      <c r="F22" s="215">
        <f t="array" ref="F22">SUM(IF(FERCBP=A22,AmountBP))</f>
        <v>4631538</v>
      </c>
      <c r="G22" s="482">
        <f>VLOOKUP($E$34,ALLOCTABLE,2)</f>
        <v>100</v>
      </c>
      <c r="H22" s="459">
        <f>ROUND(F22*(G22/100),0)</f>
        <v>4631538</v>
      </c>
      <c r="I22" s="459"/>
      <c r="J22" s="1331">
        <v>0</v>
      </c>
      <c r="K22" s="459"/>
      <c r="L22" s="459">
        <f>H22+J22</f>
        <v>4631538</v>
      </c>
      <c r="M22" s="457"/>
    </row>
    <row r="23" spans="1:13">
      <c r="A23">
        <v>408</v>
      </c>
      <c r="B23" s="480">
        <v>5</v>
      </c>
      <c r="C23" s="457"/>
      <c r="D23" s="479" t="s">
        <v>2745</v>
      </c>
      <c r="E23" s="479"/>
      <c r="F23" s="215">
        <f>'BASE PERIOD'!E21+'BASE PERIOD'!E22+'BASE PERIOD'!E23+'BASE PERIOD'!E26+'BASE PERIOD'!E30</f>
        <v>1788392</v>
      </c>
      <c r="G23" s="482">
        <f>VLOOKUP($E$34,ALLOCTABLE,2)</f>
        <v>100</v>
      </c>
      <c r="H23" s="459">
        <f>ROUND(F23*(G23/100),0)</f>
        <v>1788392</v>
      </c>
      <c r="I23" s="459"/>
      <c r="J23" s="1331">
        <v>0</v>
      </c>
      <c r="K23" s="459"/>
      <c r="L23" s="459">
        <f>H23+J23</f>
        <v>1788392</v>
      </c>
      <c r="M23" s="457"/>
    </row>
    <row r="24" spans="1:13" ht="13.8" thickBot="1">
      <c r="B24" s="480">
        <v>6</v>
      </c>
      <c r="C24" s="457"/>
      <c r="D24" s="720" t="s">
        <v>2746</v>
      </c>
      <c r="E24" s="479"/>
      <c r="F24" s="1705">
        <f>SUM(F20:F23)</f>
        <v>33864812</v>
      </c>
      <c r="G24" s="480"/>
      <c r="H24" s="1705">
        <f>SUM(H20:H23)</f>
        <v>33864812</v>
      </c>
      <c r="I24" s="459"/>
      <c r="J24" s="1705">
        <f>SUM(J20:J23)</f>
        <v>0</v>
      </c>
      <c r="K24" s="459"/>
      <c r="L24" s="1705">
        <f>SUM(L20:L23)</f>
        <v>33864812</v>
      </c>
      <c r="M24" s="457"/>
    </row>
    <row r="25" spans="1:13" ht="13.8" thickTop="1">
      <c r="B25" s="480">
        <v>7</v>
      </c>
      <c r="C25" s="457"/>
      <c r="D25" s="457"/>
      <c r="E25" s="457"/>
      <c r="F25" s="458"/>
      <c r="G25" s="457"/>
      <c r="H25" s="483"/>
      <c r="I25" s="483"/>
      <c r="J25" s="458"/>
      <c r="K25" s="458"/>
      <c r="L25" s="458"/>
      <c r="M25" s="457"/>
    </row>
    <row r="26" spans="1:13">
      <c r="B26" s="480">
        <v>8</v>
      </c>
      <c r="C26" s="457"/>
      <c r="D26" s="481" t="s">
        <v>2747</v>
      </c>
      <c r="E26" s="457"/>
      <c r="F26" s="457"/>
      <c r="G26" s="457"/>
      <c r="H26" s="457"/>
      <c r="I26" s="457"/>
      <c r="J26" s="457"/>
      <c r="K26" s="457"/>
      <c r="L26" s="457"/>
      <c r="M26" s="457"/>
    </row>
    <row r="27" spans="1:13">
      <c r="B27" s="480">
        <v>9</v>
      </c>
      <c r="C27" s="457"/>
      <c r="D27" s="479" t="s">
        <v>2743</v>
      </c>
      <c r="E27" s="479"/>
      <c r="F27" s="1328">
        <v>26398176</v>
      </c>
      <c r="G27" s="482">
        <f>VLOOKUP($E$34,ALLOCTABLE,2)</f>
        <v>100</v>
      </c>
      <c r="H27" s="1329">
        <f>ROUND(F27*(G27/100),0)</f>
        <v>26398176</v>
      </c>
      <c r="I27" s="459"/>
      <c r="J27" s="1330">
        <v>0</v>
      </c>
      <c r="K27" s="459"/>
      <c r="L27" s="1329">
        <f>H27+J27</f>
        <v>26398176</v>
      </c>
      <c r="M27" s="457"/>
    </row>
    <row r="28" spans="1:13">
      <c r="B28" s="480">
        <v>10</v>
      </c>
      <c r="C28" s="457"/>
      <c r="D28" s="479" t="s">
        <v>2744</v>
      </c>
      <c r="E28" s="479"/>
      <c r="F28" s="841">
        <f>SCH_D2.28!Y71+SCH_D2.28!AM103+SCH_D2.28!BB128</f>
        <v>3760586</v>
      </c>
      <c r="G28" s="482">
        <f>VLOOKUP($E$34,ALLOCTABLE,2)</f>
        <v>100</v>
      </c>
      <c r="H28" s="459">
        <f>ROUND(F28*(G28/100),0)</f>
        <v>3760586</v>
      </c>
      <c r="I28" s="459"/>
      <c r="J28" s="1332">
        <f>SCH_D1!W346</f>
        <v>-2324831</v>
      </c>
      <c r="K28" s="459"/>
      <c r="L28" s="459">
        <f>H28+J28</f>
        <v>1435755</v>
      </c>
      <c r="M28" s="457"/>
    </row>
    <row r="29" spans="1:13">
      <c r="A29">
        <v>926</v>
      </c>
      <c r="B29" s="480">
        <v>11</v>
      </c>
      <c r="C29" s="457"/>
      <c r="D29" s="479" t="s">
        <v>230</v>
      </c>
      <c r="E29" s="479"/>
      <c r="F29" s="215">
        <f t="array" ref="F29">SUM(IF(FERCFP=A29,AmountFP))</f>
        <v>6216562</v>
      </c>
      <c r="G29" s="482">
        <f>VLOOKUP($E$34,ALLOCTABLE,2)</f>
        <v>100</v>
      </c>
      <c r="H29" s="459">
        <f>ROUND(F29*(G29/100),0)</f>
        <v>6216562</v>
      </c>
      <c r="I29" s="459"/>
      <c r="J29" s="1332">
        <f>SCH_D1!Y346</f>
        <v>-533600</v>
      </c>
      <c r="K29" s="459"/>
      <c r="L29" s="459">
        <f>H29+J29</f>
        <v>5682962</v>
      </c>
      <c r="M29" s="457"/>
    </row>
    <row r="30" spans="1:13">
      <c r="A30">
        <v>408960</v>
      </c>
      <c r="B30" s="480">
        <v>12</v>
      </c>
      <c r="C30" s="457"/>
      <c r="D30" s="479" t="s">
        <v>2745</v>
      </c>
      <c r="E30" s="479"/>
      <c r="F30" s="215">
        <f>ROUND(VLOOKUP(A30,FPERIOD,5,FALSE),0)</f>
        <v>1905396</v>
      </c>
      <c r="G30" s="482">
        <f>VLOOKUP($E$34,ALLOCTABLE,2)</f>
        <v>100</v>
      </c>
      <c r="H30" s="459">
        <f>ROUND(F30*(G30/100),0)</f>
        <v>1905396</v>
      </c>
      <c r="I30" s="459"/>
      <c r="J30" s="1331">
        <v>0</v>
      </c>
      <c r="K30" s="459"/>
      <c r="L30" s="459">
        <f>H30+J30</f>
        <v>1905396</v>
      </c>
      <c r="M30" s="457"/>
    </row>
    <row r="31" spans="1:13" ht="13.8" thickBot="1">
      <c r="B31" s="480">
        <v>13</v>
      </c>
      <c r="C31" s="457"/>
      <c r="D31" s="720" t="s">
        <v>2746</v>
      </c>
      <c r="E31" s="479"/>
      <c r="F31" s="1705">
        <f>SUM(F27:F30)</f>
        <v>38280720</v>
      </c>
      <c r="G31" s="480"/>
      <c r="H31" s="1705">
        <f>SUM(H27:H30)</f>
        <v>38280720</v>
      </c>
      <c r="I31" s="459"/>
      <c r="J31" s="1705">
        <f>SUM(J27:J30)</f>
        <v>-2858431</v>
      </c>
      <c r="K31" s="459"/>
      <c r="L31" s="1705">
        <f>SUM(L27:L30)</f>
        <v>35422289</v>
      </c>
      <c r="M31" s="457"/>
    </row>
    <row r="32" spans="1:13" ht="13.8" thickTop="1">
      <c r="B32" s="457"/>
      <c r="C32" s="457"/>
      <c r="D32" s="457"/>
      <c r="E32" s="457"/>
      <c r="F32" s="457"/>
      <c r="G32" s="457"/>
      <c r="H32" s="457"/>
      <c r="I32" s="457"/>
      <c r="J32" s="457"/>
      <c r="K32" s="457"/>
      <c r="L32" s="457"/>
      <c r="M32" s="457"/>
    </row>
    <row r="33" spans="2:13">
      <c r="B33" s="457"/>
      <c r="C33" s="457"/>
      <c r="D33" s="457"/>
      <c r="E33" s="457"/>
      <c r="F33" s="457"/>
      <c r="G33" s="457"/>
      <c r="H33" s="457"/>
      <c r="I33" s="457"/>
      <c r="J33" s="457"/>
      <c r="K33" s="457"/>
      <c r="L33" s="457"/>
      <c r="M33" s="457"/>
    </row>
    <row r="34" spans="2:13">
      <c r="B34" s="457"/>
      <c r="C34" s="457"/>
      <c r="D34" s="479" t="s">
        <v>2748</v>
      </c>
      <c r="E34" s="484" t="s">
        <v>428</v>
      </c>
      <c r="F34" s="457"/>
      <c r="G34" s="457"/>
      <c r="H34" s="457"/>
      <c r="I34" s="457"/>
      <c r="J34" s="457"/>
      <c r="K34" s="457"/>
      <c r="L34" s="457"/>
      <c r="M34" s="457"/>
    </row>
    <row r="35" spans="2:13">
      <c r="B35" s="457"/>
      <c r="C35" s="457"/>
      <c r="D35" s="485"/>
      <c r="E35" s="457"/>
      <c r="F35" s="457"/>
      <c r="G35" s="457"/>
      <c r="H35" s="457"/>
      <c r="I35" s="457"/>
      <c r="J35" s="457"/>
      <c r="K35" s="457"/>
      <c r="L35" s="457"/>
      <c r="M35" s="457"/>
    </row>
    <row r="36" spans="2:13">
      <c r="B36" s="457"/>
      <c r="C36" s="457"/>
      <c r="D36" s="457"/>
      <c r="E36" s="457"/>
      <c r="F36" s="457"/>
      <c r="G36" s="457"/>
      <c r="H36" s="457"/>
      <c r="I36" s="457"/>
      <c r="J36" s="457"/>
      <c r="K36" s="457"/>
      <c r="L36" s="457"/>
      <c r="M36" s="457"/>
    </row>
    <row r="37" spans="2:13">
      <c r="B37" s="457"/>
      <c r="C37" s="457"/>
      <c r="D37" s="457"/>
      <c r="E37" s="457"/>
      <c r="F37" s="457"/>
      <c r="G37" s="457"/>
      <c r="H37" s="457"/>
      <c r="I37" s="457"/>
      <c r="J37" s="457"/>
      <c r="K37" s="457"/>
      <c r="L37" s="457"/>
      <c r="M37" s="457"/>
    </row>
    <row r="38" spans="2:13">
      <c r="B38" s="479"/>
      <c r="C38" s="457"/>
      <c r="D38" s="457"/>
      <c r="E38" s="457"/>
      <c r="F38" s="457"/>
      <c r="G38" s="457"/>
      <c r="H38" s="457"/>
      <c r="I38" s="457"/>
      <c r="J38" s="457"/>
      <c r="K38" s="457"/>
      <c r="L38" s="457"/>
      <c r="M38" s="457"/>
    </row>
    <row r="39" spans="2:13">
      <c r="B39" s="457"/>
      <c r="C39" s="457"/>
      <c r="D39" s="457"/>
      <c r="E39" s="457"/>
      <c r="F39" s="457"/>
      <c r="G39" s="457"/>
      <c r="H39" s="457"/>
      <c r="I39" s="457"/>
      <c r="J39" s="457"/>
      <c r="K39" s="457"/>
      <c r="L39" s="457"/>
      <c r="M39" s="457"/>
    </row>
    <row r="40" spans="2:13">
      <c r="B40" s="457"/>
      <c r="C40" s="457"/>
      <c r="D40" s="457"/>
      <c r="E40" s="457"/>
      <c r="F40" s="457"/>
      <c r="G40" s="457"/>
      <c r="H40" s="457"/>
      <c r="I40" s="457"/>
      <c r="J40" s="457"/>
      <c r="K40" s="457"/>
      <c r="L40" s="457"/>
      <c r="M40" s="457"/>
    </row>
    <row r="41" spans="2:13">
      <c r="B41" s="457"/>
      <c r="C41" s="457"/>
      <c r="D41" s="457"/>
      <c r="E41" s="457"/>
      <c r="F41" s="457"/>
      <c r="G41" s="457"/>
      <c r="H41" s="457"/>
      <c r="I41" s="457"/>
      <c r="J41" s="457"/>
      <c r="K41" s="457"/>
      <c r="L41" s="457"/>
      <c r="M41" s="457"/>
    </row>
    <row r="42" spans="2:13">
      <c r="B42" s="457"/>
      <c r="C42" s="457"/>
      <c r="D42" s="457"/>
      <c r="E42" s="457"/>
      <c r="F42" s="457"/>
      <c r="G42" s="457"/>
      <c r="H42" s="457"/>
      <c r="I42" s="457"/>
      <c r="J42" s="457"/>
      <c r="K42" s="457"/>
      <c r="L42" s="457"/>
      <c r="M42" s="457"/>
    </row>
    <row r="43" spans="2:13">
      <c r="B43" s="457"/>
      <c r="C43" s="457"/>
      <c r="D43" s="457"/>
      <c r="E43" s="457"/>
      <c r="F43" s="457"/>
      <c r="G43" s="457"/>
      <c r="H43" s="457"/>
      <c r="I43" s="457"/>
      <c r="J43" s="457"/>
      <c r="K43" s="457"/>
      <c r="L43" s="457"/>
      <c r="M43" s="457"/>
    </row>
    <row r="44" spans="2:13">
      <c r="B44" s="457"/>
      <c r="C44" s="457"/>
      <c r="D44" s="457"/>
      <c r="E44" s="457"/>
      <c r="F44" s="457"/>
      <c r="G44" s="457"/>
      <c r="H44" s="457"/>
      <c r="I44" s="457"/>
      <c r="J44" s="457"/>
      <c r="K44" s="457"/>
      <c r="L44" s="457"/>
      <c r="M44" s="457"/>
    </row>
  </sheetData>
  <phoneticPr fontId="19" type="noConversion"/>
  <pageMargins left="1" right="1" top="1" bottom="0.75" header="0" footer="0"/>
  <pageSetup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85">
    <tabColor rgb="FFFF0000"/>
    <pageSetUpPr fitToPage="1"/>
  </sheetPr>
  <dimension ref="A1:L106"/>
  <sheetViews>
    <sheetView tabSelected="1" workbookViewId="0"/>
  </sheetViews>
  <sheetFormatPr defaultColWidth="8" defaultRowHeight="13.2"/>
  <cols>
    <col min="1" max="1" width="5.5546875" style="29" customWidth="1"/>
    <col min="2" max="2" width="1.44140625" style="29" customWidth="1"/>
    <col min="3" max="3" width="48.5546875" style="29" customWidth="1"/>
    <col min="4" max="4" width="1.5546875" style="29" customWidth="1"/>
    <col min="5" max="5" width="15.5546875" style="29" customWidth="1"/>
    <col min="6" max="6" width="1.5546875" style="29" customWidth="1"/>
    <col min="7" max="7" width="19.44140625" style="29" customWidth="1"/>
    <col min="8" max="8" width="2.44140625" style="29" customWidth="1"/>
    <col min="9" max="9" width="20.5546875" style="29" customWidth="1"/>
    <col min="10" max="10" width="4" style="29" customWidth="1"/>
    <col min="11" max="11" width="14.44140625" style="29" customWidth="1"/>
    <col min="12" max="12" width="35.5546875" style="29" customWidth="1"/>
    <col min="13" max="16384" width="8" style="29"/>
  </cols>
  <sheetData>
    <row r="1" spans="1:12">
      <c r="A1" s="632" t="str">
        <f>COMPANY</f>
        <v>DUKE ENERGY KENTUCKY, INC.</v>
      </c>
      <c r="B1" s="633"/>
      <c r="C1" s="633"/>
      <c r="D1" s="633"/>
      <c r="E1" s="633"/>
      <c r="F1" s="633"/>
      <c r="G1" s="633"/>
      <c r="H1" s="633"/>
      <c r="I1" s="633"/>
      <c r="J1" s="634"/>
      <c r="K1" s="634"/>
    </row>
    <row r="2" spans="1:12">
      <c r="A2" s="633" t="str">
        <f>CASE</f>
        <v>CASE NO. 2024-00354</v>
      </c>
      <c r="B2" s="633"/>
      <c r="C2" s="633"/>
      <c r="D2" s="633"/>
      <c r="E2" s="633"/>
      <c r="F2" s="633"/>
      <c r="G2" s="633"/>
      <c r="H2" s="633"/>
      <c r="I2" s="633"/>
      <c r="J2" s="634"/>
      <c r="K2" s="634"/>
    </row>
    <row r="3" spans="1:12">
      <c r="A3" s="633" t="s">
        <v>464</v>
      </c>
      <c r="B3" s="633"/>
      <c r="C3" s="633"/>
      <c r="D3" s="633"/>
      <c r="E3" s="633"/>
      <c r="F3" s="633"/>
      <c r="G3" s="633"/>
      <c r="H3" s="633"/>
      <c r="I3" s="633"/>
      <c r="J3" s="634"/>
      <c r="K3" s="634"/>
    </row>
    <row r="4" spans="1:12">
      <c r="A4" s="633" t="str">
        <f>PERIOD</f>
        <v>FOR THE TWELVE MONTHS ENDED FEBRUARY 28, 2025</v>
      </c>
      <c r="B4" s="633"/>
      <c r="C4" s="633"/>
      <c r="D4" s="633"/>
      <c r="E4" s="633"/>
      <c r="F4" s="633"/>
      <c r="G4" s="633"/>
      <c r="H4" s="633"/>
      <c r="I4" s="633"/>
      <c r="J4" s="634"/>
      <c r="K4" s="634"/>
    </row>
    <row r="5" spans="1:12">
      <c r="A5" s="633" t="str">
        <f>PeriodF</f>
        <v>FOR THE TWELVE MONTHS ENDED JUNE 30, 2026</v>
      </c>
      <c r="B5" s="633"/>
      <c r="C5" s="633"/>
      <c r="D5" s="633"/>
      <c r="E5" s="633"/>
      <c r="F5" s="633"/>
      <c r="G5" s="633"/>
      <c r="H5" s="633"/>
      <c r="I5" s="633"/>
      <c r="J5" s="634"/>
      <c r="K5" s="634"/>
    </row>
    <row r="6" spans="1:12">
      <c r="A6" s="1393" t="s">
        <v>55</v>
      </c>
      <c r="B6" s="634"/>
      <c r="C6" s="634"/>
      <c r="D6" s="634"/>
      <c r="E6" s="634"/>
      <c r="F6" s="634"/>
      <c r="G6" s="634"/>
      <c r="H6" s="634"/>
      <c r="I6" s="634"/>
      <c r="J6" s="634"/>
      <c r="K6" s="634"/>
    </row>
    <row r="7" spans="1:12">
      <c r="A7" s="634" t="str">
        <f>DataB</f>
        <v>DATA: "X" BASE PERIOD  "X" FORECASTED PERIOD</v>
      </c>
      <c r="B7" s="634"/>
      <c r="C7" s="634"/>
      <c r="D7" s="634"/>
      <c r="E7" s="634"/>
      <c r="F7" s="634"/>
      <c r="G7" s="634"/>
      <c r="H7" s="635" t="s">
        <v>465</v>
      </c>
      <c r="I7" s="634"/>
      <c r="J7" s="634"/>
      <c r="K7" s="634"/>
    </row>
    <row r="8" spans="1:12">
      <c r="A8" s="634" t="str">
        <f>Type</f>
        <v xml:space="preserve">TYPE OF FILING:  "X" ORIGINAL   UPDATED    REVISED  </v>
      </c>
      <c r="B8" s="634"/>
      <c r="C8" s="634"/>
      <c r="D8" s="634"/>
      <c r="E8" s="634"/>
      <c r="F8" s="634"/>
      <c r="G8" s="634"/>
      <c r="H8" s="635" t="s">
        <v>466</v>
      </c>
      <c r="I8" s="634"/>
      <c r="J8" s="634"/>
      <c r="K8" s="634"/>
    </row>
    <row r="9" spans="1:12">
      <c r="A9" s="635" t="s">
        <v>467</v>
      </c>
      <c r="B9" s="634"/>
      <c r="C9" s="634"/>
      <c r="D9" s="634"/>
      <c r="E9" s="634"/>
      <c r="F9" s="634"/>
      <c r="G9" s="634"/>
      <c r="H9" s="635" t="s">
        <v>468</v>
      </c>
      <c r="I9" s="634"/>
      <c r="J9" s="634"/>
      <c r="K9" s="634"/>
    </row>
    <row r="10" spans="1:12">
      <c r="A10" s="634"/>
      <c r="B10" s="634"/>
      <c r="C10" s="634"/>
      <c r="D10" s="634"/>
      <c r="E10" s="634"/>
      <c r="F10" s="634"/>
      <c r="G10" s="634"/>
      <c r="H10" s="635" t="str">
        <f>_WIT1</f>
        <v>L. D. STEINKUHL</v>
      </c>
      <c r="I10" s="634"/>
      <c r="J10" s="634"/>
      <c r="K10" s="634"/>
    </row>
    <row r="11" spans="1:12">
      <c r="A11" s="1439"/>
      <c r="B11" s="1439"/>
      <c r="C11" s="1439"/>
      <c r="D11" s="1439"/>
      <c r="E11" s="1439"/>
      <c r="F11" s="1439"/>
      <c r="G11" s="1440"/>
      <c r="H11" s="1440"/>
      <c r="I11" s="1439"/>
      <c r="J11" s="634"/>
      <c r="K11" s="634"/>
    </row>
    <row r="12" spans="1:12">
      <c r="A12" s="634"/>
      <c r="B12" s="634"/>
      <c r="C12" s="634"/>
      <c r="D12" s="634"/>
      <c r="E12" s="636" t="s">
        <v>469</v>
      </c>
      <c r="F12" s="634"/>
      <c r="G12" s="637" t="s">
        <v>470</v>
      </c>
      <c r="H12" s="633"/>
      <c r="I12" s="633"/>
      <c r="J12" s="634"/>
      <c r="K12" s="634"/>
    </row>
    <row r="13" spans="1:12">
      <c r="A13" s="636" t="s">
        <v>471</v>
      </c>
      <c r="B13" s="634"/>
      <c r="C13" s="634"/>
      <c r="D13" s="634"/>
      <c r="E13" s="636" t="s">
        <v>472</v>
      </c>
      <c r="F13" s="634"/>
      <c r="G13" s="636" t="s">
        <v>473</v>
      </c>
      <c r="H13" s="634"/>
      <c r="I13" s="636" t="s">
        <v>474</v>
      </c>
      <c r="J13" s="634"/>
      <c r="K13" s="634"/>
    </row>
    <row r="14" spans="1:12">
      <c r="A14" s="636" t="s">
        <v>475</v>
      </c>
      <c r="B14" s="634"/>
      <c r="C14" s="636" t="s">
        <v>476</v>
      </c>
      <c r="D14" s="634"/>
      <c r="E14" s="636" t="s">
        <v>477</v>
      </c>
      <c r="F14" s="634"/>
      <c r="G14" s="636" t="s">
        <v>478</v>
      </c>
      <c r="H14" s="634"/>
      <c r="I14" s="636" t="s">
        <v>478</v>
      </c>
      <c r="J14" s="634"/>
      <c r="K14" s="634"/>
    </row>
    <row r="15" spans="1:12">
      <c r="A15" s="1439"/>
      <c r="B15" s="1439"/>
      <c r="C15" s="1439"/>
      <c r="D15" s="1439"/>
      <c r="E15" s="1439"/>
      <c r="F15" s="1439"/>
      <c r="G15" s="1439"/>
      <c r="H15" s="1439"/>
      <c r="I15" s="1440"/>
      <c r="J15" s="634"/>
      <c r="K15" s="634"/>
    </row>
    <row r="16" spans="1:12">
      <c r="A16" s="634"/>
      <c r="B16" s="634"/>
      <c r="C16" s="634"/>
      <c r="D16" s="634"/>
      <c r="E16" s="634"/>
      <c r="F16" s="634"/>
      <c r="G16" s="634"/>
      <c r="H16" s="634"/>
      <c r="I16" s="634"/>
      <c r="J16" s="634"/>
      <c r="K16" s="639"/>
      <c r="L16" s="679"/>
    </row>
    <row r="17" spans="1:12">
      <c r="A17" s="636">
        <v>1</v>
      </c>
      <c r="B17" s="634"/>
      <c r="C17" s="634" t="s">
        <v>479</v>
      </c>
      <c r="D17" s="634"/>
      <c r="E17" s="638" t="s">
        <v>480</v>
      </c>
      <c r="F17" s="634"/>
      <c r="G17" s="639">
        <f>SCH_B1!G42</f>
        <v>1234610901</v>
      </c>
      <c r="H17" s="634"/>
      <c r="I17" s="639">
        <f>IF('SCH_C2.1 - Forecasted Period'!J368=(SCH_E1!K116+SCH_E1!K140),SCH_B1!I42,"BALANCE FP TAXES TO SCH. E")</f>
        <v>1273791539</v>
      </c>
      <c r="J17" s="634"/>
      <c r="K17" s="639"/>
      <c r="L17" s="30"/>
    </row>
    <row r="18" spans="1:12">
      <c r="A18" s="636"/>
      <c r="B18" s="634"/>
      <c r="C18" s="634"/>
      <c r="D18" s="634"/>
      <c r="E18" s="639"/>
      <c r="F18" s="634"/>
      <c r="G18" s="639"/>
      <c r="H18" s="634"/>
      <c r="I18" s="634"/>
      <c r="J18" s="634"/>
      <c r="K18" s="1820"/>
      <c r="L18" s="679"/>
    </row>
    <row r="19" spans="1:12">
      <c r="A19" s="636">
        <v>2</v>
      </c>
      <c r="B19" s="634"/>
      <c r="C19" s="634" t="s">
        <v>355</v>
      </c>
      <c r="D19" s="634"/>
      <c r="E19" s="636" t="s">
        <v>481</v>
      </c>
      <c r="F19" s="634"/>
      <c r="G19" s="639">
        <f>SCH_C2!E59</f>
        <v>83838119</v>
      </c>
      <c r="H19" s="634"/>
      <c r="I19" s="639">
        <f ca="1">IF(SCH_D1_ERROR_CHECK="",SCH_C2!N59,"ERROR")</f>
        <v>49502665</v>
      </c>
      <c r="J19" s="634"/>
      <c r="K19" s="639"/>
    </row>
    <row r="20" spans="1:12">
      <c r="A20" s="636"/>
      <c r="B20" s="634"/>
      <c r="C20" s="634"/>
      <c r="D20" s="634"/>
      <c r="E20" s="634"/>
      <c r="F20" s="634"/>
      <c r="G20" s="639"/>
      <c r="H20" s="634"/>
      <c r="I20" s="634"/>
      <c r="J20" s="634"/>
      <c r="K20" s="634"/>
    </row>
    <row r="21" spans="1:12">
      <c r="A21" s="636">
        <v>3</v>
      </c>
      <c r="B21" s="634"/>
      <c r="C21" s="634" t="s">
        <v>482</v>
      </c>
      <c r="D21" s="634"/>
      <c r="E21" s="639"/>
      <c r="F21" s="634"/>
      <c r="G21" s="1182">
        <f>ROUND(G19/G17,5)</f>
        <v>6.7909999999999998E-2</v>
      </c>
      <c r="H21" s="1182"/>
      <c r="I21" s="1182">
        <f ca="1">ROUND(I19/I17,5)</f>
        <v>3.8859999999999999E-2</v>
      </c>
      <c r="J21" s="634"/>
      <c r="K21" s="634"/>
    </row>
    <row r="22" spans="1:12">
      <c r="A22" s="636"/>
      <c r="B22" s="634"/>
      <c r="C22" s="634"/>
      <c r="D22" s="634"/>
      <c r="E22" s="639"/>
      <c r="F22" s="634"/>
      <c r="G22" s="639"/>
      <c r="H22" s="634"/>
      <c r="I22" s="634"/>
      <c r="J22" s="634"/>
      <c r="K22" s="634"/>
    </row>
    <row r="23" spans="1:12">
      <c r="A23" s="636">
        <v>4</v>
      </c>
      <c r="B23" s="634"/>
      <c r="C23" s="634" t="s">
        <v>450</v>
      </c>
      <c r="D23" s="634"/>
      <c r="E23" s="636" t="s">
        <v>483</v>
      </c>
      <c r="F23" s="634"/>
      <c r="G23" s="640">
        <f>'SCH_J1 - Base'!M33</f>
        <v>8.0110000000000001E-2</v>
      </c>
      <c r="H23" s="634"/>
      <c r="I23" s="640">
        <f>'SCH_J1 - Forecast'!M34</f>
        <v>7.9680000000000001E-2</v>
      </c>
      <c r="J23" s="634"/>
      <c r="K23" s="634"/>
    </row>
    <row r="24" spans="1:12">
      <c r="A24" s="636"/>
      <c r="B24" s="634"/>
      <c r="C24" s="634"/>
      <c r="D24" s="634"/>
      <c r="E24" s="639"/>
      <c r="F24" s="634"/>
      <c r="G24" s="639"/>
      <c r="H24" s="634"/>
      <c r="I24" s="634"/>
      <c r="J24" s="634"/>
      <c r="K24" s="634"/>
    </row>
    <row r="25" spans="1:12">
      <c r="A25" s="636">
        <v>5</v>
      </c>
      <c r="B25" s="634"/>
      <c r="C25" s="634" t="s">
        <v>484</v>
      </c>
      <c r="D25" s="634"/>
      <c r="E25" s="639"/>
      <c r="F25" s="634"/>
      <c r="G25" s="639">
        <f>ROUND(G17*G23,0)</f>
        <v>98904679</v>
      </c>
      <c r="H25" s="634"/>
      <c r="I25" s="639">
        <f>ROUND(I17*I23,0)</f>
        <v>101495710</v>
      </c>
      <c r="J25" s="634"/>
      <c r="K25" s="634"/>
    </row>
    <row r="26" spans="1:12">
      <c r="A26" s="636" t="s">
        <v>382</v>
      </c>
      <c r="B26" s="634"/>
      <c r="C26" s="634"/>
      <c r="D26" s="634"/>
      <c r="E26" s="639"/>
      <c r="F26" s="634"/>
      <c r="G26" s="639"/>
      <c r="H26" s="634"/>
      <c r="I26" s="634"/>
      <c r="J26" s="634"/>
      <c r="K26" s="634"/>
    </row>
    <row r="27" spans="1:12">
      <c r="A27" s="636">
        <v>6</v>
      </c>
      <c r="B27" s="634"/>
      <c r="C27" s="634" t="s">
        <v>485</v>
      </c>
      <c r="D27" s="634"/>
      <c r="E27" s="639"/>
      <c r="F27" s="634"/>
      <c r="G27" s="639">
        <f>G25-G19</f>
        <v>15066560</v>
      </c>
      <c r="H27" s="634"/>
      <c r="I27" s="639">
        <f ca="1">I25-I19</f>
        <v>51993045</v>
      </c>
      <c r="J27" s="634"/>
      <c r="K27" s="634"/>
    </row>
    <row r="28" spans="1:12">
      <c r="A28" s="636" t="s">
        <v>382</v>
      </c>
      <c r="B28" s="634"/>
      <c r="C28" s="634"/>
      <c r="D28" s="634"/>
      <c r="E28" s="639"/>
      <c r="F28" s="634"/>
      <c r="G28" s="639"/>
      <c r="H28" s="634"/>
      <c r="I28" s="634"/>
      <c r="J28" s="634"/>
      <c r="K28" s="634"/>
    </row>
    <row r="29" spans="1:12">
      <c r="A29" s="636">
        <v>7</v>
      </c>
      <c r="B29" s="634"/>
      <c r="C29" s="634" t="s">
        <v>486</v>
      </c>
      <c r="D29" s="634"/>
      <c r="E29" s="638" t="s">
        <v>487</v>
      </c>
      <c r="F29" s="634"/>
      <c r="G29" s="641">
        <f>SCH_H!$I$34</f>
        <v>1.3464970000000001</v>
      </c>
      <c r="H29" s="634"/>
      <c r="I29" s="641">
        <f>SCH_H!I72</f>
        <v>1.3464970000000001</v>
      </c>
      <c r="J29" s="634"/>
      <c r="K29" s="634"/>
    </row>
    <row r="30" spans="1:12">
      <c r="A30" s="636"/>
      <c r="B30" s="634"/>
      <c r="C30" s="634"/>
      <c r="D30" s="634"/>
      <c r="E30" s="639"/>
      <c r="F30" s="634"/>
      <c r="G30" s="639"/>
      <c r="H30" s="634"/>
      <c r="I30" s="634"/>
      <c r="J30" s="634"/>
      <c r="K30" s="634"/>
    </row>
    <row r="31" spans="1:12">
      <c r="A31" s="636">
        <v>8</v>
      </c>
      <c r="B31" s="634"/>
      <c r="C31" s="634" t="s">
        <v>488</v>
      </c>
      <c r="D31" s="634"/>
      <c r="E31" s="639"/>
      <c r="F31" s="634"/>
      <c r="G31" s="639">
        <f>ROUND(G29*G27,0)</f>
        <v>20287078</v>
      </c>
      <c r="H31" s="634"/>
      <c r="I31" s="639">
        <f ca="1">ROUND(I29*I27,0)</f>
        <v>70008479</v>
      </c>
      <c r="J31" s="634"/>
      <c r="K31" s="634"/>
    </row>
    <row r="32" spans="1:12">
      <c r="A32" s="636"/>
      <c r="B32" s="634"/>
      <c r="C32" s="634"/>
      <c r="D32" s="634"/>
      <c r="E32" s="634"/>
      <c r="F32" s="634"/>
      <c r="G32" s="639"/>
      <c r="H32" s="634"/>
      <c r="I32" s="639"/>
      <c r="J32" s="634"/>
      <c r="K32" s="634"/>
    </row>
    <row r="33" spans="1:12">
      <c r="A33" s="636">
        <v>9</v>
      </c>
      <c r="B33" s="634"/>
      <c r="C33" s="634" t="s">
        <v>0</v>
      </c>
      <c r="D33" s="634"/>
      <c r="E33" s="638" t="s">
        <v>489</v>
      </c>
      <c r="F33" s="634"/>
      <c r="G33" s="638" t="s">
        <v>490</v>
      </c>
      <c r="H33" s="634"/>
      <c r="I33" s="639">
        <f>MINCR</f>
        <v>70008476</v>
      </c>
      <c r="J33" s="642"/>
      <c r="K33" s="634"/>
      <c r="L33" s="679"/>
    </row>
    <row r="34" spans="1:12">
      <c r="A34" s="636"/>
      <c r="B34" s="634"/>
      <c r="C34" s="634"/>
      <c r="D34" s="634"/>
      <c r="E34" s="634"/>
      <c r="F34" s="634"/>
      <c r="G34" s="639"/>
      <c r="H34" s="634"/>
      <c r="I34" s="639"/>
      <c r="J34" s="634"/>
      <c r="K34" s="634"/>
    </row>
    <row r="35" spans="1:12">
      <c r="A35" s="636">
        <v>10</v>
      </c>
      <c r="B35" s="634"/>
      <c r="C35" s="634" t="s">
        <v>491</v>
      </c>
      <c r="D35" s="634"/>
      <c r="E35" s="636" t="s">
        <v>489</v>
      </c>
      <c r="F35" s="634"/>
      <c r="G35" s="638" t="s">
        <v>490</v>
      </c>
      <c r="H35" s="634"/>
      <c r="I35" s="639">
        <f>SCH_C1!E17</f>
        <v>454422637</v>
      </c>
      <c r="J35" s="634"/>
      <c r="K35" s="634"/>
    </row>
    <row r="36" spans="1:12">
      <c r="A36" s="636"/>
      <c r="B36" s="634"/>
      <c r="C36" s="634"/>
      <c r="D36" s="634"/>
      <c r="E36" s="634"/>
      <c r="F36" s="634"/>
      <c r="G36" s="634"/>
      <c r="H36" s="634"/>
      <c r="I36" s="634"/>
      <c r="J36" s="634"/>
      <c r="K36" s="634"/>
    </row>
    <row r="37" spans="1:12">
      <c r="A37" s="636">
        <v>11</v>
      </c>
      <c r="B37" s="634"/>
      <c r="C37" s="634" t="s">
        <v>492</v>
      </c>
      <c r="D37" s="634"/>
      <c r="E37" s="634"/>
      <c r="F37" s="634"/>
      <c r="G37" s="638" t="s">
        <v>490</v>
      </c>
      <c r="H37" s="634"/>
      <c r="I37" s="639">
        <f>I33+I35</f>
        <v>524431113</v>
      </c>
      <c r="J37" s="634"/>
      <c r="K37" s="634"/>
    </row>
    <row r="38" spans="1:12">
      <c r="A38" s="636"/>
      <c r="B38" s="634"/>
      <c r="C38" s="634"/>
      <c r="D38" s="634"/>
      <c r="E38" s="639"/>
      <c r="F38" s="634"/>
      <c r="G38" s="634"/>
      <c r="H38" s="634"/>
      <c r="I38" s="639"/>
      <c r="J38" s="634"/>
      <c r="K38" s="634"/>
    </row>
    <row r="39" spans="1:12">
      <c r="A39" s="634"/>
      <c r="B39" s="634"/>
      <c r="C39" s="634"/>
      <c r="D39" s="634"/>
      <c r="E39" s="634"/>
      <c r="F39" s="634"/>
      <c r="G39" s="634"/>
      <c r="H39" s="634"/>
      <c r="I39" s="639"/>
      <c r="J39" s="634"/>
      <c r="K39" s="634"/>
    </row>
    <row r="40" spans="1:12">
      <c r="A40" s="634"/>
      <c r="B40" s="634"/>
      <c r="C40" s="634"/>
      <c r="D40" s="634"/>
      <c r="E40" s="634"/>
      <c r="F40" s="634"/>
      <c r="G40" s="634"/>
      <c r="H40" s="634"/>
      <c r="I40" s="639"/>
      <c r="J40" s="634"/>
      <c r="K40" s="634"/>
    </row>
    <row r="41" spans="1:12">
      <c r="A41" s="634"/>
      <c r="B41" s="634"/>
      <c r="C41" s="634"/>
      <c r="D41" s="634"/>
      <c r="E41" s="634"/>
      <c r="F41" s="634"/>
      <c r="G41" s="634"/>
      <c r="H41" s="634"/>
      <c r="I41" s="639"/>
      <c r="J41" s="634"/>
      <c r="K41" s="634"/>
    </row>
    <row r="42" spans="1:12">
      <c r="A42" s="634"/>
      <c r="B42" s="634"/>
      <c r="C42" s="634"/>
      <c r="D42" s="634"/>
      <c r="E42" s="634"/>
      <c r="F42" s="634"/>
      <c r="G42" s="634"/>
      <c r="H42" s="634"/>
      <c r="I42" s="639"/>
      <c r="J42" s="634"/>
      <c r="K42" s="634"/>
    </row>
    <row r="43" spans="1:12">
      <c r="A43" s="634"/>
      <c r="B43" s="634"/>
      <c r="C43" s="634"/>
      <c r="D43" s="634"/>
      <c r="E43" s="634"/>
      <c r="F43" s="634"/>
      <c r="G43" s="634"/>
      <c r="H43" s="634"/>
      <c r="I43" s="639"/>
      <c r="J43" s="634"/>
      <c r="K43" s="634"/>
    </row>
    <row r="44" spans="1:12">
      <c r="A44" s="634"/>
      <c r="B44" s="634"/>
      <c r="C44" s="634"/>
      <c r="D44" s="634"/>
      <c r="E44" s="634"/>
      <c r="F44" s="634"/>
      <c r="G44" s="634"/>
      <c r="H44" s="634"/>
      <c r="I44" s="639"/>
      <c r="J44" s="634"/>
      <c r="K44" s="634"/>
    </row>
    <row r="45" spans="1:12">
      <c r="A45" s="634"/>
      <c r="B45" s="634"/>
      <c r="C45" s="634"/>
      <c r="D45" s="634"/>
      <c r="E45" s="634"/>
      <c r="F45" s="634"/>
      <c r="G45" s="634"/>
      <c r="H45" s="634"/>
      <c r="I45" s="639"/>
      <c r="J45" s="634"/>
      <c r="K45" s="634"/>
    </row>
    <row r="46" spans="1:12">
      <c r="A46" s="634"/>
      <c r="B46" s="634"/>
      <c r="C46" s="634"/>
      <c r="D46" s="634"/>
      <c r="E46" s="634"/>
      <c r="F46" s="634"/>
      <c r="G46" s="634"/>
      <c r="H46" s="634"/>
      <c r="I46" s="639"/>
      <c r="J46" s="634"/>
      <c r="K46" s="634"/>
    </row>
    <row r="47" spans="1:12">
      <c r="A47" s="634"/>
      <c r="B47" s="634"/>
      <c r="C47" s="634"/>
      <c r="D47" s="634"/>
      <c r="E47" s="634"/>
      <c r="F47" s="634"/>
      <c r="G47" s="634"/>
      <c r="H47" s="634"/>
      <c r="I47" s="639"/>
      <c r="J47" s="634"/>
      <c r="K47" s="634"/>
    </row>
    <row r="48" spans="1:12">
      <c r="A48" s="634"/>
      <c r="B48" s="634"/>
      <c r="C48" s="634"/>
      <c r="D48" s="634"/>
      <c r="E48" s="634"/>
      <c r="F48" s="634"/>
      <c r="G48" s="634"/>
      <c r="H48" s="634"/>
      <c r="I48" s="639"/>
      <c r="J48" s="634"/>
      <c r="K48" s="634"/>
    </row>
    <row r="49" spans="1:11">
      <c r="A49" s="634"/>
      <c r="B49" s="634"/>
      <c r="C49" s="634"/>
      <c r="D49" s="634"/>
      <c r="E49" s="634"/>
      <c r="F49" s="634"/>
      <c r="G49" s="634"/>
      <c r="H49" s="634"/>
      <c r="I49" s="639"/>
      <c r="J49" s="634"/>
      <c r="K49" s="634"/>
    </row>
    <row r="50" spans="1:11">
      <c r="A50" s="634"/>
      <c r="B50" s="634"/>
      <c r="C50" s="634"/>
      <c r="D50" s="634"/>
      <c r="E50" s="634"/>
      <c r="F50" s="634"/>
      <c r="G50" s="634"/>
      <c r="H50" s="634"/>
      <c r="I50" s="639"/>
      <c r="J50" s="634"/>
      <c r="K50" s="634"/>
    </row>
    <row r="51" spans="1:11">
      <c r="A51" s="634"/>
      <c r="B51" s="634"/>
      <c r="C51" s="634"/>
      <c r="D51" s="634"/>
      <c r="E51" s="634"/>
      <c r="F51" s="634"/>
      <c r="G51" s="634"/>
      <c r="H51" s="634"/>
      <c r="I51" s="639"/>
      <c r="J51" s="634"/>
      <c r="K51" s="634"/>
    </row>
    <row r="52" spans="1:11">
      <c r="A52" s="634"/>
      <c r="B52" s="634"/>
      <c r="C52" s="634"/>
      <c r="D52" s="634"/>
      <c r="E52" s="634"/>
      <c r="F52" s="634"/>
      <c r="G52" s="634"/>
      <c r="H52" s="634"/>
      <c r="I52" s="639"/>
      <c r="J52" s="634"/>
      <c r="K52" s="634"/>
    </row>
    <row r="53" spans="1:11">
      <c r="A53" s="634"/>
      <c r="B53" s="634"/>
      <c r="C53" s="634"/>
      <c r="D53" s="634"/>
      <c r="E53" s="814"/>
      <c r="F53" s="634"/>
      <c r="G53" s="634"/>
      <c r="H53" s="634"/>
      <c r="I53" s="639"/>
      <c r="J53" s="634"/>
      <c r="K53" s="634"/>
    </row>
    <row r="54" spans="1:11">
      <c r="A54" s="634"/>
      <c r="B54" s="634"/>
      <c r="C54" s="634"/>
      <c r="D54" s="634"/>
      <c r="E54" s="634"/>
      <c r="F54" s="634"/>
      <c r="G54" s="634"/>
      <c r="H54" s="634"/>
      <c r="I54" s="639"/>
      <c r="J54" s="634"/>
      <c r="K54" s="634"/>
    </row>
    <row r="55" spans="1:11">
      <c r="A55" s="634"/>
      <c r="B55" s="634"/>
      <c r="C55" s="634"/>
      <c r="D55" s="634"/>
      <c r="E55" s="634"/>
      <c r="F55" s="634"/>
      <c r="G55" s="634"/>
      <c r="H55" s="634"/>
      <c r="I55" s="639"/>
      <c r="J55" s="634"/>
      <c r="K55" s="634"/>
    </row>
    <row r="56" spans="1:11">
      <c r="A56" s="634"/>
      <c r="B56" s="634"/>
      <c r="C56" s="634"/>
      <c r="D56" s="634"/>
      <c r="E56" s="634"/>
      <c r="F56" s="634"/>
      <c r="G56" s="634"/>
      <c r="H56" s="634"/>
      <c r="I56" s="639"/>
      <c r="J56" s="634"/>
      <c r="K56" s="634"/>
    </row>
    <row r="57" spans="1:11">
      <c r="A57" s="634"/>
      <c r="B57" s="634"/>
      <c r="C57" s="634"/>
      <c r="D57" s="634"/>
      <c r="E57" s="634"/>
      <c r="F57" s="634"/>
      <c r="G57" s="634"/>
      <c r="H57" s="634"/>
      <c r="I57" s="634"/>
      <c r="J57" s="634"/>
      <c r="K57" s="634"/>
    </row>
    <row r="58" spans="1:11">
      <c r="A58" s="634"/>
      <c r="B58" s="634"/>
      <c r="C58" s="634"/>
      <c r="D58" s="634"/>
      <c r="E58" s="634"/>
      <c r="F58" s="634"/>
      <c r="G58" s="634"/>
      <c r="H58" s="634"/>
      <c r="I58" s="634"/>
      <c r="J58" s="634"/>
      <c r="K58" s="634"/>
    </row>
    <row r="59" spans="1:11">
      <c r="A59" s="634"/>
      <c r="B59" s="634"/>
      <c r="C59" s="634"/>
      <c r="D59" s="634"/>
      <c r="E59" s="634"/>
      <c r="F59" s="634"/>
      <c r="G59" s="634"/>
      <c r="H59" s="634"/>
      <c r="I59" s="634"/>
      <c r="J59" s="634"/>
      <c r="K59" s="634"/>
    </row>
    <row r="60" spans="1:11">
      <c r="A60" s="634"/>
      <c r="B60" s="634"/>
      <c r="C60" s="634"/>
      <c r="D60" s="634"/>
      <c r="E60" s="634"/>
      <c r="F60" s="634"/>
      <c r="G60" s="634"/>
      <c r="H60" s="634"/>
      <c r="I60" s="634"/>
      <c r="J60" s="634"/>
      <c r="K60" s="634"/>
    </row>
    <row r="61" spans="1:11">
      <c r="A61" s="634"/>
      <c r="B61" s="634"/>
      <c r="C61" s="634"/>
      <c r="D61" s="634"/>
      <c r="E61" s="634"/>
      <c r="F61" s="634"/>
      <c r="G61" s="634"/>
      <c r="H61" s="634"/>
      <c r="I61" s="634"/>
      <c r="J61" s="634"/>
      <c r="K61" s="634"/>
    </row>
    <row r="62" spans="1:11">
      <c r="A62" s="634"/>
      <c r="B62" s="634"/>
      <c r="C62" s="634"/>
      <c r="D62" s="634"/>
      <c r="E62" s="634"/>
      <c r="F62" s="634"/>
      <c r="G62" s="634"/>
      <c r="H62" s="634"/>
      <c r="I62" s="634"/>
      <c r="J62" s="634"/>
      <c r="K62" s="634"/>
    </row>
    <row r="63" spans="1:11">
      <c r="A63" s="634"/>
      <c r="B63" s="634"/>
      <c r="C63" s="634"/>
      <c r="D63" s="634"/>
      <c r="E63" s="634"/>
      <c r="F63" s="634"/>
      <c r="G63" s="634"/>
      <c r="H63" s="634"/>
      <c r="I63" s="634"/>
      <c r="J63" s="634"/>
      <c r="K63" s="634"/>
    </row>
    <row r="64" spans="1:11">
      <c r="A64" s="634"/>
      <c r="B64" s="634"/>
      <c r="C64" s="634"/>
      <c r="D64" s="634"/>
      <c r="E64" s="634"/>
      <c r="F64" s="634"/>
      <c r="G64" s="634"/>
      <c r="H64" s="634"/>
      <c r="I64" s="634"/>
      <c r="J64" s="634"/>
      <c r="K64" s="634"/>
    </row>
    <row r="65" spans="1:11">
      <c r="A65" s="634"/>
      <c r="B65" s="634"/>
      <c r="C65" s="634"/>
      <c r="D65" s="634"/>
      <c r="E65" s="634"/>
      <c r="F65" s="634"/>
      <c r="G65" s="634"/>
      <c r="H65" s="634"/>
      <c r="I65" s="634"/>
      <c r="J65" s="634"/>
      <c r="K65" s="634"/>
    </row>
    <row r="66" spans="1:11">
      <c r="A66" s="634"/>
      <c r="B66" s="634"/>
      <c r="C66" s="634"/>
      <c r="D66" s="634"/>
      <c r="E66" s="634"/>
      <c r="F66" s="634"/>
      <c r="G66" s="634"/>
      <c r="H66" s="634"/>
      <c r="I66" s="634"/>
      <c r="J66" s="634"/>
      <c r="K66" s="634"/>
    </row>
    <row r="67" spans="1:11">
      <c r="A67" s="634"/>
      <c r="B67" s="634"/>
      <c r="C67" s="634"/>
      <c r="D67" s="634"/>
      <c r="E67" s="634"/>
      <c r="F67" s="634"/>
      <c r="G67" s="634"/>
      <c r="H67" s="634"/>
      <c r="I67" s="634"/>
      <c r="J67" s="634"/>
      <c r="K67" s="634"/>
    </row>
    <row r="68" spans="1:11">
      <c r="A68" s="634"/>
      <c r="B68" s="634"/>
      <c r="C68" s="634"/>
      <c r="D68" s="634"/>
      <c r="E68" s="634"/>
      <c r="F68" s="634"/>
      <c r="G68" s="634"/>
      <c r="H68" s="634"/>
      <c r="I68" s="634"/>
      <c r="J68" s="634"/>
      <c r="K68" s="1198"/>
    </row>
    <row r="69" spans="1:11">
      <c r="A69" s="634"/>
      <c r="B69" s="634"/>
      <c r="C69" s="634"/>
      <c r="D69" s="634"/>
      <c r="E69" s="634"/>
      <c r="F69" s="634"/>
      <c r="G69" s="634"/>
      <c r="H69" s="634"/>
      <c r="I69" s="634"/>
      <c r="J69" s="634"/>
      <c r="K69" s="634"/>
    </row>
    <row r="70" spans="1:11">
      <c r="A70" s="634"/>
      <c r="B70" s="634"/>
      <c r="C70" s="634"/>
      <c r="D70" s="634"/>
      <c r="E70" s="634"/>
      <c r="F70" s="634"/>
      <c r="G70" s="634"/>
      <c r="H70" s="634"/>
      <c r="I70" s="634"/>
      <c r="J70" s="634"/>
      <c r="K70" s="639"/>
    </row>
    <row r="71" spans="1:11">
      <c r="A71" s="634"/>
      <c r="B71" s="634"/>
      <c r="C71" s="634"/>
      <c r="D71" s="634"/>
      <c r="E71" s="634"/>
      <c r="F71" s="634"/>
      <c r="G71" s="634"/>
      <c r="H71" s="634"/>
      <c r="I71" s="634"/>
      <c r="J71" s="634"/>
      <c r="K71" s="634"/>
    </row>
    <row r="72" spans="1:11">
      <c r="A72" s="634"/>
      <c r="B72" s="634"/>
      <c r="C72" s="634"/>
      <c r="D72" s="634"/>
      <c r="E72" s="634"/>
      <c r="F72" s="634"/>
      <c r="G72" s="634"/>
      <c r="H72" s="634"/>
      <c r="I72" s="634"/>
      <c r="J72" s="634"/>
      <c r="K72" s="639"/>
    </row>
    <row r="73" spans="1:11">
      <c r="A73" s="634"/>
      <c r="B73" s="634"/>
      <c r="C73" s="634"/>
      <c r="D73" s="634"/>
      <c r="E73" s="634"/>
      <c r="F73" s="634"/>
      <c r="G73" s="634"/>
      <c r="H73" s="634"/>
      <c r="I73" s="634"/>
      <c r="J73" s="634"/>
      <c r="K73" s="639"/>
    </row>
    <row r="74" spans="1:11">
      <c r="A74" s="634"/>
      <c r="B74" s="634"/>
      <c r="C74" s="634"/>
      <c r="D74" s="634"/>
      <c r="E74" s="634"/>
      <c r="F74" s="634"/>
      <c r="G74" s="634"/>
      <c r="H74" s="634"/>
      <c r="I74" s="634"/>
      <c r="J74" s="634"/>
      <c r="K74" s="639"/>
    </row>
    <row r="75" spans="1:11">
      <c r="A75" s="634"/>
      <c r="B75" s="634"/>
      <c r="C75" s="634"/>
      <c r="D75" s="634"/>
      <c r="E75" s="634"/>
      <c r="F75" s="634"/>
      <c r="G75" s="634"/>
      <c r="H75" s="634"/>
      <c r="I75" s="634"/>
      <c r="J75" s="634"/>
    </row>
    <row r="76" spans="1:11">
      <c r="A76" s="634"/>
      <c r="B76" s="634"/>
      <c r="C76" s="634"/>
      <c r="D76" s="634"/>
      <c r="E76" s="634"/>
      <c r="F76" s="634"/>
      <c r="G76" s="634"/>
      <c r="H76" s="634"/>
      <c r="I76" s="634"/>
      <c r="J76" s="634"/>
      <c r="K76" s="634"/>
    </row>
    <row r="77" spans="1:11">
      <c r="A77" s="634"/>
      <c r="B77" s="634"/>
      <c r="C77" s="634"/>
      <c r="D77" s="634"/>
      <c r="E77" s="634"/>
      <c r="F77" s="634"/>
      <c r="G77" s="634"/>
      <c r="H77" s="634"/>
      <c r="I77" s="634"/>
      <c r="J77" s="634"/>
      <c r="K77" s="639"/>
    </row>
    <row r="78" spans="1:11">
      <c r="A78" s="634"/>
      <c r="B78" s="634"/>
      <c r="C78" s="634"/>
      <c r="D78" s="634"/>
      <c r="E78" s="634"/>
      <c r="F78" s="634"/>
      <c r="G78" s="634"/>
      <c r="H78" s="634"/>
      <c r="I78" s="634"/>
      <c r="J78" s="634"/>
      <c r="K78" s="634"/>
    </row>
    <row r="79" spans="1:11">
      <c r="A79" s="634"/>
      <c r="B79" s="634"/>
      <c r="C79" s="634"/>
      <c r="D79" s="634"/>
      <c r="E79" s="634"/>
      <c r="F79" s="634"/>
      <c r="G79" s="634"/>
      <c r="H79" s="634"/>
      <c r="I79" s="634"/>
      <c r="J79" s="634"/>
      <c r="K79" s="639"/>
    </row>
    <row r="80" spans="1:11">
      <c r="A80" s="634"/>
      <c r="B80" s="634"/>
      <c r="C80" s="634"/>
      <c r="D80" s="634"/>
      <c r="E80" s="634"/>
      <c r="F80" s="634"/>
      <c r="G80" s="634"/>
      <c r="H80" s="634"/>
      <c r="I80" s="634"/>
      <c r="J80" s="634"/>
      <c r="K80" s="634"/>
    </row>
    <row r="81" spans="1:11">
      <c r="A81" s="634"/>
      <c r="B81" s="634"/>
      <c r="C81" s="634"/>
      <c r="D81" s="634"/>
      <c r="E81" s="634"/>
      <c r="F81" s="634"/>
      <c r="G81" s="634"/>
      <c r="H81" s="634"/>
      <c r="I81" s="634"/>
      <c r="J81" s="634"/>
      <c r="K81" s="639"/>
    </row>
    <row r="82" spans="1:11">
      <c r="A82" s="634"/>
      <c r="B82" s="634"/>
      <c r="C82" s="634"/>
      <c r="D82" s="634"/>
      <c r="E82" s="634"/>
      <c r="F82" s="634"/>
      <c r="G82" s="634"/>
      <c r="H82" s="634"/>
      <c r="I82" s="634"/>
      <c r="J82" s="634"/>
      <c r="K82" s="639"/>
    </row>
    <row r="83" spans="1:11">
      <c r="A83" s="634"/>
      <c r="B83" s="634"/>
      <c r="C83" s="634"/>
      <c r="D83" s="634"/>
      <c r="E83" s="634"/>
      <c r="F83" s="634"/>
      <c r="G83" s="634"/>
      <c r="H83" s="634"/>
      <c r="I83" s="634"/>
      <c r="J83" s="634"/>
      <c r="K83" s="639"/>
    </row>
    <row r="84" spans="1:11">
      <c r="A84" s="634"/>
      <c r="B84" s="634"/>
      <c r="C84" s="634"/>
      <c r="D84" s="634"/>
      <c r="E84" s="634"/>
      <c r="F84" s="634"/>
      <c r="G84" s="634"/>
      <c r="H84" s="634"/>
      <c r="I84" s="634"/>
      <c r="J84" s="634"/>
      <c r="K84" s="634"/>
    </row>
    <row r="85" spans="1:11">
      <c r="A85" s="634"/>
      <c r="B85" s="634"/>
      <c r="C85" s="634"/>
      <c r="D85" s="634"/>
      <c r="E85" s="634"/>
      <c r="F85" s="634"/>
      <c r="G85" s="634"/>
      <c r="H85" s="634"/>
      <c r="I85" s="634"/>
      <c r="J85" s="634"/>
      <c r="K85" s="634"/>
    </row>
    <row r="86" spans="1:11">
      <c r="A86" s="634"/>
      <c r="B86" s="634"/>
      <c r="C86" s="634"/>
      <c r="D86" s="634"/>
      <c r="E86" s="634"/>
      <c r="F86" s="634"/>
      <c r="G86" s="634"/>
      <c r="H86" s="634"/>
      <c r="I86" s="634"/>
      <c r="J86" s="634"/>
      <c r="K86" s="639"/>
    </row>
    <row r="87" spans="1:11">
      <c r="A87" s="634"/>
      <c r="B87" s="634"/>
      <c r="C87" s="634"/>
      <c r="D87" s="634"/>
      <c r="E87" s="634"/>
      <c r="F87" s="634"/>
      <c r="G87" s="634"/>
      <c r="H87" s="634"/>
      <c r="I87" s="634"/>
      <c r="J87" s="634"/>
      <c r="K87" s="639"/>
    </row>
    <row r="88" spans="1:11">
      <c r="A88" s="634"/>
      <c r="B88" s="634"/>
      <c r="C88" s="634"/>
      <c r="D88" s="634"/>
      <c r="E88" s="634"/>
      <c r="F88" s="634"/>
      <c r="G88" s="634"/>
      <c r="H88" s="634"/>
      <c r="I88" s="634"/>
      <c r="J88" s="634"/>
      <c r="K88" s="639"/>
    </row>
    <row r="89" spans="1:11">
      <c r="A89" s="634"/>
      <c r="B89" s="634"/>
      <c r="C89" s="634"/>
      <c r="D89" s="634"/>
      <c r="E89" s="634"/>
      <c r="F89" s="634"/>
      <c r="G89" s="634"/>
      <c r="H89" s="634"/>
      <c r="I89" s="634"/>
      <c r="J89" s="634"/>
      <c r="K89" s="639"/>
    </row>
    <row r="90" spans="1:11">
      <c r="A90" s="634"/>
      <c r="B90" s="634"/>
      <c r="C90" s="634"/>
      <c r="D90" s="634"/>
      <c r="E90" s="634"/>
      <c r="F90" s="634"/>
      <c r="G90" s="634"/>
      <c r="H90" s="634"/>
      <c r="I90" s="634"/>
      <c r="J90" s="634"/>
      <c r="K90" s="639"/>
    </row>
    <row r="91" spans="1:11">
      <c r="A91" s="634"/>
      <c r="B91" s="634"/>
      <c r="C91" s="634"/>
      <c r="D91" s="634"/>
      <c r="E91" s="634"/>
      <c r="F91" s="634"/>
      <c r="G91" s="634"/>
      <c r="H91" s="634"/>
      <c r="I91" s="634"/>
      <c r="J91" s="634"/>
      <c r="K91" s="639"/>
    </row>
    <row r="92" spans="1:11">
      <c r="A92" s="634"/>
      <c r="B92" s="634"/>
      <c r="C92" s="634"/>
      <c r="D92" s="634"/>
      <c r="E92" s="634"/>
      <c r="F92" s="634"/>
      <c r="G92" s="634"/>
      <c r="H92" s="634"/>
      <c r="I92" s="634"/>
      <c r="J92" s="634"/>
      <c r="K92" s="639"/>
    </row>
    <row r="93" spans="1:11">
      <c r="A93" s="634"/>
      <c r="B93" s="634"/>
      <c r="C93" s="634"/>
      <c r="D93" s="634"/>
      <c r="E93" s="634"/>
      <c r="F93" s="634"/>
      <c r="G93" s="634"/>
      <c r="H93" s="634"/>
      <c r="I93" s="634"/>
      <c r="J93" s="634"/>
      <c r="K93" s="634"/>
    </row>
    <row r="94" spans="1:11">
      <c r="A94" s="634"/>
      <c r="B94" s="634"/>
      <c r="C94" s="634"/>
      <c r="D94" s="634"/>
      <c r="E94" s="634"/>
      <c r="F94" s="634"/>
      <c r="G94" s="634"/>
      <c r="H94" s="634"/>
      <c r="I94" s="634"/>
      <c r="J94" s="634"/>
      <c r="K94" s="634"/>
    </row>
    <row r="95" spans="1:11">
      <c r="A95" s="634"/>
      <c r="B95" s="634"/>
      <c r="C95" s="634"/>
      <c r="D95" s="634"/>
      <c r="E95" s="634"/>
      <c r="F95" s="634"/>
      <c r="G95" s="634"/>
      <c r="H95" s="634"/>
      <c r="I95" s="634"/>
      <c r="J95" s="634"/>
      <c r="K95" s="639"/>
    </row>
    <row r="96" spans="1:11">
      <c r="A96" s="634"/>
      <c r="B96" s="634"/>
      <c r="C96" s="634"/>
      <c r="D96" s="634"/>
      <c r="E96" s="634"/>
      <c r="F96" s="634"/>
      <c r="G96" s="634"/>
      <c r="H96" s="634"/>
      <c r="I96" s="634"/>
      <c r="J96" s="634"/>
      <c r="K96" s="634"/>
    </row>
    <row r="97" spans="1:11">
      <c r="A97" s="634"/>
      <c r="B97" s="634"/>
      <c r="C97" s="634"/>
      <c r="D97" s="634"/>
      <c r="E97" s="634"/>
      <c r="F97" s="634"/>
      <c r="G97" s="634"/>
      <c r="H97" s="634"/>
      <c r="I97" s="634"/>
      <c r="J97" s="634"/>
      <c r="K97" s="634"/>
    </row>
    <row r="98" spans="1:11">
      <c r="A98" s="634"/>
      <c r="B98" s="634"/>
      <c r="C98" s="634"/>
      <c r="D98" s="634"/>
      <c r="E98" s="634"/>
      <c r="F98" s="634"/>
      <c r="G98" s="634"/>
      <c r="H98" s="634"/>
      <c r="I98" s="634"/>
      <c r="J98" s="634"/>
      <c r="K98" s="634"/>
    </row>
    <row r="99" spans="1:11">
      <c r="K99" s="634"/>
    </row>
    <row r="100" spans="1:11">
      <c r="K100" s="634"/>
    </row>
    <row r="101" spans="1:11">
      <c r="K101" s="634"/>
    </row>
    <row r="102" spans="1:11">
      <c r="K102" s="634"/>
    </row>
    <row r="103" spans="1:11">
      <c r="K103" s="634"/>
    </row>
    <row r="104" spans="1:11">
      <c r="K104" s="634"/>
    </row>
    <row r="105" spans="1:11">
      <c r="K105" s="634"/>
    </row>
    <row r="106" spans="1:11">
      <c r="K106" s="634"/>
    </row>
  </sheetData>
  <hyperlinks>
    <hyperlink ref="A6" location="Sch_A" display="." xr:uid="{00000000-0004-0000-0C00-000000000000}"/>
  </hyperlinks>
  <pageMargins left="1" right="0.75" top="1" bottom="1" header="0.5" footer="0.5"/>
  <pageSetup scale="75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60">
    <tabColor theme="0" tint="-0.499984740745262"/>
    <pageSetUpPr fitToPage="1"/>
  </sheetPr>
  <dimension ref="B1:AB27"/>
  <sheetViews>
    <sheetView workbookViewId="0"/>
  </sheetViews>
  <sheetFormatPr defaultColWidth="16.44140625" defaultRowHeight="13.2"/>
  <cols>
    <col min="1" max="1" width="2.44140625" customWidth="1"/>
    <col min="2" max="2" width="7.44140625" customWidth="1"/>
    <col min="3" max="3" width="30.44140625" customWidth="1"/>
    <col min="4" max="4" width="5" customWidth="1"/>
    <col min="5" max="5" width="14.44140625" customWidth="1"/>
    <col min="6" max="6" width="5" customWidth="1"/>
    <col min="7" max="7" width="14.44140625" customWidth="1"/>
    <col min="8" max="8" width="7.44140625" customWidth="1"/>
    <col min="9" max="9" width="16.5546875" customWidth="1"/>
    <col min="10" max="10" width="14.44140625" customWidth="1"/>
    <col min="12" max="12" width="8.5546875" customWidth="1"/>
  </cols>
  <sheetData>
    <row r="1" spans="2:28">
      <c r="B1" s="11" t="str">
        <f>COMPANY</f>
        <v>DUKE ENERGY KENTUCKY, INC.</v>
      </c>
      <c r="C1" s="12"/>
      <c r="D1" s="12"/>
      <c r="E1" s="460"/>
      <c r="F1" s="460"/>
      <c r="G1" s="461"/>
      <c r="H1" s="461"/>
      <c r="I1" s="461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</row>
    <row r="2" spans="2:28">
      <c r="B2" s="11" t="str">
        <f>CASE</f>
        <v>CASE NO. 2024-00354</v>
      </c>
      <c r="C2" s="12"/>
      <c r="D2" s="12"/>
      <c r="E2" s="460"/>
      <c r="F2" s="460"/>
      <c r="G2" s="461"/>
      <c r="H2" s="461"/>
      <c r="I2" s="461"/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462"/>
      <c r="AB2" s="462"/>
    </row>
    <row r="3" spans="2:28">
      <c r="B3" s="2385" t="s">
        <v>2749</v>
      </c>
      <c r="C3" s="12"/>
      <c r="D3" s="12"/>
      <c r="E3" s="460"/>
      <c r="F3" s="460"/>
      <c r="G3" s="461"/>
      <c r="H3" s="461"/>
      <c r="I3" s="461"/>
      <c r="J3" s="462"/>
      <c r="K3" s="462"/>
      <c r="L3" s="462"/>
      <c r="M3" s="462"/>
      <c r="N3" s="462"/>
      <c r="O3" s="462"/>
      <c r="P3" s="462"/>
      <c r="Q3" s="462"/>
      <c r="R3" s="462"/>
      <c r="S3" s="462"/>
      <c r="T3" s="462"/>
      <c r="U3" s="462"/>
      <c r="V3" s="462"/>
      <c r="W3" s="462"/>
      <c r="X3" s="462"/>
      <c r="Y3" s="462"/>
      <c r="Z3" s="462"/>
      <c r="AA3" s="462"/>
      <c r="AB3" s="462"/>
    </row>
    <row r="4" spans="2:28">
      <c r="B4" s="47" t="str">
        <f>PERIOD</f>
        <v>FOR THE TWELVE MONTHS ENDED FEBRUARY 28, 2025</v>
      </c>
      <c r="C4" s="12"/>
      <c r="D4" s="12"/>
      <c r="E4" s="460"/>
      <c r="F4" s="460"/>
      <c r="G4" s="468"/>
      <c r="H4" s="468"/>
      <c r="I4" s="13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62"/>
      <c r="AB4" s="462"/>
    </row>
    <row r="5" spans="2:28">
      <c r="B5" s="47" t="str">
        <f>PeriodF</f>
        <v>FOR THE TWELVE MONTHS ENDED JUNE 30, 2026</v>
      </c>
      <c r="C5" s="12"/>
      <c r="D5" s="12"/>
      <c r="E5" s="460"/>
      <c r="F5" s="460"/>
      <c r="G5" s="468"/>
      <c r="H5" s="468"/>
      <c r="I5" s="13"/>
      <c r="J5" s="462"/>
      <c r="K5" s="462"/>
      <c r="L5" s="462"/>
      <c r="M5" s="462"/>
      <c r="N5" s="462"/>
      <c r="O5" s="462"/>
      <c r="P5" s="462"/>
      <c r="Q5" s="462"/>
      <c r="R5" s="462"/>
      <c r="S5" s="462"/>
      <c r="T5" s="462"/>
      <c r="U5" s="462"/>
      <c r="V5" s="462"/>
      <c r="W5" s="462"/>
      <c r="X5" s="462"/>
      <c r="Y5" s="462"/>
      <c r="Z5" s="462"/>
      <c r="AA5" s="462"/>
      <c r="AB5" s="462"/>
    </row>
    <row r="6" spans="2:28">
      <c r="B6" s="15"/>
      <c r="C6" s="15"/>
      <c r="D6" s="15"/>
      <c r="E6" s="462"/>
      <c r="F6" s="462"/>
      <c r="G6" s="469"/>
      <c r="H6" s="469"/>
      <c r="I6" s="16"/>
      <c r="J6" s="462"/>
      <c r="K6" s="462"/>
      <c r="L6" s="462"/>
      <c r="M6" s="462"/>
      <c r="N6" s="462"/>
      <c r="O6" s="462"/>
      <c r="P6" s="462"/>
      <c r="Q6" s="462"/>
      <c r="R6" s="462"/>
      <c r="S6" s="462"/>
      <c r="T6" s="462"/>
      <c r="U6" s="462"/>
      <c r="V6" s="462"/>
      <c r="W6" s="462"/>
      <c r="X6" s="462"/>
      <c r="Y6" s="462"/>
      <c r="Z6" s="462"/>
      <c r="AA6" s="462"/>
      <c r="AB6" s="462"/>
    </row>
    <row r="7" spans="2:28">
      <c r="B7" s="17" t="str">
        <f>DataB</f>
        <v>DATA: "X" BASE PERIOD  "X" FORECASTED PERIOD</v>
      </c>
      <c r="C7" s="15"/>
      <c r="D7" s="15"/>
      <c r="E7" s="462"/>
      <c r="F7" s="462"/>
      <c r="H7" s="469" t="s">
        <v>2750</v>
      </c>
      <c r="I7" s="16"/>
      <c r="J7" s="462"/>
      <c r="K7" s="462"/>
      <c r="L7" s="462"/>
      <c r="M7" s="462"/>
      <c r="N7" s="462"/>
      <c r="O7" s="462"/>
      <c r="P7" s="462"/>
      <c r="Q7" s="462"/>
      <c r="R7" s="462"/>
      <c r="S7" s="462"/>
      <c r="T7" s="462"/>
      <c r="U7" s="462"/>
      <c r="V7" s="462"/>
      <c r="W7" s="462"/>
      <c r="X7" s="462"/>
      <c r="Y7" s="462"/>
      <c r="Z7" s="462"/>
      <c r="AA7" s="462"/>
      <c r="AB7" s="462"/>
    </row>
    <row r="8" spans="2:28">
      <c r="B8" s="17" t="str">
        <f>Type</f>
        <v xml:space="preserve">TYPE OF FILING:  "X" ORIGINAL   UPDATED    REVISED  </v>
      </c>
      <c r="C8" s="15"/>
      <c r="D8" s="15"/>
      <c r="E8" s="462"/>
      <c r="F8" s="462"/>
      <c r="H8" s="469" t="s">
        <v>2751</v>
      </c>
      <c r="I8" s="16"/>
      <c r="J8" s="462"/>
      <c r="K8" s="462"/>
      <c r="L8" s="462"/>
      <c r="M8" s="462"/>
      <c r="N8" s="462"/>
      <c r="O8" s="462"/>
      <c r="P8" s="462"/>
      <c r="Q8" s="462"/>
      <c r="R8" s="462"/>
      <c r="S8" s="462"/>
      <c r="T8" s="462"/>
      <c r="U8" s="462"/>
      <c r="V8" s="462"/>
      <c r="W8" s="462"/>
      <c r="X8" s="462"/>
      <c r="Y8" s="462"/>
      <c r="Z8" s="462"/>
      <c r="AA8" s="462"/>
      <c r="AB8" s="462"/>
    </row>
    <row r="9" spans="2:28">
      <c r="B9" s="471" t="s">
        <v>694</v>
      </c>
      <c r="C9" s="15"/>
      <c r="D9" s="15"/>
      <c r="E9" s="462"/>
      <c r="F9" s="462"/>
      <c r="H9" s="469" t="s">
        <v>468</v>
      </c>
      <c r="I9" s="16"/>
      <c r="J9" s="462"/>
      <c r="K9" s="462"/>
      <c r="L9" s="14"/>
      <c r="M9" s="462"/>
      <c r="N9" s="462"/>
      <c r="O9" s="462"/>
      <c r="P9" s="462"/>
      <c r="Q9" s="462"/>
      <c r="R9" s="462"/>
      <c r="S9" s="462"/>
      <c r="T9" s="462"/>
      <c r="U9" s="462"/>
      <c r="V9" s="462"/>
      <c r="W9" s="462"/>
      <c r="X9" s="462"/>
      <c r="Y9" s="462"/>
      <c r="Z9" s="462"/>
      <c r="AA9" s="462"/>
      <c r="AB9" s="462"/>
    </row>
    <row r="10" spans="2:28">
      <c r="B10" s="15"/>
      <c r="C10" s="15"/>
      <c r="D10" s="15"/>
      <c r="E10" s="462"/>
      <c r="F10" s="462"/>
      <c r="H10" s="469" t="str">
        <f>_WIT8</f>
        <v>S. A. CALDWELL</v>
      </c>
      <c r="I10" s="16"/>
      <c r="J10" s="462"/>
      <c r="K10" s="462"/>
      <c r="L10" s="466"/>
      <c r="M10" s="462"/>
      <c r="N10" s="462"/>
      <c r="O10" s="462"/>
      <c r="P10" s="462"/>
      <c r="Q10" s="462"/>
      <c r="R10" s="462"/>
      <c r="S10" s="462"/>
      <c r="T10" s="462"/>
      <c r="U10" s="462"/>
      <c r="V10" s="462"/>
      <c r="W10" s="462"/>
      <c r="X10" s="462"/>
      <c r="Y10" s="462"/>
      <c r="Z10" s="462"/>
      <c r="AA10" s="462"/>
      <c r="AB10" s="462"/>
    </row>
    <row r="11" spans="2:28">
      <c r="B11" s="462"/>
      <c r="C11" s="462"/>
      <c r="D11" s="462"/>
      <c r="E11" s="462"/>
      <c r="F11" s="462"/>
      <c r="G11" s="18"/>
      <c r="H11" s="18"/>
      <c r="I11" s="18"/>
      <c r="J11" s="462"/>
      <c r="K11" s="462"/>
      <c r="L11" s="14"/>
      <c r="M11" s="462"/>
      <c r="N11" s="462"/>
      <c r="O11" s="462"/>
      <c r="P11" s="462"/>
      <c r="Q11" s="462"/>
      <c r="R11" s="462"/>
      <c r="S11" s="462"/>
      <c r="T11" s="462"/>
      <c r="U11" s="462"/>
      <c r="V11" s="462"/>
      <c r="W11" s="462"/>
      <c r="X11" s="462"/>
      <c r="Y11" s="462"/>
      <c r="Z11" s="462"/>
      <c r="AA11" s="462"/>
      <c r="AB11" s="462"/>
    </row>
    <row r="12" spans="2:28">
      <c r="B12" s="465" t="s">
        <v>471</v>
      </c>
      <c r="C12" s="462"/>
      <c r="D12" s="462"/>
      <c r="E12" s="465" t="s">
        <v>13</v>
      </c>
      <c r="F12" s="465"/>
      <c r="G12" s="472" t="s">
        <v>420</v>
      </c>
      <c r="H12" s="472"/>
      <c r="I12" s="465" t="s">
        <v>417</v>
      </c>
      <c r="J12" s="472"/>
      <c r="K12" s="462"/>
      <c r="L12" s="466"/>
      <c r="M12" s="462"/>
      <c r="N12" s="473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</row>
    <row r="13" spans="2:28">
      <c r="B13" s="19" t="s">
        <v>533</v>
      </c>
      <c r="C13" s="20" t="s">
        <v>476</v>
      </c>
      <c r="D13" s="20"/>
      <c r="E13" s="22" t="s">
        <v>418</v>
      </c>
      <c r="F13" s="22"/>
      <c r="G13" s="23" t="s">
        <v>1</v>
      </c>
      <c r="H13" s="23"/>
      <c r="I13" s="22" t="s">
        <v>418</v>
      </c>
      <c r="J13" s="21"/>
      <c r="K13" s="462"/>
      <c r="L13" s="14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</row>
    <row r="14" spans="2:28">
      <c r="B14" s="19"/>
      <c r="C14" s="20"/>
      <c r="D14" s="20"/>
      <c r="E14" s="22"/>
      <c r="F14" s="22"/>
      <c r="G14" s="23"/>
      <c r="H14" s="23"/>
      <c r="I14" s="22"/>
      <c r="J14" s="21"/>
      <c r="K14" s="462"/>
      <c r="L14" s="14"/>
      <c r="M14" s="462"/>
      <c r="N14" s="462"/>
      <c r="O14" s="462"/>
      <c r="P14" s="462"/>
      <c r="Q14" s="462"/>
      <c r="R14" s="462"/>
      <c r="S14" s="462"/>
      <c r="T14" s="462"/>
      <c r="U14" s="462"/>
      <c r="V14" s="462"/>
      <c r="W14" s="462"/>
      <c r="X14" s="462"/>
      <c r="Y14" s="462"/>
      <c r="Z14" s="462"/>
      <c r="AA14" s="462"/>
      <c r="AB14" s="462"/>
    </row>
    <row r="15" spans="2:28">
      <c r="B15" s="465">
        <v>1</v>
      </c>
      <c r="C15" s="24" t="s">
        <v>2752</v>
      </c>
      <c r="D15" s="24"/>
      <c r="E15" s="464"/>
      <c r="F15" s="464"/>
      <c r="G15" s="474"/>
      <c r="H15" s="474"/>
      <c r="I15" s="474"/>
      <c r="J15" s="464"/>
      <c r="K15" s="462"/>
      <c r="L15" s="466"/>
      <c r="M15" s="462"/>
      <c r="N15" s="462"/>
      <c r="O15" s="462"/>
      <c r="P15" s="462"/>
      <c r="Q15" s="462"/>
      <c r="R15" s="462"/>
      <c r="S15" s="462"/>
      <c r="T15" s="462"/>
      <c r="U15" s="462"/>
      <c r="V15" s="462"/>
      <c r="W15" s="462"/>
      <c r="X15" s="462"/>
      <c r="Y15" s="462"/>
      <c r="Z15" s="462"/>
      <c r="AA15" s="462"/>
      <c r="AB15" s="462"/>
    </row>
    <row r="16" spans="2:28">
      <c r="B16" s="465">
        <v>2</v>
      </c>
      <c r="C16" s="463" t="s">
        <v>2753</v>
      </c>
      <c r="D16" s="463"/>
      <c r="E16" s="1327">
        <v>612939</v>
      </c>
      <c r="F16" s="464"/>
      <c r="G16" s="474">
        <f>IF(E16=0,0,ROUND((I16-E16)/E16,4))</f>
        <v>0</v>
      </c>
      <c r="H16" s="474"/>
      <c r="I16" s="1327">
        <v>612939</v>
      </c>
      <c r="J16" s="474"/>
      <c r="K16" s="462"/>
      <c r="L16" s="14"/>
      <c r="M16" s="462"/>
      <c r="N16" s="462"/>
      <c r="O16" s="462"/>
      <c r="P16" s="462"/>
      <c r="Q16" s="462"/>
      <c r="R16" s="462"/>
      <c r="S16" s="462"/>
      <c r="T16" s="462"/>
      <c r="U16" s="462"/>
      <c r="V16" s="462"/>
      <c r="W16" s="462"/>
      <c r="X16" s="462"/>
      <c r="Y16" s="462"/>
      <c r="Z16" s="462"/>
      <c r="AA16" s="462"/>
      <c r="AB16" s="462"/>
    </row>
    <row r="17" spans="2:28">
      <c r="B17" s="465">
        <v>3</v>
      </c>
      <c r="C17" s="463" t="s">
        <v>2754</v>
      </c>
      <c r="D17" s="463"/>
      <c r="E17" s="1327">
        <v>44399</v>
      </c>
      <c r="F17" s="464"/>
      <c r="G17" s="474">
        <f>IF(E17=0,0,ROUND((I17-E17)/E17,4))</f>
        <v>0</v>
      </c>
      <c r="H17" s="474"/>
      <c r="I17" s="1327">
        <v>44399</v>
      </c>
      <c r="J17" s="474"/>
      <c r="K17" s="462"/>
      <c r="L17" s="466"/>
      <c r="M17" s="462"/>
      <c r="N17" s="462"/>
      <c r="O17" s="462"/>
      <c r="P17" s="462"/>
      <c r="Q17" s="462"/>
      <c r="R17" s="462"/>
      <c r="S17" s="462"/>
      <c r="T17" s="462"/>
      <c r="U17" s="462"/>
      <c r="V17" s="462"/>
      <c r="W17" s="462"/>
      <c r="X17" s="462"/>
      <c r="Y17" s="462"/>
      <c r="Z17" s="462"/>
      <c r="AA17" s="462"/>
      <c r="AB17" s="462"/>
    </row>
    <row r="18" spans="2:28" ht="13.8" thickBot="1">
      <c r="B18" s="465">
        <v>4</v>
      </c>
      <c r="C18" s="463" t="s">
        <v>2755</v>
      </c>
      <c r="D18" s="463"/>
      <c r="E18" s="1706">
        <f>SUM(E16:E17)</f>
        <v>657338</v>
      </c>
      <c r="F18" s="464"/>
      <c r="G18" s="474">
        <f>IF(E18=0,0,ROUND((I18-E18)/E18,4))</f>
        <v>0</v>
      </c>
      <c r="H18" s="474"/>
      <c r="I18" s="1706">
        <f>SUM(I16:I17)</f>
        <v>657338</v>
      </c>
      <c r="J18" s="474"/>
      <c r="K18" s="462"/>
      <c r="L18" s="14"/>
      <c r="M18" s="462"/>
      <c r="N18" s="462"/>
      <c r="O18" s="462"/>
      <c r="P18" s="462"/>
      <c r="Q18" s="462"/>
      <c r="R18" s="462"/>
      <c r="S18" s="462"/>
      <c r="T18" s="462"/>
      <c r="U18" s="462"/>
      <c r="V18" s="462"/>
      <c r="W18" s="462"/>
      <c r="X18" s="462"/>
      <c r="Y18" s="462"/>
      <c r="Z18" s="462"/>
      <c r="AA18" s="462"/>
      <c r="AB18" s="462"/>
    </row>
    <row r="19" spans="2:28" ht="13.8" thickTop="1">
      <c r="B19" s="465">
        <v>5</v>
      </c>
      <c r="C19" s="462"/>
      <c r="D19" s="462"/>
      <c r="E19" s="467"/>
      <c r="F19" s="467"/>
      <c r="G19" s="475"/>
      <c r="H19" s="475"/>
      <c r="I19" s="467"/>
      <c r="J19" s="475"/>
      <c r="K19" s="462"/>
      <c r="L19" s="462"/>
      <c r="M19" s="462"/>
      <c r="N19" s="462"/>
      <c r="O19" s="462"/>
      <c r="P19" s="462"/>
      <c r="Q19" s="462"/>
      <c r="R19" s="462"/>
      <c r="S19" s="462"/>
      <c r="T19" s="462"/>
      <c r="U19" s="462"/>
      <c r="V19" s="462"/>
      <c r="W19" s="462"/>
      <c r="X19" s="462"/>
      <c r="Y19" s="462"/>
      <c r="Z19" s="462"/>
      <c r="AA19" s="462"/>
      <c r="AB19" s="462"/>
    </row>
    <row r="20" spans="2:28">
      <c r="B20" s="465">
        <v>6</v>
      </c>
      <c r="C20" s="463" t="s">
        <v>2756</v>
      </c>
      <c r="D20" s="463"/>
      <c r="E20" s="462"/>
      <c r="F20" s="462"/>
      <c r="G20" s="474"/>
      <c r="H20" s="474"/>
      <c r="I20" s="462"/>
      <c r="J20" s="474"/>
      <c r="K20" s="462"/>
      <c r="L20" s="466"/>
      <c r="M20" s="462"/>
      <c r="N20" s="462"/>
      <c r="O20" s="462"/>
      <c r="P20" s="462"/>
      <c r="Q20" s="462"/>
      <c r="R20" s="462"/>
      <c r="S20" s="462"/>
      <c r="T20" s="462"/>
      <c r="U20" s="462"/>
      <c r="V20" s="462"/>
      <c r="W20" s="462"/>
      <c r="X20" s="462"/>
      <c r="Y20" s="462"/>
      <c r="Z20" s="462"/>
      <c r="AA20" s="462"/>
      <c r="AB20" s="462"/>
    </row>
    <row r="21" spans="2:28">
      <c r="B21" s="465">
        <v>7</v>
      </c>
      <c r="C21" s="463" t="s">
        <v>2757</v>
      </c>
      <c r="D21" s="463"/>
      <c r="E21" s="470">
        <f>ROUND(E17/E16*100,2)</f>
        <v>7.24</v>
      </c>
      <c r="F21" s="470"/>
      <c r="G21" s="474"/>
      <c r="H21" s="474"/>
      <c r="I21" s="470">
        <f>ROUND(I17/I16*100,2)</f>
        <v>7.24</v>
      </c>
      <c r="J21" s="474"/>
      <c r="K21" s="462"/>
      <c r="L21" s="462"/>
      <c r="M21" s="462"/>
      <c r="N21" s="462"/>
      <c r="O21" s="462"/>
      <c r="P21" s="462"/>
      <c r="Q21" s="462"/>
      <c r="R21" s="462"/>
      <c r="S21" s="462"/>
      <c r="T21" s="462"/>
      <c r="U21" s="462"/>
      <c r="V21" s="462"/>
      <c r="W21" s="462"/>
      <c r="X21" s="462"/>
      <c r="Y21" s="462"/>
      <c r="Z21" s="462"/>
      <c r="AA21" s="462"/>
      <c r="AB21" s="462"/>
    </row>
    <row r="22" spans="2:28">
      <c r="B22" s="462"/>
      <c r="C22" s="25"/>
      <c r="D22" s="25"/>
      <c r="E22" s="464"/>
      <c r="F22" s="464"/>
      <c r="G22" s="474"/>
      <c r="H22" s="474"/>
      <c r="I22" s="474"/>
      <c r="J22" s="464"/>
      <c r="K22" s="462"/>
      <c r="L22" s="462"/>
      <c r="M22" s="462"/>
      <c r="N22" s="462"/>
      <c r="O22" s="462"/>
      <c r="P22" s="462"/>
      <c r="Q22" s="462"/>
      <c r="R22" s="462"/>
      <c r="S22" s="462"/>
      <c r="T22" s="462"/>
      <c r="U22" s="462"/>
      <c r="V22" s="462"/>
      <c r="W22" s="462"/>
      <c r="X22" s="462"/>
      <c r="Y22" s="462"/>
      <c r="Z22" s="462"/>
      <c r="AA22" s="462"/>
      <c r="AB22" s="462"/>
    </row>
    <row r="23" spans="2:28">
      <c r="B23" s="462"/>
      <c r="C23" s="25"/>
      <c r="D23" s="25"/>
      <c r="E23" s="464"/>
      <c r="F23" s="464"/>
      <c r="G23" s="474"/>
      <c r="H23" s="474"/>
      <c r="I23" s="474"/>
      <c r="J23" s="464"/>
      <c r="K23" s="462"/>
      <c r="L23" s="462"/>
      <c r="M23" s="462"/>
      <c r="N23" s="462"/>
      <c r="O23" s="462"/>
      <c r="P23" s="462"/>
      <c r="Q23" s="462"/>
      <c r="R23" s="462"/>
      <c r="S23" s="462"/>
      <c r="T23" s="462"/>
      <c r="U23" s="462"/>
      <c r="V23" s="462"/>
      <c r="W23" s="462"/>
      <c r="X23" s="462"/>
      <c r="Y23" s="462"/>
      <c r="Z23" s="462"/>
      <c r="AA23" s="462"/>
      <c r="AB23" s="462"/>
    </row>
    <row r="24" spans="2:28">
      <c r="B24" s="462"/>
      <c r="C24" s="462" t="s">
        <v>2758</v>
      </c>
      <c r="D24" s="25"/>
      <c r="E24" s="464"/>
      <c r="F24" s="464"/>
      <c r="G24" s="474"/>
      <c r="H24" s="474"/>
      <c r="I24" s="474"/>
      <c r="J24" s="464"/>
      <c r="K24" s="462"/>
      <c r="L24" s="462"/>
      <c r="M24" s="462"/>
      <c r="N24" s="462"/>
      <c r="O24" s="462"/>
      <c r="P24" s="462"/>
      <c r="Q24" s="462"/>
      <c r="R24" s="462"/>
      <c r="S24" s="462"/>
      <c r="T24" s="462"/>
      <c r="U24" s="462"/>
      <c r="V24" s="462"/>
      <c r="W24" s="462"/>
      <c r="X24" s="462"/>
      <c r="Y24" s="462"/>
      <c r="Z24" s="462"/>
      <c r="AA24" s="462"/>
      <c r="AB24" s="462"/>
    </row>
    <row r="25" spans="2:28">
      <c r="B25" s="462"/>
      <c r="C25" s="462" t="s">
        <v>2759</v>
      </c>
      <c r="D25" s="25"/>
      <c r="E25" s="464"/>
      <c r="F25" s="464"/>
      <c r="G25" s="474"/>
      <c r="H25" s="474"/>
      <c r="I25" s="474"/>
      <c r="J25" s="464"/>
      <c r="K25" s="462"/>
      <c r="L25" s="462"/>
      <c r="M25" s="462"/>
      <c r="N25" s="462"/>
      <c r="O25" s="462"/>
      <c r="P25" s="462"/>
      <c r="Q25" s="462"/>
      <c r="R25" s="462"/>
      <c r="S25" s="462"/>
      <c r="T25" s="462"/>
      <c r="U25" s="462"/>
      <c r="V25" s="462"/>
      <c r="W25" s="462"/>
      <c r="X25" s="462"/>
      <c r="Y25" s="462"/>
      <c r="Z25" s="462"/>
      <c r="AA25" s="462"/>
      <c r="AB25" s="462"/>
    </row>
    <row r="26" spans="2:28">
      <c r="B26" s="462"/>
      <c r="C26" s="462" t="s">
        <v>2760</v>
      </c>
      <c r="D26" s="462"/>
      <c r="E26" s="464"/>
      <c r="F26" s="464"/>
      <c r="G26" s="474"/>
      <c r="H26" s="474"/>
      <c r="I26" s="474"/>
      <c r="J26" s="464"/>
      <c r="K26" s="462"/>
      <c r="L26" s="462"/>
      <c r="M26" s="462"/>
      <c r="N26" s="462"/>
      <c r="O26" s="462"/>
      <c r="P26" s="462"/>
      <c r="Q26" s="462"/>
      <c r="R26" s="462"/>
      <c r="S26" s="462"/>
      <c r="T26" s="462"/>
      <c r="U26" s="462"/>
      <c r="V26" s="462"/>
      <c r="W26" s="462"/>
      <c r="X26" s="462"/>
      <c r="Y26" s="462"/>
      <c r="Z26" s="462"/>
      <c r="AA26" s="462"/>
      <c r="AB26" s="462"/>
    </row>
    <row r="27" spans="2:28">
      <c r="B27" s="463"/>
      <c r="C27" s="462"/>
      <c r="D27" s="462"/>
      <c r="E27" s="462"/>
      <c r="F27" s="462"/>
      <c r="G27" s="474"/>
      <c r="H27" s="474"/>
      <c r="I27" s="474"/>
      <c r="J27" s="462"/>
      <c r="K27" s="462"/>
      <c r="L27" s="462"/>
      <c r="M27" s="462"/>
      <c r="N27" s="462"/>
      <c r="O27" s="462"/>
      <c r="P27" s="462"/>
      <c r="Q27" s="462"/>
      <c r="R27" s="462"/>
      <c r="S27" s="462"/>
      <c r="T27" s="462"/>
      <c r="U27" s="462"/>
      <c r="V27" s="462"/>
      <c r="W27" s="462"/>
      <c r="X27" s="462"/>
      <c r="Y27" s="462"/>
      <c r="Z27" s="462"/>
      <c r="AA27" s="462"/>
      <c r="AB27" s="462"/>
    </row>
  </sheetData>
  <phoneticPr fontId="19" type="noConversion"/>
  <pageMargins left="1" right="1" top="1" bottom="1" header="0" footer="0"/>
  <pageSetup scale="83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61">
    <tabColor theme="0" tint="-0.499984740745262"/>
    <pageSetUpPr fitToPage="1"/>
  </sheetPr>
  <dimension ref="A1:K42"/>
  <sheetViews>
    <sheetView workbookViewId="0">
      <selection sqref="A1:H1"/>
    </sheetView>
  </sheetViews>
  <sheetFormatPr defaultColWidth="8" defaultRowHeight="13.2"/>
  <cols>
    <col min="1" max="1" width="6.5546875" customWidth="1"/>
    <col min="2" max="2" width="3.44140625" customWidth="1"/>
    <col min="3" max="3" width="37.5546875" customWidth="1"/>
    <col min="4" max="4" width="5.5546875" customWidth="1"/>
    <col min="5" max="5" width="13.5546875" customWidth="1"/>
    <col min="6" max="6" width="3.5546875" customWidth="1"/>
    <col min="7" max="7" width="19.5546875" customWidth="1"/>
    <col min="8" max="8" width="24.5546875" bestFit="1" customWidth="1"/>
    <col min="9" max="9" width="9.5546875" bestFit="1" customWidth="1"/>
    <col min="11" max="11" width="10.5546875" customWidth="1"/>
  </cols>
  <sheetData>
    <row r="1" spans="1:11">
      <c r="A1" s="2426" t="str">
        <f>COMPANY</f>
        <v>DUKE ENERGY KENTUCKY, INC.</v>
      </c>
      <c r="B1" s="2426"/>
      <c r="C1" s="2426"/>
      <c r="D1" s="2426"/>
      <c r="E1" s="2426"/>
      <c r="F1" s="2426"/>
      <c r="G1" s="2426"/>
      <c r="H1" s="2426"/>
      <c r="K1" s="457"/>
    </row>
    <row r="2" spans="1:11">
      <c r="A2" s="2426" t="str">
        <f>CASE</f>
        <v>CASE NO. 2024-00354</v>
      </c>
      <c r="B2" s="2426"/>
      <c r="C2" s="2426"/>
      <c r="D2" s="2426"/>
      <c r="E2" s="2426"/>
      <c r="F2" s="2426"/>
      <c r="G2" s="2426"/>
      <c r="H2" s="2426"/>
    </row>
    <row r="3" spans="1:11">
      <c r="A3" s="2426" t="s">
        <v>2761</v>
      </c>
      <c r="B3" s="2426"/>
      <c r="C3" s="2426"/>
      <c r="D3" s="2426"/>
      <c r="E3" s="2426"/>
      <c r="F3" s="2426"/>
      <c r="G3" s="2426"/>
      <c r="H3" s="2426"/>
    </row>
    <row r="4" spans="1:11">
      <c r="A4" s="2426" t="str">
        <f>PERIOD</f>
        <v>FOR THE TWELVE MONTHS ENDED FEBRUARY 28, 2025</v>
      </c>
      <c r="B4" s="2426"/>
      <c r="C4" s="2426"/>
      <c r="D4" s="2426"/>
      <c r="E4" s="2426"/>
      <c r="F4" s="2426"/>
      <c r="G4" s="2426"/>
      <c r="H4" s="2426"/>
    </row>
    <row r="5" spans="1:11">
      <c r="A5" s="457"/>
      <c r="B5" s="457"/>
      <c r="C5" s="457"/>
      <c r="D5" s="457"/>
      <c r="E5" s="457"/>
      <c r="F5" s="457"/>
      <c r="G5" s="457"/>
    </row>
    <row r="6" spans="1:11">
      <c r="A6" s="457" t="str">
        <f>Data</f>
        <v>DATA: "X" BASE PERIOD   FORECASTED PERIOD</v>
      </c>
      <c r="B6" s="457"/>
      <c r="C6" s="457"/>
      <c r="D6" s="457"/>
      <c r="E6" s="457"/>
      <c r="F6" s="457"/>
      <c r="H6" s="478" t="s">
        <v>2762</v>
      </c>
    </row>
    <row r="7" spans="1:11">
      <c r="A7" s="457" t="str">
        <f>Type</f>
        <v xml:space="preserve">TYPE OF FILING:  "X" ORIGINAL   UPDATED    REVISED  </v>
      </c>
      <c r="B7" s="457"/>
      <c r="C7" s="457"/>
      <c r="D7" s="457"/>
      <c r="E7" s="457"/>
      <c r="F7" s="457"/>
      <c r="H7" s="478" t="s">
        <v>466</v>
      </c>
    </row>
    <row r="8" spans="1:11">
      <c r="A8" s="479" t="s">
        <v>2763</v>
      </c>
      <c r="B8" s="457"/>
      <c r="C8" s="457"/>
      <c r="D8" s="457"/>
      <c r="E8" s="457"/>
      <c r="F8" s="457"/>
      <c r="H8" s="478" t="s">
        <v>468</v>
      </c>
    </row>
    <row r="9" spans="1:11">
      <c r="A9" s="457"/>
      <c r="B9" s="457"/>
      <c r="C9" s="457"/>
      <c r="D9" s="457"/>
      <c r="E9" s="457"/>
      <c r="F9" s="457"/>
      <c r="H9" s="478" t="str">
        <f>_WIT8</f>
        <v>S. A. CALDWELL</v>
      </c>
    </row>
    <row r="10" spans="1:11">
      <c r="A10" s="1574"/>
      <c r="B10" s="1574"/>
      <c r="C10" s="1574"/>
      <c r="D10" s="1574"/>
      <c r="E10" s="1574"/>
      <c r="F10" s="1574"/>
      <c r="G10" s="1574"/>
      <c r="H10" s="1574"/>
    </row>
    <row r="11" spans="1:11">
      <c r="A11" s="457"/>
      <c r="B11" s="457"/>
      <c r="C11" s="457"/>
      <c r="D11" s="457"/>
      <c r="E11" s="457"/>
      <c r="F11" s="457"/>
      <c r="G11" s="457"/>
      <c r="H11" s="457"/>
    </row>
    <row r="12" spans="1:11">
      <c r="A12" s="480" t="s">
        <v>471</v>
      </c>
      <c r="B12" s="457"/>
      <c r="C12" s="457"/>
      <c r="D12" s="457"/>
      <c r="E12" s="480"/>
      <c r="F12" s="480"/>
      <c r="G12" s="480"/>
      <c r="H12" s="480"/>
    </row>
    <row r="13" spans="1:11">
      <c r="A13" s="480" t="s">
        <v>533</v>
      </c>
      <c r="B13" s="457"/>
      <c r="C13" s="480" t="s">
        <v>476</v>
      </c>
      <c r="D13" s="480"/>
      <c r="E13" s="480" t="s">
        <v>473</v>
      </c>
      <c r="F13" s="480"/>
      <c r="G13" s="480"/>
      <c r="H13" s="480" t="s">
        <v>474</v>
      </c>
    </row>
    <row r="14" spans="1:11">
      <c r="A14" s="1574"/>
      <c r="B14" s="1574"/>
      <c r="C14" s="1574"/>
      <c r="D14" s="1574"/>
      <c r="E14" s="1577" t="s">
        <v>478</v>
      </c>
      <c r="F14" s="1578"/>
      <c r="G14" s="1578" t="s">
        <v>2764</v>
      </c>
      <c r="H14" s="1578" t="s">
        <v>478</v>
      </c>
    </row>
    <row r="15" spans="1:11">
      <c r="A15" s="457"/>
      <c r="B15" s="457"/>
      <c r="C15" s="457"/>
      <c r="D15" s="457"/>
      <c r="E15" s="457"/>
      <c r="F15" s="457"/>
      <c r="G15" s="457"/>
      <c r="H15" s="457"/>
    </row>
    <row r="16" spans="1:11" ht="14.4">
      <c r="A16" s="480">
        <v>1</v>
      </c>
      <c r="B16" s="457"/>
      <c r="C16" s="1238" t="s">
        <v>2765</v>
      </c>
      <c r="D16" s="1239"/>
      <c r="E16" s="1239"/>
      <c r="F16" s="1239"/>
      <c r="G16" s="1239"/>
      <c r="H16" s="1239"/>
    </row>
    <row r="17" spans="1:11" ht="14.4">
      <c r="A17" s="480">
        <v>2</v>
      </c>
      <c r="B17" s="457"/>
      <c r="C17" s="1579"/>
      <c r="D17" s="1239"/>
      <c r="E17" s="1239"/>
      <c r="F17" s="1239"/>
      <c r="G17" s="1239"/>
      <c r="H17" s="1239"/>
    </row>
    <row r="18" spans="1:11" ht="14.4">
      <c r="A18" s="480">
        <v>3</v>
      </c>
      <c r="B18" s="457"/>
      <c r="C18" s="1238" t="s">
        <v>2766</v>
      </c>
      <c r="D18" s="1239"/>
      <c r="E18" s="1240"/>
      <c r="F18" s="1239"/>
      <c r="G18" s="1239"/>
      <c r="H18" s="1239"/>
      <c r="I18" s="775"/>
      <c r="K18" s="775"/>
    </row>
    <row r="19" spans="1:11" ht="14.4">
      <c r="A19" s="480">
        <v>4</v>
      </c>
      <c r="B19" s="457"/>
      <c r="C19" s="1580" t="s">
        <v>2767</v>
      </c>
      <c r="D19" s="1239"/>
      <c r="E19" s="1308">
        <v>8225703</v>
      </c>
      <c r="F19" s="1241"/>
      <c r="G19" s="1309">
        <f>H19-E19</f>
        <v>293792</v>
      </c>
      <c r="H19" s="1308">
        <v>8519495</v>
      </c>
      <c r="I19" s="775"/>
      <c r="K19" s="775"/>
    </row>
    <row r="20" spans="1:11" ht="14.4">
      <c r="A20" s="480">
        <v>5</v>
      </c>
      <c r="B20" s="457"/>
      <c r="C20" s="1580" t="s">
        <v>2768</v>
      </c>
      <c r="D20" s="1239"/>
      <c r="E20" s="1308">
        <v>44642231</v>
      </c>
      <c r="F20" s="1242"/>
      <c r="G20" s="1310">
        <f>H20-E20</f>
        <v>1167583</v>
      </c>
      <c r="H20" s="1308">
        <v>45809814</v>
      </c>
      <c r="I20" s="775"/>
      <c r="K20" s="775"/>
    </row>
    <row r="21" spans="1:11" ht="14.4">
      <c r="A21" s="480">
        <v>6</v>
      </c>
      <c r="B21" s="457"/>
      <c r="C21" s="1580" t="s">
        <v>2769</v>
      </c>
      <c r="D21" s="1239"/>
      <c r="E21" s="2173">
        <f>SUM(E19:E20)</f>
        <v>52867934</v>
      </c>
      <c r="F21" s="1241"/>
      <c r="G21" s="2173">
        <f>SUM(G19:G20)</f>
        <v>1461375</v>
      </c>
      <c r="H21" s="2173">
        <f>SUM(H19:H20)</f>
        <v>54329309</v>
      </c>
      <c r="I21" s="775"/>
      <c r="K21" s="775"/>
    </row>
    <row r="22" spans="1:11" ht="14.4">
      <c r="A22" s="480"/>
      <c r="B22" s="457"/>
      <c r="C22" s="1580"/>
      <c r="D22" s="1239"/>
      <c r="E22" s="1243"/>
      <c r="F22" s="1241"/>
      <c r="G22" s="1243"/>
      <c r="H22" s="1243"/>
      <c r="I22" s="775"/>
      <c r="K22" s="775"/>
    </row>
    <row r="23" spans="1:11">
      <c r="A23" s="480"/>
      <c r="B23" s="457"/>
      <c r="C23" s="457"/>
      <c r="D23" s="457"/>
      <c r="E23" s="457"/>
      <c r="F23" s="841"/>
      <c r="G23" s="457"/>
      <c r="H23" s="1311"/>
      <c r="I23" s="775"/>
      <c r="K23" s="775"/>
    </row>
    <row r="24" spans="1:11">
      <c r="A24" s="1579" t="s">
        <v>2770</v>
      </c>
      <c r="B24" s="1581"/>
      <c r="C24" s="1579"/>
      <c r="D24" s="1579"/>
      <c r="E24" s="1582"/>
      <c r="F24" s="1579"/>
      <c r="G24" s="1582"/>
      <c r="H24" s="457"/>
      <c r="I24" s="775"/>
      <c r="K24" s="775"/>
    </row>
    <row r="25" spans="1:11">
      <c r="A25" s="1244" t="s">
        <v>2771</v>
      </c>
      <c r="B25" s="1581"/>
      <c r="C25" s="1579"/>
      <c r="D25" s="1579"/>
      <c r="E25" s="1582"/>
      <c r="F25" s="1579"/>
      <c r="G25" s="1582"/>
      <c r="H25" s="457"/>
      <c r="I25" s="775"/>
      <c r="K25" s="775"/>
    </row>
    <row r="26" spans="1:11">
      <c r="A26" s="1583" t="s">
        <v>2772</v>
      </c>
      <c r="B26" s="1581"/>
      <c r="C26" s="1579"/>
      <c r="D26" s="1579"/>
      <c r="E26" s="1582"/>
      <c r="F26" s="1579"/>
      <c r="G26" s="1582"/>
      <c r="H26" s="457"/>
      <c r="I26" s="775"/>
      <c r="K26" s="775"/>
    </row>
    <row r="27" spans="1:11">
      <c r="A27" s="1579"/>
      <c r="B27" s="1581"/>
      <c r="C27" s="1579"/>
      <c r="D27" s="1579"/>
      <c r="E27" s="1582"/>
      <c r="F27" s="1579"/>
      <c r="G27" s="1582"/>
      <c r="H27" s="457"/>
      <c r="I27" s="775"/>
      <c r="K27" s="775"/>
    </row>
    <row r="28" spans="1:11" ht="14.4">
      <c r="A28" s="812" t="s">
        <v>2773</v>
      </c>
      <c r="B28" s="1312"/>
      <c r="C28" s="40"/>
      <c r="D28" s="1579"/>
      <c r="E28" s="1582"/>
      <c r="F28" s="1579"/>
      <c r="G28" s="1582"/>
      <c r="H28" s="457"/>
      <c r="I28" s="775"/>
      <c r="K28" s="775"/>
    </row>
    <row r="29" spans="1:11" ht="14.4">
      <c r="A29" t="s">
        <v>2774</v>
      </c>
      <c r="B29" s="1312"/>
      <c r="D29" s="1579"/>
      <c r="E29" s="1582"/>
      <c r="F29" s="1579"/>
      <c r="G29" s="1582"/>
      <c r="H29" s="457"/>
    </row>
    <row r="30" spans="1:11" ht="14.4">
      <c r="A30" t="s">
        <v>2775</v>
      </c>
      <c r="B30" s="1312"/>
      <c r="D30" s="1579"/>
      <c r="E30" s="1582"/>
      <c r="F30" s="1579"/>
      <c r="G30" s="1582"/>
      <c r="H30" s="457"/>
    </row>
    <row r="31" spans="1:11" ht="14.4">
      <c r="A31" t="s">
        <v>2776</v>
      </c>
      <c r="B31" s="1312"/>
      <c r="D31" s="1579"/>
      <c r="E31" s="1579"/>
      <c r="F31" s="1245"/>
      <c r="G31" s="1579"/>
      <c r="H31" s="457"/>
    </row>
    <row r="32" spans="1:11" ht="14.4">
      <c r="A32" t="s">
        <v>2777</v>
      </c>
      <c r="B32" s="1312"/>
      <c r="D32" s="1579"/>
      <c r="E32" s="1579"/>
      <c r="F32" s="1579"/>
      <c r="G32" s="1579"/>
      <c r="H32" s="457"/>
    </row>
    <row r="33" spans="1:8" ht="14.4">
      <c r="A33" t="s">
        <v>2778</v>
      </c>
      <c r="B33" s="1312"/>
      <c r="D33" s="1579"/>
      <c r="E33" s="1579"/>
      <c r="F33" s="1579"/>
      <c r="G33" s="1579"/>
      <c r="H33" s="457"/>
    </row>
    <row r="34" spans="1:8" ht="14.4">
      <c r="A34" t="s">
        <v>2779</v>
      </c>
      <c r="B34" s="1312"/>
      <c r="D34" s="1579"/>
      <c r="E34" s="1579"/>
      <c r="F34" s="1579"/>
      <c r="G34" s="1579"/>
      <c r="H34" s="457"/>
    </row>
    <row r="35" spans="1:8" ht="14.4">
      <c r="A35" t="s">
        <v>2780</v>
      </c>
      <c r="B35" s="1312"/>
      <c r="D35" s="1579"/>
      <c r="E35" s="1579"/>
      <c r="F35" s="1579"/>
      <c r="G35" s="1579"/>
      <c r="H35" s="457"/>
    </row>
    <row r="36" spans="1:8" ht="14.4">
      <c r="A36" t="s">
        <v>2781</v>
      </c>
      <c r="B36" s="1312"/>
      <c r="D36" s="1579"/>
      <c r="E36" s="1579"/>
      <c r="F36" s="1579"/>
      <c r="G36" s="1579"/>
      <c r="H36" s="457"/>
    </row>
    <row r="37" spans="1:8" ht="14.4">
      <c r="A37" t="s">
        <v>2782</v>
      </c>
      <c r="B37" s="1312"/>
      <c r="D37" s="1579"/>
      <c r="E37" s="1579"/>
      <c r="F37" s="1579"/>
      <c r="G37" s="1579"/>
      <c r="H37" s="457"/>
    </row>
    <row r="38" spans="1:8">
      <c r="A38" t="s">
        <v>2783</v>
      </c>
      <c r="D38" s="1579"/>
      <c r="E38" s="1579"/>
      <c r="F38" s="1579"/>
      <c r="G38" s="1579"/>
      <c r="H38" s="457"/>
    </row>
    <row r="39" spans="1:8">
      <c r="A39" t="s">
        <v>2784</v>
      </c>
      <c r="D39" s="1579"/>
      <c r="E39" s="1579"/>
      <c r="F39" s="1579"/>
      <c r="G39" s="1579"/>
      <c r="H39" s="457"/>
    </row>
    <row r="40" spans="1:8" ht="14.4">
      <c r="A40" t="s">
        <v>2785</v>
      </c>
      <c r="B40" s="1312"/>
      <c r="D40" s="1579"/>
      <c r="E40" s="1579"/>
      <c r="F40" s="1579"/>
      <c r="G40" s="1579"/>
      <c r="H40" s="457"/>
    </row>
    <row r="41" spans="1:8" ht="15">
      <c r="B41" s="1313"/>
    </row>
    <row r="42" spans="1:8">
      <c r="A42" s="669" t="s">
        <v>2786</v>
      </c>
    </row>
  </sheetData>
  <mergeCells count="4">
    <mergeCell ref="A1:H1"/>
    <mergeCell ref="A2:H2"/>
    <mergeCell ref="A3:H3"/>
    <mergeCell ref="A4:H4"/>
  </mergeCells>
  <phoneticPr fontId="19" type="noConversion"/>
  <pageMargins left="1" right="1" top="1" bottom="0.75" header="0" footer="0"/>
  <pageSetup scale="73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62">
    <tabColor rgb="FFFFC000"/>
    <pageSetUpPr fitToPage="1"/>
  </sheetPr>
  <dimension ref="A1:AA107"/>
  <sheetViews>
    <sheetView workbookViewId="0"/>
  </sheetViews>
  <sheetFormatPr defaultColWidth="8" defaultRowHeight="13.2"/>
  <cols>
    <col min="1" max="1" width="7.44140625" customWidth="1"/>
    <col min="2" max="2" width="53.5546875" customWidth="1"/>
    <col min="3" max="3" width="3.44140625" customWidth="1"/>
    <col min="4" max="4" width="7.5546875" customWidth="1"/>
    <col min="5" max="5" width="2.44140625" customWidth="1"/>
    <col min="6" max="6" width="13.44140625" customWidth="1"/>
    <col min="7" max="7" width="2.44140625" customWidth="1"/>
    <col min="8" max="8" width="14.44140625" customWidth="1"/>
    <col min="9" max="9" width="31.5546875" customWidth="1"/>
    <col min="10" max="10" width="7.44140625" customWidth="1"/>
    <col min="11" max="11" width="8.5546875" customWidth="1"/>
    <col min="12" max="12" width="22.44140625" customWidth="1"/>
    <col min="13" max="24" width="12.44140625" customWidth="1"/>
    <col min="25" max="25" width="12.5546875" customWidth="1"/>
    <col min="26" max="26" width="4.44140625" customWidth="1"/>
    <col min="27" max="27" width="16.44140625" customWidth="1"/>
    <col min="28" max="28" width="2.5546875" customWidth="1"/>
    <col min="29" max="29" width="19.44140625" customWidth="1"/>
    <col min="30" max="30" width="14.44140625" customWidth="1"/>
    <col min="31" max="31" width="6.5546875" customWidth="1"/>
    <col min="32" max="32" width="44.44140625" customWidth="1"/>
    <col min="33" max="33" width="19.5546875" customWidth="1"/>
    <col min="34" max="34" width="14.44140625" customWidth="1"/>
    <col min="35" max="35" width="19" customWidth="1"/>
    <col min="36" max="36" width="11.5546875" customWidth="1"/>
  </cols>
  <sheetData>
    <row r="1" spans="1:26">
      <c r="A1" s="436" t="str">
        <f>COMPANY</f>
        <v>DUKE ENERGY KENTUCKY, INC.</v>
      </c>
      <c r="B1" s="436"/>
      <c r="C1" s="436"/>
      <c r="D1" s="436"/>
      <c r="E1" s="436"/>
      <c r="F1" s="436"/>
      <c r="G1" s="436"/>
      <c r="H1" s="436"/>
      <c r="I1" s="436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</row>
    <row r="2" spans="1:26">
      <c r="A2" s="436" t="str">
        <f>CASE</f>
        <v>CASE NO. 2024-00354</v>
      </c>
      <c r="B2" s="436"/>
      <c r="C2" s="436"/>
      <c r="D2" s="436"/>
      <c r="E2" s="436"/>
      <c r="F2" s="436"/>
      <c r="G2" s="436"/>
      <c r="H2" s="436"/>
      <c r="I2" s="436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</row>
    <row r="3" spans="1:26">
      <c r="A3" s="436" t="s">
        <v>2787</v>
      </c>
      <c r="B3" s="436"/>
      <c r="C3" s="436"/>
      <c r="D3" s="436"/>
      <c r="E3" s="436"/>
      <c r="F3" s="436"/>
      <c r="G3" s="436"/>
      <c r="H3" s="436"/>
      <c r="I3" s="436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>
      <c r="A4" s="436" t="str">
        <f>PERIOD</f>
        <v>FOR THE TWELVE MONTHS ENDED FEBRUARY 28, 2025</v>
      </c>
      <c r="B4" s="436"/>
      <c r="C4" s="436"/>
      <c r="D4" s="436"/>
      <c r="E4" s="436"/>
      <c r="F4" s="436"/>
      <c r="G4" s="436"/>
      <c r="H4" s="436"/>
      <c r="I4" s="436"/>
      <c r="J4" s="294"/>
      <c r="K4" s="294"/>
      <c r="L4" s="294"/>
      <c r="M4" s="294"/>
      <c r="N4" s="294"/>
      <c r="O4" s="294"/>
      <c r="P4" s="294"/>
      <c r="Q4" s="294"/>
      <c r="R4" s="294"/>
      <c r="S4" s="294"/>
      <c r="T4" s="294"/>
      <c r="U4" s="294"/>
      <c r="V4" s="294"/>
      <c r="W4" s="294"/>
      <c r="X4" s="294"/>
      <c r="Y4" s="294"/>
      <c r="Z4" s="294"/>
    </row>
    <row r="5" spans="1:26">
      <c r="A5" s="436"/>
      <c r="B5" s="436"/>
      <c r="C5" s="436"/>
      <c r="D5" s="436"/>
      <c r="E5" s="436"/>
      <c r="F5" s="436"/>
      <c r="G5" s="436"/>
      <c r="H5" s="436"/>
      <c r="I5" s="436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</row>
    <row r="6" spans="1:26">
      <c r="A6" s="294" t="str">
        <f>Data</f>
        <v>DATA: "X" BASE PERIOD   FORECASTED PERIOD</v>
      </c>
      <c r="B6" s="294"/>
      <c r="C6" s="294"/>
      <c r="D6" s="294"/>
      <c r="E6" s="294"/>
      <c r="F6" s="294"/>
      <c r="G6" s="294"/>
      <c r="H6" s="294"/>
      <c r="I6" s="437" t="s">
        <v>2788</v>
      </c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</row>
    <row r="7" spans="1:26">
      <c r="A7" s="294" t="str">
        <f>Type</f>
        <v xml:space="preserve">TYPE OF FILING:  "X" ORIGINAL   UPDATED    REVISED  </v>
      </c>
      <c r="B7" s="294"/>
      <c r="C7" s="294"/>
      <c r="D7" s="294"/>
      <c r="E7" s="294"/>
      <c r="F7" s="294"/>
      <c r="G7" s="294"/>
      <c r="H7" s="294"/>
      <c r="I7" s="437" t="s">
        <v>571</v>
      </c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</row>
    <row r="8" spans="1:26">
      <c r="A8" s="437" t="s">
        <v>2789</v>
      </c>
      <c r="B8" s="294"/>
      <c r="C8" s="294"/>
      <c r="D8" s="294"/>
      <c r="E8" s="294"/>
      <c r="F8" s="294"/>
      <c r="G8" s="294"/>
      <c r="H8" s="294"/>
      <c r="I8" s="437" t="s">
        <v>468</v>
      </c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4"/>
      <c r="V8" s="294"/>
      <c r="W8" s="294"/>
      <c r="X8" s="294"/>
      <c r="Y8" s="294"/>
      <c r="Z8" s="294"/>
    </row>
    <row r="9" spans="1:26">
      <c r="A9" s="294"/>
      <c r="B9" s="294"/>
      <c r="C9" s="294"/>
      <c r="D9" s="294"/>
      <c r="E9" s="294"/>
      <c r="F9" s="294"/>
      <c r="G9" s="294"/>
      <c r="H9" s="294"/>
      <c r="I9" s="437" t="str">
        <f>_WIT1</f>
        <v>L. D. STEINKUHL</v>
      </c>
      <c r="J9" s="294"/>
      <c r="K9" s="294"/>
      <c r="L9" s="294"/>
      <c r="M9" s="294"/>
      <c r="N9" s="294"/>
      <c r="O9" s="294"/>
      <c r="P9" s="294"/>
      <c r="Q9" s="294"/>
      <c r="R9" s="294"/>
      <c r="S9" s="294"/>
      <c r="T9" s="294"/>
      <c r="U9" s="294"/>
      <c r="V9" s="294"/>
      <c r="W9" s="294"/>
      <c r="X9" s="294"/>
      <c r="Y9" s="294"/>
      <c r="Z9" s="294"/>
    </row>
    <row r="10" spans="1:26">
      <c r="A10" s="1584"/>
      <c r="B10" s="1584"/>
      <c r="C10" s="1584"/>
      <c r="D10" s="1584"/>
      <c r="E10" s="1584"/>
      <c r="F10" s="1584"/>
      <c r="G10" s="1584"/>
      <c r="H10" s="1584"/>
      <c r="I10" s="1584"/>
      <c r="J10" s="294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</row>
    <row r="11" spans="1:26">
      <c r="A11" s="294"/>
      <c r="B11" s="294"/>
      <c r="C11" s="294"/>
      <c r="D11" s="294"/>
      <c r="E11" s="294"/>
      <c r="F11" s="294"/>
      <c r="G11" s="294"/>
      <c r="H11" s="294"/>
      <c r="I11" s="438" t="s">
        <v>2790</v>
      </c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4"/>
      <c r="V11" s="294"/>
      <c r="W11" s="294"/>
      <c r="X11" s="294"/>
      <c r="Y11" s="294"/>
      <c r="Z11" s="294"/>
    </row>
    <row r="12" spans="1:26">
      <c r="A12" s="438" t="s">
        <v>471</v>
      </c>
      <c r="B12" s="294"/>
      <c r="C12" s="294"/>
      <c r="D12" s="294"/>
      <c r="E12" s="294"/>
      <c r="F12" s="294"/>
      <c r="G12" s="294"/>
      <c r="H12" s="294"/>
      <c r="I12" s="438" t="s">
        <v>2791</v>
      </c>
      <c r="J12" s="294"/>
      <c r="K12" s="294"/>
      <c r="L12" s="294"/>
      <c r="M12" s="294"/>
      <c r="N12" s="294"/>
      <c r="O12" s="294"/>
      <c r="P12" s="294"/>
      <c r="Q12" s="294"/>
      <c r="R12" s="294"/>
      <c r="S12" s="294"/>
      <c r="T12" s="294"/>
      <c r="U12" s="294"/>
      <c r="V12" s="294"/>
      <c r="W12" s="294"/>
      <c r="X12" s="294"/>
      <c r="Y12" s="294"/>
      <c r="Z12" s="294"/>
    </row>
    <row r="13" spans="1:26">
      <c r="A13" s="438" t="s">
        <v>475</v>
      </c>
      <c r="B13" s="437" t="s">
        <v>1368</v>
      </c>
      <c r="C13" s="294"/>
      <c r="D13" s="294"/>
      <c r="E13" s="294"/>
      <c r="F13" s="294"/>
      <c r="G13" s="294"/>
      <c r="H13" s="294"/>
      <c r="I13" s="438" t="s">
        <v>2792</v>
      </c>
      <c r="J13" s="294"/>
      <c r="K13" s="294"/>
      <c r="L13" s="294"/>
      <c r="M13" s="294"/>
      <c r="N13" s="294"/>
      <c r="O13" s="294"/>
      <c r="P13" s="294"/>
      <c r="Q13" s="294"/>
      <c r="R13" s="294"/>
      <c r="S13" s="294"/>
      <c r="T13" s="294"/>
      <c r="U13" s="294"/>
      <c r="V13" s="294"/>
      <c r="W13" s="294"/>
      <c r="X13" s="294"/>
      <c r="Y13" s="294"/>
      <c r="Z13" s="294"/>
    </row>
    <row r="14" spans="1:26">
      <c r="A14" s="1584"/>
      <c r="B14" s="1584"/>
      <c r="C14" s="1584"/>
      <c r="D14" s="1584"/>
      <c r="E14" s="1584"/>
      <c r="F14" s="1584"/>
      <c r="G14" s="1584"/>
      <c r="H14" s="1584"/>
      <c r="I14" s="1585" t="s">
        <v>1517</v>
      </c>
      <c r="J14" s="294"/>
      <c r="K14" s="294"/>
      <c r="L14" s="294"/>
      <c r="M14" s="294"/>
      <c r="N14" s="294"/>
      <c r="O14" s="294"/>
      <c r="P14" s="294"/>
      <c r="Q14" s="294"/>
      <c r="R14" s="294"/>
      <c r="S14" s="294"/>
      <c r="T14" s="294"/>
      <c r="U14" s="294"/>
      <c r="V14" s="294"/>
      <c r="W14" s="294"/>
      <c r="X14" s="294"/>
      <c r="Y14" s="294"/>
      <c r="Z14" s="294"/>
    </row>
    <row r="15" spans="1:26">
      <c r="A15" s="294"/>
      <c r="B15" s="294"/>
      <c r="C15" s="294"/>
      <c r="D15" s="294"/>
      <c r="E15" s="294"/>
      <c r="F15" s="294"/>
      <c r="G15" s="294"/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94"/>
      <c r="U15" s="294"/>
      <c r="V15" s="294"/>
      <c r="W15" s="294"/>
      <c r="X15" s="294"/>
      <c r="Y15" s="294"/>
      <c r="Z15" s="294"/>
    </row>
    <row r="16" spans="1:26">
      <c r="A16" s="438">
        <v>1</v>
      </c>
      <c r="B16" s="437" t="s">
        <v>2793</v>
      </c>
      <c r="C16" s="294"/>
      <c r="D16" s="439"/>
      <c r="E16" s="439"/>
      <c r="F16" s="294"/>
      <c r="G16" s="294"/>
      <c r="H16" s="294"/>
      <c r="I16" s="452">
        <v>1</v>
      </c>
      <c r="J16" s="294"/>
      <c r="K16" s="294"/>
      <c r="L16" s="294"/>
      <c r="M16" s="294"/>
      <c r="N16" s="294"/>
      <c r="O16" s="294"/>
      <c r="P16" s="294"/>
      <c r="Q16" s="294"/>
      <c r="R16" s="294"/>
      <c r="S16" s="294"/>
      <c r="T16" s="294"/>
      <c r="U16" s="294"/>
      <c r="V16" s="294"/>
      <c r="W16" s="294"/>
      <c r="X16" s="294"/>
      <c r="Y16" s="294"/>
      <c r="Z16" s="294"/>
    </row>
    <row r="17" spans="1:26">
      <c r="A17" s="438">
        <v>2</v>
      </c>
      <c r="B17" s="294"/>
      <c r="C17" s="294"/>
      <c r="D17" s="294"/>
      <c r="E17" s="294"/>
      <c r="F17" s="294"/>
      <c r="G17" s="294"/>
      <c r="H17" s="294"/>
      <c r="I17" s="440"/>
      <c r="J17" s="294"/>
      <c r="K17" s="294"/>
      <c r="L17" s="1205"/>
      <c r="M17" s="294"/>
      <c r="N17" s="294"/>
      <c r="O17" s="294"/>
      <c r="P17" s="294"/>
      <c r="Q17" s="294"/>
      <c r="R17" s="294"/>
      <c r="S17" s="294"/>
      <c r="T17" s="294"/>
      <c r="U17" s="294"/>
      <c r="V17" s="294"/>
      <c r="W17" s="294"/>
      <c r="X17" s="294"/>
      <c r="Y17" s="294"/>
      <c r="Z17" s="294"/>
    </row>
    <row r="18" spans="1:26">
      <c r="A18" s="438">
        <v>3</v>
      </c>
      <c r="G18" s="294"/>
      <c r="H18" s="294"/>
      <c r="I18" s="440"/>
      <c r="J18" s="294"/>
      <c r="K18" s="294"/>
      <c r="L18" s="1205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4"/>
      <c r="Y18" s="294"/>
      <c r="Z18" s="294"/>
    </row>
    <row r="19" spans="1:26">
      <c r="A19" s="438">
        <v>4</v>
      </c>
      <c r="B19" s="437" t="s">
        <v>2794</v>
      </c>
      <c r="C19" s="294"/>
      <c r="D19" s="294"/>
      <c r="E19" s="294"/>
      <c r="F19" s="452">
        <f>UncollExp</f>
        <v>9.2099999999999994E-3</v>
      </c>
      <c r="G19" s="294"/>
      <c r="H19" s="294"/>
      <c r="I19" s="440"/>
      <c r="J19" s="294"/>
      <c r="K19" s="294"/>
      <c r="L19" s="1881"/>
      <c r="M19" s="294"/>
      <c r="N19" s="294"/>
      <c r="O19" s="294"/>
      <c r="P19" s="294"/>
      <c r="Q19" s="294"/>
      <c r="R19" s="294"/>
      <c r="S19" s="294"/>
      <c r="T19" s="294"/>
      <c r="U19" s="294"/>
      <c r="V19" s="294"/>
      <c r="W19" s="294"/>
      <c r="X19" s="294"/>
      <c r="Y19" s="294"/>
      <c r="Z19" s="294"/>
    </row>
    <row r="20" spans="1:26">
      <c r="A20" s="438">
        <v>5</v>
      </c>
      <c r="B20" s="437" t="s">
        <v>2795</v>
      </c>
      <c r="C20" s="294"/>
      <c r="D20" s="294"/>
      <c r="E20" s="294"/>
      <c r="F20" s="452">
        <f>LOGO!C23</f>
        <v>1.554E-3</v>
      </c>
      <c r="G20" s="294"/>
      <c r="H20" s="294"/>
      <c r="I20" s="440"/>
      <c r="J20" s="294"/>
      <c r="K20" s="294"/>
      <c r="L20" s="294"/>
      <c r="M20" s="294"/>
      <c r="N20" s="294"/>
      <c r="O20" s="294"/>
      <c r="P20" s="294"/>
      <c r="Q20" s="294"/>
      <c r="R20" s="294"/>
      <c r="S20" s="294"/>
      <c r="T20" s="294"/>
      <c r="U20" s="294"/>
      <c r="V20" s="294"/>
      <c r="W20" s="294"/>
      <c r="X20" s="294"/>
      <c r="Y20" s="294"/>
      <c r="Z20" s="294"/>
    </row>
    <row r="21" spans="1:26">
      <c r="A21" s="438">
        <v>6</v>
      </c>
      <c r="B21" s="438" t="s">
        <v>2304</v>
      </c>
      <c r="C21" s="294"/>
      <c r="D21" s="294"/>
      <c r="E21" s="440"/>
      <c r="F21" s="452"/>
      <c r="G21" s="294"/>
      <c r="H21" s="294"/>
      <c r="I21" s="442">
        <f>F20+F19</f>
        <v>1.0763999999999999E-2</v>
      </c>
      <c r="J21" s="294"/>
      <c r="K21" s="294"/>
      <c r="L21" s="294"/>
      <c r="M21" s="294"/>
      <c r="N21" s="294"/>
      <c r="O21" s="294"/>
      <c r="P21" s="294"/>
      <c r="Q21" s="294"/>
      <c r="R21" s="294"/>
      <c r="S21" s="294"/>
      <c r="T21" s="294"/>
      <c r="U21" s="294"/>
      <c r="V21" s="294"/>
      <c r="W21" s="294"/>
      <c r="X21" s="294"/>
      <c r="Y21" s="294"/>
      <c r="Z21" s="294"/>
    </row>
    <row r="22" spans="1:26">
      <c r="A22" s="438">
        <v>7</v>
      </c>
      <c r="B22" s="294"/>
      <c r="C22" s="294"/>
      <c r="D22" s="443"/>
      <c r="E22" s="443"/>
      <c r="F22" s="1880"/>
      <c r="G22" s="294"/>
      <c r="H22" s="294"/>
      <c r="I22" s="443"/>
      <c r="J22" s="294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4"/>
      <c r="V22" s="294"/>
      <c r="W22" s="294"/>
      <c r="X22" s="294"/>
      <c r="Y22" s="294"/>
      <c r="Z22" s="294"/>
    </row>
    <row r="23" spans="1:26">
      <c r="A23" s="438">
        <v>8</v>
      </c>
      <c r="B23" s="437" t="s">
        <v>2796</v>
      </c>
      <c r="C23" s="294"/>
      <c r="D23" s="444"/>
      <c r="E23" s="444"/>
      <c r="F23" s="439"/>
      <c r="G23" s="294"/>
      <c r="H23" s="294"/>
      <c r="I23" s="452">
        <f>ROUND(I16-I21,7)</f>
        <v>0.989236</v>
      </c>
      <c r="J23" s="294"/>
      <c r="K23" s="294"/>
      <c r="L23" s="294"/>
      <c r="M23" s="294"/>
      <c r="N23" s="294"/>
      <c r="O23" s="294"/>
      <c r="P23" s="294"/>
      <c r="Q23" s="294"/>
      <c r="R23" s="294"/>
      <c r="S23" s="294"/>
      <c r="T23" s="294"/>
      <c r="U23" s="294"/>
      <c r="V23" s="294"/>
      <c r="W23" s="294"/>
      <c r="X23" s="294"/>
      <c r="Y23" s="294"/>
      <c r="Z23" s="294"/>
    </row>
    <row r="24" spans="1:26">
      <c r="A24" s="438">
        <v>9</v>
      </c>
      <c r="B24" s="294"/>
      <c r="C24" s="294"/>
      <c r="D24" s="294"/>
      <c r="E24" s="294"/>
      <c r="F24" s="294"/>
      <c r="G24" s="294"/>
      <c r="H24" s="294"/>
      <c r="I24" s="439"/>
      <c r="J24" s="294"/>
      <c r="K24" s="294"/>
      <c r="L24" s="294"/>
      <c r="M24" s="294"/>
      <c r="N24" s="294"/>
      <c r="O24" s="294"/>
      <c r="P24" s="294"/>
      <c r="Q24" s="294"/>
      <c r="R24" s="294"/>
      <c r="S24" s="294"/>
      <c r="T24" s="294"/>
      <c r="U24" s="294"/>
      <c r="V24" s="294"/>
      <c r="W24" s="294"/>
      <c r="X24" s="294"/>
      <c r="Y24" s="294"/>
      <c r="Z24" s="294"/>
    </row>
    <row r="25" spans="1:26">
      <c r="A25" s="438">
        <v>10</v>
      </c>
      <c r="B25" s="294" t="s">
        <v>2797</v>
      </c>
      <c r="C25" s="294"/>
      <c r="D25" s="294"/>
      <c r="E25" s="294"/>
      <c r="F25" s="294"/>
      <c r="G25" s="294"/>
      <c r="H25" s="294"/>
      <c r="I25" s="440"/>
      <c r="J25" s="294"/>
      <c r="K25" s="294"/>
      <c r="L25" s="294"/>
      <c r="M25" s="294"/>
      <c r="N25" s="294"/>
      <c r="O25" s="294"/>
      <c r="P25" s="294"/>
      <c r="Q25" s="294"/>
      <c r="R25" s="294"/>
      <c r="S25" s="294"/>
      <c r="T25" s="294"/>
      <c r="U25" s="294"/>
      <c r="V25" s="294"/>
      <c r="W25" s="294"/>
      <c r="X25" s="294"/>
      <c r="Y25" s="294"/>
      <c r="Z25" s="294"/>
    </row>
    <row r="26" spans="1:26">
      <c r="A26" s="438">
        <v>11</v>
      </c>
      <c r="B26" s="294" t="str">
        <f>"      ("&amp;TEXT(SIT,"0.00#%")&amp;" * "&amp;TEXT(I23,"##.####%")&amp;" * "&amp;TEXT(APPORT,"##.####%")&amp;")"</f>
        <v xml:space="preserve">      (5.00% * 98.9236% * 99.37%)</v>
      </c>
      <c r="C26" s="294"/>
      <c r="D26" s="294"/>
      <c r="E26" s="294"/>
      <c r="F26" s="294"/>
      <c r="G26" s="294"/>
      <c r="H26" s="294"/>
      <c r="I26" s="442">
        <f>ROUND(SIT*SCH_H!I23*APPORT,7)</f>
        <v>4.9150199999999998E-2</v>
      </c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294"/>
      <c r="V26" s="294"/>
      <c r="W26" s="294"/>
      <c r="X26" s="294"/>
      <c r="Y26" s="294"/>
      <c r="Z26" s="294"/>
    </row>
    <row r="27" spans="1:26">
      <c r="A27" s="438">
        <v>12</v>
      </c>
      <c r="B27" s="294"/>
      <c r="C27" s="294"/>
      <c r="D27" s="294"/>
      <c r="E27" s="294"/>
      <c r="F27" s="294"/>
      <c r="G27" s="294"/>
      <c r="H27" s="294"/>
      <c r="I27" s="439"/>
      <c r="J27" s="294"/>
      <c r="K27" s="294"/>
      <c r="L27" s="294"/>
      <c r="M27" s="294"/>
      <c r="N27" s="294"/>
      <c r="O27" s="294"/>
      <c r="P27" s="294"/>
      <c r="Q27" s="294"/>
      <c r="R27" s="294"/>
      <c r="S27" s="294"/>
      <c r="T27" s="294"/>
      <c r="U27" s="294"/>
      <c r="V27" s="294"/>
      <c r="W27" s="294"/>
      <c r="X27" s="294"/>
      <c r="Y27" s="294"/>
      <c r="Z27" s="294"/>
    </row>
    <row r="28" spans="1:26">
      <c r="A28" s="438">
        <v>13</v>
      </c>
      <c r="B28" s="437" t="s">
        <v>2798</v>
      </c>
      <c r="C28" s="294"/>
      <c r="D28" s="294"/>
      <c r="E28" s="294"/>
      <c r="F28" s="294"/>
      <c r="G28" s="294"/>
      <c r="H28" s="294"/>
      <c r="I28" s="452">
        <f>I23-I26</f>
        <v>0.94008579999999997</v>
      </c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4"/>
      <c r="V28" s="294"/>
      <c r="W28" s="294"/>
      <c r="X28" s="294"/>
      <c r="Y28" s="294"/>
      <c r="Z28" s="294"/>
    </row>
    <row r="29" spans="1:26">
      <c r="A29" s="438">
        <v>14</v>
      </c>
      <c r="B29" s="294"/>
      <c r="C29" s="294"/>
      <c r="D29" s="294"/>
      <c r="E29" s="294"/>
      <c r="F29" s="294"/>
      <c r="G29" s="294"/>
      <c r="H29" s="294"/>
      <c r="I29" s="439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4"/>
      <c r="V29" s="294"/>
      <c r="W29" s="294"/>
      <c r="X29" s="294"/>
      <c r="Y29" s="294"/>
      <c r="Z29" s="294"/>
    </row>
    <row r="30" spans="1:26">
      <c r="A30" s="438">
        <v>15</v>
      </c>
      <c r="B30" s="437" t="str">
        <f>"        Federal Income Tax ("&amp;TEXT(FIT,"##%")&amp;" x "&amp;TEXT(I28,"##.####%")&amp;")"</f>
        <v xml:space="preserve">        Federal Income Tax (21% x 94.0086%)</v>
      </c>
      <c r="C30" s="440"/>
      <c r="D30" s="445"/>
      <c r="E30" s="445"/>
      <c r="F30" s="440"/>
      <c r="G30" s="437"/>
      <c r="H30" s="437"/>
      <c r="I30" s="442">
        <f>ROUND(FIT*SCH_H!I28,7)</f>
        <v>0.19741800000000001</v>
      </c>
      <c r="J30" s="294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4"/>
      <c r="V30" s="294"/>
      <c r="W30" s="294"/>
      <c r="X30" s="294"/>
      <c r="Y30" s="294"/>
      <c r="Z30" s="294"/>
    </row>
    <row r="31" spans="1:26">
      <c r="A31" s="438">
        <v>16</v>
      </c>
      <c r="B31" s="294"/>
      <c r="C31" s="440"/>
      <c r="D31" s="294"/>
      <c r="E31" s="294"/>
      <c r="F31" s="439"/>
      <c r="G31" s="294"/>
      <c r="H31" s="294"/>
      <c r="I31" s="443"/>
      <c r="J31" s="294"/>
      <c r="K31" s="294"/>
      <c r="L31" s="294"/>
      <c r="M31" s="294"/>
      <c r="N31" s="294"/>
      <c r="O31" s="294"/>
      <c r="P31" s="294"/>
      <c r="Q31" s="294"/>
      <c r="R31" s="294"/>
      <c r="S31" s="294"/>
      <c r="T31" s="294"/>
      <c r="U31" s="294"/>
      <c r="V31" s="294"/>
      <c r="W31" s="294"/>
      <c r="X31" s="294"/>
      <c r="Y31" s="294"/>
      <c r="Z31" s="294"/>
    </row>
    <row r="32" spans="1:26">
      <c r="A32" s="438">
        <v>17</v>
      </c>
      <c r="B32" s="437" t="s">
        <v>2799</v>
      </c>
      <c r="C32" s="294"/>
      <c r="D32" s="444"/>
      <c r="E32" s="444"/>
      <c r="F32" s="294"/>
      <c r="G32" s="294"/>
      <c r="H32" s="294"/>
      <c r="I32" s="446">
        <f>ROUND(I28-I30,7)</f>
        <v>0.74266779999999999</v>
      </c>
      <c r="J32" s="294"/>
      <c r="K32" s="294"/>
      <c r="L32" s="294"/>
      <c r="M32" s="294"/>
      <c r="N32" s="294"/>
      <c r="O32" s="294"/>
      <c r="P32" s="294"/>
      <c r="Q32" s="294"/>
      <c r="R32" s="294"/>
      <c r="S32" s="294"/>
      <c r="T32" s="294"/>
      <c r="U32" s="294"/>
      <c r="V32" s="294"/>
      <c r="W32" s="294"/>
      <c r="X32" s="294"/>
      <c r="Y32" s="294"/>
      <c r="Z32" s="294"/>
    </row>
    <row r="33" spans="1:26">
      <c r="A33" s="438">
        <v>18</v>
      </c>
      <c r="B33" s="294"/>
      <c r="C33" s="294"/>
      <c r="D33" s="294"/>
      <c r="E33" s="294"/>
      <c r="F33" s="294"/>
      <c r="G33" s="294"/>
      <c r="H33" s="294"/>
      <c r="I33" s="445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4"/>
      <c r="Z33" s="294"/>
    </row>
    <row r="34" spans="1:26">
      <c r="A34" s="438">
        <v>19</v>
      </c>
      <c r="B34" s="437" t="str">
        <f>"   Gross Revenue Conversion Factor ("&amp;TEXT(I16,"####%")&amp;" / "&amp;TEXT(I32,"##.####%")&amp;")"</f>
        <v xml:space="preserve">   Gross Revenue Conversion Factor (100% / 74.2668%)</v>
      </c>
      <c r="C34" s="294"/>
      <c r="D34" s="294"/>
      <c r="E34" s="294"/>
      <c r="F34" s="294"/>
      <c r="G34" s="294"/>
      <c r="H34" s="294"/>
      <c r="I34" s="447">
        <f>ROUND((I16/I32),7)</f>
        <v>1.3464970000000001</v>
      </c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4"/>
      <c r="V34" s="294"/>
      <c r="W34" s="294"/>
      <c r="X34" s="294"/>
      <c r="Y34" s="294"/>
      <c r="Z34" s="294"/>
    </row>
    <row r="35" spans="1:26">
      <c r="A35" s="438"/>
      <c r="B35" s="445"/>
      <c r="C35" s="440"/>
      <c r="D35" s="437"/>
      <c r="E35" s="437"/>
      <c r="F35" s="294"/>
      <c r="G35" s="294"/>
      <c r="H35" s="294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4"/>
      <c r="Y35" s="294"/>
      <c r="Z35" s="294"/>
    </row>
    <row r="36" spans="1:26">
      <c r="A36" s="438"/>
      <c r="B36" s="294"/>
      <c r="C36" s="294"/>
      <c r="D36" s="294"/>
      <c r="E36" s="294"/>
      <c r="F36" s="294"/>
      <c r="G36" s="294"/>
      <c r="H36" s="294"/>
      <c r="I36" s="445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s="294"/>
      <c r="X36" s="294"/>
      <c r="Y36" s="294"/>
      <c r="Z36" s="294"/>
    </row>
    <row r="37" spans="1:26">
      <c r="A37" s="437"/>
      <c r="B37" s="294"/>
      <c r="C37" s="294"/>
      <c r="D37" s="294"/>
      <c r="E37" s="294"/>
      <c r="F37" s="294"/>
      <c r="G37" s="294"/>
      <c r="H37" s="294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4"/>
      <c r="Z37" s="294"/>
    </row>
    <row r="38" spans="1:26">
      <c r="A38" s="294"/>
      <c r="B38" s="294"/>
      <c r="C38" s="294"/>
      <c r="D38" s="294"/>
      <c r="E38" s="294"/>
      <c r="F38" s="294"/>
      <c r="G38" s="294"/>
      <c r="H38" s="294"/>
      <c r="I38" s="294"/>
      <c r="J38" s="294"/>
      <c r="K38" s="294"/>
      <c r="L38" s="294"/>
      <c r="M38" s="437"/>
      <c r="N38" s="294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4"/>
      <c r="Z38" s="294"/>
    </row>
    <row r="39" spans="1:26">
      <c r="A39" s="436" t="str">
        <f>COMPANY</f>
        <v>DUKE ENERGY KENTUCKY, INC.</v>
      </c>
      <c r="B39" s="436"/>
      <c r="C39" s="436"/>
      <c r="D39" s="436"/>
      <c r="E39" s="436"/>
      <c r="F39" s="436"/>
      <c r="G39" s="436"/>
      <c r="H39" s="436"/>
      <c r="I39" s="436"/>
      <c r="J39" s="294"/>
      <c r="K39" s="294"/>
      <c r="L39" s="294"/>
      <c r="M39" s="437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4"/>
      <c r="Z39" s="294"/>
    </row>
    <row r="40" spans="1:26">
      <c r="A40" s="436" t="str">
        <f>CASE</f>
        <v>CASE NO. 2024-00354</v>
      </c>
      <c r="B40" s="436"/>
      <c r="C40" s="436"/>
      <c r="D40" s="436"/>
      <c r="E40" s="436"/>
      <c r="F40" s="436"/>
      <c r="G40" s="436"/>
      <c r="H40" s="436"/>
      <c r="I40" s="436"/>
      <c r="J40" s="294"/>
      <c r="K40" s="294"/>
      <c r="L40" s="294"/>
      <c r="M40" s="437"/>
      <c r="N40" s="294"/>
      <c r="O40" s="294"/>
      <c r="P40" s="294"/>
      <c r="Q40" s="294"/>
      <c r="R40" s="294"/>
      <c r="S40" s="294"/>
      <c r="T40" s="294"/>
      <c r="U40" s="294"/>
      <c r="V40" s="294"/>
      <c r="W40" s="294"/>
      <c r="X40" s="294"/>
      <c r="Y40" s="294"/>
      <c r="Z40" s="294"/>
    </row>
    <row r="41" spans="1:26">
      <c r="A41" s="436" t="s">
        <v>2787</v>
      </c>
      <c r="B41" s="436"/>
      <c r="C41" s="436"/>
      <c r="D41" s="436"/>
      <c r="E41" s="436"/>
      <c r="F41" s="436"/>
      <c r="G41" s="436"/>
      <c r="H41" s="436"/>
      <c r="I41" s="436"/>
      <c r="J41" s="294"/>
      <c r="K41" s="294"/>
      <c r="L41" s="294"/>
      <c r="M41" s="437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4"/>
      <c r="Z41" s="294"/>
    </row>
    <row r="42" spans="1:26">
      <c r="A42" s="436" t="str">
        <f>PeriodF</f>
        <v>FOR THE TWELVE MONTHS ENDED JUNE 30, 2026</v>
      </c>
      <c r="B42" s="436"/>
      <c r="C42" s="436"/>
      <c r="D42" s="436"/>
      <c r="E42" s="436"/>
      <c r="F42" s="436"/>
      <c r="G42" s="436"/>
      <c r="H42" s="436"/>
      <c r="I42" s="436"/>
      <c r="J42" s="294"/>
      <c r="K42" s="294"/>
      <c r="L42" s="294"/>
      <c r="M42" s="437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4"/>
      <c r="Z42" s="294"/>
    </row>
    <row r="43" spans="1:26">
      <c r="A43" s="436"/>
      <c r="B43" s="436"/>
      <c r="C43" s="436"/>
      <c r="D43" s="436"/>
      <c r="E43" s="436"/>
      <c r="F43" s="436"/>
      <c r="G43" s="436"/>
      <c r="H43" s="436"/>
      <c r="I43" s="436"/>
      <c r="J43" s="294"/>
      <c r="K43" s="294"/>
      <c r="L43" s="294"/>
      <c r="M43" s="437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  <c r="Z43" s="294"/>
    </row>
    <row r="44" spans="1:26">
      <c r="A44" s="294" t="str">
        <f>DataF</f>
        <v>DATA:  BASE PERIOD  "X" FORECASTED PERIOD</v>
      </c>
      <c r="B44" s="294"/>
      <c r="C44" s="294"/>
      <c r="D44" s="294"/>
      <c r="E44" s="294"/>
      <c r="F44" s="294"/>
      <c r="G44" s="294"/>
      <c r="H44" s="294"/>
      <c r="I44" s="437" t="s">
        <v>2788</v>
      </c>
      <c r="J44" s="294"/>
      <c r="K44" s="294"/>
      <c r="L44" s="294"/>
      <c r="M44" s="437"/>
      <c r="N44" s="294"/>
      <c r="O44" s="294"/>
      <c r="P44" s="294"/>
      <c r="Q44" s="294"/>
      <c r="R44" s="294"/>
      <c r="S44" s="294"/>
      <c r="T44" s="294"/>
      <c r="U44" s="294"/>
      <c r="V44" s="294"/>
      <c r="W44" s="294"/>
      <c r="X44" s="294"/>
      <c r="Y44" s="294"/>
      <c r="Z44" s="294"/>
    </row>
    <row r="45" spans="1:26">
      <c r="A45" s="294" t="str">
        <f>Type</f>
        <v xml:space="preserve">TYPE OF FILING:  "X" ORIGINAL   UPDATED    REVISED  </v>
      </c>
      <c r="B45" s="294"/>
      <c r="C45" s="294"/>
      <c r="D45" s="294"/>
      <c r="E45" s="294"/>
      <c r="F45" s="294"/>
      <c r="G45" s="294"/>
      <c r="H45" s="294"/>
      <c r="I45" s="437" t="s">
        <v>590</v>
      </c>
      <c r="J45" s="294"/>
      <c r="K45" s="294"/>
      <c r="L45" s="294"/>
      <c r="M45" s="437"/>
      <c r="N45" s="294"/>
      <c r="O45" s="294"/>
      <c r="P45" s="294"/>
      <c r="Q45" s="294"/>
      <c r="R45" s="294"/>
      <c r="S45" s="294"/>
      <c r="T45" s="294"/>
      <c r="U45" s="294"/>
      <c r="V45" s="294"/>
      <c r="W45" s="294"/>
      <c r="X45" s="294"/>
      <c r="Y45" s="294"/>
      <c r="Z45" s="294"/>
    </row>
    <row r="46" spans="1:26">
      <c r="A46" s="437" t="s">
        <v>2789</v>
      </c>
      <c r="B46" s="294"/>
      <c r="C46" s="294"/>
      <c r="D46" s="294"/>
      <c r="E46" s="294"/>
      <c r="F46" s="294"/>
      <c r="G46" s="294"/>
      <c r="H46" s="294"/>
      <c r="I46" s="437" t="s">
        <v>468</v>
      </c>
      <c r="J46" s="294"/>
      <c r="K46" s="294"/>
      <c r="L46" s="294"/>
      <c r="M46" s="437"/>
      <c r="N46" s="294"/>
      <c r="O46" s="294"/>
      <c r="P46" s="294"/>
      <c r="Q46" s="294"/>
      <c r="R46" s="294"/>
      <c r="S46" s="294"/>
      <c r="T46" s="294"/>
      <c r="U46" s="294"/>
      <c r="V46" s="294"/>
      <c r="W46" s="294"/>
      <c r="X46" s="294"/>
      <c r="Y46" s="294"/>
      <c r="Z46" s="294"/>
    </row>
    <row r="47" spans="1:26">
      <c r="A47" s="294"/>
      <c r="B47" s="294"/>
      <c r="C47" s="294"/>
      <c r="D47" s="294"/>
      <c r="E47" s="294"/>
      <c r="F47" s="294"/>
      <c r="G47" s="294"/>
      <c r="H47" s="294"/>
      <c r="I47" s="437" t="str">
        <f>_WIT1</f>
        <v>L. D. STEINKUHL</v>
      </c>
      <c r="J47" s="294"/>
      <c r="K47" s="294"/>
      <c r="L47" s="294"/>
      <c r="M47" s="437"/>
      <c r="N47" s="294"/>
      <c r="O47" s="294"/>
      <c r="P47" s="294"/>
      <c r="Q47" s="294"/>
      <c r="R47" s="294"/>
      <c r="S47" s="294"/>
      <c r="T47" s="294"/>
      <c r="U47" s="294"/>
      <c r="V47" s="294"/>
      <c r="W47" s="294"/>
      <c r="X47" s="294"/>
      <c r="Y47" s="294"/>
      <c r="Z47" s="294"/>
    </row>
    <row r="48" spans="1:26">
      <c r="A48" s="1584"/>
      <c r="B48" s="1584"/>
      <c r="C48" s="1584"/>
      <c r="D48" s="1584"/>
      <c r="E48" s="1584"/>
      <c r="F48" s="1584"/>
      <c r="G48" s="1584"/>
      <c r="H48" s="1584"/>
      <c r="I48" s="1584"/>
      <c r="J48" s="294"/>
      <c r="K48" s="294"/>
      <c r="L48" s="294"/>
      <c r="M48" s="437"/>
      <c r="N48" s="294"/>
      <c r="O48" s="294"/>
      <c r="P48" s="294"/>
      <c r="Q48" s="294"/>
      <c r="R48" s="294"/>
      <c r="S48" s="294"/>
      <c r="T48" s="294"/>
      <c r="U48" s="294"/>
      <c r="V48" s="294"/>
      <c r="W48" s="294"/>
      <c r="X48" s="294"/>
      <c r="Y48" s="294"/>
      <c r="Z48" s="294"/>
    </row>
    <row r="49" spans="1:26">
      <c r="A49" s="294"/>
      <c r="B49" s="294"/>
      <c r="C49" s="294"/>
      <c r="D49" s="294"/>
      <c r="E49" s="294"/>
      <c r="F49" s="294"/>
      <c r="G49" s="294"/>
      <c r="H49" s="294"/>
      <c r="I49" s="438" t="s">
        <v>2790</v>
      </c>
      <c r="J49" s="294"/>
      <c r="K49" s="294"/>
      <c r="L49" s="294"/>
      <c r="M49" s="437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</row>
    <row r="50" spans="1:26">
      <c r="A50" s="438" t="s">
        <v>471</v>
      </c>
      <c r="B50" s="294"/>
      <c r="C50" s="294"/>
      <c r="D50" s="294"/>
      <c r="E50" s="294"/>
      <c r="F50" s="294"/>
      <c r="G50" s="294"/>
      <c r="H50" s="294"/>
      <c r="I50" s="438" t="s">
        <v>2791</v>
      </c>
      <c r="J50" s="294"/>
      <c r="K50" s="294"/>
      <c r="L50" s="294"/>
      <c r="M50" s="437"/>
      <c r="N50" s="294"/>
      <c r="O50" s="294"/>
      <c r="P50" s="294"/>
      <c r="Q50" s="294"/>
      <c r="R50" s="294"/>
      <c r="S50" s="294"/>
      <c r="T50" s="294"/>
      <c r="U50" s="294"/>
      <c r="V50" s="294"/>
      <c r="W50" s="294"/>
      <c r="X50" s="294"/>
      <c r="Y50" s="294"/>
      <c r="Z50" s="294"/>
    </row>
    <row r="51" spans="1:26">
      <c r="A51" s="438" t="s">
        <v>475</v>
      </c>
      <c r="B51" s="437" t="s">
        <v>1368</v>
      </c>
      <c r="C51" s="294"/>
      <c r="D51" s="294"/>
      <c r="E51" s="294"/>
      <c r="F51" s="294"/>
      <c r="G51" s="294"/>
      <c r="H51" s="294"/>
      <c r="I51" s="438" t="s">
        <v>2792</v>
      </c>
      <c r="J51" s="294"/>
      <c r="K51" s="294"/>
      <c r="L51" s="294"/>
      <c r="M51" s="437"/>
      <c r="N51" s="294"/>
      <c r="O51" s="294"/>
      <c r="P51" s="294"/>
      <c r="Q51" s="294"/>
      <c r="R51" s="294"/>
      <c r="S51" s="294"/>
      <c r="T51" s="294"/>
      <c r="U51" s="294"/>
      <c r="V51" s="294"/>
      <c r="W51" s="294"/>
      <c r="X51" s="294"/>
      <c r="Y51" s="294"/>
      <c r="Z51" s="294"/>
    </row>
    <row r="52" spans="1:26">
      <c r="A52" s="1584"/>
      <c r="B52" s="1584"/>
      <c r="C52" s="1584"/>
      <c r="D52" s="1584"/>
      <c r="E52" s="1584"/>
      <c r="F52" s="1584"/>
      <c r="G52" s="1584"/>
      <c r="H52" s="1584"/>
      <c r="I52" s="1585" t="s">
        <v>1517</v>
      </c>
      <c r="J52" s="294"/>
      <c r="K52" s="294"/>
      <c r="L52" s="294"/>
      <c r="M52" s="437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4"/>
      <c r="Y52" s="294"/>
      <c r="Z52" s="294"/>
    </row>
    <row r="53" spans="1:26">
      <c r="A53" s="294"/>
      <c r="B53" s="294"/>
      <c r="C53" s="294"/>
      <c r="D53" s="294"/>
      <c r="E53" s="294"/>
      <c r="F53" s="294"/>
      <c r="G53" s="294"/>
      <c r="H53" s="294"/>
      <c r="I53" s="294"/>
      <c r="J53" s="294"/>
      <c r="K53" s="294"/>
      <c r="L53" s="294"/>
      <c r="M53" s="437"/>
      <c r="N53" s="294"/>
      <c r="O53" s="294"/>
      <c r="P53" s="294"/>
      <c r="Q53" s="294"/>
      <c r="R53" s="294"/>
      <c r="S53" s="294"/>
      <c r="T53" s="294"/>
      <c r="U53" s="294"/>
      <c r="V53" s="294"/>
      <c r="W53" s="294"/>
      <c r="X53" s="294"/>
      <c r="Y53" s="294"/>
      <c r="Z53" s="294"/>
    </row>
    <row r="54" spans="1:26">
      <c r="A54" s="438">
        <v>1</v>
      </c>
      <c r="B54" s="437" t="s">
        <v>2793</v>
      </c>
      <c r="C54" s="294"/>
      <c r="D54" s="439"/>
      <c r="E54" s="439"/>
      <c r="F54" s="294"/>
      <c r="G54" s="294"/>
      <c r="H54" s="294"/>
      <c r="I54" s="452">
        <v>1</v>
      </c>
      <c r="J54" s="294"/>
      <c r="K54" s="294"/>
      <c r="L54" s="294"/>
      <c r="M54" s="437"/>
      <c r="N54" s="294"/>
      <c r="O54" s="294"/>
      <c r="P54" s="294"/>
      <c r="Q54" s="294"/>
      <c r="R54" s="294"/>
      <c r="S54" s="294"/>
      <c r="T54" s="294"/>
      <c r="U54" s="294"/>
      <c r="V54" s="294"/>
      <c r="W54" s="294"/>
      <c r="X54" s="294"/>
      <c r="Y54" s="294"/>
      <c r="Z54" s="294"/>
    </row>
    <row r="55" spans="1:26">
      <c r="A55" s="438">
        <v>2</v>
      </c>
      <c r="B55" s="294"/>
      <c r="C55" s="294"/>
      <c r="D55" s="294"/>
      <c r="E55" s="294"/>
      <c r="F55" s="294"/>
      <c r="G55" s="294"/>
      <c r="H55" s="294"/>
      <c r="I55" s="440"/>
      <c r="J55" s="294"/>
      <c r="K55" s="294"/>
      <c r="L55" s="294"/>
      <c r="M55" s="437"/>
      <c r="N55" s="294"/>
      <c r="O55" s="294"/>
      <c r="P55" s="294"/>
      <c r="Q55" s="294"/>
      <c r="R55" s="294"/>
      <c r="S55" s="294"/>
      <c r="T55" s="294"/>
      <c r="U55" s="294"/>
      <c r="V55" s="294"/>
      <c r="W55" s="294"/>
      <c r="X55" s="294"/>
      <c r="Y55" s="294"/>
      <c r="Z55" s="294"/>
    </row>
    <row r="56" spans="1:26">
      <c r="A56" s="438">
        <v>3</v>
      </c>
      <c r="B56" s="294"/>
      <c r="C56" s="294"/>
      <c r="D56" s="294"/>
      <c r="E56" s="294"/>
      <c r="F56" s="294"/>
      <c r="G56" s="294"/>
      <c r="H56" s="294"/>
      <c r="I56" s="440"/>
      <c r="J56" s="294"/>
      <c r="K56" s="294"/>
      <c r="L56" s="294"/>
      <c r="M56" s="437"/>
      <c r="N56" s="294"/>
      <c r="O56" s="294"/>
      <c r="P56" s="294"/>
      <c r="Q56" s="294"/>
      <c r="R56" s="294"/>
      <c r="S56" s="294"/>
      <c r="T56" s="294"/>
      <c r="U56" s="294"/>
      <c r="V56" s="294"/>
      <c r="W56" s="294"/>
      <c r="X56" s="294"/>
      <c r="Y56" s="294"/>
      <c r="Z56" s="294"/>
    </row>
    <row r="57" spans="1:26">
      <c r="A57" s="438">
        <v>4</v>
      </c>
      <c r="B57" s="437" t="s">
        <v>2794</v>
      </c>
      <c r="C57" s="294"/>
      <c r="D57" s="294"/>
      <c r="E57" s="294"/>
      <c r="F57" s="452">
        <f>UncollExp</f>
        <v>9.2099999999999994E-3</v>
      </c>
      <c r="G57" s="294"/>
      <c r="H57" s="294"/>
      <c r="I57" s="440"/>
      <c r="J57" s="294"/>
      <c r="K57" s="294"/>
      <c r="L57" s="294"/>
      <c r="M57" s="437"/>
      <c r="N57" s="294"/>
      <c r="O57" s="294"/>
      <c r="P57" s="294"/>
      <c r="Q57" s="294"/>
      <c r="R57" s="294"/>
      <c r="S57" s="294"/>
      <c r="T57" s="294"/>
      <c r="U57" s="294"/>
      <c r="V57" s="294"/>
      <c r="W57" s="294"/>
      <c r="X57" s="294"/>
      <c r="Y57" s="294"/>
      <c r="Z57" s="294"/>
    </row>
    <row r="58" spans="1:26">
      <c r="A58" s="438">
        <v>5</v>
      </c>
      <c r="B58" s="437" t="s">
        <v>2795</v>
      </c>
      <c r="C58" s="294"/>
      <c r="D58" s="294"/>
      <c r="E58" s="294"/>
      <c r="F58" s="452">
        <f>F20</f>
        <v>1.554E-3</v>
      </c>
      <c r="G58" s="294"/>
      <c r="H58" s="294"/>
      <c r="I58" s="440"/>
      <c r="J58" s="294"/>
      <c r="K58" s="294"/>
      <c r="L58" s="294"/>
      <c r="M58" s="437"/>
      <c r="N58" s="294"/>
      <c r="O58" s="294"/>
      <c r="P58" s="294"/>
      <c r="Q58" s="294"/>
      <c r="R58" s="294"/>
      <c r="S58" s="294"/>
      <c r="T58" s="294"/>
      <c r="U58" s="294"/>
      <c r="V58" s="294"/>
      <c r="W58" s="294"/>
      <c r="X58" s="294"/>
      <c r="Y58" s="294"/>
      <c r="Z58" s="294"/>
    </row>
    <row r="59" spans="1:26">
      <c r="A59" s="438">
        <v>6</v>
      </c>
      <c r="B59" s="438" t="s">
        <v>2304</v>
      </c>
      <c r="C59" s="294"/>
      <c r="D59" s="441"/>
      <c r="E59" s="440"/>
      <c r="F59" s="441"/>
      <c r="G59" s="294"/>
      <c r="H59" s="294"/>
      <c r="I59" s="442">
        <f>F58+F57</f>
        <v>1.0763999999999999E-2</v>
      </c>
      <c r="J59" s="294"/>
      <c r="K59" s="294"/>
      <c r="L59" s="294"/>
      <c r="M59" s="437"/>
      <c r="N59" s="294"/>
      <c r="O59" s="294"/>
      <c r="P59" s="294"/>
      <c r="Q59" s="294"/>
      <c r="R59" s="294"/>
      <c r="S59" s="294"/>
      <c r="T59" s="294"/>
      <c r="U59" s="294"/>
      <c r="V59" s="294"/>
      <c r="W59" s="294"/>
      <c r="X59" s="294"/>
      <c r="Y59" s="294"/>
      <c r="Z59" s="294"/>
    </row>
    <row r="60" spans="1:26">
      <c r="A60" s="438">
        <v>7</v>
      </c>
      <c r="B60" s="294"/>
      <c r="C60" s="294"/>
      <c r="D60" s="443"/>
      <c r="E60" s="443"/>
      <c r="F60" s="443"/>
      <c r="G60" s="294"/>
      <c r="H60" s="294"/>
      <c r="I60" s="443"/>
      <c r="J60" s="294"/>
      <c r="K60" s="294"/>
      <c r="L60" s="294"/>
      <c r="M60" s="437"/>
      <c r="N60" s="294"/>
      <c r="O60" s="294"/>
      <c r="P60" s="294"/>
      <c r="Q60" s="294"/>
      <c r="R60" s="294"/>
      <c r="S60" s="294"/>
      <c r="T60" s="294"/>
      <c r="U60" s="294"/>
      <c r="V60" s="294"/>
      <c r="W60" s="294"/>
      <c r="X60" s="294"/>
      <c r="Y60" s="294"/>
      <c r="Z60" s="294"/>
    </row>
    <row r="61" spans="1:26">
      <c r="A61" s="438">
        <v>8</v>
      </c>
      <c r="B61" s="437" t="s">
        <v>2796</v>
      </c>
      <c r="C61" s="294"/>
      <c r="D61" s="444"/>
      <c r="E61" s="444"/>
      <c r="F61" s="439"/>
      <c r="G61" s="294"/>
      <c r="H61" s="294"/>
      <c r="I61" s="452">
        <f>ROUND(I54-I59,7)</f>
        <v>0.989236</v>
      </c>
      <c r="J61" s="294"/>
      <c r="K61" s="294"/>
      <c r="L61" s="294"/>
      <c r="M61" s="437"/>
      <c r="N61" s="294"/>
      <c r="O61" s="294"/>
      <c r="P61" s="294"/>
      <c r="Q61" s="294"/>
      <c r="R61" s="294"/>
      <c r="S61" s="294"/>
      <c r="T61" s="294"/>
      <c r="U61" s="294"/>
      <c r="V61" s="294"/>
      <c r="W61" s="294"/>
      <c r="X61" s="294"/>
      <c r="Y61" s="294"/>
      <c r="Z61" s="294"/>
    </row>
    <row r="62" spans="1:26">
      <c r="A62" s="438">
        <v>9</v>
      </c>
      <c r="B62" s="294"/>
      <c r="C62" s="294"/>
      <c r="D62" s="294"/>
      <c r="E62" s="294"/>
      <c r="F62" s="294"/>
      <c r="G62" s="294"/>
      <c r="H62" s="294"/>
      <c r="I62" s="439"/>
      <c r="J62" s="294"/>
      <c r="K62" s="294"/>
      <c r="L62" s="294"/>
      <c r="M62" s="437"/>
      <c r="N62" s="294"/>
      <c r="O62" s="294"/>
      <c r="P62" s="294"/>
      <c r="Q62" s="294"/>
      <c r="R62" s="294"/>
      <c r="S62" s="294"/>
      <c r="T62" s="294"/>
      <c r="U62" s="294"/>
      <c r="V62" s="294"/>
      <c r="W62" s="294"/>
      <c r="X62" s="294"/>
      <c r="Y62" s="294"/>
      <c r="Z62" s="294"/>
    </row>
    <row r="63" spans="1:26">
      <c r="A63" s="438">
        <v>10</v>
      </c>
      <c r="B63" s="294" t="s">
        <v>2797</v>
      </c>
      <c r="C63" s="294"/>
      <c r="D63" s="294"/>
      <c r="E63" s="294"/>
      <c r="F63" s="294"/>
      <c r="G63" s="294"/>
      <c r="H63" s="294"/>
      <c r="I63" s="440"/>
      <c r="J63" s="294"/>
      <c r="K63" s="294"/>
      <c r="L63" s="294"/>
      <c r="M63" s="437"/>
      <c r="N63" s="294"/>
      <c r="O63" s="294"/>
      <c r="P63" s="294"/>
      <c r="Q63" s="294"/>
      <c r="R63" s="294"/>
      <c r="S63" s="294"/>
      <c r="T63" s="294"/>
      <c r="U63" s="294"/>
      <c r="V63" s="294"/>
      <c r="W63" s="294"/>
      <c r="X63" s="294"/>
      <c r="Y63" s="294"/>
      <c r="Z63" s="294"/>
    </row>
    <row r="64" spans="1:26">
      <c r="A64" s="438">
        <v>11</v>
      </c>
      <c r="B64" s="294" t="str">
        <f>"      ("&amp;TEXT(SIT,"0.00#%")&amp;" * "&amp;TEXT(I61,"##.####%")&amp;" * "&amp;TEXT(APPORT,"##.####%")&amp;")"</f>
        <v xml:space="preserve">      (5.00% * 98.9236% * 99.37%)</v>
      </c>
      <c r="C64" s="294"/>
      <c r="D64" s="294"/>
      <c r="E64" s="294"/>
      <c r="F64" s="294"/>
      <c r="G64" s="294"/>
      <c r="H64" s="294"/>
      <c r="I64" s="442">
        <f>ROUND(SIT*SCH_H!I61*APPORT,7)</f>
        <v>4.9150199999999998E-2</v>
      </c>
      <c r="J64" s="294"/>
      <c r="K64" s="294"/>
      <c r="L64" s="294"/>
      <c r="M64" s="437"/>
      <c r="N64" s="294"/>
      <c r="O64" s="294"/>
      <c r="P64" s="294"/>
      <c r="Q64" s="294"/>
      <c r="R64" s="294"/>
      <c r="S64" s="294"/>
      <c r="T64" s="294"/>
      <c r="U64" s="294"/>
      <c r="V64" s="294"/>
      <c r="W64" s="294"/>
      <c r="X64" s="294"/>
      <c r="Y64" s="294"/>
      <c r="Z64" s="294"/>
    </row>
    <row r="65" spans="1:26">
      <c r="A65" s="438">
        <v>12</v>
      </c>
      <c r="B65" s="294"/>
      <c r="C65" s="294"/>
      <c r="D65" s="294"/>
      <c r="E65" s="294"/>
      <c r="F65" s="294"/>
      <c r="G65" s="294"/>
      <c r="H65" s="294"/>
      <c r="I65" s="439"/>
      <c r="J65" s="294"/>
      <c r="K65" s="294"/>
      <c r="L65" s="294"/>
      <c r="M65" s="437"/>
      <c r="N65" s="294"/>
      <c r="O65" s="294"/>
      <c r="P65" s="294"/>
      <c r="Q65" s="294"/>
      <c r="R65" s="294"/>
      <c r="S65" s="294"/>
      <c r="T65" s="294"/>
      <c r="U65" s="294"/>
      <c r="V65" s="294"/>
      <c r="W65" s="294"/>
      <c r="X65" s="294"/>
      <c r="Y65" s="294"/>
      <c r="Z65" s="294"/>
    </row>
    <row r="66" spans="1:26">
      <c r="A66" s="438">
        <v>13</v>
      </c>
      <c r="B66" s="437" t="s">
        <v>2798</v>
      </c>
      <c r="C66" s="294"/>
      <c r="D66" s="294"/>
      <c r="E66" s="294"/>
      <c r="F66" s="294"/>
      <c r="G66" s="294"/>
      <c r="H66" s="294"/>
      <c r="I66" s="452">
        <f>I61-I64</f>
        <v>0.94008579999999997</v>
      </c>
      <c r="J66" s="294"/>
      <c r="K66" s="294"/>
      <c r="L66" s="294"/>
      <c r="M66" s="437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</row>
    <row r="67" spans="1:26">
      <c r="A67" s="438">
        <v>14</v>
      </c>
      <c r="B67" s="294"/>
      <c r="C67" s="294"/>
      <c r="D67" s="294"/>
      <c r="E67" s="294"/>
      <c r="F67" s="294"/>
      <c r="G67" s="294"/>
      <c r="H67" s="294"/>
      <c r="I67" s="439"/>
      <c r="J67" s="294"/>
      <c r="K67" s="294"/>
      <c r="L67" s="294"/>
      <c r="M67" s="437"/>
      <c r="N67" s="294"/>
      <c r="O67" s="294"/>
      <c r="P67" s="294"/>
      <c r="Q67" s="294"/>
      <c r="R67" s="294"/>
      <c r="S67" s="294"/>
      <c r="T67" s="294"/>
      <c r="U67" s="294"/>
      <c r="V67" s="294"/>
      <c r="W67" s="294"/>
      <c r="X67" s="294"/>
      <c r="Y67" s="294"/>
      <c r="Z67" s="294"/>
    </row>
    <row r="68" spans="1:26">
      <c r="A68" s="438">
        <v>15</v>
      </c>
      <c r="B68" s="437" t="str">
        <f>"        Federal Income Tax ("&amp;TEXT(FIT,"##%")&amp;" x "&amp;TEXT(I66,"##.####%")&amp;")"</f>
        <v xml:space="preserve">        Federal Income Tax (21% x 94.0086%)</v>
      </c>
      <c r="C68" s="440"/>
      <c r="D68" s="445"/>
      <c r="E68" s="445"/>
      <c r="F68" s="440"/>
      <c r="G68" s="437"/>
      <c r="H68" s="437"/>
      <c r="I68" s="442">
        <f>ROUND(FIT*SCH_H!I66,7)</f>
        <v>0.19741800000000001</v>
      </c>
      <c r="J68" s="294"/>
      <c r="K68" s="294"/>
      <c r="L68" s="294"/>
      <c r="M68" s="437"/>
      <c r="N68" s="294"/>
      <c r="O68" s="294"/>
      <c r="P68" s="294"/>
      <c r="Q68" s="294"/>
      <c r="R68" s="294"/>
      <c r="S68" s="294"/>
      <c r="T68" s="294"/>
      <c r="U68" s="294"/>
      <c r="V68" s="294"/>
      <c r="W68" s="294"/>
      <c r="X68" s="294"/>
      <c r="Y68" s="294"/>
      <c r="Z68" s="294"/>
    </row>
    <row r="69" spans="1:26">
      <c r="A69" s="438">
        <v>16</v>
      </c>
      <c r="B69" s="294"/>
      <c r="C69" s="440"/>
      <c r="D69" s="294"/>
      <c r="E69" s="294"/>
      <c r="F69" s="439"/>
      <c r="G69" s="294"/>
      <c r="H69" s="294"/>
      <c r="I69" s="443"/>
      <c r="J69" s="294"/>
      <c r="K69" s="294"/>
      <c r="L69" s="294"/>
      <c r="M69" s="437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4"/>
      <c r="Y69" s="294"/>
      <c r="Z69" s="294"/>
    </row>
    <row r="70" spans="1:26">
      <c r="A70" s="438">
        <v>17</v>
      </c>
      <c r="B70" s="437" t="s">
        <v>2799</v>
      </c>
      <c r="C70" s="294"/>
      <c r="D70" s="444"/>
      <c r="E70" s="444"/>
      <c r="F70" s="294"/>
      <c r="G70" s="294"/>
      <c r="H70" s="294"/>
      <c r="I70" s="448">
        <f>ROUND(I66-I68,7)</f>
        <v>0.74266779999999999</v>
      </c>
      <c r="J70" s="294"/>
      <c r="K70" s="294"/>
      <c r="L70" s="294"/>
      <c r="M70" s="437"/>
      <c r="N70" s="294"/>
      <c r="O70" s="294"/>
      <c r="P70" s="294"/>
      <c r="Q70" s="294"/>
      <c r="R70" s="294"/>
      <c r="S70" s="294"/>
      <c r="T70" s="294"/>
      <c r="U70" s="294"/>
      <c r="V70" s="294"/>
      <c r="W70" s="294"/>
      <c r="X70" s="294"/>
      <c r="Y70" s="294"/>
      <c r="Z70" s="294"/>
    </row>
    <row r="71" spans="1:26">
      <c r="A71" s="438">
        <v>18</v>
      </c>
      <c r="B71" s="294"/>
      <c r="C71" s="294"/>
      <c r="D71" s="294"/>
      <c r="E71" s="294"/>
      <c r="F71" s="294"/>
      <c r="G71" s="294"/>
      <c r="H71" s="294"/>
      <c r="I71" s="445"/>
      <c r="J71" s="294"/>
      <c r="K71" s="294"/>
      <c r="L71" s="294"/>
      <c r="M71" s="437"/>
      <c r="N71" s="294"/>
      <c r="O71" s="294"/>
      <c r="P71" s="294"/>
      <c r="Q71" s="294"/>
      <c r="R71" s="294"/>
      <c r="S71" s="294"/>
      <c r="T71" s="294"/>
      <c r="U71" s="294"/>
      <c r="V71" s="294"/>
      <c r="W71" s="294"/>
      <c r="X71" s="294"/>
      <c r="Y71" s="294"/>
      <c r="Z71" s="294"/>
    </row>
    <row r="72" spans="1:26">
      <c r="A72" s="438">
        <v>19</v>
      </c>
      <c r="B72" s="437" t="str">
        <f>"   Gross Revenue Conversion Factor ("&amp;TEXT(I54,"####%")&amp;" / "&amp;TEXT(I70,"##.####%")&amp;")"</f>
        <v xml:space="preserve">   Gross Revenue Conversion Factor (100% / 74.2668%)</v>
      </c>
      <c r="C72" s="294"/>
      <c r="D72" s="294"/>
      <c r="E72" s="294"/>
      <c r="F72" s="294"/>
      <c r="G72" s="294"/>
      <c r="H72" s="294"/>
      <c r="I72" s="447">
        <f>ROUND((I54/I70),7)</f>
        <v>1.3464970000000001</v>
      </c>
      <c r="J72" s="294"/>
      <c r="K72" s="294"/>
      <c r="L72" s="294"/>
      <c r="M72" s="437"/>
      <c r="N72" s="294"/>
      <c r="O72" s="294"/>
      <c r="P72" s="294"/>
      <c r="Q72" s="294"/>
      <c r="R72" s="294"/>
      <c r="S72" s="294"/>
      <c r="T72" s="294"/>
      <c r="U72" s="294"/>
      <c r="V72" s="294"/>
      <c r="W72" s="294"/>
      <c r="X72" s="294"/>
      <c r="Y72" s="294"/>
      <c r="Z72" s="294"/>
    </row>
    <row r="73" spans="1:26">
      <c r="A73" s="438"/>
      <c r="B73" s="445"/>
      <c r="C73" s="440"/>
      <c r="D73" s="437"/>
      <c r="E73" s="437"/>
      <c r="F73" s="294"/>
      <c r="G73" s="294"/>
      <c r="H73" s="294"/>
      <c r="I73" s="294"/>
      <c r="J73" s="294"/>
      <c r="K73" s="294"/>
      <c r="L73" s="294"/>
      <c r="M73" s="437"/>
      <c r="N73" s="294"/>
      <c r="O73" s="294"/>
      <c r="P73" s="294"/>
      <c r="Q73" s="294"/>
      <c r="R73" s="294"/>
      <c r="S73" s="294"/>
      <c r="T73" s="294"/>
      <c r="U73" s="294"/>
      <c r="V73" s="294"/>
      <c r="W73" s="294"/>
      <c r="X73" s="294"/>
      <c r="Y73" s="294"/>
      <c r="Z73" s="294"/>
    </row>
    <row r="74" spans="1:26">
      <c r="A74" s="438"/>
      <c r="B74" s="294"/>
      <c r="C74" s="294"/>
      <c r="D74" s="294"/>
      <c r="E74" s="294"/>
      <c r="F74" s="294"/>
      <c r="G74" s="294"/>
      <c r="H74" s="294"/>
      <c r="I74" s="445"/>
      <c r="J74" s="294"/>
      <c r="K74" s="294"/>
      <c r="L74" s="294"/>
      <c r="M74" s="437"/>
      <c r="N74" s="294"/>
      <c r="O74" s="294"/>
      <c r="P74" s="294"/>
      <c r="Q74" s="294"/>
      <c r="R74" s="294"/>
      <c r="S74" s="294"/>
      <c r="T74" s="294"/>
      <c r="U74" s="294"/>
      <c r="V74" s="294"/>
      <c r="W74" s="294"/>
      <c r="X74" s="294"/>
      <c r="Y74" s="294"/>
      <c r="Z74" s="294"/>
    </row>
    <row r="75" spans="1:26">
      <c r="A75" s="437"/>
      <c r="B75" s="294"/>
      <c r="C75" s="294"/>
      <c r="D75" s="294"/>
      <c r="E75" s="294"/>
      <c r="F75" s="294"/>
      <c r="G75" s="294"/>
      <c r="H75" s="294"/>
      <c r="I75" s="294"/>
      <c r="J75" s="294"/>
      <c r="K75" s="294"/>
      <c r="L75" s="294"/>
      <c r="M75" s="437"/>
      <c r="N75" s="294"/>
      <c r="O75" s="294"/>
      <c r="P75" s="294"/>
      <c r="Q75" s="294"/>
      <c r="R75" s="294"/>
      <c r="S75" s="294"/>
      <c r="T75" s="294"/>
      <c r="U75" s="294"/>
      <c r="V75" s="294"/>
      <c r="W75" s="294"/>
      <c r="X75" s="294"/>
      <c r="Y75" s="294"/>
      <c r="Z75" s="294"/>
    </row>
    <row r="76" spans="1:26">
      <c r="A76" s="294"/>
      <c r="B76" s="294"/>
      <c r="C76" s="294"/>
      <c r="D76" s="294"/>
      <c r="E76" s="294"/>
      <c r="F76" s="294"/>
      <c r="G76" s="294"/>
      <c r="H76" s="294"/>
      <c r="I76" s="294"/>
      <c r="J76" s="294"/>
      <c r="K76" s="294"/>
      <c r="L76" s="294"/>
      <c r="M76" s="437"/>
      <c r="N76" s="294"/>
      <c r="O76" s="294"/>
      <c r="P76" s="294"/>
      <c r="Q76" s="294"/>
      <c r="R76" s="294"/>
      <c r="S76" s="294"/>
      <c r="T76" s="294"/>
      <c r="U76" s="294"/>
      <c r="V76" s="294"/>
      <c r="W76" s="294"/>
      <c r="X76" s="294"/>
      <c r="Y76" s="294"/>
      <c r="Z76" s="294"/>
    </row>
    <row r="77" spans="1:26">
      <c r="A77" s="294"/>
      <c r="B77" s="294"/>
      <c r="C77" s="294"/>
      <c r="D77" s="294"/>
      <c r="E77" s="294"/>
      <c r="F77" s="294"/>
      <c r="G77" s="294"/>
      <c r="H77" s="294"/>
      <c r="I77" s="294"/>
      <c r="J77" s="294"/>
      <c r="K77" s="294"/>
      <c r="L77" s="294"/>
      <c r="M77" s="437"/>
      <c r="N77" s="294"/>
      <c r="O77" s="294"/>
      <c r="P77" s="294"/>
      <c r="Q77" s="294"/>
      <c r="R77" s="294"/>
      <c r="S77" s="294"/>
      <c r="T77" s="294"/>
      <c r="U77" s="294"/>
      <c r="V77" s="294"/>
      <c r="W77" s="294"/>
      <c r="X77" s="294"/>
      <c r="Y77" s="294"/>
      <c r="Z77" s="294"/>
    </row>
    <row r="78" spans="1:26">
      <c r="A78" s="294"/>
      <c r="B78" s="294"/>
      <c r="C78" s="294"/>
      <c r="D78" s="294"/>
      <c r="E78" s="294"/>
      <c r="F78" s="294"/>
      <c r="G78" s="294"/>
      <c r="H78" s="294"/>
      <c r="I78" s="294"/>
      <c r="J78" s="294"/>
      <c r="K78" s="294"/>
      <c r="L78" s="294"/>
      <c r="M78" s="437"/>
      <c r="N78" s="1414"/>
      <c r="P78" s="294"/>
      <c r="Q78" s="294"/>
      <c r="R78" s="294"/>
      <c r="S78" s="294"/>
      <c r="T78" s="294"/>
      <c r="U78" s="294"/>
      <c r="V78" s="294"/>
      <c r="W78" s="294"/>
      <c r="X78" s="294"/>
      <c r="Y78" s="294"/>
      <c r="Z78" s="294"/>
    </row>
    <row r="79" spans="1:26">
      <c r="A79" s="294"/>
      <c r="B79" s="294"/>
      <c r="C79" s="294"/>
      <c r="D79" s="294"/>
      <c r="E79" s="294"/>
      <c r="F79" s="294"/>
      <c r="G79" s="294"/>
      <c r="H79" s="294"/>
      <c r="I79" s="294"/>
      <c r="J79" s="294"/>
      <c r="K79" s="294"/>
      <c r="L79" s="294"/>
      <c r="M79" s="437"/>
      <c r="N79" s="1414"/>
      <c r="P79" s="294"/>
      <c r="Q79" s="294"/>
      <c r="R79" s="294"/>
      <c r="S79" s="294"/>
      <c r="T79" s="294"/>
      <c r="U79" s="294"/>
      <c r="V79" s="294"/>
      <c r="W79" s="294"/>
      <c r="X79" s="294"/>
      <c r="Y79" s="294"/>
      <c r="Z79" s="294"/>
    </row>
    <row r="80" spans="1:26">
      <c r="A80" s="294"/>
      <c r="B80" s="294"/>
      <c r="C80" s="294"/>
      <c r="D80" s="294"/>
      <c r="E80" s="294"/>
      <c r="F80" s="294"/>
      <c r="G80" s="294"/>
      <c r="H80" s="294"/>
      <c r="I80" s="294"/>
      <c r="J80" s="294"/>
      <c r="K80" s="294"/>
      <c r="L80" s="294"/>
      <c r="M80" s="437"/>
      <c r="N80" s="141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</row>
    <row r="81" spans="1:27">
      <c r="A81" s="294"/>
      <c r="B81" s="294"/>
      <c r="C81" s="294"/>
      <c r="D81" s="294"/>
      <c r="E81" s="294"/>
      <c r="F81" s="2174" t="s">
        <v>2800</v>
      </c>
      <c r="G81" s="2175"/>
      <c r="H81" s="2175"/>
      <c r="I81" s="2176">
        <f>ROUND(I54/I61,7)</f>
        <v>1.0108811</v>
      </c>
      <c r="J81" s="294"/>
      <c r="K81" s="294"/>
      <c r="L81" s="294"/>
      <c r="M81" s="437"/>
      <c r="N81" s="1414"/>
      <c r="P81" s="294"/>
      <c r="Q81" s="294"/>
      <c r="R81" s="294"/>
      <c r="S81" s="294"/>
      <c r="T81" s="294"/>
      <c r="U81" s="294"/>
      <c r="V81" s="294"/>
      <c r="W81" s="294"/>
      <c r="X81" s="294"/>
      <c r="Y81" s="294"/>
      <c r="Z81" s="294"/>
    </row>
    <row r="82" spans="1:27">
      <c r="A82" s="294"/>
      <c r="B82" s="294"/>
      <c r="C82" s="294"/>
      <c r="D82" s="294"/>
      <c r="E82" s="294"/>
      <c r="F82" s="294"/>
      <c r="G82" s="294"/>
      <c r="H82" s="294"/>
      <c r="I82" s="1178"/>
      <c r="J82" s="294"/>
      <c r="K82" s="294"/>
      <c r="L82" s="294"/>
      <c r="M82" s="437"/>
      <c r="N82" s="1414"/>
      <c r="P82" s="294"/>
      <c r="Q82" s="294"/>
      <c r="R82" s="294"/>
      <c r="S82" s="294"/>
      <c r="T82" s="294"/>
      <c r="U82" s="294"/>
      <c r="V82" s="294"/>
      <c r="W82" s="294"/>
      <c r="X82" s="294"/>
      <c r="Y82" s="294"/>
      <c r="Z82" s="294"/>
    </row>
    <row r="83" spans="1:27">
      <c r="A83" s="294"/>
      <c r="B83" s="294"/>
      <c r="C83" s="294"/>
      <c r="D83" s="294"/>
      <c r="E83" s="294"/>
      <c r="F83" s="294"/>
      <c r="G83" s="294"/>
      <c r="H83" s="294"/>
      <c r="I83" s="294"/>
      <c r="J83" s="294"/>
      <c r="K83" s="94" t="str">
        <f>COMPANY</f>
        <v>DUKE ENERGY KENTUCKY, INC.</v>
      </c>
      <c r="L83" s="94"/>
      <c r="M83" s="449"/>
      <c r="N83" s="1903"/>
      <c r="P83" s="294"/>
      <c r="Q83" s="294"/>
      <c r="R83" s="294"/>
      <c r="S83" s="294"/>
      <c r="T83" s="294"/>
      <c r="U83" s="294"/>
      <c r="W83" s="294"/>
      <c r="X83" s="94" t="s">
        <v>2100</v>
      </c>
      <c r="Y83" s="294"/>
      <c r="Z83" s="294"/>
    </row>
    <row r="84" spans="1:27">
      <c r="A84" s="294"/>
      <c r="B84" s="294"/>
      <c r="C84" s="294"/>
      <c r="D84" s="294"/>
      <c r="E84" s="294"/>
      <c r="F84" s="294"/>
      <c r="G84" s="294"/>
      <c r="H84" s="294"/>
      <c r="I84" s="294"/>
      <c r="J84" s="294"/>
      <c r="K84" s="94" t="str">
        <f>DEPT</f>
        <v>ELECTRIC DEPARTMENT</v>
      </c>
      <c r="L84" s="94"/>
      <c r="M84" s="449"/>
      <c r="N84" s="1903"/>
      <c r="P84" s="294"/>
      <c r="Q84" s="294"/>
      <c r="R84" s="294"/>
      <c r="S84" s="294"/>
      <c r="T84" s="294"/>
      <c r="U84" s="294"/>
      <c r="W84" s="294"/>
      <c r="X84" s="437" t="s">
        <v>468</v>
      </c>
      <c r="Y84" s="294"/>
      <c r="Z84" s="294"/>
    </row>
    <row r="85" spans="1:27">
      <c r="A85" s="294"/>
      <c r="B85" s="294"/>
      <c r="C85" s="294"/>
      <c r="D85" s="294"/>
      <c r="E85" s="294"/>
      <c r="F85" s="294"/>
      <c r="G85" s="294"/>
      <c r="H85" s="294"/>
      <c r="I85" s="294"/>
      <c r="J85" s="294"/>
      <c r="K85" s="94" t="str">
        <f>CASE</f>
        <v>CASE NO. 2024-00354</v>
      </c>
      <c r="L85" s="94"/>
      <c r="M85" s="449"/>
      <c r="N85" s="1903"/>
      <c r="P85" s="294"/>
      <c r="Q85" s="294"/>
      <c r="R85" s="294"/>
      <c r="S85" s="294"/>
      <c r="T85" s="294"/>
      <c r="U85" s="294"/>
      <c r="W85" s="294"/>
      <c r="X85" s="94" t="str">
        <f>_WIT1</f>
        <v>L. D. STEINKUHL</v>
      </c>
      <c r="Y85" s="294"/>
      <c r="Z85" s="294"/>
    </row>
    <row r="86" spans="1:27">
      <c r="A86" s="294"/>
      <c r="B86" s="294"/>
      <c r="C86" s="294"/>
      <c r="D86" s="294"/>
      <c r="E86" s="294"/>
      <c r="F86" s="294"/>
      <c r="G86" s="294"/>
      <c r="H86" s="294"/>
      <c r="I86" s="294"/>
      <c r="J86" s="437"/>
      <c r="K86" s="32" t="s">
        <v>2801</v>
      </c>
      <c r="L86" s="94"/>
      <c r="M86" s="449"/>
      <c r="N86" s="449"/>
      <c r="O86" s="449"/>
      <c r="P86" s="94"/>
      <c r="Q86" s="294"/>
      <c r="R86" s="294"/>
      <c r="S86" s="294"/>
      <c r="T86" s="294"/>
      <c r="U86" s="294"/>
      <c r="V86" s="294"/>
      <c r="W86" s="294"/>
      <c r="X86" s="294"/>
      <c r="Y86" s="294"/>
      <c r="Z86" s="294"/>
    </row>
    <row r="87" spans="1:27">
      <c r="A87" s="294"/>
      <c r="B87" s="294"/>
      <c r="C87" s="294"/>
      <c r="D87" s="294"/>
      <c r="E87" s="294"/>
      <c r="F87" s="294"/>
      <c r="G87" s="294"/>
      <c r="H87" s="294"/>
      <c r="I87" s="294"/>
      <c r="J87" s="294"/>
      <c r="K87" s="94"/>
      <c r="L87" s="94"/>
      <c r="M87" s="449"/>
      <c r="N87" s="449"/>
      <c r="O87" s="449"/>
      <c r="P87" s="94"/>
      <c r="Q87" s="94"/>
      <c r="R87" s="294"/>
      <c r="S87" s="294"/>
      <c r="T87" s="294"/>
      <c r="U87" s="294"/>
      <c r="V87" s="294"/>
      <c r="W87" s="294"/>
      <c r="X87" s="294"/>
      <c r="Y87" s="294"/>
      <c r="Z87" s="294"/>
    </row>
    <row r="88" spans="1:27">
      <c r="A88" s="294"/>
      <c r="B88" s="294"/>
      <c r="C88" s="294"/>
      <c r="D88" s="294"/>
      <c r="E88" s="294"/>
      <c r="F88" s="294"/>
      <c r="G88" s="294"/>
      <c r="H88" s="294"/>
      <c r="I88" s="294"/>
      <c r="J88" s="294"/>
      <c r="K88" s="94"/>
      <c r="L88" s="94"/>
      <c r="M88" s="449"/>
      <c r="N88" s="449"/>
      <c r="O88" s="449"/>
      <c r="P88" s="94"/>
      <c r="Q88" s="94"/>
      <c r="R88" s="294"/>
      <c r="S88" s="294"/>
      <c r="T88" s="294"/>
      <c r="U88" s="294"/>
      <c r="V88" s="294"/>
      <c r="W88" s="294"/>
      <c r="X88" s="294"/>
      <c r="Y88" s="294"/>
      <c r="Z88" s="294"/>
    </row>
    <row r="89" spans="1:27">
      <c r="A89" s="294"/>
      <c r="B89" s="294"/>
      <c r="C89" s="294"/>
      <c r="D89" s="294"/>
      <c r="E89" s="294"/>
      <c r="F89" s="294"/>
      <c r="G89" s="294"/>
      <c r="H89" s="294"/>
      <c r="I89" s="294"/>
      <c r="J89" s="294"/>
      <c r="K89" s="94"/>
      <c r="L89" s="94"/>
      <c r="M89" s="449"/>
      <c r="N89" s="449"/>
      <c r="O89" s="449"/>
      <c r="P89" s="1904"/>
      <c r="Q89" s="94"/>
      <c r="R89" s="294"/>
      <c r="S89" s="294"/>
      <c r="T89" s="294"/>
      <c r="U89" s="294"/>
      <c r="V89" s="294"/>
      <c r="W89" s="294"/>
      <c r="X89" s="294"/>
      <c r="Y89" s="294"/>
      <c r="Z89" s="294"/>
    </row>
    <row r="90" spans="1:27">
      <c r="A90" s="294"/>
      <c r="B90" s="294"/>
      <c r="C90" s="294"/>
      <c r="D90" s="294"/>
      <c r="E90" s="294"/>
      <c r="F90" s="294"/>
      <c r="G90" s="294"/>
      <c r="H90" s="294"/>
      <c r="I90" s="294"/>
      <c r="J90" s="438"/>
      <c r="K90" s="33" t="s">
        <v>573</v>
      </c>
      <c r="L90" s="29"/>
      <c r="M90" s="33"/>
      <c r="N90" s="33"/>
      <c r="O90" s="1905"/>
      <c r="P90" s="1905"/>
      <c r="Q90" s="94"/>
      <c r="R90" s="438"/>
      <c r="S90" s="438"/>
      <c r="T90" s="438"/>
      <c r="U90" s="438"/>
      <c r="V90" s="438"/>
      <c r="W90" s="438"/>
      <c r="X90" s="294"/>
      <c r="Y90" s="294"/>
      <c r="Z90" s="294"/>
      <c r="AA90" s="1901"/>
    </row>
    <row r="91" spans="1:27">
      <c r="A91" s="294"/>
      <c r="B91" s="294"/>
      <c r="C91" s="294"/>
      <c r="D91" s="294"/>
      <c r="E91" s="294"/>
      <c r="F91" s="294"/>
      <c r="G91" s="294"/>
      <c r="H91" s="294"/>
      <c r="I91" s="294"/>
      <c r="J91" s="450"/>
      <c r="K91" s="201" t="s">
        <v>576</v>
      </c>
      <c r="L91" s="201" t="s">
        <v>2</v>
      </c>
      <c r="M91" s="1906">
        <v>44927</v>
      </c>
      <c r="N91" s="1906">
        <v>44958</v>
      </c>
      <c r="O91" s="1906">
        <v>44986</v>
      </c>
      <c r="P91" s="1906">
        <v>45017</v>
      </c>
      <c r="Q91" s="1906">
        <v>45047</v>
      </c>
      <c r="R91" s="1906">
        <v>45078</v>
      </c>
      <c r="S91" s="1906">
        <v>45108</v>
      </c>
      <c r="T91" s="1906">
        <v>45139</v>
      </c>
      <c r="U91" s="1906">
        <v>45170</v>
      </c>
      <c r="V91" s="1906">
        <v>45200</v>
      </c>
      <c r="W91" s="1906">
        <v>45231</v>
      </c>
      <c r="X91" s="1906">
        <v>45261</v>
      </c>
      <c r="Y91" s="450" t="s">
        <v>258</v>
      </c>
      <c r="Z91" s="294"/>
      <c r="AA91" s="1901"/>
    </row>
    <row r="92" spans="1:27">
      <c r="A92" s="294"/>
      <c r="B92" s="294"/>
      <c r="C92" s="294"/>
      <c r="D92" s="294"/>
      <c r="E92" s="294"/>
      <c r="F92" s="294"/>
      <c r="G92" s="294"/>
      <c r="H92" s="294"/>
      <c r="I92" s="294"/>
      <c r="J92" s="437"/>
      <c r="K92" s="32"/>
      <c r="L92" s="1907"/>
      <c r="M92" s="32"/>
      <c r="N92" s="1908"/>
      <c r="O92" s="1909"/>
      <c r="P92" s="1910"/>
      <c r="Q92" s="94"/>
      <c r="R92" s="445"/>
      <c r="S92" s="445"/>
      <c r="T92" s="445"/>
      <c r="U92" s="445"/>
      <c r="V92" s="445"/>
      <c r="W92" s="445"/>
      <c r="X92" s="294"/>
      <c r="Y92" s="294"/>
      <c r="Z92" s="294"/>
      <c r="AA92" s="1901"/>
    </row>
    <row r="93" spans="1:27">
      <c r="A93" s="294"/>
      <c r="B93" s="294"/>
      <c r="C93" s="294"/>
      <c r="D93" s="294"/>
      <c r="E93" s="294"/>
      <c r="F93" s="294"/>
      <c r="G93" s="294"/>
      <c r="H93" s="294"/>
      <c r="I93" s="294"/>
      <c r="J93" s="438"/>
      <c r="K93" s="33">
        <v>1</v>
      </c>
      <c r="L93" s="29" t="s">
        <v>2802</v>
      </c>
      <c r="M93" s="1917">
        <v>510155</v>
      </c>
      <c r="N93" s="1917">
        <v>457742</v>
      </c>
      <c r="O93" s="1917">
        <v>413757</v>
      </c>
      <c r="P93" s="1917">
        <v>467729</v>
      </c>
      <c r="Q93" s="1917">
        <v>616659</v>
      </c>
      <c r="R93" s="1917">
        <v>424436</v>
      </c>
      <c r="S93" s="1917">
        <v>451268</v>
      </c>
      <c r="T93" s="1917">
        <v>432402</v>
      </c>
      <c r="U93" s="1917">
        <v>305795</v>
      </c>
      <c r="V93" s="1918">
        <v>394311</v>
      </c>
      <c r="W93" s="1918">
        <v>335228</v>
      </c>
      <c r="X93" s="1918">
        <v>292569</v>
      </c>
      <c r="Y93" s="1915">
        <f>SUM(M93:X93)</f>
        <v>5102051</v>
      </c>
      <c r="Z93" s="294"/>
      <c r="AA93" s="1902"/>
    </row>
    <row r="94" spans="1:27" ht="15" customHeight="1">
      <c r="A94" s="294"/>
      <c r="B94" s="294"/>
      <c r="C94" s="294"/>
      <c r="D94" s="294"/>
      <c r="E94" s="294"/>
      <c r="F94" s="294"/>
      <c r="G94" s="294"/>
      <c r="H94" s="294"/>
      <c r="I94" s="294"/>
      <c r="J94" s="438"/>
      <c r="K94" s="33">
        <v>2</v>
      </c>
      <c r="L94" s="29" t="s">
        <v>2803</v>
      </c>
      <c r="M94" s="1919">
        <v>68316</v>
      </c>
      <c r="N94" s="1919">
        <v>123945</v>
      </c>
      <c r="O94" s="1919">
        <v>112709</v>
      </c>
      <c r="P94" s="1919">
        <v>76603</v>
      </c>
      <c r="Q94" s="1919">
        <v>99249</v>
      </c>
      <c r="R94" s="1919">
        <v>112769</v>
      </c>
      <c r="S94" s="1919">
        <v>94840</v>
      </c>
      <c r="T94" s="1919">
        <v>168297</v>
      </c>
      <c r="U94" s="1919">
        <v>138528</v>
      </c>
      <c r="V94" s="1920">
        <v>84483</v>
      </c>
      <c r="W94" s="1920">
        <v>66363</v>
      </c>
      <c r="X94" s="1920">
        <v>67088</v>
      </c>
      <c r="Y94" s="1916">
        <f>SUM(M94:X94)</f>
        <v>1213190</v>
      </c>
      <c r="Z94" s="294"/>
      <c r="AA94" s="1901"/>
    </row>
    <row r="95" spans="1:27">
      <c r="A95" s="294"/>
      <c r="B95" s="294"/>
      <c r="C95" s="294"/>
      <c r="D95" s="294"/>
      <c r="E95" s="294"/>
      <c r="F95" s="294"/>
      <c r="G95" s="294"/>
      <c r="H95" s="294"/>
      <c r="I95" s="294"/>
      <c r="J95" s="438"/>
      <c r="K95" s="33">
        <v>3</v>
      </c>
      <c r="L95" s="29" t="s">
        <v>2804</v>
      </c>
      <c r="M95" s="1915">
        <f>+M93-M94</f>
        <v>441839</v>
      </c>
      <c r="N95" s="1915">
        <f t="shared" ref="N95:X95" si="0">+N93-N94</f>
        <v>333797</v>
      </c>
      <c r="O95" s="1915">
        <f t="shared" si="0"/>
        <v>301048</v>
      </c>
      <c r="P95" s="1915">
        <f t="shared" si="0"/>
        <v>391126</v>
      </c>
      <c r="Q95" s="1915">
        <f t="shared" si="0"/>
        <v>517410</v>
      </c>
      <c r="R95" s="1915">
        <f t="shared" si="0"/>
        <v>311667</v>
      </c>
      <c r="S95" s="1915">
        <f t="shared" si="0"/>
        <v>356428</v>
      </c>
      <c r="T95" s="1915">
        <f t="shared" si="0"/>
        <v>264105</v>
      </c>
      <c r="U95" s="1915">
        <f t="shared" si="0"/>
        <v>167267</v>
      </c>
      <c r="V95" s="1915">
        <f t="shared" si="0"/>
        <v>309828</v>
      </c>
      <c r="W95" s="1915">
        <f t="shared" si="0"/>
        <v>268865</v>
      </c>
      <c r="X95" s="1915">
        <f t="shared" si="0"/>
        <v>225481</v>
      </c>
      <c r="Y95" s="1915">
        <f>+Y93-Y94</f>
        <v>3888861</v>
      </c>
      <c r="Z95" s="294"/>
      <c r="AA95" s="1901"/>
    </row>
    <row r="96" spans="1:27">
      <c r="A96" s="294"/>
      <c r="B96" s="294"/>
      <c r="C96" s="294"/>
      <c r="D96" s="294"/>
      <c r="E96" s="294"/>
      <c r="F96" s="294"/>
      <c r="G96" s="294"/>
      <c r="H96" s="294"/>
      <c r="I96" s="294"/>
      <c r="J96" s="438"/>
      <c r="K96" s="33">
        <v>4</v>
      </c>
      <c r="L96" s="29"/>
      <c r="M96" s="1917"/>
      <c r="N96" s="1917"/>
      <c r="O96" s="1917"/>
      <c r="P96" s="1917"/>
      <c r="Q96" s="1917"/>
      <c r="R96" s="1917"/>
      <c r="S96" s="1917"/>
      <c r="T96" s="1917"/>
      <c r="U96" s="1917"/>
      <c r="V96" s="1917"/>
      <c r="W96" s="1917"/>
      <c r="X96" s="1917"/>
      <c r="Y96" s="1915"/>
      <c r="Z96" s="294"/>
      <c r="AA96" s="1901"/>
    </row>
    <row r="97" spans="1:26">
      <c r="A97" s="294"/>
      <c r="B97" s="294"/>
      <c r="C97" s="294"/>
      <c r="D97" s="294"/>
      <c r="E97" s="294"/>
      <c r="F97" s="294"/>
      <c r="G97" s="294"/>
      <c r="H97" s="294"/>
      <c r="I97" s="294"/>
      <c r="J97" s="438"/>
      <c r="K97" s="33">
        <v>5</v>
      </c>
      <c r="L97" s="29" t="s">
        <v>359</v>
      </c>
      <c r="M97" s="1917">
        <v>47312635</v>
      </c>
      <c r="N97" s="1917">
        <v>33197716</v>
      </c>
      <c r="O97" s="1917">
        <v>27604312</v>
      </c>
      <c r="P97" s="1917">
        <v>17525453</v>
      </c>
      <c r="Q97" s="1917">
        <v>35187926</v>
      </c>
      <c r="R97" s="1917">
        <v>35847105</v>
      </c>
      <c r="S97" s="1917">
        <v>34869511</v>
      </c>
      <c r="T97" s="1917">
        <v>40074407</v>
      </c>
      <c r="U97" s="1917">
        <v>41263057</v>
      </c>
      <c r="V97" s="1918">
        <v>34543129</v>
      </c>
      <c r="W97" s="1918">
        <v>34320746</v>
      </c>
      <c r="X97" s="1918">
        <v>40472676</v>
      </c>
      <c r="Y97" s="1915">
        <f>SUM(M97:X97)</f>
        <v>422218673</v>
      </c>
      <c r="Z97" s="294"/>
    </row>
    <row r="98" spans="1:26">
      <c r="A98" s="294"/>
      <c r="B98" s="294"/>
      <c r="C98" s="294"/>
      <c r="D98" s="294"/>
      <c r="E98" s="294"/>
      <c r="F98" s="294"/>
      <c r="G98" s="294"/>
      <c r="H98" s="294"/>
      <c r="I98" s="294"/>
      <c r="J98" s="438"/>
      <c r="K98" s="33">
        <v>6</v>
      </c>
      <c r="L98" s="32"/>
      <c r="M98" s="1911"/>
      <c r="N98" s="1912"/>
      <c r="O98" s="451"/>
      <c r="P98" s="451"/>
      <c r="Q98" s="451"/>
      <c r="R98" s="452"/>
      <c r="S98" s="452"/>
      <c r="T98" s="452"/>
      <c r="U98" s="452"/>
      <c r="V98" s="452"/>
      <c r="W98" s="452"/>
      <c r="X98" s="452"/>
      <c r="Y98" s="1913"/>
      <c r="Z98" s="294"/>
    </row>
    <row r="99" spans="1:26">
      <c r="A99" s="294"/>
      <c r="B99" s="294"/>
      <c r="C99" s="294"/>
      <c r="D99" s="294"/>
      <c r="E99" s="294"/>
      <c r="F99" s="294"/>
      <c r="G99" s="294"/>
      <c r="H99" s="294"/>
      <c r="I99" s="294"/>
      <c r="J99" s="438"/>
      <c r="K99" s="33">
        <v>7</v>
      </c>
      <c r="L99" s="32" t="s">
        <v>2805</v>
      </c>
      <c r="M99" s="1914">
        <f>ROUND(+M95/M97,5)</f>
        <v>9.3399999999999993E-3</v>
      </c>
      <c r="N99" s="1914">
        <f t="shared" ref="N99:Y99" si="1">ROUND(+N95/N97,5)</f>
        <v>1.005E-2</v>
      </c>
      <c r="O99" s="1914">
        <f t="shared" si="1"/>
        <v>1.091E-2</v>
      </c>
      <c r="P99" s="1914">
        <f t="shared" si="1"/>
        <v>2.232E-2</v>
      </c>
      <c r="Q99" s="1914">
        <f t="shared" si="1"/>
        <v>1.47E-2</v>
      </c>
      <c r="R99" s="1914">
        <f t="shared" si="1"/>
        <v>8.6899999999999998E-3</v>
      </c>
      <c r="S99" s="1914">
        <f t="shared" si="1"/>
        <v>1.022E-2</v>
      </c>
      <c r="T99" s="1914">
        <f t="shared" si="1"/>
        <v>6.5900000000000004E-3</v>
      </c>
      <c r="U99" s="1914">
        <f t="shared" si="1"/>
        <v>4.0499999999999998E-3</v>
      </c>
      <c r="V99" s="1914">
        <f t="shared" si="1"/>
        <v>8.9700000000000005E-3</v>
      </c>
      <c r="W99" s="1914">
        <f t="shared" si="1"/>
        <v>7.8300000000000002E-3</v>
      </c>
      <c r="X99" s="1914">
        <f t="shared" si="1"/>
        <v>5.5700000000000003E-3</v>
      </c>
      <c r="Y99" s="1914">
        <f t="shared" si="1"/>
        <v>9.2099999999999994E-3</v>
      </c>
      <c r="Z99" s="294"/>
    </row>
    <row r="100" spans="1:26" ht="15" customHeight="1">
      <c r="A100" s="294"/>
      <c r="B100" s="294"/>
      <c r="C100" s="294"/>
      <c r="D100" s="294"/>
      <c r="E100" s="294"/>
      <c r="F100" s="294"/>
      <c r="G100" s="294"/>
      <c r="H100" s="294"/>
      <c r="I100" s="294"/>
      <c r="J100" s="438"/>
      <c r="K100" s="33"/>
      <c r="L100" s="32"/>
      <c r="M100" s="453"/>
      <c r="N100" s="454"/>
      <c r="O100" s="449"/>
      <c r="P100" s="449"/>
      <c r="Q100" s="94"/>
      <c r="R100" s="439"/>
      <c r="S100" s="439"/>
      <c r="T100" s="439"/>
      <c r="U100" s="439"/>
      <c r="V100" s="439"/>
      <c r="W100" s="439"/>
      <c r="X100" s="294"/>
      <c r="Y100" s="294"/>
      <c r="Z100" s="294"/>
    </row>
    <row r="101" spans="1:26">
      <c r="A101" s="294"/>
      <c r="B101" s="294"/>
      <c r="C101" s="294"/>
      <c r="D101" s="294"/>
      <c r="E101" s="294"/>
      <c r="F101" s="294"/>
      <c r="G101" s="294"/>
      <c r="H101" s="294"/>
      <c r="I101" s="294"/>
      <c r="J101" s="438"/>
      <c r="K101" s="33"/>
      <c r="L101" s="455"/>
      <c r="M101" s="453"/>
      <c r="N101" s="454"/>
      <c r="O101" s="449"/>
      <c r="P101" s="449"/>
      <c r="Q101" s="94"/>
      <c r="R101" s="439"/>
      <c r="S101" s="439"/>
      <c r="T101" s="439"/>
      <c r="U101" s="439"/>
      <c r="V101" s="439"/>
      <c r="W101" s="439"/>
      <c r="X101" s="294"/>
      <c r="Y101" s="294"/>
      <c r="Z101" s="294"/>
    </row>
    <row r="102" spans="1:26">
      <c r="A102" s="294"/>
      <c r="B102" s="294"/>
      <c r="C102" s="294"/>
      <c r="D102" s="294"/>
      <c r="E102" s="294"/>
      <c r="F102" s="294"/>
      <c r="G102" s="294"/>
      <c r="H102" s="294"/>
      <c r="I102" s="294"/>
      <c r="J102" s="438"/>
      <c r="K102" s="33"/>
      <c r="L102" s="456"/>
      <c r="M102" s="453"/>
      <c r="N102" s="454"/>
      <c r="O102" s="449"/>
      <c r="P102" s="449"/>
      <c r="Q102" s="94"/>
      <c r="R102" s="439"/>
      <c r="S102" s="439"/>
      <c r="T102" s="439"/>
      <c r="U102" s="439"/>
      <c r="V102" s="439"/>
      <c r="W102" s="439"/>
      <c r="X102" s="294"/>
      <c r="Y102" s="294"/>
      <c r="Z102" s="294"/>
    </row>
    <row r="103" spans="1:26">
      <c r="A103" s="294"/>
      <c r="B103" s="294"/>
      <c r="C103" s="294"/>
      <c r="D103" s="294"/>
      <c r="E103" s="294"/>
      <c r="F103" s="294"/>
      <c r="G103" s="294"/>
      <c r="H103" s="294"/>
      <c r="I103" s="294"/>
      <c r="J103" s="438"/>
      <c r="K103" s="33"/>
      <c r="L103" s="456"/>
      <c r="M103" s="453"/>
      <c r="N103" s="454"/>
      <c r="O103" s="449"/>
      <c r="P103" s="449"/>
      <c r="Q103" s="94"/>
      <c r="R103" s="439"/>
      <c r="S103" s="439"/>
      <c r="T103" s="439"/>
      <c r="U103" s="439"/>
      <c r="V103" s="439"/>
      <c r="W103" s="439"/>
      <c r="X103" s="294"/>
      <c r="Y103" s="294"/>
      <c r="Z103" s="294"/>
    </row>
    <row r="104" spans="1:26">
      <c r="A104" s="294"/>
      <c r="B104" s="294"/>
      <c r="C104" s="294"/>
      <c r="D104" s="294"/>
      <c r="E104" s="294"/>
      <c r="F104" s="294"/>
      <c r="G104" s="294"/>
      <c r="H104" s="294"/>
      <c r="I104" s="294"/>
      <c r="J104" s="438"/>
      <c r="K104" s="33"/>
      <c r="L104" s="32"/>
      <c r="M104" s="453"/>
      <c r="N104" s="454"/>
      <c r="O104" s="449"/>
      <c r="P104" s="449"/>
      <c r="Q104" s="94"/>
      <c r="R104" s="439"/>
      <c r="S104" s="439"/>
      <c r="T104" s="439"/>
      <c r="U104" s="439"/>
      <c r="V104" s="439"/>
      <c r="W104" s="439"/>
      <c r="X104" s="294"/>
      <c r="Y104" s="294"/>
      <c r="Z104" s="294"/>
    </row>
    <row r="105" spans="1:26">
      <c r="J105" s="438"/>
      <c r="K105" s="33"/>
      <c r="L105" s="32"/>
      <c r="M105" s="453"/>
      <c r="N105" s="454"/>
      <c r="O105" s="449"/>
      <c r="P105" s="449"/>
      <c r="Q105" s="94"/>
      <c r="R105" s="439"/>
      <c r="S105" s="439"/>
      <c r="T105" s="439"/>
      <c r="U105" s="439"/>
      <c r="V105" s="439"/>
      <c r="W105" s="439"/>
      <c r="X105" s="294"/>
      <c r="Y105" s="294"/>
    </row>
    <row r="106" spans="1:26">
      <c r="J106" s="438"/>
      <c r="K106" s="33"/>
      <c r="L106" s="32"/>
      <c r="M106" s="453"/>
      <c r="N106" s="454"/>
      <c r="O106" s="449"/>
      <c r="P106" s="449"/>
      <c r="Q106" s="94"/>
      <c r="R106" s="439"/>
      <c r="S106" s="439"/>
      <c r="T106" s="439"/>
      <c r="U106" s="439"/>
      <c r="V106" s="439"/>
      <c r="W106" s="439"/>
      <c r="X106" s="294"/>
      <c r="Y106" s="294"/>
    </row>
    <row r="107" spans="1:26">
      <c r="J107" s="438"/>
      <c r="K107" s="33"/>
      <c r="L107" s="32"/>
      <c r="M107" s="453"/>
      <c r="N107" s="454"/>
      <c r="O107" s="449"/>
      <c r="P107" s="449"/>
      <c r="Q107" s="94"/>
      <c r="R107" s="439"/>
      <c r="S107" s="439"/>
      <c r="T107" s="439"/>
      <c r="U107" s="439"/>
      <c r="V107" s="439"/>
      <c r="W107" s="439"/>
      <c r="X107" s="294"/>
      <c r="Y107" s="294"/>
    </row>
  </sheetData>
  <phoneticPr fontId="19" type="noConversion"/>
  <pageMargins left="1" right="0.75" top="1" bottom="0" header="0" footer="0"/>
  <pageSetup scale="62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syncVertical="1" syncRef="A40" transitionEvaluation="1" transitionEntry="1" codeName="Sheet121">
    <tabColor rgb="FF00B050"/>
    <pageSetUpPr fitToPage="1"/>
  </sheetPr>
  <dimension ref="A1:Z80"/>
  <sheetViews>
    <sheetView topLeftCell="A40" zoomScale="80" zoomScaleNormal="80" workbookViewId="0"/>
  </sheetViews>
  <sheetFormatPr defaultColWidth="20.5546875" defaultRowHeight="13.2"/>
  <cols>
    <col min="1" max="1" width="6.44140625" style="258" customWidth="1"/>
    <col min="2" max="2" width="0.5546875" style="258" customWidth="1"/>
    <col min="3" max="3" width="54.5546875" style="258" customWidth="1"/>
    <col min="4" max="5" width="14.5546875" style="258" customWidth="1"/>
    <col min="6" max="6" width="1.44140625" style="258" customWidth="1"/>
    <col min="7" max="7" width="14.5546875" style="258" customWidth="1"/>
    <col min="8" max="8" width="12.5546875" style="258" customWidth="1"/>
    <col min="9" max="9" width="1.44140625" style="258" customWidth="1"/>
    <col min="10" max="10" width="14.44140625" style="258" customWidth="1"/>
    <col min="11" max="11" width="13.44140625" style="258" customWidth="1"/>
    <col min="12" max="12" width="1.5546875" style="258" customWidth="1"/>
    <col min="13" max="13" width="14.5546875" style="293" customWidth="1"/>
    <col min="14" max="14" width="14.5546875" style="258" customWidth="1"/>
    <col min="15" max="15" width="14.5546875" style="293" customWidth="1"/>
    <col min="16" max="16" width="12.5546875" style="258" customWidth="1"/>
    <col min="17" max="17" width="14.44140625" style="293" customWidth="1"/>
    <col min="18" max="18" width="13.44140625" style="258" customWidth="1"/>
    <col min="19" max="19" width="14.5546875" style="293" customWidth="1"/>
    <col min="20" max="20" width="12.5546875" style="258" customWidth="1"/>
    <col min="21" max="21" width="15" style="293" customWidth="1"/>
    <col min="22" max="22" width="12.5546875" style="258" bestFit="1" customWidth="1"/>
    <col min="23" max="23" width="5.44140625" style="258" customWidth="1"/>
    <col min="24" max="24" width="19.44140625" style="258" customWidth="1"/>
    <col min="25" max="16384" width="20.5546875" style="258"/>
  </cols>
  <sheetData>
    <row r="1" spans="1:25">
      <c r="A1" s="257" t="str">
        <f>COMPANY</f>
        <v>DUKE ENERGY KENTUCKY, INC.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92"/>
      <c r="N1" s="257"/>
      <c r="O1" s="292"/>
      <c r="P1" s="257"/>
      <c r="Q1" s="292"/>
      <c r="R1" s="257"/>
      <c r="S1" s="292"/>
      <c r="T1" s="257"/>
      <c r="U1" s="292"/>
      <c r="V1" s="257"/>
    </row>
    <row r="2" spans="1:25">
      <c r="A2" s="257" t="str">
        <f>CASE</f>
        <v>CASE NO. 2024-00354</v>
      </c>
      <c r="B2" s="257"/>
      <c r="C2" s="257"/>
      <c r="D2" s="257"/>
      <c r="E2" s="257"/>
      <c r="F2" s="257"/>
      <c r="G2" s="257"/>
      <c r="H2" s="257"/>
      <c r="I2" s="257"/>
      <c r="J2" s="257"/>
      <c r="K2" s="292"/>
      <c r="L2" s="257"/>
      <c r="M2" s="257"/>
      <c r="N2" s="292"/>
      <c r="O2" s="257"/>
      <c r="P2" s="292"/>
      <c r="Q2" s="257"/>
      <c r="R2" s="292"/>
      <c r="S2" s="257"/>
      <c r="T2" s="292"/>
      <c r="U2" s="257"/>
      <c r="V2" s="257"/>
    </row>
    <row r="3" spans="1:25">
      <c r="A3" s="257" t="s">
        <v>936</v>
      </c>
      <c r="B3" s="257"/>
      <c r="C3" s="257"/>
      <c r="D3" s="257"/>
      <c r="E3" s="257"/>
      <c r="F3" s="257"/>
      <c r="G3" s="257"/>
      <c r="H3" s="257"/>
      <c r="I3" s="257"/>
      <c r="J3" s="257"/>
      <c r="K3" s="292"/>
      <c r="L3" s="257"/>
      <c r="M3" s="257"/>
      <c r="N3" s="292"/>
      <c r="O3" s="257"/>
      <c r="P3" s="292"/>
      <c r="Q3" s="257"/>
      <c r="R3" s="292"/>
      <c r="S3" s="257"/>
      <c r="T3" s="292"/>
      <c r="U3" s="257"/>
      <c r="V3" s="257"/>
    </row>
    <row r="4" spans="1:25">
      <c r="A4" s="257" t="s">
        <v>2806</v>
      </c>
      <c r="B4" s="257"/>
      <c r="C4" s="257"/>
      <c r="D4" s="257"/>
      <c r="E4" s="257"/>
      <c r="F4" s="257"/>
      <c r="G4" s="257"/>
      <c r="H4" s="257"/>
      <c r="I4" s="257"/>
      <c r="J4" s="257"/>
      <c r="K4" s="292"/>
      <c r="L4" s="257"/>
      <c r="M4" s="257"/>
      <c r="N4" s="292"/>
      <c r="O4" s="257"/>
      <c r="P4" s="292"/>
      <c r="Q4" s="257"/>
      <c r="R4" s="292"/>
      <c r="S4" s="257"/>
      <c r="T4" s="292"/>
      <c r="U4" s="257"/>
      <c r="V4" s="257"/>
    </row>
    <row r="5" spans="1:25">
      <c r="A5" s="351"/>
      <c r="B5" s="257"/>
      <c r="C5" s="257"/>
      <c r="D5" s="257"/>
      <c r="E5" s="257"/>
      <c r="F5" s="257"/>
      <c r="G5" s="257"/>
      <c r="H5" s="257"/>
      <c r="I5" s="257"/>
      <c r="J5" s="257"/>
      <c r="K5" s="292"/>
      <c r="L5" s="257"/>
      <c r="M5" s="257"/>
      <c r="N5" s="292"/>
      <c r="O5" s="257"/>
      <c r="P5" s="292"/>
      <c r="Q5" s="257"/>
      <c r="R5" s="292"/>
      <c r="S5" s="257"/>
      <c r="T5" s="292"/>
      <c r="U5" s="257"/>
      <c r="V5" s="257"/>
    </row>
    <row r="6" spans="1:25">
      <c r="A6" s="351"/>
      <c r="B6" s="257"/>
      <c r="C6" s="257"/>
      <c r="D6" s="257"/>
      <c r="E6" s="257"/>
      <c r="F6" s="257"/>
      <c r="G6" s="257"/>
      <c r="H6" s="257"/>
      <c r="I6" s="257"/>
      <c r="J6" s="257"/>
      <c r="K6" s="292"/>
      <c r="L6" s="257"/>
      <c r="M6" s="257"/>
      <c r="N6" s="292"/>
      <c r="O6" s="257"/>
      <c r="P6" s="292"/>
      <c r="Q6" s="257"/>
      <c r="R6" s="292"/>
      <c r="S6" s="257"/>
      <c r="T6" s="292"/>
      <c r="U6" s="257"/>
      <c r="V6" s="257"/>
    </row>
    <row r="7" spans="1:25">
      <c r="A7" s="267"/>
      <c r="K7" s="293"/>
      <c r="M7" s="258"/>
      <c r="N7" s="293"/>
      <c r="O7" s="258"/>
      <c r="P7" s="293"/>
      <c r="Q7" s="258"/>
      <c r="R7" s="293"/>
      <c r="S7" s="728"/>
      <c r="T7" s="267" t="s">
        <v>2807</v>
      </c>
    </row>
    <row r="8" spans="1:25">
      <c r="A8" s="294" t="str">
        <f>Data</f>
        <v>DATA: "X" BASE PERIOD   FORECASTED PERIOD</v>
      </c>
      <c r="K8" s="293"/>
      <c r="M8" s="425"/>
      <c r="N8" s="293"/>
      <c r="O8" s="258"/>
      <c r="P8" s="293"/>
      <c r="Q8" s="258"/>
      <c r="R8" s="293"/>
      <c r="S8" s="728"/>
      <c r="T8" s="265" t="s">
        <v>571</v>
      </c>
    </row>
    <row r="9" spans="1:25">
      <c r="A9" s="267" t="str">
        <f>Type</f>
        <v xml:space="preserve">TYPE OF FILING:  "X" ORIGINAL   UPDATED    REVISED  </v>
      </c>
      <c r="K9" s="293"/>
      <c r="M9" s="258"/>
      <c r="N9" s="293"/>
      <c r="O9" s="258"/>
      <c r="P9" s="293"/>
      <c r="Q9" s="258"/>
      <c r="R9" s="293"/>
      <c r="S9" s="728"/>
      <c r="T9" s="258" t="s">
        <v>468</v>
      </c>
    </row>
    <row r="10" spans="1:25">
      <c r="A10" s="267" t="s">
        <v>694</v>
      </c>
      <c r="K10" s="293"/>
      <c r="M10" s="258"/>
      <c r="N10" s="293"/>
      <c r="O10" s="258"/>
      <c r="P10" s="293"/>
      <c r="Q10" s="258"/>
      <c r="R10" s="293"/>
      <c r="S10" s="728"/>
      <c r="T10" s="1768" t="str">
        <f>_WIT6</f>
        <v>G. S. CARPENTER / D. L. WEATHERSTON</v>
      </c>
    </row>
    <row r="11" spans="1:25">
      <c r="A11" s="267"/>
      <c r="D11" s="2427" t="s">
        <v>2808</v>
      </c>
      <c r="E11" s="2427"/>
      <c r="K11" s="293"/>
      <c r="M11" s="258"/>
      <c r="N11" s="293"/>
      <c r="O11" s="258"/>
      <c r="P11" s="293"/>
      <c r="Q11" s="258"/>
      <c r="R11" s="293"/>
      <c r="S11" s="297"/>
      <c r="T11" s="426"/>
      <c r="U11" s="258"/>
    </row>
    <row r="12" spans="1:25">
      <c r="D12" s="2428" t="s">
        <v>2809</v>
      </c>
      <c r="E12" s="2428"/>
      <c r="K12" s="292"/>
      <c r="M12" s="1586" t="s">
        <v>1314</v>
      </c>
      <c r="N12" s="1587"/>
      <c r="O12" s="1586"/>
      <c r="P12" s="1588"/>
      <c r="Q12" s="1586"/>
      <c r="R12" s="1588"/>
      <c r="S12" s="1586"/>
      <c r="T12" s="1588"/>
      <c r="U12" s="1586"/>
      <c r="V12" s="1589"/>
      <c r="Y12" s="262"/>
    </row>
    <row r="13" spans="1:25">
      <c r="A13" s="262" t="s">
        <v>471</v>
      </c>
      <c r="B13" s="262"/>
      <c r="C13" s="262"/>
      <c r="D13" s="262"/>
      <c r="E13" s="262"/>
      <c r="F13" s="262"/>
      <c r="G13" s="262" t="s">
        <v>474</v>
      </c>
      <c r="H13" s="427" t="s">
        <v>420</v>
      </c>
      <c r="I13" s="262"/>
      <c r="J13" s="262" t="s">
        <v>473</v>
      </c>
      <c r="K13" s="427" t="s">
        <v>420</v>
      </c>
      <c r="L13" s="262"/>
      <c r="M13" s="728"/>
      <c r="N13" s="427" t="s">
        <v>420</v>
      </c>
      <c r="O13" s="257"/>
      <c r="P13" s="427" t="s">
        <v>420</v>
      </c>
      <c r="Q13" s="257"/>
      <c r="R13" s="427" t="s">
        <v>420</v>
      </c>
      <c r="S13" s="257"/>
      <c r="T13" s="427" t="s">
        <v>420</v>
      </c>
      <c r="U13" s="257"/>
      <c r="V13" s="427" t="s">
        <v>420</v>
      </c>
      <c r="X13" s="257"/>
      <c r="Y13" s="428"/>
    </row>
    <row r="14" spans="1:25">
      <c r="A14" s="1429" t="s">
        <v>533</v>
      </c>
      <c r="B14" s="262"/>
      <c r="C14" s="1429" t="s">
        <v>1263</v>
      </c>
      <c r="D14" s="2209">
        <v>2027</v>
      </c>
      <c r="E14" s="2209">
        <v>2026</v>
      </c>
      <c r="F14" s="262"/>
      <c r="G14" s="1590" t="s">
        <v>478</v>
      </c>
      <c r="H14" s="1769" t="s">
        <v>2700</v>
      </c>
      <c r="I14" s="1429"/>
      <c r="J14" s="1590" t="s">
        <v>478</v>
      </c>
      <c r="K14" s="1769" t="s">
        <v>2700</v>
      </c>
      <c r="L14" s="1770"/>
      <c r="M14" s="2209">
        <v>2023</v>
      </c>
      <c r="N14" s="1769" t="s">
        <v>2700</v>
      </c>
      <c r="O14" s="1429">
        <f>M14-1</f>
        <v>2022</v>
      </c>
      <c r="P14" s="1769" t="s">
        <v>2700</v>
      </c>
      <c r="Q14" s="1429">
        <f>O14-1</f>
        <v>2021</v>
      </c>
      <c r="R14" s="1769" t="s">
        <v>2700</v>
      </c>
      <c r="S14" s="1429">
        <f>Q14-1</f>
        <v>2020</v>
      </c>
      <c r="T14" s="1769" t="s">
        <v>2700</v>
      </c>
      <c r="U14" s="1429">
        <f>S14-1</f>
        <v>2019</v>
      </c>
      <c r="V14" s="1769" t="s">
        <v>2700</v>
      </c>
      <c r="W14" s="428"/>
      <c r="X14" s="1429">
        <f>U14-1</f>
        <v>2018</v>
      </c>
    </row>
    <row r="15" spans="1:25">
      <c r="A15" s="262">
        <v>1</v>
      </c>
      <c r="C15" s="267" t="s">
        <v>2810</v>
      </c>
      <c r="D15" s="267"/>
      <c r="E15" s="267"/>
      <c r="F15" s="267"/>
      <c r="G15" s="267"/>
      <c r="H15" s="267"/>
      <c r="I15" s="267"/>
      <c r="J15" s="264"/>
      <c r="K15" s="1771"/>
      <c r="L15" s="264"/>
      <c r="M15" s="264"/>
      <c r="N15" s="1771"/>
      <c r="O15" s="264"/>
      <c r="P15" s="293"/>
      <c r="Q15" s="264"/>
      <c r="R15" s="293"/>
      <c r="S15" s="264"/>
      <c r="T15" s="293"/>
      <c r="U15" s="263"/>
      <c r="V15" s="429"/>
      <c r="X15" s="263"/>
    </row>
    <row r="16" spans="1:25">
      <c r="A16" s="262">
        <v>2</v>
      </c>
      <c r="C16" s="267" t="s">
        <v>2811</v>
      </c>
      <c r="D16" s="2208">
        <v>731110573.59011495</v>
      </c>
      <c r="E16" s="2208">
        <v>723175871.19033396</v>
      </c>
      <c r="F16" s="267"/>
      <c r="G16" s="2208">
        <v>708562872.44078672</v>
      </c>
      <c r="H16" s="227">
        <f>IF(J16=0,"-",ROUND((G16-J16)/ABS(J16),4))</f>
        <v>8.5099999999999995E-2</v>
      </c>
      <c r="I16" s="267"/>
      <c r="J16" s="2208">
        <v>652982477.81259048</v>
      </c>
      <c r="K16" s="227">
        <f>IF(M16=0,"-",ROUND((J16-M16)/ABS(M16),4))</f>
        <v>0.11609999999999999</v>
      </c>
      <c r="L16" s="264"/>
      <c r="M16" s="2208">
        <v>585038543.54999995</v>
      </c>
      <c r="N16" s="227">
        <f>IF(O16=0,"-",ROUND((M16-O16)/ABS(O16),4))</f>
        <v>-0.1293</v>
      </c>
      <c r="O16" s="2208">
        <v>671899503.20000005</v>
      </c>
      <c r="P16" s="227">
        <f>IF(Q16=0,"-",ROUND((O16-Q16)/ABS(Q16),4))</f>
        <v>0.30559999999999998</v>
      </c>
      <c r="Q16" s="2208">
        <v>514640093</v>
      </c>
      <c r="R16" s="227">
        <f>IF(S16=0,"-",ROUND((Q16-S16)/ABS(S16),4))</f>
        <v>0.15479999999999999</v>
      </c>
      <c r="S16" s="2208">
        <v>445665255</v>
      </c>
      <c r="T16" s="227">
        <f>IF(U16=0,"-",ROUND((S16-U16)/ABS(U16),4))</f>
        <v>-6.9000000000000006E-2</v>
      </c>
      <c r="U16" s="2208">
        <v>478697929</v>
      </c>
      <c r="V16" s="227">
        <f>IF(X16=0,"-",ROUND((U16-X16)/ABS(X16),4))</f>
        <v>-1.9099999999999999E-2</v>
      </c>
      <c r="W16" s="263"/>
      <c r="X16" s="2208">
        <v>488020879</v>
      </c>
    </row>
    <row r="17" spans="1:26">
      <c r="A17" s="262">
        <v>3</v>
      </c>
      <c r="C17" s="267" t="s">
        <v>2812</v>
      </c>
      <c r="D17" s="430"/>
      <c r="E17" s="430"/>
      <c r="F17" s="267"/>
      <c r="G17" s="264"/>
      <c r="H17" s="227"/>
      <c r="I17" s="267"/>
      <c r="J17" s="264"/>
      <c r="K17" s="227"/>
      <c r="L17" s="264"/>
      <c r="M17" s="264"/>
      <c r="N17" s="227"/>
      <c r="O17" s="264"/>
      <c r="P17" s="227"/>
      <c r="Q17" s="264"/>
      <c r="R17" s="227"/>
      <c r="S17" s="264"/>
      <c r="T17" s="227"/>
      <c r="U17" s="264"/>
      <c r="V17" s="227"/>
      <c r="W17" s="264"/>
      <c r="X17" s="264"/>
    </row>
    <row r="18" spans="1:26">
      <c r="A18" s="262">
        <v>4</v>
      </c>
      <c r="C18" s="267" t="s">
        <v>2813</v>
      </c>
      <c r="D18" s="430">
        <v>385726460.71559083</v>
      </c>
      <c r="E18" s="430">
        <v>401406203.12642157</v>
      </c>
      <c r="F18" s="267"/>
      <c r="G18" s="430">
        <v>401651770.69394863</v>
      </c>
      <c r="H18" s="227">
        <f t="shared" ref="H18:H33" si="0">IF(J18=0,"-",ROUND((G18-J18)/ABS(J18),4))</f>
        <v>6.9900000000000004E-2</v>
      </c>
      <c r="I18" s="267"/>
      <c r="J18" s="430">
        <v>375408365.16800916</v>
      </c>
      <c r="K18" s="227">
        <f t="shared" ref="K18:K33" si="1">IF(M18=0,"-",ROUND((J18-M18)/ABS(M18),4))</f>
        <v>0.1946</v>
      </c>
      <c r="L18" s="264"/>
      <c r="M18" s="430">
        <v>314264497.15999997</v>
      </c>
      <c r="N18" s="227">
        <f t="shared" ref="N18:N33" si="2">IF(O18=0,"-",ROUND((M18-O18)/ABS(O18),4))</f>
        <v>-0.25109999999999999</v>
      </c>
      <c r="O18" s="430">
        <v>419646771.94</v>
      </c>
      <c r="P18" s="227">
        <f>IF(Q18=0,"-",ROUND((O18-Q18)/ABS(Q18),4))</f>
        <v>0.4652</v>
      </c>
      <c r="Q18" s="430">
        <v>286402185</v>
      </c>
      <c r="R18" s="227">
        <f t="shared" ref="R18:R23" si="3">IF(S18=0,"-",ROUND((Q18-S18)/ABS(S18),4))</f>
        <v>0.2152</v>
      </c>
      <c r="S18" s="430">
        <v>235673671</v>
      </c>
      <c r="T18" s="227">
        <f t="shared" ref="T18:T33" si="4">IF(U18=0,"-",ROUND((S18-U18)/ABS(U18),4))</f>
        <v>-9.2100000000000001E-2</v>
      </c>
      <c r="U18" s="430">
        <v>259569501</v>
      </c>
      <c r="V18" s="227">
        <f t="shared" ref="V18:V32" si="5">IF(X18=0,"-",ROUND((U18-X18)/ABS(X18),4))</f>
        <v>-6.25E-2</v>
      </c>
      <c r="W18" s="263"/>
      <c r="X18" s="430">
        <v>276886906</v>
      </c>
    </row>
    <row r="19" spans="1:26">
      <c r="A19" s="262">
        <v>5</v>
      </c>
      <c r="C19" s="267" t="s">
        <v>2814</v>
      </c>
      <c r="D19" s="430">
        <v>1925923.1099999999</v>
      </c>
      <c r="E19" s="430">
        <v>1925923.1099999999</v>
      </c>
      <c r="F19" s="267"/>
      <c r="G19" s="430">
        <v>1925923.109999998</v>
      </c>
      <c r="H19" s="227">
        <f t="shared" si="0"/>
        <v>-0.83520000000000005</v>
      </c>
      <c r="I19" s="267"/>
      <c r="J19" s="430">
        <v>11683726.929999998</v>
      </c>
      <c r="K19" s="227">
        <f t="shared" si="1"/>
        <v>-0.64949999999999997</v>
      </c>
      <c r="L19" s="264"/>
      <c r="M19" s="430">
        <v>33333929.489999998</v>
      </c>
      <c r="N19" s="227">
        <f t="shared" si="2"/>
        <v>-3.6299999999999999E-2</v>
      </c>
      <c r="O19" s="430">
        <v>34590832.82</v>
      </c>
      <c r="P19" s="227">
        <f t="shared" ref="P19:P23" si="6">IF(Q19=0,"-",ROUND((O19-Q19)/ABS(Q19),4))</f>
        <v>-9.6199999999999994E-2</v>
      </c>
      <c r="Q19" s="430">
        <v>38272692</v>
      </c>
      <c r="R19" s="227">
        <f t="shared" si="3"/>
        <v>6.9699999999999998E-2</v>
      </c>
      <c r="S19" s="430">
        <v>35779343</v>
      </c>
      <c r="T19" s="227">
        <f t="shared" si="4"/>
        <v>-0.217</v>
      </c>
      <c r="U19" s="430">
        <v>45696645</v>
      </c>
      <c r="V19" s="227">
        <f t="shared" si="5"/>
        <v>-2.86E-2</v>
      </c>
      <c r="W19" s="263"/>
      <c r="X19" s="430">
        <v>47041717</v>
      </c>
    </row>
    <row r="20" spans="1:26">
      <c r="A20" s="262">
        <v>6</v>
      </c>
      <c r="C20" s="267" t="s">
        <v>2815</v>
      </c>
      <c r="D20" s="430">
        <v>106715115.070687</v>
      </c>
      <c r="E20" s="430">
        <v>101752970.96680801</v>
      </c>
      <c r="F20" s="267"/>
      <c r="G20" s="430">
        <v>98586302.013910905</v>
      </c>
      <c r="H20" s="227">
        <f t="shared" si="0"/>
        <v>0.11990000000000001</v>
      </c>
      <c r="I20" s="267"/>
      <c r="J20" s="430">
        <v>88033859.68794255</v>
      </c>
      <c r="K20" s="227">
        <f t="shared" si="1"/>
        <v>0.2361</v>
      </c>
      <c r="L20" s="264"/>
      <c r="M20" s="430">
        <v>71221374.989999995</v>
      </c>
      <c r="N20" s="227">
        <f t="shared" si="2"/>
        <v>7.7799999999999994E-2</v>
      </c>
      <c r="O20" s="430">
        <v>66082093.149999999</v>
      </c>
      <c r="P20" s="227">
        <f t="shared" si="6"/>
        <v>2.2599999999999999E-2</v>
      </c>
      <c r="Q20" s="430">
        <v>64618518</v>
      </c>
      <c r="R20" s="227">
        <f t="shared" si="3"/>
        <v>5.2499999999999998E-2</v>
      </c>
      <c r="S20" s="430">
        <v>61396656</v>
      </c>
      <c r="T20" s="227">
        <f t="shared" si="4"/>
        <v>8.1900000000000001E-2</v>
      </c>
      <c r="U20" s="430">
        <v>56751180</v>
      </c>
      <c r="V20" s="227">
        <f t="shared" si="5"/>
        <v>7.0199999999999999E-2</v>
      </c>
      <c r="W20" s="1772"/>
      <c r="X20" s="430">
        <v>53029478</v>
      </c>
    </row>
    <row r="21" spans="1:26">
      <c r="A21" s="262">
        <v>7</v>
      </c>
      <c r="C21" s="267" t="s">
        <v>2816</v>
      </c>
      <c r="D21" s="430"/>
      <c r="E21" s="430"/>
      <c r="F21" s="267"/>
      <c r="G21" s="430"/>
      <c r="H21" s="227">
        <f t="shared" si="0"/>
        <v>-1</v>
      </c>
      <c r="I21" s="267"/>
      <c r="J21" s="430">
        <v>4456432</v>
      </c>
      <c r="K21" s="227">
        <f t="shared" si="1"/>
        <v>-0.50290000000000001</v>
      </c>
      <c r="L21" s="264"/>
      <c r="M21" s="430">
        <v>8964792.7300000004</v>
      </c>
      <c r="N21" s="227">
        <f t="shared" si="2"/>
        <v>3.8399999999999997E-2</v>
      </c>
      <c r="O21" s="430">
        <v>8632951.4199999999</v>
      </c>
      <c r="P21" s="227">
        <f t="shared" si="6"/>
        <v>9.8000000000000004E-2</v>
      </c>
      <c r="Q21" s="430">
        <v>7862367</v>
      </c>
      <c r="R21" s="227">
        <f t="shared" si="3"/>
        <v>5.2299999999999999E-2</v>
      </c>
      <c r="S21" s="430">
        <v>7471556</v>
      </c>
      <c r="T21" s="227">
        <f t="shared" si="4"/>
        <v>0.27039999999999997</v>
      </c>
      <c r="U21" s="430">
        <v>5881492</v>
      </c>
      <c r="V21" s="227">
        <f t="shared" si="5"/>
        <v>0.16919999999999999</v>
      </c>
      <c r="W21" s="263"/>
      <c r="X21" s="430">
        <v>5030236</v>
      </c>
    </row>
    <row r="22" spans="1:26">
      <c r="A22" s="262">
        <v>8</v>
      </c>
      <c r="C22" s="267" t="s">
        <v>2817</v>
      </c>
      <c r="D22" s="430">
        <v>11252311.349999899</v>
      </c>
      <c r="E22" s="430">
        <v>11878030.055999899</v>
      </c>
      <c r="F22" s="267"/>
      <c r="G22" s="430">
        <v>12861104.245999964</v>
      </c>
      <c r="H22" s="227">
        <f>IF(J22=0,"-",ROUND((G22-J22)/ABS(J22),4))</f>
        <v>-0.2465</v>
      </c>
      <c r="I22" s="267"/>
      <c r="J22" s="430">
        <v>17068252.802999981</v>
      </c>
      <c r="K22" s="227">
        <f>IF(M22=0,"-",ROUND((J22-M22)/ABS(M22),4))</f>
        <v>-0.41239999999999999</v>
      </c>
      <c r="L22" s="264"/>
      <c r="M22" s="430">
        <v>29047621.32</v>
      </c>
      <c r="N22" s="227">
        <f t="shared" si="2"/>
        <v>0.43880000000000002</v>
      </c>
      <c r="O22" s="430">
        <v>20189089.23</v>
      </c>
      <c r="P22" s="227">
        <f t="shared" si="6"/>
        <v>1.8767</v>
      </c>
      <c r="Q22" s="430">
        <v>7018126</v>
      </c>
      <c r="R22" s="227">
        <f t="shared" si="3"/>
        <v>0.2233</v>
      </c>
      <c r="S22" s="430">
        <v>5736810</v>
      </c>
      <c r="T22" s="227">
        <f t="shared" si="4"/>
        <v>-0.70879999999999999</v>
      </c>
      <c r="U22" s="430">
        <v>19697434</v>
      </c>
      <c r="V22" s="227">
        <f t="shared" si="5"/>
        <v>0.33639999999999998</v>
      </c>
      <c r="W22" s="263"/>
      <c r="X22" s="430">
        <v>14739407</v>
      </c>
      <c r="Y22" s="267"/>
      <c r="Z22" s="267"/>
    </row>
    <row r="23" spans="1:26">
      <c r="A23" s="262">
        <v>9</v>
      </c>
      <c r="C23" s="267" t="s">
        <v>2818</v>
      </c>
      <c r="D23" s="430"/>
      <c r="E23" s="430"/>
      <c r="F23" s="267"/>
      <c r="G23" s="430"/>
      <c r="H23" s="227">
        <f t="shared" si="0"/>
        <v>1</v>
      </c>
      <c r="I23" s="267"/>
      <c r="J23" s="430">
        <v>-423309</v>
      </c>
      <c r="K23" s="227">
        <f>IF(M23=0,"-",ROUND((J23-M23)/ABS(M23),4))</f>
        <v>0.57630000000000003</v>
      </c>
      <c r="L23" s="264"/>
      <c r="M23" s="430">
        <v>-999039.76</v>
      </c>
      <c r="N23" s="227">
        <f t="shared" si="2"/>
        <v>0.13800000000000001</v>
      </c>
      <c r="O23" s="430">
        <v>-1158926.74</v>
      </c>
      <c r="P23" s="227">
        <f t="shared" si="6"/>
        <v>0.1168</v>
      </c>
      <c r="Q23" s="430">
        <v>-1312170</v>
      </c>
      <c r="R23" s="227">
        <f t="shared" si="3"/>
        <v>0.1007</v>
      </c>
      <c r="S23" s="430">
        <v>-1459045</v>
      </c>
      <c r="T23" s="227">
        <f t="shared" si="4"/>
        <v>0.57299999999999995</v>
      </c>
      <c r="U23" s="430">
        <v>-3417037</v>
      </c>
      <c r="V23" s="227">
        <f t="shared" si="5"/>
        <v>0.192</v>
      </c>
      <c r="W23" s="263"/>
      <c r="X23" s="430">
        <v>-4229062</v>
      </c>
      <c r="Y23" s="267"/>
      <c r="Z23" s="267"/>
    </row>
    <row r="24" spans="1:26">
      <c r="A24" s="262">
        <v>10</v>
      </c>
      <c r="C24" s="267" t="s">
        <v>2819</v>
      </c>
      <c r="D24" s="430">
        <v>31462172.890000001</v>
      </c>
      <c r="E24" s="430">
        <v>27513251.91</v>
      </c>
      <c r="F24" s="267"/>
      <c r="G24" s="430">
        <v>25460333.874999966</v>
      </c>
      <c r="H24" s="227">
        <f t="shared" si="0"/>
        <v>6.4399999999999999E-2</v>
      </c>
      <c r="I24" s="267"/>
      <c r="J24" s="430">
        <v>23919109.764333311</v>
      </c>
      <c r="K24" s="227">
        <f t="shared" si="1"/>
        <v>0.54139999999999999</v>
      </c>
      <c r="L24" s="264"/>
      <c r="M24" s="430">
        <v>15517515.4</v>
      </c>
      <c r="N24" s="227">
        <f t="shared" si="2"/>
        <v>-0.308</v>
      </c>
      <c r="O24" s="430">
        <v>22423683.75</v>
      </c>
      <c r="P24" s="227">
        <f t="shared" ref="P24:P29" si="7">IF(Q24=0,"-",ROUND((O24-Q24)/ABS(Q24),4))</f>
        <v>9.3899999999999997E-2</v>
      </c>
      <c r="Q24" s="430">
        <v>20498701</v>
      </c>
      <c r="R24" s="227">
        <f t="shared" ref="R24:R29" si="8">IF(S24=0,"-",ROUND((Q24-S24)/ABS(S24),4))</f>
        <v>0.21160000000000001</v>
      </c>
      <c r="S24" s="430">
        <v>16918072</v>
      </c>
      <c r="T24" s="227">
        <f t="shared" si="4"/>
        <v>5.79E-2</v>
      </c>
      <c r="U24" s="430">
        <v>15992673</v>
      </c>
      <c r="V24" s="227">
        <f t="shared" si="5"/>
        <v>6.6799999999999998E-2</v>
      </c>
      <c r="W24" s="263"/>
      <c r="X24" s="430">
        <v>14991588</v>
      </c>
      <c r="Y24" s="267"/>
      <c r="Z24" s="267"/>
    </row>
    <row r="25" spans="1:26">
      <c r="A25" s="262">
        <v>11</v>
      </c>
      <c r="C25" s="267" t="s">
        <v>2820</v>
      </c>
      <c r="D25" s="430">
        <v>15247336.4047205</v>
      </c>
      <c r="E25" s="430">
        <v>15852591.154241599</v>
      </c>
      <c r="F25" s="267"/>
      <c r="G25" s="430">
        <v>13949744.92336138</v>
      </c>
      <c r="H25" s="227">
        <f t="shared" si="0"/>
        <v>-0.20519999999999999</v>
      </c>
      <c r="I25" s="267"/>
      <c r="J25" s="430">
        <v>17551763.172346935</v>
      </c>
      <c r="K25" s="227">
        <f t="shared" si="1"/>
        <v>8.8980999999999995</v>
      </c>
      <c r="L25" s="264"/>
      <c r="M25" s="430">
        <v>1773249.7699999998</v>
      </c>
      <c r="N25" s="227">
        <f t="shared" si="2"/>
        <v>-0.80840000000000001</v>
      </c>
      <c r="O25" s="430">
        <v>9255846.7699999996</v>
      </c>
      <c r="P25" s="227">
        <f t="shared" si="7"/>
        <v>2.1495000000000002</v>
      </c>
      <c r="Q25" s="430">
        <v>-8052387</v>
      </c>
      <c r="R25" s="227">
        <f t="shared" si="8"/>
        <v>-4.9382000000000001</v>
      </c>
      <c r="S25" s="430">
        <v>2044705</v>
      </c>
      <c r="T25" s="227">
        <f t="shared" si="4"/>
        <v>1.4466000000000001</v>
      </c>
      <c r="U25" s="430">
        <v>-4578340</v>
      </c>
      <c r="V25" s="227">
        <f t="shared" si="5"/>
        <v>0.72760000000000002</v>
      </c>
      <c r="W25" s="263"/>
      <c r="X25" s="430">
        <v>-16807453</v>
      </c>
      <c r="Y25" s="267"/>
      <c r="Z25" s="267"/>
    </row>
    <row r="26" spans="1:26">
      <c r="A26" s="262">
        <v>12</v>
      </c>
      <c r="C26" s="267" t="s">
        <v>2821</v>
      </c>
      <c r="D26" s="430">
        <v>3106025.5992958602</v>
      </c>
      <c r="E26" s="430">
        <v>3039431.7792452797</v>
      </c>
      <c r="F26" s="267"/>
      <c r="G26" s="430">
        <v>2705983.4927852461</v>
      </c>
      <c r="H26" s="227">
        <f t="shared" si="0"/>
        <v>0.1082</v>
      </c>
      <c r="I26" s="267"/>
      <c r="J26" s="430">
        <v>2441889.5289444188</v>
      </c>
      <c r="K26" s="227">
        <f t="shared" si="1"/>
        <v>2.4034</v>
      </c>
      <c r="L26" s="264"/>
      <c r="M26" s="430">
        <v>-1740016.6800000002</v>
      </c>
      <c r="N26" s="227">
        <f t="shared" si="2"/>
        <v>-2.3075999999999999</v>
      </c>
      <c r="O26" s="430">
        <v>1330719.1400000001</v>
      </c>
      <c r="P26" s="227">
        <f t="shared" si="7"/>
        <v>1.5317000000000001</v>
      </c>
      <c r="Q26" s="430">
        <v>-2502787</v>
      </c>
      <c r="R26" s="227">
        <f t="shared" si="8"/>
        <v>-10.201599999999999</v>
      </c>
      <c r="S26" s="430">
        <v>271995</v>
      </c>
      <c r="T26" s="227">
        <f t="shared" si="4"/>
        <v>1.3615999999999999</v>
      </c>
      <c r="U26" s="430">
        <v>-752107</v>
      </c>
      <c r="V26" s="227">
        <f t="shared" si="5"/>
        <v>0.64510000000000001</v>
      </c>
      <c r="W26" s="263"/>
      <c r="X26" s="430">
        <v>-2119436</v>
      </c>
      <c r="Y26" s="267"/>
    </row>
    <row r="27" spans="1:26">
      <c r="A27" s="262">
        <v>13</v>
      </c>
      <c r="B27" s="264"/>
      <c r="C27" s="267" t="s">
        <v>2822</v>
      </c>
      <c r="D27" s="430">
        <v>14010464.150240999</v>
      </c>
      <c r="E27" s="430">
        <v>10649811.01975555</v>
      </c>
      <c r="F27" s="267"/>
      <c r="G27" s="430">
        <v>9954191.19690069</v>
      </c>
      <c r="H27" s="227">
        <f t="shared" si="0"/>
        <v>-0.60770000000000002</v>
      </c>
      <c r="I27" s="267"/>
      <c r="J27" s="430">
        <v>25373068.170096494</v>
      </c>
      <c r="K27" s="227">
        <f t="shared" si="1"/>
        <v>-0.69230000000000003</v>
      </c>
      <c r="L27" s="264"/>
      <c r="M27" s="430">
        <v>82456649.109999999</v>
      </c>
      <c r="N27" s="227">
        <f>IF(O27=0,"-",ROUND((M27-O27)/ABS(O27),4))</f>
        <v>0.38619999999999999</v>
      </c>
      <c r="O27" s="430">
        <v>59485830.449999996</v>
      </c>
      <c r="P27" s="227">
        <f t="shared" si="7"/>
        <v>6.3E-3</v>
      </c>
      <c r="Q27" s="430">
        <v>59111911</v>
      </c>
      <c r="R27" s="227">
        <f t="shared" si="8"/>
        <v>0.43790000000000001</v>
      </c>
      <c r="S27" s="430">
        <v>41108598</v>
      </c>
      <c r="T27" s="227">
        <f t="shared" si="4"/>
        <v>-0.31119999999999998</v>
      </c>
      <c r="U27" s="430">
        <v>59682009</v>
      </c>
      <c r="V27" s="227">
        <f t="shared" si="5"/>
        <v>-0.17249999999999999</v>
      </c>
      <c r="W27" s="263"/>
      <c r="X27" s="430">
        <v>72123832</v>
      </c>
      <c r="Y27" s="267"/>
    </row>
    <row r="28" spans="1:26">
      <c r="A28" s="262">
        <v>14</v>
      </c>
      <c r="C28" s="431" t="s">
        <v>2823</v>
      </c>
      <c r="D28" s="430"/>
      <c r="E28" s="430"/>
      <c r="F28" s="431"/>
      <c r="G28" s="430"/>
      <c r="H28" s="227">
        <f t="shared" si="0"/>
        <v>1</v>
      </c>
      <c r="I28" s="431"/>
      <c r="J28" s="430">
        <v>-26285735</v>
      </c>
      <c r="K28" s="227">
        <f t="shared" si="1"/>
        <v>0.61229999999999996</v>
      </c>
      <c r="L28" s="264"/>
      <c r="M28" s="430">
        <v>-67803130.430000007</v>
      </c>
      <c r="N28" s="227">
        <f>IF(O28=0,"-",ROUND((M28-O28)/ABS(O28),4))</f>
        <v>-0.20300000000000001</v>
      </c>
      <c r="O28" s="430">
        <v>-56362308.789999999</v>
      </c>
      <c r="P28" s="227">
        <f t="shared" si="7"/>
        <v>-0.46750000000000003</v>
      </c>
      <c r="Q28" s="430">
        <v>-38405761</v>
      </c>
      <c r="R28" s="227">
        <f t="shared" si="8"/>
        <v>-0.1192</v>
      </c>
      <c r="S28" s="430">
        <v>-34315896</v>
      </c>
      <c r="T28" s="227">
        <f t="shared" si="4"/>
        <v>0.26079999999999998</v>
      </c>
      <c r="U28" s="430">
        <v>-46424182</v>
      </c>
      <c r="V28" s="227">
        <f t="shared" si="5"/>
        <v>-0.1042</v>
      </c>
      <c r="W28" s="263"/>
      <c r="X28" s="430">
        <v>-42043865</v>
      </c>
      <c r="Y28" s="267"/>
      <c r="Z28" s="267"/>
    </row>
    <row r="29" spans="1:26">
      <c r="A29" s="262">
        <v>15</v>
      </c>
      <c r="C29" s="267" t="s">
        <v>2824</v>
      </c>
      <c r="D29" s="430"/>
      <c r="E29" s="430"/>
      <c r="F29" s="267"/>
      <c r="G29" s="430"/>
      <c r="H29" s="227" t="str">
        <f t="shared" si="0"/>
        <v>-</v>
      </c>
      <c r="I29" s="267"/>
      <c r="J29" s="430">
        <v>0</v>
      </c>
      <c r="K29" s="227">
        <f t="shared" si="1"/>
        <v>1</v>
      </c>
      <c r="L29" s="264"/>
      <c r="M29" s="430">
        <v>-143719.24000000002</v>
      </c>
      <c r="N29" s="227">
        <f>IF(O29=0,"-",ROUND((M29-O29)/ABS(O29),4))</f>
        <v>0.26450000000000001</v>
      </c>
      <c r="O29" s="430">
        <v>-195411.00000000003</v>
      </c>
      <c r="P29" s="227">
        <f t="shared" si="7"/>
        <v>-2.3658000000000001</v>
      </c>
      <c r="Q29" s="430">
        <v>-58058</v>
      </c>
      <c r="R29" s="227">
        <f t="shared" si="8"/>
        <v>5.0999999999999997E-2</v>
      </c>
      <c r="S29" s="430">
        <v>-61175</v>
      </c>
      <c r="T29" s="227">
        <f t="shared" si="4"/>
        <v>0</v>
      </c>
      <c r="U29" s="430">
        <v>-61175</v>
      </c>
      <c r="V29" s="227">
        <f t="shared" si="5"/>
        <v>0.2213</v>
      </c>
      <c r="W29" s="264"/>
      <c r="X29" s="430">
        <v>-78565</v>
      </c>
    </row>
    <row r="30" spans="1:26">
      <c r="A30" s="262">
        <v>16</v>
      </c>
      <c r="C30" s="432" t="s">
        <v>2825</v>
      </c>
      <c r="D30" s="430"/>
      <c r="E30" s="430"/>
      <c r="F30" s="432"/>
      <c r="G30" s="430"/>
      <c r="H30" s="227">
        <f>IF(J30=0,"-",ROUND((G30-J30)/ABS(J30),4))</f>
        <v>1</v>
      </c>
      <c r="I30" s="432"/>
      <c r="J30" s="430">
        <v>-717526</v>
      </c>
      <c r="K30" s="227">
        <f>IF(M30=0,"-",ROUND((J30-M30)/ABS(M30),4))</f>
        <v>-4.4900000000000002E-2</v>
      </c>
      <c r="L30" s="264"/>
      <c r="M30" s="430">
        <v>-686670.85</v>
      </c>
      <c r="N30" s="227">
        <f>IF(O30=0,"-",ROUND((M30-O30)/ABS(O30),4))</f>
        <v>0.86280000000000001</v>
      </c>
      <c r="O30" s="430">
        <v>-5004723.75</v>
      </c>
      <c r="P30" s="227">
        <f>IF(Q30=0,"-",ROUND((O30-Q30)/ABS(Q30),4))</f>
        <v>-26.216899999999999</v>
      </c>
      <c r="Q30" s="430">
        <v>-183883</v>
      </c>
      <c r="R30" s="227">
        <f>IF(S30=0,"-",ROUND((Q30-S30)/ABS(S30),4))</f>
        <v>-2.0933999999999999</v>
      </c>
      <c r="S30" s="430">
        <v>-59444</v>
      </c>
      <c r="T30" s="227">
        <f t="shared" si="4"/>
        <v>0.16109999999999999</v>
      </c>
      <c r="U30" s="430">
        <v>-70860</v>
      </c>
      <c r="V30" s="227">
        <f t="shared" si="5"/>
        <v>-10.4438</v>
      </c>
      <c r="W30" s="264"/>
      <c r="X30" s="430">
        <v>-6192</v>
      </c>
    </row>
    <row r="31" spans="1:26">
      <c r="A31" s="262">
        <v>17</v>
      </c>
      <c r="C31" s="432" t="s">
        <v>2826</v>
      </c>
      <c r="D31" s="430"/>
      <c r="E31" s="430"/>
      <c r="F31" s="432"/>
      <c r="G31" s="430"/>
      <c r="H31" s="227">
        <f>IF(J31=0,"-",ROUND((G31-J31)/ABS(J31),4))</f>
        <v>1</v>
      </c>
      <c r="I31" s="432"/>
      <c r="J31" s="430">
        <v>-4675</v>
      </c>
      <c r="K31" s="227">
        <f>IF(M31=0,"-",ROUND((J31-M31)/ABS(M31),4))</f>
        <v>-2.9725999999999999</v>
      </c>
      <c r="L31" s="264"/>
      <c r="M31" s="430">
        <v>2370</v>
      </c>
      <c r="N31" s="227" t="str">
        <f t="shared" si="2"/>
        <v>-</v>
      </c>
      <c r="O31" s="430">
        <v>0</v>
      </c>
      <c r="P31" s="227" t="str">
        <f>IF(Q31=0,"-",ROUND((O31-Q31)/ABS(Q31),4))</f>
        <v>-</v>
      </c>
      <c r="Q31" s="430">
        <v>0</v>
      </c>
      <c r="R31" s="227" t="str">
        <f>IF(S31=0,"-",ROUND((Q31-S31)/ABS(S31),4))</f>
        <v>-</v>
      </c>
      <c r="S31" s="430">
        <v>0</v>
      </c>
      <c r="T31" s="227" t="str">
        <f t="shared" si="4"/>
        <v>-</v>
      </c>
      <c r="U31" s="430"/>
      <c r="V31" s="227" t="str">
        <f t="shared" si="5"/>
        <v>-</v>
      </c>
      <c r="W31" s="263"/>
      <c r="X31" s="430">
        <v>0</v>
      </c>
    </row>
    <row r="32" spans="1:26">
      <c r="A32" s="262">
        <v>18</v>
      </c>
      <c r="C32" s="267" t="s">
        <v>2827</v>
      </c>
      <c r="D32" s="2177">
        <f>SUM(D18:D31)</f>
        <v>569445809.29053521</v>
      </c>
      <c r="E32" s="2177">
        <f>SUM(E18:E31)</f>
        <v>574018213.12247193</v>
      </c>
      <c r="F32" s="267"/>
      <c r="G32" s="2177">
        <f>SUM(G18:G31)</f>
        <v>567095353.55190682</v>
      </c>
      <c r="H32" s="227">
        <f t="shared" si="0"/>
        <v>5.3100000000000001E-2</v>
      </c>
      <c r="I32" s="267"/>
      <c r="J32" s="2177">
        <f>SUM(J18:J31)</f>
        <v>538505222.22467279</v>
      </c>
      <c r="K32" s="227">
        <f t="shared" si="1"/>
        <v>0.10979999999999999</v>
      </c>
      <c r="L32" s="264"/>
      <c r="M32" s="2177">
        <f>SUM(M18:M31)</f>
        <v>485209423.00999993</v>
      </c>
      <c r="N32" s="227">
        <f t="shared" si="2"/>
        <v>-0.16189999999999999</v>
      </c>
      <c r="O32" s="2177">
        <f>SUM(O18:O31)</f>
        <v>578916448.38999999</v>
      </c>
      <c r="P32" s="227">
        <f>IF(Q32=0,"-",ROUND((O32-Q32)/ABS(Q32),4))</f>
        <v>0.3362</v>
      </c>
      <c r="Q32" s="2177">
        <f>SUM(Q18:Q31)</f>
        <v>433269454</v>
      </c>
      <c r="R32" s="227">
        <f>IF(S32=0,"-",ROUND((Q32-S32)/ABS(S32),4))</f>
        <v>0.1694</v>
      </c>
      <c r="S32" s="2177">
        <f>SUM(S18:S31)</f>
        <v>370505846</v>
      </c>
      <c r="T32" s="227">
        <f t="shared" si="4"/>
        <v>-9.1800000000000007E-2</v>
      </c>
      <c r="U32" s="2177">
        <f>SUM(U18:U31)</f>
        <v>407967233</v>
      </c>
      <c r="V32" s="227">
        <f t="shared" si="5"/>
        <v>-2.53E-2</v>
      </c>
      <c r="W32" s="263"/>
      <c r="X32" s="2177">
        <f>SUM(X18:X31)</f>
        <v>418558591</v>
      </c>
    </row>
    <row r="33" spans="1:26">
      <c r="A33" s="262">
        <v>19</v>
      </c>
      <c r="C33" s="267" t="s">
        <v>2828</v>
      </c>
      <c r="D33" s="1591">
        <f>D16-D32</f>
        <v>161664764.29957974</v>
      </c>
      <c r="E33" s="1591">
        <f>E16-E32</f>
        <v>149157658.06786203</v>
      </c>
      <c r="F33" s="267"/>
      <c r="G33" s="1591">
        <f>G16-G32</f>
        <v>141467518.8888799</v>
      </c>
      <c r="H33" s="227">
        <f t="shared" si="0"/>
        <v>0.23580000000000001</v>
      </c>
      <c r="I33" s="267"/>
      <c r="J33" s="1591">
        <f>J16-J32</f>
        <v>114477255.58791769</v>
      </c>
      <c r="K33" s="227">
        <f t="shared" si="1"/>
        <v>0.1467</v>
      </c>
      <c r="L33" s="264"/>
      <c r="M33" s="1591">
        <f>M16-M32</f>
        <v>99829120.540000021</v>
      </c>
      <c r="N33" s="227">
        <f t="shared" si="2"/>
        <v>7.3599999999999999E-2</v>
      </c>
      <c r="O33" s="1591">
        <f>O16-O32</f>
        <v>92983054.810000062</v>
      </c>
      <c r="P33" s="227">
        <f>IF(Q33=0,"-",ROUND((O33-Q33)/ABS(Q33),4))</f>
        <v>0.14269999999999999</v>
      </c>
      <c r="Q33" s="1591">
        <f>Q16-Q32</f>
        <v>81370639</v>
      </c>
      <c r="R33" s="227">
        <f>IF(S33=0,"-",ROUND((Q33-S33)/ABS(S33),4))</f>
        <v>8.2600000000000007E-2</v>
      </c>
      <c r="S33" s="1591">
        <f>S16-S32</f>
        <v>75159409</v>
      </c>
      <c r="T33" s="227">
        <f t="shared" si="4"/>
        <v>6.2600000000000003E-2</v>
      </c>
      <c r="U33" s="1591">
        <f>U16-U32</f>
        <v>70730696</v>
      </c>
      <c r="V33" s="227">
        <f t="shared" ref="V33:V39" si="9">IF(X33=0,"-",ROUND((U33-X33)/ABS(X33),4))</f>
        <v>1.83E-2</v>
      </c>
      <c r="W33" s="263"/>
      <c r="X33" s="1591">
        <f>X16-X32</f>
        <v>69462288</v>
      </c>
      <c r="Y33" s="267"/>
    </row>
    <row r="34" spans="1:26">
      <c r="A34" s="262">
        <v>20</v>
      </c>
      <c r="C34" s="267" t="s">
        <v>2829</v>
      </c>
      <c r="D34" s="264"/>
      <c r="E34" s="264"/>
      <c r="F34" s="267"/>
      <c r="G34" s="264"/>
      <c r="H34" s="227"/>
      <c r="I34" s="267"/>
      <c r="J34" s="264"/>
      <c r="K34" s="227"/>
      <c r="L34" s="264"/>
      <c r="M34" s="264"/>
      <c r="N34" s="227"/>
      <c r="O34" s="264"/>
      <c r="P34" s="227"/>
      <c r="Q34" s="264"/>
      <c r="R34" s="227"/>
      <c r="S34" s="264"/>
      <c r="T34" s="227"/>
      <c r="U34" s="264"/>
      <c r="V34" s="227"/>
      <c r="W34" s="263"/>
      <c r="X34" s="264"/>
    </row>
    <row r="35" spans="1:26">
      <c r="A35" s="262">
        <v>21</v>
      </c>
      <c r="C35" s="267" t="s">
        <v>2830</v>
      </c>
      <c r="D35" s="264"/>
      <c r="E35" s="264"/>
      <c r="F35" s="267"/>
      <c r="G35" s="264"/>
      <c r="H35" s="227"/>
      <c r="I35" s="267"/>
      <c r="J35" s="264"/>
      <c r="K35" s="227"/>
      <c r="L35" s="264"/>
      <c r="M35" s="264"/>
      <c r="N35" s="227"/>
      <c r="O35" s="264"/>
      <c r="P35" s="227"/>
      <c r="Q35" s="264"/>
      <c r="R35" s="227"/>
      <c r="S35" s="264"/>
      <c r="T35" s="227"/>
      <c r="U35" s="264"/>
      <c r="V35" s="227"/>
      <c r="W35" s="263"/>
      <c r="X35" s="264"/>
    </row>
    <row r="36" spans="1:26">
      <c r="A36" s="262">
        <v>22</v>
      </c>
      <c r="C36" s="267" t="s">
        <v>2831</v>
      </c>
      <c r="D36" s="430">
        <v>849999.99999999895</v>
      </c>
      <c r="E36" s="430">
        <v>849999.99999999895</v>
      </c>
      <c r="F36" s="267"/>
      <c r="G36" s="430">
        <v>849999.99999999942</v>
      </c>
      <c r="H36" s="227">
        <f t="shared" ref="H36:H41" si="10">IF(J36=0,"-",ROUND((G36-J36)/ABS(J36),4))</f>
        <v>-0.435</v>
      </c>
      <c r="I36" s="267"/>
      <c r="J36" s="430">
        <v>1504344</v>
      </c>
      <c r="K36" s="227">
        <f t="shared" ref="K36:K41" si="11">IF(M36=0,"-",ROUND((J36-M36)/ABS(M36),4))</f>
        <v>-0.43149999999999999</v>
      </c>
      <c r="L36" s="264"/>
      <c r="M36" s="430">
        <v>2646208.85</v>
      </c>
      <c r="N36" s="227">
        <f t="shared" ref="N36:N41" si="12">IF(O36=0,"-",ROUND((M36-O36)/ABS(O36),4))</f>
        <v>1.2797000000000001</v>
      </c>
      <c r="O36" s="430">
        <v>1160781.2900000003</v>
      </c>
      <c r="P36" s="227">
        <f t="shared" ref="P36:P41" si="13">IF(Q36=0,"-",ROUND((O36-Q36)/ABS(Q36),4))</f>
        <v>-4.9000000000000002E-2</v>
      </c>
      <c r="Q36" s="430">
        <v>1220575</v>
      </c>
      <c r="R36" s="227">
        <f t="shared" ref="R36:R41" si="14">IF(S36=0,"-",ROUND((Q36-S36)/ABS(S36),4))</f>
        <v>4.7899999999999998E-2</v>
      </c>
      <c r="S36" s="430">
        <v>1164829</v>
      </c>
      <c r="T36" s="227">
        <f t="shared" ref="T36:T41" si="15">IF(U36=0,"-",ROUND((S36-U36)/ABS(U36),4))</f>
        <v>0.17</v>
      </c>
      <c r="U36" s="430">
        <v>995580</v>
      </c>
      <c r="V36" s="227">
        <f>IF(X36=0,"-",ROUND((U36-X36)/ABS(X36),4))</f>
        <v>0.61919999999999997</v>
      </c>
      <c r="W36" s="263"/>
      <c r="X36" s="430">
        <v>614842</v>
      </c>
    </row>
    <row r="37" spans="1:26">
      <c r="A37" s="262">
        <v>23</v>
      </c>
      <c r="C37" s="267" t="s">
        <v>2832</v>
      </c>
      <c r="D37" s="430">
        <v>1309143.7278692792</v>
      </c>
      <c r="E37" s="430">
        <v>913948.78592827637</v>
      </c>
      <c r="F37" s="267"/>
      <c r="G37" s="430">
        <v>561056.19269950339</v>
      </c>
      <c r="H37" s="227">
        <f t="shared" si="10"/>
        <v>-0.77910000000000001</v>
      </c>
      <c r="I37" s="267"/>
      <c r="J37" s="430">
        <v>2539505.8479542709</v>
      </c>
      <c r="K37" s="227">
        <f t="shared" si="11"/>
        <v>-0.51349999999999996</v>
      </c>
      <c r="L37" s="264"/>
      <c r="M37" s="430">
        <v>5220038.9400000004</v>
      </c>
      <c r="N37" s="227">
        <f t="shared" si="12"/>
        <v>0.81779999999999997</v>
      </c>
      <c r="O37" s="430">
        <v>2871689.6999999997</v>
      </c>
      <c r="P37" s="227">
        <f t="shared" si="13"/>
        <v>1.9248000000000001</v>
      </c>
      <c r="Q37" s="430">
        <v>981836</v>
      </c>
      <c r="R37" s="227">
        <f t="shared" si="14"/>
        <v>1.72E-2</v>
      </c>
      <c r="S37" s="430">
        <v>965254</v>
      </c>
      <c r="T37" s="227">
        <f t="shared" si="15"/>
        <v>-0.43319999999999997</v>
      </c>
      <c r="U37" s="430">
        <v>1703080</v>
      </c>
      <c r="V37" s="227">
        <f t="shared" si="9"/>
        <v>4.8800000000000003E-2</v>
      </c>
      <c r="W37" s="263"/>
      <c r="X37" s="430">
        <v>1623783</v>
      </c>
    </row>
    <row r="38" spans="1:26">
      <c r="A38" s="262">
        <v>24</v>
      </c>
      <c r="C38" s="267" t="s">
        <v>2833</v>
      </c>
      <c r="D38" s="430">
        <v>4901418.1873086998</v>
      </c>
      <c r="E38" s="430">
        <v>3637752.5862362599</v>
      </c>
      <c r="F38" s="267"/>
      <c r="G38" s="430">
        <v>4307022.281041339</v>
      </c>
      <c r="H38" s="227">
        <f t="shared" si="10"/>
        <v>6.9999999999999999E-4</v>
      </c>
      <c r="I38" s="267"/>
      <c r="J38" s="430">
        <v>4304148.7982056709</v>
      </c>
      <c r="K38" s="227">
        <f t="shared" si="11"/>
        <v>3.0712999999999999</v>
      </c>
      <c r="L38" s="264"/>
      <c r="M38" s="430">
        <v>1057191.32</v>
      </c>
      <c r="N38" s="227">
        <f t="shared" si="12"/>
        <v>-0.15379999999999999</v>
      </c>
      <c r="O38" s="430">
        <v>1249377.08</v>
      </c>
      <c r="P38" s="227">
        <f t="shared" si="13"/>
        <v>-8.3000000000000001E-3</v>
      </c>
      <c r="Q38" s="430">
        <v>1259856</v>
      </c>
      <c r="R38" s="227">
        <f t="shared" si="14"/>
        <v>11.107900000000001</v>
      </c>
      <c r="S38" s="430">
        <v>-124641</v>
      </c>
      <c r="T38" s="227">
        <f t="shared" si="15"/>
        <v>-1.0497000000000001</v>
      </c>
      <c r="U38" s="430">
        <v>2505447</v>
      </c>
      <c r="V38" s="227">
        <f t="shared" si="9"/>
        <v>-0.2031</v>
      </c>
      <c r="W38" s="264"/>
      <c r="X38" s="430">
        <v>3143817</v>
      </c>
    </row>
    <row r="39" spans="1:26">
      <c r="A39" s="262">
        <v>25</v>
      </c>
      <c r="C39" s="267" t="s">
        <v>2834</v>
      </c>
      <c r="D39" s="430">
        <v>-561032.25934353308</v>
      </c>
      <c r="E39" s="430">
        <v>96662.11447851811</v>
      </c>
      <c r="F39" s="267"/>
      <c r="G39" s="430">
        <v>573842.2568830892</v>
      </c>
      <c r="H39" s="227">
        <f t="shared" si="10"/>
        <v>-0.45379999999999998</v>
      </c>
      <c r="I39" s="267"/>
      <c r="J39" s="430">
        <v>1050684.1998812768</v>
      </c>
      <c r="K39" s="227">
        <f t="shared" si="11"/>
        <v>0.14430000000000001</v>
      </c>
      <c r="L39" s="264"/>
      <c r="M39" s="430">
        <v>918198</v>
      </c>
      <c r="N39" s="227">
        <f t="shared" si="12"/>
        <v>-0.15</v>
      </c>
      <c r="O39" s="430">
        <v>1080196.04</v>
      </c>
      <c r="P39" s="227">
        <f t="shared" si="13"/>
        <v>0.1048</v>
      </c>
      <c r="Q39" s="430">
        <v>977722</v>
      </c>
      <c r="R39" s="227">
        <f t="shared" si="14"/>
        <v>-7.7200000000000005E-2</v>
      </c>
      <c r="S39" s="430">
        <v>1059499</v>
      </c>
      <c r="T39" s="227">
        <f t="shared" si="15"/>
        <v>-0.58409999999999995</v>
      </c>
      <c r="U39" s="430">
        <v>2547194</v>
      </c>
      <c r="V39" s="227">
        <f t="shared" si="9"/>
        <v>2.5099999999999998</v>
      </c>
      <c r="W39" s="264"/>
      <c r="X39" s="430">
        <v>725689</v>
      </c>
    </row>
    <row r="40" spans="1:26">
      <c r="A40" s="262">
        <v>26</v>
      </c>
      <c r="C40" s="267" t="s">
        <v>2835</v>
      </c>
      <c r="D40" s="430"/>
      <c r="E40" s="430"/>
      <c r="F40" s="267"/>
      <c r="G40" s="430"/>
      <c r="H40" s="227" t="str">
        <f t="shared" si="10"/>
        <v>-</v>
      </c>
      <c r="I40" s="267"/>
      <c r="J40" s="430">
        <v>0</v>
      </c>
      <c r="K40" s="227" t="str">
        <f t="shared" si="11"/>
        <v>-</v>
      </c>
      <c r="L40" s="264"/>
      <c r="M40" s="430">
        <v>0</v>
      </c>
      <c r="N40" s="227" t="str">
        <f t="shared" si="12"/>
        <v>-</v>
      </c>
      <c r="O40" s="430">
        <v>0</v>
      </c>
      <c r="P40" s="227" t="str">
        <f t="shared" si="13"/>
        <v>-</v>
      </c>
      <c r="Q40" s="430">
        <v>0</v>
      </c>
      <c r="R40" s="227" t="str">
        <f t="shared" si="14"/>
        <v>-</v>
      </c>
      <c r="S40" s="430">
        <v>0</v>
      </c>
      <c r="T40" s="227">
        <f t="shared" si="15"/>
        <v>-1</v>
      </c>
      <c r="U40" s="430">
        <v>1183</v>
      </c>
      <c r="V40" s="227" t="str">
        <f>IF(X40=0,"-",ROUND((U40-X40)/ABS(X40),4))</f>
        <v>-</v>
      </c>
      <c r="W40" s="263"/>
      <c r="X40" s="430">
        <v>0</v>
      </c>
    </row>
    <row r="41" spans="1:26">
      <c r="A41" s="262">
        <v>27</v>
      </c>
      <c r="C41" s="267" t="s">
        <v>2836</v>
      </c>
      <c r="D41" s="2177">
        <f>SUM(D36:D40)</f>
        <v>6499529.6558344457</v>
      </c>
      <c r="E41" s="2177">
        <f>SUM(E36:E40)</f>
        <v>5498363.4866430536</v>
      </c>
      <c r="F41" s="267"/>
      <c r="G41" s="2177">
        <f>SUM(G36:G40)</f>
        <v>6291920.7306239316</v>
      </c>
      <c r="H41" s="227">
        <f t="shared" si="10"/>
        <v>-0.3306</v>
      </c>
      <c r="I41" s="267"/>
      <c r="J41" s="2177">
        <f>SUM(J36:J40)</f>
        <v>9398682.8460412174</v>
      </c>
      <c r="K41" s="227">
        <f t="shared" si="11"/>
        <v>-4.4999999999999998E-2</v>
      </c>
      <c r="L41" s="264"/>
      <c r="M41" s="2177">
        <f>SUM(M36:M40)</f>
        <v>9841637.1100000013</v>
      </c>
      <c r="N41" s="227">
        <f t="shared" si="12"/>
        <v>0.54690000000000005</v>
      </c>
      <c r="O41" s="2177">
        <f>SUM(O36:O40)</f>
        <v>6362044.1100000003</v>
      </c>
      <c r="P41" s="227">
        <f t="shared" si="13"/>
        <v>0.43290000000000001</v>
      </c>
      <c r="Q41" s="2177">
        <f>SUM(Q36:Q40)</f>
        <v>4439989</v>
      </c>
      <c r="R41" s="227">
        <f t="shared" si="14"/>
        <v>0.4486</v>
      </c>
      <c r="S41" s="2177">
        <f>SUM(S36:S40)</f>
        <v>3064941</v>
      </c>
      <c r="T41" s="227">
        <f t="shared" si="15"/>
        <v>-0.60470000000000002</v>
      </c>
      <c r="U41" s="2177">
        <f>SUM(U36:U40)</f>
        <v>7752484</v>
      </c>
      <c r="V41" s="227">
        <f>IF(X41=0,"-",ROUND((U41-X41)/ABS(X41),4))</f>
        <v>0.26919999999999999</v>
      </c>
      <c r="W41" s="263"/>
      <c r="X41" s="2177">
        <f>SUM(X36:X40)</f>
        <v>6108131</v>
      </c>
    </row>
    <row r="42" spans="1:26">
      <c r="A42" s="262">
        <v>28</v>
      </c>
      <c r="C42" s="267" t="s">
        <v>2837</v>
      </c>
      <c r="D42" s="264"/>
      <c r="E42" s="264"/>
      <c r="F42" s="267"/>
      <c r="G42" s="264"/>
      <c r="H42" s="227"/>
      <c r="I42" s="267"/>
      <c r="J42" s="264"/>
      <c r="K42" s="227"/>
      <c r="L42" s="264"/>
      <c r="M42" s="264"/>
      <c r="N42" s="227"/>
      <c r="O42" s="264"/>
      <c r="P42" s="227"/>
      <c r="Q42" s="264"/>
      <c r="R42" s="227"/>
      <c r="S42" s="264"/>
      <c r="T42" s="227"/>
      <c r="U42" s="264"/>
      <c r="V42" s="227"/>
      <c r="W42" s="264"/>
      <c r="X42" s="264"/>
    </row>
    <row r="43" spans="1:26">
      <c r="A43" s="262">
        <v>29</v>
      </c>
      <c r="C43" s="267" t="s">
        <v>2838</v>
      </c>
      <c r="D43" s="430">
        <v>0</v>
      </c>
      <c r="E43" s="430">
        <v>0</v>
      </c>
      <c r="F43" s="267"/>
      <c r="G43" s="430">
        <v>0</v>
      </c>
      <c r="H43" s="227" t="str">
        <f>IF(J43=0,"-",ROUND((G43-J43)/ABS(J43),4))</f>
        <v>-</v>
      </c>
      <c r="I43" s="267"/>
      <c r="J43" s="430">
        <v>0</v>
      </c>
      <c r="K43" s="227" t="str">
        <f>IF(M43=0,"-",ROUND((J43-M43)/ABS(M43),4))</f>
        <v>-</v>
      </c>
      <c r="L43" s="264"/>
      <c r="M43" s="430">
        <v>0</v>
      </c>
      <c r="N43" s="227" t="str">
        <f>IF(O43=0,"-",ROUND((M43-O43)/ABS(O43),4))</f>
        <v>-</v>
      </c>
      <c r="O43" s="430">
        <v>0</v>
      </c>
      <c r="P43" s="227" t="str">
        <f>IF(Q43=0,"-",ROUND((O43-Q43)/ABS(Q43),4))</f>
        <v>-</v>
      </c>
      <c r="Q43" s="430">
        <v>0</v>
      </c>
      <c r="R43" s="227" t="str">
        <f>IF(S43=0,"-",ROUND((Q43-S43)/ABS(S43),4))</f>
        <v>-</v>
      </c>
      <c r="S43" s="430">
        <v>0</v>
      </c>
      <c r="T43" s="227" t="str">
        <f>IF(U43=0,"-",ROUND((S43-U43)/ABS(U43),4))</f>
        <v>-</v>
      </c>
      <c r="U43" s="430">
        <v>0</v>
      </c>
      <c r="V43" s="227">
        <f t="shared" ref="V43:V52" si="16">IF(X43=0,"-",ROUND((U43-X43)/ABS(X43),4))</f>
        <v>-1</v>
      </c>
      <c r="W43" s="264"/>
      <c r="X43" s="430">
        <v>79868</v>
      </c>
    </row>
    <row r="44" spans="1:26">
      <c r="A44" s="262">
        <v>30</v>
      </c>
      <c r="C44" s="267" t="s">
        <v>2839</v>
      </c>
      <c r="D44" s="430">
        <v>0</v>
      </c>
      <c r="E44" s="430">
        <v>0</v>
      </c>
      <c r="F44" s="267"/>
      <c r="G44" s="430">
        <v>0</v>
      </c>
      <c r="H44" s="227">
        <f>IF(J44=0,"-",ROUND((G44-J44)/ABS(J44),4))</f>
        <v>-1</v>
      </c>
      <c r="I44" s="267"/>
      <c r="J44" s="430">
        <v>550356</v>
      </c>
      <c r="K44" s="227">
        <f>IF(M44=0,"-",ROUND((J44-M44)/ABS(M44),4))</f>
        <v>-0.93079999999999996</v>
      </c>
      <c r="L44" s="264"/>
      <c r="M44" s="430">
        <v>7947945.1399999997</v>
      </c>
      <c r="N44" s="227">
        <f>IF(O44=0,"-",ROUND((M44-O44)/ABS(O44),4))</f>
        <v>-0.35510000000000003</v>
      </c>
      <c r="O44" s="430">
        <v>12324477.040000001</v>
      </c>
      <c r="P44" s="227">
        <f>IF(Q44=0,"-",ROUND((O44-Q44)/ABS(Q44),4))</f>
        <v>1.5449999999999999</v>
      </c>
      <c r="Q44" s="430">
        <v>4842648</v>
      </c>
      <c r="R44" s="227">
        <f>IF(S44=0,"-",ROUND((Q44-S44)/ABS(S44),4))</f>
        <v>1.458</v>
      </c>
      <c r="S44" s="430">
        <v>1970132</v>
      </c>
      <c r="T44" s="227">
        <f>IF(U44=0,"-",ROUND((S44-U44)/ABS(U44),4))</f>
        <v>-0.37559999999999999</v>
      </c>
      <c r="U44" s="430">
        <v>3155491</v>
      </c>
      <c r="V44" s="227">
        <f t="shared" si="16"/>
        <v>4.0000000000000002E-4</v>
      </c>
      <c r="W44" s="263"/>
      <c r="X44" s="430">
        <v>3154134</v>
      </c>
      <c r="Y44" s="267"/>
      <c r="Z44" s="267"/>
    </row>
    <row r="45" spans="1:26">
      <c r="A45" s="262">
        <v>31</v>
      </c>
      <c r="C45" s="267" t="s">
        <v>2840</v>
      </c>
      <c r="D45" s="2177">
        <f>SUM(D43:D44)</f>
        <v>0</v>
      </c>
      <c r="E45" s="2177">
        <f>SUM(E43:E44)</f>
        <v>0</v>
      </c>
      <c r="F45" s="267"/>
      <c r="G45" s="2177">
        <f>SUM(G43:G44)</f>
        <v>0</v>
      </c>
      <c r="H45" s="227">
        <f>IF(J45=0,"-",ROUND((G45-J45)/ABS(J45),4))</f>
        <v>-1</v>
      </c>
      <c r="I45" s="267"/>
      <c r="J45" s="2177">
        <f>SUM(J43:J44)</f>
        <v>550356</v>
      </c>
      <c r="K45" s="227">
        <f>IF(M45=0,"-",ROUND((J45-M45)/ABS(M45),4))</f>
        <v>-0.93079999999999996</v>
      </c>
      <c r="L45" s="264"/>
      <c r="M45" s="2177">
        <f>SUM(M43:M44)</f>
        <v>7947945.1399999997</v>
      </c>
      <c r="N45" s="227">
        <f>IF(O45=0,"-",ROUND((M45-O45)/ABS(O45),4))</f>
        <v>-0.35510000000000003</v>
      </c>
      <c r="O45" s="2177">
        <f>SUM(O43:O44)</f>
        <v>12324477.040000001</v>
      </c>
      <c r="P45" s="227">
        <f>IF(Q45=0,"-",ROUND((O45-Q45)/ABS(Q45),4))</f>
        <v>1.5449999999999999</v>
      </c>
      <c r="Q45" s="2177">
        <f>SUM(Q43:Q44)</f>
        <v>4842648</v>
      </c>
      <c r="R45" s="227">
        <f>IF(S45=0,"-",ROUND((Q45-S45)/ABS(S45),4))</f>
        <v>1.458</v>
      </c>
      <c r="S45" s="2177">
        <f>SUM(S43:S44)</f>
        <v>1970132</v>
      </c>
      <c r="T45" s="227">
        <f>IF(U45=0,"-",ROUND((S45-U45)/ABS(U45),4))</f>
        <v>-0.37559999999999999</v>
      </c>
      <c r="U45" s="2177">
        <f>SUM(U43:U44)</f>
        <v>3155491</v>
      </c>
      <c r="V45" s="227">
        <f t="shared" si="16"/>
        <v>-2.4299999999999999E-2</v>
      </c>
      <c r="W45" s="263"/>
      <c r="X45" s="2177">
        <f>SUM(X43:X44)</f>
        <v>3234002</v>
      </c>
      <c r="Y45" s="267"/>
      <c r="Z45" s="267"/>
    </row>
    <row r="46" spans="1:26">
      <c r="A46" s="262">
        <v>32</v>
      </c>
      <c r="C46" s="267" t="s">
        <v>2841</v>
      </c>
      <c r="D46" s="264"/>
      <c r="E46" s="264"/>
      <c r="F46" s="267"/>
      <c r="G46" s="264"/>
      <c r="H46" s="227"/>
      <c r="I46" s="267"/>
      <c r="J46" s="264"/>
      <c r="K46" s="227"/>
      <c r="L46" s="264"/>
      <c r="M46" s="264"/>
      <c r="N46" s="227"/>
      <c r="O46" s="264"/>
      <c r="P46" s="227"/>
      <c r="Q46" s="264"/>
      <c r="R46" s="227"/>
      <c r="S46" s="264"/>
      <c r="T46" s="227"/>
      <c r="U46" s="264"/>
      <c r="V46" s="227"/>
      <c r="W46" s="263"/>
      <c r="X46" s="264"/>
      <c r="Y46" s="267"/>
      <c r="Z46" s="267"/>
    </row>
    <row r="47" spans="1:26">
      <c r="A47" s="262">
        <v>33</v>
      </c>
      <c r="C47" s="267" t="s">
        <v>2819</v>
      </c>
      <c r="D47" s="430">
        <v>0</v>
      </c>
      <c r="E47" s="430">
        <v>0</v>
      </c>
      <c r="F47" s="267"/>
      <c r="G47" s="430">
        <v>0</v>
      </c>
      <c r="H47" s="227">
        <f t="shared" ref="H47:H54" si="17">IF(J47=0,"-",ROUND((G47-J47)/ABS(J47),4))</f>
        <v>1</v>
      </c>
      <c r="I47" s="267"/>
      <c r="J47" s="430">
        <v>-834</v>
      </c>
      <c r="K47" s="227">
        <f t="shared" ref="K47:K54" si="18">IF(M47=0,"-",ROUND((J47-M47)/ABS(M47),4))</f>
        <v>0.83250000000000002</v>
      </c>
      <c r="L47" s="264"/>
      <c r="M47" s="430">
        <v>-4978.8599999999997</v>
      </c>
      <c r="N47" s="227">
        <f t="shared" ref="N47:N54" si="19">IF(O47=0,"-",ROUND((M47-O47)/ABS(O47),4))</f>
        <v>-2.3751000000000002</v>
      </c>
      <c r="O47" s="430">
        <v>3620.6899999999996</v>
      </c>
      <c r="P47" s="227">
        <f t="shared" ref="P47:P54" si="20">IF(Q47=0,"-",ROUND((O47-Q47)/ABS(Q47),4))</f>
        <v>4.0788000000000002</v>
      </c>
      <c r="Q47" s="430">
        <v>-1176</v>
      </c>
      <c r="R47" s="227">
        <f t="shared" ref="R47:R54" si="21">IF(S47=0,"-",ROUND((Q47-S47)/ABS(S47),4))</f>
        <v>-1.0113000000000001</v>
      </c>
      <c r="S47" s="430">
        <v>104393</v>
      </c>
      <c r="T47" s="227">
        <f t="shared" ref="T47:T54" si="22">IF(U47=0,"-",ROUND((S47-U47)/ABS(U47),4))</f>
        <v>7.8600000000000003E-2</v>
      </c>
      <c r="U47" s="430">
        <v>96788</v>
      </c>
      <c r="V47" s="227">
        <f t="shared" si="16"/>
        <v>-5.9400000000000001E-2</v>
      </c>
      <c r="W47" s="263"/>
      <c r="X47" s="430">
        <v>102905</v>
      </c>
      <c r="Y47" s="267"/>
    </row>
    <row r="48" spans="1:26">
      <c r="A48" s="262">
        <v>34</v>
      </c>
      <c r="C48" s="267" t="s">
        <v>2820</v>
      </c>
      <c r="D48" s="430">
        <v>0</v>
      </c>
      <c r="E48" s="430">
        <v>0</v>
      </c>
      <c r="F48" s="267"/>
      <c r="G48" s="430">
        <v>0</v>
      </c>
      <c r="H48" s="227">
        <f t="shared" si="17"/>
        <v>-1</v>
      </c>
      <c r="I48" s="267"/>
      <c r="J48" s="430">
        <v>1529295</v>
      </c>
      <c r="K48" s="227">
        <f t="shared" si="18"/>
        <v>1.1494</v>
      </c>
      <c r="L48" s="264"/>
      <c r="M48" s="430">
        <v>-10239448.43</v>
      </c>
      <c r="N48" s="227">
        <f t="shared" si="19"/>
        <v>-43.975499999999997</v>
      </c>
      <c r="O48" s="430">
        <v>238262.31</v>
      </c>
      <c r="P48" s="227">
        <f t="shared" si="20"/>
        <v>-0.78300000000000003</v>
      </c>
      <c r="Q48" s="430">
        <v>1098161</v>
      </c>
      <c r="R48" s="227">
        <f t="shared" si="21"/>
        <v>-0.4965</v>
      </c>
      <c r="S48" s="430">
        <v>2180902</v>
      </c>
      <c r="T48" s="227">
        <f t="shared" si="22"/>
        <v>-7.9899999999999999E-2</v>
      </c>
      <c r="U48" s="430">
        <v>2370384</v>
      </c>
      <c r="V48" s="227">
        <f t="shared" si="16"/>
        <v>0.87729999999999997</v>
      </c>
      <c r="W48" s="263"/>
      <c r="X48" s="430">
        <v>1262675</v>
      </c>
      <c r="Y48" s="267"/>
    </row>
    <row r="49" spans="1:25">
      <c r="A49" s="262">
        <v>35</v>
      </c>
      <c r="C49" s="267" t="s">
        <v>2842</v>
      </c>
      <c r="D49" s="430">
        <v>0</v>
      </c>
      <c r="E49" s="430">
        <v>0</v>
      </c>
      <c r="F49" s="267"/>
      <c r="G49" s="430">
        <v>0</v>
      </c>
      <c r="H49" s="227">
        <f t="shared" si="17"/>
        <v>-1</v>
      </c>
      <c r="I49" s="267"/>
      <c r="J49" s="430">
        <v>201884</v>
      </c>
      <c r="K49" s="227">
        <f t="shared" si="18"/>
        <v>1.0791999999999999</v>
      </c>
      <c r="L49" s="264"/>
      <c r="M49" s="430">
        <v>-2549264.96</v>
      </c>
      <c r="N49" s="227">
        <f t="shared" si="19"/>
        <v>-43.986800000000002</v>
      </c>
      <c r="O49" s="430">
        <v>59303.39</v>
      </c>
      <c r="P49" s="227">
        <f t="shared" si="20"/>
        <v>-0.78310000000000002</v>
      </c>
      <c r="Q49" s="430">
        <v>273404</v>
      </c>
      <c r="R49" s="227">
        <f t="shared" si="21"/>
        <v>-0.49790000000000001</v>
      </c>
      <c r="S49" s="430">
        <v>544528</v>
      </c>
      <c r="T49" s="227">
        <f t="shared" si="22"/>
        <v>-7.9500000000000001E-2</v>
      </c>
      <c r="U49" s="430">
        <v>591541</v>
      </c>
      <c r="V49" s="227">
        <f t="shared" si="16"/>
        <v>0.81799999999999995</v>
      </c>
      <c r="W49" s="264"/>
      <c r="X49" s="430">
        <v>325373</v>
      </c>
    </row>
    <row r="50" spans="1:25">
      <c r="A50" s="262">
        <v>36</v>
      </c>
      <c r="C50" s="267" t="s">
        <v>2822</v>
      </c>
      <c r="D50" s="430">
        <v>0</v>
      </c>
      <c r="E50" s="430">
        <v>0</v>
      </c>
      <c r="F50" s="267"/>
      <c r="G50" s="430">
        <v>0</v>
      </c>
      <c r="H50" s="227">
        <f t="shared" si="17"/>
        <v>-1</v>
      </c>
      <c r="I50" s="267"/>
      <c r="J50" s="430">
        <v>444105</v>
      </c>
      <c r="K50" s="227">
        <f t="shared" si="18"/>
        <v>-0.96730000000000005</v>
      </c>
      <c r="L50" s="264"/>
      <c r="M50" s="430">
        <v>13582055.050000001</v>
      </c>
      <c r="N50" s="227">
        <f t="shared" si="19"/>
        <v>6.6086</v>
      </c>
      <c r="O50" s="430">
        <v>1785095.72</v>
      </c>
      <c r="P50" s="227">
        <f t="shared" si="20"/>
        <v>2.4710000000000001</v>
      </c>
      <c r="Q50" s="430">
        <v>514292</v>
      </c>
      <c r="R50" s="227">
        <f t="shared" si="21"/>
        <v>3.1913</v>
      </c>
      <c r="S50" s="430">
        <v>122704</v>
      </c>
      <c r="T50" s="227">
        <f t="shared" si="22"/>
        <v>-0.75560000000000005</v>
      </c>
      <c r="U50" s="430">
        <v>502075</v>
      </c>
      <c r="V50" s="227">
        <f t="shared" si="16"/>
        <v>-0.50439999999999996</v>
      </c>
      <c r="W50" s="264"/>
      <c r="X50" s="430">
        <v>1013143</v>
      </c>
    </row>
    <row r="51" spans="1:25">
      <c r="A51" s="262">
        <v>37</v>
      </c>
      <c r="C51" s="267" t="s">
        <v>2823</v>
      </c>
      <c r="D51" s="430">
        <v>0</v>
      </c>
      <c r="E51" s="430">
        <v>0</v>
      </c>
      <c r="F51" s="267"/>
      <c r="G51" s="430">
        <v>0</v>
      </c>
      <c r="H51" s="227">
        <f t="shared" si="17"/>
        <v>1</v>
      </c>
      <c r="I51" s="267"/>
      <c r="J51" s="430">
        <v>-959744</v>
      </c>
      <c r="K51" s="227">
        <f t="shared" si="18"/>
        <v>-92.474599999999995</v>
      </c>
      <c r="L51" s="264"/>
      <c r="M51" s="430">
        <v>-10267.43</v>
      </c>
      <c r="N51" s="227">
        <f t="shared" si="19"/>
        <v>0.99709999999999999</v>
      </c>
      <c r="O51" s="430">
        <v>-3591490.48</v>
      </c>
      <c r="P51" s="227">
        <f t="shared" si="20"/>
        <v>-0.87170000000000003</v>
      </c>
      <c r="Q51" s="430">
        <v>-1918797</v>
      </c>
      <c r="R51" s="227">
        <f t="shared" si="21"/>
        <v>0.1232</v>
      </c>
      <c r="S51" s="430">
        <v>-2188314</v>
      </c>
      <c r="T51" s="227">
        <f t="shared" si="22"/>
        <v>-4.9399999999999999E-2</v>
      </c>
      <c r="U51" s="430">
        <v>-2085376</v>
      </c>
      <c r="V51" s="227">
        <f t="shared" si="16"/>
        <v>-9.3158999999999992</v>
      </c>
      <c r="W51" s="264"/>
      <c r="X51" s="430">
        <v>-202151</v>
      </c>
    </row>
    <row r="52" spans="1:25">
      <c r="A52" s="262">
        <v>38</v>
      </c>
      <c r="C52" s="267" t="s">
        <v>2824</v>
      </c>
      <c r="D52" s="430">
        <v>0</v>
      </c>
      <c r="E52" s="430">
        <v>0</v>
      </c>
      <c r="F52" s="267"/>
      <c r="G52" s="430">
        <v>0</v>
      </c>
      <c r="H52" s="227" t="str">
        <f>IF(J52=0,"-",ROUND((G52-J52)/ABS(J52),4))</f>
        <v>-</v>
      </c>
      <c r="I52" s="267"/>
      <c r="J52" s="430">
        <v>0</v>
      </c>
      <c r="K52" s="227" t="str">
        <f>IF(M52=0,"-",ROUND((J52-M52)/ABS(M52),4))</f>
        <v>-</v>
      </c>
      <c r="L52" s="264"/>
      <c r="M52" s="430">
        <v>0</v>
      </c>
      <c r="N52" s="227" t="str">
        <f t="shared" si="19"/>
        <v>-</v>
      </c>
      <c r="O52" s="430">
        <v>0</v>
      </c>
      <c r="P52" s="227" t="str">
        <f t="shared" si="20"/>
        <v>-</v>
      </c>
      <c r="Q52" s="430">
        <v>0</v>
      </c>
      <c r="R52" s="227" t="str">
        <f t="shared" si="21"/>
        <v>-</v>
      </c>
      <c r="S52" s="430">
        <v>0</v>
      </c>
      <c r="T52" s="227" t="str">
        <f t="shared" si="22"/>
        <v>-</v>
      </c>
      <c r="U52" s="430">
        <v>0</v>
      </c>
      <c r="V52" s="227" t="str">
        <f t="shared" si="16"/>
        <v>-</v>
      </c>
      <c r="W52" s="263"/>
      <c r="X52" s="430">
        <v>0</v>
      </c>
      <c r="Y52" s="267"/>
    </row>
    <row r="53" spans="1:25">
      <c r="A53" s="262">
        <v>39</v>
      </c>
      <c r="C53" s="267" t="s">
        <v>2843</v>
      </c>
      <c r="D53" s="2177">
        <f>SUM(D47:D52)</f>
        <v>0</v>
      </c>
      <c r="E53" s="2177">
        <f>SUM(E47:E52)</f>
        <v>0</v>
      </c>
      <c r="F53" s="267"/>
      <c r="G53" s="2177">
        <f>SUM(G47:G52)</f>
        <v>0</v>
      </c>
      <c r="H53" s="227">
        <f t="shared" si="17"/>
        <v>-1</v>
      </c>
      <c r="I53" s="267"/>
      <c r="J53" s="2177">
        <f>SUM(J47:J52)</f>
        <v>1214706</v>
      </c>
      <c r="K53" s="227">
        <f t="shared" si="18"/>
        <v>0.56110000000000004</v>
      </c>
      <c r="L53" s="264"/>
      <c r="M53" s="2177">
        <f>SUM(M47:M52)</f>
        <v>778095.37000000069</v>
      </c>
      <c r="N53" s="227">
        <f t="shared" si="19"/>
        <v>1.5168999999999999</v>
      </c>
      <c r="O53" s="2177">
        <f>SUM(O47:O52)</f>
        <v>-1505208.37</v>
      </c>
      <c r="P53" s="227">
        <f t="shared" si="20"/>
        <v>-43.1203</v>
      </c>
      <c r="Q53" s="2177">
        <f>SUM(Q47:Q52)</f>
        <v>-34116</v>
      </c>
      <c r="R53" s="227">
        <f t="shared" si="21"/>
        <v>-1.0446</v>
      </c>
      <c r="S53" s="2177">
        <f>SUM(S47:S52)</f>
        <v>764213</v>
      </c>
      <c r="T53" s="227">
        <f t="shared" si="22"/>
        <v>-0.48199999999999998</v>
      </c>
      <c r="U53" s="2177">
        <f>SUM(U47:U52)</f>
        <v>1475412</v>
      </c>
      <c r="V53" s="227">
        <f t="shared" ref="V53:V64" si="23">IF(X53=0,"-",ROUND((U53-X53)/ABS(X53),4))</f>
        <v>-0.4103</v>
      </c>
      <c r="W53" s="263"/>
      <c r="X53" s="2177">
        <f>SUM(X47:X52)</f>
        <v>2501945</v>
      </c>
      <c r="Y53" s="267"/>
    </row>
    <row r="54" spans="1:25">
      <c r="A54" s="262">
        <v>40</v>
      </c>
      <c r="C54" s="267" t="s">
        <v>2844</v>
      </c>
      <c r="D54" s="1591">
        <f>D41-D45-D53</f>
        <v>6499529.6558344457</v>
      </c>
      <c r="E54" s="1591">
        <f>E41-E45-E53</f>
        <v>5498363.4866430536</v>
      </c>
      <c r="F54" s="267"/>
      <c r="G54" s="1591">
        <f>G41-G45-G53</f>
        <v>6291920.7306239316</v>
      </c>
      <c r="H54" s="227">
        <f t="shared" si="17"/>
        <v>-0.17580000000000001</v>
      </c>
      <c r="I54" s="267"/>
      <c r="J54" s="1591">
        <f>J41-J45-J53</f>
        <v>7633620.8460412174</v>
      </c>
      <c r="K54" s="227">
        <f t="shared" si="18"/>
        <v>5.8426</v>
      </c>
      <c r="L54" s="264"/>
      <c r="M54" s="1591">
        <f>M41-M45-M53</f>
        <v>1115596.600000001</v>
      </c>
      <c r="N54" s="227">
        <f t="shared" si="19"/>
        <v>1.2503</v>
      </c>
      <c r="O54" s="1591">
        <f>O41-O45-O53</f>
        <v>-4457224.5600000005</v>
      </c>
      <c r="P54" s="227">
        <f t="shared" si="20"/>
        <v>-11.094200000000001</v>
      </c>
      <c r="Q54" s="1591">
        <f>Q41-Q45-Q53</f>
        <v>-368543</v>
      </c>
      <c r="R54" s="227">
        <f t="shared" si="21"/>
        <v>-2.1147999999999998</v>
      </c>
      <c r="S54" s="1591">
        <f>S41-S45-S53</f>
        <v>330596</v>
      </c>
      <c r="T54" s="227">
        <f t="shared" si="22"/>
        <v>-0.89410000000000001</v>
      </c>
      <c r="U54" s="1591">
        <f>U41-U45-U53</f>
        <v>3121581</v>
      </c>
      <c r="V54" s="227">
        <f t="shared" si="23"/>
        <v>7.3872</v>
      </c>
      <c r="W54" s="263"/>
      <c r="X54" s="1591">
        <f>X41-X45-X53</f>
        <v>372184</v>
      </c>
    </row>
    <row r="55" spans="1:25">
      <c r="A55" s="262">
        <v>41</v>
      </c>
      <c r="C55" s="267" t="s">
        <v>2845</v>
      </c>
      <c r="D55" s="264"/>
      <c r="E55" s="264"/>
      <c r="F55" s="267"/>
      <c r="G55" s="264"/>
      <c r="H55" s="227"/>
      <c r="I55" s="267"/>
      <c r="J55" s="264"/>
      <c r="K55" s="227"/>
      <c r="L55" s="264"/>
      <c r="M55" s="264"/>
      <c r="N55" s="227"/>
      <c r="O55" s="264"/>
      <c r="P55" s="227"/>
      <c r="Q55" s="264"/>
      <c r="R55" s="227"/>
      <c r="S55" s="264"/>
      <c r="T55" s="227"/>
      <c r="U55" s="264"/>
      <c r="V55" s="227"/>
      <c r="W55" s="263"/>
      <c r="X55" s="264"/>
    </row>
    <row r="56" spans="1:25">
      <c r="A56" s="262">
        <v>42</v>
      </c>
      <c r="C56" s="267" t="s">
        <v>2846</v>
      </c>
      <c r="D56" s="430">
        <v>60219059.8666666</v>
      </c>
      <c r="E56" s="430">
        <v>53363453.307692304</v>
      </c>
      <c r="F56" s="267"/>
      <c r="G56" s="430">
        <v>47305476.918803334</v>
      </c>
      <c r="H56" s="227">
        <f t="shared" ref="H56:H64" si="24">IF(J56=0,"-",ROUND((G56-J56)/ABS(J56),4))</f>
        <v>0.30309999999999998</v>
      </c>
      <c r="I56" s="267"/>
      <c r="J56" s="430">
        <v>36303536.600000001</v>
      </c>
      <c r="K56" s="227">
        <f t="shared" ref="K56:K64" si="25">IF(M56=0,"-",ROUND((J56-M56)/ABS(M56),4))</f>
        <v>0.1734</v>
      </c>
      <c r="L56" s="264"/>
      <c r="M56" s="430">
        <v>30938749.18</v>
      </c>
      <c r="N56" s="227">
        <f t="shared" ref="N56:N64" si="26">IF(O56=0,"-",ROUND((M56-O56)/ABS(O56),4))</f>
        <v>0.1174</v>
      </c>
      <c r="O56" s="430">
        <v>27687075.93</v>
      </c>
      <c r="P56" s="227">
        <f t="shared" ref="P56:P64" si="27">IF(Q56=0,"-",ROUND((O56-Q56)/ABS(Q56),4))</f>
        <v>7.0599999999999996E-2</v>
      </c>
      <c r="Q56" s="430">
        <v>25860084</v>
      </c>
      <c r="R56" s="227">
        <f t="shared" ref="R56:R64" si="28">IF(S56=0,"-",ROUND((Q56-S56)/ABS(S56),4))</f>
        <v>4.8399999999999999E-2</v>
      </c>
      <c r="S56" s="430">
        <v>24665700</v>
      </c>
      <c r="T56" s="227">
        <f t="shared" ref="T56:T64" si="29">IF(U56=0,"-",ROUND((S56-U56)/ABS(U56),4))</f>
        <v>6.0299999999999999E-2</v>
      </c>
      <c r="U56" s="430">
        <v>23263985</v>
      </c>
      <c r="V56" s="227">
        <f t="shared" si="23"/>
        <v>0.26929999999999998</v>
      </c>
      <c r="W56" s="263"/>
      <c r="X56" s="430">
        <v>18328365</v>
      </c>
    </row>
    <row r="57" spans="1:25">
      <c r="A57" s="262">
        <v>43</v>
      </c>
      <c r="C57" s="267" t="s">
        <v>2847</v>
      </c>
      <c r="D57" s="430">
        <v>487461.537455949</v>
      </c>
      <c r="E57" s="430">
        <v>488064.50423335796</v>
      </c>
      <c r="F57" s="267"/>
      <c r="G57" s="430">
        <v>507381.58531443891</v>
      </c>
      <c r="H57" s="227">
        <f t="shared" si="24"/>
        <v>-6.2100000000000002E-2</v>
      </c>
      <c r="I57" s="267"/>
      <c r="J57" s="430">
        <v>540947.58223250904</v>
      </c>
      <c r="K57" s="227">
        <f t="shared" si="25"/>
        <v>0.16120000000000001</v>
      </c>
      <c r="L57" s="264"/>
      <c r="M57" s="430">
        <v>465836.46000000008</v>
      </c>
      <c r="N57" s="227">
        <f t="shared" si="26"/>
        <v>0.1062</v>
      </c>
      <c r="O57" s="430">
        <v>421126.68</v>
      </c>
      <c r="P57" s="227">
        <f t="shared" si="27"/>
        <v>-0.24210000000000001</v>
      </c>
      <c r="Q57" s="430">
        <v>555657</v>
      </c>
      <c r="R57" s="227">
        <f t="shared" si="28"/>
        <v>0.41449999999999998</v>
      </c>
      <c r="S57" s="430">
        <v>392831</v>
      </c>
      <c r="T57" s="227">
        <f t="shared" si="29"/>
        <v>8.8099999999999998E-2</v>
      </c>
      <c r="U57" s="430">
        <v>361034</v>
      </c>
      <c r="V57" s="227">
        <f t="shared" si="23"/>
        <v>9.6799999999999997E-2</v>
      </c>
      <c r="W57" s="263"/>
      <c r="X57" s="430">
        <v>329160</v>
      </c>
    </row>
    <row r="58" spans="1:25">
      <c r="A58" s="262">
        <v>44</v>
      </c>
      <c r="C58" s="267" t="s">
        <v>2848</v>
      </c>
      <c r="D58" s="430"/>
      <c r="E58" s="430"/>
      <c r="F58" s="267"/>
      <c r="G58" s="430"/>
      <c r="H58" s="227">
        <f t="shared" si="24"/>
        <v>-1</v>
      </c>
      <c r="I58" s="267"/>
      <c r="J58" s="430">
        <v>39753</v>
      </c>
      <c r="K58" s="227">
        <f t="shared" si="25"/>
        <v>-0.66359999999999997</v>
      </c>
      <c r="L58" s="264"/>
      <c r="M58" s="430">
        <v>118160.03000000001</v>
      </c>
      <c r="N58" s="227">
        <f t="shared" si="26"/>
        <v>-3.2599999999999997E-2</v>
      </c>
      <c r="O58" s="430">
        <v>122139.86</v>
      </c>
      <c r="P58" s="227">
        <f t="shared" si="27"/>
        <v>-4.7999999999999996E-3</v>
      </c>
      <c r="Q58" s="430">
        <v>122723</v>
      </c>
      <c r="R58" s="227">
        <f t="shared" si="28"/>
        <v>-0.28560000000000002</v>
      </c>
      <c r="S58" s="430">
        <v>171778</v>
      </c>
      <c r="T58" s="227">
        <f t="shared" si="29"/>
        <v>-0.26269999999999999</v>
      </c>
      <c r="U58" s="430">
        <v>232976</v>
      </c>
      <c r="V58" s="227">
        <f t="shared" si="23"/>
        <v>-0.12570000000000001</v>
      </c>
      <c r="W58" s="263"/>
      <c r="X58" s="430">
        <v>266474</v>
      </c>
    </row>
    <row r="59" spans="1:25">
      <c r="A59" s="262">
        <v>45</v>
      </c>
      <c r="C59" s="267" t="s">
        <v>2849</v>
      </c>
      <c r="D59" s="430"/>
      <c r="E59" s="430"/>
      <c r="F59" s="267"/>
      <c r="G59" s="430"/>
      <c r="H59" s="227" t="str">
        <f t="shared" si="24"/>
        <v>-</v>
      </c>
      <c r="I59" s="267"/>
      <c r="J59" s="430">
        <v>0</v>
      </c>
      <c r="K59" s="227" t="str">
        <f t="shared" si="25"/>
        <v>-</v>
      </c>
      <c r="L59" s="264"/>
      <c r="M59" s="430">
        <v>0</v>
      </c>
      <c r="N59" s="227" t="str">
        <f t="shared" si="26"/>
        <v>-</v>
      </c>
      <c r="O59" s="430">
        <v>0</v>
      </c>
      <c r="P59" s="227" t="str">
        <f t="shared" si="27"/>
        <v>-</v>
      </c>
      <c r="Q59" s="430">
        <v>0</v>
      </c>
      <c r="R59" s="227" t="str">
        <f t="shared" si="28"/>
        <v>-</v>
      </c>
      <c r="S59" s="430">
        <v>0</v>
      </c>
      <c r="T59" s="227" t="str">
        <f t="shared" si="29"/>
        <v>-</v>
      </c>
      <c r="U59" s="430">
        <v>0</v>
      </c>
      <c r="V59" s="227" t="str">
        <f t="shared" si="23"/>
        <v>-</v>
      </c>
      <c r="W59" s="264"/>
      <c r="X59" s="430">
        <v>0</v>
      </c>
    </row>
    <row r="60" spans="1:25">
      <c r="A60" s="262">
        <v>46</v>
      </c>
      <c r="C60" s="267" t="s">
        <v>2850</v>
      </c>
      <c r="D60" s="430">
        <v>937500</v>
      </c>
      <c r="E60" s="430">
        <v>2419170.4061159999</v>
      </c>
      <c r="F60" s="267"/>
      <c r="G60" s="430">
        <v>3253336.6392731252</v>
      </c>
      <c r="H60" s="227">
        <f t="shared" si="24"/>
        <v>0.86639999999999995</v>
      </c>
      <c r="I60" s="267"/>
      <c r="J60" s="430">
        <v>1743139.9127691269</v>
      </c>
      <c r="K60" s="227">
        <f t="shared" si="25"/>
        <v>-0.71709999999999996</v>
      </c>
      <c r="L60" s="264"/>
      <c r="M60" s="430">
        <v>6162744.7000000002</v>
      </c>
      <c r="N60" s="227">
        <f t="shared" si="26"/>
        <v>3.1625999999999999</v>
      </c>
      <c r="O60" s="430">
        <v>1480518.2899999998</v>
      </c>
      <c r="P60" s="227">
        <f t="shared" si="27"/>
        <v>9.4664999999999999</v>
      </c>
      <c r="Q60" s="430">
        <v>141453</v>
      </c>
      <c r="R60" s="227">
        <f t="shared" si="28"/>
        <v>-0.81289999999999996</v>
      </c>
      <c r="S60" s="430">
        <v>755884</v>
      </c>
      <c r="T60" s="227">
        <f t="shared" si="29"/>
        <v>-0.58689999999999998</v>
      </c>
      <c r="U60" s="430">
        <v>1829960</v>
      </c>
      <c r="V60" s="227">
        <f t="shared" si="23"/>
        <v>8.3500000000000005E-2</v>
      </c>
      <c r="W60" s="264"/>
      <c r="X60" s="430">
        <v>1688923</v>
      </c>
    </row>
    <row r="61" spans="1:25">
      <c r="A61" s="262">
        <v>47</v>
      </c>
      <c r="C61" s="267" t="s">
        <v>2851</v>
      </c>
      <c r="D61" s="430">
        <v>1357601.239257273</v>
      </c>
      <c r="E61" s="430">
        <v>1320230.5432788029</v>
      </c>
      <c r="F61" s="267"/>
      <c r="G61" s="430">
        <v>1320956.9895078097</v>
      </c>
      <c r="H61" s="227">
        <f t="shared" si="24"/>
        <v>0.45989999999999998</v>
      </c>
      <c r="I61" s="267"/>
      <c r="J61" s="430">
        <v>904845.08441308257</v>
      </c>
      <c r="K61" s="227">
        <f t="shared" si="25"/>
        <v>-0.59140000000000004</v>
      </c>
      <c r="L61" s="264"/>
      <c r="M61" s="430">
        <v>2214512.96</v>
      </c>
      <c r="N61" s="227">
        <f t="shared" si="26"/>
        <v>0.61060000000000003</v>
      </c>
      <c r="O61" s="430">
        <v>1374973.66</v>
      </c>
      <c r="P61" s="227">
        <f t="shared" si="27"/>
        <v>6.4000000000000003E-3</v>
      </c>
      <c r="Q61" s="430">
        <v>1366280</v>
      </c>
      <c r="R61" s="227">
        <f t="shared" si="28"/>
        <v>4.4000000000000003E-3</v>
      </c>
      <c r="S61" s="430">
        <v>1360229</v>
      </c>
      <c r="T61" s="227">
        <f t="shared" si="29"/>
        <v>4.0599999999999997E-2</v>
      </c>
      <c r="U61" s="430">
        <v>1307150</v>
      </c>
      <c r="V61" s="227">
        <f t="shared" si="23"/>
        <v>-6.7299999999999999E-2</v>
      </c>
      <c r="W61" s="264"/>
      <c r="X61" s="430">
        <v>1401444</v>
      </c>
    </row>
    <row r="62" spans="1:25">
      <c r="A62" s="262">
        <v>48</v>
      </c>
      <c r="C62" s="267" t="s">
        <v>2852</v>
      </c>
      <c r="D62" s="430">
        <v>-2034342.2547509898</v>
      </c>
      <c r="E62" s="430">
        <v>-1509855.6204961501</v>
      </c>
      <c r="F62" s="267"/>
      <c r="G62" s="430">
        <v>-1854930.1101305962</v>
      </c>
      <c r="H62" s="227">
        <f t="shared" si="24"/>
        <v>-5.8000000000000003E-2</v>
      </c>
      <c r="I62" s="267"/>
      <c r="J62" s="430">
        <v>-1753178.6060975099</v>
      </c>
      <c r="K62" s="227">
        <f t="shared" si="25"/>
        <v>0.57420000000000004</v>
      </c>
      <c r="L62" s="431"/>
      <c r="M62" s="430">
        <v>-4117501.9</v>
      </c>
      <c r="N62" s="227">
        <f t="shared" si="26"/>
        <v>-2.7027000000000001</v>
      </c>
      <c r="O62" s="430">
        <v>-1112022.3899999999</v>
      </c>
      <c r="P62" s="227">
        <f t="shared" si="27"/>
        <v>-1.4729000000000001</v>
      </c>
      <c r="Q62" s="430">
        <v>-449681</v>
      </c>
      <c r="R62" s="227">
        <f t="shared" si="28"/>
        <v>-1562.3924</v>
      </c>
      <c r="S62" s="430">
        <v>288</v>
      </c>
      <c r="T62" s="227">
        <f t="shared" si="29"/>
        <v>1.0001</v>
      </c>
      <c r="U62" s="430">
        <v>-2012772</v>
      </c>
      <c r="V62" s="227">
        <f t="shared" si="23"/>
        <v>-1.1900000000000001E-2</v>
      </c>
      <c r="X62" s="430">
        <v>-1989115</v>
      </c>
    </row>
    <row r="63" spans="1:25">
      <c r="A63" s="262">
        <v>49</v>
      </c>
      <c r="C63" s="267" t="s">
        <v>2853</v>
      </c>
      <c r="D63" s="2177">
        <f>SUM(D56:D62)</f>
        <v>60967280.388628833</v>
      </c>
      <c r="E63" s="2177">
        <f>SUM(E56:E62)</f>
        <v>56081063.140824318</v>
      </c>
      <c r="F63" s="267"/>
      <c r="G63" s="2177">
        <f>SUM(G56:G62)</f>
        <v>50532222.02276811</v>
      </c>
      <c r="H63" s="227">
        <f t="shared" si="24"/>
        <v>0.33760000000000001</v>
      </c>
      <c r="I63" s="267"/>
      <c r="J63" s="2177">
        <f>SUM(J56:J62)</f>
        <v>37779043.573317207</v>
      </c>
      <c r="K63" s="227">
        <f t="shared" si="25"/>
        <v>5.5800000000000002E-2</v>
      </c>
      <c r="L63" s="264"/>
      <c r="M63" s="2177">
        <f>SUM(M56:M62)</f>
        <v>35782501.430000007</v>
      </c>
      <c r="N63" s="227">
        <f t="shared" si="26"/>
        <v>0.1938</v>
      </c>
      <c r="O63" s="2177">
        <f>SUM(O56:O62)</f>
        <v>29973812.029999997</v>
      </c>
      <c r="P63" s="227">
        <f t="shared" si="27"/>
        <v>8.6099999999999996E-2</v>
      </c>
      <c r="Q63" s="2177">
        <f>SUM(Q56:Q62)</f>
        <v>27596516</v>
      </c>
      <c r="R63" s="227">
        <f t="shared" si="28"/>
        <v>9.1000000000000004E-3</v>
      </c>
      <c r="S63" s="2177">
        <f>SUM(S56:S62)</f>
        <v>27346710</v>
      </c>
      <c r="T63" s="227">
        <f t="shared" si="29"/>
        <v>9.4600000000000004E-2</v>
      </c>
      <c r="U63" s="2177">
        <f>SUM(U56:U62)</f>
        <v>24982333</v>
      </c>
      <c r="V63" s="227">
        <f t="shared" si="23"/>
        <v>0.2475</v>
      </c>
      <c r="X63" s="2177">
        <f>SUM(X56:X62)</f>
        <v>20025251</v>
      </c>
    </row>
    <row r="64" spans="1:25" ht="13.8" thickBot="1">
      <c r="A64" s="262">
        <v>50</v>
      </c>
      <c r="C64" s="267" t="s">
        <v>2854</v>
      </c>
      <c r="D64" s="1971">
        <f>D33+D54-D63</f>
        <v>107197013.56678534</v>
      </c>
      <c r="E64" s="1971">
        <f>E33+E54-E63</f>
        <v>98574958.413680762</v>
      </c>
      <c r="F64" s="267"/>
      <c r="G64" s="1971">
        <f>G33+G54-G63</f>
        <v>97227217.596735716</v>
      </c>
      <c r="H64" s="227">
        <f t="shared" si="24"/>
        <v>0.15290000000000001</v>
      </c>
      <c r="I64" s="267"/>
      <c r="J64" s="1971">
        <f>J33+J54-J63</f>
        <v>84331832.860641688</v>
      </c>
      <c r="K64" s="227">
        <f t="shared" si="25"/>
        <v>0.29420000000000002</v>
      </c>
      <c r="M64" s="1971">
        <f>M33+M54-M63</f>
        <v>65162215.710000008</v>
      </c>
      <c r="N64" s="227">
        <f t="shared" si="26"/>
        <v>0.1129</v>
      </c>
      <c r="O64" s="1971">
        <f>O33+O54-O63</f>
        <v>58552018.220000058</v>
      </c>
      <c r="P64" s="227">
        <f t="shared" si="27"/>
        <v>9.64E-2</v>
      </c>
      <c r="Q64" s="1971">
        <f>Q33+Q54-Q63</f>
        <v>53405580</v>
      </c>
      <c r="R64" s="227">
        <f t="shared" si="28"/>
        <v>0.10929999999999999</v>
      </c>
      <c r="S64" s="1971">
        <f>S33+S54-S63</f>
        <v>48143295</v>
      </c>
      <c r="T64" s="227">
        <f t="shared" si="29"/>
        <v>-1.49E-2</v>
      </c>
      <c r="U64" s="1971">
        <f>U33+U54-U63</f>
        <v>48869944</v>
      </c>
      <c r="V64" s="227">
        <f t="shared" si="23"/>
        <v>-1.89E-2</v>
      </c>
      <c r="X64" s="1971">
        <f>X33+X54-X63</f>
        <v>49809221</v>
      </c>
    </row>
    <row r="65" spans="3:13" ht="13.8" thickTop="1">
      <c r="J65" s="264"/>
      <c r="K65" s="264"/>
      <c r="L65" s="264"/>
    </row>
    <row r="66" spans="3:13" ht="15.6">
      <c r="C66" s="433"/>
      <c r="D66" s="433"/>
      <c r="E66" s="433"/>
      <c r="F66" s="433"/>
      <c r="G66" s="433"/>
      <c r="H66" s="433"/>
      <c r="I66" s="433"/>
    </row>
    <row r="67" spans="3:13">
      <c r="J67" s="264"/>
      <c r="K67" s="264"/>
      <c r="L67" s="264"/>
    </row>
    <row r="68" spans="3:13">
      <c r="J68" s="264"/>
      <c r="K68" s="264"/>
      <c r="L68" s="264"/>
    </row>
    <row r="69" spans="3:13">
      <c r="J69" s="264"/>
      <c r="K69" s="264"/>
      <c r="L69" s="264"/>
    </row>
    <row r="70" spans="3:13">
      <c r="J70" s="264"/>
      <c r="K70" s="264"/>
      <c r="L70" s="264"/>
    </row>
    <row r="71" spans="3:13">
      <c r="J71" s="1179"/>
      <c r="K71" s="264"/>
      <c r="L71" s="264"/>
    </row>
    <row r="72" spans="3:13">
      <c r="J72" s="1180"/>
      <c r="K72" s="1180"/>
      <c r="L72" s="264"/>
      <c r="M72" s="1180"/>
    </row>
    <row r="73" spans="3:13">
      <c r="C73" s="267"/>
      <c r="D73" s="267"/>
      <c r="E73" s="267"/>
      <c r="F73" s="267"/>
      <c r="G73" s="267"/>
      <c r="H73" s="267"/>
      <c r="I73" s="267"/>
      <c r="J73" s="264"/>
      <c r="K73" s="264"/>
      <c r="L73" s="263"/>
      <c r="M73" s="264"/>
    </row>
    <row r="74" spans="3:13">
      <c r="C74" s="267"/>
      <c r="D74" s="267"/>
      <c r="E74" s="267"/>
      <c r="F74" s="267"/>
      <c r="G74" s="267"/>
      <c r="H74" s="267"/>
      <c r="I74" s="267"/>
      <c r="J74" s="264"/>
      <c r="K74" s="264"/>
      <c r="L74" s="264"/>
      <c r="M74" s="264"/>
    </row>
    <row r="75" spans="3:13">
      <c r="C75" s="267"/>
      <c r="D75" s="267"/>
      <c r="E75" s="267"/>
      <c r="F75" s="267"/>
      <c r="G75" s="267"/>
      <c r="H75" s="267"/>
      <c r="I75" s="267"/>
      <c r="J75" s="264"/>
      <c r="K75" s="264"/>
      <c r="L75" s="264"/>
      <c r="M75" s="264"/>
    </row>
    <row r="76" spans="3:13">
      <c r="C76" s="267"/>
      <c r="D76" s="267"/>
      <c r="E76" s="267"/>
      <c r="F76" s="267"/>
      <c r="G76" s="267"/>
      <c r="H76" s="267"/>
      <c r="I76" s="267"/>
      <c r="J76" s="264"/>
      <c r="K76" s="264"/>
      <c r="L76" s="264"/>
      <c r="M76" s="264"/>
    </row>
    <row r="77" spans="3:13">
      <c r="C77" s="267"/>
      <c r="D77" s="267"/>
      <c r="E77" s="267"/>
      <c r="F77" s="267"/>
      <c r="G77" s="267"/>
      <c r="H77" s="267"/>
      <c r="I77" s="267"/>
      <c r="J77" s="264"/>
      <c r="K77" s="264"/>
      <c r="L77" s="264"/>
      <c r="M77" s="264"/>
    </row>
    <row r="78" spans="3:13">
      <c r="C78" s="267"/>
      <c r="D78" s="267"/>
      <c r="E78" s="267"/>
      <c r="F78" s="267"/>
      <c r="G78" s="267"/>
      <c r="H78" s="267"/>
      <c r="I78" s="267"/>
      <c r="J78" s="264"/>
      <c r="K78" s="264"/>
      <c r="L78" s="264"/>
      <c r="M78" s="264"/>
    </row>
    <row r="79" spans="3:13">
      <c r="C79" s="267"/>
      <c r="D79" s="267"/>
      <c r="E79" s="267"/>
      <c r="F79" s="267"/>
      <c r="G79" s="267"/>
      <c r="H79" s="267"/>
      <c r="I79" s="267"/>
      <c r="J79" s="264"/>
      <c r="K79" s="264"/>
      <c r="M79" s="264"/>
    </row>
    <row r="80" spans="3:13">
      <c r="C80" s="267"/>
      <c r="D80" s="267"/>
      <c r="E80" s="267"/>
      <c r="F80" s="267"/>
      <c r="G80" s="267"/>
      <c r="H80" s="267"/>
      <c r="I80" s="267"/>
      <c r="J80" s="264"/>
      <c r="K80" s="264"/>
      <c r="M80" s="264"/>
    </row>
  </sheetData>
  <mergeCells count="2">
    <mergeCell ref="D11:E11"/>
    <mergeCell ref="D12:E12"/>
  </mergeCells>
  <printOptions horizontalCentered="1"/>
  <pageMargins left="0.25" right="0.75" top="1" bottom="0" header="0" footer="0"/>
  <pageSetup scale="45" orientation="landscape" verticalDpi="300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syncVertical="1" syncRef="A1" transitionEvaluation="1" transitionEntry="1" codeName="Sheet63">
    <tabColor rgb="FF00B050"/>
    <pageSetUpPr fitToPage="1"/>
  </sheetPr>
  <dimension ref="A1:AI214"/>
  <sheetViews>
    <sheetView zoomScale="80" zoomScaleNormal="80" workbookViewId="0"/>
  </sheetViews>
  <sheetFormatPr defaultColWidth="17.5546875" defaultRowHeight="13.2"/>
  <cols>
    <col min="1" max="1" width="6.44140625" customWidth="1"/>
    <col min="2" max="2" width="0.5546875" customWidth="1"/>
    <col min="3" max="3" width="54.44140625" customWidth="1"/>
    <col min="4" max="4" width="15.44140625" customWidth="1"/>
    <col min="5" max="5" width="15.5546875" customWidth="1"/>
    <col min="6" max="6" width="2.44140625" customWidth="1"/>
    <col min="7" max="7" width="16" customWidth="1"/>
    <col min="8" max="8" width="14.44140625" customWidth="1"/>
    <col min="9" max="9" width="0.5546875" customWidth="1"/>
    <col min="10" max="10" width="14.5546875" customWidth="1"/>
    <col min="11" max="11" width="13.44140625" customWidth="1"/>
    <col min="12" max="12" width="0.5546875" customWidth="1"/>
    <col min="13" max="13" width="13.5546875" customWidth="1"/>
    <col min="14" max="14" width="13.44140625" customWidth="1"/>
    <col min="15" max="15" width="14.44140625" customWidth="1"/>
    <col min="16" max="16" width="13.44140625" customWidth="1"/>
    <col min="17" max="17" width="13.5546875" customWidth="1"/>
    <col min="18" max="18" width="14.5546875" customWidth="1"/>
    <col min="19" max="19" width="14.44140625" customWidth="1"/>
    <col min="20" max="20" width="16.44140625" customWidth="1"/>
    <col min="21" max="21" width="13.44140625" customWidth="1"/>
    <col min="22" max="22" width="14.5546875" customWidth="1"/>
    <col min="23" max="23" width="5.44140625" customWidth="1"/>
    <col min="24" max="24" width="17.44140625" customWidth="1"/>
    <col min="25" max="25" width="3" customWidth="1"/>
  </cols>
  <sheetData>
    <row r="1" spans="1:35">
      <c r="A1" s="257" t="str">
        <f>COMPANY</f>
        <v>DUKE ENERGY KENTUCKY, INC.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92"/>
      <c r="N1" s="257"/>
      <c r="O1" s="292"/>
      <c r="P1" s="257"/>
      <c r="Q1" s="292"/>
      <c r="R1" s="257"/>
      <c r="S1" s="292"/>
      <c r="T1" s="257"/>
      <c r="U1" s="292"/>
      <c r="V1" s="257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</row>
    <row r="2" spans="1:35">
      <c r="A2" s="257" t="str">
        <f>CASE</f>
        <v>CASE NO. 2024-00354</v>
      </c>
      <c r="B2" s="257"/>
      <c r="C2" s="257"/>
      <c r="D2" s="257"/>
      <c r="E2" s="257"/>
      <c r="F2" s="257"/>
      <c r="G2" s="257"/>
      <c r="H2" s="257"/>
      <c r="I2" s="257"/>
      <c r="J2" s="257"/>
      <c r="K2" s="292"/>
      <c r="L2" s="292"/>
      <c r="M2" s="257"/>
      <c r="N2" s="292"/>
      <c r="O2" s="257"/>
      <c r="P2" s="292"/>
      <c r="Q2" s="257"/>
      <c r="R2" s="292"/>
      <c r="S2" s="257"/>
      <c r="T2" s="292"/>
      <c r="U2" s="257"/>
      <c r="V2" s="257"/>
      <c r="W2" s="258"/>
      <c r="X2" s="258"/>
      <c r="Y2" s="258"/>
      <c r="Z2" s="258"/>
      <c r="AA2" s="258"/>
      <c r="AB2" s="258"/>
      <c r="AC2" s="258"/>
      <c r="AD2" s="258"/>
      <c r="AE2" s="258"/>
      <c r="AF2" s="258"/>
      <c r="AG2" s="258"/>
      <c r="AH2" s="258"/>
      <c r="AI2" s="258"/>
    </row>
    <row r="3" spans="1:35">
      <c r="A3" s="257" t="s">
        <v>1153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92"/>
      <c r="N3" s="257"/>
      <c r="O3" s="292"/>
      <c r="P3" s="257"/>
      <c r="Q3" s="292"/>
      <c r="R3" s="257"/>
      <c r="S3" s="292"/>
      <c r="T3" s="257"/>
      <c r="U3" s="292"/>
      <c r="V3" s="257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</row>
    <row r="4" spans="1:35">
      <c r="A4" s="257" t="s">
        <v>2806</v>
      </c>
      <c r="B4" s="257"/>
      <c r="C4" s="257"/>
      <c r="D4" s="257"/>
      <c r="E4" s="257"/>
      <c r="F4" s="257"/>
      <c r="G4" s="257"/>
      <c r="H4" s="257"/>
      <c r="I4" s="257"/>
      <c r="J4" s="257"/>
      <c r="K4" s="292"/>
      <c r="L4" s="292"/>
      <c r="M4" s="257"/>
      <c r="N4" s="292"/>
      <c r="O4" s="257"/>
      <c r="P4" s="292"/>
      <c r="Q4" s="257"/>
      <c r="R4" s="292"/>
      <c r="S4" s="257"/>
      <c r="T4" s="292"/>
      <c r="U4" s="257"/>
      <c r="V4" s="257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</row>
    <row r="5" spans="1:35">
      <c r="A5" s="351"/>
      <c r="B5" s="257"/>
      <c r="C5" s="257"/>
      <c r="D5" s="257"/>
      <c r="E5" s="257"/>
      <c r="F5" s="257"/>
      <c r="G5" s="257"/>
      <c r="H5" s="257"/>
      <c r="I5" s="257"/>
      <c r="J5" s="257"/>
      <c r="K5" s="292"/>
      <c r="L5" s="292"/>
      <c r="M5" s="257"/>
      <c r="N5" s="292"/>
      <c r="O5" s="257"/>
      <c r="P5" s="292"/>
      <c r="Q5" s="257"/>
      <c r="R5" s="292"/>
      <c r="S5" s="257"/>
      <c r="T5" s="292"/>
      <c r="U5" s="257"/>
      <c r="V5" s="257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</row>
    <row r="6" spans="1:35">
      <c r="A6" s="351"/>
      <c r="B6" s="257"/>
      <c r="C6" s="257"/>
      <c r="D6" s="257"/>
      <c r="E6" s="257"/>
      <c r="F6" s="257"/>
      <c r="G6" s="257"/>
      <c r="H6" s="257"/>
      <c r="I6" s="257"/>
      <c r="J6" s="257"/>
      <c r="K6" s="292"/>
      <c r="L6" s="292"/>
      <c r="M6" s="257"/>
      <c r="N6" s="292"/>
      <c r="O6" s="257"/>
      <c r="P6" s="292"/>
      <c r="Q6" s="257"/>
      <c r="R6" s="292"/>
      <c r="S6" s="257"/>
      <c r="T6" s="292"/>
      <c r="U6" s="257"/>
      <c r="V6" s="257"/>
      <c r="W6" s="258"/>
      <c r="X6" s="258"/>
      <c r="Y6" s="258"/>
      <c r="Z6" s="258"/>
      <c r="AA6" s="258"/>
      <c r="AB6" s="258"/>
      <c r="AC6" s="258"/>
      <c r="AD6" s="258"/>
      <c r="AE6" s="258"/>
      <c r="AF6" s="258"/>
      <c r="AG6" s="258"/>
      <c r="AH6" s="258"/>
      <c r="AI6" s="258"/>
    </row>
    <row r="7" spans="1:35">
      <c r="A7" s="267"/>
      <c r="B7" s="258"/>
      <c r="C7" s="258"/>
      <c r="D7" s="258"/>
      <c r="E7" s="258"/>
      <c r="F7" s="258"/>
      <c r="G7" s="258"/>
      <c r="H7" s="258"/>
      <c r="I7" s="258"/>
      <c r="J7" s="258"/>
      <c r="K7" s="293"/>
      <c r="L7" s="293"/>
      <c r="M7" s="258"/>
      <c r="N7" s="293"/>
      <c r="O7" s="258"/>
      <c r="P7" s="293"/>
      <c r="Q7" s="258"/>
      <c r="R7" s="293"/>
      <c r="S7" s="94"/>
      <c r="T7" s="267" t="s">
        <v>2807</v>
      </c>
      <c r="U7" s="293"/>
      <c r="V7" s="258"/>
      <c r="W7" s="258"/>
      <c r="X7" s="258"/>
      <c r="Y7" s="258"/>
      <c r="Z7" s="258"/>
      <c r="AA7" s="258"/>
      <c r="AB7" s="258"/>
      <c r="AC7" s="258"/>
      <c r="AD7" s="258"/>
      <c r="AE7" s="258"/>
      <c r="AF7" s="258"/>
      <c r="AG7" s="258"/>
      <c r="AH7" s="258"/>
      <c r="AI7" s="258"/>
    </row>
    <row r="8" spans="1:35">
      <c r="A8" s="294" t="str">
        <f>DataB</f>
        <v>DATA: "X" BASE PERIOD  "X" FORECASTED PERIOD</v>
      </c>
      <c r="B8" s="258"/>
      <c r="C8" s="258"/>
      <c r="D8" s="258"/>
      <c r="E8" s="258"/>
      <c r="F8" s="258"/>
      <c r="G8" s="258"/>
      <c r="H8" s="258"/>
      <c r="I8" s="258"/>
      <c r="J8" s="258"/>
      <c r="K8" s="293"/>
      <c r="L8" s="293"/>
      <c r="M8" s="258"/>
      <c r="N8" s="293"/>
      <c r="O8" s="258"/>
      <c r="P8" s="293"/>
      <c r="Q8" s="258"/>
      <c r="R8" s="293"/>
      <c r="S8" s="94"/>
      <c r="T8" s="265" t="s">
        <v>590</v>
      </c>
      <c r="U8" s="293"/>
      <c r="V8" s="258"/>
      <c r="W8" s="258"/>
      <c r="X8" s="258"/>
      <c r="Y8" s="258"/>
      <c r="Z8" s="258"/>
      <c r="AA8" s="258"/>
      <c r="AB8" s="258"/>
      <c r="AC8" s="258"/>
      <c r="AD8" s="258"/>
      <c r="AE8" s="258"/>
      <c r="AF8" s="258"/>
      <c r="AG8" s="258"/>
      <c r="AH8" s="258"/>
      <c r="AI8" s="258"/>
    </row>
    <row r="9" spans="1:35">
      <c r="A9" s="267" t="str">
        <f>Type</f>
        <v xml:space="preserve">TYPE OF FILING:  "X" ORIGINAL   UPDATED    REVISED  </v>
      </c>
      <c r="B9" s="258"/>
      <c r="C9" s="258"/>
      <c r="D9" s="258"/>
      <c r="E9" s="258"/>
      <c r="F9" s="258"/>
      <c r="G9" s="258"/>
      <c r="H9" s="258"/>
      <c r="I9" s="258"/>
      <c r="J9" s="425"/>
      <c r="K9" s="293"/>
      <c r="L9" s="293"/>
      <c r="M9" s="2429"/>
      <c r="N9" s="2429"/>
      <c r="O9" s="2429"/>
      <c r="P9" s="2429"/>
      <c r="Q9" s="2429"/>
      <c r="R9" s="293"/>
      <c r="S9" s="94"/>
      <c r="T9" s="258" t="s">
        <v>468</v>
      </c>
      <c r="U9" s="293"/>
      <c r="V9" s="258"/>
      <c r="W9" s="258"/>
      <c r="X9" s="258"/>
      <c r="Y9" s="258"/>
      <c r="Z9" s="258"/>
      <c r="AA9" s="258"/>
      <c r="AB9" s="258"/>
      <c r="AC9" s="258"/>
      <c r="AD9" s="258"/>
      <c r="AE9" s="258"/>
      <c r="AF9" s="258"/>
      <c r="AG9" s="258"/>
      <c r="AH9" s="258"/>
      <c r="AI9" s="258"/>
    </row>
    <row r="10" spans="1:35">
      <c r="A10" s="267" t="s">
        <v>723</v>
      </c>
      <c r="B10" s="258"/>
      <c r="C10" s="258"/>
      <c r="D10" s="258"/>
      <c r="E10" s="258"/>
      <c r="F10" s="258"/>
      <c r="G10" s="258"/>
      <c r="H10" s="258"/>
      <c r="I10" s="258"/>
      <c r="J10" s="425"/>
      <c r="K10" s="293"/>
      <c r="L10" s="293"/>
      <c r="M10" s="425"/>
      <c r="N10" s="293"/>
      <c r="O10" s="258"/>
      <c r="P10" s="293"/>
      <c r="Q10" s="258"/>
      <c r="R10" s="293"/>
      <c r="S10" s="94"/>
      <c r="T10" s="297" t="str">
        <f>_WIT6</f>
        <v>G. S. CARPENTER / D. L. WEATHERSTON</v>
      </c>
      <c r="U10" s="293"/>
      <c r="V10" s="258"/>
      <c r="W10" s="258"/>
      <c r="X10" s="258"/>
      <c r="Y10" s="258"/>
      <c r="Z10" s="258"/>
      <c r="AA10" s="258"/>
      <c r="AB10" s="258"/>
      <c r="AC10" s="258"/>
      <c r="AD10" s="258"/>
      <c r="AE10" s="258"/>
      <c r="AF10" s="258"/>
      <c r="AG10" s="258"/>
      <c r="AH10" s="258"/>
      <c r="AI10" s="258"/>
    </row>
    <row r="11" spans="1:35">
      <c r="A11" s="267"/>
      <c r="B11" s="258"/>
      <c r="C11" s="258"/>
      <c r="D11" s="2427" t="s">
        <v>2808</v>
      </c>
      <c r="E11" s="2427"/>
      <c r="F11" s="258"/>
      <c r="G11" s="258"/>
      <c r="H11" s="258"/>
      <c r="I11" s="258"/>
      <c r="J11" s="258"/>
      <c r="K11" s="293"/>
      <c r="L11" s="293"/>
      <c r="M11" s="258"/>
      <c r="N11" s="293"/>
      <c r="O11" s="258"/>
      <c r="P11" s="293"/>
      <c r="Q11" s="258"/>
      <c r="R11" s="293"/>
      <c r="S11" s="297"/>
      <c r="T11" s="426"/>
      <c r="U11" s="258"/>
      <c r="V11" s="258"/>
      <c r="W11" s="258"/>
      <c r="X11" s="258"/>
      <c r="Y11" s="258"/>
      <c r="Z11" s="258"/>
      <c r="AA11" s="258"/>
      <c r="AB11" s="258"/>
      <c r="AC11" s="258"/>
      <c r="AD11" s="258"/>
      <c r="AE11" s="258"/>
      <c r="AF11" s="258"/>
      <c r="AG11" s="258"/>
      <c r="AH11" s="258"/>
      <c r="AI11" s="258"/>
    </row>
    <row r="12" spans="1:35">
      <c r="A12" s="258"/>
      <c r="B12" s="258"/>
      <c r="C12" s="258"/>
      <c r="D12" s="2428" t="s">
        <v>2809</v>
      </c>
      <c r="E12" s="2428"/>
      <c r="F12" s="258"/>
      <c r="G12" s="258"/>
      <c r="H12" s="258"/>
      <c r="I12" s="258"/>
      <c r="J12" s="258"/>
      <c r="K12" s="292"/>
      <c r="L12" s="292"/>
      <c r="M12" s="1586" t="s">
        <v>1314</v>
      </c>
      <c r="N12" s="1587"/>
      <c r="O12" s="1586"/>
      <c r="P12" s="1588"/>
      <c r="Q12" s="1586"/>
      <c r="R12" s="1588"/>
      <c r="S12" s="1586"/>
      <c r="T12" s="1588"/>
      <c r="U12" s="1586"/>
      <c r="V12" s="1589"/>
      <c r="W12" s="258"/>
      <c r="X12" s="258"/>
      <c r="Y12" s="262"/>
      <c r="Z12" s="258"/>
      <c r="AA12" s="258"/>
      <c r="AB12" s="258"/>
      <c r="AC12" s="258"/>
      <c r="AD12" s="258"/>
      <c r="AE12" s="258"/>
      <c r="AF12" s="258"/>
      <c r="AG12" s="258"/>
      <c r="AH12" s="258"/>
      <c r="AI12" s="258"/>
    </row>
    <row r="13" spans="1:35">
      <c r="A13" s="262" t="s">
        <v>471</v>
      </c>
      <c r="B13" s="262"/>
      <c r="C13" s="262"/>
      <c r="D13" s="262"/>
      <c r="E13" s="262"/>
      <c r="F13" s="262"/>
      <c r="G13" s="262" t="s">
        <v>474</v>
      </c>
      <c r="H13" s="427" t="s">
        <v>420</v>
      </c>
      <c r="I13" s="262"/>
      <c r="J13" s="262" t="s">
        <v>473</v>
      </c>
      <c r="K13" s="427" t="s">
        <v>420</v>
      </c>
      <c r="L13" s="427"/>
      <c r="M13" s="94"/>
      <c r="N13" s="427" t="s">
        <v>420</v>
      </c>
      <c r="O13" s="257"/>
      <c r="P13" s="427" t="s">
        <v>420</v>
      </c>
      <c r="Q13" s="257"/>
      <c r="R13" s="427" t="s">
        <v>420</v>
      </c>
      <c r="S13" s="257"/>
      <c r="T13" s="427" t="s">
        <v>420</v>
      </c>
      <c r="U13" s="257"/>
      <c r="V13" s="427" t="s">
        <v>420</v>
      </c>
      <c r="W13" s="427"/>
      <c r="X13" s="257"/>
      <c r="Y13" s="42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</row>
    <row r="14" spans="1:35">
      <c r="A14" s="1429" t="s">
        <v>533</v>
      </c>
      <c r="B14" s="1429"/>
      <c r="C14" s="1429" t="s">
        <v>1263</v>
      </c>
      <c r="D14" s="1429">
        <f>'SCH_I1 - Total Co'!D14</f>
        <v>2027</v>
      </c>
      <c r="E14" s="1429">
        <f>'SCH_I1 - Total Co'!E14</f>
        <v>2026</v>
      </c>
      <c r="F14" s="262"/>
      <c r="G14" s="1590" t="s">
        <v>478</v>
      </c>
      <c r="H14" s="1769" t="s">
        <v>2700</v>
      </c>
      <c r="I14" s="1429"/>
      <c r="J14" s="1590" t="s">
        <v>478</v>
      </c>
      <c r="K14" s="1769" t="s">
        <v>2700</v>
      </c>
      <c r="L14" s="1769"/>
      <c r="M14" s="1429">
        <f>'SCH_I1 - Total Co'!M14</f>
        <v>2023</v>
      </c>
      <c r="N14" s="1769" t="s">
        <v>2700</v>
      </c>
      <c r="O14" s="1429">
        <f>M14-1</f>
        <v>2022</v>
      </c>
      <c r="P14" s="1769" t="s">
        <v>2700</v>
      </c>
      <c r="Q14" s="1429">
        <f>O14-1</f>
        <v>2021</v>
      </c>
      <c r="R14" s="1769" t="s">
        <v>2700</v>
      </c>
      <c r="S14" s="1429">
        <f>Q14-1</f>
        <v>2020</v>
      </c>
      <c r="T14" s="1769" t="s">
        <v>2700</v>
      </c>
      <c r="U14" s="1429">
        <f>S14-1</f>
        <v>2019</v>
      </c>
      <c r="V14" s="1769" t="s">
        <v>2700</v>
      </c>
      <c r="W14" s="427"/>
      <c r="X14" s="1429">
        <f>U14-1</f>
        <v>2018</v>
      </c>
      <c r="Y14" s="258"/>
      <c r="Z14" s="258"/>
      <c r="AA14" s="258"/>
      <c r="AB14" s="258"/>
      <c r="AC14" s="258"/>
      <c r="AD14" s="258"/>
      <c r="AE14" s="258"/>
      <c r="AF14" s="258"/>
      <c r="AG14" s="258"/>
      <c r="AH14" s="258"/>
      <c r="AI14" s="258"/>
    </row>
    <row r="15" spans="1:35">
      <c r="A15" s="262">
        <v>1</v>
      </c>
      <c r="B15" s="258"/>
      <c r="C15" s="663" t="s">
        <v>355</v>
      </c>
      <c r="D15" s="267"/>
      <c r="E15" s="267"/>
      <c r="F15" s="267"/>
      <c r="G15" s="267"/>
      <c r="H15" s="267"/>
      <c r="I15" s="267"/>
      <c r="J15" s="264"/>
      <c r="K15" s="1771"/>
      <c r="L15" s="1771"/>
      <c r="M15" s="264"/>
      <c r="N15" s="1771"/>
      <c r="O15" s="264"/>
      <c r="P15" s="293"/>
      <c r="Q15" s="264"/>
      <c r="R15" s="293"/>
      <c r="S15" s="264"/>
      <c r="T15" s="293"/>
      <c r="U15" s="263"/>
      <c r="V15" s="429"/>
      <c r="W15" s="427"/>
      <c r="X15" s="263"/>
      <c r="Y15" s="258"/>
      <c r="Z15" s="258"/>
      <c r="AA15" s="258"/>
      <c r="AB15" s="258"/>
      <c r="AC15" s="258"/>
      <c r="AD15" s="258"/>
      <c r="AE15" s="258"/>
      <c r="AF15" s="258"/>
      <c r="AG15" s="258"/>
      <c r="AH15" s="258"/>
      <c r="AI15" s="258"/>
    </row>
    <row r="16" spans="1:35">
      <c r="A16" s="262">
        <v>2</v>
      </c>
      <c r="B16" s="258"/>
      <c r="C16" s="267" t="s">
        <v>2855</v>
      </c>
      <c r="D16" s="2208">
        <v>536187832.50458097</v>
      </c>
      <c r="E16" s="2208">
        <v>530811193.57168895</v>
      </c>
      <c r="F16" s="264"/>
      <c r="G16" s="1591">
        <f>SCH_C2!H20</f>
        <v>482552977</v>
      </c>
      <c r="H16" s="227">
        <f>IF(J16=0,"-",ROUND((G16-J16)/ABS(J16),4))</f>
        <v>-4.2099999999999999E-2</v>
      </c>
      <c r="I16" s="267"/>
      <c r="J16" s="1591">
        <f>SCH_C2!E20</f>
        <v>503765147</v>
      </c>
      <c r="K16" s="227">
        <f>IF(M16=0,"-",ROUND((J16-M16)/ABS(M16),4))</f>
        <v>0.1113</v>
      </c>
      <c r="L16" s="227"/>
      <c r="M16" s="2208">
        <v>453317918</v>
      </c>
      <c r="N16" s="227">
        <f>IF(O16=0,"-",ROUND((M16-O16)/ABS(O16),4))</f>
        <v>-0.12039999999999999</v>
      </c>
      <c r="O16" s="2208">
        <v>515342765.79000002</v>
      </c>
      <c r="P16" s="227">
        <f>IF(Q16=0,"-",ROUND((O16-Q16)/ABS(Q16),4))</f>
        <v>0.29149999999999998</v>
      </c>
      <c r="Q16" s="2208">
        <v>399019808</v>
      </c>
      <c r="R16" s="227">
        <f>IF(S16=0,"-",ROUND((Q16-S16)/ABS(S16),4))</f>
        <v>0.15029999999999999</v>
      </c>
      <c r="S16" s="2208">
        <v>346892088</v>
      </c>
      <c r="T16" s="227">
        <f>IF(U16=0,"-",ROUND((S16-U16)/ABS(U16),4))</f>
        <v>-7.9000000000000001E-2</v>
      </c>
      <c r="U16" s="2208">
        <v>376626996</v>
      </c>
      <c r="V16" s="227">
        <f>IF(X16=0,"-",ROUND((U16-X16)/ABS(X16),4))</f>
        <v>-2.4299999999999999E-2</v>
      </c>
      <c r="W16" s="227"/>
      <c r="X16" s="2208">
        <v>386024436</v>
      </c>
      <c r="Y16" s="258"/>
      <c r="Z16" s="258"/>
      <c r="AA16" s="258"/>
      <c r="AB16" s="258"/>
      <c r="AC16" s="258"/>
      <c r="AD16" s="258"/>
      <c r="AE16" s="258"/>
      <c r="AF16" s="258"/>
      <c r="AG16" s="258"/>
      <c r="AH16" s="258"/>
      <c r="AI16" s="258"/>
    </row>
    <row r="17" spans="1:35">
      <c r="A17" s="262"/>
      <c r="B17" s="258"/>
      <c r="C17" s="267"/>
      <c r="D17" s="264"/>
      <c r="E17" s="264"/>
      <c r="F17" s="264"/>
      <c r="G17" s="264"/>
      <c r="H17" s="227"/>
      <c r="I17" s="267"/>
      <c r="J17" s="264"/>
      <c r="K17" s="227"/>
      <c r="L17" s="227"/>
      <c r="M17" s="264"/>
      <c r="N17" s="227"/>
      <c r="O17" s="264"/>
      <c r="P17" s="227"/>
      <c r="Q17" s="264"/>
      <c r="R17" s="227"/>
      <c r="S17" s="264"/>
      <c r="T17" s="227"/>
      <c r="U17" s="264"/>
      <c r="V17" s="227"/>
      <c r="W17" s="227"/>
      <c r="X17" s="264"/>
      <c r="Y17" s="258"/>
      <c r="Z17" s="258"/>
      <c r="AA17" s="258"/>
      <c r="AB17" s="258"/>
      <c r="AC17" s="258"/>
      <c r="AD17" s="258"/>
      <c r="AE17" s="258"/>
      <c r="AF17" s="258"/>
      <c r="AG17" s="258"/>
      <c r="AH17" s="258"/>
      <c r="AI17" s="258"/>
    </row>
    <row r="18" spans="1:35">
      <c r="A18" s="262">
        <v>3</v>
      </c>
      <c r="B18" s="258"/>
      <c r="C18" s="663" t="s">
        <v>2856</v>
      </c>
      <c r="D18" s="264"/>
      <c r="E18" s="264"/>
      <c r="F18" s="264"/>
      <c r="G18" s="264"/>
      <c r="H18" s="227"/>
      <c r="I18" s="267"/>
      <c r="J18" s="264"/>
      <c r="K18" s="227"/>
      <c r="L18" s="227"/>
      <c r="M18" s="264"/>
      <c r="N18" s="227"/>
      <c r="O18" s="264"/>
      <c r="P18" s="227"/>
      <c r="Q18" s="264"/>
      <c r="R18" s="227"/>
      <c r="S18" s="264"/>
      <c r="T18" s="227"/>
      <c r="U18" s="264"/>
      <c r="V18" s="227"/>
      <c r="W18" s="227"/>
      <c r="X18" s="264"/>
      <c r="Y18" s="258"/>
      <c r="Z18" s="258"/>
      <c r="AA18" s="258"/>
      <c r="AB18" s="258"/>
      <c r="AC18" s="258"/>
      <c r="AD18" s="258"/>
      <c r="AE18" s="258"/>
      <c r="AF18" s="258"/>
      <c r="AG18" s="258"/>
      <c r="AH18" s="258"/>
      <c r="AI18" s="258"/>
    </row>
    <row r="19" spans="1:35">
      <c r="A19" s="262">
        <v>4</v>
      </c>
      <c r="B19" s="258"/>
      <c r="C19" s="663" t="s">
        <v>2857</v>
      </c>
      <c r="D19" s="264"/>
      <c r="E19" s="264"/>
      <c r="F19" s="264"/>
      <c r="G19" s="264"/>
      <c r="H19" s="227"/>
      <c r="I19" s="267"/>
      <c r="J19" s="264"/>
      <c r="K19" s="227"/>
      <c r="L19" s="227"/>
      <c r="M19" s="264"/>
      <c r="N19" s="227"/>
      <c r="O19" s="264"/>
      <c r="P19" s="227"/>
      <c r="Q19" s="264"/>
      <c r="R19" s="227"/>
      <c r="S19" s="264"/>
      <c r="T19" s="227"/>
      <c r="U19" s="264"/>
      <c r="V19" s="227"/>
      <c r="W19" s="227"/>
      <c r="X19" s="264"/>
      <c r="Y19" s="258"/>
      <c r="Z19" s="258"/>
      <c r="AA19" s="258"/>
      <c r="AB19" s="258"/>
      <c r="AC19" s="258"/>
      <c r="AD19" s="258"/>
      <c r="AE19" s="258"/>
      <c r="AF19" s="258"/>
      <c r="AG19" s="258"/>
      <c r="AH19" s="258"/>
      <c r="AI19" s="258"/>
    </row>
    <row r="20" spans="1:35">
      <c r="A20" s="262">
        <v>5</v>
      </c>
      <c r="B20" s="258"/>
      <c r="C20" s="432" t="s">
        <v>2858</v>
      </c>
      <c r="D20" s="430">
        <v>117359500.31999999</v>
      </c>
      <c r="E20" s="430">
        <v>120837297.43999898</v>
      </c>
      <c r="F20" s="264"/>
      <c r="G20" s="215">
        <f t="array" ref="G20">SUM(IF(FERCFP=555,AmountFP))</f>
        <v>99073890</v>
      </c>
      <c r="H20" s="227">
        <f t="shared" ref="H20:H41" si="0">IF(J20=0,"-",ROUND((G20-J20)/ABS(J20),4))</f>
        <v>0.31669999999999998</v>
      </c>
      <c r="I20" s="267"/>
      <c r="J20" s="215">
        <f t="array" ref="J20">SUM(IF(FERCBP=555,AmountBP))</f>
        <v>75246458</v>
      </c>
      <c r="K20" s="227">
        <f t="shared" ref="K20:K41" si="1">IF(M20=0,"-",ROUND((J20-M20)/ABS(M20),4))</f>
        <v>-0.48959999999999998</v>
      </c>
      <c r="L20" s="227"/>
      <c r="M20" s="430">
        <v>147418154</v>
      </c>
      <c r="N20" s="227">
        <f t="shared" ref="N20:N30" si="2">IF(O20=0,"-",ROUND((M20-O20)/ABS(O20),4))</f>
        <v>1.6299999999999999E-2</v>
      </c>
      <c r="O20" s="430">
        <v>145054559</v>
      </c>
      <c r="P20" s="227">
        <f t="shared" ref="P20:P30" si="3">IF(Q20=0,"-",ROUND((O20-Q20)/ABS(Q20),4))</f>
        <v>0.50660000000000005</v>
      </c>
      <c r="Q20" s="430">
        <v>96280127</v>
      </c>
      <c r="R20" s="227">
        <f t="shared" ref="R20:R30" si="4">IF(S20=0,"-",ROUND((Q20-S20)/ABS(S20),4))</f>
        <v>-0.1002</v>
      </c>
      <c r="S20" s="430">
        <v>107007285</v>
      </c>
      <c r="T20" s="227">
        <f t="shared" ref="T20:T30" si="5">IF(U20=0,"-",ROUND((S20-U20)/ABS(U20),4))</f>
        <v>-0.17580000000000001</v>
      </c>
      <c r="U20" s="430">
        <v>129831639</v>
      </c>
      <c r="V20" s="227">
        <f t="shared" ref="V20:V30" si="6">IF(X20=0,"-",ROUND((U20-X20)/ABS(X20),4))</f>
        <v>4.9099999999999998E-2</v>
      </c>
      <c r="W20" s="227"/>
      <c r="X20" s="430">
        <v>123754171</v>
      </c>
      <c r="Y20" s="258"/>
      <c r="Z20" s="258"/>
      <c r="AA20" s="258"/>
      <c r="AB20" s="258"/>
      <c r="AC20" s="258"/>
      <c r="AD20" s="258"/>
      <c r="AE20" s="258"/>
      <c r="AF20" s="258"/>
      <c r="AG20" s="258"/>
      <c r="AH20" s="258"/>
      <c r="AI20" s="258"/>
    </row>
    <row r="21" spans="1:35">
      <c r="A21" s="262">
        <v>6</v>
      </c>
      <c r="B21" s="258"/>
      <c r="C21" s="432" t="s">
        <v>2859</v>
      </c>
      <c r="D21" s="430">
        <v>159122655.27413899</v>
      </c>
      <c r="E21" s="430">
        <v>163457500.94106102</v>
      </c>
      <c r="F21" s="264"/>
      <c r="G21" s="264">
        <f>SCH_C2!H27-G20</f>
        <v>124726162</v>
      </c>
      <c r="H21" s="227">
        <f t="shared" si="0"/>
        <v>-0.1832</v>
      </c>
      <c r="I21" s="267"/>
      <c r="J21" s="264">
        <f>SCH_C2!E27-J20</f>
        <v>152700682</v>
      </c>
      <c r="K21" s="227">
        <f t="shared" si="1"/>
        <v>1.4881</v>
      </c>
      <c r="L21" s="227"/>
      <c r="M21" s="430">
        <v>61373449</v>
      </c>
      <c r="N21" s="227">
        <f t="shared" si="2"/>
        <v>-0.5696</v>
      </c>
      <c r="O21" s="430">
        <v>142594801</v>
      </c>
      <c r="P21" s="227">
        <f t="shared" si="3"/>
        <v>0.47589999999999999</v>
      </c>
      <c r="Q21" s="430">
        <v>96616963</v>
      </c>
      <c r="R21" s="227">
        <f t="shared" si="4"/>
        <v>1.0683</v>
      </c>
      <c r="S21" s="430">
        <v>46714218</v>
      </c>
      <c r="T21" s="227">
        <f t="shared" si="5"/>
        <v>-1.3899999999999999E-2</v>
      </c>
      <c r="U21" s="430">
        <v>47373267</v>
      </c>
      <c r="V21" s="227">
        <f t="shared" si="6"/>
        <v>-0.37359999999999999</v>
      </c>
      <c r="W21" s="227"/>
      <c r="X21" s="430">
        <v>75625084</v>
      </c>
      <c r="Y21" s="258"/>
      <c r="Z21" s="258"/>
      <c r="AA21" s="258"/>
      <c r="AB21" s="258"/>
      <c r="AC21" s="258"/>
      <c r="AD21" s="258"/>
      <c r="AE21" s="258"/>
      <c r="AF21" s="258"/>
      <c r="AG21" s="258"/>
      <c r="AH21" s="258"/>
      <c r="AI21" s="258"/>
    </row>
    <row r="22" spans="1:35">
      <c r="A22" s="262">
        <v>7</v>
      </c>
      <c r="B22" s="258"/>
      <c r="C22" s="432" t="s">
        <v>1895</v>
      </c>
      <c r="D22" s="430"/>
      <c r="E22" s="430"/>
      <c r="F22" s="264"/>
      <c r="G22" s="264">
        <f>SCH_C2!H29</f>
        <v>34814004</v>
      </c>
      <c r="H22" s="227">
        <f t="shared" si="0"/>
        <v>0.14080000000000001</v>
      </c>
      <c r="I22" s="267"/>
      <c r="J22" s="264">
        <f>SCH_C2!E29</f>
        <v>30517275</v>
      </c>
      <c r="K22" s="227">
        <f t="shared" si="1"/>
        <v>5.9299999999999999E-2</v>
      </c>
      <c r="L22" s="227"/>
      <c r="M22" s="430">
        <v>28807720</v>
      </c>
      <c r="N22" s="227">
        <f t="shared" si="2"/>
        <v>6.8099999999999994E-2</v>
      </c>
      <c r="O22" s="430">
        <v>26971185</v>
      </c>
      <c r="P22" s="227">
        <f t="shared" si="3"/>
        <v>5.0299999999999997E-2</v>
      </c>
      <c r="Q22" s="430">
        <v>25679253</v>
      </c>
      <c r="R22" s="227">
        <f t="shared" si="4"/>
        <v>-5.1999999999999998E-3</v>
      </c>
      <c r="S22" s="430">
        <v>25812503</v>
      </c>
      <c r="T22" s="227">
        <f t="shared" si="5"/>
        <v>0.18509999999999999</v>
      </c>
      <c r="U22" s="430">
        <v>21781523</v>
      </c>
      <c r="V22" s="227">
        <f t="shared" si="6"/>
        <v>0.71860000000000002</v>
      </c>
      <c r="W22" s="227"/>
      <c r="X22" s="430">
        <v>12674140</v>
      </c>
      <c r="Y22" s="258"/>
      <c r="Z22" s="258"/>
      <c r="AA22" s="258"/>
      <c r="AB22" s="258"/>
      <c r="AC22" s="258"/>
      <c r="AD22" s="258"/>
      <c r="AE22" s="258"/>
      <c r="AF22" s="258"/>
      <c r="AG22" s="258"/>
      <c r="AH22" s="258"/>
      <c r="AI22" s="258"/>
    </row>
    <row r="23" spans="1:35">
      <c r="A23" s="262">
        <v>8</v>
      </c>
      <c r="B23" s="258"/>
      <c r="C23" s="432" t="s">
        <v>2860</v>
      </c>
      <c r="D23" s="430"/>
      <c r="E23" s="430"/>
      <c r="F23" s="264"/>
      <c r="G23" s="264">
        <f>SCH_C2!H30</f>
        <v>3440220</v>
      </c>
      <c r="H23" s="227">
        <f t="shared" si="0"/>
        <v>0.24179999999999999</v>
      </c>
      <c r="I23" s="267"/>
      <c r="J23" s="264">
        <f>SCH_C2!E30</f>
        <v>2770253</v>
      </c>
      <c r="K23" s="227">
        <f t="shared" si="1"/>
        <v>0.36570000000000003</v>
      </c>
      <c r="L23" s="227"/>
      <c r="M23" s="430">
        <v>2028421</v>
      </c>
      <c r="N23" s="227">
        <f>IF(O23=0,"-",ROUND((M23-O23)/ABS(O23),4))</f>
        <v>0.1268</v>
      </c>
      <c r="O23" s="430">
        <v>1800217</v>
      </c>
      <c r="P23" s="227">
        <f>IF(Q23=0,"-",ROUND((O23-Q23)/ABS(Q23),4))</f>
        <v>-6.3700000000000007E-2</v>
      </c>
      <c r="Q23" s="430">
        <v>1922719</v>
      </c>
      <c r="R23" s="227">
        <f>IF(S23=0,"-",ROUND((Q23-S23)/ABS(S23),4))</f>
        <v>0.1162</v>
      </c>
      <c r="S23" s="430">
        <v>1722632</v>
      </c>
      <c r="T23" s="227">
        <f>IF(U23=0,"-",ROUND((S23-U23)/ABS(U23),4))</f>
        <v>-6.88E-2</v>
      </c>
      <c r="U23" s="430">
        <v>1849880</v>
      </c>
      <c r="V23" s="227">
        <f>IF(X23=0,"-",ROUND((U23-X23)/ABS(X23),4))</f>
        <v>9.4799999999999995E-2</v>
      </c>
      <c r="W23" s="227"/>
      <c r="X23" s="430">
        <v>1689716</v>
      </c>
      <c r="Y23" s="258"/>
      <c r="Z23" s="258"/>
      <c r="AA23" s="258"/>
      <c r="AB23" s="258"/>
      <c r="AC23" s="258"/>
      <c r="AD23" s="258"/>
      <c r="AE23" s="258"/>
      <c r="AF23" s="258"/>
      <c r="AG23" s="258"/>
      <c r="AH23" s="258"/>
      <c r="AI23" s="258"/>
    </row>
    <row r="24" spans="1:35">
      <c r="A24" s="262">
        <v>9</v>
      </c>
      <c r="B24" s="258"/>
      <c r="C24" s="432" t="s">
        <v>1908</v>
      </c>
      <c r="D24" s="430"/>
      <c r="E24" s="430"/>
      <c r="F24" s="264"/>
      <c r="G24" s="264">
        <f>SCH_C2!H31</f>
        <v>14433676</v>
      </c>
      <c r="H24" s="227">
        <f t="shared" si="0"/>
        <v>0.16239999999999999</v>
      </c>
      <c r="I24" s="267"/>
      <c r="J24" s="264">
        <f>SCH_C2!E31</f>
        <v>12416931</v>
      </c>
      <c r="K24" s="227">
        <f t="shared" si="1"/>
        <v>3.7400000000000003E-2</v>
      </c>
      <c r="L24" s="227"/>
      <c r="M24" s="430">
        <v>11969746</v>
      </c>
      <c r="N24" s="227">
        <f t="shared" si="2"/>
        <v>-0.19950000000000001</v>
      </c>
      <c r="O24" s="430">
        <v>14952367</v>
      </c>
      <c r="P24" s="227">
        <f t="shared" si="3"/>
        <v>0.35</v>
      </c>
      <c r="Q24" s="430">
        <v>11075731</v>
      </c>
      <c r="R24" s="227">
        <f t="shared" si="4"/>
        <v>-5.6000000000000001E-2</v>
      </c>
      <c r="S24" s="430">
        <v>11732940</v>
      </c>
      <c r="T24" s="227">
        <f t="shared" si="5"/>
        <v>-0.25159999999999999</v>
      </c>
      <c r="U24" s="430">
        <v>15676977</v>
      </c>
      <c r="V24" s="227">
        <f t="shared" si="6"/>
        <v>8.1299999999999997E-2</v>
      </c>
      <c r="W24" s="227"/>
      <c r="X24" s="430">
        <v>14498409</v>
      </c>
      <c r="Y24" s="258"/>
      <c r="Z24" s="258"/>
      <c r="AA24" s="258"/>
      <c r="AB24" s="258"/>
      <c r="AC24" s="258"/>
      <c r="AD24" s="258"/>
      <c r="AE24" s="258"/>
      <c r="AF24" s="258"/>
      <c r="AG24" s="258"/>
      <c r="AH24" s="258"/>
      <c r="AI24" s="258"/>
    </row>
    <row r="25" spans="1:35">
      <c r="A25" s="262">
        <v>10</v>
      </c>
      <c r="B25" s="258"/>
      <c r="C25" s="432" t="s">
        <v>423</v>
      </c>
      <c r="D25" s="430"/>
      <c r="E25" s="430"/>
      <c r="F25" s="264"/>
      <c r="G25" s="264">
        <f>SCH_C2!H32</f>
        <v>6332157</v>
      </c>
      <c r="H25" s="227">
        <f t="shared" si="0"/>
        <v>1.06E-2</v>
      </c>
      <c r="I25" s="267"/>
      <c r="J25" s="264">
        <f>SCH_C2!E32</f>
        <v>6265587</v>
      </c>
      <c r="K25" s="227">
        <f t="shared" si="1"/>
        <v>0.91779999999999995</v>
      </c>
      <c r="L25" s="227"/>
      <c r="M25" s="430">
        <v>3267106</v>
      </c>
      <c r="N25" s="227">
        <f t="shared" si="2"/>
        <v>-0.25729999999999997</v>
      </c>
      <c r="O25" s="430">
        <v>4398695</v>
      </c>
      <c r="P25" s="227">
        <f t="shared" si="3"/>
        <v>-0.1414</v>
      </c>
      <c r="Q25" s="430">
        <v>5123221</v>
      </c>
      <c r="R25" s="227">
        <f t="shared" si="4"/>
        <v>0.18440000000000001</v>
      </c>
      <c r="S25" s="430">
        <v>4325458</v>
      </c>
      <c r="T25" s="227">
        <f t="shared" si="5"/>
        <v>-3.4799999999999998E-2</v>
      </c>
      <c r="U25" s="430">
        <v>4481412</v>
      </c>
      <c r="V25" s="227">
        <f t="shared" si="6"/>
        <v>-0.1027</v>
      </c>
      <c r="W25" s="227"/>
      <c r="X25" s="430">
        <v>4994539</v>
      </c>
      <c r="Y25" s="258"/>
      <c r="Z25" s="258"/>
      <c r="AA25" s="258"/>
      <c r="AB25" s="258"/>
      <c r="AC25" s="258"/>
      <c r="AD25" s="258"/>
      <c r="AE25" s="258"/>
      <c r="AF25" s="258"/>
      <c r="AG25" s="258"/>
      <c r="AH25" s="258"/>
      <c r="AI25" s="258"/>
    </row>
    <row r="26" spans="1:35">
      <c r="A26" s="262">
        <v>11</v>
      </c>
      <c r="B26" s="258"/>
      <c r="C26" s="432" t="s">
        <v>2861</v>
      </c>
      <c r="D26" s="430"/>
      <c r="E26" s="430"/>
      <c r="F26" s="264"/>
      <c r="G26" s="264">
        <f>SCH_C2!H33</f>
        <v>1514280</v>
      </c>
      <c r="H26" s="227">
        <f t="shared" si="0"/>
        <v>0.28820000000000001</v>
      </c>
      <c r="I26" s="267"/>
      <c r="J26" s="264">
        <f>SCH_C2!E33</f>
        <v>1175527</v>
      </c>
      <c r="K26" s="227">
        <f t="shared" si="1"/>
        <v>-0.18090000000000001</v>
      </c>
      <c r="L26" s="227"/>
      <c r="M26" s="430">
        <v>1435222</v>
      </c>
      <c r="N26" s="227">
        <f t="shared" si="2"/>
        <v>3.2530000000000001</v>
      </c>
      <c r="O26" s="430">
        <v>337464</v>
      </c>
      <c r="P26" s="227">
        <f t="shared" si="3"/>
        <v>0.22270000000000001</v>
      </c>
      <c r="Q26" s="430">
        <v>275998</v>
      </c>
      <c r="R26" s="227">
        <f t="shared" si="4"/>
        <v>-0.26829999999999998</v>
      </c>
      <c r="S26" s="430">
        <v>377215</v>
      </c>
      <c r="T26" s="227">
        <f t="shared" si="5"/>
        <v>-0.2616</v>
      </c>
      <c r="U26" s="430">
        <v>510822</v>
      </c>
      <c r="V26" s="227">
        <f t="shared" si="6"/>
        <v>-0.13850000000000001</v>
      </c>
      <c r="W26" s="227"/>
      <c r="X26" s="430">
        <v>592919</v>
      </c>
      <c r="Y26" s="258"/>
      <c r="Z26" s="258"/>
      <c r="AA26" s="258"/>
      <c r="AB26" s="258"/>
      <c r="AC26" s="258"/>
      <c r="AD26" s="258"/>
      <c r="AE26" s="258"/>
      <c r="AF26" s="258"/>
      <c r="AG26" s="258"/>
      <c r="AH26" s="258"/>
      <c r="AI26" s="258"/>
    </row>
    <row r="27" spans="1:35">
      <c r="A27" s="262">
        <v>12</v>
      </c>
      <c r="B27" s="258"/>
      <c r="C27" s="432" t="s">
        <v>1930</v>
      </c>
      <c r="D27" s="430"/>
      <c r="E27" s="430"/>
      <c r="F27" s="264"/>
      <c r="G27" s="264">
        <f>SCH_C2!H34</f>
        <v>256159</v>
      </c>
      <c r="H27" s="227">
        <f t="shared" si="0"/>
        <v>0.68330000000000002</v>
      </c>
      <c r="I27" s="267"/>
      <c r="J27" s="264">
        <f>SCH_C2!E34</f>
        <v>152176</v>
      </c>
      <c r="K27" s="227">
        <f t="shared" si="1"/>
        <v>-0.2089</v>
      </c>
      <c r="L27" s="227"/>
      <c r="M27" s="430">
        <v>192348</v>
      </c>
      <c r="N27" s="227">
        <f>IF(O27=0,"-",ROUND((M27-O27)/ABS(O27),4))</f>
        <v>-0.86180000000000001</v>
      </c>
      <c r="O27" s="430">
        <v>1392054</v>
      </c>
      <c r="P27" s="227">
        <f>IF(Q27=0,"-",ROUND((O27-Q27)/ABS(Q27),4))</f>
        <v>-4.07E-2</v>
      </c>
      <c r="Q27" s="430">
        <v>1451143</v>
      </c>
      <c r="R27" s="227">
        <f>IF(S27=0,"-",ROUND((Q27-S27)/ABS(S27),4))</f>
        <v>0.13669999999999999</v>
      </c>
      <c r="S27" s="430">
        <v>1276671</v>
      </c>
      <c r="T27" s="227">
        <f>IF(U27=0,"-",ROUND((S27-U27)/ABS(U27),4))</f>
        <v>4.2200000000000001E-2</v>
      </c>
      <c r="U27" s="430">
        <v>1224963</v>
      </c>
      <c r="V27" s="227">
        <f>IF(X27=0,"-",ROUND((U27-X27)/ABS(X27),4))</f>
        <v>1.04E-2</v>
      </c>
      <c r="W27" s="227"/>
      <c r="X27" s="430">
        <v>1212383</v>
      </c>
      <c r="Y27" s="258"/>
      <c r="Z27" s="258"/>
      <c r="AA27" s="258"/>
      <c r="AB27" s="258"/>
      <c r="AC27" s="258"/>
      <c r="AD27" s="258"/>
      <c r="AE27" s="258"/>
      <c r="AF27" s="258"/>
      <c r="AG27" s="258"/>
      <c r="AH27" s="258"/>
      <c r="AI27" s="258"/>
    </row>
    <row r="28" spans="1:35">
      <c r="A28" s="262">
        <v>13</v>
      </c>
      <c r="B28" s="258"/>
      <c r="C28" s="432" t="s">
        <v>2862</v>
      </c>
      <c r="D28" s="430">
        <v>16318201.511599891</v>
      </c>
      <c r="E28" s="430">
        <v>24213882.511999998</v>
      </c>
      <c r="F28" s="264"/>
      <c r="G28" s="264">
        <f>SCH_C2!H35</f>
        <v>27225272</v>
      </c>
      <c r="H28" s="227">
        <f t="shared" si="0"/>
        <v>0.1237</v>
      </c>
      <c r="I28" s="267"/>
      <c r="J28" s="264">
        <f>SCH_C2!E35</f>
        <v>24228892</v>
      </c>
      <c r="K28" s="227">
        <f t="shared" si="1"/>
        <v>7.4999999999999997E-3</v>
      </c>
      <c r="L28" s="227"/>
      <c r="M28" s="430">
        <v>24047481</v>
      </c>
      <c r="N28" s="227">
        <f t="shared" si="2"/>
        <v>-1.9E-2</v>
      </c>
      <c r="O28" s="430">
        <v>24512081</v>
      </c>
      <c r="P28" s="227">
        <f t="shared" si="3"/>
        <v>7.0099999999999996E-2</v>
      </c>
      <c r="Q28" s="430">
        <v>22907236</v>
      </c>
      <c r="R28" s="227">
        <f t="shared" si="4"/>
        <v>-3.2500000000000001E-2</v>
      </c>
      <c r="S28" s="430">
        <v>23677182</v>
      </c>
      <c r="T28" s="227">
        <f t="shared" si="5"/>
        <v>7.9299999999999995E-2</v>
      </c>
      <c r="U28" s="430">
        <v>21938487</v>
      </c>
      <c r="V28" s="227">
        <f t="shared" si="6"/>
        <v>8.2799999999999999E-2</v>
      </c>
      <c r="W28" s="227"/>
      <c r="X28" s="430">
        <v>20261581</v>
      </c>
      <c r="Y28" s="258"/>
      <c r="Z28" s="258"/>
      <c r="AA28" s="258"/>
      <c r="AB28" s="258"/>
      <c r="AC28" s="258"/>
      <c r="AD28" s="258"/>
      <c r="AE28" s="258"/>
      <c r="AF28" s="258"/>
      <c r="AG28" s="258"/>
      <c r="AH28" s="258"/>
      <c r="AI28" s="258"/>
    </row>
    <row r="29" spans="1:35">
      <c r="A29" s="262">
        <v>14</v>
      </c>
      <c r="B29" s="258"/>
      <c r="C29" s="432" t="s">
        <v>217</v>
      </c>
      <c r="D29" s="430"/>
      <c r="E29" s="430"/>
      <c r="F29" s="264"/>
      <c r="G29" s="264">
        <f>SCH_C2!H36</f>
        <v>12861102</v>
      </c>
      <c r="H29" s="227">
        <f t="shared" si="0"/>
        <v>-0.22570000000000001</v>
      </c>
      <c r="I29" s="267"/>
      <c r="J29" s="264">
        <f>SCH_C2!E36</f>
        <v>16609542</v>
      </c>
      <c r="K29" s="227">
        <f t="shared" si="1"/>
        <v>-0.37959999999999999</v>
      </c>
      <c r="L29" s="227"/>
      <c r="M29" s="430">
        <v>26774202</v>
      </c>
      <c r="N29" s="227">
        <f t="shared" si="2"/>
        <v>0.49630000000000002</v>
      </c>
      <c r="O29" s="430">
        <v>17893588</v>
      </c>
      <c r="P29" s="227">
        <f t="shared" si="3"/>
        <v>4.4161000000000001</v>
      </c>
      <c r="Q29" s="430">
        <v>3303765</v>
      </c>
      <c r="R29" s="227">
        <f t="shared" si="4"/>
        <v>-6.9099999999999995E-2</v>
      </c>
      <c r="S29" s="430">
        <v>3548875</v>
      </c>
      <c r="T29" s="227">
        <f t="shared" si="5"/>
        <v>-0.80249999999999999</v>
      </c>
      <c r="U29" s="430">
        <v>17970015</v>
      </c>
      <c r="V29" s="227">
        <f t="shared" si="6"/>
        <v>0.37580000000000002</v>
      </c>
      <c r="W29" s="227"/>
      <c r="X29" s="430">
        <v>13061305.09</v>
      </c>
      <c r="Y29" s="258"/>
      <c r="Z29" s="258"/>
      <c r="AA29" s="258"/>
      <c r="AB29" s="258"/>
      <c r="AC29" s="258"/>
      <c r="AD29" s="258"/>
      <c r="AE29" s="258"/>
      <c r="AF29" s="258"/>
      <c r="AG29" s="258"/>
      <c r="AH29" s="258"/>
      <c r="AI29" s="258"/>
    </row>
    <row r="30" spans="1:35">
      <c r="A30" s="262">
        <v>15</v>
      </c>
      <c r="B30" s="258"/>
      <c r="C30" s="664" t="s">
        <v>2863</v>
      </c>
      <c r="D30" s="264">
        <f>SUM(D20:D29)</f>
        <v>292800357.10573888</v>
      </c>
      <c r="E30" s="264">
        <f>SUM(E20:E29)</f>
        <v>308508680.89306003</v>
      </c>
      <c r="F30" s="264"/>
      <c r="G30" s="264">
        <f>SUM(G20:G29)</f>
        <v>324676922</v>
      </c>
      <c r="H30" s="227">
        <f t="shared" si="0"/>
        <v>8.0999999999999996E-3</v>
      </c>
      <c r="I30" s="267"/>
      <c r="J30" s="264">
        <f>SUM(J20:J29)</f>
        <v>322083323</v>
      </c>
      <c r="K30" s="227">
        <f t="shared" si="1"/>
        <v>4.8099999999999997E-2</v>
      </c>
      <c r="L30" s="227"/>
      <c r="M30" s="264">
        <f>SUM(M20:M29)</f>
        <v>307313849</v>
      </c>
      <c r="N30" s="227">
        <f t="shared" si="2"/>
        <v>-0.19109999999999999</v>
      </c>
      <c r="O30" s="264">
        <f>SUM(O20:O29)</f>
        <v>379907011</v>
      </c>
      <c r="P30" s="227">
        <f t="shared" si="3"/>
        <v>0.43559999999999999</v>
      </c>
      <c r="Q30" s="430">
        <v>264636156</v>
      </c>
      <c r="R30" s="227">
        <f t="shared" si="4"/>
        <v>0.1699</v>
      </c>
      <c r="S30" s="430">
        <v>226194979</v>
      </c>
      <c r="T30" s="227">
        <f t="shared" si="5"/>
        <v>-0.13880000000000001</v>
      </c>
      <c r="U30" s="430">
        <v>262638985</v>
      </c>
      <c r="V30" s="227">
        <f t="shared" si="6"/>
        <v>-2.1299999999999999E-2</v>
      </c>
      <c r="W30" s="227"/>
      <c r="X30" s="430">
        <v>268364247.09</v>
      </c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  <c r="AI30" s="258"/>
    </row>
    <row r="31" spans="1:35">
      <c r="A31" s="262">
        <v>16</v>
      </c>
      <c r="B31" s="258"/>
      <c r="C31" s="432" t="s">
        <v>351</v>
      </c>
      <c r="D31" s="430">
        <v>90996794.442975089</v>
      </c>
      <c r="E31" s="430">
        <v>87645118.671714708</v>
      </c>
      <c r="F31" s="264"/>
      <c r="G31" s="215">
        <f t="array" ref="G31">SUM(IF(FERCFP=403,AmountFP))</f>
        <v>69838170</v>
      </c>
      <c r="H31" s="227">
        <f t="shared" si="0"/>
        <v>7.8899999999999998E-2</v>
      </c>
      <c r="I31" s="267"/>
      <c r="J31" s="215">
        <f t="array" ref="J31">SUM(IF(FERCBP=403,AmountBP))</f>
        <v>64733468</v>
      </c>
      <c r="K31" s="227">
        <f t="shared" si="1"/>
        <v>0.20480000000000001</v>
      </c>
      <c r="L31" s="227"/>
      <c r="M31" s="430">
        <v>53729352</v>
      </c>
      <c r="N31" s="227">
        <f t="shared" ref="N31:N41" si="7">IF(O31=0,"-",ROUND((M31-O31)/ABS(O31),4))</f>
        <v>7.9299999999999995E-2</v>
      </c>
      <c r="O31" s="430">
        <v>49783713</v>
      </c>
      <c r="P31" s="227">
        <f t="shared" ref="P31:P41" si="8">IF(Q31=0,"-",ROUND((O31-Q31)/ABS(Q31),4))</f>
        <v>2.35E-2</v>
      </c>
      <c r="Q31" s="430">
        <v>48640753</v>
      </c>
      <c r="R31" s="227">
        <f t="shared" ref="R31:R41" si="9">IF(S31=0,"-",ROUND((Q31-S31)/ABS(S31),4))</f>
        <v>3.7699999999999997E-2</v>
      </c>
      <c r="S31" s="430">
        <v>46871823</v>
      </c>
      <c r="T31" s="227">
        <f t="shared" ref="T31:T41" si="10">IF(U31=0,"-",ROUND((S31-U31)/ABS(U31),4))</f>
        <v>7.4200000000000002E-2</v>
      </c>
      <c r="U31" s="430">
        <v>43635817</v>
      </c>
      <c r="V31" s="227">
        <f t="shared" ref="V31:V41" si="11">IF(X31=0,"-",ROUND((U31-X31)/ABS(X31),4))</f>
        <v>7.4700000000000003E-2</v>
      </c>
      <c r="W31" s="227"/>
      <c r="X31" s="430">
        <v>40601640</v>
      </c>
      <c r="Y31" s="258"/>
      <c r="Z31" s="258"/>
      <c r="AA31" s="258"/>
      <c r="AB31" s="258"/>
      <c r="AC31" s="258"/>
      <c r="AD31" s="258"/>
      <c r="AE31" s="258"/>
      <c r="AF31" s="258"/>
      <c r="AG31" s="258"/>
      <c r="AH31" s="258"/>
      <c r="AI31" s="258"/>
    </row>
    <row r="32" spans="1:35">
      <c r="A32" s="262">
        <v>17</v>
      </c>
      <c r="B32" s="258"/>
      <c r="C32" s="432" t="s">
        <v>2864</v>
      </c>
      <c r="D32" s="430"/>
      <c r="E32" s="430"/>
      <c r="F32" s="264"/>
      <c r="G32" s="215">
        <f t="array" ref="G32">SUM(IF(FERCFP=404,AmountFP))</f>
        <v>3607878</v>
      </c>
      <c r="H32" s="227">
        <f t="shared" si="0"/>
        <v>-0.1641</v>
      </c>
      <c r="I32" s="267"/>
      <c r="J32" s="215">
        <f t="array" ref="J32">SUM(IF(FERCBP=404,AmountBP))</f>
        <v>4316174</v>
      </c>
      <c r="K32" s="227">
        <f t="shared" si="1"/>
        <v>-0.09</v>
      </c>
      <c r="L32" s="227"/>
      <c r="M32" s="430">
        <v>4743185</v>
      </c>
      <c r="N32" s="227">
        <f t="shared" si="7"/>
        <v>9.9500000000000005E-2</v>
      </c>
      <c r="O32" s="430">
        <v>4314108</v>
      </c>
      <c r="P32" s="227">
        <f t="shared" si="8"/>
        <v>0.2175</v>
      </c>
      <c r="Q32" s="430">
        <v>3543320</v>
      </c>
      <c r="R32" s="227">
        <f t="shared" si="9"/>
        <v>-1.5900000000000001E-2</v>
      </c>
      <c r="S32" s="430">
        <v>3600538</v>
      </c>
      <c r="T32" s="227">
        <f t="shared" si="10"/>
        <v>0.41909999999999997</v>
      </c>
      <c r="U32" s="430">
        <v>2537133</v>
      </c>
      <c r="V32" s="227">
        <f t="shared" si="11"/>
        <v>-4.7699999999999999E-2</v>
      </c>
      <c r="W32" s="227"/>
      <c r="X32" s="430">
        <v>2664258</v>
      </c>
      <c r="Y32" s="258"/>
      <c r="Z32" s="258"/>
      <c r="AA32" s="258"/>
      <c r="AB32" s="258"/>
      <c r="AC32" s="258"/>
      <c r="AD32" s="258"/>
      <c r="AE32" s="258"/>
      <c r="AF32" s="258"/>
      <c r="AG32" s="258"/>
      <c r="AH32" s="258"/>
      <c r="AI32" s="258"/>
    </row>
    <row r="33" spans="1:35">
      <c r="A33" s="262">
        <v>18</v>
      </c>
      <c r="B33" s="258"/>
      <c r="C33" s="432" t="s">
        <v>353</v>
      </c>
      <c r="D33" s="430">
        <v>21986006.34</v>
      </c>
      <c r="E33" s="430">
        <v>19118955.359999903</v>
      </c>
      <c r="F33" s="264"/>
      <c r="G33" s="264">
        <f>SCH_C2!H44</f>
        <v>18320766</v>
      </c>
      <c r="H33" s="227">
        <f t="shared" si="0"/>
        <v>0.1394</v>
      </c>
      <c r="I33" s="267"/>
      <c r="J33" s="264">
        <f>SCH_C2!E44</f>
        <v>16079141</v>
      </c>
      <c r="K33" s="227">
        <f t="shared" si="1"/>
        <v>0.36430000000000001</v>
      </c>
      <c r="L33" s="227"/>
      <c r="M33" s="430">
        <v>11785321</v>
      </c>
      <c r="N33" s="227">
        <f t="shared" si="7"/>
        <v>-0.32469999999999999</v>
      </c>
      <c r="O33" s="430">
        <v>17452041</v>
      </c>
      <c r="P33" s="227">
        <f t="shared" si="8"/>
        <v>0.1016</v>
      </c>
      <c r="Q33" s="430">
        <v>15842108</v>
      </c>
      <c r="R33" s="227">
        <f t="shared" si="9"/>
        <v>0.2029</v>
      </c>
      <c r="S33" s="430">
        <v>13169657</v>
      </c>
      <c r="T33" s="227">
        <f t="shared" si="10"/>
        <v>8.2199999999999995E-2</v>
      </c>
      <c r="U33" s="430">
        <v>12169852</v>
      </c>
      <c r="V33" s="227">
        <f t="shared" si="11"/>
        <v>6.4500000000000002E-2</v>
      </c>
      <c r="W33" s="227"/>
      <c r="X33" s="430">
        <v>11432511</v>
      </c>
      <c r="Y33" s="267"/>
      <c r="Z33" s="258"/>
      <c r="AA33" s="258"/>
      <c r="AB33" s="258"/>
      <c r="AC33" s="258"/>
      <c r="AD33" s="258"/>
      <c r="AE33" s="258"/>
      <c r="AF33" s="258"/>
      <c r="AG33" s="258"/>
      <c r="AH33" s="258"/>
      <c r="AI33" s="258"/>
    </row>
    <row r="34" spans="1:35">
      <c r="A34" s="262">
        <v>19</v>
      </c>
      <c r="B34" s="258"/>
      <c r="C34" s="432" t="s">
        <v>2865</v>
      </c>
      <c r="D34" s="430">
        <v>11851117.320033601</v>
      </c>
      <c r="E34" s="430">
        <v>11628521.534370201</v>
      </c>
      <c r="F34" s="264"/>
      <c r="G34" s="264">
        <f>SCH_C2!H52</f>
        <v>1614652</v>
      </c>
      <c r="H34" s="227">
        <f t="shared" si="0"/>
        <v>-0.90359999999999996</v>
      </c>
      <c r="I34" s="267"/>
      <c r="J34" s="264">
        <f>SCH_C2!E52</f>
        <v>16748583</v>
      </c>
      <c r="K34" s="227">
        <f t="shared" si="1"/>
        <v>0.84670000000000001</v>
      </c>
      <c r="L34" s="227"/>
      <c r="M34" s="430">
        <v>9069527</v>
      </c>
      <c r="N34" s="227">
        <f t="shared" si="7"/>
        <v>6.7299999999999999E-2</v>
      </c>
      <c r="O34" s="430">
        <v>8497247</v>
      </c>
      <c r="P34" s="227">
        <f t="shared" si="8"/>
        <v>2.0215999999999998</v>
      </c>
      <c r="Q34" s="430">
        <v>-8317550</v>
      </c>
      <c r="R34" s="227">
        <f t="shared" si="9"/>
        <v>-15.694800000000001</v>
      </c>
      <c r="S34" s="430">
        <v>-498211</v>
      </c>
      <c r="T34" s="227">
        <f t="shared" si="10"/>
        <v>0.88660000000000005</v>
      </c>
      <c r="U34" s="430">
        <v>-4392248</v>
      </c>
      <c r="V34" s="227">
        <f t="shared" si="11"/>
        <v>0.69210000000000005</v>
      </c>
      <c r="W34" s="227"/>
      <c r="X34" s="430">
        <v>-14264509</v>
      </c>
      <c r="Y34" s="267"/>
      <c r="Z34" s="258"/>
      <c r="AA34" s="258"/>
      <c r="AB34" s="258"/>
      <c r="AC34" s="258"/>
      <c r="AD34" s="258"/>
      <c r="AE34" s="258"/>
      <c r="AF34" s="258"/>
      <c r="AG34" s="258"/>
      <c r="AH34" s="258"/>
      <c r="AI34" s="258"/>
    </row>
    <row r="35" spans="1:35">
      <c r="A35" s="262">
        <v>20</v>
      </c>
      <c r="B35" s="258"/>
      <c r="C35" s="432" t="s">
        <v>2866</v>
      </c>
      <c r="D35" s="430">
        <v>2499208.4390885201</v>
      </c>
      <c r="E35" s="430">
        <v>2312848.2690570801</v>
      </c>
      <c r="F35" s="264"/>
      <c r="G35" s="264">
        <f>SCH_C2!H47</f>
        <v>-437041</v>
      </c>
      <c r="H35" s="227">
        <f t="shared" si="0"/>
        <v>-1.2436</v>
      </c>
      <c r="I35" s="267"/>
      <c r="J35" s="264">
        <f>SCH_C2!E47</f>
        <v>1793879</v>
      </c>
      <c r="K35" s="227">
        <f t="shared" si="1"/>
        <v>2.3519000000000001</v>
      </c>
      <c r="L35" s="227"/>
      <c r="M35" s="430">
        <v>535181</v>
      </c>
      <c r="N35" s="227">
        <f t="shared" si="7"/>
        <v>-0.53300000000000003</v>
      </c>
      <c r="O35" s="430">
        <v>1145949</v>
      </c>
      <c r="P35" s="227">
        <f t="shared" si="8"/>
        <v>1.4523999999999999</v>
      </c>
      <c r="Q35" s="430">
        <v>-2533237</v>
      </c>
      <c r="R35" s="227">
        <f t="shared" si="9"/>
        <v>-8.6906999999999996</v>
      </c>
      <c r="S35" s="430">
        <v>329389</v>
      </c>
      <c r="T35" s="227">
        <f t="shared" si="10"/>
        <v>1.8182</v>
      </c>
      <c r="U35" s="430">
        <v>-402580</v>
      </c>
      <c r="V35" s="227">
        <f t="shared" si="11"/>
        <v>0.84160000000000001</v>
      </c>
      <c r="W35" s="227"/>
      <c r="X35" s="430">
        <v>-2541597</v>
      </c>
      <c r="Y35" s="267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</row>
    <row r="36" spans="1:35">
      <c r="A36" s="262">
        <v>21</v>
      </c>
      <c r="B36" s="264"/>
      <c r="C36" s="665" t="s">
        <v>2867</v>
      </c>
      <c r="D36" s="430">
        <v>6697786.75685619</v>
      </c>
      <c r="E36" s="430">
        <v>4069056.4381584302</v>
      </c>
      <c r="F36" s="264"/>
      <c r="G36" s="264">
        <f>SCH_C2!H48+SCH_C2!H53</f>
        <v>3743001</v>
      </c>
      <c r="H36" s="227">
        <f t="shared" si="0"/>
        <v>1.6423000000000001</v>
      </c>
      <c r="I36" s="431"/>
      <c r="J36" s="264">
        <f>SCH_C2!E48+SCH_C2!E53</f>
        <v>-5827540</v>
      </c>
      <c r="K36" s="227">
        <f t="shared" si="1"/>
        <v>-2.7606999999999999</v>
      </c>
      <c r="L36" s="227"/>
      <c r="M36" s="430">
        <v>-1549587</v>
      </c>
      <c r="N36" s="227">
        <f t="shared" si="7"/>
        <v>0.21310000000000001</v>
      </c>
      <c r="O36" s="430">
        <v>-1969219</v>
      </c>
      <c r="P36" s="227">
        <f t="shared" si="8"/>
        <v>-1.1120000000000001</v>
      </c>
      <c r="Q36" s="430">
        <v>17579327</v>
      </c>
      <c r="R36" s="227">
        <f t="shared" si="9"/>
        <v>2.2637</v>
      </c>
      <c r="S36" s="430">
        <v>5386262</v>
      </c>
      <c r="T36" s="227">
        <f t="shared" si="10"/>
        <v>-0.41060000000000002</v>
      </c>
      <c r="U36" s="430">
        <v>9137937</v>
      </c>
      <c r="V36" s="227">
        <f t="shared" si="11"/>
        <v>-0.64159999999999995</v>
      </c>
      <c r="W36" s="227"/>
      <c r="X36" s="430">
        <v>25493994</v>
      </c>
      <c r="Y36" s="267"/>
      <c r="Z36" s="258"/>
      <c r="AA36" s="258"/>
      <c r="AB36" s="258"/>
      <c r="AC36" s="258"/>
      <c r="AD36" s="258"/>
      <c r="AE36" s="258"/>
      <c r="AF36" s="258"/>
      <c r="AG36" s="258"/>
      <c r="AH36" s="258"/>
      <c r="AI36" s="258"/>
    </row>
    <row r="37" spans="1:35">
      <c r="A37" s="262">
        <v>22</v>
      </c>
      <c r="B37" s="258"/>
      <c r="C37" s="432" t="s">
        <v>2868</v>
      </c>
      <c r="D37" s="430"/>
      <c r="E37" s="430"/>
      <c r="F37" s="264"/>
      <c r="G37" s="264">
        <f>SCH_C2!H54</f>
        <v>0</v>
      </c>
      <c r="H37" s="227" t="str">
        <f t="shared" si="0"/>
        <v>-</v>
      </c>
      <c r="I37" s="267"/>
      <c r="J37" s="264">
        <f>SCH_C2!E54</f>
        <v>0</v>
      </c>
      <c r="K37" s="227" t="str">
        <f t="shared" si="1"/>
        <v>-</v>
      </c>
      <c r="L37" s="227"/>
      <c r="M37" s="430">
        <v>0</v>
      </c>
      <c r="N37" s="227">
        <f t="shared" si="7"/>
        <v>-1</v>
      </c>
      <c r="O37" s="430">
        <v>77</v>
      </c>
      <c r="P37" s="227">
        <f t="shared" si="8"/>
        <v>1.1798999999999999</v>
      </c>
      <c r="Q37" s="430">
        <v>-428</v>
      </c>
      <c r="R37" s="227">
        <f t="shared" si="9"/>
        <v>0</v>
      </c>
      <c r="S37" s="430">
        <v>-428</v>
      </c>
      <c r="T37" s="227">
        <f t="shared" si="10"/>
        <v>0</v>
      </c>
      <c r="U37" s="430">
        <v>-428</v>
      </c>
      <c r="V37" s="227">
        <f t="shared" si="11"/>
        <v>0.96220000000000006</v>
      </c>
      <c r="W37" s="227"/>
      <c r="X37" s="430">
        <v>-11335</v>
      </c>
      <c r="Y37" s="267"/>
      <c r="Z37" s="258"/>
      <c r="AA37" s="258"/>
      <c r="AB37" s="258"/>
      <c r="AC37" s="258"/>
      <c r="AD37" s="258"/>
      <c r="AE37" s="258"/>
      <c r="AF37" s="258"/>
      <c r="AG37" s="258"/>
      <c r="AH37" s="258"/>
      <c r="AI37" s="258"/>
    </row>
    <row r="38" spans="1:35">
      <c r="A38" s="262">
        <v>23</v>
      </c>
      <c r="B38" s="258"/>
      <c r="C38" s="432" t="s">
        <v>2869</v>
      </c>
      <c r="D38" s="430"/>
      <c r="E38" s="430"/>
      <c r="F38" s="264"/>
      <c r="G38" s="264">
        <v>0</v>
      </c>
      <c r="H38" s="227" t="str">
        <f t="shared" si="0"/>
        <v>-</v>
      </c>
      <c r="I38" s="267"/>
      <c r="J38" s="264">
        <v>0</v>
      </c>
      <c r="K38" s="227">
        <f t="shared" si="1"/>
        <v>1</v>
      </c>
      <c r="L38" s="227"/>
      <c r="M38" s="430">
        <v>-686671</v>
      </c>
      <c r="N38" s="227">
        <f>IF(O38=0,"-",ROUND((M38-O38)/ABS(O38),4))</f>
        <v>0.86280000000000001</v>
      </c>
      <c r="O38" s="430">
        <v>-5004724</v>
      </c>
      <c r="P38" s="227">
        <f>IF(Q38=0,"-",ROUND((O38-Q38)/ABS(Q38),4))</f>
        <v>-26.216899999999999</v>
      </c>
      <c r="Q38" s="430">
        <v>-183883</v>
      </c>
      <c r="R38" s="227">
        <f>IF(S38=0,"-",ROUND((Q38-S38)/ABS(S38),4))</f>
        <v>-2.0933999999999999</v>
      </c>
      <c r="S38" s="430">
        <v>-59444</v>
      </c>
      <c r="T38" s="227">
        <f>IF(U38=0,"-",ROUND((S38-U38)/ABS(U38),4))</f>
        <v>0.16109999999999999</v>
      </c>
      <c r="U38" s="430">
        <v>-70860</v>
      </c>
      <c r="V38" s="227">
        <f>IF(X38=0,"-",ROUND((U38-X38)/ABS(X38),4))</f>
        <v>-10.4438</v>
      </c>
      <c r="W38" s="227"/>
      <c r="X38" s="430">
        <v>-6192</v>
      </c>
      <c r="Y38" s="267"/>
      <c r="Z38" s="258"/>
      <c r="AA38" s="258"/>
      <c r="AB38" s="258"/>
      <c r="AC38" s="258"/>
      <c r="AD38" s="258"/>
      <c r="AE38" s="258"/>
      <c r="AF38" s="258"/>
      <c r="AG38" s="258"/>
      <c r="AH38" s="258"/>
      <c r="AI38" s="258"/>
    </row>
    <row r="39" spans="1:35">
      <c r="A39" s="262">
        <v>24</v>
      </c>
      <c r="B39" s="258"/>
      <c r="C39" s="432" t="s">
        <v>2870</v>
      </c>
      <c r="D39" s="430"/>
      <c r="E39" s="430"/>
      <c r="F39" s="264"/>
      <c r="G39" s="264">
        <v>0</v>
      </c>
      <c r="H39" s="227" t="str">
        <f t="shared" si="0"/>
        <v>-</v>
      </c>
      <c r="I39" s="267"/>
      <c r="J39" s="264">
        <v>0</v>
      </c>
      <c r="K39" s="227">
        <f t="shared" si="1"/>
        <v>-1</v>
      </c>
      <c r="L39" s="227"/>
      <c r="M39" s="430">
        <v>2370</v>
      </c>
      <c r="N39" s="227" t="str">
        <f t="shared" si="7"/>
        <v>-</v>
      </c>
      <c r="O39" s="430">
        <v>0</v>
      </c>
      <c r="P39" s="227" t="str">
        <f t="shared" si="8"/>
        <v>-</v>
      </c>
      <c r="Q39" s="430">
        <v>0</v>
      </c>
      <c r="R39" s="227" t="str">
        <f t="shared" si="9"/>
        <v>-</v>
      </c>
      <c r="S39" s="430">
        <v>0</v>
      </c>
      <c r="T39" s="227" t="str">
        <f t="shared" si="10"/>
        <v>-</v>
      </c>
      <c r="U39" s="430">
        <v>0</v>
      </c>
      <c r="V39" s="227" t="str">
        <f t="shared" si="11"/>
        <v>-</v>
      </c>
      <c r="W39" s="227"/>
      <c r="X39" s="430">
        <v>0</v>
      </c>
      <c r="Y39" s="267"/>
      <c r="Z39" s="258"/>
      <c r="AA39" s="258"/>
      <c r="AB39" s="258"/>
      <c r="AC39" s="258"/>
      <c r="AD39" s="258"/>
      <c r="AE39" s="258"/>
      <c r="AF39" s="258"/>
      <c r="AG39" s="258"/>
      <c r="AH39" s="258"/>
      <c r="AI39" s="258"/>
    </row>
    <row r="40" spans="1:35">
      <c r="A40" s="262">
        <v>25</v>
      </c>
      <c r="B40" s="258"/>
      <c r="C40" s="267" t="s">
        <v>2871</v>
      </c>
      <c r="D40" s="2177">
        <f>D30+SUM(D31:D39)</f>
        <v>426831270.40469229</v>
      </c>
      <c r="E40" s="2177">
        <f>E30+SUM(E31:E39)</f>
        <v>433283181.16636038</v>
      </c>
      <c r="F40" s="264"/>
      <c r="G40" s="2177">
        <f>G30+SUM(G31:G39)</f>
        <v>421364348</v>
      </c>
      <c r="H40" s="227">
        <f t="shared" si="0"/>
        <v>3.3999999999999998E-3</v>
      </c>
      <c r="I40" s="267"/>
      <c r="J40" s="2177">
        <f>J30+SUM(J31:J39)</f>
        <v>419927028</v>
      </c>
      <c r="K40" s="227">
        <f t="shared" si="1"/>
        <v>9.0899999999999995E-2</v>
      </c>
      <c r="L40" s="227"/>
      <c r="M40" s="2177">
        <f>M30+SUM(M31:M39)</f>
        <v>384942527</v>
      </c>
      <c r="N40" s="227">
        <f t="shared" si="7"/>
        <v>-0.15229999999999999</v>
      </c>
      <c r="O40" s="2177">
        <f>O30+SUM(O31:O39)</f>
        <v>454126203</v>
      </c>
      <c r="P40" s="227">
        <f t="shared" si="8"/>
        <v>0.33879999999999999</v>
      </c>
      <c r="Q40" s="2177">
        <f>Q30+SUM(Q31:Q39)</f>
        <v>339206566</v>
      </c>
      <c r="R40" s="227">
        <f t="shared" si="9"/>
        <v>0.14990000000000001</v>
      </c>
      <c r="S40" s="2177">
        <f>S30+SUM(S31:S39)</f>
        <v>294994565</v>
      </c>
      <c r="T40" s="227">
        <f t="shared" si="10"/>
        <v>-9.2999999999999999E-2</v>
      </c>
      <c r="U40" s="2177">
        <f>U30+SUM(U31:U39)</f>
        <v>325253608</v>
      </c>
      <c r="V40" s="227">
        <f t="shared" si="11"/>
        <v>-1.95E-2</v>
      </c>
      <c r="W40" s="227"/>
      <c r="X40" s="2177">
        <f>X30+SUM(X31:X39)</f>
        <v>331733017.09000003</v>
      </c>
      <c r="Y40" s="258"/>
      <c r="Z40" s="258"/>
      <c r="AA40" s="258"/>
      <c r="AB40" s="258"/>
      <c r="AC40" s="258"/>
      <c r="AD40" s="258"/>
      <c r="AE40" s="258"/>
      <c r="AF40" s="258"/>
      <c r="AG40" s="258"/>
      <c r="AH40" s="258"/>
      <c r="AI40" s="258"/>
    </row>
    <row r="41" spans="1:35">
      <c r="A41" s="262">
        <v>26</v>
      </c>
      <c r="B41" s="258"/>
      <c r="C41" s="267" t="s">
        <v>2872</v>
      </c>
      <c r="D41" s="1591">
        <f>D16-D40</f>
        <v>109356562.09988868</v>
      </c>
      <c r="E41" s="1591">
        <f>E16-E40</f>
        <v>97528012.405328572</v>
      </c>
      <c r="F41" s="264"/>
      <c r="G41" s="1591">
        <f>IF((G16-G40)=SCH_C2!H59,G16-G40,"ERROR")</f>
        <v>61188629</v>
      </c>
      <c r="H41" s="227">
        <f t="shared" si="0"/>
        <v>-0.2702</v>
      </c>
      <c r="I41" s="267"/>
      <c r="J41" s="1591">
        <f>IF((J16-J40)=SCH_C2!E59,J16-J40,"ERROR")</f>
        <v>83838119</v>
      </c>
      <c r="K41" s="227">
        <f t="shared" si="1"/>
        <v>0.2261</v>
      </c>
      <c r="L41" s="227"/>
      <c r="M41" s="1591">
        <f>M16-M40</f>
        <v>68375391</v>
      </c>
      <c r="N41" s="227">
        <f t="shared" si="7"/>
        <v>0.1169</v>
      </c>
      <c r="O41" s="1591">
        <f>O16-O40</f>
        <v>61216562.790000021</v>
      </c>
      <c r="P41" s="227">
        <f t="shared" si="8"/>
        <v>2.35E-2</v>
      </c>
      <c r="Q41" s="1591">
        <f>Q16-Q40</f>
        <v>59813242</v>
      </c>
      <c r="R41" s="227">
        <f t="shared" si="9"/>
        <v>0.1525</v>
      </c>
      <c r="S41" s="1591">
        <f>S16-S40</f>
        <v>51897523</v>
      </c>
      <c r="T41" s="227">
        <f t="shared" si="10"/>
        <v>1.0200000000000001E-2</v>
      </c>
      <c r="U41" s="1591">
        <f>U16-U40</f>
        <v>51373388</v>
      </c>
      <c r="V41" s="227">
        <f t="shared" si="11"/>
        <v>-5.3699999999999998E-2</v>
      </c>
      <c r="W41" s="227"/>
      <c r="X41" s="1591">
        <f>X16-X40</f>
        <v>54291418.909999967</v>
      </c>
      <c r="Y41" s="258"/>
      <c r="Z41" s="258"/>
      <c r="AA41" s="258"/>
      <c r="AB41" s="258"/>
      <c r="AC41" s="258"/>
      <c r="AD41" s="258"/>
      <c r="AE41" s="258"/>
      <c r="AF41" s="258"/>
      <c r="AG41" s="258"/>
      <c r="AH41" s="258"/>
      <c r="AI41" s="258"/>
    </row>
    <row r="42" spans="1:35">
      <c r="A42" s="262"/>
      <c r="B42" s="258"/>
      <c r="C42" s="267"/>
      <c r="D42" s="264"/>
      <c r="E42" s="264"/>
      <c r="F42" s="264"/>
      <c r="G42" s="264"/>
      <c r="H42" s="227"/>
      <c r="I42" s="267"/>
      <c r="J42" s="264"/>
      <c r="K42" s="227"/>
      <c r="L42" s="227"/>
      <c r="M42" s="264"/>
      <c r="N42" s="227"/>
      <c r="O42" s="264"/>
      <c r="P42" s="227"/>
      <c r="Q42" s="264"/>
      <c r="R42" s="227"/>
      <c r="S42" s="264"/>
      <c r="T42" s="227"/>
      <c r="U42" s="264"/>
      <c r="V42" s="227"/>
      <c r="W42" s="227"/>
      <c r="X42" s="264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</row>
    <row r="43" spans="1:35">
      <c r="A43" s="262">
        <v>27</v>
      </c>
      <c r="B43" s="258"/>
      <c r="C43" s="663" t="s">
        <v>2873</v>
      </c>
      <c r="D43" s="264"/>
      <c r="E43" s="264"/>
      <c r="F43" s="264"/>
      <c r="G43" s="264"/>
      <c r="H43" s="227"/>
      <c r="I43" s="267"/>
      <c r="J43" s="264"/>
      <c r="K43" s="227"/>
      <c r="L43" s="227"/>
      <c r="M43" s="264"/>
      <c r="N43" s="227"/>
      <c r="O43" s="264"/>
      <c r="P43" s="227"/>
      <c r="Q43" s="264"/>
      <c r="R43" s="227"/>
      <c r="S43" s="264"/>
      <c r="T43" s="227"/>
      <c r="U43" s="264"/>
      <c r="V43" s="227"/>
      <c r="W43" s="227"/>
      <c r="X43" s="264"/>
      <c r="Y43" s="258"/>
      <c r="Z43" s="258"/>
      <c r="AA43" s="258"/>
      <c r="AB43" s="258"/>
      <c r="AC43" s="258"/>
      <c r="AD43" s="258"/>
      <c r="AE43" s="258"/>
      <c r="AF43" s="258"/>
      <c r="AG43" s="258"/>
      <c r="AH43" s="258"/>
      <c r="AI43" s="258"/>
    </row>
    <row r="44" spans="1:35">
      <c r="A44" s="262">
        <v>28</v>
      </c>
      <c r="B44" s="258"/>
      <c r="C44" s="662" t="s">
        <v>2874</v>
      </c>
      <c r="D44" s="264"/>
      <c r="E44" s="264"/>
      <c r="F44" s="264"/>
      <c r="G44" s="264"/>
      <c r="H44" s="227"/>
      <c r="I44" s="267"/>
      <c r="J44" s="264"/>
      <c r="K44" s="227"/>
      <c r="L44" s="227"/>
      <c r="M44" s="264"/>
      <c r="N44" s="227"/>
      <c r="O44" s="264"/>
      <c r="P44" s="227"/>
      <c r="Q44" s="264"/>
      <c r="R44" s="227"/>
      <c r="S44" s="264"/>
      <c r="T44" s="227"/>
      <c r="U44" s="264"/>
      <c r="V44" s="227"/>
      <c r="W44" s="227"/>
      <c r="X44" s="264"/>
      <c r="Y44" s="258"/>
      <c r="Z44" s="258"/>
      <c r="AA44" s="258"/>
      <c r="AB44" s="258"/>
      <c r="AC44" s="258"/>
      <c r="AD44" s="258"/>
      <c r="AE44" s="258"/>
      <c r="AF44" s="258"/>
      <c r="AG44" s="258"/>
      <c r="AH44" s="258"/>
      <c r="AI44" s="258"/>
    </row>
    <row r="45" spans="1:35">
      <c r="A45" s="262">
        <v>29</v>
      </c>
      <c r="B45" s="258"/>
      <c r="C45" s="432" t="s">
        <v>2875</v>
      </c>
      <c r="D45" s="430"/>
      <c r="E45" s="430"/>
      <c r="F45" s="264"/>
      <c r="G45" s="430">
        <v>0</v>
      </c>
      <c r="H45" s="227" t="str">
        <f t="shared" ref="H45:H51" si="12">IF(J45=0,"-",ROUND((G45-J45)/ABS(J45),4))</f>
        <v>-</v>
      </c>
      <c r="I45" s="267"/>
      <c r="J45" s="430">
        <v>0</v>
      </c>
      <c r="K45" s="227" t="str">
        <f t="shared" ref="K45:K51" si="13">IF(M45=0,"-",ROUND((J45-M45)/ABS(M45),4))</f>
        <v>-</v>
      </c>
      <c r="L45" s="227"/>
      <c r="M45" s="430">
        <v>0</v>
      </c>
      <c r="N45" s="227" t="str">
        <f t="shared" ref="N45:N51" si="14">IF(O45=0,"-",ROUND((M45-O45)/ABS(O45),4))</f>
        <v>-</v>
      </c>
      <c r="O45" s="430">
        <v>0</v>
      </c>
      <c r="P45" s="227" t="str">
        <f t="shared" ref="P45:P51" si="15">IF(Q45=0,"-",ROUND((O45-Q45)/ABS(Q45),4))</f>
        <v>-</v>
      </c>
      <c r="Q45" s="430">
        <v>0</v>
      </c>
      <c r="R45" s="227" t="str">
        <f t="shared" ref="R45:R51" si="16">IF(S45=0,"-",ROUND((Q45-S45)/ABS(S45),4))</f>
        <v>-</v>
      </c>
      <c r="S45" s="430">
        <v>0</v>
      </c>
      <c r="T45" s="227" t="str">
        <f t="shared" ref="T45:T51" si="17">IF(U45=0,"-",ROUND((S45-U45)/ABS(U45),4))</f>
        <v>-</v>
      </c>
      <c r="U45" s="430">
        <v>0</v>
      </c>
      <c r="V45" s="227" t="str">
        <f t="shared" ref="V45:V51" si="18">IF(X45=0,"-",ROUND((U45-X45)/ABS(X45),4))</f>
        <v>-</v>
      </c>
      <c r="W45" s="227"/>
      <c r="X45" s="430">
        <v>0</v>
      </c>
      <c r="Y45" s="267"/>
      <c r="Z45" s="258"/>
      <c r="AA45" s="258"/>
      <c r="AB45" s="258"/>
      <c r="AC45" s="258"/>
      <c r="AD45" s="258"/>
      <c r="AE45" s="258"/>
      <c r="AF45" s="258"/>
      <c r="AG45" s="258"/>
      <c r="AH45" s="258"/>
      <c r="AI45" s="258"/>
    </row>
    <row r="46" spans="1:35">
      <c r="A46" s="262">
        <v>30</v>
      </c>
      <c r="B46" s="258"/>
      <c r="C46" s="432" t="s">
        <v>2876</v>
      </c>
      <c r="D46" s="430"/>
      <c r="E46" s="430"/>
      <c r="F46" s="264"/>
      <c r="G46" s="430">
        <v>0</v>
      </c>
      <c r="H46" s="227" t="str">
        <f t="shared" si="12"/>
        <v>-</v>
      </c>
      <c r="I46" s="267"/>
      <c r="J46" s="430">
        <v>0</v>
      </c>
      <c r="K46" s="227" t="str">
        <f t="shared" si="13"/>
        <v>-</v>
      </c>
      <c r="L46" s="227"/>
      <c r="M46" s="430">
        <v>0</v>
      </c>
      <c r="N46" s="227" t="str">
        <f>IF(O46=0,"-",ROUND((M46-O46)/ABS(O46),4))</f>
        <v>-</v>
      </c>
      <c r="O46" s="430">
        <v>0</v>
      </c>
      <c r="P46" s="227" t="str">
        <f>IF(Q46=0,"-",ROUND((O46-Q46)/ABS(Q46),4))</f>
        <v>-</v>
      </c>
      <c r="Q46" s="430">
        <v>0</v>
      </c>
      <c r="R46" s="227" t="str">
        <f>IF(S46=0,"-",ROUND((Q46-S46)/ABS(S46),4))</f>
        <v>-</v>
      </c>
      <c r="S46" s="430">
        <v>0</v>
      </c>
      <c r="T46" s="227" t="str">
        <f>IF(U46=0,"-",ROUND((S46-U46)/ABS(U46),4))</f>
        <v>-</v>
      </c>
      <c r="U46" s="430">
        <v>0</v>
      </c>
      <c r="V46" s="227" t="str">
        <f>IF(X46=0,"-",ROUND((U46-X46)/ABS(X46),4))</f>
        <v>-</v>
      </c>
      <c r="W46" s="227"/>
      <c r="X46" s="430">
        <v>0</v>
      </c>
      <c r="Y46" s="267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</row>
    <row r="47" spans="1:35">
      <c r="A47" s="262">
        <v>31</v>
      </c>
      <c r="B47" s="258"/>
      <c r="C47" s="267" t="s">
        <v>2877</v>
      </c>
      <c r="D47" s="430">
        <v>1401658.4268316794</v>
      </c>
      <c r="E47" s="430">
        <v>1440157.1312981194</v>
      </c>
      <c r="F47" s="264"/>
      <c r="G47" s="430">
        <v>1506758.9224535755</v>
      </c>
      <c r="H47" s="227">
        <f t="shared" si="12"/>
        <v>0.94889999999999997</v>
      </c>
      <c r="I47" s="267"/>
      <c r="J47" s="430">
        <v>773122.36134652304</v>
      </c>
      <c r="K47" s="227" t="str">
        <f t="shared" si="13"/>
        <v>-</v>
      </c>
      <c r="L47" s="227"/>
      <c r="M47" s="430">
        <v>0</v>
      </c>
      <c r="N47" s="227" t="str">
        <f t="shared" si="14"/>
        <v>-</v>
      </c>
      <c r="O47" s="430">
        <v>0</v>
      </c>
      <c r="P47" s="227" t="str">
        <f t="shared" si="15"/>
        <v>-</v>
      </c>
      <c r="Q47" s="430">
        <v>0</v>
      </c>
      <c r="R47" s="227" t="str">
        <f t="shared" si="16"/>
        <v>-</v>
      </c>
      <c r="S47" s="430">
        <v>0</v>
      </c>
      <c r="T47" s="227" t="str">
        <f t="shared" si="17"/>
        <v>-</v>
      </c>
      <c r="U47" s="430">
        <v>0</v>
      </c>
      <c r="V47" s="227" t="str">
        <f t="shared" si="18"/>
        <v>-</v>
      </c>
      <c r="W47" s="227"/>
      <c r="X47" s="430">
        <v>0</v>
      </c>
      <c r="Y47" s="258"/>
      <c r="Z47" s="258"/>
      <c r="AA47" s="258"/>
      <c r="AB47" s="258"/>
      <c r="AC47" s="258"/>
      <c r="AD47" s="258"/>
      <c r="AE47" s="258"/>
      <c r="AF47" s="258"/>
      <c r="AG47" s="258"/>
      <c r="AH47" s="258"/>
      <c r="AI47" s="258"/>
    </row>
    <row r="48" spans="1:35">
      <c r="A48" s="262">
        <v>32</v>
      </c>
      <c r="B48" s="258"/>
      <c r="C48" s="267" t="s">
        <v>2878</v>
      </c>
      <c r="D48" s="430">
        <v>3955349.0025472604</v>
      </c>
      <c r="E48" s="430">
        <v>2960778.8270884897</v>
      </c>
      <c r="F48" s="264"/>
      <c r="G48" s="430">
        <v>3174462.8409042554</v>
      </c>
      <c r="H48" s="227">
        <f t="shared" si="12"/>
        <v>0.1565</v>
      </c>
      <c r="I48" s="267"/>
      <c r="J48" s="430">
        <v>2744913.734060986</v>
      </c>
      <c r="K48" s="227">
        <f t="shared" si="13"/>
        <v>3.0076999999999998</v>
      </c>
      <c r="L48" s="227"/>
      <c r="M48" s="430">
        <v>684908</v>
      </c>
      <c r="N48" s="227">
        <f t="shared" si="14"/>
        <v>-0.29780000000000001</v>
      </c>
      <c r="O48" s="430">
        <v>975358</v>
      </c>
      <c r="P48" s="227">
        <f t="shared" si="15"/>
        <v>-2.1000000000000001E-2</v>
      </c>
      <c r="Q48" s="430">
        <v>996302</v>
      </c>
      <c r="R48" s="227">
        <f t="shared" si="16"/>
        <v>2.8811</v>
      </c>
      <c r="S48" s="430">
        <v>-529625</v>
      </c>
      <c r="T48" s="227">
        <f t="shared" si="17"/>
        <v>-1.2654000000000001</v>
      </c>
      <c r="U48" s="430">
        <v>1995503</v>
      </c>
      <c r="V48" s="227">
        <f t="shared" si="18"/>
        <v>-0.23760000000000001</v>
      </c>
      <c r="W48" s="227"/>
      <c r="X48" s="430">
        <v>2617303</v>
      </c>
      <c r="Y48" s="258"/>
      <c r="Z48" s="258"/>
      <c r="AA48" s="258"/>
      <c r="AB48" s="258"/>
      <c r="AC48" s="258"/>
      <c r="AD48" s="258"/>
      <c r="AE48" s="258"/>
      <c r="AF48" s="258"/>
      <c r="AG48" s="258"/>
      <c r="AH48" s="258"/>
      <c r="AI48" s="258"/>
    </row>
    <row r="49" spans="1:35">
      <c r="A49" s="262">
        <v>33</v>
      </c>
      <c r="B49" s="258"/>
      <c r="C49" s="267" t="s">
        <v>2879</v>
      </c>
      <c r="D49" s="430">
        <v>-331938.05556322203</v>
      </c>
      <c r="E49" s="430">
        <v>142949.91974315702</v>
      </c>
      <c r="F49" s="264"/>
      <c r="G49" s="430">
        <v>412328.94094160828</v>
      </c>
      <c r="H49" s="227" t="str">
        <f t="shared" si="12"/>
        <v>-</v>
      </c>
      <c r="I49" s="267"/>
      <c r="J49" s="430">
        <v>0</v>
      </c>
      <c r="K49" s="227" t="str">
        <f t="shared" si="13"/>
        <v>-</v>
      </c>
      <c r="L49" s="227"/>
      <c r="M49" s="430">
        <v>0</v>
      </c>
      <c r="N49" s="227" t="str">
        <f t="shared" si="14"/>
        <v>-</v>
      </c>
      <c r="O49" s="430">
        <v>0</v>
      </c>
      <c r="P49" s="227" t="str">
        <f t="shared" si="15"/>
        <v>-</v>
      </c>
      <c r="Q49" s="430">
        <v>0</v>
      </c>
      <c r="R49" s="227" t="str">
        <f t="shared" si="16"/>
        <v>-</v>
      </c>
      <c r="S49" s="430">
        <v>0</v>
      </c>
      <c r="T49" s="227" t="str">
        <f t="shared" si="17"/>
        <v>-</v>
      </c>
      <c r="U49" s="430">
        <v>0</v>
      </c>
      <c r="V49" s="227" t="str">
        <f t="shared" si="18"/>
        <v>-</v>
      </c>
      <c r="W49" s="227"/>
      <c r="X49" s="430">
        <v>0</v>
      </c>
      <c r="Y49" s="258"/>
      <c r="Z49" s="258"/>
      <c r="AA49" s="258"/>
      <c r="AB49" s="258"/>
      <c r="AC49" s="258"/>
      <c r="AD49" s="258"/>
      <c r="AE49" s="258"/>
      <c r="AF49" s="258"/>
      <c r="AG49" s="258"/>
      <c r="AH49" s="258"/>
      <c r="AI49" s="258"/>
    </row>
    <row r="50" spans="1:35">
      <c r="A50" s="262">
        <v>34</v>
      </c>
      <c r="B50" s="258"/>
      <c r="C50" s="267" t="s">
        <v>2880</v>
      </c>
      <c r="D50" s="430"/>
      <c r="E50" s="430"/>
      <c r="F50" s="264"/>
      <c r="G50" s="430">
        <v>0</v>
      </c>
      <c r="H50" s="227" t="str">
        <f t="shared" si="12"/>
        <v>-</v>
      </c>
      <c r="I50" s="267"/>
      <c r="J50" s="430">
        <v>0</v>
      </c>
      <c r="K50" s="227" t="str">
        <f t="shared" si="13"/>
        <v>-</v>
      </c>
      <c r="L50" s="227"/>
      <c r="M50" s="430">
        <v>0</v>
      </c>
      <c r="N50" s="227" t="str">
        <f t="shared" si="14"/>
        <v>-</v>
      </c>
      <c r="O50" s="430">
        <v>0</v>
      </c>
      <c r="P50" s="227" t="str">
        <f t="shared" si="15"/>
        <v>-</v>
      </c>
      <c r="Q50" s="430">
        <v>0</v>
      </c>
      <c r="R50" s="227" t="str">
        <f t="shared" si="16"/>
        <v>-</v>
      </c>
      <c r="S50" s="430">
        <v>0</v>
      </c>
      <c r="T50" s="227" t="str">
        <f t="shared" si="17"/>
        <v>-</v>
      </c>
      <c r="U50" s="430">
        <v>0</v>
      </c>
      <c r="V50" s="227" t="str">
        <f t="shared" si="18"/>
        <v>-</v>
      </c>
      <c r="W50" s="227"/>
      <c r="X50" s="430">
        <v>0</v>
      </c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</row>
    <row r="51" spans="1:35">
      <c r="A51" s="262">
        <v>35</v>
      </c>
      <c r="B51" s="258"/>
      <c r="C51" s="267" t="s">
        <v>2881</v>
      </c>
      <c r="D51" s="2177">
        <f>SUM(D45:D50)</f>
        <v>5025069.3738157181</v>
      </c>
      <c r="E51" s="2177">
        <f>SUM(E45:E50)</f>
        <v>4543885.8781297663</v>
      </c>
      <c r="F51" s="264"/>
      <c r="G51" s="2177">
        <f>SUM(G45:G50)</f>
        <v>5093550.7042994397</v>
      </c>
      <c r="H51" s="227">
        <f t="shared" si="12"/>
        <v>0.44779999999999998</v>
      </c>
      <c r="I51" s="267"/>
      <c r="J51" s="2177">
        <f>SUM(J45:J50)</f>
        <v>3518036.0954075092</v>
      </c>
      <c r="K51" s="227">
        <f t="shared" si="13"/>
        <v>4.1364999999999998</v>
      </c>
      <c r="L51" s="227"/>
      <c r="M51" s="2177">
        <f>SUM(M45:M50)</f>
        <v>684908</v>
      </c>
      <c r="N51" s="227">
        <f t="shared" si="14"/>
        <v>-0.29780000000000001</v>
      </c>
      <c r="O51" s="2177">
        <f>SUM(O45:O50)</f>
        <v>975358</v>
      </c>
      <c r="P51" s="227">
        <f t="shared" si="15"/>
        <v>-2.1000000000000001E-2</v>
      </c>
      <c r="Q51" s="2177">
        <f>SUM(Q45:Q50)</f>
        <v>996302</v>
      </c>
      <c r="R51" s="227">
        <f t="shared" si="16"/>
        <v>2.8811</v>
      </c>
      <c r="S51" s="2177">
        <f>SUM(S45:S50)</f>
        <v>-529625</v>
      </c>
      <c r="T51" s="227">
        <f t="shared" si="17"/>
        <v>-1.2654000000000001</v>
      </c>
      <c r="U51" s="2177">
        <f>SUM(U45:U50)</f>
        <v>1995503</v>
      </c>
      <c r="V51" s="227">
        <f t="shared" si="18"/>
        <v>-0.23760000000000001</v>
      </c>
      <c r="W51" s="227"/>
      <c r="X51" s="2177">
        <f>SUM(X45:X50)</f>
        <v>2617303</v>
      </c>
      <c r="Y51" s="258"/>
      <c r="Z51" s="258"/>
      <c r="AA51" s="258"/>
      <c r="AB51" s="258"/>
      <c r="AC51" s="258"/>
      <c r="AD51" s="258"/>
      <c r="AE51" s="258"/>
      <c r="AF51" s="258"/>
      <c r="AG51" s="258"/>
      <c r="AH51" s="258"/>
      <c r="AI51" s="258"/>
    </row>
    <row r="52" spans="1:35">
      <c r="A52" s="262"/>
      <c r="B52" s="258"/>
      <c r="C52" s="267"/>
      <c r="D52" s="264"/>
      <c r="E52" s="264"/>
      <c r="F52" s="264"/>
      <c r="G52" s="264"/>
      <c r="H52" s="227"/>
      <c r="I52" s="267"/>
      <c r="J52" s="264"/>
      <c r="K52" s="227"/>
      <c r="L52" s="227"/>
      <c r="M52" s="264"/>
      <c r="N52" s="227"/>
      <c r="O52" s="264"/>
      <c r="P52" s="227"/>
      <c r="Q52" s="264"/>
      <c r="R52" s="227"/>
      <c r="S52" s="264"/>
      <c r="T52" s="227"/>
      <c r="U52" s="264"/>
      <c r="V52" s="227"/>
      <c r="W52" s="227"/>
      <c r="X52" s="264"/>
      <c r="Y52" s="258"/>
      <c r="Z52" s="258"/>
      <c r="AA52" s="258"/>
      <c r="AB52" s="258"/>
      <c r="AC52" s="258"/>
      <c r="AD52" s="258"/>
      <c r="AE52" s="258"/>
      <c r="AF52" s="258"/>
      <c r="AG52" s="258"/>
      <c r="AH52" s="258"/>
      <c r="AI52" s="258"/>
    </row>
    <row r="53" spans="1:35">
      <c r="A53" s="262">
        <v>36</v>
      </c>
      <c r="B53" s="258"/>
      <c r="C53" s="662" t="s">
        <v>2882</v>
      </c>
      <c r="D53" s="264"/>
      <c r="E53" s="264"/>
      <c r="F53" s="264"/>
      <c r="G53" s="264"/>
      <c r="H53" s="227"/>
      <c r="I53" s="267"/>
      <c r="J53" s="264"/>
      <c r="K53" s="227"/>
      <c r="L53" s="227"/>
      <c r="M53" s="264"/>
      <c r="N53" s="227"/>
      <c r="O53" s="264"/>
      <c r="P53" s="227"/>
      <c r="Q53" s="264"/>
      <c r="R53" s="227"/>
      <c r="S53" s="264"/>
      <c r="T53" s="227"/>
      <c r="U53" s="264"/>
      <c r="V53" s="227"/>
      <c r="W53" s="227"/>
      <c r="X53" s="264"/>
      <c r="Y53" s="258"/>
      <c r="Z53" s="258"/>
      <c r="AA53" s="258"/>
      <c r="AB53" s="258"/>
      <c r="AC53" s="258"/>
      <c r="AD53" s="258"/>
      <c r="AE53" s="258"/>
      <c r="AF53" s="258"/>
      <c r="AG53" s="258"/>
      <c r="AH53" s="258"/>
      <c r="AI53" s="258"/>
    </row>
    <row r="54" spans="1:35">
      <c r="A54" s="262">
        <v>37</v>
      </c>
      <c r="B54" s="258"/>
      <c r="C54" s="267" t="s">
        <v>2883</v>
      </c>
      <c r="D54" s="430">
        <v>0</v>
      </c>
      <c r="E54" s="430">
        <v>0</v>
      </c>
      <c r="F54" s="264"/>
      <c r="G54" s="430">
        <v>0</v>
      </c>
      <c r="H54" s="227" t="str">
        <f>IF(J54=0,"-",ROUND((G54-J54)/ABS(J54),4))</f>
        <v>-</v>
      </c>
      <c r="I54" s="267"/>
      <c r="J54" s="430">
        <v>0</v>
      </c>
      <c r="K54" s="227" t="str">
        <f>IF(M54=0,"-",ROUND((J54-M54)/ABS(M54),4))</f>
        <v>-</v>
      </c>
      <c r="L54" s="227"/>
      <c r="M54" s="430">
        <v>0</v>
      </c>
      <c r="N54" s="227" t="str">
        <f>IF(O54=0,"-",ROUND((M54-O54)/ABS(O54),4))</f>
        <v>-</v>
      </c>
      <c r="O54" s="430">
        <v>0</v>
      </c>
      <c r="P54" s="227" t="str">
        <f>IF(Q54=0,"-",ROUND((O54-Q54)/ABS(Q54),4))</f>
        <v>-</v>
      </c>
      <c r="Q54" s="430">
        <v>0</v>
      </c>
      <c r="R54" s="227" t="str">
        <f>IF(S54=0,"-",ROUND((Q54-S54)/ABS(S54),4))</f>
        <v>-</v>
      </c>
      <c r="S54" s="430">
        <v>0</v>
      </c>
      <c r="T54" s="227" t="str">
        <f>IF(U54=0,"-",ROUND((S54-U54)/ABS(U54),4))</f>
        <v>-</v>
      </c>
      <c r="U54" s="430">
        <v>0</v>
      </c>
      <c r="V54" s="227" t="str">
        <f>IF(X54=0,"-",ROUND((U54-X54)/ABS(X54),4))</f>
        <v>-</v>
      </c>
      <c r="W54" s="227"/>
      <c r="X54" s="430">
        <v>0</v>
      </c>
      <c r="Y54" s="258"/>
      <c r="Z54" s="258"/>
      <c r="AA54" s="258"/>
      <c r="AB54" s="258"/>
      <c r="AC54" s="258"/>
      <c r="AD54" s="258"/>
      <c r="AE54" s="258"/>
      <c r="AF54" s="258"/>
      <c r="AG54" s="258"/>
      <c r="AH54" s="258"/>
      <c r="AI54" s="258"/>
    </row>
    <row r="55" spans="1:35">
      <c r="A55" s="262">
        <v>38</v>
      </c>
      <c r="B55" s="258"/>
      <c r="C55" s="267" t="s">
        <v>2884</v>
      </c>
      <c r="D55" s="430">
        <v>0</v>
      </c>
      <c r="E55" s="430">
        <v>0</v>
      </c>
      <c r="F55" s="264"/>
      <c r="G55" s="430">
        <v>0</v>
      </c>
      <c r="H55" s="227" t="str">
        <f>IF(J55=0,"-",ROUND((G55-J55)/ABS(J55),4))</f>
        <v>-</v>
      </c>
      <c r="I55" s="267"/>
      <c r="J55" s="430">
        <v>0</v>
      </c>
      <c r="K55" s="227" t="str">
        <f>IF(M55=0,"-",ROUND((J55-M55)/ABS(M55),4))</f>
        <v>-</v>
      </c>
      <c r="L55" s="227"/>
      <c r="M55" s="430">
        <v>0</v>
      </c>
      <c r="N55" s="227" t="str">
        <f>IF(O55=0,"-",ROUND((M55-O55)/ABS(O55),4))</f>
        <v>-</v>
      </c>
      <c r="O55" s="430">
        <v>0</v>
      </c>
      <c r="P55" s="227" t="str">
        <f>IF(Q55=0,"-",ROUND((O55-Q55)/ABS(Q55),4))</f>
        <v>-</v>
      </c>
      <c r="Q55" s="430">
        <v>0</v>
      </c>
      <c r="R55" s="227" t="str">
        <f>IF(S55=0,"-",ROUND((Q55-S55)/ABS(S55),4))</f>
        <v>-</v>
      </c>
      <c r="S55" s="430">
        <v>0</v>
      </c>
      <c r="T55" s="227" t="str">
        <f>IF(U55=0,"-",ROUND((S55-U55)/ABS(U55),4))</f>
        <v>-</v>
      </c>
      <c r="U55" s="430">
        <v>0</v>
      </c>
      <c r="V55" s="227" t="str">
        <f>IF(X55=0,"-",ROUND((U55-X55)/ABS(X55),4))</f>
        <v>-</v>
      </c>
      <c r="W55" s="227"/>
      <c r="X55" s="430">
        <v>0</v>
      </c>
      <c r="Y55" s="258"/>
      <c r="Z55" s="258"/>
      <c r="AA55" s="258"/>
      <c r="AB55" s="258"/>
      <c r="AC55" s="258"/>
      <c r="AD55" s="258"/>
      <c r="AE55" s="258"/>
      <c r="AF55" s="258"/>
      <c r="AG55" s="258"/>
      <c r="AH55" s="258"/>
      <c r="AI55" s="258"/>
    </row>
    <row r="56" spans="1:35">
      <c r="A56" s="262">
        <v>39</v>
      </c>
      <c r="B56" s="258"/>
      <c r="C56" s="267" t="s">
        <v>2885</v>
      </c>
      <c r="D56" s="2177">
        <f>SUM(D54:D55)</f>
        <v>0</v>
      </c>
      <c r="E56" s="2177">
        <f>SUM(E54:E55)</f>
        <v>0</v>
      </c>
      <c r="F56" s="264"/>
      <c r="G56" s="2177">
        <f>SUM(G54:G55)</f>
        <v>0</v>
      </c>
      <c r="H56" s="227" t="str">
        <f>IF(J56=0,"-",ROUND((G56-J56)/ABS(J56),4))</f>
        <v>-</v>
      </c>
      <c r="I56" s="267"/>
      <c r="J56" s="2177">
        <f>SUM(J54:J55)</f>
        <v>0</v>
      </c>
      <c r="K56" s="227" t="str">
        <f>IF(M56=0,"-",ROUND((J56-M56)/ABS(M56),4))</f>
        <v>-</v>
      </c>
      <c r="L56" s="227"/>
      <c r="M56" s="2177">
        <f>SUM(M54:M55)</f>
        <v>0</v>
      </c>
      <c r="N56" s="227" t="str">
        <f>IF(O56=0,"-",ROUND((M56-O56)/ABS(O56),4))</f>
        <v>-</v>
      </c>
      <c r="O56" s="2177">
        <f>SUM(O54:O55)</f>
        <v>0</v>
      </c>
      <c r="P56" s="227" t="str">
        <f>IF(Q56=0,"-",ROUND((O56-Q56)/ABS(Q56),4))</f>
        <v>-</v>
      </c>
      <c r="Q56" s="2177">
        <f>SUM(Q54:Q55)</f>
        <v>0</v>
      </c>
      <c r="R56" s="227" t="str">
        <f>IF(S56=0,"-",ROUND((Q56-S56)/ABS(S56),4))</f>
        <v>-</v>
      </c>
      <c r="S56" s="2177">
        <f>SUM(S54:S55)</f>
        <v>0</v>
      </c>
      <c r="T56" s="227" t="str">
        <f>IF(U56=0,"-",ROUND((S56-U56)/ABS(U56),4))</f>
        <v>-</v>
      </c>
      <c r="U56" s="2177">
        <f>SUM(U54:U55)</f>
        <v>0</v>
      </c>
      <c r="V56" s="227" t="str">
        <f>IF(X56=0,"-",ROUND((U56-X56)/ABS(X56),4))</f>
        <v>-</v>
      </c>
      <c r="W56" s="227"/>
      <c r="X56" s="2177">
        <f>SUM(X54:X55)</f>
        <v>0</v>
      </c>
      <c r="Y56" s="258"/>
      <c r="Z56" s="258"/>
      <c r="AA56" s="258"/>
      <c r="AB56" s="258"/>
      <c r="AC56" s="258"/>
      <c r="AD56" s="258"/>
      <c r="AE56" s="258"/>
      <c r="AF56" s="258"/>
      <c r="AG56" s="258"/>
      <c r="AH56" s="258"/>
      <c r="AI56" s="258"/>
    </row>
    <row r="57" spans="1:35">
      <c r="A57" s="262"/>
      <c r="B57" s="258"/>
      <c r="C57" s="267"/>
      <c r="D57" s="264"/>
      <c r="E57" s="264"/>
      <c r="F57" s="264"/>
      <c r="G57" s="264"/>
      <c r="H57" s="227"/>
      <c r="I57" s="267"/>
      <c r="J57" s="264"/>
      <c r="K57" s="227"/>
      <c r="L57" s="227"/>
      <c r="M57" s="264"/>
      <c r="N57" s="227"/>
      <c r="O57" s="264"/>
      <c r="P57" s="227"/>
      <c r="Q57" s="264"/>
      <c r="R57" s="227"/>
      <c r="S57" s="264"/>
      <c r="T57" s="227"/>
      <c r="U57" s="264"/>
      <c r="V57" s="227"/>
      <c r="W57" s="227"/>
      <c r="X57" s="264"/>
      <c r="Y57" s="258"/>
      <c r="Z57" s="258"/>
      <c r="AA57" s="258"/>
      <c r="AB57" s="258"/>
      <c r="AC57" s="258"/>
      <c r="AD57" s="258"/>
      <c r="AE57" s="258"/>
      <c r="AF57" s="258"/>
      <c r="AG57" s="258"/>
      <c r="AH57" s="258"/>
      <c r="AI57" s="258"/>
    </row>
    <row r="58" spans="1:35">
      <c r="A58" s="262">
        <v>40</v>
      </c>
      <c r="B58" s="258"/>
      <c r="C58" s="662" t="s">
        <v>2886</v>
      </c>
      <c r="D58" s="264"/>
      <c r="E58" s="264"/>
      <c r="F58" s="264"/>
      <c r="G58" s="264"/>
      <c r="H58" s="227"/>
      <c r="I58" s="267"/>
      <c r="J58" s="264"/>
      <c r="K58" s="227"/>
      <c r="L58" s="227"/>
      <c r="M58" s="264"/>
      <c r="N58" s="227"/>
      <c r="O58" s="264"/>
      <c r="P58" s="227"/>
      <c r="Q58" s="264"/>
      <c r="R58" s="227"/>
      <c r="S58" s="264"/>
      <c r="T58" s="227"/>
      <c r="U58" s="264"/>
      <c r="V58" s="227"/>
      <c r="W58" s="227"/>
      <c r="X58" s="264"/>
      <c r="Y58" s="258"/>
      <c r="Z58" s="258"/>
      <c r="AA58" s="258"/>
      <c r="AB58" s="258"/>
      <c r="AC58" s="258"/>
      <c r="AD58" s="258"/>
      <c r="AE58" s="258"/>
      <c r="AF58" s="258"/>
      <c r="AG58" s="258"/>
      <c r="AH58" s="258"/>
      <c r="AI58" s="258"/>
    </row>
    <row r="59" spans="1:35">
      <c r="A59" s="262">
        <v>41</v>
      </c>
      <c r="B59" s="258"/>
      <c r="C59" s="267" t="s">
        <v>2887</v>
      </c>
      <c r="D59" s="430">
        <v>0</v>
      </c>
      <c r="E59" s="430">
        <v>0</v>
      </c>
      <c r="F59" s="264"/>
      <c r="G59" s="430">
        <v>0</v>
      </c>
      <c r="H59" s="227" t="str">
        <f>IF(J59=0,"-",ROUND((G59-J59)/ABS(J59),4))</f>
        <v>-</v>
      </c>
      <c r="I59" s="267"/>
      <c r="J59" s="430">
        <v>0</v>
      </c>
      <c r="K59" s="227" t="str">
        <f>IF(M59=0,"-",ROUND((J59-M59)/ABS(M59),4))</f>
        <v>-</v>
      </c>
      <c r="L59" s="227"/>
      <c r="M59" s="430">
        <v>0</v>
      </c>
      <c r="N59" s="227" t="str">
        <f>IF(O59=0,"-",ROUND((M59-O59)/ABS(O59),4))</f>
        <v>-</v>
      </c>
      <c r="O59" s="430">
        <v>0</v>
      </c>
      <c r="P59" s="227" t="str">
        <f>IF(Q59=0,"-",ROUND((O59-Q59)/ABS(Q59),4))</f>
        <v>-</v>
      </c>
      <c r="Q59" s="430">
        <v>0</v>
      </c>
      <c r="R59" s="227" t="str">
        <f>IF(S59=0,"-",ROUND((Q59-S59)/ABS(S59),4))</f>
        <v>-</v>
      </c>
      <c r="S59" s="430">
        <v>0</v>
      </c>
      <c r="T59" s="227" t="str">
        <f>IF(U59=0,"-",ROUND((S59-U59)/ABS(U59),4))</f>
        <v>-</v>
      </c>
      <c r="U59" s="430">
        <v>0</v>
      </c>
      <c r="V59" s="227" t="str">
        <f>IF(X59=0,"-",ROUND((U59-X59)/ABS(X59),4))</f>
        <v>-</v>
      </c>
      <c r="W59" s="227"/>
      <c r="X59" s="430">
        <v>0</v>
      </c>
      <c r="Y59" s="267"/>
      <c r="Z59" s="258"/>
      <c r="AA59" s="258"/>
      <c r="AB59" s="258"/>
      <c r="AC59" s="258"/>
      <c r="AD59" s="258"/>
      <c r="AE59" s="258"/>
      <c r="AF59" s="258"/>
      <c r="AG59" s="258"/>
      <c r="AH59" s="258"/>
      <c r="AI59" s="258"/>
    </row>
    <row r="60" spans="1:35">
      <c r="A60" s="262">
        <v>42</v>
      </c>
      <c r="B60" s="258"/>
      <c r="C60" s="432" t="s">
        <v>353</v>
      </c>
      <c r="D60" s="430">
        <v>0</v>
      </c>
      <c r="E60" s="430">
        <v>0</v>
      </c>
      <c r="F60" s="264"/>
      <c r="G60" s="430">
        <v>0</v>
      </c>
      <c r="H60" s="227" t="str">
        <f>IF(J60=0,"-",ROUND((G60-J60)/ABS(J60),4))</f>
        <v>-</v>
      </c>
      <c r="I60" s="267"/>
      <c r="J60" s="430">
        <v>0</v>
      </c>
      <c r="K60" s="227" t="str">
        <f>IF(M60=0,"-",ROUND((J60-M60)/ABS(M60),4))</f>
        <v>-</v>
      </c>
      <c r="L60" s="227"/>
      <c r="M60" s="430">
        <v>0</v>
      </c>
      <c r="N60" s="227" t="str">
        <f>IF(O60=0,"-",ROUND((M60-O60)/ABS(O60),4))</f>
        <v>-</v>
      </c>
      <c r="O60" s="430">
        <v>0</v>
      </c>
      <c r="P60" s="227" t="str">
        <f>IF(Q60=0,"-",ROUND((O60-Q60)/ABS(Q60),4))</f>
        <v>-</v>
      </c>
      <c r="Q60" s="430">
        <v>0</v>
      </c>
      <c r="R60" s="227" t="str">
        <f>IF(S60=0,"-",ROUND((Q60-S60)/ABS(S60),4))</f>
        <v>-</v>
      </c>
      <c r="S60" s="430">
        <v>0</v>
      </c>
      <c r="T60" s="227" t="str">
        <f>IF(U60=0,"-",ROUND((S60-U60)/ABS(U60),4))</f>
        <v>-</v>
      </c>
      <c r="U60" s="430">
        <v>0</v>
      </c>
      <c r="V60" s="227" t="str">
        <f>IF(X60=0,"-",ROUND((U60-X60)/ABS(X60),4))</f>
        <v>-</v>
      </c>
      <c r="W60" s="227"/>
      <c r="X60" s="430">
        <v>0</v>
      </c>
      <c r="Y60" s="267"/>
      <c r="Z60" s="258"/>
      <c r="AA60" s="258"/>
      <c r="AB60" s="258"/>
      <c r="AC60" s="258"/>
      <c r="AD60" s="258"/>
      <c r="AE60" s="258"/>
      <c r="AF60" s="258"/>
      <c r="AG60" s="258"/>
      <c r="AH60" s="258"/>
      <c r="AI60" s="258"/>
    </row>
    <row r="61" spans="1:35">
      <c r="A61" s="262">
        <v>43</v>
      </c>
      <c r="B61" s="258"/>
      <c r="C61" s="267" t="s">
        <v>2888</v>
      </c>
      <c r="D61" s="2177">
        <f>SUM(D59:D60)</f>
        <v>0</v>
      </c>
      <c r="E61" s="2177">
        <f>SUM(E59:E60)</f>
        <v>0</v>
      </c>
      <c r="F61" s="264"/>
      <c r="G61" s="2177">
        <f>SUM(G59:G60)</f>
        <v>0</v>
      </c>
      <c r="H61" s="227" t="str">
        <f>IF(J61=0,"-",ROUND((G61-J61)/ABS(J61),4))</f>
        <v>-</v>
      </c>
      <c r="I61" s="267"/>
      <c r="J61" s="2177">
        <f>SUM(J59:J60)</f>
        <v>0</v>
      </c>
      <c r="K61" s="227" t="str">
        <f>IF(M61=0,"-",ROUND((J61-M61)/ABS(M61),4))</f>
        <v>-</v>
      </c>
      <c r="L61" s="227"/>
      <c r="M61" s="2177">
        <f>SUM(M59:M60)</f>
        <v>0</v>
      </c>
      <c r="N61" s="227" t="str">
        <f>IF(O61=0,"-",ROUND((M61-O61)/ABS(O61),4))</f>
        <v>-</v>
      </c>
      <c r="O61" s="2177">
        <f>SUM(O59:O60)</f>
        <v>0</v>
      </c>
      <c r="P61" s="227" t="str">
        <f>IF(Q61=0,"-",ROUND((O61-Q61)/ABS(Q61),4))</f>
        <v>-</v>
      </c>
      <c r="Q61" s="2177">
        <f>SUM(Q59:Q60)</f>
        <v>0</v>
      </c>
      <c r="R61" s="227" t="str">
        <f>IF(S61=0,"-",ROUND((Q61-S61)/ABS(S61),4))</f>
        <v>-</v>
      </c>
      <c r="S61" s="2177">
        <f>SUM(S59:S60)</f>
        <v>0</v>
      </c>
      <c r="T61" s="227" t="str">
        <f>IF(U61=0,"-",ROUND((S61-U61)/ABS(U61),4))</f>
        <v>-</v>
      </c>
      <c r="U61" s="2177">
        <f>SUM(U59:U60)</f>
        <v>0</v>
      </c>
      <c r="V61" s="227" t="str">
        <f>IF(X61=0,"-",ROUND((U61-X61)/ABS(X61),4))</f>
        <v>-</v>
      </c>
      <c r="W61" s="227"/>
      <c r="X61" s="2177">
        <f>SUM(X59:X60)</f>
        <v>0</v>
      </c>
      <c r="Y61" s="258"/>
      <c r="Z61" s="258"/>
      <c r="AA61" s="258"/>
      <c r="AB61" s="258"/>
      <c r="AC61" s="258"/>
      <c r="AD61" s="258"/>
      <c r="AE61" s="258"/>
      <c r="AF61" s="258"/>
      <c r="AG61" s="258"/>
      <c r="AH61" s="258"/>
      <c r="AI61" s="258"/>
    </row>
    <row r="62" spans="1:35">
      <c r="A62" s="262">
        <v>44</v>
      </c>
      <c r="B62" s="258"/>
      <c r="C62" s="267" t="s">
        <v>2889</v>
      </c>
      <c r="D62" s="1591">
        <f>D51-D56-D61</f>
        <v>5025069.3738157181</v>
      </c>
      <c r="E62" s="1591">
        <f>E51-E56-E61</f>
        <v>4543885.8781297663</v>
      </c>
      <c r="F62" s="264"/>
      <c r="G62" s="1591">
        <f>G51-G56-G61</f>
        <v>5093550.7042994397</v>
      </c>
      <c r="H62" s="227">
        <f>IF(J62=0,"-",ROUND((G62-J62)/ABS(J62),4))</f>
        <v>0.44779999999999998</v>
      </c>
      <c r="I62" s="267"/>
      <c r="J62" s="1591">
        <f>J51-J56-J61</f>
        <v>3518036.0954075092</v>
      </c>
      <c r="K62" s="227">
        <f>IF(M62=0,"-",ROUND((J62-M62)/ABS(M62),4))</f>
        <v>4.1364999999999998</v>
      </c>
      <c r="L62" s="227"/>
      <c r="M62" s="1591">
        <f>M51-M56-M61</f>
        <v>684908</v>
      </c>
      <c r="N62" s="227">
        <f>IF(O62=0,"-",ROUND((M62-O62)/ABS(O62),4))</f>
        <v>-0.29780000000000001</v>
      </c>
      <c r="O62" s="1591">
        <f>O51-O56-O61</f>
        <v>975358</v>
      </c>
      <c r="P62" s="227">
        <f>IF(Q62=0,"-",ROUND((O62-Q62)/ABS(Q62),4))</f>
        <v>-2.1000000000000001E-2</v>
      </c>
      <c r="Q62" s="1591">
        <f>Q51-Q56-Q61</f>
        <v>996302</v>
      </c>
      <c r="R62" s="227">
        <f>IF(S62=0,"-",ROUND((Q62-S62)/ABS(S62),4))</f>
        <v>2.8811</v>
      </c>
      <c r="S62" s="1591">
        <f>S51-S56-S61</f>
        <v>-529625</v>
      </c>
      <c r="T62" s="227">
        <f>IF(U62=0,"-",ROUND((S62-U62)/ABS(U62),4))</f>
        <v>-1.2654000000000001</v>
      </c>
      <c r="U62" s="1591">
        <f>U51-U56-U61</f>
        <v>1995503</v>
      </c>
      <c r="V62" s="227">
        <f>IF(X62=0,"-",ROUND((U62-X62)/ABS(X62),4))</f>
        <v>-0.23760000000000001</v>
      </c>
      <c r="W62" s="227"/>
      <c r="X62" s="1591">
        <f>X51-X56-X61</f>
        <v>2617303</v>
      </c>
      <c r="Y62" s="258"/>
      <c r="Z62" s="258"/>
      <c r="AA62" s="258"/>
      <c r="AB62" s="258"/>
      <c r="AC62" s="258"/>
      <c r="AD62" s="258"/>
      <c r="AE62" s="258"/>
      <c r="AF62" s="258"/>
      <c r="AG62" s="258"/>
      <c r="AH62" s="258"/>
      <c r="AI62" s="258"/>
    </row>
    <row r="63" spans="1:35">
      <c r="A63" s="262"/>
      <c r="B63" s="258"/>
      <c r="C63" s="267"/>
      <c r="D63" s="264"/>
      <c r="E63" s="264"/>
      <c r="F63" s="264"/>
      <c r="G63" s="264"/>
      <c r="H63" s="227"/>
      <c r="I63" s="267"/>
      <c r="J63" s="264"/>
      <c r="K63" s="227"/>
      <c r="L63" s="227"/>
      <c r="M63" s="264"/>
      <c r="N63" s="227"/>
      <c r="O63" s="264"/>
      <c r="P63" s="227"/>
      <c r="Q63" s="264"/>
      <c r="R63" s="227"/>
      <c r="S63" s="264"/>
      <c r="T63" s="227"/>
      <c r="U63" s="264"/>
      <c r="V63" s="227"/>
      <c r="W63" s="227"/>
      <c r="X63" s="264"/>
      <c r="Y63" s="258"/>
      <c r="Z63" s="258"/>
      <c r="AA63" s="258"/>
      <c r="AB63" s="258"/>
      <c r="AC63" s="258"/>
      <c r="AD63" s="258"/>
      <c r="AE63" s="258"/>
      <c r="AF63" s="258"/>
      <c r="AG63" s="258"/>
      <c r="AH63" s="258"/>
      <c r="AI63" s="258"/>
    </row>
    <row r="64" spans="1:35">
      <c r="A64" s="262">
        <v>45</v>
      </c>
      <c r="B64" s="258"/>
      <c r="C64" s="663" t="s">
        <v>1451</v>
      </c>
      <c r="D64" s="258"/>
      <c r="E64" s="258"/>
      <c r="F64" s="258"/>
      <c r="G64" s="258"/>
      <c r="H64" s="227"/>
      <c r="I64" s="267"/>
      <c r="J64" s="258"/>
      <c r="K64" s="227"/>
      <c r="L64" s="227"/>
      <c r="M64" s="258"/>
      <c r="N64" s="227"/>
      <c r="O64" s="258"/>
      <c r="P64" s="227"/>
      <c r="Q64" s="258"/>
      <c r="R64" s="227"/>
      <c r="S64" s="258"/>
      <c r="T64" s="227"/>
      <c r="U64" s="258"/>
      <c r="V64" s="227"/>
      <c r="W64" s="227"/>
      <c r="X64" s="258"/>
      <c r="Y64" s="258"/>
      <c r="Z64" s="258"/>
      <c r="AA64" s="258"/>
      <c r="AB64" s="258"/>
      <c r="AC64" s="258"/>
      <c r="AD64" s="258"/>
      <c r="AE64" s="258"/>
      <c r="AF64" s="258"/>
      <c r="AG64" s="258"/>
      <c r="AH64" s="258"/>
      <c r="AI64" s="258"/>
    </row>
    <row r="65" spans="1:35">
      <c r="A65" s="262">
        <v>46</v>
      </c>
      <c r="B65" s="258"/>
      <c r="C65" s="267" t="s">
        <v>2890</v>
      </c>
      <c r="D65" s="430">
        <v>42659986.666666597</v>
      </c>
      <c r="E65" s="430">
        <v>38218834.915384598</v>
      </c>
      <c r="F65" s="264"/>
      <c r="G65" s="430">
        <v>33978251.443162329</v>
      </c>
      <c r="H65" s="227">
        <f t="shared" ref="H65:H73" si="19">IF(J65=0,"-",ROUND((G65-J65)/ABS(J65),4))</f>
        <v>0.33989999999999998</v>
      </c>
      <c r="I65" s="267"/>
      <c r="J65" s="430">
        <v>25359448.420000002</v>
      </c>
      <c r="K65" s="227">
        <f t="shared" ref="K65:K73" si="20">IF(M65=0,"-",ROUND((J65-M65)/ABS(M65),4))</f>
        <v>9.4799999999999995E-2</v>
      </c>
      <c r="L65" s="227"/>
      <c r="M65" s="430">
        <v>23163223</v>
      </c>
      <c r="N65" s="227">
        <f t="shared" ref="N65:N71" si="21">IF(O65=0,"-",ROUND((M65-O65)/ABS(O65),4))</f>
        <v>0.1174</v>
      </c>
      <c r="O65" s="430">
        <v>20728760</v>
      </c>
      <c r="P65" s="227">
        <f t="shared" ref="P65:P71" si="22">IF(Q65=0,"-",ROUND((O65-Q65)/ABS(Q65),4))</f>
        <v>7.0599999999999996E-2</v>
      </c>
      <c r="Q65" s="430">
        <v>19360927</v>
      </c>
      <c r="R65" s="227">
        <f t="shared" ref="R65:R73" si="23">IF(S65=0,"-",ROUND((Q65-S65)/ABS(S65),4))</f>
        <v>4.8399999999999999E-2</v>
      </c>
      <c r="S65" s="430">
        <v>18466716</v>
      </c>
      <c r="T65" s="227">
        <f t="shared" ref="T65:T73" si="24">IF(U65=0,"-",ROUND((S65-U65)/ABS(U65),4))</f>
        <v>6.0299999999999999E-2</v>
      </c>
      <c r="U65" s="430">
        <v>17417280</v>
      </c>
      <c r="V65" s="227">
        <f t="shared" ref="V65:V73" si="25">IF(X65=0,"-",ROUND((U65-X65)/ABS(X65),4))</f>
        <v>0.26929999999999998</v>
      </c>
      <c r="W65" s="227"/>
      <c r="X65" s="430">
        <v>13722079</v>
      </c>
      <c r="Y65" s="267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</row>
    <row r="66" spans="1:35">
      <c r="A66" s="262">
        <v>47</v>
      </c>
      <c r="B66" s="258"/>
      <c r="C66" s="267" t="s">
        <v>2891</v>
      </c>
      <c r="D66" s="430">
        <v>352258.92868412001</v>
      </c>
      <c r="E66" s="430">
        <v>358118.37956214603</v>
      </c>
      <c r="F66" s="264"/>
      <c r="G66" s="430">
        <v>371640.31061564799</v>
      </c>
      <c r="H66" s="227">
        <f t="shared" si="19"/>
        <v>-2.3099999999999999E-2</v>
      </c>
      <c r="I66" s="267"/>
      <c r="J66" s="430">
        <v>380422.62772922486</v>
      </c>
      <c r="K66" s="227">
        <f t="shared" si="20"/>
        <v>9.0800000000000006E-2</v>
      </c>
      <c r="L66" s="227"/>
      <c r="M66" s="430">
        <v>348762</v>
      </c>
      <c r="N66" s="227">
        <f t="shared" si="21"/>
        <v>0.1062</v>
      </c>
      <c r="O66" s="430">
        <v>315289</v>
      </c>
      <c r="P66" s="227">
        <f t="shared" si="22"/>
        <v>-0.24210000000000001</v>
      </c>
      <c r="Q66" s="430">
        <v>416009</v>
      </c>
      <c r="R66" s="227">
        <f t="shared" si="23"/>
        <v>0.41449999999999998</v>
      </c>
      <c r="S66" s="430">
        <v>294105</v>
      </c>
      <c r="T66" s="227">
        <f t="shared" si="24"/>
        <v>8.8099999999999998E-2</v>
      </c>
      <c r="U66" s="430">
        <v>270299</v>
      </c>
      <c r="V66" s="227">
        <f t="shared" si="25"/>
        <v>9.6799999999999997E-2</v>
      </c>
      <c r="W66" s="227"/>
      <c r="X66" s="430">
        <v>246436</v>
      </c>
      <c r="Y66" s="267"/>
      <c r="Z66" s="258"/>
      <c r="AA66" s="258"/>
      <c r="AB66" s="258"/>
      <c r="AC66" s="258"/>
      <c r="AD66" s="258"/>
      <c r="AE66" s="258"/>
      <c r="AF66" s="258"/>
      <c r="AG66" s="258"/>
      <c r="AH66" s="258"/>
      <c r="AI66" s="258"/>
    </row>
    <row r="67" spans="1:35">
      <c r="A67" s="262">
        <v>48</v>
      </c>
      <c r="B67" s="258"/>
      <c r="C67" s="267" t="s">
        <v>2892</v>
      </c>
      <c r="D67" s="430"/>
      <c r="E67" s="430"/>
      <c r="F67" s="264"/>
      <c r="G67" s="430">
        <v>0</v>
      </c>
      <c r="H67" s="227">
        <f t="shared" si="19"/>
        <v>-1</v>
      </c>
      <c r="I67" s="267"/>
      <c r="J67" s="430">
        <v>26193</v>
      </c>
      <c r="K67" s="227">
        <f t="shared" si="20"/>
        <v>-0.70389999999999997</v>
      </c>
      <c r="L67" s="227"/>
      <c r="M67" s="430">
        <v>88464</v>
      </c>
      <c r="N67" s="227">
        <f t="shared" si="21"/>
        <v>-3.2599999999999997E-2</v>
      </c>
      <c r="O67" s="430">
        <v>91444</v>
      </c>
      <c r="P67" s="227">
        <f t="shared" si="22"/>
        <v>-4.7000000000000002E-3</v>
      </c>
      <c r="Q67" s="430">
        <v>91880</v>
      </c>
      <c r="R67" s="227">
        <f t="shared" si="23"/>
        <v>-0.28560000000000002</v>
      </c>
      <c r="S67" s="430">
        <v>128607</v>
      </c>
      <c r="T67" s="227">
        <f t="shared" si="24"/>
        <v>-0.26269999999999999</v>
      </c>
      <c r="U67" s="430">
        <v>174425</v>
      </c>
      <c r="V67" s="227">
        <f t="shared" si="25"/>
        <v>-0.12570000000000001</v>
      </c>
      <c r="W67" s="227"/>
      <c r="X67" s="430">
        <v>199505</v>
      </c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</row>
    <row r="68" spans="1:35">
      <c r="A68" s="262">
        <v>49</v>
      </c>
      <c r="B68" s="258"/>
      <c r="C68" s="267" t="s">
        <v>2893</v>
      </c>
      <c r="D68" s="430"/>
      <c r="E68" s="430"/>
      <c r="F68" s="264"/>
      <c r="G68" s="430">
        <v>0</v>
      </c>
      <c r="H68" s="227" t="str">
        <f t="shared" si="19"/>
        <v>-</v>
      </c>
      <c r="I68" s="267"/>
      <c r="J68" s="430">
        <v>0</v>
      </c>
      <c r="K68" s="227" t="str">
        <f t="shared" si="20"/>
        <v>-</v>
      </c>
      <c r="L68" s="227"/>
      <c r="M68" s="430">
        <v>0</v>
      </c>
      <c r="N68" s="227" t="str">
        <f t="shared" si="21"/>
        <v>-</v>
      </c>
      <c r="O68" s="430">
        <v>0</v>
      </c>
      <c r="P68" s="227" t="str">
        <f t="shared" si="22"/>
        <v>-</v>
      </c>
      <c r="Q68" s="430">
        <v>0</v>
      </c>
      <c r="R68" s="227" t="str">
        <f t="shared" si="23"/>
        <v>-</v>
      </c>
      <c r="S68" s="430">
        <v>0</v>
      </c>
      <c r="T68" s="227" t="str">
        <f t="shared" si="24"/>
        <v>-</v>
      </c>
      <c r="U68" s="430">
        <v>0</v>
      </c>
      <c r="V68" s="227" t="str">
        <f t="shared" si="25"/>
        <v>-</v>
      </c>
      <c r="W68" s="227"/>
      <c r="X68" s="430">
        <v>0</v>
      </c>
      <c r="Y68" s="258"/>
      <c r="Z68" s="258"/>
      <c r="AA68" s="258"/>
      <c r="AB68" s="258"/>
      <c r="AC68" s="258"/>
      <c r="AD68" s="258"/>
      <c r="AE68" s="258"/>
      <c r="AF68" s="258"/>
      <c r="AG68" s="258"/>
      <c r="AH68" s="258"/>
      <c r="AI68" s="258"/>
    </row>
    <row r="69" spans="1:35">
      <c r="A69" s="262">
        <v>50</v>
      </c>
      <c r="B69" s="258"/>
      <c r="C69" s="267" t="s">
        <v>2894</v>
      </c>
      <c r="D69" s="430">
        <v>2082605.0842842702</v>
      </c>
      <c r="E69" s="430">
        <v>2832335.5619204799</v>
      </c>
      <c r="F69" s="264"/>
      <c r="G69" s="430">
        <v>3443151.7006046199</v>
      </c>
      <c r="H69" s="227">
        <f t="shared" si="19"/>
        <v>1.3118000000000001</v>
      </c>
      <c r="I69" s="267"/>
      <c r="J69" s="430">
        <v>1489353.6469855178</v>
      </c>
      <c r="K69" s="227">
        <f t="shared" si="20"/>
        <v>-0.67720000000000002</v>
      </c>
      <c r="L69" s="227"/>
      <c r="M69" s="430">
        <v>4613923</v>
      </c>
      <c r="N69" s="227">
        <f t="shared" si="21"/>
        <v>3.1625999999999999</v>
      </c>
      <c r="O69" s="430">
        <v>1108434</v>
      </c>
      <c r="P69" s="227">
        <f t="shared" si="22"/>
        <v>9.4664999999999999</v>
      </c>
      <c r="Q69" s="430">
        <v>105903</v>
      </c>
      <c r="R69" s="227">
        <f t="shared" si="23"/>
        <v>-0.81289999999999996</v>
      </c>
      <c r="S69" s="430">
        <v>565914</v>
      </c>
      <c r="T69" s="227">
        <f t="shared" si="24"/>
        <v>-0.58689999999999998</v>
      </c>
      <c r="U69" s="430">
        <v>1370055</v>
      </c>
      <c r="V69" s="227">
        <f t="shared" si="25"/>
        <v>8.3500000000000005E-2</v>
      </c>
      <c r="W69" s="227"/>
      <c r="X69" s="430">
        <v>1264464</v>
      </c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</row>
    <row r="70" spans="1:35">
      <c r="A70" s="262">
        <v>51</v>
      </c>
      <c r="B70" s="258"/>
      <c r="C70" s="267" t="s">
        <v>2895</v>
      </c>
      <c r="D70" s="430">
        <v>1083227.527081219</v>
      </c>
      <c r="E70" s="430">
        <v>1051161.818859075</v>
      </c>
      <c r="F70" s="264"/>
      <c r="G70" s="430">
        <v>1051785.1418186435</v>
      </c>
      <c r="H70" s="227">
        <f t="shared" si="19"/>
        <v>0.51329999999999998</v>
      </c>
      <c r="I70" s="267"/>
      <c r="J70" s="430">
        <v>695010.00427675352</v>
      </c>
      <c r="K70" s="227">
        <f t="shared" si="20"/>
        <v>-0.58079999999999998</v>
      </c>
      <c r="L70" s="227"/>
      <c r="M70" s="430">
        <v>1657962</v>
      </c>
      <c r="N70" s="227">
        <f t="shared" si="21"/>
        <v>0.61060000000000003</v>
      </c>
      <c r="O70" s="430">
        <v>1029415</v>
      </c>
      <c r="P70" s="227">
        <f t="shared" si="22"/>
        <v>6.4000000000000003E-3</v>
      </c>
      <c r="Q70" s="430">
        <v>1022907</v>
      </c>
      <c r="R70" s="227">
        <f t="shared" si="23"/>
        <v>4.4000000000000003E-3</v>
      </c>
      <c r="S70" s="430">
        <v>1018376</v>
      </c>
      <c r="T70" s="227">
        <f t="shared" si="24"/>
        <v>4.0599999999999997E-2</v>
      </c>
      <c r="U70" s="430">
        <v>978637</v>
      </c>
      <c r="V70" s="227">
        <f t="shared" si="25"/>
        <v>-6.7299999999999999E-2</v>
      </c>
      <c r="W70" s="227"/>
      <c r="X70" s="430">
        <v>1049230</v>
      </c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</row>
    <row r="71" spans="1:35">
      <c r="A71" s="262">
        <v>52</v>
      </c>
      <c r="B71" s="258"/>
      <c r="C71" s="267" t="s">
        <v>2896</v>
      </c>
      <c r="D71" s="430">
        <v>-1641674.57267859</v>
      </c>
      <c r="E71" s="430">
        <v>-1228876.4689604</v>
      </c>
      <c r="F71" s="264"/>
      <c r="G71" s="430">
        <v>-1372955.6209110671</v>
      </c>
      <c r="H71" s="227">
        <f t="shared" si="19"/>
        <v>-0.24929999999999999</v>
      </c>
      <c r="I71" s="267"/>
      <c r="J71" s="430">
        <v>-1098987.7867240962</v>
      </c>
      <c r="K71" s="227">
        <f t="shared" si="20"/>
        <v>0.54200000000000004</v>
      </c>
      <c r="L71" s="227"/>
      <c r="M71" s="430">
        <v>-2399516</v>
      </c>
      <c r="N71" s="227">
        <f t="shared" si="21"/>
        <v>-1.7494000000000001</v>
      </c>
      <c r="O71" s="430">
        <v>-872726</v>
      </c>
      <c r="P71" s="227">
        <f t="shared" si="22"/>
        <v>-1.2790999999999999</v>
      </c>
      <c r="Q71" s="430">
        <v>-382934</v>
      </c>
      <c r="R71" s="227">
        <f t="shared" si="23"/>
        <v>-2.1423000000000001</v>
      </c>
      <c r="S71" s="430">
        <v>335218</v>
      </c>
      <c r="T71" s="227">
        <f t="shared" si="24"/>
        <v>1.2101</v>
      </c>
      <c r="U71" s="430">
        <v>-1595340</v>
      </c>
      <c r="V71" s="227">
        <f t="shared" si="25"/>
        <v>6.3299999999999995E-2</v>
      </c>
      <c r="W71" s="227"/>
      <c r="X71" s="430">
        <v>-1703126</v>
      </c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</row>
    <row r="72" spans="1:35">
      <c r="A72" s="262">
        <v>53</v>
      </c>
      <c r="B72" s="258"/>
      <c r="C72" s="267" t="s">
        <v>2378</v>
      </c>
      <c r="D72" s="2177">
        <f>SUM(D65:D71)</f>
        <v>44536403.634037621</v>
      </c>
      <c r="E72" s="2177">
        <f>SUM(E65:E71)</f>
        <v>41231574.206765905</v>
      </c>
      <c r="F72" s="264"/>
      <c r="G72" s="2177">
        <f>SUM(G65:G71)</f>
        <v>37471872.975290172</v>
      </c>
      <c r="H72" s="227">
        <f t="shared" si="19"/>
        <v>0.39550000000000002</v>
      </c>
      <c r="I72" s="267"/>
      <c r="J72" s="2177">
        <f>SUM(J65:J71)</f>
        <v>26851439.912267402</v>
      </c>
      <c r="K72" s="227">
        <f t="shared" si="20"/>
        <v>-2.2599999999999999E-2</v>
      </c>
      <c r="L72" s="227"/>
      <c r="M72" s="2177">
        <f>SUM(M65:M71)</f>
        <v>27472818</v>
      </c>
      <c r="N72" s="227">
        <f t="shared" ref="N72:N73" si="26">IF(O72=0,"-",ROUND((M72-O72)/ABS(O72),4))</f>
        <v>0.22639999999999999</v>
      </c>
      <c r="O72" s="2177">
        <f>SUM(O65:O71)</f>
        <v>22400616</v>
      </c>
      <c r="P72" s="227">
        <f t="shared" ref="P72:P73" si="27">IF(Q72=0,"-",ROUND((O72-Q72)/ABS(Q72),4))</f>
        <v>8.6599999999999996E-2</v>
      </c>
      <c r="Q72" s="2177">
        <f>SUM(Q65:Q71)</f>
        <v>20614692</v>
      </c>
      <c r="R72" s="227">
        <f t="shared" si="23"/>
        <v>-9.2999999999999992E-3</v>
      </c>
      <c r="S72" s="2177">
        <f>SUM(S65:S71)</f>
        <v>20808936</v>
      </c>
      <c r="T72" s="227">
        <f t="shared" si="24"/>
        <v>0.1178</v>
      </c>
      <c r="U72" s="2177">
        <f>SUM(U65:U71)</f>
        <v>18615356</v>
      </c>
      <c r="V72" s="227">
        <f t="shared" si="25"/>
        <v>0.2596</v>
      </c>
      <c r="W72" s="227"/>
      <c r="X72" s="2177">
        <f>SUM(X65:X71)</f>
        <v>14778588</v>
      </c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</row>
    <row r="73" spans="1:35" ht="13.8" thickBot="1">
      <c r="A73" s="262">
        <v>54</v>
      </c>
      <c r="B73" s="258"/>
      <c r="C73" s="267" t="s">
        <v>2897</v>
      </c>
      <c r="D73" s="1971">
        <f>D41+D62-D72</f>
        <v>69845227.839666784</v>
      </c>
      <c r="E73" s="1971">
        <f>E41+E62-E72</f>
        <v>60840324.076692432</v>
      </c>
      <c r="F73" s="264"/>
      <c r="G73" s="1971">
        <f>G41+G62-G72</f>
        <v>28810306.729009271</v>
      </c>
      <c r="H73" s="227">
        <f t="shared" si="19"/>
        <v>-0.52380000000000004</v>
      </c>
      <c r="I73" s="267"/>
      <c r="J73" s="1971">
        <f>J41+J62-J72</f>
        <v>60504715.183140114</v>
      </c>
      <c r="K73" s="227">
        <f t="shared" si="20"/>
        <v>0.45490000000000003</v>
      </c>
      <c r="L73" s="227"/>
      <c r="M73" s="1971">
        <f>M41+M62-M72</f>
        <v>41587481</v>
      </c>
      <c r="N73" s="227">
        <f t="shared" si="26"/>
        <v>4.5100000000000001E-2</v>
      </c>
      <c r="O73" s="1971">
        <f>O41+O62-O72</f>
        <v>39791304.790000021</v>
      </c>
      <c r="P73" s="227">
        <f t="shared" si="27"/>
        <v>-0.01</v>
      </c>
      <c r="Q73" s="1971">
        <f>Q41+Q62-Q72</f>
        <v>40194852</v>
      </c>
      <c r="R73" s="227">
        <f t="shared" si="23"/>
        <v>0.31530000000000002</v>
      </c>
      <c r="S73" s="1971">
        <f>S41+S62-S72</f>
        <v>30558962</v>
      </c>
      <c r="T73" s="227">
        <f t="shared" si="24"/>
        <v>-0.1207</v>
      </c>
      <c r="U73" s="1971">
        <f>U41+U62-U72</f>
        <v>34753535</v>
      </c>
      <c r="V73" s="227">
        <f t="shared" si="25"/>
        <v>-0.17510000000000001</v>
      </c>
      <c r="W73" s="227"/>
      <c r="X73" s="1971">
        <f>X41+X62-X72</f>
        <v>42130133.909999967</v>
      </c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</row>
    <row r="74" spans="1:35" ht="13.8" thickTop="1">
      <c r="A74" s="258"/>
      <c r="B74" s="258"/>
      <c r="C74" s="258"/>
      <c r="D74" s="264"/>
      <c r="E74" s="264"/>
      <c r="F74" s="264"/>
      <c r="G74" s="264"/>
      <c r="H74" s="258"/>
      <c r="I74" s="258"/>
      <c r="J74" s="264"/>
      <c r="K74" s="293"/>
      <c r="L74" s="293"/>
      <c r="M74" s="264"/>
      <c r="N74" s="293"/>
      <c r="O74" s="264"/>
      <c r="P74" s="293"/>
      <c r="Q74" s="264"/>
      <c r="R74" s="293"/>
      <c r="S74" s="264"/>
      <c r="T74" s="293"/>
      <c r="U74" s="264"/>
      <c r="V74" s="293"/>
      <c r="W74" s="293"/>
      <c r="X74" s="264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</row>
    <row r="75" spans="1:35">
      <c r="A75" s="262">
        <v>55</v>
      </c>
      <c r="B75" s="258"/>
      <c r="C75" s="690" t="s">
        <v>2898</v>
      </c>
      <c r="D75" s="264">
        <f>SCH_I4!N24/1000</f>
        <v>3969922.7221999997</v>
      </c>
      <c r="E75" s="264">
        <f>SCH_I4!M24/1000</f>
        <v>3975508.7771999994</v>
      </c>
      <c r="F75" s="264"/>
      <c r="G75" s="264">
        <f>SCH_I4!K24/1000</f>
        <v>3964785.5887000002</v>
      </c>
      <c r="H75" s="258"/>
      <c r="I75" s="258"/>
      <c r="J75" s="264">
        <f>SCH_I4!I24/1000</f>
        <v>4046368.5589999999</v>
      </c>
      <c r="K75" s="293"/>
      <c r="L75" s="293"/>
      <c r="M75" s="264">
        <f>SCH_I4!G24/1000</f>
        <v>3869884.57</v>
      </c>
      <c r="N75" s="293"/>
      <c r="O75" s="264">
        <f>SCH_I4!F24/1000</f>
        <v>3887328.3</v>
      </c>
      <c r="P75" s="293"/>
      <c r="Q75" s="264">
        <f>SCH_I4!E24/1000</f>
        <v>3969343.6039999998</v>
      </c>
      <c r="R75" s="293"/>
      <c r="S75" s="264">
        <f>SCH_I4!D24/1000</f>
        <v>3842079.7560000001</v>
      </c>
      <c r="T75" s="293"/>
      <c r="U75" s="264">
        <f>SCH_I4!C24/1000</f>
        <v>4110492.2990000001</v>
      </c>
      <c r="V75" s="293"/>
      <c r="W75" s="293"/>
      <c r="X75" s="264"/>
      <c r="Y75" s="25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</row>
    <row r="76" spans="1:35">
      <c r="A76" s="262">
        <v>56</v>
      </c>
      <c r="B76" s="258"/>
      <c r="C76" s="258" t="s">
        <v>2899</v>
      </c>
      <c r="D76" s="666">
        <f t="shared" ref="D76:E76" si="28">D73/D75</f>
        <v>17.593598849944584</v>
      </c>
      <c r="E76" s="666">
        <f t="shared" si="28"/>
        <v>15.303783109628306</v>
      </c>
      <c r="F76" s="264"/>
      <c r="G76" s="666">
        <f>G73/G75</f>
        <v>7.266548489058593</v>
      </c>
      <c r="H76" s="258"/>
      <c r="I76" s="258"/>
      <c r="J76" s="666">
        <f>J73/J75</f>
        <v>14.952843346057671</v>
      </c>
      <c r="K76" s="293"/>
      <c r="L76" s="293"/>
      <c r="M76" s="666">
        <f>M73/M75</f>
        <v>10.746439654141932</v>
      </c>
      <c r="N76" s="293"/>
      <c r="O76" s="666">
        <f>O73/O75</f>
        <v>10.236157514661167</v>
      </c>
      <c r="P76" s="293"/>
      <c r="Q76" s="666">
        <f>Q73/Q75</f>
        <v>10.126322135351224</v>
      </c>
      <c r="R76" s="293"/>
      <c r="S76" s="666">
        <f>S73/S75</f>
        <v>7.9537552421387057</v>
      </c>
      <c r="T76" s="29"/>
      <c r="U76" s="666">
        <f>U73/U75</f>
        <v>8.4548352051297684</v>
      </c>
      <c r="V76" s="293"/>
      <c r="W76" s="293"/>
      <c r="X76" s="264"/>
      <c r="Y76" s="25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</row>
    <row r="77" spans="1:35">
      <c r="A77" s="258"/>
      <c r="B77" s="258"/>
      <c r="C77" s="258"/>
      <c r="D77" s="264"/>
      <c r="E77" s="264"/>
      <c r="F77" s="264"/>
      <c r="G77" s="264"/>
      <c r="H77" s="258"/>
      <c r="I77" s="258"/>
      <c r="J77" s="264"/>
      <c r="K77" s="293"/>
      <c r="L77" s="293"/>
      <c r="M77" s="264"/>
      <c r="N77" s="293"/>
      <c r="O77" s="264"/>
      <c r="P77" s="293"/>
      <c r="Q77" s="264"/>
      <c r="R77" s="293"/>
      <c r="S77" s="264"/>
      <c r="T77" s="293"/>
      <c r="U77" s="264"/>
      <c r="V77" s="293"/>
      <c r="W77" s="293"/>
      <c r="X77" s="264"/>
      <c r="Y77" s="258"/>
      <c r="Z77" s="258"/>
      <c r="AA77" s="258"/>
      <c r="AB77" s="258"/>
      <c r="AC77" s="258"/>
      <c r="AD77" s="258"/>
      <c r="AE77" s="258"/>
      <c r="AF77" s="258"/>
      <c r="AG77" s="258"/>
      <c r="AH77" s="258"/>
      <c r="AI77" s="258"/>
    </row>
    <row r="78" spans="1:35" ht="15.6">
      <c r="A78" s="265"/>
      <c r="B78" s="258"/>
      <c r="C78" s="433"/>
      <c r="D78" s="258"/>
      <c r="E78" s="258"/>
      <c r="F78" s="258"/>
      <c r="G78" s="258"/>
      <c r="H78" s="258"/>
      <c r="I78" s="258"/>
      <c r="J78" s="431" t="s">
        <v>382</v>
      </c>
      <c r="K78" s="293"/>
      <c r="L78" s="293"/>
      <c r="M78" s="264"/>
      <c r="N78" s="293"/>
      <c r="O78" s="264"/>
      <c r="P78" s="293"/>
      <c r="Q78" s="264"/>
      <c r="R78" s="293"/>
      <c r="S78" s="264"/>
      <c r="T78" s="293"/>
      <c r="U78" s="264"/>
      <c r="V78" s="293"/>
      <c r="W78" s="293"/>
      <c r="X78" s="258"/>
      <c r="Y78" s="258"/>
      <c r="Z78" s="258"/>
      <c r="AA78" s="258"/>
      <c r="AB78" s="258"/>
      <c r="AC78" s="258"/>
      <c r="AD78" s="258"/>
      <c r="AE78" s="258"/>
      <c r="AF78" s="258"/>
      <c r="AG78" s="258"/>
      <c r="AH78" s="258"/>
      <c r="AI78" s="258"/>
    </row>
    <row r="79" spans="1:35">
      <c r="A79" s="258"/>
      <c r="B79" s="258"/>
      <c r="C79" s="258"/>
      <c r="D79" s="258"/>
      <c r="E79" s="258"/>
      <c r="F79" s="258"/>
      <c r="G79" s="258"/>
      <c r="H79" s="258"/>
      <c r="I79" s="258"/>
      <c r="J79" s="264"/>
      <c r="K79" s="264"/>
      <c r="L79" s="264"/>
      <c r="M79" s="293"/>
      <c r="N79" s="264"/>
      <c r="O79" s="293"/>
      <c r="P79" s="264"/>
      <c r="Q79" s="293"/>
      <c r="R79" s="264"/>
      <c r="S79" s="293"/>
      <c r="T79" s="264"/>
      <c r="U79" s="293"/>
      <c r="V79" s="258"/>
      <c r="W79" s="258"/>
      <c r="X79" s="258"/>
      <c r="Y79" s="258"/>
      <c r="Z79" s="258"/>
      <c r="AA79" s="258"/>
      <c r="AB79" s="258"/>
      <c r="AC79" s="258"/>
      <c r="AD79" s="258"/>
      <c r="AE79" s="258"/>
      <c r="AF79" s="258"/>
      <c r="AG79" s="258"/>
      <c r="AH79" s="258"/>
      <c r="AI79" s="258"/>
    </row>
    <row r="80" spans="1:35">
      <c r="A80" s="258"/>
      <c r="B80" s="258"/>
      <c r="C80" s="258"/>
      <c r="D80" s="258"/>
      <c r="E80" s="258"/>
      <c r="F80" s="258"/>
      <c r="G80" s="258"/>
      <c r="H80" s="258"/>
      <c r="I80" s="258"/>
      <c r="J80" s="264"/>
      <c r="K80" s="264"/>
      <c r="L80" s="264"/>
      <c r="M80" s="293"/>
      <c r="N80" s="264"/>
      <c r="O80" s="293"/>
      <c r="P80" s="264"/>
      <c r="Q80" s="293"/>
      <c r="R80" s="264"/>
      <c r="S80" s="293"/>
      <c r="T80" s="264"/>
      <c r="U80" s="293"/>
      <c r="V80" s="258"/>
      <c r="W80" s="258"/>
      <c r="X80" s="258"/>
      <c r="Y80" s="258"/>
      <c r="Z80" s="258"/>
      <c r="AA80" s="258"/>
      <c r="AB80" s="258"/>
      <c r="AC80" s="258"/>
      <c r="AD80" s="258"/>
      <c r="AE80" s="258"/>
      <c r="AF80" s="258"/>
      <c r="AG80" s="258"/>
      <c r="AH80" s="258"/>
      <c r="AI80" s="258"/>
    </row>
    <row r="81" spans="1:35">
      <c r="A81" s="258"/>
      <c r="B81" s="258"/>
      <c r="C81" s="258"/>
      <c r="D81" s="258"/>
      <c r="E81" s="258"/>
      <c r="F81" s="258"/>
      <c r="G81" s="258"/>
      <c r="H81" s="258"/>
      <c r="I81" s="258"/>
      <c r="J81" s="258"/>
      <c r="K81" s="258"/>
      <c r="L81" s="258"/>
      <c r="M81" s="293"/>
      <c r="N81" s="258"/>
      <c r="O81" s="293"/>
      <c r="P81" s="258"/>
      <c r="Q81" s="293"/>
      <c r="R81" s="258"/>
      <c r="S81" s="293"/>
      <c r="T81" s="258"/>
      <c r="U81" s="293"/>
      <c r="V81" s="258"/>
      <c r="W81" s="258"/>
      <c r="X81" s="258"/>
      <c r="Y81" s="258"/>
      <c r="Z81" s="258"/>
      <c r="AA81" s="258"/>
      <c r="AB81" s="258"/>
      <c r="AC81" s="258"/>
      <c r="AD81" s="258"/>
      <c r="AE81" s="258"/>
      <c r="AF81" s="258"/>
      <c r="AG81" s="258"/>
      <c r="AH81" s="258"/>
      <c r="AI81" s="258"/>
    </row>
    <row r="82" spans="1:35">
      <c r="A82" s="258"/>
      <c r="B82" s="258"/>
      <c r="C82" s="258"/>
      <c r="D82" s="258"/>
      <c r="E82" s="258"/>
      <c r="F82" s="258"/>
      <c r="G82" s="258"/>
      <c r="H82" s="258"/>
      <c r="I82" s="258"/>
      <c r="J82" s="258"/>
      <c r="K82" s="264"/>
      <c r="L82" s="264"/>
      <c r="M82" s="258"/>
      <c r="N82" s="258"/>
      <c r="O82" s="258"/>
      <c r="P82" s="258"/>
      <c r="Q82" s="293"/>
      <c r="R82" s="258"/>
      <c r="S82" s="293"/>
      <c r="T82" s="258"/>
      <c r="U82" s="293"/>
      <c r="V82" s="258"/>
      <c r="W82" s="258"/>
      <c r="X82" s="258"/>
      <c r="Y82" s="258"/>
      <c r="Z82" s="258"/>
      <c r="AA82" s="258"/>
      <c r="AB82" s="258"/>
      <c r="AC82" s="258"/>
      <c r="AD82" s="258"/>
      <c r="AE82" s="258"/>
      <c r="AF82" s="258"/>
      <c r="AG82" s="258"/>
      <c r="AH82" s="258"/>
      <c r="AI82" s="258"/>
    </row>
    <row r="83" spans="1:35">
      <c r="A83" s="258"/>
      <c r="B83" s="258"/>
      <c r="C83" s="258"/>
      <c r="D83" s="258"/>
      <c r="E83" s="258"/>
      <c r="F83" s="258"/>
      <c r="G83" s="258"/>
      <c r="H83" s="258"/>
      <c r="I83" s="258"/>
      <c r="J83" s="258"/>
      <c r="K83" s="264"/>
      <c r="L83" s="264"/>
      <c r="M83" s="258"/>
      <c r="N83" s="258"/>
      <c r="O83" s="258"/>
      <c r="P83" s="258"/>
      <c r="Q83" s="293"/>
      <c r="R83" s="258"/>
      <c r="S83" s="293"/>
      <c r="T83" s="258"/>
      <c r="U83" s="293"/>
      <c r="V83" s="258"/>
      <c r="W83" s="258"/>
      <c r="X83" s="258"/>
      <c r="Y83" s="258"/>
      <c r="Z83" s="258"/>
      <c r="AA83" s="258"/>
      <c r="AB83" s="258"/>
      <c r="AC83" s="258"/>
      <c r="AD83" s="258"/>
      <c r="AE83" s="258"/>
      <c r="AF83" s="258"/>
      <c r="AG83" s="258"/>
      <c r="AH83" s="258"/>
      <c r="AI83" s="258"/>
    </row>
    <row r="84" spans="1:35">
      <c r="A84" s="258"/>
      <c r="B84" s="258"/>
      <c r="C84" s="258"/>
      <c r="D84" s="258"/>
      <c r="E84" s="258"/>
      <c r="F84" s="258"/>
      <c r="G84" s="258"/>
      <c r="H84" s="258"/>
      <c r="I84" s="258"/>
      <c r="J84" s="264"/>
      <c r="K84" s="264"/>
      <c r="L84" s="264"/>
      <c r="M84" s="293"/>
      <c r="N84" s="258"/>
      <c r="O84" s="293"/>
      <c r="P84" s="258"/>
      <c r="Q84" s="293"/>
      <c r="R84" s="258"/>
      <c r="S84" s="293"/>
      <c r="T84" s="258"/>
      <c r="U84" s="293"/>
      <c r="V84" s="258"/>
      <c r="W84" s="258"/>
      <c r="X84" s="258"/>
      <c r="Y84" s="258"/>
      <c r="Z84" s="258"/>
      <c r="AA84" s="258"/>
      <c r="AB84" s="258"/>
      <c r="AC84" s="258"/>
      <c r="AD84" s="258"/>
      <c r="AE84" s="258"/>
      <c r="AF84" s="258"/>
      <c r="AG84" s="258"/>
      <c r="AH84" s="258"/>
      <c r="AI84" s="258"/>
    </row>
    <row r="85" spans="1:35">
      <c r="A85" s="258"/>
      <c r="B85" s="258"/>
      <c r="C85" s="258"/>
      <c r="D85" s="258"/>
      <c r="E85" s="258"/>
      <c r="F85" s="258"/>
      <c r="G85" s="258"/>
      <c r="H85" s="258"/>
      <c r="I85" s="258"/>
      <c r="J85" s="263"/>
      <c r="K85" s="263"/>
      <c r="L85" s="263"/>
      <c r="M85" s="429"/>
      <c r="N85" s="258"/>
      <c r="O85" s="429"/>
      <c r="P85" s="258"/>
      <c r="Q85" s="293"/>
      <c r="R85" s="258"/>
      <c r="S85" s="293"/>
      <c r="T85" s="258"/>
      <c r="U85" s="293"/>
      <c r="V85" s="258"/>
      <c r="W85" s="258"/>
      <c r="X85" s="258"/>
      <c r="Y85" s="258"/>
      <c r="Z85" s="258"/>
      <c r="AA85" s="258"/>
      <c r="AB85" s="258"/>
      <c r="AC85" s="258"/>
      <c r="AD85" s="258"/>
      <c r="AE85" s="258"/>
      <c r="AF85" s="258"/>
      <c r="AG85" s="258"/>
      <c r="AH85" s="258"/>
      <c r="AI85" s="258"/>
    </row>
    <row r="86" spans="1:35">
      <c r="A86" s="258"/>
      <c r="B86" s="258"/>
      <c r="C86" s="258"/>
      <c r="D86" s="258"/>
      <c r="E86" s="258"/>
      <c r="F86" s="258"/>
      <c r="G86" s="258"/>
      <c r="H86" s="258"/>
      <c r="I86" s="258"/>
      <c r="J86" s="264"/>
      <c r="K86" s="264"/>
      <c r="L86" s="264"/>
      <c r="M86" s="293"/>
      <c r="N86" s="258"/>
      <c r="O86" s="293"/>
      <c r="P86" s="258"/>
      <c r="Q86" s="293"/>
      <c r="R86" s="258"/>
      <c r="S86" s="293"/>
      <c r="T86" s="258"/>
      <c r="U86" s="293"/>
      <c r="V86" s="258"/>
      <c r="W86" s="258"/>
      <c r="X86" s="258"/>
      <c r="Y86" s="258"/>
      <c r="Z86" s="258"/>
      <c r="AA86" s="258"/>
      <c r="AB86" s="258"/>
      <c r="AC86" s="258"/>
      <c r="AD86" s="258"/>
      <c r="AE86" s="258"/>
      <c r="AF86" s="258"/>
      <c r="AG86" s="258"/>
      <c r="AH86" s="258"/>
      <c r="AI86" s="258"/>
    </row>
    <row r="87" spans="1:35">
      <c r="A87" s="258"/>
      <c r="B87" s="258"/>
      <c r="C87" s="258"/>
      <c r="D87" s="258"/>
      <c r="E87" s="258"/>
      <c r="F87" s="258"/>
      <c r="G87" s="258"/>
      <c r="H87" s="258"/>
      <c r="I87" s="258"/>
      <c r="J87" s="264"/>
      <c r="K87" s="264"/>
      <c r="L87" s="264"/>
      <c r="M87" s="293"/>
      <c r="N87" s="258"/>
      <c r="O87" s="293"/>
      <c r="P87" s="258"/>
      <c r="Q87" s="293"/>
      <c r="R87" s="258"/>
      <c r="S87" s="293"/>
      <c r="T87" s="258"/>
      <c r="U87" s="293"/>
      <c r="V87" s="258"/>
      <c r="W87" s="258"/>
      <c r="X87" s="258"/>
      <c r="Y87" s="258"/>
      <c r="Z87" s="258"/>
      <c r="AA87" s="258"/>
      <c r="AB87" s="258"/>
      <c r="AC87" s="258"/>
      <c r="AD87" s="258"/>
      <c r="AE87" s="258"/>
      <c r="AF87" s="258"/>
      <c r="AG87" s="258"/>
      <c r="AH87" s="258"/>
      <c r="AI87" s="258"/>
    </row>
    <row r="88" spans="1:35">
      <c r="A88" s="258"/>
      <c r="B88" s="258"/>
      <c r="C88" s="258"/>
      <c r="D88" s="258"/>
      <c r="E88" s="258"/>
      <c r="F88" s="258"/>
      <c r="G88" s="258"/>
      <c r="H88" s="258"/>
      <c r="I88" s="258"/>
      <c r="J88" s="264"/>
      <c r="K88" s="264"/>
      <c r="L88" s="264"/>
      <c r="M88" s="293"/>
      <c r="N88" s="258"/>
      <c r="O88" s="293"/>
      <c r="P88" s="258"/>
      <c r="Q88" s="293"/>
      <c r="R88" s="258"/>
      <c r="S88" s="293"/>
      <c r="T88" s="258"/>
      <c r="U88" s="293"/>
      <c r="V88" s="258"/>
      <c r="W88" s="258"/>
      <c r="X88" s="258"/>
      <c r="Y88" s="258"/>
      <c r="Z88" s="258"/>
      <c r="AA88" s="258"/>
      <c r="AB88" s="258"/>
      <c r="AC88" s="258"/>
      <c r="AD88" s="258"/>
      <c r="AE88" s="258"/>
      <c r="AF88" s="258"/>
      <c r="AG88" s="258"/>
      <c r="AH88" s="258"/>
      <c r="AI88" s="258"/>
    </row>
    <row r="89" spans="1:35">
      <c r="A89" s="258"/>
      <c r="B89" s="258"/>
      <c r="C89" s="258"/>
      <c r="D89" s="258"/>
      <c r="E89" s="258"/>
      <c r="F89" s="258"/>
      <c r="G89" s="258"/>
      <c r="H89" s="258"/>
      <c r="I89" s="258"/>
      <c r="J89" s="264"/>
      <c r="K89" s="264"/>
      <c r="L89" s="264"/>
      <c r="M89" s="293"/>
      <c r="N89" s="258"/>
      <c r="O89" s="293"/>
      <c r="P89" s="258"/>
      <c r="Q89" s="293"/>
      <c r="R89" s="258"/>
      <c r="S89" s="293"/>
      <c r="T89" s="258"/>
      <c r="U89" s="293"/>
      <c r="V89" s="258"/>
      <c r="W89" s="258"/>
      <c r="X89" s="258"/>
      <c r="Y89" s="258"/>
      <c r="Z89" s="258"/>
      <c r="AA89" s="258"/>
      <c r="AB89" s="258"/>
      <c r="AC89" s="258"/>
      <c r="AD89" s="258"/>
      <c r="AE89" s="258"/>
      <c r="AF89" s="258"/>
      <c r="AG89" s="258"/>
      <c r="AH89" s="258"/>
      <c r="AI89" s="258"/>
    </row>
    <row r="90" spans="1:35">
      <c r="A90" s="258"/>
      <c r="B90" s="258"/>
      <c r="C90" s="258"/>
      <c r="D90" s="258"/>
      <c r="E90" s="258"/>
      <c r="F90" s="258"/>
      <c r="G90" s="258"/>
      <c r="H90" s="258"/>
      <c r="I90" s="258"/>
      <c r="J90" s="264"/>
      <c r="K90" s="264"/>
      <c r="L90" s="264"/>
      <c r="M90" s="293"/>
      <c r="N90" s="258"/>
      <c r="O90" s="293"/>
      <c r="P90" s="258"/>
      <c r="Q90" s="293"/>
      <c r="R90" s="258"/>
      <c r="S90" s="293"/>
      <c r="T90" s="258"/>
      <c r="U90" s="293"/>
      <c r="V90" s="258"/>
      <c r="W90" s="258"/>
      <c r="X90" s="258"/>
      <c r="Y90" s="258"/>
      <c r="Z90" s="258"/>
      <c r="AA90" s="258"/>
      <c r="AB90" s="258"/>
      <c r="AC90" s="258"/>
      <c r="AD90" s="258"/>
      <c r="AE90" s="258"/>
      <c r="AF90" s="258"/>
      <c r="AG90" s="258"/>
      <c r="AH90" s="258"/>
      <c r="AI90" s="258"/>
    </row>
    <row r="91" spans="1:35">
      <c r="A91" s="258"/>
      <c r="B91" s="258"/>
      <c r="C91" s="258"/>
      <c r="D91" s="258"/>
      <c r="E91" s="258"/>
      <c r="F91" s="258"/>
      <c r="G91" s="258"/>
      <c r="H91" s="258"/>
      <c r="I91" s="258"/>
      <c r="J91" s="264"/>
      <c r="K91" s="264"/>
      <c r="L91" s="264"/>
      <c r="M91" s="293"/>
      <c r="N91" s="258"/>
      <c r="O91" s="293"/>
      <c r="P91" s="258"/>
      <c r="Q91" s="293"/>
      <c r="R91" s="258"/>
      <c r="S91" s="293"/>
      <c r="T91" s="258"/>
      <c r="U91" s="293"/>
      <c r="V91" s="258"/>
      <c r="W91" s="258"/>
      <c r="X91" s="258"/>
      <c r="Y91" s="258"/>
      <c r="Z91" s="258"/>
      <c r="AA91" s="258"/>
      <c r="AB91" s="258"/>
      <c r="AC91" s="258"/>
      <c r="AD91" s="258"/>
      <c r="AE91" s="258"/>
      <c r="AF91" s="258"/>
      <c r="AG91" s="258"/>
      <c r="AH91" s="258"/>
      <c r="AI91" s="258"/>
    </row>
    <row r="92" spans="1:35">
      <c r="A92" s="258"/>
      <c r="B92" s="258"/>
      <c r="C92" s="258"/>
      <c r="D92" s="258"/>
      <c r="E92" s="258"/>
      <c r="F92" s="258"/>
      <c r="G92" s="258"/>
      <c r="H92" s="258"/>
      <c r="I92" s="258"/>
      <c r="J92" s="264"/>
      <c r="K92" s="264"/>
      <c r="L92" s="264"/>
      <c r="M92" s="293"/>
      <c r="N92" s="258"/>
      <c r="O92" s="293"/>
      <c r="P92" s="258"/>
      <c r="Q92" s="293"/>
      <c r="R92" s="258"/>
      <c r="S92" s="293"/>
      <c r="T92" s="258"/>
      <c r="U92" s="293"/>
      <c r="V92" s="258"/>
      <c r="W92" s="258"/>
      <c r="X92" s="258"/>
      <c r="Y92" s="258"/>
      <c r="Z92" s="258"/>
      <c r="AA92" s="258"/>
      <c r="AB92" s="258"/>
      <c r="AC92" s="258"/>
      <c r="AD92" s="258"/>
      <c r="AE92" s="258"/>
      <c r="AF92" s="258"/>
      <c r="AG92" s="258"/>
      <c r="AH92" s="258"/>
      <c r="AI92" s="258"/>
    </row>
    <row r="93" spans="1:35">
      <c r="A93" s="258"/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93"/>
      <c r="N93" s="258"/>
      <c r="O93" s="293"/>
      <c r="P93" s="258"/>
      <c r="Q93" s="293"/>
      <c r="R93" s="258"/>
      <c r="S93" s="293"/>
      <c r="T93" s="258"/>
      <c r="U93" s="293"/>
      <c r="V93" s="258"/>
      <c r="W93" s="258"/>
      <c r="X93" s="258"/>
      <c r="Y93" s="258"/>
      <c r="Z93" s="258"/>
      <c r="AA93" s="258"/>
      <c r="AB93" s="258"/>
      <c r="AC93" s="258"/>
      <c r="AD93" s="258"/>
      <c r="AE93" s="258"/>
      <c r="AF93" s="258"/>
      <c r="AG93" s="258"/>
      <c r="AH93" s="258"/>
      <c r="AI93" s="258"/>
    </row>
    <row r="94" spans="1:35">
      <c r="A94" s="258"/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93"/>
      <c r="N94" s="258"/>
      <c r="O94" s="293"/>
      <c r="P94" s="258"/>
      <c r="Q94" s="293"/>
      <c r="R94" s="258"/>
      <c r="S94" s="293"/>
      <c r="T94" s="258"/>
      <c r="U94" s="293"/>
      <c r="V94" s="258"/>
      <c r="W94" s="258"/>
      <c r="X94" s="258"/>
      <c r="Y94" s="258"/>
      <c r="Z94" s="258"/>
      <c r="AA94" s="258"/>
      <c r="AB94" s="258"/>
      <c r="AC94" s="258"/>
      <c r="AD94" s="258"/>
      <c r="AE94" s="258"/>
      <c r="AF94" s="258"/>
      <c r="AG94" s="258"/>
      <c r="AH94" s="258"/>
      <c r="AI94" s="258"/>
    </row>
    <row r="95" spans="1:35">
      <c r="A95" s="258"/>
      <c r="B95" s="258"/>
      <c r="C95" s="258"/>
      <c r="D95" s="258"/>
      <c r="E95" s="258"/>
      <c r="F95" s="258"/>
      <c r="G95" s="258"/>
      <c r="H95" s="258"/>
      <c r="I95" s="258"/>
      <c r="J95" s="258"/>
      <c r="K95" s="258"/>
      <c r="L95" s="258"/>
      <c r="M95" s="293"/>
      <c r="N95" s="258"/>
      <c r="O95" s="293"/>
      <c r="P95" s="258"/>
      <c r="Q95" s="293"/>
      <c r="R95" s="258"/>
      <c r="S95" s="293"/>
      <c r="T95" s="258"/>
      <c r="U95" s="293"/>
      <c r="V95" s="258"/>
      <c r="W95" s="258"/>
      <c r="X95" s="258"/>
      <c r="Y95" s="258"/>
      <c r="Z95" s="258"/>
      <c r="AA95" s="258"/>
      <c r="AB95" s="258"/>
      <c r="AC95" s="258"/>
      <c r="AD95" s="258"/>
      <c r="AE95" s="258"/>
      <c r="AF95" s="258"/>
      <c r="AG95" s="258"/>
      <c r="AH95" s="258"/>
      <c r="AI95" s="258"/>
    </row>
    <row r="96" spans="1:35">
      <c r="A96" s="258"/>
      <c r="B96" s="258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93"/>
      <c r="N96" s="258"/>
      <c r="O96" s="293"/>
      <c r="P96" s="258"/>
      <c r="Q96" s="293"/>
      <c r="R96" s="258"/>
      <c r="S96" s="293"/>
      <c r="T96" s="258"/>
      <c r="U96" s="293"/>
      <c r="V96" s="258"/>
      <c r="W96" s="258"/>
      <c r="X96" s="258"/>
      <c r="Y96" s="258"/>
      <c r="Z96" s="258"/>
      <c r="AA96" s="258"/>
      <c r="AB96" s="258"/>
      <c r="AC96" s="258"/>
      <c r="AD96" s="258"/>
      <c r="AE96" s="258"/>
      <c r="AF96" s="258"/>
      <c r="AG96" s="258"/>
      <c r="AH96" s="258"/>
      <c r="AI96" s="258"/>
    </row>
    <row r="97" spans="1:35">
      <c r="A97" s="258"/>
      <c r="B97" s="258"/>
      <c r="C97" s="258"/>
      <c r="D97" s="258"/>
      <c r="E97" s="258"/>
      <c r="F97" s="258"/>
      <c r="G97" s="258"/>
      <c r="H97" s="258"/>
      <c r="I97" s="258"/>
      <c r="J97" s="258"/>
      <c r="K97" s="258"/>
      <c r="L97" s="258"/>
      <c r="M97" s="293"/>
      <c r="N97" s="258"/>
      <c r="O97" s="293"/>
      <c r="P97" s="258"/>
      <c r="Q97" s="293"/>
      <c r="R97" s="258"/>
      <c r="S97" s="293"/>
      <c r="T97" s="258"/>
      <c r="U97" s="293"/>
      <c r="V97" s="258"/>
      <c r="W97" s="258"/>
      <c r="X97" s="258"/>
      <c r="Y97" s="258"/>
      <c r="Z97" s="258"/>
      <c r="AA97" s="258"/>
      <c r="AB97" s="258"/>
      <c r="AC97" s="258"/>
      <c r="AD97" s="258"/>
      <c r="AE97" s="258"/>
      <c r="AF97" s="258"/>
      <c r="AG97" s="258"/>
      <c r="AH97" s="258"/>
      <c r="AI97" s="258"/>
    </row>
    <row r="98" spans="1:35">
      <c r="A98" s="258"/>
      <c r="B98" s="258"/>
      <c r="C98" s="258"/>
      <c r="D98" s="258"/>
      <c r="E98" s="258"/>
      <c r="F98" s="258"/>
      <c r="G98" s="258"/>
      <c r="H98" s="258"/>
      <c r="I98" s="258"/>
      <c r="J98" s="258"/>
      <c r="K98" s="258"/>
      <c r="L98" s="258"/>
      <c r="M98" s="293"/>
      <c r="N98" s="258"/>
      <c r="O98" s="293"/>
      <c r="P98" s="258"/>
      <c r="Q98" s="293"/>
      <c r="R98" s="258"/>
      <c r="S98" s="293"/>
      <c r="T98" s="258"/>
      <c r="U98" s="293"/>
      <c r="V98" s="258"/>
      <c r="W98" s="258"/>
      <c r="X98" s="258"/>
      <c r="Y98" s="258"/>
      <c r="Z98" s="258"/>
      <c r="AA98" s="258"/>
      <c r="AB98" s="258"/>
      <c r="AC98" s="258"/>
      <c r="AD98" s="258"/>
      <c r="AE98" s="258"/>
      <c r="AF98" s="258"/>
      <c r="AG98" s="258"/>
      <c r="AH98" s="258"/>
      <c r="AI98" s="258"/>
    </row>
    <row r="99" spans="1:35">
      <c r="A99" s="258"/>
      <c r="B99" s="258"/>
      <c r="C99" s="258"/>
      <c r="D99" s="258"/>
      <c r="E99" s="258"/>
      <c r="F99" s="258"/>
      <c r="G99" s="258"/>
      <c r="H99" s="258"/>
      <c r="I99" s="258"/>
      <c r="J99" s="258"/>
      <c r="K99" s="258"/>
      <c r="L99" s="258"/>
      <c r="M99" s="293"/>
      <c r="N99" s="258"/>
      <c r="O99" s="293"/>
      <c r="P99" s="258"/>
      <c r="Q99" s="293"/>
      <c r="R99" s="258"/>
      <c r="S99" s="293"/>
      <c r="T99" s="258"/>
      <c r="U99" s="293"/>
      <c r="V99" s="258"/>
      <c r="W99" s="258"/>
      <c r="X99" s="258"/>
      <c r="Y99" s="258"/>
      <c r="Z99" s="258"/>
      <c r="AA99" s="258"/>
      <c r="AB99" s="258"/>
      <c r="AC99" s="258"/>
      <c r="AD99" s="258"/>
      <c r="AE99" s="258"/>
      <c r="AF99" s="258"/>
      <c r="AG99" s="258"/>
      <c r="AH99" s="258"/>
      <c r="AI99" s="258"/>
    </row>
    <row r="100" spans="1:35">
      <c r="A100" s="258"/>
      <c r="B100" s="258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93"/>
      <c r="N100" s="258"/>
      <c r="O100" s="293"/>
      <c r="P100" s="258"/>
      <c r="Q100" s="293"/>
      <c r="R100" s="258"/>
      <c r="S100" s="293"/>
      <c r="T100" s="258"/>
      <c r="U100" s="293"/>
      <c r="V100" s="258"/>
      <c r="W100" s="258"/>
      <c r="X100" s="258"/>
      <c r="Y100" s="258"/>
      <c r="Z100" s="258"/>
      <c r="AA100" s="258"/>
      <c r="AB100" s="258"/>
      <c r="AC100" s="258"/>
      <c r="AD100" s="258"/>
      <c r="AE100" s="258"/>
      <c r="AF100" s="258"/>
      <c r="AG100" s="258"/>
      <c r="AH100" s="258"/>
      <c r="AI100" s="258"/>
    </row>
    <row r="101" spans="1:35">
      <c r="A101" s="258"/>
      <c r="B101" s="258"/>
      <c r="C101" s="258"/>
      <c r="D101" s="258"/>
      <c r="E101" s="258"/>
      <c r="F101" s="258"/>
      <c r="G101" s="258"/>
      <c r="H101" s="258"/>
      <c r="I101" s="258"/>
      <c r="J101" s="258"/>
      <c r="K101" s="258"/>
      <c r="L101" s="258"/>
      <c r="M101" s="293"/>
      <c r="N101" s="258"/>
      <c r="O101" s="293"/>
      <c r="P101" s="258"/>
      <c r="Q101" s="293"/>
      <c r="R101" s="258"/>
      <c r="S101" s="293"/>
      <c r="T101" s="258"/>
      <c r="U101" s="293"/>
      <c r="V101" s="258"/>
      <c r="W101" s="258"/>
      <c r="X101" s="258"/>
      <c r="Y101" s="258"/>
      <c r="Z101" s="258"/>
      <c r="AA101" s="258"/>
      <c r="AB101" s="258"/>
      <c r="AC101" s="258"/>
      <c r="AD101" s="258"/>
      <c r="AE101" s="258"/>
      <c r="AF101" s="258"/>
      <c r="AG101" s="258"/>
      <c r="AH101" s="258"/>
      <c r="AI101" s="258"/>
    </row>
    <row r="102" spans="1:35">
      <c r="A102" s="258"/>
      <c r="B102" s="258"/>
      <c r="C102" s="258"/>
      <c r="D102" s="258"/>
      <c r="E102" s="258"/>
      <c r="F102" s="258"/>
      <c r="G102" s="258"/>
      <c r="H102" s="258"/>
      <c r="I102" s="258"/>
      <c r="J102" s="258"/>
      <c r="K102" s="258"/>
      <c r="L102" s="258"/>
      <c r="M102" s="293"/>
      <c r="N102" s="258"/>
      <c r="O102" s="293"/>
      <c r="P102" s="258"/>
      <c r="Q102" s="293"/>
      <c r="R102" s="258"/>
      <c r="S102" s="293"/>
      <c r="T102" s="258"/>
      <c r="U102" s="293"/>
      <c r="V102" s="258"/>
      <c r="W102" s="258"/>
      <c r="X102" s="258"/>
      <c r="Y102" s="258"/>
      <c r="Z102" s="258"/>
      <c r="AA102" s="258"/>
      <c r="AB102" s="258"/>
      <c r="AC102" s="258"/>
      <c r="AD102" s="258"/>
      <c r="AE102" s="258"/>
      <c r="AF102" s="258"/>
      <c r="AG102" s="258"/>
      <c r="AH102" s="258"/>
      <c r="AI102" s="258"/>
    </row>
    <row r="103" spans="1:35">
      <c r="A103" s="258"/>
      <c r="B103" s="258"/>
      <c r="C103" s="258"/>
      <c r="D103" s="258"/>
      <c r="E103" s="258"/>
      <c r="F103" s="258"/>
      <c r="G103" s="258"/>
      <c r="H103" s="258"/>
      <c r="I103" s="258"/>
      <c r="J103" s="258"/>
      <c r="K103" s="258"/>
      <c r="L103" s="258"/>
      <c r="M103" s="293"/>
      <c r="N103" s="258"/>
      <c r="O103" s="293"/>
      <c r="P103" s="258"/>
      <c r="Q103" s="293"/>
      <c r="R103" s="258"/>
      <c r="S103" s="293"/>
      <c r="T103" s="258"/>
      <c r="U103" s="293"/>
      <c r="V103" s="258"/>
      <c r="W103" s="258"/>
      <c r="X103" s="258"/>
      <c r="Y103" s="258"/>
      <c r="Z103" s="258"/>
      <c r="AA103" s="258"/>
      <c r="AB103" s="258"/>
      <c r="AC103" s="258"/>
      <c r="AD103" s="258"/>
      <c r="AE103" s="258"/>
      <c r="AF103" s="258"/>
      <c r="AG103" s="258"/>
      <c r="AH103" s="258"/>
      <c r="AI103" s="258"/>
    </row>
    <row r="104" spans="1:35">
      <c r="A104" s="258"/>
      <c r="B104" s="258"/>
      <c r="C104" s="258"/>
      <c r="D104" s="258"/>
      <c r="E104" s="258"/>
      <c r="F104" s="258"/>
      <c r="G104" s="258"/>
      <c r="H104" s="258"/>
      <c r="I104" s="258"/>
      <c r="J104" s="258"/>
      <c r="K104" s="258"/>
      <c r="L104" s="258"/>
      <c r="M104" s="293"/>
      <c r="N104" s="258"/>
      <c r="O104" s="293"/>
      <c r="P104" s="258"/>
      <c r="Q104" s="293"/>
      <c r="R104" s="258"/>
      <c r="S104" s="293"/>
      <c r="T104" s="258"/>
      <c r="U104" s="293"/>
      <c r="V104" s="258"/>
      <c r="W104" s="258"/>
      <c r="X104" s="258"/>
      <c r="Y104" s="258"/>
      <c r="Z104" s="258"/>
      <c r="AA104" s="258"/>
      <c r="AB104" s="258"/>
      <c r="AC104" s="258"/>
      <c r="AD104" s="258"/>
      <c r="AE104" s="258"/>
      <c r="AF104" s="258"/>
      <c r="AG104" s="258"/>
      <c r="AH104" s="258"/>
      <c r="AI104" s="258"/>
    </row>
    <row r="105" spans="1:35">
      <c r="A105" s="258"/>
      <c r="B105" s="258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93"/>
      <c r="N105" s="258"/>
      <c r="O105" s="293"/>
      <c r="P105" s="258"/>
      <c r="Q105" s="293"/>
      <c r="R105" s="258"/>
      <c r="S105" s="293"/>
      <c r="T105" s="258"/>
      <c r="U105" s="293"/>
      <c r="V105" s="258"/>
      <c r="W105" s="258"/>
      <c r="X105" s="258"/>
      <c r="Y105" s="258"/>
      <c r="Z105" s="258"/>
      <c r="AA105" s="258"/>
      <c r="AB105" s="258"/>
      <c r="AC105" s="258"/>
      <c r="AD105" s="258"/>
      <c r="AE105" s="258"/>
      <c r="AF105" s="258"/>
      <c r="AG105" s="258"/>
      <c r="AH105" s="258"/>
      <c r="AI105" s="258"/>
    </row>
    <row r="106" spans="1:35">
      <c r="A106" s="258"/>
      <c r="B106" s="258"/>
      <c r="C106" s="258"/>
      <c r="D106" s="258"/>
      <c r="E106" s="258"/>
      <c r="F106" s="258"/>
      <c r="G106" s="258"/>
      <c r="H106" s="258"/>
      <c r="I106" s="258"/>
      <c r="J106" s="258"/>
      <c r="K106" s="258"/>
      <c r="L106" s="258"/>
      <c r="M106" s="293"/>
      <c r="N106" s="258"/>
      <c r="O106" s="293"/>
      <c r="P106" s="258"/>
      <c r="Q106" s="293"/>
      <c r="R106" s="258"/>
      <c r="S106" s="293"/>
      <c r="T106" s="258"/>
      <c r="U106" s="293"/>
      <c r="V106" s="258"/>
      <c r="W106" s="258"/>
      <c r="X106" s="258"/>
      <c r="Y106" s="258"/>
      <c r="Z106" s="258"/>
      <c r="AA106" s="258"/>
      <c r="AB106" s="258"/>
      <c r="AC106" s="258"/>
      <c r="AD106" s="258"/>
      <c r="AE106" s="258"/>
      <c r="AF106" s="258"/>
      <c r="AG106" s="258"/>
      <c r="AH106" s="258"/>
      <c r="AI106" s="258"/>
    </row>
    <row r="107" spans="1:35">
      <c r="A107" s="258"/>
      <c r="B107" s="258"/>
      <c r="C107" s="258"/>
      <c r="D107" s="258"/>
      <c r="E107" s="258"/>
      <c r="F107" s="258"/>
      <c r="G107" s="258"/>
      <c r="H107" s="258"/>
      <c r="I107" s="258"/>
      <c r="J107" s="258"/>
      <c r="K107" s="258"/>
      <c r="L107" s="258"/>
      <c r="M107" s="293"/>
      <c r="N107" s="258"/>
      <c r="O107" s="293"/>
      <c r="P107" s="258"/>
      <c r="Q107" s="293"/>
      <c r="R107" s="258"/>
      <c r="S107" s="293"/>
      <c r="T107" s="258"/>
      <c r="U107" s="293"/>
      <c r="V107" s="258"/>
      <c r="W107" s="258"/>
      <c r="X107" s="258"/>
      <c r="Y107" s="258"/>
      <c r="Z107" s="258"/>
      <c r="AA107" s="258"/>
      <c r="AB107" s="258"/>
      <c r="AC107" s="258"/>
      <c r="AD107" s="258"/>
      <c r="AE107" s="258"/>
      <c r="AF107" s="258"/>
      <c r="AG107" s="258"/>
      <c r="AH107" s="258"/>
      <c r="AI107" s="258"/>
    </row>
    <row r="108" spans="1:35">
      <c r="A108" s="258"/>
      <c r="B108" s="258"/>
      <c r="C108" s="258"/>
      <c r="D108" s="258"/>
      <c r="E108" s="258"/>
      <c r="F108" s="258"/>
      <c r="G108" s="258"/>
      <c r="H108" s="258"/>
      <c r="I108" s="258"/>
      <c r="J108" s="258"/>
      <c r="K108" s="258"/>
      <c r="L108" s="258"/>
      <c r="M108" s="293"/>
      <c r="N108" s="258"/>
      <c r="O108" s="293"/>
      <c r="P108" s="258"/>
      <c r="Q108" s="293"/>
      <c r="R108" s="258"/>
      <c r="S108" s="293"/>
      <c r="T108" s="258"/>
      <c r="U108" s="293"/>
      <c r="V108" s="258"/>
      <c r="W108" s="258"/>
      <c r="X108" s="258"/>
      <c r="Y108" s="258"/>
      <c r="Z108" s="258"/>
      <c r="AA108" s="258"/>
      <c r="AB108" s="258"/>
      <c r="AC108" s="258"/>
      <c r="AD108" s="258"/>
      <c r="AE108" s="258"/>
      <c r="AF108" s="258"/>
      <c r="AG108" s="258"/>
      <c r="AH108" s="258"/>
      <c r="AI108" s="258"/>
    </row>
    <row r="109" spans="1:35">
      <c r="A109" s="258"/>
      <c r="B109" s="258"/>
      <c r="C109" s="258"/>
      <c r="D109" s="258"/>
      <c r="E109" s="258"/>
      <c r="F109" s="258"/>
      <c r="G109" s="258"/>
      <c r="H109" s="258"/>
      <c r="I109" s="258"/>
      <c r="J109" s="258"/>
      <c r="K109" s="258"/>
      <c r="L109" s="258"/>
      <c r="M109" s="293"/>
      <c r="N109" s="258"/>
      <c r="O109" s="293"/>
      <c r="P109" s="258"/>
      <c r="Q109" s="293"/>
      <c r="R109" s="258"/>
      <c r="S109" s="293"/>
      <c r="T109" s="258"/>
      <c r="U109" s="293"/>
      <c r="V109" s="258"/>
      <c r="W109" s="258"/>
      <c r="X109" s="258"/>
      <c r="Y109" s="258"/>
      <c r="Z109" s="258"/>
      <c r="AA109" s="258"/>
      <c r="AB109" s="258"/>
      <c r="AC109" s="258"/>
      <c r="AD109" s="258"/>
      <c r="AE109" s="258"/>
      <c r="AF109" s="258"/>
      <c r="AG109" s="258"/>
      <c r="AH109" s="258"/>
      <c r="AI109" s="258"/>
    </row>
    <row r="110" spans="1:35">
      <c r="A110" s="258"/>
      <c r="B110" s="258"/>
      <c r="C110" s="258"/>
      <c r="D110" s="258"/>
      <c r="E110" s="258"/>
      <c r="F110" s="258"/>
      <c r="G110" s="258"/>
      <c r="H110" s="258"/>
      <c r="I110" s="258"/>
      <c r="J110" s="258"/>
      <c r="K110" s="258"/>
      <c r="L110" s="258"/>
      <c r="M110" s="293"/>
      <c r="N110" s="258"/>
      <c r="O110" s="293"/>
      <c r="P110" s="258"/>
      <c r="Q110" s="293"/>
      <c r="R110" s="258"/>
      <c r="S110" s="293"/>
      <c r="T110" s="258"/>
      <c r="U110" s="293"/>
      <c r="V110" s="258"/>
      <c r="W110" s="258"/>
      <c r="X110" s="258"/>
      <c r="Y110" s="258"/>
      <c r="Z110" s="258"/>
      <c r="AA110" s="258"/>
      <c r="AB110" s="258"/>
      <c r="AC110" s="258"/>
      <c r="AD110" s="258"/>
      <c r="AE110" s="258"/>
      <c r="AF110" s="258"/>
      <c r="AG110" s="258"/>
      <c r="AH110" s="258"/>
      <c r="AI110" s="258"/>
    </row>
    <row r="111" spans="1:35">
      <c r="A111" s="258"/>
      <c r="B111" s="258"/>
      <c r="C111" s="258"/>
      <c r="D111" s="258"/>
      <c r="E111" s="258"/>
      <c r="F111" s="258"/>
      <c r="G111" s="258"/>
      <c r="H111" s="258"/>
      <c r="I111" s="258"/>
      <c r="J111" s="258"/>
      <c r="K111" s="258"/>
      <c r="L111" s="258"/>
      <c r="M111" s="293"/>
      <c r="N111" s="258"/>
      <c r="O111" s="293"/>
      <c r="P111" s="258"/>
      <c r="Q111" s="293"/>
      <c r="R111" s="258"/>
      <c r="S111" s="293"/>
      <c r="T111" s="258"/>
      <c r="U111" s="293"/>
      <c r="V111" s="258"/>
      <c r="W111" s="258"/>
      <c r="X111" s="258"/>
      <c r="Y111" s="258"/>
      <c r="Z111" s="258"/>
      <c r="AA111" s="258"/>
      <c r="AB111" s="258"/>
      <c r="AC111" s="258"/>
      <c r="AD111" s="258"/>
      <c r="AE111" s="258"/>
      <c r="AF111" s="258"/>
      <c r="AG111" s="258"/>
      <c r="AH111" s="258"/>
      <c r="AI111" s="258"/>
    </row>
    <row r="112" spans="1:35">
      <c r="A112" s="258"/>
      <c r="B112" s="258"/>
      <c r="C112" s="258"/>
      <c r="D112" s="258"/>
      <c r="E112" s="258"/>
      <c r="F112" s="258"/>
      <c r="G112" s="258"/>
      <c r="H112" s="258"/>
      <c r="I112" s="258"/>
      <c r="J112" s="258"/>
      <c r="K112" s="258"/>
      <c r="L112" s="258"/>
      <c r="M112" s="293"/>
      <c r="N112" s="258"/>
      <c r="O112" s="293"/>
      <c r="P112" s="258"/>
      <c r="Q112" s="293"/>
      <c r="R112" s="258"/>
      <c r="S112" s="293"/>
      <c r="T112" s="258"/>
      <c r="U112" s="293"/>
      <c r="V112" s="258"/>
      <c r="W112" s="258"/>
      <c r="X112" s="258"/>
      <c r="Y112" s="258"/>
      <c r="Z112" s="258"/>
      <c r="AA112" s="258"/>
      <c r="AB112" s="258"/>
      <c r="AC112" s="258"/>
      <c r="AD112" s="258"/>
      <c r="AE112" s="258"/>
      <c r="AF112" s="258"/>
      <c r="AG112" s="258"/>
      <c r="AH112" s="258"/>
      <c r="AI112" s="258"/>
    </row>
    <row r="113" spans="1:35">
      <c r="A113" s="258"/>
      <c r="B113" s="258"/>
      <c r="C113" s="258"/>
      <c r="D113" s="258"/>
      <c r="E113" s="258"/>
      <c r="F113" s="258"/>
      <c r="G113" s="258"/>
      <c r="H113" s="258"/>
      <c r="I113" s="258"/>
      <c r="J113" s="258"/>
      <c r="K113" s="258"/>
      <c r="L113" s="258"/>
      <c r="M113" s="293"/>
      <c r="N113" s="258"/>
      <c r="O113" s="293"/>
      <c r="P113" s="258"/>
      <c r="Q113" s="293"/>
      <c r="R113" s="258"/>
      <c r="S113" s="293"/>
      <c r="T113" s="258"/>
      <c r="U113" s="293"/>
      <c r="V113" s="258"/>
      <c r="W113" s="258"/>
      <c r="X113" s="258"/>
      <c r="Y113" s="258"/>
      <c r="Z113" s="258"/>
      <c r="AA113" s="258"/>
      <c r="AB113" s="258"/>
      <c r="AC113" s="258"/>
      <c r="AD113" s="258"/>
      <c r="AE113" s="258"/>
      <c r="AF113" s="258"/>
      <c r="AG113" s="258"/>
      <c r="AH113" s="258"/>
      <c r="AI113" s="258"/>
    </row>
    <row r="114" spans="1:35">
      <c r="A114" s="258"/>
      <c r="B114" s="258"/>
      <c r="C114" s="258"/>
      <c r="D114" s="258"/>
      <c r="E114" s="258"/>
      <c r="F114" s="258"/>
      <c r="G114" s="258"/>
      <c r="H114" s="258"/>
      <c r="I114" s="258"/>
      <c r="J114" s="258"/>
      <c r="K114" s="258"/>
      <c r="L114" s="258"/>
      <c r="M114" s="293"/>
      <c r="N114" s="258"/>
      <c r="O114" s="293"/>
      <c r="P114" s="258"/>
      <c r="Q114" s="293"/>
      <c r="R114" s="258"/>
      <c r="S114" s="293"/>
      <c r="T114" s="258"/>
      <c r="U114" s="293"/>
      <c r="V114" s="258"/>
      <c r="W114" s="258"/>
      <c r="X114" s="258"/>
      <c r="Y114" s="258"/>
      <c r="Z114" s="258"/>
      <c r="AA114" s="258"/>
      <c r="AB114" s="258"/>
      <c r="AC114" s="258"/>
      <c r="AD114" s="258"/>
      <c r="AE114" s="258"/>
      <c r="AF114" s="258"/>
      <c r="AG114" s="258"/>
      <c r="AH114" s="258"/>
      <c r="AI114" s="258"/>
    </row>
    <row r="115" spans="1:35">
      <c r="A115" s="258"/>
      <c r="B115" s="258"/>
      <c r="C115" s="258"/>
      <c r="D115" s="258"/>
      <c r="E115" s="258"/>
      <c r="F115" s="258"/>
      <c r="G115" s="258"/>
      <c r="H115" s="258"/>
      <c r="I115" s="258"/>
      <c r="J115" s="258"/>
      <c r="K115" s="258"/>
      <c r="L115" s="258"/>
      <c r="M115" s="293"/>
      <c r="N115" s="258"/>
      <c r="O115" s="293"/>
      <c r="P115" s="258"/>
      <c r="Q115" s="293"/>
      <c r="R115" s="258"/>
      <c r="S115" s="293"/>
      <c r="T115" s="258"/>
      <c r="U115" s="293"/>
      <c r="V115" s="258"/>
      <c r="W115" s="258"/>
      <c r="X115" s="258"/>
      <c r="Y115" s="258"/>
      <c r="Z115" s="258"/>
      <c r="AA115" s="258"/>
      <c r="AB115" s="258"/>
      <c r="AC115" s="258"/>
      <c r="AD115" s="258"/>
      <c r="AE115" s="258"/>
      <c r="AF115" s="258"/>
      <c r="AG115" s="258"/>
      <c r="AH115" s="258"/>
      <c r="AI115" s="258"/>
    </row>
    <row r="116" spans="1:35">
      <c r="A116" s="258"/>
      <c r="B116" s="258"/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93"/>
      <c r="N116" s="258"/>
      <c r="O116" s="293"/>
      <c r="P116" s="258"/>
      <c r="Q116" s="293"/>
      <c r="R116" s="258"/>
      <c r="S116" s="293"/>
      <c r="T116" s="258"/>
      <c r="U116" s="293"/>
      <c r="V116" s="258"/>
      <c r="W116" s="258"/>
      <c r="X116" s="258"/>
      <c r="Y116" s="258"/>
      <c r="Z116" s="258"/>
      <c r="AA116" s="258"/>
      <c r="AB116" s="258"/>
      <c r="AC116" s="258"/>
      <c r="AD116" s="258"/>
      <c r="AE116" s="258"/>
      <c r="AF116" s="258"/>
      <c r="AG116" s="258"/>
      <c r="AH116" s="258"/>
      <c r="AI116" s="258"/>
    </row>
    <row r="117" spans="1:35">
      <c r="A117" s="258"/>
      <c r="B117" s="258"/>
      <c r="C117" s="258"/>
      <c r="D117" s="258"/>
      <c r="E117" s="258"/>
      <c r="F117" s="258"/>
      <c r="G117" s="258"/>
      <c r="H117" s="258"/>
      <c r="I117" s="258"/>
      <c r="J117" s="258"/>
      <c r="K117" s="258"/>
      <c r="L117" s="258"/>
      <c r="M117" s="293"/>
      <c r="N117" s="258"/>
      <c r="O117" s="293"/>
      <c r="P117" s="258"/>
      <c r="Q117" s="293"/>
      <c r="R117" s="258"/>
      <c r="S117" s="293"/>
      <c r="T117" s="258"/>
      <c r="U117" s="293"/>
      <c r="V117" s="258"/>
      <c r="W117" s="258"/>
      <c r="X117" s="258"/>
      <c r="Y117" s="258"/>
      <c r="Z117" s="258"/>
      <c r="AA117" s="258"/>
      <c r="AB117" s="258"/>
      <c r="AC117" s="258"/>
      <c r="AD117" s="258"/>
      <c r="AE117" s="258"/>
      <c r="AF117" s="258"/>
      <c r="AG117" s="258"/>
      <c r="AH117" s="258"/>
      <c r="AI117" s="258"/>
    </row>
    <row r="118" spans="1:35">
      <c r="A118" s="258"/>
      <c r="B118" s="258"/>
      <c r="C118" s="258"/>
      <c r="D118" s="258"/>
      <c r="E118" s="258"/>
      <c r="F118" s="258"/>
      <c r="G118" s="258"/>
      <c r="H118" s="258"/>
      <c r="I118" s="258"/>
      <c r="J118" s="258"/>
      <c r="K118" s="258"/>
      <c r="L118" s="258"/>
      <c r="M118" s="293"/>
      <c r="N118" s="258"/>
      <c r="O118" s="293"/>
      <c r="P118" s="258"/>
      <c r="Q118" s="293"/>
      <c r="R118" s="258"/>
      <c r="S118" s="293"/>
      <c r="T118" s="258"/>
      <c r="U118" s="293"/>
      <c r="V118" s="258"/>
      <c r="W118" s="258"/>
      <c r="X118" s="258"/>
      <c r="Y118" s="258"/>
      <c r="Z118" s="258"/>
      <c r="AA118" s="258"/>
      <c r="AB118" s="258"/>
      <c r="AC118" s="258"/>
      <c r="AD118" s="258"/>
      <c r="AE118" s="258"/>
      <c r="AF118" s="258"/>
      <c r="AG118" s="258"/>
      <c r="AH118" s="258"/>
      <c r="AI118" s="258"/>
    </row>
    <row r="119" spans="1:35">
      <c r="A119" s="258"/>
      <c r="B119" s="258"/>
      <c r="C119" s="258"/>
      <c r="D119" s="258"/>
      <c r="E119" s="258"/>
      <c r="F119" s="258"/>
      <c r="G119" s="258"/>
      <c r="H119" s="258"/>
      <c r="I119" s="258"/>
      <c r="J119" s="258"/>
      <c r="K119" s="258"/>
      <c r="L119" s="258"/>
      <c r="M119" s="293"/>
      <c r="N119" s="258"/>
      <c r="O119" s="293"/>
      <c r="P119" s="258"/>
      <c r="Q119" s="293"/>
      <c r="R119" s="258"/>
      <c r="S119" s="293"/>
      <c r="T119" s="258"/>
      <c r="U119" s="293"/>
      <c r="V119" s="258"/>
      <c r="W119" s="258"/>
      <c r="X119" s="258"/>
      <c r="Y119" s="258"/>
      <c r="Z119" s="258"/>
      <c r="AA119" s="258"/>
      <c r="AB119" s="258"/>
      <c r="AC119" s="258"/>
      <c r="AD119" s="258"/>
      <c r="AE119" s="258"/>
      <c r="AF119" s="258"/>
      <c r="AG119" s="258"/>
      <c r="AH119" s="258"/>
      <c r="AI119" s="258"/>
    </row>
    <row r="120" spans="1:35">
      <c r="A120" s="258"/>
      <c r="B120" s="258"/>
      <c r="C120" s="258"/>
      <c r="D120" s="258"/>
      <c r="E120" s="258"/>
      <c r="F120" s="258"/>
      <c r="G120" s="258"/>
      <c r="H120" s="258"/>
      <c r="I120" s="258"/>
      <c r="J120" s="258"/>
      <c r="K120" s="258"/>
      <c r="L120" s="258"/>
      <c r="M120" s="293"/>
      <c r="N120" s="258"/>
      <c r="O120" s="293"/>
      <c r="P120" s="258"/>
      <c r="Q120" s="293"/>
      <c r="R120" s="258"/>
      <c r="S120" s="293"/>
      <c r="T120" s="258"/>
      <c r="U120" s="293"/>
      <c r="V120" s="258"/>
      <c r="W120" s="258"/>
      <c r="X120" s="258"/>
      <c r="Y120" s="258"/>
      <c r="Z120" s="258"/>
      <c r="AA120" s="258"/>
      <c r="AB120" s="258"/>
      <c r="AC120" s="258"/>
      <c r="AD120" s="258"/>
      <c r="AE120" s="258"/>
      <c r="AF120" s="258"/>
      <c r="AG120" s="258"/>
      <c r="AH120" s="258"/>
      <c r="AI120" s="258"/>
    </row>
    <row r="121" spans="1:35">
      <c r="A121" s="258"/>
      <c r="B121" s="258"/>
      <c r="C121" s="258"/>
      <c r="D121" s="258"/>
      <c r="E121" s="258"/>
      <c r="F121" s="258"/>
      <c r="G121" s="258"/>
      <c r="H121" s="258"/>
      <c r="I121" s="258"/>
      <c r="J121" s="258"/>
      <c r="K121" s="258"/>
      <c r="L121" s="258"/>
      <c r="M121" s="293"/>
      <c r="N121" s="258"/>
      <c r="O121" s="293"/>
      <c r="P121" s="258"/>
      <c r="Q121" s="293"/>
      <c r="R121" s="258"/>
      <c r="S121" s="293"/>
      <c r="T121" s="258"/>
      <c r="U121" s="293"/>
      <c r="V121" s="258"/>
      <c r="W121" s="258"/>
      <c r="X121" s="258"/>
      <c r="Y121" s="258"/>
      <c r="Z121" s="258"/>
      <c r="AA121" s="258"/>
      <c r="AB121" s="258"/>
      <c r="AC121" s="258"/>
      <c r="AD121" s="258"/>
      <c r="AE121" s="258"/>
      <c r="AF121" s="258"/>
      <c r="AG121" s="258"/>
      <c r="AH121" s="258"/>
      <c r="AI121" s="258"/>
    </row>
    <row r="122" spans="1:35">
      <c r="A122" s="258"/>
      <c r="B122" s="258"/>
      <c r="C122" s="258"/>
      <c r="D122" s="258"/>
      <c r="E122" s="258"/>
      <c r="F122" s="258"/>
      <c r="G122" s="258"/>
      <c r="H122" s="258"/>
      <c r="I122" s="258"/>
      <c r="J122" s="258"/>
      <c r="K122" s="258"/>
      <c r="L122" s="258"/>
      <c r="M122" s="293"/>
      <c r="N122" s="258"/>
      <c r="O122" s="293"/>
      <c r="P122" s="258"/>
      <c r="Q122" s="293"/>
      <c r="R122" s="258"/>
      <c r="S122" s="293"/>
      <c r="T122" s="258"/>
      <c r="U122" s="293"/>
      <c r="V122" s="258"/>
      <c r="W122" s="258"/>
      <c r="X122" s="258"/>
      <c r="Y122" s="258"/>
      <c r="Z122" s="258"/>
      <c r="AA122" s="258"/>
      <c r="AB122" s="258"/>
      <c r="AC122" s="258"/>
      <c r="AD122" s="258"/>
      <c r="AE122" s="258"/>
      <c r="AF122" s="258"/>
      <c r="AG122" s="258"/>
      <c r="AH122" s="258"/>
      <c r="AI122" s="258"/>
    </row>
    <row r="123" spans="1:35">
      <c r="A123" s="258"/>
      <c r="B123" s="258"/>
      <c r="C123" s="258"/>
      <c r="D123" s="258"/>
      <c r="E123" s="258"/>
      <c r="F123" s="258"/>
      <c r="G123" s="258"/>
      <c r="H123" s="258"/>
      <c r="I123" s="258"/>
      <c r="J123" s="258"/>
      <c r="K123" s="258"/>
      <c r="L123" s="258"/>
      <c r="M123" s="293"/>
      <c r="N123" s="258"/>
      <c r="O123" s="293"/>
      <c r="P123" s="258"/>
      <c r="Q123" s="293"/>
      <c r="R123" s="258"/>
      <c r="S123" s="293"/>
      <c r="T123" s="258"/>
      <c r="U123" s="293"/>
      <c r="V123" s="258"/>
      <c r="W123" s="258"/>
      <c r="X123" s="258"/>
      <c r="Y123" s="258"/>
      <c r="Z123" s="258"/>
      <c r="AA123" s="258"/>
      <c r="AB123" s="258"/>
      <c r="AC123" s="258"/>
      <c r="AD123" s="258"/>
      <c r="AE123" s="258"/>
      <c r="AF123" s="258"/>
      <c r="AG123" s="258"/>
      <c r="AH123" s="258"/>
      <c r="AI123" s="258"/>
    </row>
    <row r="124" spans="1:35">
      <c r="A124" s="258"/>
      <c r="B124" s="258"/>
      <c r="C124" s="258"/>
      <c r="D124" s="258"/>
      <c r="E124" s="258"/>
      <c r="F124" s="258"/>
      <c r="G124" s="258"/>
      <c r="H124" s="258"/>
      <c r="I124" s="258"/>
      <c r="J124" s="258"/>
      <c r="K124" s="258"/>
      <c r="L124" s="258"/>
      <c r="M124" s="293"/>
      <c r="N124" s="258"/>
      <c r="O124" s="293"/>
      <c r="P124" s="258"/>
      <c r="Q124" s="293"/>
      <c r="R124" s="258"/>
      <c r="S124" s="293"/>
      <c r="T124" s="258"/>
      <c r="U124" s="293"/>
      <c r="V124" s="258"/>
      <c r="W124" s="258"/>
      <c r="X124" s="258"/>
      <c r="Y124" s="258"/>
      <c r="Z124" s="258"/>
      <c r="AA124" s="258"/>
      <c r="AB124" s="258"/>
      <c r="AC124" s="258"/>
      <c r="AD124" s="258"/>
      <c r="AE124" s="258"/>
      <c r="AF124" s="258"/>
      <c r="AG124" s="258"/>
      <c r="AH124" s="258"/>
      <c r="AI124" s="258"/>
    </row>
    <row r="125" spans="1:35">
      <c r="A125" s="258"/>
      <c r="B125" s="258"/>
      <c r="C125" s="258"/>
      <c r="D125" s="258"/>
      <c r="E125" s="258"/>
      <c r="F125" s="258"/>
      <c r="G125" s="258"/>
      <c r="H125" s="258"/>
      <c r="I125" s="258"/>
      <c r="J125" s="258"/>
      <c r="K125" s="258"/>
      <c r="L125" s="258"/>
      <c r="M125" s="293"/>
      <c r="N125" s="258"/>
      <c r="O125" s="293"/>
      <c r="P125" s="258"/>
      <c r="Q125" s="293"/>
      <c r="R125" s="258"/>
      <c r="S125" s="293"/>
      <c r="T125" s="258"/>
      <c r="U125" s="293"/>
      <c r="V125" s="258"/>
      <c r="W125" s="258"/>
      <c r="X125" s="258"/>
      <c r="Y125" s="258"/>
      <c r="Z125" s="258"/>
      <c r="AA125" s="258"/>
      <c r="AB125" s="258"/>
      <c r="AC125" s="258"/>
      <c r="AD125" s="258"/>
      <c r="AE125" s="258"/>
      <c r="AF125" s="258"/>
      <c r="AG125" s="258"/>
      <c r="AH125" s="258"/>
      <c r="AI125" s="258"/>
    </row>
    <row r="126" spans="1:35">
      <c r="A126" s="258"/>
      <c r="B126" s="258"/>
      <c r="C126" s="258"/>
      <c r="D126" s="258"/>
      <c r="E126" s="258"/>
      <c r="F126" s="258"/>
      <c r="G126" s="258"/>
      <c r="H126" s="258"/>
      <c r="I126" s="258"/>
      <c r="J126" s="258"/>
      <c r="K126" s="258"/>
      <c r="L126" s="258"/>
      <c r="M126" s="293"/>
      <c r="N126" s="258"/>
      <c r="O126" s="293"/>
      <c r="P126" s="258"/>
      <c r="Q126" s="293"/>
      <c r="R126" s="258"/>
      <c r="S126" s="293"/>
      <c r="T126" s="258"/>
      <c r="U126" s="293"/>
      <c r="V126" s="258"/>
      <c r="W126" s="258"/>
      <c r="X126" s="258"/>
      <c r="Y126" s="258"/>
      <c r="Z126" s="258"/>
      <c r="AA126" s="258"/>
      <c r="AB126" s="258"/>
      <c r="AC126" s="258"/>
      <c r="AD126" s="258"/>
      <c r="AE126" s="258"/>
      <c r="AF126" s="258"/>
      <c r="AG126" s="258"/>
      <c r="AH126" s="258"/>
      <c r="AI126" s="258"/>
    </row>
    <row r="127" spans="1:35">
      <c r="A127" s="258"/>
      <c r="B127" s="258"/>
      <c r="C127" s="258"/>
      <c r="D127" s="258"/>
      <c r="E127" s="258"/>
      <c r="F127" s="258"/>
      <c r="G127" s="258"/>
      <c r="H127" s="258"/>
      <c r="I127" s="258"/>
      <c r="J127" s="258"/>
      <c r="K127" s="258"/>
      <c r="L127" s="258"/>
      <c r="M127" s="293"/>
      <c r="N127" s="258"/>
      <c r="O127" s="293"/>
      <c r="P127" s="258"/>
      <c r="Q127" s="293"/>
      <c r="R127" s="258"/>
      <c r="S127" s="293"/>
      <c r="T127" s="258"/>
      <c r="U127" s="293"/>
      <c r="V127" s="258"/>
      <c r="W127" s="258"/>
      <c r="X127" s="258"/>
      <c r="Y127" s="258"/>
      <c r="Z127" s="258"/>
      <c r="AA127" s="258"/>
      <c r="AB127" s="258"/>
      <c r="AC127" s="258"/>
      <c r="AD127" s="258"/>
      <c r="AE127" s="258"/>
      <c r="AF127" s="258"/>
      <c r="AG127" s="258"/>
      <c r="AH127" s="258"/>
      <c r="AI127" s="258"/>
    </row>
    <row r="128" spans="1:35">
      <c r="A128" s="258"/>
      <c r="B128" s="258"/>
      <c r="C128" s="258"/>
      <c r="D128" s="258"/>
      <c r="E128" s="258"/>
      <c r="F128" s="258"/>
      <c r="G128" s="258"/>
      <c r="H128" s="258"/>
      <c r="I128" s="258"/>
      <c r="J128" s="258"/>
      <c r="K128" s="258"/>
      <c r="L128" s="258"/>
      <c r="M128" s="293"/>
      <c r="N128" s="258"/>
      <c r="O128" s="293"/>
      <c r="P128" s="258"/>
      <c r="Q128" s="293"/>
      <c r="R128" s="258"/>
      <c r="S128" s="293"/>
      <c r="T128" s="258"/>
      <c r="U128" s="293"/>
      <c r="V128" s="258"/>
      <c r="W128" s="258"/>
      <c r="X128" s="258"/>
      <c r="Y128" s="258"/>
      <c r="Z128" s="258"/>
      <c r="AA128" s="258"/>
      <c r="AB128" s="258"/>
      <c r="AC128" s="258"/>
      <c r="AD128" s="258"/>
      <c r="AE128" s="258"/>
      <c r="AF128" s="258"/>
      <c r="AG128" s="258"/>
      <c r="AH128" s="258"/>
      <c r="AI128" s="258"/>
    </row>
    <row r="129" spans="1:35">
      <c r="A129" s="258"/>
      <c r="B129" s="258"/>
      <c r="C129" s="258"/>
      <c r="D129" s="258"/>
      <c r="E129" s="258"/>
      <c r="F129" s="258"/>
      <c r="G129" s="258"/>
      <c r="H129" s="258"/>
      <c r="I129" s="258"/>
      <c r="J129" s="258"/>
      <c r="K129" s="258"/>
      <c r="L129" s="258"/>
      <c r="M129" s="293"/>
      <c r="N129" s="258"/>
      <c r="O129" s="293"/>
      <c r="P129" s="258"/>
      <c r="Q129" s="293"/>
      <c r="R129" s="258"/>
      <c r="S129" s="293"/>
      <c r="T129" s="258"/>
      <c r="U129" s="293"/>
      <c r="V129" s="258"/>
      <c r="W129" s="258"/>
      <c r="X129" s="258"/>
      <c r="Y129" s="258"/>
      <c r="Z129" s="258"/>
      <c r="AA129" s="258"/>
      <c r="AB129" s="258"/>
      <c r="AC129" s="258"/>
      <c r="AD129" s="258"/>
      <c r="AE129" s="258"/>
      <c r="AF129" s="258"/>
      <c r="AG129" s="258"/>
      <c r="AH129" s="258"/>
      <c r="AI129" s="258"/>
    </row>
    <row r="130" spans="1:35">
      <c r="A130" s="258"/>
      <c r="B130" s="258"/>
      <c r="C130" s="258"/>
      <c r="D130" s="258"/>
      <c r="E130" s="258"/>
      <c r="F130" s="258"/>
      <c r="G130" s="258"/>
      <c r="H130" s="258"/>
      <c r="I130" s="258"/>
      <c r="J130" s="258"/>
      <c r="K130" s="258"/>
      <c r="L130" s="258"/>
      <c r="M130" s="293"/>
      <c r="N130" s="258"/>
      <c r="O130" s="293"/>
      <c r="P130" s="258"/>
      <c r="Q130" s="293"/>
      <c r="R130" s="258"/>
      <c r="S130" s="293"/>
      <c r="T130" s="258"/>
      <c r="U130" s="293"/>
      <c r="V130" s="258"/>
      <c r="W130" s="258"/>
      <c r="X130" s="258"/>
      <c r="Y130" s="258"/>
      <c r="Z130" s="258"/>
      <c r="AA130" s="258"/>
      <c r="AB130" s="258"/>
      <c r="AC130" s="258"/>
      <c r="AD130" s="258"/>
      <c r="AE130" s="258"/>
      <c r="AF130" s="258"/>
      <c r="AG130" s="258"/>
      <c r="AH130" s="258"/>
      <c r="AI130" s="258"/>
    </row>
    <row r="131" spans="1:35">
      <c r="A131" s="258"/>
      <c r="B131" s="258"/>
      <c r="C131" s="258"/>
      <c r="D131" s="258"/>
      <c r="E131" s="258"/>
      <c r="F131" s="258"/>
      <c r="G131" s="258"/>
      <c r="H131" s="258"/>
      <c r="I131" s="258"/>
      <c r="J131" s="258"/>
      <c r="K131" s="258"/>
      <c r="L131" s="258"/>
      <c r="M131" s="293"/>
      <c r="N131" s="258"/>
      <c r="O131" s="293"/>
      <c r="P131" s="258"/>
      <c r="Q131" s="293"/>
      <c r="R131" s="258"/>
      <c r="S131" s="293"/>
      <c r="T131" s="258"/>
      <c r="U131" s="293"/>
      <c r="V131" s="258"/>
      <c r="W131" s="258"/>
      <c r="X131" s="258"/>
      <c r="Y131" s="258"/>
      <c r="Z131" s="258"/>
      <c r="AA131" s="258"/>
      <c r="AB131" s="258"/>
      <c r="AC131" s="258"/>
      <c r="AD131" s="258"/>
      <c r="AE131" s="258"/>
      <c r="AF131" s="258"/>
      <c r="AG131" s="258"/>
      <c r="AH131" s="258"/>
      <c r="AI131" s="258"/>
    </row>
    <row r="132" spans="1:35">
      <c r="A132" s="258"/>
      <c r="B132" s="258"/>
      <c r="C132" s="258"/>
      <c r="D132" s="258"/>
      <c r="E132" s="258"/>
      <c r="F132" s="258"/>
      <c r="G132" s="258"/>
      <c r="H132" s="258"/>
      <c r="I132" s="258"/>
      <c r="J132" s="258"/>
      <c r="K132" s="258"/>
      <c r="L132" s="258"/>
      <c r="M132" s="293"/>
      <c r="N132" s="258"/>
      <c r="O132" s="293"/>
      <c r="P132" s="258"/>
      <c r="Q132" s="293"/>
      <c r="R132" s="258"/>
      <c r="S132" s="293"/>
      <c r="T132" s="258"/>
      <c r="U132" s="293"/>
      <c r="V132" s="258"/>
      <c r="W132" s="258"/>
      <c r="X132" s="258"/>
      <c r="Y132" s="258"/>
      <c r="Z132" s="258"/>
      <c r="AA132" s="258"/>
      <c r="AB132" s="258"/>
      <c r="AC132" s="258"/>
      <c r="AD132" s="258"/>
      <c r="AE132" s="258"/>
      <c r="AF132" s="258"/>
      <c r="AG132" s="258"/>
      <c r="AH132" s="258"/>
      <c r="AI132" s="258"/>
    </row>
    <row r="133" spans="1:35">
      <c r="A133" s="258"/>
      <c r="B133" s="258"/>
      <c r="C133" s="258"/>
      <c r="D133" s="258"/>
      <c r="E133" s="258"/>
      <c r="F133" s="258"/>
      <c r="G133" s="258"/>
      <c r="H133" s="258"/>
      <c r="I133" s="258"/>
      <c r="J133" s="258"/>
      <c r="K133" s="258"/>
      <c r="L133" s="258"/>
      <c r="M133" s="293"/>
      <c r="N133" s="258"/>
      <c r="O133" s="293"/>
      <c r="P133" s="258"/>
      <c r="Q133" s="293"/>
      <c r="R133" s="258"/>
      <c r="S133" s="293"/>
      <c r="T133" s="258"/>
      <c r="U133" s="293"/>
      <c r="V133" s="258"/>
      <c r="W133" s="258"/>
      <c r="X133" s="258"/>
      <c r="Y133" s="258"/>
      <c r="Z133" s="258"/>
      <c r="AA133" s="258"/>
      <c r="AB133" s="258"/>
      <c r="AC133" s="258"/>
      <c r="AD133" s="258"/>
      <c r="AE133" s="258"/>
      <c r="AF133" s="258"/>
      <c r="AG133" s="258"/>
      <c r="AH133" s="258"/>
      <c r="AI133" s="258"/>
    </row>
    <row r="134" spans="1:35">
      <c r="A134" s="258"/>
      <c r="B134" s="258"/>
      <c r="C134" s="258"/>
      <c r="D134" s="258"/>
      <c r="E134" s="258"/>
      <c r="F134" s="258"/>
      <c r="G134" s="258"/>
      <c r="H134" s="258"/>
      <c r="I134" s="258"/>
      <c r="J134" s="258"/>
      <c r="K134" s="258"/>
      <c r="L134" s="258"/>
      <c r="M134" s="293"/>
      <c r="N134" s="258"/>
      <c r="O134" s="293"/>
      <c r="P134" s="258"/>
      <c r="Q134" s="293"/>
      <c r="R134" s="258"/>
      <c r="S134" s="293"/>
      <c r="T134" s="258"/>
      <c r="U134" s="293"/>
      <c r="V134" s="258"/>
      <c r="W134" s="258"/>
      <c r="X134" s="258"/>
      <c r="Y134" s="258"/>
      <c r="Z134" s="258"/>
      <c r="AA134" s="258"/>
      <c r="AB134" s="258"/>
      <c r="AC134" s="258"/>
      <c r="AD134" s="258"/>
      <c r="AE134" s="258"/>
      <c r="AF134" s="258"/>
      <c r="AG134" s="258"/>
      <c r="AH134" s="258"/>
      <c r="AI134" s="258"/>
    </row>
    <row r="135" spans="1:35">
      <c r="A135" s="258"/>
      <c r="B135" s="258"/>
      <c r="C135" s="258"/>
      <c r="D135" s="258"/>
      <c r="E135" s="258"/>
      <c r="F135" s="258"/>
      <c r="G135" s="258"/>
      <c r="H135" s="258"/>
      <c r="I135" s="258"/>
      <c r="J135" s="258"/>
      <c r="K135" s="258"/>
      <c r="L135" s="258"/>
      <c r="M135" s="293"/>
      <c r="N135" s="258"/>
      <c r="O135" s="293"/>
      <c r="P135" s="258"/>
      <c r="Q135" s="293"/>
      <c r="R135" s="258"/>
      <c r="S135" s="293"/>
      <c r="T135" s="258"/>
      <c r="U135" s="293"/>
      <c r="V135" s="258"/>
      <c r="W135" s="258"/>
      <c r="X135" s="258"/>
      <c r="Y135" s="258"/>
      <c r="Z135" s="258"/>
      <c r="AA135" s="258"/>
      <c r="AB135" s="258"/>
      <c r="AC135" s="258"/>
      <c r="AD135" s="258"/>
      <c r="AE135" s="258"/>
      <c r="AF135" s="258"/>
      <c r="AG135" s="258"/>
      <c r="AH135" s="258"/>
      <c r="AI135" s="258"/>
    </row>
    <row r="136" spans="1:35">
      <c r="A136" s="258"/>
      <c r="B136" s="258"/>
      <c r="C136" s="258"/>
      <c r="D136" s="258"/>
      <c r="E136" s="258"/>
      <c r="F136" s="258"/>
      <c r="G136" s="258"/>
      <c r="H136" s="258"/>
      <c r="I136" s="258"/>
      <c r="J136" s="258"/>
      <c r="K136" s="258"/>
      <c r="L136" s="258"/>
      <c r="M136" s="293"/>
      <c r="N136" s="258"/>
      <c r="O136" s="293"/>
      <c r="P136" s="258"/>
      <c r="Q136" s="293"/>
      <c r="R136" s="258"/>
      <c r="S136" s="293"/>
      <c r="T136" s="258"/>
      <c r="U136" s="293"/>
      <c r="V136" s="258"/>
      <c r="W136" s="258"/>
      <c r="X136" s="258"/>
      <c r="Y136" s="258"/>
      <c r="Z136" s="258"/>
      <c r="AA136" s="258"/>
      <c r="AB136" s="258"/>
      <c r="AC136" s="258"/>
      <c r="AD136" s="258"/>
      <c r="AE136" s="258"/>
      <c r="AF136" s="258"/>
      <c r="AG136" s="258"/>
      <c r="AH136" s="258"/>
      <c r="AI136" s="258"/>
    </row>
    <row r="137" spans="1:35">
      <c r="A137" s="258"/>
      <c r="B137" s="258"/>
      <c r="C137" s="258"/>
      <c r="D137" s="258"/>
      <c r="E137" s="258"/>
      <c r="F137" s="258"/>
      <c r="G137" s="258"/>
      <c r="H137" s="258"/>
      <c r="I137" s="258"/>
      <c r="J137" s="258"/>
      <c r="K137" s="258"/>
      <c r="L137" s="258"/>
      <c r="M137" s="293"/>
      <c r="N137" s="258"/>
      <c r="O137" s="293"/>
      <c r="P137" s="258"/>
      <c r="Q137" s="293"/>
      <c r="R137" s="258"/>
      <c r="S137" s="293"/>
      <c r="T137" s="258"/>
      <c r="U137" s="293"/>
      <c r="V137" s="258"/>
      <c r="W137" s="258"/>
      <c r="X137" s="258"/>
      <c r="Y137" s="258"/>
      <c r="Z137" s="258"/>
      <c r="AA137" s="258"/>
      <c r="AB137" s="258"/>
      <c r="AC137" s="258"/>
      <c r="AD137" s="258"/>
      <c r="AE137" s="258"/>
      <c r="AF137" s="258"/>
      <c r="AG137" s="258"/>
      <c r="AH137" s="258"/>
      <c r="AI137" s="258"/>
    </row>
    <row r="138" spans="1:35">
      <c r="A138" s="258"/>
      <c r="B138" s="258"/>
      <c r="C138" s="258"/>
      <c r="D138" s="258"/>
      <c r="E138" s="258"/>
      <c r="F138" s="258"/>
      <c r="G138" s="258"/>
      <c r="H138" s="258"/>
      <c r="I138" s="258"/>
      <c r="J138" s="258"/>
      <c r="K138" s="258"/>
      <c r="L138" s="258"/>
      <c r="M138" s="293"/>
      <c r="N138" s="258"/>
      <c r="O138" s="293"/>
      <c r="P138" s="258"/>
      <c r="Q138" s="293"/>
      <c r="R138" s="258"/>
      <c r="S138" s="293"/>
      <c r="T138" s="258"/>
      <c r="U138" s="293"/>
      <c r="V138" s="258"/>
      <c r="W138" s="258"/>
      <c r="X138" s="258"/>
      <c r="Y138" s="258"/>
      <c r="Z138" s="258"/>
      <c r="AA138" s="258"/>
      <c r="AB138" s="258"/>
      <c r="AC138" s="258"/>
      <c r="AD138" s="258"/>
      <c r="AE138" s="258"/>
      <c r="AF138" s="258"/>
      <c r="AG138" s="258"/>
      <c r="AH138" s="258"/>
      <c r="AI138" s="258"/>
    </row>
    <row r="139" spans="1:35">
      <c r="A139" s="258"/>
      <c r="B139" s="258"/>
      <c r="C139" s="258"/>
      <c r="D139" s="258"/>
      <c r="E139" s="258"/>
      <c r="F139" s="258"/>
      <c r="G139" s="258"/>
      <c r="H139" s="258"/>
      <c r="I139" s="258"/>
      <c r="J139" s="258"/>
      <c r="K139" s="258"/>
      <c r="L139" s="258"/>
      <c r="M139" s="293"/>
      <c r="N139" s="258"/>
      <c r="O139" s="293"/>
      <c r="P139" s="258"/>
      <c r="Q139" s="293"/>
      <c r="R139" s="258"/>
      <c r="S139" s="293"/>
      <c r="T139" s="258"/>
      <c r="U139" s="293"/>
      <c r="V139" s="258"/>
      <c r="W139" s="258"/>
      <c r="X139" s="258"/>
      <c r="Y139" s="258"/>
      <c r="Z139" s="258"/>
      <c r="AA139" s="258"/>
      <c r="AB139" s="258"/>
      <c r="AC139" s="258"/>
      <c r="AD139" s="258"/>
      <c r="AE139" s="258"/>
      <c r="AF139" s="258"/>
      <c r="AG139" s="258"/>
      <c r="AH139" s="258"/>
      <c r="AI139" s="258"/>
    </row>
    <row r="140" spans="1:35">
      <c r="A140" s="258"/>
      <c r="B140" s="258"/>
      <c r="C140" s="258"/>
      <c r="D140" s="258"/>
      <c r="E140" s="258"/>
      <c r="F140" s="258"/>
      <c r="G140" s="258"/>
      <c r="H140" s="258"/>
      <c r="I140" s="258"/>
      <c r="J140" s="258"/>
      <c r="K140" s="258"/>
      <c r="L140" s="258"/>
      <c r="M140" s="293"/>
      <c r="N140" s="258"/>
      <c r="O140" s="293"/>
      <c r="P140" s="258"/>
      <c r="Q140" s="293"/>
      <c r="R140" s="258"/>
      <c r="S140" s="293"/>
      <c r="T140" s="258"/>
      <c r="U140" s="293"/>
      <c r="V140" s="258"/>
      <c r="W140" s="258"/>
      <c r="X140" s="258"/>
      <c r="Y140" s="258"/>
      <c r="Z140" s="258"/>
      <c r="AA140" s="258"/>
      <c r="AB140" s="258"/>
      <c r="AC140" s="258"/>
      <c r="AD140" s="258"/>
      <c r="AE140" s="258"/>
      <c r="AF140" s="258"/>
      <c r="AG140" s="258"/>
      <c r="AH140" s="258"/>
      <c r="AI140" s="258"/>
    </row>
    <row r="141" spans="1:35">
      <c r="A141" s="258"/>
      <c r="B141" s="258"/>
      <c r="C141" s="258"/>
      <c r="D141" s="258"/>
      <c r="E141" s="258"/>
      <c r="F141" s="258"/>
      <c r="G141" s="258"/>
      <c r="H141" s="258"/>
      <c r="I141" s="258"/>
      <c r="J141" s="258"/>
      <c r="K141" s="258"/>
      <c r="L141" s="258"/>
      <c r="M141" s="293"/>
      <c r="N141" s="258"/>
      <c r="O141" s="293"/>
      <c r="P141" s="258"/>
      <c r="Q141" s="293"/>
      <c r="R141" s="258"/>
      <c r="S141" s="293"/>
      <c r="T141" s="258"/>
      <c r="U141" s="293"/>
      <c r="V141" s="258"/>
      <c r="W141" s="258"/>
      <c r="X141" s="258"/>
      <c r="Y141" s="258"/>
      <c r="Z141" s="258"/>
      <c r="AA141" s="258"/>
      <c r="AB141" s="258"/>
      <c r="AC141" s="258"/>
      <c r="AD141" s="258"/>
      <c r="AE141" s="258"/>
      <c r="AF141" s="258"/>
      <c r="AG141" s="258"/>
      <c r="AH141" s="258"/>
      <c r="AI141" s="258"/>
    </row>
    <row r="142" spans="1:35">
      <c r="A142" s="258"/>
      <c r="B142" s="258"/>
      <c r="C142" s="258"/>
      <c r="D142" s="258"/>
      <c r="E142" s="258"/>
      <c r="F142" s="258"/>
      <c r="G142" s="258"/>
      <c r="H142" s="258"/>
      <c r="I142" s="258"/>
      <c r="J142" s="258"/>
      <c r="K142" s="258"/>
      <c r="L142" s="258"/>
      <c r="M142" s="293"/>
      <c r="N142" s="258"/>
      <c r="O142" s="293"/>
      <c r="P142" s="258"/>
      <c r="Q142" s="293"/>
      <c r="R142" s="258"/>
      <c r="S142" s="293"/>
      <c r="T142" s="258"/>
      <c r="U142" s="293"/>
      <c r="V142" s="258"/>
      <c r="W142" s="258"/>
      <c r="X142" s="258"/>
      <c r="Y142" s="258"/>
      <c r="Z142" s="258"/>
      <c r="AA142" s="258"/>
      <c r="AB142" s="258"/>
      <c r="AC142" s="258"/>
      <c r="AD142" s="258"/>
      <c r="AE142" s="258"/>
      <c r="AF142" s="258"/>
      <c r="AG142" s="258"/>
      <c r="AH142" s="258"/>
      <c r="AI142" s="258"/>
    </row>
    <row r="143" spans="1:35">
      <c r="A143" s="258"/>
      <c r="B143" s="258"/>
      <c r="C143" s="258"/>
      <c r="D143" s="258"/>
      <c r="E143" s="258"/>
      <c r="F143" s="258"/>
      <c r="G143" s="258"/>
      <c r="H143" s="258"/>
      <c r="I143" s="258"/>
      <c r="J143" s="258"/>
      <c r="K143" s="258"/>
      <c r="L143" s="258"/>
      <c r="M143" s="293"/>
      <c r="N143" s="258"/>
      <c r="O143" s="293"/>
      <c r="P143" s="258"/>
      <c r="Q143" s="293"/>
      <c r="R143" s="258"/>
      <c r="S143" s="293"/>
      <c r="T143" s="258"/>
      <c r="U143" s="293"/>
      <c r="V143" s="258"/>
      <c r="W143" s="258"/>
      <c r="X143" s="258"/>
      <c r="Y143" s="258"/>
      <c r="Z143" s="258"/>
      <c r="AA143" s="258"/>
      <c r="AB143" s="258"/>
      <c r="AC143" s="258"/>
      <c r="AD143" s="258"/>
      <c r="AE143" s="258"/>
      <c r="AF143" s="258"/>
      <c r="AG143" s="258"/>
      <c r="AH143" s="258"/>
      <c r="AI143" s="258"/>
    </row>
    <row r="144" spans="1:35">
      <c r="A144" s="258"/>
      <c r="B144" s="258"/>
      <c r="C144" s="258"/>
      <c r="D144" s="258"/>
      <c r="E144" s="258"/>
      <c r="F144" s="258"/>
      <c r="G144" s="258"/>
      <c r="H144" s="258"/>
      <c r="I144" s="258"/>
      <c r="J144" s="258"/>
      <c r="K144" s="258"/>
      <c r="L144" s="258"/>
      <c r="M144" s="293"/>
      <c r="N144" s="258"/>
      <c r="O144" s="293"/>
      <c r="P144" s="258"/>
      <c r="Q144" s="293"/>
      <c r="R144" s="258"/>
      <c r="S144" s="293"/>
      <c r="T144" s="258"/>
      <c r="U144" s="293"/>
      <c r="V144" s="258"/>
      <c r="W144" s="258"/>
      <c r="X144" s="258"/>
      <c r="Y144" s="258"/>
      <c r="Z144" s="258"/>
      <c r="AA144" s="258"/>
      <c r="AB144" s="258"/>
      <c r="AC144" s="258"/>
      <c r="AD144" s="258"/>
      <c r="AE144" s="258"/>
      <c r="AF144" s="258"/>
      <c r="AG144" s="258"/>
      <c r="AH144" s="258"/>
      <c r="AI144" s="258"/>
    </row>
    <row r="145" spans="1:35">
      <c r="A145" s="258"/>
      <c r="B145" s="258"/>
      <c r="C145" s="258"/>
      <c r="D145" s="258"/>
      <c r="E145" s="258"/>
      <c r="F145" s="258"/>
      <c r="G145" s="258"/>
      <c r="H145" s="258"/>
      <c r="I145" s="258"/>
      <c r="J145" s="258"/>
      <c r="K145" s="258"/>
      <c r="L145" s="258"/>
      <c r="M145" s="293"/>
      <c r="N145" s="258"/>
      <c r="O145" s="293"/>
      <c r="P145" s="258"/>
      <c r="Q145" s="293"/>
      <c r="R145" s="258"/>
      <c r="S145" s="293"/>
      <c r="T145" s="258"/>
      <c r="U145" s="293"/>
      <c r="V145" s="258"/>
      <c r="W145" s="258"/>
      <c r="X145" s="258"/>
      <c r="Y145" s="258"/>
      <c r="Z145" s="258"/>
      <c r="AA145" s="258"/>
      <c r="AB145" s="258"/>
      <c r="AC145" s="258"/>
      <c r="AD145" s="258"/>
      <c r="AE145" s="258"/>
      <c r="AF145" s="258"/>
      <c r="AG145" s="258"/>
      <c r="AH145" s="258"/>
      <c r="AI145" s="258"/>
    </row>
    <row r="146" spans="1:35">
      <c r="A146" s="258"/>
      <c r="B146" s="258"/>
      <c r="C146" s="258"/>
      <c r="D146" s="258"/>
      <c r="E146" s="258"/>
      <c r="F146" s="258"/>
      <c r="G146" s="258"/>
      <c r="H146" s="258"/>
      <c r="I146" s="258"/>
      <c r="J146" s="258"/>
      <c r="K146" s="258"/>
      <c r="L146" s="258"/>
      <c r="M146" s="293"/>
      <c r="N146" s="258"/>
      <c r="O146" s="293"/>
      <c r="P146" s="258"/>
      <c r="Q146" s="293"/>
      <c r="R146" s="258"/>
      <c r="S146" s="293"/>
      <c r="T146" s="258"/>
      <c r="U146" s="293"/>
      <c r="V146" s="258"/>
      <c r="W146" s="258"/>
      <c r="X146" s="258"/>
      <c r="Y146" s="258"/>
      <c r="Z146" s="258"/>
      <c r="AA146" s="258"/>
      <c r="AB146" s="258"/>
      <c r="AC146" s="258"/>
      <c r="AD146" s="258"/>
      <c r="AE146" s="258"/>
      <c r="AF146" s="258"/>
      <c r="AG146" s="258"/>
      <c r="AH146" s="258"/>
      <c r="AI146" s="258"/>
    </row>
    <row r="147" spans="1:35">
      <c r="A147" s="258"/>
      <c r="B147" s="258"/>
      <c r="C147" s="258"/>
      <c r="D147" s="258"/>
      <c r="E147" s="258"/>
      <c r="F147" s="258"/>
      <c r="G147" s="258"/>
      <c r="H147" s="258"/>
      <c r="I147" s="258"/>
      <c r="J147" s="258"/>
      <c r="K147" s="258"/>
      <c r="L147" s="258"/>
      <c r="M147" s="293"/>
      <c r="N147" s="258"/>
      <c r="O147" s="293"/>
      <c r="P147" s="258"/>
      <c r="Q147" s="293"/>
      <c r="R147" s="258"/>
      <c r="S147" s="293"/>
      <c r="T147" s="258"/>
      <c r="U147" s="293"/>
      <c r="V147" s="258"/>
      <c r="W147" s="258"/>
      <c r="X147" s="258"/>
      <c r="Y147" s="258"/>
      <c r="Z147" s="258"/>
      <c r="AA147" s="258"/>
      <c r="AB147" s="258"/>
      <c r="AC147" s="258"/>
      <c r="AD147" s="258"/>
      <c r="AE147" s="258"/>
      <c r="AF147" s="258"/>
      <c r="AG147" s="258"/>
      <c r="AH147" s="258"/>
      <c r="AI147" s="258"/>
    </row>
    <row r="148" spans="1:35">
      <c r="A148" s="258"/>
      <c r="B148" s="258"/>
      <c r="C148" s="258"/>
      <c r="D148" s="258"/>
      <c r="E148" s="258"/>
      <c r="F148" s="258"/>
      <c r="G148" s="258"/>
      <c r="H148" s="258"/>
      <c r="I148" s="258"/>
      <c r="J148" s="258"/>
      <c r="K148" s="258"/>
      <c r="L148" s="258"/>
      <c r="M148" s="293"/>
      <c r="N148" s="258"/>
      <c r="O148" s="293"/>
      <c r="P148" s="258"/>
      <c r="Q148" s="293"/>
      <c r="R148" s="258"/>
      <c r="S148" s="293"/>
      <c r="T148" s="258"/>
      <c r="U148" s="293"/>
      <c r="V148" s="258"/>
      <c r="W148" s="258"/>
      <c r="X148" s="258"/>
      <c r="Y148" s="258"/>
      <c r="Z148" s="258"/>
      <c r="AA148" s="258"/>
      <c r="AB148" s="258"/>
      <c r="AC148" s="258"/>
      <c r="AD148" s="258"/>
      <c r="AE148" s="258"/>
      <c r="AF148" s="258"/>
      <c r="AG148" s="258"/>
      <c r="AH148" s="258"/>
      <c r="AI148" s="258"/>
    </row>
    <row r="149" spans="1:35">
      <c r="A149" s="258"/>
      <c r="B149" s="258"/>
      <c r="C149" s="258"/>
      <c r="D149" s="258"/>
      <c r="E149" s="258"/>
      <c r="F149" s="258"/>
      <c r="G149" s="258"/>
      <c r="H149" s="258"/>
      <c r="I149" s="258"/>
      <c r="J149" s="258"/>
      <c r="K149" s="258"/>
      <c r="L149" s="258"/>
      <c r="M149" s="293"/>
      <c r="N149" s="258"/>
      <c r="O149" s="293"/>
      <c r="P149" s="258"/>
      <c r="Q149" s="293"/>
      <c r="R149" s="258"/>
      <c r="S149" s="293"/>
      <c r="T149" s="258"/>
      <c r="U149" s="293"/>
      <c r="V149" s="258"/>
      <c r="W149" s="258"/>
      <c r="X149" s="258"/>
      <c r="Y149" s="258"/>
      <c r="Z149" s="258"/>
      <c r="AA149" s="258"/>
      <c r="AB149" s="258"/>
      <c r="AC149" s="258"/>
      <c r="AD149" s="258"/>
      <c r="AE149" s="258"/>
      <c r="AF149" s="258"/>
      <c r="AG149" s="258"/>
      <c r="AH149" s="258"/>
      <c r="AI149" s="258"/>
    </row>
    <row r="150" spans="1:35">
      <c r="A150" s="258"/>
      <c r="B150" s="258"/>
      <c r="C150" s="258"/>
      <c r="D150" s="258"/>
      <c r="E150" s="258"/>
      <c r="F150" s="258"/>
      <c r="G150" s="258"/>
      <c r="H150" s="258"/>
      <c r="I150" s="258"/>
      <c r="J150" s="258"/>
      <c r="K150" s="258"/>
      <c r="L150" s="258"/>
      <c r="M150" s="293"/>
      <c r="N150" s="258"/>
      <c r="O150" s="293"/>
      <c r="P150" s="258"/>
      <c r="Q150" s="293"/>
      <c r="R150" s="258"/>
      <c r="S150" s="293"/>
      <c r="T150" s="258"/>
      <c r="U150" s="293"/>
      <c r="V150" s="258"/>
      <c r="W150" s="258"/>
      <c r="X150" s="258"/>
      <c r="Y150" s="258"/>
      <c r="Z150" s="258"/>
      <c r="AA150" s="258"/>
      <c r="AB150" s="258"/>
      <c r="AC150" s="258"/>
      <c r="AD150" s="258"/>
      <c r="AE150" s="258"/>
      <c r="AF150" s="258"/>
      <c r="AG150" s="258"/>
      <c r="AH150" s="258"/>
      <c r="AI150" s="258"/>
    </row>
    <row r="151" spans="1:35">
      <c r="A151" s="258"/>
      <c r="B151" s="258"/>
      <c r="C151" s="258"/>
      <c r="D151" s="258"/>
      <c r="E151" s="258"/>
      <c r="F151" s="258"/>
      <c r="G151" s="258"/>
      <c r="H151" s="258"/>
      <c r="I151" s="258"/>
      <c r="J151" s="258"/>
      <c r="K151" s="258"/>
      <c r="L151" s="258"/>
      <c r="M151" s="293"/>
      <c r="N151" s="258"/>
      <c r="O151" s="293"/>
      <c r="P151" s="258"/>
      <c r="Q151" s="293"/>
      <c r="R151" s="258"/>
      <c r="S151" s="293"/>
      <c r="T151" s="258"/>
      <c r="U151" s="293"/>
      <c r="V151" s="258"/>
      <c r="W151" s="258"/>
      <c r="X151" s="258"/>
      <c r="Y151" s="258"/>
      <c r="Z151" s="258"/>
      <c r="AA151" s="258"/>
      <c r="AB151" s="258"/>
      <c r="AC151" s="258"/>
      <c r="AD151" s="258"/>
      <c r="AE151" s="258"/>
      <c r="AF151" s="258"/>
      <c r="AG151" s="258"/>
      <c r="AH151" s="258"/>
      <c r="AI151" s="258"/>
    </row>
    <row r="152" spans="1:35">
      <c r="A152" s="258"/>
      <c r="B152" s="258"/>
      <c r="C152" s="258"/>
      <c r="D152" s="258"/>
      <c r="E152" s="258"/>
      <c r="F152" s="258"/>
      <c r="G152" s="258"/>
      <c r="H152" s="258"/>
      <c r="I152" s="258"/>
      <c r="J152" s="258"/>
      <c r="K152" s="258"/>
      <c r="L152" s="258"/>
      <c r="M152" s="293"/>
      <c r="N152" s="258"/>
      <c r="O152" s="293"/>
      <c r="P152" s="258"/>
      <c r="Q152" s="293"/>
      <c r="R152" s="258"/>
      <c r="S152" s="293"/>
      <c r="T152" s="258"/>
      <c r="U152" s="293"/>
      <c r="V152" s="258"/>
      <c r="W152" s="258"/>
      <c r="X152" s="258"/>
      <c r="Y152" s="258"/>
      <c r="Z152" s="258"/>
      <c r="AA152" s="258"/>
      <c r="AB152" s="258"/>
      <c r="AC152" s="258"/>
      <c r="AD152" s="258"/>
      <c r="AE152" s="258"/>
      <c r="AF152" s="258"/>
      <c r="AG152" s="258"/>
      <c r="AH152" s="258"/>
      <c r="AI152" s="258"/>
    </row>
    <row r="153" spans="1:35">
      <c r="A153" s="258"/>
      <c r="B153" s="258"/>
      <c r="C153" s="258"/>
      <c r="D153" s="258"/>
      <c r="E153" s="258"/>
      <c r="F153" s="258"/>
      <c r="G153" s="258"/>
      <c r="H153" s="258"/>
      <c r="I153" s="258"/>
      <c r="J153" s="258"/>
      <c r="K153" s="258"/>
      <c r="L153" s="258"/>
      <c r="M153" s="293"/>
      <c r="N153" s="258"/>
      <c r="O153" s="293"/>
      <c r="P153" s="258"/>
      <c r="Q153" s="293"/>
      <c r="R153" s="258"/>
      <c r="S153" s="293"/>
      <c r="T153" s="258"/>
      <c r="U153" s="293"/>
      <c r="V153" s="258"/>
      <c r="W153" s="258"/>
      <c r="X153" s="258"/>
      <c r="Y153" s="258"/>
      <c r="Z153" s="258"/>
      <c r="AA153" s="258"/>
      <c r="AB153" s="258"/>
      <c r="AC153" s="258"/>
      <c r="AD153" s="258"/>
      <c r="AE153" s="258"/>
      <c r="AF153" s="258"/>
      <c r="AG153" s="258"/>
      <c r="AH153" s="258"/>
      <c r="AI153" s="258"/>
    </row>
    <row r="154" spans="1:35">
      <c r="A154" s="258"/>
      <c r="B154" s="258"/>
      <c r="C154" s="258"/>
      <c r="D154" s="258"/>
      <c r="E154" s="258"/>
      <c r="F154" s="258"/>
      <c r="G154" s="258"/>
      <c r="H154" s="258"/>
      <c r="I154" s="258"/>
      <c r="J154" s="258"/>
      <c r="K154" s="258"/>
      <c r="L154" s="258"/>
      <c r="M154" s="293"/>
      <c r="N154" s="258"/>
      <c r="O154" s="293"/>
      <c r="P154" s="258"/>
      <c r="Q154" s="293"/>
      <c r="R154" s="258"/>
      <c r="S154" s="293"/>
      <c r="T154" s="258"/>
      <c r="U154" s="293"/>
      <c r="V154" s="258"/>
      <c r="W154" s="258"/>
      <c r="X154" s="258"/>
      <c r="Y154" s="258"/>
      <c r="Z154" s="258"/>
      <c r="AA154" s="258"/>
      <c r="AB154" s="258"/>
      <c r="AC154" s="258"/>
      <c r="AD154" s="258"/>
      <c r="AE154" s="258"/>
      <c r="AF154" s="258"/>
      <c r="AG154" s="258"/>
      <c r="AH154" s="258"/>
      <c r="AI154" s="258"/>
    </row>
    <row r="155" spans="1:35">
      <c r="A155" s="258"/>
      <c r="B155" s="258"/>
      <c r="C155" s="258"/>
      <c r="D155" s="258"/>
      <c r="E155" s="258"/>
      <c r="F155" s="258"/>
      <c r="G155" s="258"/>
      <c r="H155" s="258"/>
      <c r="I155" s="258"/>
      <c r="J155" s="258"/>
      <c r="K155" s="258"/>
      <c r="L155" s="258"/>
      <c r="M155" s="293"/>
      <c r="N155" s="258"/>
      <c r="O155" s="293"/>
      <c r="P155" s="258"/>
      <c r="Q155" s="293"/>
      <c r="R155" s="258"/>
      <c r="S155" s="293"/>
      <c r="T155" s="258"/>
      <c r="U155" s="293"/>
      <c r="V155" s="258"/>
      <c r="W155" s="258"/>
      <c r="X155" s="258"/>
      <c r="Y155" s="258"/>
      <c r="Z155" s="258"/>
      <c r="AA155" s="258"/>
      <c r="AB155" s="258"/>
      <c r="AC155" s="258"/>
      <c r="AD155" s="258"/>
      <c r="AE155" s="258"/>
      <c r="AF155" s="258"/>
      <c r="AG155" s="258"/>
      <c r="AH155" s="258"/>
      <c r="AI155" s="258"/>
    </row>
    <row r="156" spans="1:35">
      <c r="A156" s="258"/>
      <c r="B156" s="258"/>
      <c r="C156" s="258"/>
      <c r="D156" s="258"/>
      <c r="E156" s="258"/>
      <c r="F156" s="258"/>
      <c r="G156" s="258"/>
      <c r="H156" s="258"/>
      <c r="I156" s="258"/>
      <c r="J156" s="258"/>
      <c r="K156" s="258"/>
      <c r="L156" s="258"/>
      <c r="M156" s="293"/>
      <c r="N156" s="258"/>
      <c r="O156" s="293"/>
      <c r="P156" s="258"/>
      <c r="Q156" s="293"/>
      <c r="R156" s="258"/>
      <c r="S156" s="293"/>
      <c r="T156" s="258"/>
      <c r="U156" s="293"/>
      <c r="V156" s="258"/>
      <c r="W156" s="258"/>
      <c r="X156" s="258"/>
      <c r="Y156" s="258"/>
      <c r="Z156" s="258"/>
      <c r="AA156" s="258"/>
      <c r="AB156" s="258"/>
      <c r="AC156" s="258"/>
      <c r="AD156" s="258"/>
      <c r="AE156" s="258"/>
      <c r="AF156" s="258"/>
      <c r="AG156" s="258"/>
      <c r="AH156" s="258"/>
      <c r="AI156" s="258"/>
    </row>
    <row r="157" spans="1:35">
      <c r="A157" s="258"/>
      <c r="B157" s="258"/>
      <c r="C157" s="258"/>
      <c r="D157" s="258"/>
      <c r="E157" s="258"/>
      <c r="F157" s="258"/>
      <c r="G157" s="258"/>
      <c r="H157" s="258"/>
      <c r="I157" s="258"/>
      <c r="J157" s="258"/>
      <c r="K157" s="258"/>
      <c r="L157" s="258"/>
      <c r="M157" s="293"/>
      <c r="N157" s="258"/>
      <c r="O157" s="293"/>
      <c r="P157" s="258"/>
      <c r="Q157" s="293"/>
      <c r="R157" s="258"/>
      <c r="S157" s="293"/>
      <c r="T157" s="258"/>
      <c r="U157" s="293"/>
      <c r="V157" s="258"/>
      <c r="W157" s="258"/>
      <c r="X157" s="258"/>
      <c r="Y157" s="258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</row>
    <row r="158" spans="1:35">
      <c r="A158" s="258"/>
      <c r="B158" s="258"/>
      <c r="C158" s="258"/>
      <c r="D158" s="258"/>
      <c r="E158" s="258"/>
      <c r="F158" s="258"/>
      <c r="G158" s="258"/>
      <c r="H158" s="258"/>
      <c r="I158" s="258"/>
      <c r="J158" s="258"/>
      <c r="K158" s="258"/>
      <c r="L158" s="258"/>
      <c r="M158" s="293"/>
      <c r="N158" s="258"/>
      <c r="O158" s="293"/>
      <c r="P158" s="258"/>
      <c r="Q158" s="293"/>
      <c r="R158" s="258"/>
      <c r="S158" s="293"/>
      <c r="T158" s="258"/>
      <c r="U158" s="293"/>
      <c r="V158" s="258"/>
      <c r="W158" s="258"/>
      <c r="X158" s="258"/>
      <c r="Y158" s="258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</row>
    <row r="159" spans="1:35">
      <c r="A159" s="258"/>
      <c r="B159" s="258"/>
      <c r="C159" s="258"/>
      <c r="D159" s="258"/>
      <c r="E159" s="258"/>
      <c r="F159" s="258"/>
      <c r="G159" s="258"/>
      <c r="H159" s="258"/>
      <c r="I159" s="258"/>
      <c r="J159" s="258"/>
      <c r="K159" s="258"/>
      <c r="L159" s="258"/>
      <c r="M159" s="293"/>
      <c r="N159" s="258"/>
      <c r="O159" s="293"/>
      <c r="P159" s="258"/>
      <c r="Q159" s="293"/>
      <c r="R159" s="258"/>
      <c r="S159" s="293"/>
      <c r="T159" s="258"/>
      <c r="U159" s="293"/>
      <c r="V159" s="258"/>
      <c r="W159" s="258"/>
      <c r="X159" s="258"/>
      <c r="Y159" s="258"/>
      <c r="Z159" s="258"/>
      <c r="AA159" s="266"/>
      <c r="AB159" s="266"/>
      <c r="AC159" s="266"/>
      <c r="AD159" s="266"/>
      <c r="AE159" s="266"/>
      <c r="AF159" s="266"/>
      <c r="AG159" s="266"/>
      <c r="AH159" s="266"/>
      <c r="AI159" s="266"/>
    </row>
    <row r="160" spans="1:35">
      <c r="A160" s="258"/>
      <c r="B160" s="258"/>
      <c r="C160" s="258"/>
      <c r="D160" s="258"/>
      <c r="E160" s="258"/>
      <c r="F160" s="258"/>
      <c r="G160" s="258"/>
      <c r="H160" s="258"/>
      <c r="I160" s="258"/>
      <c r="J160" s="258"/>
      <c r="K160" s="258"/>
      <c r="L160" s="258"/>
      <c r="M160" s="293"/>
      <c r="N160" s="258"/>
      <c r="O160" s="293"/>
      <c r="P160" s="258"/>
      <c r="Q160" s="293"/>
      <c r="R160" s="258"/>
      <c r="S160" s="293"/>
      <c r="T160" s="258"/>
      <c r="U160" s="293"/>
      <c r="V160" s="258"/>
      <c r="W160" s="258"/>
      <c r="X160" s="258"/>
      <c r="Y160" s="258"/>
      <c r="Z160" s="258"/>
      <c r="AA160" s="264"/>
      <c r="AB160" s="264"/>
      <c r="AC160" s="264"/>
      <c r="AD160" s="264"/>
      <c r="AE160" s="264"/>
      <c r="AF160" s="264"/>
      <c r="AG160" s="264"/>
      <c r="AH160" s="264"/>
      <c r="AI160" s="264"/>
    </row>
    <row r="161" spans="1:35">
      <c r="A161" s="258"/>
      <c r="B161" s="258"/>
      <c r="C161" s="258"/>
      <c r="D161" s="258"/>
      <c r="E161" s="258"/>
      <c r="F161" s="258"/>
      <c r="G161" s="258"/>
      <c r="H161" s="258"/>
      <c r="I161" s="258"/>
      <c r="J161" s="258"/>
      <c r="K161" s="258"/>
      <c r="L161" s="258"/>
      <c r="M161" s="293"/>
      <c r="N161" s="258"/>
      <c r="O161" s="293"/>
      <c r="P161" s="258"/>
      <c r="Q161" s="293"/>
      <c r="R161" s="258"/>
      <c r="S161" s="293"/>
      <c r="T161" s="258"/>
      <c r="U161" s="293"/>
      <c r="V161" s="258"/>
      <c r="W161" s="258"/>
      <c r="X161" s="258"/>
      <c r="Y161" s="258"/>
      <c r="Z161" s="258"/>
      <c r="AA161" s="266"/>
      <c r="AB161" s="266"/>
      <c r="AC161" s="266"/>
      <c r="AD161" s="266"/>
      <c r="AE161" s="266"/>
      <c r="AF161" s="266"/>
      <c r="AG161" s="266"/>
      <c r="AH161" s="266"/>
      <c r="AI161" s="266"/>
    </row>
    <row r="162" spans="1:35">
      <c r="A162" s="258"/>
      <c r="B162" s="258"/>
      <c r="C162" s="258"/>
      <c r="D162" s="258"/>
      <c r="E162" s="258"/>
      <c r="F162" s="258"/>
      <c r="G162" s="258"/>
      <c r="H162" s="258"/>
      <c r="I162" s="258"/>
      <c r="J162" s="258"/>
      <c r="K162" s="258"/>
      <c r="L162" s="258"/>
      <c r="M162" s="293"/>
      <c r="N162" s="258"/>
      <c r="O162" s="293"/>
      <c r="P162" s="258"/>
      <c r="Q162" s="293"/>
      <c r="R162" s="258"/>
      <c r="S162" s="293"/>
      <c r="T162" s="258"/>
      <c r="U162" s="293"/>
      <c r="V162" s="258"/>
      <c r="W162" s="258"/>
      <c r="X162" s="258"/>
      <c r="Y162" s="258"/>
      <c r="Z162" s="258"/>
      <c r="AA162" s="266"/>
      <c r="AB162" s="266"/>
      <c r="AC162" s="266"/>
      <c r="AD162" s="266"/>
      <c r="AE162" s="266"/>
      <c r="AF162" s="266"/>
      <c r="AG162" s="266"/>
      <c r="AH162" s="266"/>
      <c r="AI162" s="266"/>
    </row>
    <row r="163" spans="1:35">
      <c r="A163" s="258"/>
      <c r="B163" s="258"/>
      <c r="C163" s="258"/>
      <c r="D163" s="258"/>
      <c r="E163" s="258"/>
      <c r="F163" s="258"/>
      <c r="G163" s="258"/>
      <c r="H163" s="258"/>
      <c r="I163" s="258"/>
      <c r="J163" s="258"/>
      <c r="K163" s="258"/>
      <c r="L163" s="258"/>
      <c r="M163" s="293"/>
      <c r="N163" s="258"/>
      <c r="O163" s="293"/>
      <c r="P163" s="258"/>
      <c r="Q163" s="293"/>
      <c r="R163" s="258"/>
      <c r="S163" s="293"/>
      <c r="T163" s="258"/>
      <c r="U163" s="293"/>
      <c r="V163" s="258"/>
      <c r="W163" s="258"/>
      <c r="X163" s="258"/>
      <c r="Y163" s="258"/>
      <c r="Z163" s="258"/>
      <c r="AA163" s="266"/>
      <c r="AB163" s="266"/>
      <c r="AC163" s="266"/>
      <c r="AD163" s="266"/>
      <c r="AE163" s="266"/>
      <c r="AF163" s="266"/>
      <c r="AG163" s="266"/>
      <c r="AH163" s="266"/>
      <c r="AI163" s="266"/>
    </row>
    <row r="164" spans="1:35">
      <c r="A164" s="258"/>
      <c r="B164" s="258"/>
      <c r="C164" s="258"/>
      <c r="D164" s="258"/>
      <c r="E164" s="258"/>
      <c r="F164" s="258"/>
      <c r="G164" s="258"/>
      <c r="H164" s="258"/>
      <c r="I164" s="258"/>
      <c r="J164" s="258"/>
      <c r="K164" s="258"/>
      <c r="L164" s="258"/>
      <c r="M164" s="293"/>
      <c r="N164" s="258"/>
      <c r="O164" s="293"/>
      <c r="P164" s="258"/>
      <c r="Q164" s="293"/>
      <c r="R164" s="258"/>
      <c r="S164" s="293"/>
      <c r="T164" s="258"/>
      <c r="U164" s="293"/>
      <c r="V164" s="258"/>
      <c r="W164" s="258"/>
      <c r="X164" s="258"/>
      <c r="Y164" s="258"/>
      <c r="Z164" s="258"/>
      <c r="AA164" s="266"/>
      <c r="AB164" s="266"/>
      <c r="AC164" s="266"/>
      <c r="AD164" s="266"/>
      <c r="AE164" s="266"/>
      <c r="AF164" s="266"/>
      <c r="AG164" s="266"/>
      <c r="AH164" s="266"/>
      <c r="AI164" s="266"/>
    </row>
    <row r="165" spans="1:35">
      <c r="A165" s="258"/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93"/>
      <c r="N165" s="258"/>
      <c r="O165" s="293"/>
      <c r="P165" s="258"/>
      <c r="Q165" s="293"/>
      <c r="R165" s="258"/>
      <c r="S165" s="293"/>
      <c r="T165" s="258"/>
      <c r="U165" s="293"/>
      <c r="V165" s="258"/>
      <c r="W165" s="258"/>
      <c r="X165" s="258"/>
      <c r="Y165" s="258"/>
      <c r="Z165" s="258"/>
      <c r="AA165" s="266"/>
      <c r="AB165" s="266"/>
      <c r="AC165" s="266"/>
      <c r="AD165" s="266"/>
      <c r="AE165" s="266"/>
      <c r="AF165" s="266"/>
      <c r="AG165" s="266"/>
      <c r="AH165" s="266"/>
      <c r="AI165" s="266"/>
    </row>
    <row r="166" spans="1:35">
      <c r="A166" s="258"/>
      <c r="B166" s="258"/>
      <c r="C166" s="258"/>
      <c r="D166" s="258"/>
      <c r="E166" s="258"/>
      <c r="F166" s="258"/>
      <c r="G166" s="258"/>
      <c r="H166" s="258"/>
      <c r="I166" s="258"/>
      <c r="J166" s="258"/>
      <c r="K166" s="258"/>
      <c r="L166" s="258"/>
      <c r="M166" s="293"/>
      <c r="N166" s="258"/>
      <c r="O166" s="293"/>
      <c r="P166" s="258"/>
      <c r="Q166" s="293"/>
      <c r="R166" s="258"/>
      <c r="S166" s="293"/>
      <c r="T166" s="258"/>
      <c r="U166" s="293"/>
      <c r="V166" s="258"/>
      <c r="W166" s="258"/>
      <c r="X166" s="258"/>
      <c r="Y166" s="258"/>
      <c r="Z166" s="258"/>
      <c r="AA166" s="266"/>
      <c r="AB166" s="266"/>
      <c r="AC166" s="266"/>
      <c r="AD166" s="266"/>
      <c r="AE166" s="266"/>
      <c r="AF166" s="266"/>
      <c r="AG166" s="266"/>
      <c r="AH166" s="266"/>
      <c r="AI166" s="266"/>
    </row>
    <row r="167" spans="1:35">
      <c r="A167" s="258"/>
      <c r="B167" s="258"/>
      <c r="C167" s="258"/>
      <c r="D167" s="258"/>
      <c r="E167" s="258"/>
      <c r="F167" s="258"/>
      <c r="G167" s="258"/>
      <c r="H167" s="258"/>
      <c r="I167" s="258"/>
      <c r="J167" s="258"/>
      <c r="K167" s="258"/>
      <c r="L167" s="258"/>
      <c r="M167" s="293"/>
      <c r="N167" s="258"/>
      <c r="O167" s="293"/>
      <c r="P167" s="258"/>
      <c r="Q167" s="293"/>
      <c r="R167" s="258"/>
      <c r="S167" s="293"/>
      <c r="T167" s="258"/>
      <c r="U167" s="293"/>
      <c r="V167" s="258"/>
      <c r="W167" s="258"/>
      <c r="X167" s="258"/>
      <c r="Y167" s="258"/>
      <c r="Z167" s="258"/>
      <c r="AA167" s="266"/>
      <c r="AB167" s="266"/>
      <c r="AC167" s="266"/>
      <c r="AD167" s="266"/>
      <c r="AE167" s="266"/>
      <c r="AF167" s="266"/>
      <c r="AG167" s="266"/>
      <c r="AH167" s="266"/>
      <c r="AI167" s="266"/>
    </row>
    <row r="168" spans="1:35">
      <c r="A168" s="258"/>
      <c r="B168" s="258"/>
      <c r="C168" s="258"/>
      <c r="D168" s="258"/>
      <c r="E168" s="258"/>
      <c r="F168" s="258"/>
      <c r="G168" s="258"/>
      <c r="H168" s="258"/>
      <c r="I168" s="258"/>
      <c r="J168" s="258"/>
      <c r="K168" s="258"/>
      <c r="L168" s="258"/>
      <c r="M168" s="293"/>
      <c r="N168" s="258"/>
      <c r="O168" s="293"/>
      <c r="P168" s="258"/>
      <c r="Q168" s="293"/>
      <c r="R168" s="258"/>
      <c r="S168" s="293"/>
      <c r="T168" s="258"/>
      <c r="U168" s="293"/>
      <c r="V168" s="258"/>
      <c r="W168" s="258"/>
      <c r="X168" s="258"/>
      <c r="Y168" s="258"/>
      <c r="Z168" s="258"/>
      <c r="AA168" s="266"/>
      <c r="AB168" s="266"/>
      <c r="AC168" s="266"/>
      <c r="AD168" s="266"/>
      <c r="AE168" s="266"/>
      <c r="AF168" s="266"/>
      <c r="AG168" s="266"/>
      <c r="AH168" s="266"/>
      <c r="AI168" s="266"/>
    </row>
    <row r="169" spans="1:35">
      <c r="A169" s="258"/>
      <c r="B169" s="258"/>
      <c r="C169" s="258"/>
      <c r="D169" s="258"/>
      <c r="E169" s="258"/>
      <c r="F169" s="258"/>
      <c r="G169" s="258"/>
      <c r="H169" s="258"/>
      <c r="I169" s="258"/>
      <c r="J169" s="258"/>
      <c r="K169" s="258"/>
      <c r="L169" s="258"/>
      <c r="M169" s="293"/>
      <c r="N169" s="258"/>
      <c r="O169" s="293"/>
      <c r="P169" s="258"/>
      <c r="Q169" s="293"/>
      <c r="R169" s="258"/>
      <c r="S169" s="293"/>
      <c r="T169" s="258"/>
      <c r="U169" s="293"/>
      <c r="V169" s="258"/>
      <c r="W169" s="258"/>
      <c r="X169" s="258"/>
      <c r="Y169" s="258"/>
      <c r="Z169" s="258"/>
      <c r="AA169" s="266"/>
      <c r="AB169" s="266"/>
      <c r="AC169" s="266"/>
      <c r="AD169" s="266"/>
      <c r="AE169" s="266"/>
      <c r="AF169" s="266"/>
      <c r="AG169" s="266"/>
      <c r="AH169" s="266"/>
      <c r="AI169" s="266"/>
    </row>
    <row r="170" spans="1:35">
      <c r="A170" s="258"/>
      <c r="B170" s="258"/>
      <c r="C170" s="258"/>
      <c r="D170" s="258"/>
      <c r="E170" s="258"/>
      <c r="F170" s="258"/>
      <c r="G170" s="258"/>
      <c r="H170" s="258"/>
      <c r="I170" s="258"/>
      <c r="J170" s="258"/>
      <c r="K170" s="258"/>
      <c r="L170" s="258"/>
      <c r="M170" s="293"/>
      <c r="N170" s="258"/>
      <c r="O170" s="293"/>
      <c r="P170" s="258"/>
      <c r="Q170" s="293"/>
      <c r="R170" s="258"/>
      <c r="S170" s="293"/>
      <c r="T170" s="258"/>
      <c r="U170" s="293"/>
      <c r="V170" s="258"/>
      <c r="W170" s="258"/>
      <c r="X170" s="258"/>
      <c r="Y170" s="258"/>
      <c r="Z170" s="258"/>
      <c r="AA170" s="266"/>
      <c r="AB170" s="266"/>
      <c r="AC170" s="266"/>
      <c r="AD170" s="266"/>
      <c r="AE170" s="266"/>
      <c r="AF170" s="266"/>
      <c r="AG170" s="266"/>
      <c r="AH170" s="266"/>
      <c r="AI170" s="266"/>
    </row>
    <row r="171" spans="1:35">
      <c r="A171" s="258"/>
      <c r="B171" s="258"/>
      <c r="C171" s="258"/>
      <c r="D171" s="258"/>
      <c r="E171" s="258"/>
      <c r="F171" s="258"/>
      <c r="G171" s="258"/>
      <c r="H171" s="258"/>
      <c r="I171" s="258"/>
      <c r="J171" s="258"/>
      <c r="K171" s="258"/>
      <c r="L171" s="258"/>
      <c r="M171" s="293"/>
      <c r="N171" s="258"/>
      <c r="O171" s="293"/>
      <c r="P171" s="258"/>
      <c r="Q171" s="293"/>
      <c r="R171" s="258"/>
      <c r="S171" s="293"/>
      <c r="T171" s="258"/>
      <c r="U171" s="293"/>
      <c r="V171" s="258"/>
      <c r="W171" s="258"/>
      <c r="X171" s="258"/>
      <c r="Y171" s="258"/>
      <c r="Z171" s="258"/>
      <c r="AA171" s="266"/>
      <c r="AB171" s="266"/>
      <c r="AC171" s="266"/>
      <c r="AD171" s="266"/>
      <c r="AE171" s="266"/>
      <c r="AF171" s="266"/>
      <c r="AG171" s="266"/>
      <c r="AH171" s="266"/>
      <c r="AI171" s="266"/>
    </row>
    <row r="172" spans="1:35">
      <c r="A172" s="258"/>
      <c r="B172" s="258"/>
      <c r="C172" s="258"/>
      <c r="D172" s="258"/>
      <c r="E172" s="258"/>
      <c r="F172" s="258"/>
      <c r="G172" s="258"/>
      <c r="H172" s="258"/>
      <c r="I172" s="258"/>
      <c r="J172" s="258"/>
      <c r="K172" s="258"/>
      <c r="L172" s="258"/>
      <c r="M172" s="293"/>
      <c r="N172" s="258"/>
      <c r="O172" s="293"/>
      <c r="P172" s="258"/>
      <c r="Q172" s="293"/>
      <c r="R172" s="258"/>
      <c r="S172" s="293"/>
      <c r="T172" s="258"/>
      <c r="U172" s="293"/>
      <c r="V172" s="258"/>
      <c r="W172" s="258"/>
      <c r="X172" s="258"/>
      <c r="Y172" s="258"/>
      <c r="Z172" s="258"/>
      <c r="AA172" s="266"/>
      <c r="AB172" s="266"/>
      <c r="AC172" s="266"/>
      <c r="AD172" s="266"/>
      <c r="AE172" s="266"/>
      <c r="AF172" s="266"/>
      <c r="AG172" s="266"/>
      <c r="AH172" s="266"/>
      <c r="AI172" s="266"/>
    </row>
    <row r="173" spans="1:35">
      <c r="A173" s="258"/>
      <c r="B173" s="258"/>
      <c r="C173" s="258"/>
      <c r="D173" s="258"/>
      <c r="E173" s="258"/>
      <c r="F173" s="258"/>
      <c r="G173" s="258"/>
      <c r="H173" s="258"/>
      <c r="I173" s="258"/>
      <c r="J173" s="258"/>
      <c r="K173" s="258"/>
      <c r="L173" s="258"/>
      <c r="M173" s="293"/>
      <c r="N173" s="258"/>
      <c r="O173" s="293"/>
      <c r="P173" s="258"/>
      <c r="Q173" s="293"/>
      <c r="R173" s="258"/>
      <c r="S173" s="293"/>
      <c r="T173" s="258"/>
      <c r="U173" s="293"/>
      <c r="V173" s="258"/>
      <c r="W173" s="258"/>
      <c r="X173" s="258"/>
      <c r="Y173" s="258"/>
      <c r="Z173" s="258"/>
      <c r="AA173" s="264"/>
      <c r="AB173" s="264"/>
      <c r="AC173" s="264"/>
      <c r="AD173" s="264"/>
      <c r="AE173" s="264"/>
      <c r="AF173" s="264"/>
      <c r="AG173" s="264"/>
      <c r="AH173" s="264"/>
      <c r="AI173" s="264"/>
    </row>
    <row r="174" spans="1:35">
      <c r="A174" s="258"/>
      <c r="B174" s="258"/>
      <c r="C174" s="258"/>
      <c r="D174" s="258"/>
      <c r="E174" s="258"/>
      <c r="F174" s="258"/>
      <c r="G174" s="258"/>
      <c r="H174" s="258"/>
      <c r="I174" s="258"/>
      <c r="J174" s="258"/>
      <c r="K174" s="258"/>
      <c r="L174" s="258"/>
      <c r="M174" s="293"/>
      <c r="N174" s="258"/>
      <c r="O174" s="293"/>
      <c r="P174" s="258"/>
      <c r="Q174" s="293"/>
      <c r="R174" s="258"/>
      <c r="S174" s="293"/>
      <c r="T174" s="258"/>
      <c r="U174" s="293"/>
      <c r="V174" s="258"/>
      <c r="W174" s="258"/>
      <c r="X174" s="258"/>
      <c r="Y174" s="258"/>
      <c r="Z174" s="258"/>
      <c r="AA174" s="264"/>
      <c r="AB174" s="264"/>
      <c r="AC174" s="264"/>
      <c r="AD174" s="264"/>
      <c r="AE174" s="264"/>
      <c r="AF174" s="264"/>
      <c r="AG174" s="264"/>
      <c r="AH174" s="264"/>
      <c r="AI174" s="264"/>
    </row>
    <row r="175" spans="1:35">
      <c r="A175" s="258"/>
      <c r="B175" s="258"/>
      <c r="C175" s="258"/>
      <c r="D175" s="258"/>
      <c r="E175" s="258"/>
      <c r="F175" s="258"/>
      <c r="G175" s="258"/>
      <c r="H175" s="258"/>
      <c r="I175" s="258"/>
      <c r="J175" s="258"/>
      <c r="K175" s="258"/>
      <c r="L175" s="258"/>
      <c r="M175" s="293"/>
      <c r="N175" s="258"/>
      <c r="O175" s="293"/>
      <c r="P175" s="258"/>
      <c r="Q175" s="293"/>
      <c r="R175" s="258"/>
      <c r="S175" s="293"/>
      <c r="T175" s="258"/>
      <c r="U175" s="293"/>
      <c r="V175" s="258"/>
      <c r="W175" s="258"/>
      <c r="X175" s="258"/>
      <c r="Y175" s="258"/>
      <c r="Z175" s="258"/>
      <c r="AA175" s="264"/>
      <c r="AB175" s="264"/>
      <c r="AC175" s="264"/>
      <c r="AD175" s="264"/>
      <c r="AE175" s="264"/>
      <c r="AF175" s="264"/>
      <c r="AG175" s="264"/>
      <c r="AH175" s="264"/>
      <c r="AI175" s="264"/>
    </row>
    <row r="176" spans="1:35">
      <c r="A176" s="258"/>
      <c r="B176" s="258"/>
      <c r="C176" s="258"/>
      <c r="D176" s="258"/>
      <c r="E176" s="258"/>
      <c r="F176" s="258"/>
      <c r="G176" s="258"/>
      <c r="H176" s="258"/>
      <c r="I176" s="258"/>
      <c r="J176" s="258"/>
      <c r="K176" s="258"/>
      <c r="L176" s="258"/>
      <c r="M176" s="293"/>
      <c r="N176" s="258"/>
      <c r="O176" s="293"/>
      <c r="P176" s="258"/>
      <c r="Q176" s="293"/>
      <c r="R176" s="258"/>
      <c r="S176" s="293"/>
      <c r="T176" s="258"/>
      <c r="U176" s="293"/>
      <c r="V176" s="258"/>
      <c r="W176" s="258"/>
      <c r="X176" s="258"/>
      <c r="Y176" s="258"/>
      <c r="Z176" s="258"/>
      <c r="AA176" s="264"/>
      <c r="AB176" s="264"/>
      <c r="AC176" s="264"/>
      <c r="AD176" s="264"/>
      <c r="AE176" s="264"/>
      <c r="AF176" s="264"/>
      <c r="AG176" s="264"/>
      <c r="AH176" s="264"/>
      <c r="AI176" s="264"/>
    </row>
    <row r="177" spans="1:35">
      <c r="A177" s="258"/>
      <c r="B177" s="258"/>
      <c r="C177" s="258"/>
      <c r="D177" s="258"/>
      <c r="E177" s="258"/>
      <c r="F177" s="258"/>
      <c r="G177" s="258"/>
      <c r="H177" s="258"/>
      <c r="I177" s="258"/>
      <c r="J177" s="258"/>
      <c r="K177" s="258"/>
      <c r="L177" s="258"/>
      <c r="M177" s="293"/>
      <c r="N177" s="258"/>
      <c r="O177" s="293"/>
      <c r="P177" s="258"/>
      <c r="Q177" s="293"/>
      <c r="R177" s="258"/>
      <c r="S177" s="293"/>
      <c r="T177" s="258"/>
      <c r="U177" s="293"/>
      <c r="V177" s="258"/>
      <c r="W177" s="258"/>
      <c r="X177" s="258"/>
      <c r="Y177" s="258"/>
      <c r="Z177" s="258"/>
      <c r="AA177" s="266"/>
      <c r="AB177" s="266"/>
      <c r="AC177" s="266"/>
      <c r="AD177" s="266"/>
      <c r="AE177" s="266"/>
      <c r="AF177" s="266"/>
      <c r="AG177" s="266"/>
      <c r="AH177" s="266"/>
      <c r="AI177" s="266"/>
    </row>
    <row r="178" spans="1:35">
      <c r="A178" s="258"/>
      <c r="B178" s="258"/>
      <c r="C178" s="258"/>
      <c r="D178" s="258"/>
      <c r="E178" s="258"/>
      <c r="F178" s="258"/>
      <c r="G178" s="258"/>
      <c r="H178" s="258"/>
      <c r="I178" s="258"/>
      <c r="J178" s="258"/>
      <c r="K178" s="258"/>
      <c r="L178" s="258"/>
      <c r="M178" s="293"/>
      <c r="N178" s="258"/>
      <c r="O178" s="293"/>
      <c r="P178" s="258"/>
      <c r="Q178" s="293"/>
      <c r="R178" s="258"/>
      <c r="S178" s="293"/>
      <c r="T178" s="258"/>
      <c r="U178" s="293"/>
      <c r="V178" s="258"/>
      <c r="W178" s="258"/>
      <c r="X178" s="258"/>
      <c r="Y178" s="258"/>
      <c r="Z178" s="258"/>
      <c r="AA178" s="266"/>
      <c r="AB178" s="266"/>
      <c r="AC178" s="266"/>
      <c r="AD178" s="266"/>
      <c r="AE178" s="266"/>
      <c r="AF178" s="266"/>
      <c r="AG178" s="266"/>
      <c r="AH178" s="266"/>
      <c r="AI178" s="266"/>
    </row>
    <row r="179" spans="1:35">
      <c r="A179" s="258"/>
      <c r="B179" s="258"/>
      <c r="C179" s="258"/>
      <c r="D179" s="258"/>
      <c r="E179" s="258"/>
      <c r="F179" s="258"/>
      <c r="G179" s="258"/>
      <c r="H179" s="258"/>
      <c r="I179" s="258"/>
      <c r="J179" s="258"/>
      <c r="K179" s="258"/>
      <c r="L179" s="258"/>
      <c r="M179" s="293"/>
      <c r="N179" s="258"/>
      <c r="O179" s="293"/>
      <c r="P179" s="258"/>
      <c r="Q179" s="293"/>
      <c r="R179" s="258"/>
      <c r="S179" s="293"/>
      <c r="T179" s="258"/>
      <c r="U179" s="293"/>
      <c r="V179" s="258"/>
      <c r="W179" s="258"/>
      <c r="X179" s="258"/>
      <c r="Y179" s="258"/>
      <c r="Z179" s="258"/>
      <c r="AA179" s="266"/>
      <c r="AB179" s="266"/>
      <c r="AC179" s="266"/>
      <c r="AD179" s="266"/>
      <c r="AE179" s="266"/>
      <c r="AF179" s="266"/>
      <c r="AG179" s="266"/>
      <c r="AH179" s="266"/>
      <c r="AI179" s="266"/>
    </row>
    <row r="180" spans="1:35">
      <c r="A180" s="258"/>
      <c r="B180" s="258"/>
      <c r="C180" s="258"/>
      <c r="D180" s="258"/>
      <c r="E180" s="258"/>
      <c r="F180" s="258"/>
      <c r="G180" s="258"/>
      <c r="H180" s="258"/>
      <c r="I180" s="258"/>
      <c r="J180" s="258"/>
      <c r="K180" s="258"/>
      <c r="L180" s="258"/>
      <c r="M180" s="293"/>
      <c r="N180" s="258"/>
      <c r="O180" s="293"/>
      <c r="P180" s="258"/>
      <c r="Q180" s="293"/>
      <c r="R180" s="258"/>
      <c r="S180" s="293"/>
      <c r="T180" s="258"/>
      <c r="U180" s="293"/>
      <c r="V180" s="258"/>
      <c r="W180" s="258"/>
      <c r="X180" s="258"/>
      <c r="Y180" s="258"/>
      <c r="Z180" s="258"/>
      <c r="AA180" s="266"/>
      <c r="AB180" s="266"/>
      <c r="AC180" s="266"/>
      <c r="AD180" s="266"/>
      <c r="AE180" s="266"/>
      <c r="AF180" s="266"/>
      <c r="AG180" s="266"/>
      <c r="AH180" s="266"/>
      <c r="AI180" s="266"/>
    </row>
    <row r="181" spans="1:35">
      <c r="A181" s="258"/>
      <c r="B181" s="258"/>
      <c r="C181" s="258"/>
      <c r="D181" s="258"/>
      <c r="E181" s="258"/>
      <c r="F181" s="258"/>
      <c r="G181" s="258"/>
      <c r="H181" s="258"/>
      <c r="I181" s="258"/>
      <c r="J181" s="258"/>
      <c r="K181" s="258"/>
      <c r="L181" s="258"/>
      <c r="M181" s="293"/>
      <c r="N181" s="258"/>
      <c r="O181" s="293"/>
      <c r="P181" s="258"/>
      <c r="Q181" s="293"/>
      <c r="R181" s="258"/>
      <c r="S181" s="293"/>
      <c r="T181" s="258"/>
      <c r="U181" s="293"/>
      <c r="V181" s="258"/>
      <c r="W181" s="258"/>
      <c r="X181" s="258"/>
      <c r="Y181" s="258"/>
      <c r="Z181" s="258"/>
      <c r="AA181" s="266"/>
      <c r="AB181" s="266"/>
      <c r="AC181" s="266"/>
      <c r="AD181" s="266"/>
      <c r="AE181" s="266"/>
      <c r="AF181" s="266"/>
      <c r="AG181" s="266"/>
      <c r="AH181" s="266"/>
      <c r="AI181" s="266"/>
    </row>
    <row r="182" spans="1:35">
      <c r="A182" s="258"/>
      <c r="B182" s="258"/>
      <c r="C182" s="258"/>
      <c r="D182" s="258"/>
      <c r="E182" s="258"/>
      <c r="F182" s="258"/>
      <c r="G182" s="258"/>
      <c r="H182" s="258"/>
      <c r="I182" s="258"/>
      <c r="J182" s="258"/>
      <c r="K182" s="258"/>
      <c r="L182" s="258"/>
      <c r="M182" s="293"/>
      <c r="N182" s="258"/>
      <c r="O182" s="293"/>
      <c r="P182" s="258"/>
      <c r="Q182" s="293"/>
      <c r="R182" s="258"/>
      <c r="S182" s="293"/>
      <c r="T182" s="258"/>
      <c r="U182" s="293"/>
      <c r="V182" s="258"/>
      <c r="W182" s="258"/>
      <c r="X182" s="258"/>
      <c r="Y182" s="258"/>
      <c r="Z182" s="258"/>
      <c r="AA182" s="264"/>
      <c r="AB182" s="264"/>
      <c r="AC182" s="264"/>
      <c r="AD182" s="264"/>
      <c r="AE182" s="264"/>
      <c r="AF182" s="264"/>
      <c r="AG182" s="264"/>
      <c r="AH182" s="264"/>
      <c r="AI182" s="264"/>
    </row>
    <row r="183" spans="1:35">
      <c r="A183" s="258"/>
      <c r="B183" s="258"/>
      <c r="C183" s="258"/>
      <c r="D183" s="258"/>
      <c r="E183" s="258"/>
      <c r="F183" s="258"/>
      <c r="G183" s="258"/>
      <c r="H183" s="258"/>
      <c r="I183" s="258"/>
      <c r="J183" s="258"/>
      <c r="K183" s="258"/>
      <c r="L183" s="258"/>
      <c r="M183" s="293"/>
      <c r="N183" s="258"/>
      <c r="O183" s="293"/>
      <c r="P183" s="258"/>
      <c r="Q183" s="293"/>
      <c r="R183" s="258"/>
      <c r="S183" s="293"/>
      <c r="T183" s="258"/>
      <c r="U183" s="293"/>
      <c r="V183" s="258"/>
      <c r="W183" s="258"/>
      <c r="X183" s="258"/>
      <c r="Y183" s="258"/>
      <c r="Z183" s="258"/>
      <c r="AA183" s="264"/>
      <c r="AB183" s="264"/>
      <c r="AC183" s="264"/>
      <c r="AD183" s="264"/>
      <c r="AE183" s="264"/>
      <c r="AF183" s="264"/>
      <c r="AG183" s="264"/>
      <c r="AH183" s="264"/>
      <c r="AI183" s="264"/>
    </row>
    <row r="184" spans="1:35">
      <c r="A184" s="258"/>
      <c r="B184" s="258"/>
      <c r="C184" s="258"/>
      <c r="D184" s="258"/>
      <c r="E184" s="258"/>
      <c r="F184" s="258"/>
      <c r="G184" s="258"/>
      <c r="H184" s="258"/>
      <c r="I184" s="258"/>
      <c r="J184" s="258"/>
      <c r="K184" s="258"/>
      <c r="L184" s="258"/>
      <c r="M184" s="293"/>
      <c r="N184" s="258"/>
      <c r="O184" s="293"/>
      <c r="P184" s="258"/>
      <c r="Q184" s="293"/>
      <c r="R184" s="258"/>
      <c r="S184" s="293"/>
      <c r="T184" s="258"/>
      <c r="U184" s="293"/>
      <c r="V184" s="258"/>
      <c r="W184" s="258"/>
      <c r="X184" s="258"/>
      <c r="Y184" s="258"/>
      <c r="Z184" s="258"/>
      <c r="AA184" s="266"/>
      <c r="AB184" s="266"/>
      <c r="AC184" s="266"/>
      <c r="AD184" s="266"/>
      <c r="AE184" s="266"/>
      <c r="AF184" s="266"/>
      <c r="AG184" s="266"/>
      <c r="AH184" s="266"/>
      <c r="AI184" s="266"/>
    </row>
    <row r="185" spans="1:35">
      <c r="A185" s="258"/>
      <c r="B185" s="258"/>
      <c r="C185" s="258"/>
      <c r="D185" s="258"/>
      <c r="E185" s="258"/>
      <c r="F185" s="258"/>
      <c r="G185" s="258"/>
      <c r="H185" s="258"/>
      <c r="I185" s="258"/>
      <c r="J185" s="258"/>
      <c r="K185" s="258"/>
      <c r="L185" s="258"/>
      <c r="M185" s="293"/>
      <c r="N185" s="258"/>
      <c r="O185" s="293"/>
      <c r="P185" s="258"/>
      <c r="Q185" s="293"/>
      <c r="R185" s="258"/>
      <c r="S185" s="293"/>
      <c r="T185" s="258"/>
      <c r="U185" s="293"/>
      <c r="V185" s="258"/>
      <c r="W185" s="258"/>
      <c r="X185" s="258"/>
      <c r="Y185" s="258"/>
      <c r="Z185" s="258"/>
      <c r="AA185" s="266"/>
      <c r="AB185" s="266"/>
      <c r="AC185" s="266"/>
      <c r="AD185" s="266"/>
      <c r="AE185" s="266"/>
      <c r="AF185" s="266"/>
      <c r="AG185" s="266"/>
      <c r="AH185" s="266"/>
      <c r="AI185" s="266"/>
    </row>
    <row r="186" spans="1:35">
      <c r="A186" s="258"/>
      <c r="B186" s="258"/>
      <c r="C186" s="258"/>
      <c r="D186" s="258"/>
      <c r="E186" s="258"/>
      <c r="F186" s="258"/>
      <c r="G186" s="258"/>
      <c r="H186" s="258"/>
      <c r="I186" s="258"/>
      <c r="J186" s="258"/>
      <c r="K186" s="258"/>
      <c r="L186" s="258"/>
      <c r="M186" s="293"/>
      <c r="N186" s="258"/>
      <c r="O186" s="293"/>
      <c r="P186" s="258"/>
      <c r="Q186" s="293"/>
      <c r="R186" s="258"/>
      <c r="S186" s="293"/>
      <c r="T186" s="258"/>
      <c r="U186" s="293"/>
      <c r="V186" s="258"/>
      <c r="W186" s="258"/>
      <c r="X186" s="258"/>
      <c r="Y186" s="258"/>
      <c r="Z186" s="258"/>
      <c r="AA186" s="264"/>
      <c r="AB186" s="264"/>
      <c r="AC186" s="264"/>
      <c r="AD186" s="264"/>
      <c r="AE186" s="264"/>
      <c r="AF186" s="264"/>
      <c r="AG186" s="264"/>
      <c r="AH186" s="264"/>
      <c r="AI186" s="264"/>
    </row>
    <row r="187" spans="1:35">
      <c r="A187" s="258"/>
      <c r="B187" s="258"/>
      <c r="C187" s="258"/>
      <c r="D187" s="258"/>
      <c r="E187" s="258"/>
      <c r="F187" s="258"/>
      <c r="G187" s="258"/>
      <c r="H187" s="258"/>
      <c r="I187" s="258"/>
      <c r="J187" s="258"/>
      <c r="K187" s="258"/>
      <c r="L187" s="258"/>
      <c r="M187" s="293"/>
      <c r="N187" s="258"/>
      <c r="O187" s="293"/>
      <c r="P187" s="258"/>
      <c r="Q187" s="293"/>
      <c r="R187" s="258"/>
      <c r="S187" s="293"/>
      <c r="T187" s="258"/>
      <c r="U187" s="293"/>
      <c r="V187" s="258"/>
      <c r="W187" s="258"/>
      <c r="X187" s="258"/>
      <c r="Y187" s="258"/>
      <c r="Z187" s="258"/>
      <c r="AA187" s="264"/>
      <c r="AB187" s="264"/>
      <c r="AC187" s="264"/>
      <c r="AD187" s="264"/>
      <c r="AE187" s="264"/>
      <c r="AF187" s="264"/>
      <c r="AG187" s="264"/>
      <c r="AH187" s="264"/>
      <c r="AI187" s="264"/>
    </row>
    <row r="188" spans="1:35">
      <c r="A188" s="258"/>
      <c r="B188" s="258"/>
      <c r="C188" s="258"/>
      <c r="D188" s="258"/>
      <c r="E188" s="258"/>
      <c r="F188" s="258"/>
      <c r="G188" s="258"/>
      <c r="H188" s="258"/>
      <c r="I188" s="258"/>
      <c r="J188" s="258"/>
      <c r="K188" s="258"/>
      <c r="L188" s="258"/>
      <c r="M188" s="293"/>
      <c r="N188" s="258"/>
      <c r="O188" s="293"/>
      <c r="P188" s="258"/>
      <c r="Q188" s="293"/>
      <c r="R188" s="258"/>
      <c r="S188" s="293"/>
      <c r="T188" s="258"/>
      <c r="U188" s="293"/>
      <c r="V188" s="258"/>
      <c r="W188" s="258"/>
      <c r="X188" s="258"/>
      <c r="Y188" s="258"/>
      <c r="Z188" s="258"/>
      <c r="AA188" s="266"/>
      <c r="AB188" s="266"/>
      <c r="AC188" s="266"/>
      <c r="AD188" s="266"/>
      <c r="AE188" s="266"/>
      <c r="AF188" s="266"/>
      <c r="AG188" s="266"/>
      <c r="AH188" s="266"/>
      <c r="AI188" s="266"/>
    </row>
    <row r="189" spans="1:35">
      <c r="A189" s="258"/>
      <c r="B189" s="258"/>
      <c r="C189" s="258"/>
      <c r="D189" s="258"/>
      <c r="E189" s="258"/>
      <c r="F189" s="258"/>
      <c r="G189" s="258"/>
      <c r="H189" s="258"/>
      <c r="I189" s="258"/>
      <c r="J189" s="258"/>
      <c r="K189" s="258"/>
      <c r="L189" s="258"/>
      <c r="M189" s="293"/>
      <c r="N189" s="258"/>
      <c r="O189" s="293"/>
      <c r="P189" s="258"/>
      <c r="Q189" s="293"/>
      <c r="R189" s="258"/>
      <c r="S189" s="293"/>
      <c r="T189" s="258"/>
      <c r="U189" s="293"/>
      <c r="V189" s="258"/>
      <c r="W189" s="258"/>
      <c r="X189" s="258"/>
      <c r="Y189" s="258"/>
      <c r="Z189" s="258"/>
      <c r="AA189" s="266"/>
      <c r="AB189" s="266"/>
      <c r="AC189" s="266"/>
      <c r="AD189" s="266"/>
      <c r="AE189" s="266"/>
      <c r="AF189" s="266"/>
      <c r="AG189" s="266"/>
      <c r="AH189" s="266"/>
      <c r="AI189" s="266"/>
    </row>
    <row r="190" spans="1:35">
      <c r="A190" s="258"/>
      <c r="B190" s="258"/>
      <c r="C190" s="258"/>
      <c r="D190" s="258"/>
      <c r="E190" s="258"/>
      <c r="F190" s="258"/>
      <c r="G190" s="258"/>
      <c r="H190" s="258"/>
      <c r="I190" s="258"/>
      <c r="J190" s="258"/>
      <c r="K190" s="258"/>
      <c r="L190" s="258"/>
      <c r="M190" s="293"/>
      <c r="N190" s="258"/>
      <c r="O190" s="293"/>
      <c r="P190" s="258"/>
      <c r="Q190" s="293"/>
      <c r="R190" s="258"/>
      <c r="S190" s="293"/>
      <c r="T190" s="258"/>
      <c r="U190" s="293"/>
      <c r="V190" s="258"/>
      <c r="W190" s="258"/>
      <c r="X190" s="258"/>
      <c r="Y190" s="258"/>
      <c r="Z190" s="258"/>
      <c r="AA190" s="266"/>
      <c r="AB190" s="266"/>
      <c r="AC190" s="266"/>
      <c r="AD190" s="266"/>
      <c r="AE190" s="266"/>
      <c r="AF190" s="266"/>
      <c r="AG190" s="266"/>
      <c r="AH190" s="266"/>
      <c r="AI190" s="266"/>
    </row>
    <row r="191" spans="1:35">
      <c r="A191" s="258"/>
      <c r="B191" s="258"/>
      <c r="C191" s="258"/>
      <c r="D191" s="258"/>
      <c r="E191" s="258"/>
      <c r="F191" s="258"/>
      <c r="G191" s="258"/>
      <c r="H191" s="258"/>
      <c r="I191" s="258"/>
      <c r="J191" s="258"/>
      <c r="K191" s="258"/>
      <c r="L191" s="258"/>
      <c r="M191" s="293"/>
      <c r="N191" s="258"/>
      <c r="O191" s="293"/>
      <c r="P191" s="258"/>
      <c r="Q191" s="293"/>
      <c r="R191" s="258"/>
      <c r="S191" s="293"/>
      <c r="T191" s="258"/>
      <c r="U191" s="293"/>
      <c r="V191" s="258"/>
      <c r="W191" s="258"/>
      <c r="X191" s="258"/>
      <c r="Y191" s="258"/>
      <c r="Z191" s="258"/>
      <c r="AA191" s="266"/>
      <c r="AB191" s="266"/>
      <c r="AC191" s="266"/>
      <c r="AD191" s="266"/>
      <c r="AE191" s="266"/>
      <c r="AF191" s="266"/>
      <c r="AG191" s="266"/>
      <c r="AH191" s="266"/>
      <c r="AI191" s="266"/>
    </row>
    <row r="192" spans="1:35">
      <c r="A192" s="258"/>
      <c r="B192" s="258"/>
      <c r="C192" s="258"/>
      <c r="D192" s="258"/>
      <c r="E192" s="258"/>
      <c r="F192" s="258"/>
      <c r="G192" s="258"/>
      <c r="H192" s="258"/>
      <c r="I192" s="258"/>
      <c r="J192" s="258"/>
      <c r="K192" s="258"/>
      <c r="L192" s="258"/>
      <c r="M192" s="293"/>
      <c r="N192" s="258"/>
      <c r="O192" s="293"/>
      <c r="P192" s="258"/>
      <c r="Q192" s="293"/>
      <c r="R192" s="258"/>
      <c r="S192" s="293"/>
      <c r="T192" s="258"/>
      <c r="U192" s="293"/>
      <c r="V192" s="258"/>
      <c r="W192" s="258"/>
      <c r="X192" s="258"/>
      <c r="Y192" s="258"/>
      <c r="Z192" s="258"/>
      <c r="AA192" s="266"/>
      <c r="AB192" s="266"/>
      <c r="AC192" s="266"/>
      <c r="AD192" s="266"/>
      <c r="AE192" s="266"/>
      <c r="AF192" s="266"/>
      <c r="AG192" s="266"/>
      <c r="AH192" s="266"/>
      <c r="AI192" s="266"/>
    </row>
    <row r="193" spans="1:35">
      <c r="A193" s="258"/>
      <c r="B193" s="258"/>
      <c r="C193" s="258"/>
      <c r="D193" s="258"/>
      <c r="E193" s="258"/>
      <c r="F193" s="258"/>
      <c r="G193" s="258"/>
      <c r="H193" s="258"/>
      <c r="I193" s="258"/>
      <c r="J193" s="258"/>
      <c r="K193" s="258"/>
      <c r="L193" s="258"/>
      <c r="M193" s="293"/>
      <c r="N193" s="258"/>
      <c r="O193" s="293"/>
      <c r="P193" s="258"/>
      <c r="Q193" s="293"/>
      <c r="R193" s="258"/>
      <c r="S193" s="293"/>
      <c r="T193" s="258"/>
      <c r="U193" s="293"/>
      <c r="V193" s="258"/>
      <c r="W193" s="258"/>
      <c r="X193" s="258"/>
      <c r="Y193" s="258"/>
      <c r="Z193" s="258"/>
      <c r="AA193" s="266"/>
      <c r="AB193" s="266"/>
      <c r="AC193" s="266"/>
      <c r="AD193" s="266"/>
      <c r="AE193" s="266"/>
      <c r="AF193" s="266"/>
      <c r="AG193" s="266"/>
      <c r="AH193" s="266"/>
      <c r="AI193" s="266"/>
    </row>
    <row r="194" spans="1:35">
      <c r="A194" s="258"/>
      <c r="B194" s="258"/>
      <c r="C194" s="258"/>
      <c r="D194" s="258"/>
      <c r="E194" s="258"/>
      <c r="F194" s="258"/>
      <c r="G194" s="258"/>
      <c r="H194" s="258"/>
      <c r="I194" s="258"/>
      <c r="J194" s="258"/>
      <c r="K194" s="258"/>
      <c r="L194" s="258"/>
      <c r="M194" s="293"/>
      <c r="N194" s="258"/>
      <c r="O194" s="293"/>
      <c r="P194" s="258"/>
      <c r="Q194" s="293"/>
      <c r="R194" s="258"/>
      <c r="S194" s="293"/>
      <c r="T194" s="258"/>
      <c r="U194" s="293"/>
      <c r="V194" s="258"/>
      <c r="W194" s="258"/>
      <c r="X194" s="258"/>
      <c r="Y194" s="258"/>
      <c r="Z194" s="258"/>
      <c r="AA194" s="264"/>
      <c r="AB194" s="264"/>
      <c r="AC194" s="264"/>
      <c r="AD194" s="264"/>
      <c r="AE194" s="264"/>
      <c r="AF194" s="264"/>
      <c r="AG194" s="264"/>
      <c r="AH194" s="264"/>
      <c r="AI194" s="264"/>
    </row>
    <row r="195" spans="1:35">
      <c r="A195" s="258"/>
      <c r="B195" s="258"/>
      <c r="C195" s="258"/>
      <c r="D195" s="258"/>
      <c r="E195" s="258"/>
      <c r="F195" s="258"/>
      <c r="G195" s="258"/>
      <c r="H195" s="258"/>
      <c r="I195" s="258"/>
      <c r="J195" s="258"/>
      <c r="K195" s="258"/>
      <c r="L195" s="258"/>
      <c r="M195" s="293"/>
      <c r="N195" s="258"/>
      <c r="O195" s="293"/>
      <c r="P195" s="258"/>
      <c r="Q195" s="293"/>
      <c r="R195" s="258"/>
      <c r="S195" s="293"/>
      <c r="T195" s="258"/>
      <c r="U195" s="293"/>
      <c r="V195" s="258"/>
      <c r="W195" s="258"/>
      <c r="X195" s="258"/>
      <c r="Y195" s="258"/>
      <c r="Z195" s="258"/>
      <c r="AA195" s="264"/>
      <c r="AB195" s="264"/>
      <c r="AC195" s="264"/>
      <c r="AD195" s="264"/>
      <c r="AE195" s="264"/>
      <c r="AF195" s="264"/>
      <c r="AG195" s="264"/>
      <c r="AH195" s="264"/>
      <c r="AI195" s="264"/>
    </row>
    <row r="196" spans="1:35">
      <c r="A196" s="258"/>
      <c r="B196" s="258"/>
      <c r="C196" s="258"/>
      <c r="D196" s="258"/>
      <c r="E196" s="258"/>
      <c r="F196" s="258"/>
      <c r="G196" s="258"/>
      <c r="H196" s="258"/>
      <c r="I196" s="258"/>
      <c r="J196" s="258"/>
      <c r="K196" s="258"/>
      <c r="L196" s="258"/>
      <c r="M196" s="293"/>
      <c r="N196" s="258"/>
      <c r="O196" s="293"/>
      <c r="P196" s="258"/>
      <c r="Q196" s="293"/>
      <c r="R196" s="258"/>
      <c r="S196" s="293"/>
      <c r="T196" s="258"/>
      <c r="U196" s="293"/>
      <c r="V196" s="258"/>
      <c r="W196" s="258"/>
      <c r="X196" s="258"/>
      <c r="Y196" s="258"/>
      <c r="Z196" s="258"/>
      <c r="AA196" s="264"/>
      <c r="AB196" s="264"/>
      <c r="AC196" s="264"/>
      <c r="AD196" s="264"/>
      <c r="AE196" s="264"/>
      <c r="AF196" s="264"/>
      <c r="AG196" s="264"/>
      <c r="AH196" s="264"/>
      <c r="AI196" s="264"/>
    </row>
    <row r="197" spans="1:35">
      <c r="A197" s="258"/>
      <c r="B197" s="258"/>
      <c r="C197" s="258"/>
      <c r="D197" s="258"/>
      <c r="E197" s="258"/>
      <c r="F197" s="258"/>
      <c r="G197" s="258"/>
      <c r="H197" s="258"/>
      <c r="I197" s="258"/>
      <c r="J197" s="258"/>
      <c r="K197" s="258"/>
      <c r="L197" s="258"/>
      <c r="M197" s="293"/>
      <c r="N197" s="258"/>
      <c r="O197" s="293"/>
      <c r="P197" s="258"/>
      <c r="Q197" s="293"/>
      <c r="R197" s="258"/>
      <c r="S197" s="293"/>
      <c r="T197" s="258"/>
      <c r="U197" s="293"/>
      <c r="V197" s="258"/>
      <c r="W197" s="258"/>
      <c r="X197" s="258"/>
      <c r="Y197" s="258"/>
      <c r="Z197" s="258"/>
      <c r="AA197" s="266"/>
      <c r="AB197" s="266"/>
      <c r="AC197" s="266"/>
      <c r="AD197" s="266"/>
      <c r="AE197" s="266"/>
      <c r="AF197" s="266"/>
      <c r="AG197" s="266"/>
      <c r="AH197" s="266"/>
      <c r="AI197" s="266"/>
    </row>
    <row r="198" spans="1:35">
      <c r="A198" s="258"/>
      <c r="B198" s="258"/>
      <c r="C198" s="258"/>
      <c r="D198" s="258"/>
      <c r="E198" s="258"/>
      <c r="F198" s="258"/>
      <c r="G198" s="258"/>
      <c r="H198" s="258"/>
      <c r="I198" s="258"/>
      <c r="J198" s="258"/>
      <c r="K198" s="258"/>
      <c r="L198" s="258"/>
      <c r="M198" s="293"/>
      <c r="N198" s="258"/>
      <c r="O198" s="293"/>
      <c r="P198" s="258"/>
      <c r="Q198" s="293"/>
      <c r="R198" s="258"/>
      <c r="S198" s="293"/>
      <c r="T198" s="258"/>
      <c r="U198" s="293"/>
      <c r="V198" s="258"/>
      <c r="W198" s="258"/>
      <c r="X198" s="258"/>
      <c r="Y198" s="258"/>
      <c r="Z198" s="258"/>
      <c r="AA198" s="266"/>
      <c r="AB198" s="266"/>
      <c r="AC198" s="266"/>
      <c r="AD198" s="266"/>
      <c r="AE198" s="266"/>
      <c r="AF198" s="266"/>
      <c r="AG198" s="266"/>
      <c r="AH198" s="266"/>
      <c r="AI198" s="266"/>
    </row>
    <row r="199" spans="1:35">
      <c r="A199" s="258"/>
      <c r="B199" s="258"/>
      <c r="C199" s="258"/>
      <c r="D199" s="258"/>
      <c r="E199" s="258"/>
      <c r="F199" s="258"/>
      <c r="G199" s="258"/>
      <c r="H199" s="258"/>
      <c r="I199" s="258"/>
      <c r="J199" s="258"/>
      <c r="K199" s="258"/>
      <c r="L199" s="258"/>
      <c r="M199" s="293"/>
      <c r="N199" s="258"/>
      <c r="O199" s="293"/>
      <c r="P199" s="258"/>
      <c r="Q199" s="293"/>
      <c r="R199" s="258"/>
      <c r="S199" s="293"/>
      <c r="T199" s="258"/>
      <c r="U199" s="293"/>
      <c r="V199" s="258"/>
      <c r="W199" s="258"/>
      <c r="X199" s="258"/>
      <c r="Y199" s="258"/>
      <c r="Z199" s="258"/>
      <c r="AA199" s="266"/>
      <c r="AB199" s="266"/>
      <c r="AC199" s="266"/>
      <c r="AD199" s="266"/>
      <c r="AE199" s="266"/>
      <c r="AF199" s="266"/>
      <c r="AG199" s="266"/>
      <c r="AH199" s="266"/>
      <c r="AI199" s="266"/>
    </row>
    <row r="200" spans="1:35">
      <c r="A200" s="258"/>
      <c r="B200" s="258"/>
      <c r="C200" s="258"/>
      <c r="D200" s="258"/>
      <c r="E200" s="258"/>
      <c r="F200" s="258"/>
      <c r="G200" s="258"/>
      <c r="H200" s="258"/>
      <c r="I200" s="258"/>
      <c r="J200" s="258"/>
      <c r="K200" s="258"/>
      <c r="L200" s="258"/>
      <c r="M200" s="293"/>
      <c r="N200" s="258"/>
      <c r="O200" s="293"/>
      <c r="P200" s="258"/>
      <c r="Q200" s="293"/>
      <c r="R200" s="258"/>
      <c r="S200" s="293"/>
      <c r="T200" s="258"/>
      <c r="U200" s="293"/>
      <c r="V200" s="258"/>
      <c r="W200" s="258"/>
      <c r="X200" s="258"/>
      <c r="Y200" s="258"/>
      <c r="Z200" s="258"/>
      <c r="AA200" s="266"/>
      <c r="AB200" s="266"/>
      <c r="AC200" s="266"/>
      <c r="AD200" s="266"/>
      <c r="AE200" s="266"/>
      <c r="AF200" s="266"/>
      <c r="AG200" s="266"/>
      <c r="AH200" s="266"/>
      <c r="AI200" s="266"/>
    </row>
    <row r="201" spans="1:35">
      <c r="A201" s="258"/>
      <c r="B201" s="258"/>
      <c r="C201" s="258"/>
      <c r="D201" s="258"/>
      <c r="E201" s="258"/>
      <c r="F201" s="258"/>
      <c r="G201" s="258"/>
      <c r="H201" s="258"/>
      <c r="I201" s="258"/>
      <c r="J201" s="258"/>
      <c r="K201" s="258"/>
      <c r="L201" s="258"/>
      <c r="M201" s="293"/>
      <c r="N201" s="258"/>
      <c r="O201" s="293"/>
      <c r="P201" s="258"/>
      <c r="Q201" s="293"/>
      <c r="R201" s="258"/>
      <c r="S201" s="293"/>
      <c r="T201" s="258"/>
      <c r="U201" s="293"/>
      <c r="V201" s="258"/>
      <c r="W201" s="258"/>
      <c r="X201" s="258"/>
      <c r="Y201" s="258"/>
      <c r="Z201" s="258"/>
      <c r="AA201" s="266"/>
      <c r="AB201" s="266"/>
      <c r="AC201" s="266"/>
      <c r="AD201" s="266"/>
      <c r="AE201" s="266"/>
      <c r="AF201" s="266"/>
      <c r="AG201" s="266"/>
      <c r="AH201" s="266"/>
      <c r="AI201" s="266"/>
    </row>
    <row r="202" spans="1:35">
      <c r="A202" s="258"/>
      <c r="B202" s="258"/>
      <c r="C202" s="258"/>
      <c r="D202" s="258"/>
      <c r="E202" s="258"/>
      <c r="F202" s="258"/>
      <c r="G202" s="258"/>
      <c r="H202" s="258"/>
      <c r="I202" s="258"/>
      <c r="J202" s="258"/>
      <c r="K202" s="258"/>
      <c r="L202" s="258"/>
      <c r="M202" s="293"/>
      <c r="N202" s="258"/>
      <c r="O202" s="293"/>
      <c r="P202" s="258"/>
      <c r="Q202" s="293"/>
      <c r="R202" s="258"/>
      <c r="S202" s="293"/>
      <c r="T202" s="258"/>
      <c r="U202" s="293"/>
      <c r="V202" s="258"/>
      <c r="W202" s="258"/>
      <c r="X202" s="258"/>
      <c r="Y202" s="258"/>
      <c r="Z202" s="258"/>
      <c r="AA202" s="266"/>
      <c r="AB202" s="266"/>
      <c r="AC202" s="266"/>
      <c r="AD202" s="266"/>
      <c r="AE202" s="266"/>
      <c r="AF202" s="266"/>
      <c r="AG202" s="266"/>
      <c r="AH202" s="266"/>
      <c r="AI202" s="266"/>
    </row>
    <row r="203" spans="1:35">
      <c r="A203" s="258"/>
      <c r="B203" s="258"/>
      <c r="C203" s="258"/>
      <c r="D203" s="258"/>
      <c r="E203" s="258"/>
      <c r="F203" s="258"/>
      <c r="G203" s="258"/>
      <c r="H203" s="258"/>
      <c r="I203" s="258"/>
      <c r="J203" s="258"/>
      <c r="K203" s="258"/>
      <c r="L203" s="258"/>
      <c r="M203" s="293"/>
      <c r="N203" s="258"/>
      <c r="O203" s="293"/>
      <c r="P203" s="258"/>
      <c r="Q203" s="293"/>
      <c r="R203" s="258"/>
      <c r="S203" s="293"/>
      <c r="T203" s="258"/>
      <c r="U203" s="293"/>
      <c r="V203" s="258"/>
      <c r="W203" s="258"/>
      <c r="X203" s="258"/>
      <c r="Y203" s="258"/>
      <c r="Z203" s="258"/>
      <c r="AA203" s="266"/>
      <c r="AB203" s="266"/>
      <c r="AC203" s="266"/>
      <c r="AD203" s="266"/>
      <c r="AE203" s="266"/>
      <c r="AF203" s="266"/>
      <c r="AG203" s="266"/>
      <c r="AH203" s="266"/>
      <c r="AI203" s="266"/>
    </row>
    <row r="204" spans="1:35">
      <c r="A204" s="258"/>
      <c r="B204" s="258"/>
      <c r="C204" s="258"/>
      <c r="D204" s="258"/>
      <c r="E204" s="258"/>
      <c r="F204" s="258"/>
      <c r="G204" s="258"/>
      <c r="H204" s="258"/>
      <c r="I204" s="258"/>
      <c r="J204" s="258"/>
      <c r="K204" s="258"/>
      <c r="L204" s="258"/>
      <c r="M204" s="293"/>
      <c r="N204" s="258"/>
      <c r="O204" s="293"/>
      <c r="P204" s="258"/>
      <c r="Q204" s="293"/>
      <c r="R204" s="258"/>
      <c r="S204" s="293"/>
      <c r="T204" s="258"/>
      <c r="U204" s="293"/>
      <c r="V204" s="258"/>
      <c r="W204" s="258"/>
      <c r="X204" s="258"/>
      <c r="Y204" s="258"/>
      <c r="Z204" s="258"/>
      <c r="AA204" s="264"/>
      <c r="AB204" s="264"/>
      <c r="AC204" s="264"/>
      <c r="AD204" s="264"/>
      <c r="AE204" s="264"/>
      <c r="AF204" s="264"/>
      <c r="AG204" s="264"/>
      <c r="AH204" s="264"/>
      <c r="AI204" s="264"/>
    </row>
    <row r="205" spans="1:35">
      <c r="A205" s="258"/>
      <c r="B205" s="258"/>
      <c r="C205" s="258"/>
      <c r="D205" s="258"/>
      <c r="E205" s="258"/>
      <c r="F205" s="258"/>
      <c r="G205" s="258"/>
      <c r="H205" s="258"/>
      <c r="I205" s="258"/>
      <c r="J205" s="258"/>
      <c r="K205" s="258"/>
      <c r="L205" s="258"/>
      <c r="M205" s="293"/>
      <c r="N205" s="258"/>
      <c r="O205" s="293"/>
      <c r="P205" s="258"/>
      <c r="Q205" s="293"/>
      <c r="R205" s="258"/>
      <c r="S205" s="293"/>
      <c r="T205" s="258"/>
      <c r="U205" s="293"/>
      <c r="V205" s="258"/>
      <c r="W205" s="258"/>
      <c r="X205" s="258"/>
      <c r="Y205" s="258"/>
      <c r="Z205" s="258"/>
      <c r="AA205" s="264"/>
      <c r="AB205" s="264"/>
      <c r="AC205" s="264"/>
      <c r="AD205" s="264"/>
      <c r="AE205" s="264"/>
      <c r="AF205" s="264"/>
      <c r="AG205" s="264"/>
      <c r="AH205" s="264"/>
      <c r="AI205" s="264"/>
    </row>
    <row r="206" spans="1:35">
      <c r="A206" s="258"/>
      <c r="B206" s="258"/>
      <c r="C206" s="258"/>
      <c r="D206" s="258"/>
      <c r="E206" s="258"/>
      <c r="F206" s="258"/>
      <c r="G206" s="258"/>
      <c r="H206" s="258"/>
      <c r="I206" s="258"/>
      <c r="J206" s="258"/>
      <c r="K206" s="258"/>
      <c r="L206" s="258"/>
      <c r="M206" s="293"/>
      <c r="N206" s="258"/>
      <c r="O206" s="293"/>
      <c r="P206" s="258"/>
      <c r="Q206" s="293"/>
      <c r="R206" s="258"/>
      <c r="S206" s="293"/>
      <c r="T206" s="258"/>
      <c r="U206" s="293"/>
      <c r="V206" s="258"/>
      <c r="W206" s="258"/>
      <c r="X206" s="258"/>
      <c r="Y206" s="258"/>
      <c r="Z206" s="258"/>
      <c r="AA206" s="258"/>
      <c r="AB206" s="258"/>
      <c r="AC206" s="258"/>
      <c r="AD206" s="258"/>
      <c r="AE206" s="258"/>
      <c r="AF206" s="258"/>
      <c r="AG206" s="258"/>
      <c r="AH206" s="258"/>
      <c r="AI206" s="258"/>
    </row>
    <row r="207" spans="1:35">
      <c r="A207" s="258"/>
      <c r="B207" s="258"/>
      <c r="C207" s="258"/>
      <c r="D207" s="258"/>
      <c r="E207" s="258"/>
      <c r="F207" s="258"/>
      <c r="G207" s="258"/>
      <c r="H207" s="258"/>
      <c r="I207" s="258"/>
      <c r="J207" s="258"/>
      <c r="K207" s="258"/>
      <c r="L207" s="258"/>
      <c r="M207" s="293"/>
      <c r="N207" s="258"/>
      <c r="O207" s="293"/>
      <c r="P207" s="258"/>
      <c r="Q207" s="293"/>
      <c r="R207" s="258"/>
      <c r="S207" s="293"/>
      <c r="T207" s="258"/>
      <c r="U207" s="293"/>
      <c r="V207" s="258"/>
      <c r="W207" s="258"/>
      <c r="X207" s="258"/>
      <c r="Y207" s="258"/>
      <c r="Z207" s="258"/>
      <c r="AA207" s="258"/>
      <c r="AB207" s="258"/>
      <c r="AC207" s="258"/>
      <c r="AD207" s="258"/>
      <c r="AE207" s="258"/>
      <c r="AF207" s="258"/>
      <c r="AG207" s="258"/>
      <c r="AH207" s="258"/>
      <c r="AI207" s="258"/>
    </row>
    <row r="208" spans="1:35">
      <c r="A208" s="258"/>
      <c r="B208" s="258"/>
      <c r="C208" s="258"/>
      <c r="D208" s="258"/>
      <c r="E208" s="258"/>
      <c r="F208" s="258"/>
      <c r="G208" s="258"/>
      <c r="H208" s="258"/>
      <c r="I208" s="258"/>
      <c r="J208" s="258"/>
      <c r="K208" s="258"/>
      <c r="L208" s="258"/>
      <c r="M208" s="293"/>
      <c r="N208" s="258"/>
      <c r="O208" s="293"/>
      <c r="P208" s="258"/>
      <c r="Q208" s="293"/>
      <c r="R208" s="258"/>
      <c r="S208" s="293"/>
      <c r="T208" s="258"/>
      <c r="U208" s="293"/>
      <c r="V208" s="258"/>
      <c r="W208" s="258"/>
      <c r="X208" s="258"/>
      <c r="Y208" s="258"/>
      <c r="Z208" s="258"/>
      <c r="AA208" s="258"/>
      <c r="AB208" s="258"/>
      <c r="AC208" s="258"/>
      <c r="AD208" s="258"/>
      <c r="AE208" s="258"/>
      <c r="AF208" s="258"/>
      <c r="AG208" s="258"/>
      <c r="AH208" s="258"/>
      <c r="AI208" s="258"/>
    </row>
    <row r="209" spans="1:35">
      <c r="A209" s="258"/>
      <c r="B209" s="258"/>
      <c r="C209" s="258"/>
      <c r="D209" s="258"/>
      <c r="E209" s="258"/>
      <c r="F209" s="258"/>
      <c r="G209" s="258"/>
      <c r="H209" s="258"/>
      <c r="I209" s="258"/>
      <c r="J209" s="258"/>
      <c r="K209" s="258"/>
      <c r="L209" s="258"/>
      <c r="M209" s="293"/>
      <c r="N209" s="258"/>
      <c r="O209" s="293"/>
      <c r="P209" s="258"/>
      <c r="Q209" s="293"/>
      <c r="R209" s="258"/>
      <c r="S209" s="293"/>
      <c r="T209" s="258"/>
      <c r="U209" s="293"/>
      <c r="V209" s="258"/>
      <c r="W209" s="258"/>
      <c r="X209" s="258"/>
      <c r="Y209" s="258"/>
      <c r="Z209" s="258"/>
      <c r="AA209" s="258"/>
      <c r="AB209" s="258"/>
      <c r="AC209" s="258"/>
      <c r="AD209" s="258"/>
      <c r="AE209" s="258"/>
      <c r="AF209" s="258"/>
      <c r="AG209" s="258"/>
      <c r="AH209" s="258"/>
      <c r="AI209" s="258"/>
    </row>
    <row r="210" spans="1:35">
      <c r="A210" s="258"/>
      <c r="B210" s="258"/>
      <c r="C210" s="258"/>
      <c r="D210" s="258"/>
      <c r="E210" s="258"/>
      <c r="F210" s="258"/>
      <c r="G210" s="258"/>
      <c r="H210" s="258"/>
      <c r="I210" s="258"/>
      <c r="J210" s="258"/>
      <c r="K210" s="258"/>
      <c r="L210" s="258"/>
      <c r="M210" s="293"/>
      <c r="N210" s="258"/>
      <c r="O210" s="293"/>
      <c r="P210" s="258"/>
      <c r="Q210" s="293"/>
      <c r="R210" s="258"/>
      <c r="S210" s="293"/>
      <c r="T210" s="258"/>
      <c r="U210" s="293"/>
      <c r="V210" s="258"/>
      <c r="W210" s="258"/>
      <c r="X210" s="258"/>
      <c r="Y210" s="258"/>
      <c r="Z210" s="258"/>
      <c r="AA210" s="258"/>
      <c r="AB210" s="258"/>
      <c r="AC210" s="258"/>
      <c r="AD210" s="258"/>
      <c r="AE210" s="258"/>
      <c r="AF210" s="258"/>
      <c r="AG210" s="258"/>
      <c r="AH210" s="258"/>
      <c r="AI210" s="258"/>
    </row>
    <row r="211" spans="1:35">
      <c r="A211" s="258"/>
      <c r="B211" s="258"/>
      <c r="C211" s="258"/>
      <c r="D211" s="258"/>
      <c r="E211" s="258"/>
      <c r="F211" s="258"/>
      <c r="G211" s="258"/>
      <c r="H211" s="258"/>
      <c r="I211" s="258"/>
      <c r="J211" s="258"/>
      <c r="K211" s="258"/>
      <c r="L211" s="258"/>
      <c r="M211" s="293"/>
      <c r="N211" s="258"/>
      <c r="O211" s="293"/>
      <c r="P211" s="258"/>
      <c r="Q211" s="293"/>
      <c r="R211" s="258"/>
      <c r="S211" s="293"/>
      <c r="T211" s="258"/>
      <c r="U211" s="293"/>
      <c r="V211" s="258"/>
      <c r="W211" s="258"/>
      <c r="X211" s="258"/>
      <c r="Y211" s="258"/>
      <c r="Z211" s="258"/>
      <c r="AA211" s="258"/>
      <c r="AB211" s="258"/>
      <c r="AC211" s="258"/>
      <c r="AD211" s="258"/>
      <c r="AE211" s="258"/>
      <c r="AF211" s="258"/>
      <c r="AG211" s="258"/>
      <c r="AH211" s="258"/>
      <c r="AI211" s="258"/>
    </row>
    <row r="212" spans="1:35">
      <c r="A212" s="258"/>
      <c r="B212" s="258"/>
      <c r="C212" s="258"/>
      <c r="D212" s="258"/>
      <c r="E212" s="258"/>
      <c r="F212" s="258"/>
      <c r="G212" s="258"/>
      <c r="H212" s="258"/>
      <c r="I212" s="258"/>
      <c r="J212" s="258"/>
      <c r="K212" s="258"/>
      <c r="L212" s="258"/>
      <c r="M212" s="293"/>
      <c r="N212" s="258"/>
      <c r="O212" s="293"/>
      <c r="P212" s="258"/>
      <c r="Q212" s="293"/>
      <c r="R212" s="258"/>
      <c r="S212" s="293"/>
      <c r="T212" s="258"/>
      <c r="U212" s="293"/>
      <c r="V212" s="258"/>
      <c r="W212" s="258"/>
      <c r="X212" s="258"/>
      <c r="Y212" s="258"/>
      <c r="Z212" s="258"/>
      <c r="AA212" s="258"/>
      <c r="AB212" s="258"/>
      <c r="AC212" s="258"/>
      <c r="AD212" s="258"/>
      <c r="AE212" s="258"/>
      <c r="AF212" s="258"/>
      <c r="AG212" s="258"/>
      <c r="AH212" s="258"/>
      <c r="AI212" s="258"/>
    </row>
    <row r="213" spans="1:35">
      <c r="A213" s="258"/>
      <c r="B213" s="258"/>
      <c r="C213" s="258"/>
      <c r="D213" s="258"/>
      <c r="E213" s="258"/>
      <c r="F213" s="258"/>
      <c r="G213" s="258"/>
      <c r="H213" s="258"/>
      <c r="I213" s="258"/>
      <c r="J213" s="258"/>
      <c r="K213" s="258"/>
      <c r="L213" s="258"/>
      <c r="M213" s="293"/>
      <c r="N213" s="258"/>
      <c r="O213" s="293"/>
      <c r="P213" s="258"/>
      <c r="Q213" s="293"/>
      <c r="R213" s="258"/>
      <c r="S213" s="293"/>
      <c r="T213" s="258"/>
      <c r="U213" s="293"/>
      <c r="V213" s="258"/>
      <c r="W213" s="258"/>
      <c r="X213" s="258"/>
      <c r="Y213" s="258"/>
      <c r="Z213" s="258"/>
      <c r="AA213" s="258"/>
      <c r="AB213" s="258"/>
      <c r="AC213" s="258"/>
      <c r="AD213" s="258"/>
      <c r="AE213" s="258"/>
      <c r="AF213" s="258"/>
      <c r="AG213" s="258"/>
      <c r="AH213" s="258"/>
      <c r="AI213" s="258"/>
    </row>
    <row r="214" spans="1:35">
      <c r="A214" s="258"/>
      <c r="B214" s="258"/>
      <c r="C214" s="258"/>
      <c r="D214" s="258"/>
      <c r="E214" s="258"/>
      <c r="F214" s="258"/>
      <c r="G214" s="258"/>
      <c r="H214" s="258"/>
      <c r="I214" s="258"/>
      <c r="J214" s="258"/>
      <c r="K214" s="258"/>
      <c r="L214" s="258"/>
      <c r="M214" s="293"/>
      <c r="N214" s="258"/>
      <c r="O214" s="293"/>
      <c r="P214" s="258"/>
      <c r="Q214" s="293"/>
      <c r="R214" s="258"/>
      <c r="S214" s="293"/>
      <c r="T214" s="258"/>
      <c r="U214" s="293"/>
      <c r="V214" s="258"/>
      <c r="W214" s="258"/>
      <c r="X214" s="258"/>
      <c r="Y214" s="258"/>
      <c r="Z214" s="258"/>
      <c r="AA214" s="258"/>
      <c r="AB214" s="258"/>
      <c r="AC214" s="258"/>
      <c r="AD214" s="258"/>
      <c r="AE214" s="258"/>
      <c r="AF214" s="258"/>
      <c r="AG214" s="258"/>
      <c r="AH214" s="258"/>
      <c r="AI214" s="258"/>
    </row>
  </sheetData>
  <mergeCells count="3">
    <mergeCell ref="D11:E11"/>
    <mergeCell ref="D12:E12"/>
    <mergeCell ref="M9:Q9"/>
  </mergeCells>
  <phoneticPr fontId="19" type="noConversion"/>
  <printOptions horizontalCentered="1"/>
  <pageMargins left="0.25" right="0.75" top="1" bottom="0.5" header="0" footer="0"/>
  <pageSetup scale="43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2">
    <tabColor rgb="FF00B050"/>
    <pageSetUpPr fitToPage="1"/>
  </sheetPr>
  <dimension ref="A1:R69"/>
  <sheetViews>
    <sheetView zoomScaleNormal="100" workbookViewId="0"/>
  </sheetViews>
  <sheetFormatPr defaultColWidth="6.5546875" defaultRowHeight="13.2"/>
  <cols>
    <col min="1" max="1" width="6.5546875" customWidth="1"/>
    <col min="2" max="2" width="34" customWidth="1"/>
    <col min="3" max="6" width="14.5546875" customWidth="1"/>
    <col min="7" max="7" width="14.44140625" customWidth="1"/>
    <col min="8" max="8" width="1.44140625" customWidth="1"/>
    <col min="9" max="9" width="14.44140625" customWidth="1"/>
    <col min="10" max="10" width="1.44140625" customWidth="1"/>
    <col min="11" max="11" width="16" customWidth="1"/>
    <col min="12" max="12" width="1.44140625" customWidth="1"/>
    <col min="13" max="13" width="15.44140625" customWidth="1"/>
    <col min="14" max="14" width="17.44140625" customWidth="1"/>
    <col min="15" max="18" width="6.5546875" customWidth="1"/>
    <col min="19" max="19" width="11.5546875" customWidth="1"/>
    <col min="20" max="20" width="12" customWidth="1"/>
    <col min="21" max="21" width="13.5546875" customWidth="1"/>
    <col min="22" max="22" width="14.44140625" customWidth="1"/>
    <col min="23" max="23" width="14" customWidth="1"/>
    <col min="24" max="24" width="13.44140625" customWidth="1"/>
    <col min="25" max="25" width="14.44140625" customWidth="1"/>
  </cols>
  <sheetData>
    <row r="1" spans="1:18">
      <c r="A1" s="362" t="str">
        <f>COMPANY</f>
        <v>DUKE ENERGY KENTUCKY, INC.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400"/>
      <c r="P1" s="356"/>
      <c r="Q1" s="356"/>
      <c r="R1" s="401"/>
    </row>
    <row r="2" spans="1:18">
      <c r="A2" s="414" t="str">
        <f>CASE</f>
        <v>CASE NO. 2024-00354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400"/>
      <c r="P2" s="356"/>
      <c r="Q2" s="356"/>
      <c r="R2" s="401"/>
    </row>
    <row r="3" spans="1:18">
      <c r="A3" s="362" t="s">
        <v>2900</v>
      </c>
      <c r="B3" s="362"/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400"/>
      <c r="P3" s="356"/>
      <c r="Q3" s="356"/>
      <c r="R3" s="401"/>
    </row>
    <row r="4" spans="1:18">
      <c r="A4" s="351"/>
      <c r="B4" s="362"/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56"/>
      <c r="P4" s="356"/>
      <c r="Q4" s="356"/>
      <c r="R4" s="356"/>
    </row>
    <row r="5" spans="1:18">
      <c r="A5" s="351"/>
      <c r="B5" s="362"/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56"/>
      <c r="P5" s="356"/>
      <c r="Q5" s="356"/>
      <c r="R5" s="356"/>
    </row>
    <row r="6" spans="1:18">
      <c r="A6" s="356"/>
      <c r="B6" s="356"/>
      <c r="C6" s="356"/>
      <c r="D6" s="356"/>
      <c r="E6" s="356"/>
      <c r="F6" s="356"/>
      <c r="G6" s="362"/>
      <c r="H6" s="362"/>
      <c r="I6" s="362"/>
      <c r="J6" s="362"/>
      <c r="K6" s="362"/>
      <c r="L6" s="362"/>
      <c r="M6" s="362"/>
      <c r="N6" s="362"/>
      <c r="O6" s="400"/>
      <c r="P6" s="356"/>
      <c r="Q6" s="356"/>
      <c r="R6" s="401"/>
    </row>
    <row r="7" spans="1:18">
      <c r="A7" s="415"/>
      <c r="B7" s="356"/>
      <c r="C7" s="356"/>
      <c r="D7" s="356"/>
      <c r="E7" s="356"/>
      <c r="F7" s="356"/>
      <c r="G7" s="356"/>
      <c r="H7" s="365"/>
      <c r="I7" s="365"/>
      <c r="J7" s="365"/>
      <c r="K7" s="365" t="s">
        <v>2901</v>
      </c>
      <c r="L7" s="365"/>
      <c r="N7" s="362"/>
      <c r="O7" s="400"/>
      <c r="P7" s="356"/>
      <c r="Q7" s="356"/>
      <c r="R7" s="401"/>
    </row>
    <row r="8" spans="1:18">
      <c r="A8" s="415"/>
      <c r="B8" s="356"/>
      <c r="C8" s="356"/>
      <c r="D8" s="356"/>
      <c r="E8" s="356"/>
      <c r="F8" s="356"/>
      <c r="G8" s="356"/>
      <c r="H8" s="365"/>
      <c r="I8" s="365"/>
      <c r="J8" s="365"/>
      <c r="K8" s="365" t="s">
        <v>466</v>
      </c>
      <c r="L8" s="365"/>
      <c r="N8" s="362"/>
      <c r="O8" s="400"/>
      <c r="P8" s="356"/>
      <c r="Q8" s="356"/>
      <c r="R8" s="401"/>
    </row>
    <row r="9" spans="1:18">
      <c r="A9" s="356" t="str">
        <f>DataB</f>
        <v>DATA: "X" BASE PERIOD  "X" FORECASTED PERIOD</v>
      </c>
      <c r="B9" s="356"/>
      <c r="C9" s="356"/>
      <c r="D9" s="356"/>
      <c r="E9" s="356"/>
      <c r="F9" s="399"/>
      <c r="G9" s="356"/>
      <c r="H9" s="416"/>
      <c r="I9" s="416"/>
      <c r="J9" s="416"/>
      <c r="K9" s="416" t="s">
        <v>468</v>
      </c>
      <c r="L9" s="416"/>
      <c r="N9" s="362"/>
      <c r="O9" s="400"/>
      <c r="P9" s="356"/>
      <c r="Q9" s="356"/>
      <c r="R9" s="401"/>
    </row>
    <row r="10" spans="1:18">
      <c r="A10" s="416" t="str">
        <f>LOGO!B15</f>
        <v xml:space="preserve">TYPE OF FILING:  "X" ORIGINAL   UPDATED    REVISED  </v>
      </c>
      <c r="B10" s="356"/>
      <c r="C10" s="356"/>
      <c r="D10" s="356"/>
      <c r="E10" s="356"/>
      <c r="F10" s="399"/>
      <c r="G10" s="356"/>
      <c r="H10" s="356"/>
      <c r="I10" s="356"/>
      <c r="J10" s="356"/>
      <c r="K10" s="356" t="str">
        <f>_WIT6</f>
        <v>G. S. CARPENTER / D. L. WEATHERSTON</v>
      </c>
      <c r="L10" s="356"/>
      <c r="N10" s="362"/>
      <c r="O10" s="400"/>
      <c r="P10" s="356"/>
      <c r="Q10" s="356"/>
      <c r="R10" s="401"/>
    </row>
    <row r="11" spans="1:18">
      <c r="A11" s="365" t="s">
        <v>2763</v>
      </c>
      <c r="B11" s="356"/>
      <c r="C11" s="2231"/>
      <c r="D11" s="356"/>
      <c r="E11" s="356"/>
      <c r="F11" s="399"/>
      <c r="G11" s="362"/>
      <c r="H11" s="362"/>
      <c r="I11" s="362"/>
      <c r="J11" s="362"/>
      <c r="K11" s="362"/>
      <c r="L11" s="362"/>
      <c r="M11" s="362"/>
      <c r="N11" s="362"/>
      <c r="O11" s="400"/>
      <c r="P11" s="356"/>
      <c r="Q11" s="356"/>
      <c r="R11" s="401"/>
    </row>
    <row r="12" spans="1:18">
      <c r="A12" s="1593"/>
      <c r="B12" s="1594"/>
      <c r="C12" s="1594"/>
      <c r="D12" s="1594"/>
      <c r="E12" s="1594"/>
      <c r="F12" s="1595"/>
      <c r="G12" s="1596"/>
      <c r="H12" s="1596"/>
      <c r="I12" s="1596"/>
      <c r="J12" s="1596"/>
      <c r="K12" s="1596"/>
      <c r="L12" s="1596"/>
      <c r="M12" s="1596"/>
      <c r="N12" s="1596"/>
      <c r="O12" s="400"/>
      <c r="P12" s="356"/>
      <c r="Q12" s="356"/>
      <c r="R12" s="401"/>
    </row>
    <row r="13" spans="1:18">
      <c r="A13" s="413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62" t="s">
        <v>2808</v>
      </c>
      <c r="N13" s="362"/>
      <c r="O13" s="400"/>
      <c r="P13" s="356"/>
      <c r="Q13" s="356"/>
      <c r="R13" s="401"/>
    </row>
    <row r="14" spans="1:18">
      <c r="A14" s="413" t="s">
        <v>471</v>
      </c>
      <c r="B14" s="356"/>
      <c r="C14" s="1596" t="s">
        <v>2902</v>
      </c>
      <c r="D14" s="1596"/>
      <c r="E14" s="1596"/>
      <c r="F14" s="1596"/>
      <c r="G14" s="1596"/>
      <c r="H14" s="413"/>
      <c r="I14" s="413" t="s">
        <v>473</v>
      </c>
      <c r="J14" s="413"/>
      <c r="K14" s="413" t="s">
        <v>474</v>
      </c>
      <c r="L14" s="413"/>
      <c r="M14" s="362" t="s">
        <v>2809</v>
      </c>
      <c r="N14" s="417"/>
      <c r="O14" s="400"/>
      <c r="P14" s="356"/>
      <c r="Q14" s="356"/>
      <c r="R14" s="401"/>
    </row>
    <row r="15" spans="1:18">
      <c r="A15" s="1597" t="s">
        <v>533</v>
      </c>
      <c r="B15" s="1593" t="s">
        <v>476</v>
      </c>
      <c r="C15" s="1598">
        <f>$G$15-4</f>
        <v>2019</v>
      </c>
      <c r="D15" s="1598">
        <f>$G$15-3</f>
        <v>2020</v>
      </c>
      <c r="E15" s="1598">
        <f>$G$15-2</f>
        <v>2021</v>
      </c>
      <c r="F15" s="1598">
        <f>$G$15-1</f>
        <v>2022</v>
      </c>
      <c r="G15" s="1598">
        <f>'SCH_I1 - Elec Only'!M14</f>
        <v>2023</v>
      </c>
      <c r="H15" s="1598"/>
      <c r="I15" s="1598" t="s">
        <v>478</v>
      </c>
      <c r="J15" s="1598"/>
      <c r="K15" s="1598" t="s">
        <v>478</v>
      </c>
      <c r="L15" s="1598"/>
      <c r="M15" s="1599">
        <f>'SCH_I1 - Elec Only'!E14</f>
        <v>2026</v>
      </c>
      <c r="N15" s="1600">
        <f>'SCH_I1 - Elec Only'!D14</f>
        <v>2027</v>
      </c>
      <c r="O15" s="400"/>
      <c r="P15" s="356"/>
      <c r="Q15" s="356"/>
      <c r="R15" s="401"/>
    </row>
    <row r="16" spans="1:18">
      <c r="A16" s="413">
        <v>1</v>
      </c>
      <c r="B16" s="365" t="s">
        <v>2903</v>
      </c>
      <c r="C16" s="406"/>
      <c r="D16" s="406"/>
      <c r="E16" s="406"/>
      <c r="F16" s="406"/>
      <c r="G16" s="406"/>
      <c r="H16" s="406"/>
      <c r="I16" s="406"/>
      <c r="J16" s="406"/>
      <c r="K16" s="406"/>
      <c r="L16" s="406"/>
      <c r="M16" s="406"/>
      <c r="N16" s="356"/>
      <c r="O16" s="400"/>
      <c r="P16" s="356"/>
      <c r="Q16" s="356"/>
      <c r="R16" s="401"/>
    </row>
    <row r="17" spans="1:18">
      <c r="A17" s="413">
        <v>2</v>
      </c>
      <c r="B17" s="418" t="s">
        <v>2904</v>
      </c>
      <c r="C17" s="1786"/>
      <c r="D17" s="1786"/>
      <c r="E17" s="1786"/>
      <c r="F17" s="1786"/>
      <c r="G17" s="1786"/>
      <c r="H17" s="356"/>
      <c r="I17" s="356"/>
      <c r="J17" s="356"/>
      <c r="K17" s="356"/>
      <c r="L17" s="356"/>
      <c r="M17" s="413"/>
      <c r="N17" s="413"/>
      <c r="O17" s="400"/>
      <c r="P17" s="356"/>
      <c r="Q17" s="356"/>
      <c r="R17" s="401"/>
    </row>
    <row r="18" spans="1:18">
      <c r="A18" s="413">
        <v>3</v>
      </c>
      <c r="B18" s="365" t="s">
        <v>2905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400"/>
      <c r="P18" s="356"/>
      <c r="Q18" s="356"/>
      <c r="R18" s="401"/>
    </row>
    <row r="19" spans="1:18">
      <c r="A19" s="413">
        <v>4</v>
      </c>
      <c r="B19" s="365" t="s">
        <v>2906</v>
      </c>
      <c r="C19" s="402">
        <v>138630006</v>
      </c>
      <c r="D19" s="402">
        <v>136674631</v>
      </c>
      <c r="E19" s="402">
        <v>158444225</v>
      </c>
      <c r="F19" s="402">
        <v>200134403</v>
      </c>
      <c r="G19" s="402">
        <v>171174767</v>
      </c>
      <c r="H19" s="402"/>
      <c r="I19" s="404">
        <f>'SCH_C2.1 - Base Period'!J21</f>
        <v>200481710</v>
      </c>
      <c r="J19" s="402"/>
      <c r="K19" s="404">
        <f>ROUND('SCH_C2.1 - Forecasted Period'!J21,0)</f>
        <v>188621557</v>
      </c>
      <c r="L19" s="356"/>
      <c r="M19" s="402">
        <v>189465810.34592998</v>
      </c>
      <c r="N19" s="402">
        <v>186221705.19119099</v>
      </c>
      <c r="O19" s="400"/>
      <c r="P19" s="356"/>
      <c r="Q19" s="356"/>
      <c r="R19" s="401"/>
    </row>
    <row r="20" spans="1:18">
      <c r="A20" s="413">
        <v>5</v>
      </c>
      <c r="B20" s="365" t="s">
        <v>2907</v>
      </c>
      <c r="C20" s="402">
        <v>128725143</v>
      </c>
      <c r="D20" s="402">
        <v>122611845</v>
      </c>
      <c r="E20" s="402">
        <v>139152281</v>
      </c>
      <c r="F20" s="402">
        <v>158778513</v>
      </c>
      <c r="G20" s="402">
        <v>152483229</v>
      </c>
      <c r="H20" s="402"/>
      <c r="I20" s="404">
        <f>'SCH_C2.1 - Base Period'!J22</f>
        <v>167628135</v>
      </c>
      <c r="J20" s="402"/>
      <c r="K20" s="404">
        <f>ROUND('SCH_C2.1 - Forecasted Period'!J22,0)</f>
        <v>155530076</v>
      </c>
      <c r="L20" s="356"/>
      <c r="M20" s="402">
        <v>156672175.98396999</v>
      </c>
      <c r="N20" s="402">
        <v>151823346.62485999</v>
      </c>
      <c r="O20" s="400"/>
      <c r="P20" s="356"/>
      <c r="Q20" s="356"/>
      <c r="R20" s="401"/>
    </row>
    <row r="21" spans="1:18">
      <c r="A21" s="413">
        <v>6</v>
      </c>
      <c r="B21" s="365" t="s">
        <v>2908</v>
      </c>
      <c r="C21" s="402">
        <v>62259561</v>
      </c>
      <c r="D21" s="402">
        <v>55859125</v>
      </c>
      <c r="E21" s="402">
        <v>59283498</v>
      </c>
      <c r="F21" s="402">
        <v>72940893</v>
      </c>
      <c r="G21" s="402">
        <v>65832366</v>
      </c>
      <c r="H21" s="402"/>
      <c r="I21" s="404">
        <f>'SCH_C2.1 - Base Period'!J23</f>
        <v>73682627</v>
      </c>
      <c r="J21" s="402"/>
      <c r="K21" s="404">
        <f>ROUND('SCH_C2.1 - Forecasted Period'!J23,0)</f>
        <v>72666667</v>
      </c>
      <c r="L21" s="356"/>
      <c r="M21" s="402">
        <v>72749762.409394607</v>
      </c>
      <c r="N21" s="402">
        <v>70151120.962878495</v>
      </c>
      <c r="O21" s="400"/>
      <c r="P21" s="356"/>
      <c r="Q21" s="356"/>
      <c r="R21" s="401"/>
    </row>
    <row r="22" spans="1:18">
      <c r="A22" s="413">
        <v>7</v>
      </c>
      <c r="B22" s="365" t="s">
        <v>2909</v>
      </c>
      <c r="C22" s="402">
        <v>1620537</v>
      </c>
      <c r="D22" s="402">
        <v>1650852</v>
      </c>
      <c r="E22" s="402">
        <v>1680436</v>
      </c>
      <c r="F22" s="402">
        <v>1859753</v>
      </c>
      <c r="G22" s="402">
        <v>551855</v>
      </c>
      <c r="H22" s="402"/>
      <c r="I22" s="404">
        <f>'SCH_C2.1 - Base Period'!J24</f>
        <v>1298976</v>
      </c>
      <c r="J22" s="402"/>
      <c r="K22" s="404">
        <f>ROUND('SCH_C2.1 - Forecasted Period'!J24,0)</f>
        <v>1768975</v>
      </c>
      <c r="L22" s="356"/>
      <c r="M22" s="402">
        <v>1764980.5928156599</v>
      </c>
      <c r="N22" s="402">
        <v>1711931.85444464</v>
      </c>
      <c r="O22" s="400"/>
      <c r="P22" s="356"/>
      <c r="Q22" s="356"/>
      <c r="R22" s="401"/>
    </row>
    <row r="23" spans="1:18">
      <c r="A23" s="413">
        <v>8</v>
      </c>
      <c r="B23" s="365" t="s">
        <v>2910</v>
      </c>
      <c r="C23" s="409">
        <v>23234929</v>
      </c>
      <c r="D23" s="409">
        <v>15443164</v>
      </c>
      <c r="E23" s="409">
        <v>13646873</v>
      </c>
      <c r="F23" s="409">
        <v>25333652</v>
      </c>
      <c r="G23" s="409">
        <v>23013094</v>
      </c>
      <c r="H23" s="409"/>
      <c r="I23" s="403">
        <f>ROUND(('SCH_C2.1 - Base Period'!J25+'SCH_C2.1 - Base Period'!J26),0)</f>
        <v>26992578</v>
      </c>
      <c r="J23" s="409"/>
      <c r="K23" s="403">
        <f>ROUND(('SCH_C2.1 - Forecasted Period'!J25+'SCH_C2.1 - Forecasted Period'!J26),0)</f>
        <v>26949345</v>
      </c>
      <c r="L23" s="356"/>
      <c r="M23" s="409">
        <v>26961872.815283097</v>
      </c>
      <c r="N23" s="409">
        <v>25988697.236794401</v>
      </c>
      <c r="O23" s="400"/>
      <c r="P23" s="356"/>
      <c r="Q23" s="356"/>
      <c r="R23" s="401"/>
    </row>
    <row r="24" spans="1:18">
      <c r="A24" s="413">
        <v>9</v>
      </c>
      <c r="B24" s="365" t="s">
        <v>2911</v>
      </c>
      <c r="C24" s="403">
        <f>SUM(C19:C23)</f>
        <v>354470176</v>
      </c>
      <c r="D24" s="403">
        <f>SUM(D19:D23)</f>
        <v>332239617</v>
      </c>
      <c r="E24" s="403">
        <f>SUM(E19:E23)</f>
        <v>372207313</v>
      </c>
      <c r="F24" s="403">
        <f>SUM(F19:F23)</f>
        <v>459047214</v>
      </c>
      <c r="G24" s="403">
        <f>SUM(G19:G23)</f>
        <v>413055311</v>
      </c>
      <c r="H24" s="403"/>
      <c r="I24" s="403">
        <f>SUM(I19:I23)</f>
        <v>470084026</v>
      </c>
      <c r="J24" s="403"/>
      <c r="K24" s="403">
        <f>SUM(K19:K23)</f>
        <v>445536620</v>
      </c>
      <c r="L24" s="356"/>
      <c r="M24" s="403">
        <f>SUM(M19:M23)</f>
        <v>447614602.14739335</v>
      </c>
      <c r="N24" s="403">
        <f>SUM(N19:N23)</f>
        <v>435896801.87016851</v>
      </c>
      <c r="O24" s="400"/>
      <c r="P24" s="356"/>
      <c r="Q24" s="356"/>
      <c r="R24" s="401"/>
    </row>
    <row r="25" spans="1:18">
      <c r="A25" s="413">
        <v>10</v>
      </c>
      <c r="B25" s="365"/>
      <c r="C25" s="419"/>
      <c r="D25" s="419"/>
      <c r="E25" s="419"/>
      <c r="F25" s="419"/>
      <c r="G25" s="419"/>
      <c r="H25" s="419"/>
      <c r="I25" s="419"/>
      <c r="J25" s="419"/>
      <c r="K25" s="419"/>
      <c r="L25" s="356"/>
      <c r="M25" s="419"/>
      <c r="N25" s="419"/>
      <c r="O25" s="400"/>
      <c r="P25" s="356"/>
      <c r="Q25" s="356"/>
      <c r="R25" s="401"/>
    </row>
    <row r="26" spans="1:18">
      <c r="A26" s="413">
        <v>11</v>
      </c>
      <c r="B26" s="365" t="s">
        <v>2912</v>
      </c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0"/>
      <c r="P26" s="356"/>
      <c r="Q26" s="356"/>
      <c r="R26" s="401"/>
    </row>
    <row r="27" spans="1:18">
      <c r="A27" s="413">
        <v>12</v>
      </c>
      <c r="B27" s="418" t="s">
        <v>2913</v>
      </c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0"/>
      <c r="P27" s="356"/>
      <c r="Q27" s="356"/>
      <c r="R27" s="401"/>
    </row>
    <row r="28" spans="1:18">
      <c r="A28" s="413">
        <v>13</v>
      </c>
      <c r="B28" s="365" t="s">
        <v>2905</v>
      </c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0"/>
      <c r="P28" s="356"/>
      <c r="Q28" s="356"/>
      <c r="R28" s="401"/>
    </row>
    <row r="29" spans="1:18">
      <c r="A29" s="413">
        <v>14</v>
      </c>
      <c r="B29" s="365" t="s">
        <v>2906</v>
      </c>
      <c r="C29" s="402">
        <v>129102</v>
      </c>
      <c r="D29" s="402">
        <v>129812</v>
      </c>
      <c r="E29" s="402">
        <v>130983</v>
      </c>
      <c r="F29" s="402">
        <v>136916</v>
      </c>
      <c r="G29" s="402">
        <v>139630</v>
      </c>
      <c r="H29" s="402"/>
      <c r="I29" s="2202">
        <f>'Base Period Cust'!N12</f>
        <v>139926</v>
      </c>
      <c r="J29" s="402"/>
      <c r="K29" s="402">
        <v>141221</v>
      </c>
      <c r="L29" s="402"/>
      <c r="M29" s="402">
        <v>141627</v>
      </c>
      <c r="N29" s="402">
        <v>142392</v>
      </c>
      <c r="O29" s="400"/>
      <c r="P29" s="356"/>
      <c r="Q29" s="356"/>
      <c r="R29" s="401"/>
    </row>
    <row r="30" spans="1:18">
      <c r="A30" s="413">
        <v>15</v>
      </c>
      <c r="B30" s="365" t="s">
        <v>2907</v>
      </c>
      <c r="C30" s="402">
        <v>13739</v>
      </c>
      <c r="D30" s="402">
        <v>14362</v>
      </c>
      <c r="E30" s="402">
        <v>14139</v>
      </c>
      <c r="F30" s="402">
        <v>13462</v>
      </c>
      <c r="G30" s="402">
        <v>13709</v>
      </c>
      <c r="H30" s="402"/>
      <c r="I30" s="2202">
        <f>'Base Period Cust'!N13</f>
        <v>12313</v>
      </c>
      <c r="J30" s="402"/>
      <c r="K30" s="402">
        <v>12150</v>
      </c>
      <c r="L30" s="402"/>
      <c r="M30" s="402">
        <v>12081</v>
      </c>
      <c r="N30" s="402">
        <v>11937</v>
      </c>
      <c r="O30" s="400"/>
      <c r="P30" s="356"/>
      <c r="Q30" s="356"/>
      <c r="R30" s="401"/>
    </row>
    <row r="31" spans="1:18">
      <c r="A31" s="413">
        <v>16</v>
      </c>
      <c r="B31" s="365" t="s">
        <v>2908</v>
      </c>
      <c r="C31" s="402">
        <v>363</v>
      </c>
      <c r="D31" s="402">
        <v>361</v>
      </c>
      <c r="E31" s="402">
        <v>351</v>
      </c>
      <c r="F31" s="402">
        <v>403</v>
      </c>
      <c r="G31" s="402">
        <v>371</v>
      </c>
      <c r="H31" s="402"/>
      <c r="I31" s="2202">
        <f>'Base Period Cust'!N14</f>
        <v>329</v>
      </c>
      <c r="J31" s="402"/>
      <c r="K31" s="402">
        <v>329</v>
      </c>
      <c r="L31" s="402"/>
      <c r="M31" s="402">
        <v>329</v>
      </c>
      <c r="N31" s="402">
        <v>330</v>
      </c>
      <c r="O31" s="400"/>
      <c r="P31" s="356"/>
      <c r="Q31" s="356"/>
      <c r="R31" s="401"/>
    </row>
    <row r="32" spans="1:18">
      <c r="A32" s="413">
        <v>17</v>
      </c>
      <c r="B32" s="365" t="s">
        <v>2909</v>
      </c>
      <c r="C32" s="402">
        <v>466</v>
      </c>
      <c r="D32" s="402">
        <v>466</v>
      </c>
      <c r="E32" s="402">
        <v>698</v>
      </c>
      <c r="F32" s="402">
        <v>693</v>
      </c>
      <c r="G32" s="402">
        <v>470</v>
      </c>
      <c r="H32" s="402"/>
      <c r="I32" s="2202">
        <f>'Base Period Cust'!N15</f>
        <v>533</v>
      </c>
      <c r="J32" s="402"/>
      <c r="K32" s="402">
        <v>538</v>
      </c>
      <c r="L32" s="402"/>
      <c r="M32" s="402">
        <v>539</v>
      </c>
      <c r="N32" s="402">
        <v>542</v>
      </c>
      <c r="O32" s="400"/>
      <c r="P32" s="356"/>
      <c r="Q32" s="356"/>
      <c r="R32" s="401"/>
    </row>
    <row r="33" spans="1:18">
      <c r="A33" s="413">
        <v>18</v>
      </c>
      <c r="B33" s="365" t="s">
        <v>2910</v>
      </c>
      <c r="C33" s="409">
        <v>928</v>
      </c>
      <c r="D33" s="409">
        <v>453</v>
      </c>
      <c r="E33" s="409">
        <v>910</v>
      </c>
      <c r="F33" s="409">
        <v>980</v>
      </c>
      <c r="G33" s="409">
        <v>950</v>
      </c>
      <c r="H33" s="409"/>
      <c r="I33" s="420">
        <f>'Base Period Cust'!N16</f>
        <v>865</v>
      </c>
      <c r="J33" s="409"/>
      <c r="K33" s="409">
        <v>869</v>
      </c>
      <c r="L33" s="409"/>
      <c r="M33" s="409">
        <v>871</v>
      </c>
      <c r="N33" s="409">
        <v>875</v>
      </c>
      <c r="O33" s="400"/>
      <c r="P33" s="356"/>
      <c r="Q33" s="356"/>
      <c r="R33" s="356"/>
    </row>
    <row r="34" spans="1:18">
      <c r="A34" s="413">
        <v>19</v>
      </c>
      <c r="B34" s="365" t="s">
        <v>2914</v>
      </c>
      <c r="C34" s="403">
        <f>SUM(C29:C33)</f>
        <v>144598</v>
      </c>
      <c r="D34" s="403">
        <f>SUM(D29:D33)</f>
        <v>145454</v>
      </c>
      <c r="E34" s="403">
        <f>SUM(E29:E33)</f>
        <v>147081</v>
      </c>
      <c r="F34" s="403">
        <f>SUM(F29:F33)</f>
        <v>152454</v>
      </c>
      <c r="G34" s="403">
        <f>SUM(G29:G33)</f>
        <v>155130</v>
      </c>
      <c r="H34" s="403"/>
      <c r="I34" s="403">
        <f>SUM(I29:I33)</f>
        <v>153966</v>
      </c>
      <c r="J34" s="403"/>
      <c r="K34" s="403">
        <f>SUM(K29:K33)</f>
        <v>155107</v>
      </c>
      <c r="L34" s="403"/>
      <c r="M34" s="403">
        <f>SUM(M29:M33)</f>
        <v>155447</v>
      </c>
      <c r="N34" s="403">
        <f>SUM(N29:N33)</f>
        <v>156076</v>
      </c>
      <c r="O34" s="400"/>
      <c r="P34" s="356"/>
      <c r="Q34" s="356"/>
      <c r="R34" s="356"/>
    </row>
    <row r="35" spans="1:18">
      <c r="A35" s="413">
        <v>20</v>
      </c>
      <c r="B35" s="365"/>
      <c r="C35" s="421"/>
      <c r="D35" s="421"/>
      <c r="E35" s="421"/>
      <c r="F35" s="421"/>
      <c r="G35" s="421"/>
      <c r="H35" s="421"/>
      <c r="I35" s="421"/>
      <c r="J35" s="421"/>
      <c r="K35" s="421"/>
      <c r="L35" s="421"/>
      <c r="M35" s="421"/>
      <c r="N35" s="421"/>
      <c r="O35" s="400"/>
      <c r="P35" s="356"/>
      <c r="Q35" s="356"/>
      <c r="R35" s="356"/>
    </row>
    <row r="36" spans="1:18">
      <c r="A36" s="413">
        <v>21</v>
      </c>
      <c r="B36" s="365" t="s">
        <v>2915</v>
      </c>
      <c r="C36" s="404"/>
      <c r="D36" s="404"/>
      <c r="E36" s="404"/>
      <c r="F36" s="404"/>
      <c r="G36" s="404"/>
      <c r="H36" s="404"/>
      <c r="I36" s="404"/>
      <c r="J36" s="404"/>
      <c r="K36" s="404"/>
      <c r="L36" s="404"/>
      <c r="M36" s="404"/>
      <c r="N36" s="404"/>
      <c r="O36" s="400"/>
      <c r="P36" s="356"/>
      <c r="Q36" s="356"/>
      <c r="R36" s="356"/>
    </row>
    <row r="37" spans="1:18">
      <c r="A37" s="413">
        <v>22</v>
      </c>
      <c r="B37" s="418" t="s">
        <v>2916</v>
      </c>
      <c r="C37" s="404"/>
      <c r="D37" s="404"/>
      <c r="E37" s="404"/>
      <c r="F37" s="404"/>
      <c r="G37" s="404"/>
      <c r="H37" s="404"/>
      <c r="I37" s="404"/>
      <c r="J37" s="404"/>
      <c r="K37" s="404"/>
      <c r="L37" s="404"/>
      <c r="M37" s="404"/>
      <c r="N37" s="404"/>
      <c r="O37" s="400"/>
      <c r="P37" s="356"/>
      <c r="Q37" s="356"/>
      <c r="R37" s="356"/>
    </row>
    <row r="38" spans="1:18">
      <c r="A38" s="413">
        <v>23</v>
      </c>
      <c r="B38" s="365" t="s">
        <v>2905</v>
      </c>
      <c r="C38" s="404"/>
      <c r="D38" s="404"/>
      <c r="E38" s="404"/>
      <c r="F38" s="404"/>
      <c r="G38" s="404"/>
      <c r="H38" s="404"/>
      <c r="I38" s="404"/>
      <c r="J38" s="404"/>
      <c r="K38" s="404"/>
      <c r="L38" s="404"/>
      <c r="M38" s="404"/>
      <c r="N38" s="404"/>
      <c r="O38" s="400"/>
      <c r="P38" s="356"/>
      <c r="Q38" s="356"/>
      <c r="R38" s="356"/>
    </row>
    <row r="39" spans="1:18">
      <c r="A39" s="413">
        <v>24</v>
      </c>
      <c r="B39" s="365" t="s">
        <v>2906</v>
      </c>
      <c r="C39" s="402">
        <v>128049</v>
      </c>
      <c r="D39" s="402">
        <v>130434</v>
      </c>
      <c r="E39" s="402">
        <v>130738</v>
      </c>
      <c r="F39" s="402">
        <v>133690</v>
      </c>
      <c r="G39" s="402">
        <v>137125</v>
      </c>
      <c r="H39" s="402"/>
      <c r="I39" s="2202">
        <f>'Base Period Cust'!P12</f>
        <v>140293</v>
      </c>
      <c r="J39" s="402"/>
      <c r="K39" s="402">
        <v>140811.83333333334</v>
      </c>
      <c r="L39" s="402"/>
      <c r="M39" s="402">
        <v>141252.66666666666</v>
      </c>
      <c r="N39" s="402">
        <v>142036.83333333334</v>
      </c>
      <c r="O39" s="400"/>
      <c r="P39" s="356"/>
      <c r="Q39" s="356"/>
      <c r="R39" s="356"/>
    </row>
    <row r="40" spans="1:18">
      <c r="A40" s="413">
        <v>25</v>
      </c>
      <c r="B40" s="365" t="s">
        <v>2907</v>
      </c>
      <c r="C40" s="402">
        <v>13627</v>
      </c>
      <c r="D40" s="402">
        <v>13899</v>
      </c>
      <c r="E40" s="402">
        <v>14235</v>
      </c>
      <c r="F40" s="402">
        <v>13249</v>
      </c>
      <c r="G40" s="402">
        <v>13459</v>
      </c>
      <c r="H40" s="402"/>
      <c r="I40" s="2202">
        <f>'Base Period Cust'!P13</f>
        <v>12852</v>
      </c>
      <c r="J40" s="402"/>
      <c r="K40" s="402">
        <v>12208.416666666666</v>
      </c>
      <c r="L40" s="402"/>
      <c r="M40" s="402">
        <v>12143.166666666666</v>
      </c>
      <c r="N40" s="402">
        <v>12003.416666666666</v>
      </c>
      <c r="O40" s="400"/>
      <c r="P40" s="356"/>
      <c r="Q40" s="356"/>
      <c r="R40" s="356"/>
    </row>
    <row r="41" spans="1:18">
      <c r="A41" s="413">
        <v>26</v>
      </c>
      <c r="B41" s="365" t="s">
        <v>2908</v>
      </c>
      <c r="C41" s="402">
        <v>359</v>
      </c>
      <c r="D41" s="402">
        <v>362</v>
      </c>
      <c r="E41" s="402">
        <v>356</v>
      </c>
      <c r="F41" s="402">
        <v>375</v>
      </c>
      <c r="G41" s="402">
        <v>373</v>
      </c>
      <c r="H41" s="402"/>
      <c r="I41" s="2202">
        <f>'Base Period Cust'!P14</f>
        <v>336</v>
      </c>
      <c r="J41" s="402"/>
      <c r="K41" s="402">
        <v>329</v>
      </c>
      <c r="L41" s="402"/>
      <c r="M41" s="402">
        <v>329</v>
      </c>
      <c r="N41" s="402">
        <v>329.41666666666669</v>
      </c>
      <c r="O41" s="400"/>
      <c r="P41" s="356"/>
      <c r="Q41" s="356"/>
      <c r="R41" s="356"/>
    </row>
    <row r="42" spans="1:18">
      <c r="A42" s="413">
        <v>27</v>
      </c>
      <c r="B42" s="365" t="s">
        <v>2909</v>
      </c>
      <c r="C42" s="402">
        <v>461</v>
      </c>
      <c r="D42" s="402">
        <v>469</v>
      </c>
      <c r="E42" s="402">
        <v>530</v>
      </c>
      <c r="F42" s="402">
        <v>638</v>
      </c>
      <c r="G42" s="402">
        <v>656</v>
      </c>
      <c r="H42" s="402"/>
      <c r="I42" s="2202">
        <f>'Base Period Cust'!P15</f>
        <v>588</v>
      </c>
      <c r="J42" s="402"/>
      <c r="K42" s="402">
        <v>536.33333333333337</v>
      </c>
      <c r="L42" s="402"/>
      <c r="M42" s="402">
        <v>537.91666666666663</v>
      </c>
      <c r="N42" s="402">
        <v>541</v>
      </c>
      <c r="O42" s="400"/>
      <c r="P42" s="356"/>
      <c r="Q42" s="356"/>
      <c r="R42" s="356"/>
    </row>
    <row r="43" spans="1:18">
      <c r="A43" s="413">
        <v>28</v>
      </c>
      <c r="B43" s="365" t="s">
        <v>2910</v>
      </c>
      <c r="C43" s="409">
        <v>935</v>
      </c>
      <c r="D43" s="409">
        <v>793</v>
      </c>
      <c r="E43" s="409">
        <v>655</v>
      </c>
      <c r="F43" s="409">
        <v>939</v>
      </c>
      <c r="G43" s="409">
        <v>966</v>
      </c>
      <c r="H43" s="409"/>
      <c r="I43" s="420">
        <f>'Base Period Cust'!P16</f>
        <v>877</v>
      </c>
      <c r="J43" s="409"/>
      <c r="K43" s="409">
        <v>868</v>
      </c>
      <c r="L43" s="409"/>
      <c r="M43" s="409">
        <v>869.58333333333337</v>
      </c>
      <c r="N43" s="409">
        <v>873.16666666666663</v>
      </c>
      <c r="O43" s="400"/>
      <c r="P43" s="356"/>
      <c r="Q43" s="356"/>
      <c r="R43" s="356"/>
    </row>
    <row r="44" spans="1:18">
      <c r="A44" s="413">
        <v>29</v>
      </c>
      <c r="B44" s="365" t="s">
        <v>2914</v>
      </c>
      <c r="C44" s="403">
        <f>SUM(C39:C43)</f>
        <v>143431</v>
      </c>
      <c r="D44" s="403">
        <f>SUM(D39:D43)</f>
        <v>145957</v>
      </c>
      <c r="E44" s="403">
        <f>SUM(E39:E43)</f>
        <v>146514</v>
      </c>
      <c r="F44" s="403">
        <f>SUM(F39:F43)</f>
        <v>148891</v>
      </c>
      <c r="G44" s="403">
        <f>SUM(G39:G43)</f>
        <v>152579</v>
      </c>
      <c r="H44" s="403"/>
      <c r="I44" s="420">
        <f>'Base Period Cust'!P17</f>
        <v>154946</v>
      </c>
      <c r="J44" s="403"/>
      <c r="K44" s="403">
        <f>SUM(K39:K43)</f>
        <v>154753.58333333334</v>
      </c>
      <c r="L44" s="403"/>
      <c r="M44" s="403">
        <f>SUM(M39:M43)</f>
        <v>155132.33333333331</v>
      </c>
      <c r="N44" s="403">
        <f>SUM(N39:N43)</f>
        <v>155783.83333333331</v>
      </c>
      <c r="O44" s="400"/>
      <c r="P44" s="356"/>
      <c r="Q44" s="356"/>
      <c r="R44" s="356"/>
    </row>
    <row r="45" spans="1:18">
      <c r="A45" s="413">
        <v>30</v>
      </c>
      <c r="B45" s="356"/>
      <c r="C45" s="421"/>
      <c r="D45" s="421"/>
      <c r="E45" s="421"/>
      <c r="F45" s="421"/>
      <c r="G45" s="421"/>
      <c r="H45" s="421"/>
      <c r="I45" s="421"/>
      <c r="J45" s="421"/>
      <c r="K45" s="421"/>
      <c r="L45" s="421"/>
      <c r="M45" s="421"/>
      <c r="N45" s="356"/>
      <c r="O45" s="400"/>
      <c r="P45" s="356"/>
      <c r="Q45" s="356"/>
      <c r="R45" s="356"/>
    </row>
    <row r="46" spans="1:18">
      <c r="A46" s="413">
        <v>31</v>
      </c>
      <c r="B46" s="365" t="s">
        <v>2917</v>
      </c>
      <c r="C46" s="356"/>
      <c r="D46" s="356"/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400"/>
      <c r="P46" s="356"/>
      <c r="Q46" s="356"/>
      <c r="R46" s="356"/>
    </row>
    <row r="47" spans="1:18">
      <c r="A47" s="413">
        <v>32</v>
      </c>
      <c r="B47" s="418" t="s">
        <v>2918</v>
      </c>
      <c r="C47" s="356"/>
      <c r="D47" s="356"/>
      <c r="E47" s="356"/>
      <c r="F47" s="356"/>
      <c r="G47" s="356"/>
      <c r="H47" s="356"/>
      <c r="I47" s="356"/>
      <c r="J47" s="356"/>
      <c r="K47" s="356"/>
      <c r="L47" s="356"/>
      <c r="M47" s="356"/>
      <c r="N47" s="356"/>
      <c r="O47" s="400"/>
      <c r="P47" s="356"/>
      <c r="Q47" s="356"/>
      <c r="R47" s="356"/>
    </row>
    <row r="48" spans="1:18">
      <c r="A48" s="413">
        <v>33</v>
      </c>
      <c r="B48" s="365" t="s">
        <v>2905</v>
      </c>
      <c r="C48" s="356"/>
      <c r="D48" s="356"/>
      <c r="E48" s="356"/>
      <c r="F48" s="356"/>
      <c r="G48" s="356"/>
      <c r="H48" s="356"/>
      <c r="I48" s="356"/>
      <c r="J48" s="356"/>
      <c r="K48" s="356"/>
      <c r="L48" s="356"/>
      <c r="M48" s="356"/>
      <c r="N48" s="356"/>
      <c r="O48" s="400"/>
      <c r="P48" s="356"/>
      <c r="Q48" s="356"/>
      <c r="R48" s="356"/>
    </row>
    <row r="49" spans="1:18">
      <c r="A49" s="413">
        <v>34</v>
      </c>
      <c r="B49" s="365" t="s">
        <v>2906</v>
      </c>
      <c r="C49" s="404">
        <f t="shared" ref="C49:G52" si="0">ROUND((C19/C39),0)</f>
        <v>1083</v>
      </c>
      <c r="D49" s="404">
        <f t="shared" si="0"/>
        <v>1048</v>
      </c>
      <c r="E49" s="404">
        <f t="shared" si="0"/>
        <v>1212</v>
      </c>
      <c r="F49" s="404">
        <f t="shared" si="0"/>
        <v>1497</v>
      </c>
      <c r="G49" s="404">
        <f t="shared" si="0"/>
        <v>1248</v>
      </c>
      <c r="H49" s="404"/>
      <c r="I49" s="404">
        <f>ROUND(I19/I39,0)</f>
        <v>1429</v>
      </c>
      <c r="J49" s="404"/>
      <c r="K49" s="404">
        <f>ROUND(K19/K39,0)</f>
        <v>1340</v>
      </c>
      <c r="L49" s="404"/>
      <c r="M49" s="404">
        <f t="shared" ref="M49:N52" si="1">ROUND(M19/M39,0)</f>
        <v>1341</v>
      </c>
      <c r="N49" s="404">
        <f t="shared" si="1"/>
        <v>1311</v>
      </c>
      <c r="O49" s="400"/>
      <c r="P49" s="356"/>
      <c r="Q49" s="356"/>
      <c r="R49" s="356"/>
    </row>
    <row r="50" spans="1:18">
      <c r="A50" s="413">
        <v>35</v>
      </c>
      <c r="B50" s="365" t="s">
        <v>2907</v>
      </c>
      <c r="C50" s="404">
        <f t="shared" si="0"/>
        <v>9446</v>
      </c>
      <c r="D50" s="404">
        <f t="shared" si="0"/>
        <v>8822</v>
      </c>
      <c r="E50" s="404">
        <f t="shared" si="0"/>
        <v>9775</v>
      </c>
      <c r="F50" s="404">
        <f t="shared" si="0"/>
        <v>11984</v>
      </c>
      <c r="G50" s="404">
        <f t="shared" si="0"/>
        <v>11329</v>
      </c>
      <c r="H50" s="404"/>
      <c r="I50" s="404">
        <f>ROUND(I20/I40,0)</f>
        <v>13043</v>
      </c>
      <c r="J50" s="404"/>
      <c r="K50" s="404">
        <f>ROUND(K20/K40,0)</f>
        <v>12740</v>
      </c>
      <c r="L50" s="404"/>
      <c r="M50" s="404">
        <f t="shared" si="1"/>
        <v>12902</v>
      </c>
      <c r="N50" s="404">
        <f t="shared" si="1"/>
        <v>12648</v>
      </c>
      <c r="O50" s="400"/>
      <c r="P50" s="356"/>
      <c r="Q50" s="356"/>
      <c r="R50" s="356"/>
    </row>
    <row r="51" spans="1:18">
      <c r="A51" s="413">
        <v>36</v>
      </c>
      <c r="B51" s="365" t="s">
        <v>2908</v>
      </c>
      <c r="C51" s="404">
        <f t="shared" si="0"/>
        <v>173425</v>
      </c>
      <c r="D51" s="404">
        <f t="shared" si="0"/>
        <v>154307</v>
      </c>
      <c r="E51" s="404">
        <f t="shared" si="0"/>
        <v>166527</v>
      </c>
      <c r="F51" s="404">
        <f t="shared" si="0"/>
        <v>194509</v>
      </c>
      <c r="G51" s="404">
        <f t="shared" si="0"/>
        <v>176494</v>
      </c>
      <c r="H51" s="404"/>
      <c r="I51" s="404">
        <f>ROUND(I21/I41,0)</f>
        <v>219294</v>
      </c>
      <c r="J51" s="404"/>
      <c r="K51" s="404">
        <f>ROUND(K21/K41,0)</f>
        <v>220871</v>
      </c>
      <c r="L51" s="404"/>
      <c r="M51" s="404">
        <f t="shared" si="1"/>
        <v>221124</v>
      </c>
      <c r="N51" s="404">
        <f t="shared" si="1"/>
        <v>212956</v>
      </c>
      <c r="O51" s="400"/>
      <c r="P51" s="356"/>
      <c r="Q51" s="356"/>
      <c r="R51" s="356"/>
    </row>
    <row r="52" spans="1:18">
      <c r="A52" s="413">
        <v>37</v>
      </c>
      <c r="B52" s="365" t="s">
        <v>2909</v>
      </c>
      <c r="C52" s="404">
        <f t="shared" si="0"/>
        <v>3515</v>
      </c>
      <c r="D52" s="404">
        <f t="shared" si="0"/>
        <v>3520</v>
      </c>
      <c r="E52" s="404">
        <f t="shared" si="0"/>
        <v>3171</v>
      </c>
      <c r="F52" s="404">
        <f t="shared" si="0"/>
        <v>2915</v>
      </c>
      <c r="G52" s="404">
        <f t="shared" si="0"/>
        <v>841</v>
      </c>
      <c r="H52" s="404"/>
      <c r="I52" s="404">
        <f>ROUND(I22/I42,0)</f>
        <v>2209</v>
      </c>
      <c r="J52" s="404"/>
      <c r="K52" s="404">
        <f>ROUND(K22/K42,0)</f>
        <v>3298</v>
      </c>
      <c r="L52" s="404"/>
      <c r="M52" s="404">
        <f t="shared" si="1"/>
        <v>3281</v>
      </c>
      <c r="N52" s="404">
        <f t="shared" si="1"/>
        <v>3164</v>
      </c>
      <c r="O52" s="400"/>
      <c r="P52" s="356"/>
      <c r="Q52" s="356"/>
      <c r="R52" s="356"/>
    </row>
    <row r="53" spans="1:18">
      <c r="A53" s="413"/>
      <c r="B53" s="365"/>
      <c r="C53" s="404"/>
      <c r="D53" s="404"/>
      <c r="E53" s="404"/>
      <c r="F53" s="404"/>
      <c r="G53" s="404"/>
      <c r="H53" s="404"/>
      <c r="I53" s="404"/>
      <c r="J53" s="404"/>
      <c r="K53" s="404"/>
      <c r="L53" s="404"/>
      <c r="M53" s="404"/>
      <c r="N53" s="356"/>
      <c r="O53" s="400"/>
      <c r="P53" s="356"/>
      <c r="Q53" s="356"/>
      <c r="R53" s="356"/>
    </row>
    <row r="54" spans="1:18">
      <c r="A54" s="422" t="s">
        <v>2919</v>
      </c>
      <c r="B54" s="356"/>
      <c r="C54" s="356"/>
      <c r="D54" s="356"/>
      <c r="E54" s="356"/>
      <c r="F54" s="356"/>
      <c r="G54" s="356"/>
      <c r="H54" s="356"/>
      <c r="I54" s="356"/>
      <c r="J54" s="356"/>
      <c r="K54" s="356"/>
      <c r="L54" s="356"/>
      <c r="M54" s="356"/>
      <c r="N54" s="356"/>
      <c r="O54" s="400"/>
      <c r="P54" s="356"/>
      <c r="Q54" s="356"/>
      <c r="R54" s="356"/>
    </row>
    <row r="55" spans="1:18">
      <c r="A55" s="365"/>
      <c r="B55" s="356"/>
      <c r="C55" s="356"/>
      <c r="D55" s="356"/>
      <c r="E55" s="356"/>
      <c r="F55" s="356"/>
      <c r="G55" s="356"/>
      <c r="H55" s="356"/>
      <c r="I55" s="356"/>
      <c r="J55" s="356"/>
      <c r="K55" s="356"/>
      <c r="L55" s="356"/>
      <c r="M55" s="356"/>
      <c r="N55" s="356"/>
      <c r="O55" s="400"/>
      <c r="P55" s="356"/>
      <c r="Q55" s="356"/>
      <c r="R55" s="356"/>
    </row>
    <row r="56" spans="1:18">
      <c r="A56" s="356"/>
      <c r="B56" s="356"/>
      <c r="C56" s="356"/>
      <c r="D56" s="356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400"/>
      <c r="P56" s="356"/>
      <c r="Q56" s="356"/>
      <c r="R56" s="356"/>
    </row>
    <row r="57" spans="1:18">
      <c r="A57" s="356"/>
      <c r="B57" s="356"/>
      <c r="C57" s="356"/>
      <c r="D57" s="356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400"/>
      <c r="P57" s="356"/>
      <c r="Q57" s="356"/>
      <c r="R57" s="356"/>
    </row>
    <row r="58" spans="1:18">
      <c r="A58" s="356"/>
      <c r="B58" s="365"/>
      <c r="C58" s="356"/>
      <c r="D58" s="356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400"/>
      <c r="P58" s="356"/>
      <c r="Q58" s="356"/>
      <c r="R58" s="356"/>
    </row>
    <row r="59" spans="1:18">
      <c r="A59" s="356"/>
      <c r="B59" s="356"/>
      <c r="C59" s="356"/>
      <c r="D59" s="356"/>
      <c r="E59" s="362"/>
      <c r="F59" s="362"/>
      <c r="G59" s="362"/>
      <c r="H59" s="362"/>
      <c r="I59" s="362"/>
      <c r="J59" s="362"/>
      <c r="K59" s="362"/>
      <c r="L59" s="362"/>
      <c r="M59" s="362"/>
      <c r="N59" s="362"/>
      <c r="O59" s="400"/>
      <c r="P59" s="356"/>
      <c r="Q59" s="356"/>
      <c r="R59" s="356"/>
    </row>
    <row r="60" spans="1:18">
      <c r="A60" s="356"/>
      <c r="B60" s="356"/>
      <c r="C60" s="356"/>
      <c r="D60" s="356"/>
      <c r="E60" s="362"/>
      <c r="F60" s="362"/>
      <c r="G60" s="362"/>
      <c r="H60" s="362"/>
      <c r="I60" s="362"/>
      <c r="J60" s="362"/>
      <c r="K60" s="362"/>
      <c r="L60" s="362"/>
      <c r="M60" s="362"/>
      <c r="N60" s="362"/>
      <c r="O60" s="400"/>
      <c r="P60" s="356"/>
      <c r="Q60" s="356"/>
      <c r="R60" s="356"/>
    </row>
    <row r="61" spans="1:18">
      <c r="A61" s="356"/>
      <c r="B61" s="356"/>
      <c r="C61" s="356"/>
      <c r="D61" s="356"/>
      <c r="E61" s="362"/>
      <c r="F61" s="362"/>
      <c r="G61" s="362"/>
      <c r="H61" s="362"/>
      <c r="I61" s="362"/>
      <c r="J61" s="362"/>
      <c r="K61" s="362"/>
      <c r="L61" s="362"/>
      <c r="M61" s="362"/>
      <c r="N61" s="362"/>
      <c r="O61" s="400"/>
      <c r="P61" s="356"/>
      <c r="Q61" s="356"/>
      <c r="R61" s="356"/>
    </row>
    <row r="62" spans="1:18">
      <c r="A62" s="413"/>
      <c r="B62" s="356"/>
      <c r="C62" s="356"/>
      <c r="D62" s="356"/>
      <c r="E62" s="356"/>
      <c r="F62" s="356"/>
      <c r="G62" s="356"/>
      <c r="H62" s="356"/>
      <c r="I62" s="356"/>
      <c r="J62" s="356"/>
      <c r="K62" s="356"/>
      <c r="L62" s="356"/>
      <c r="M62" s="356"/>
      <c r="N62" s="356"/>
      <c r="O62" s="356"/>
      <c r="P62" s="356"/>
      <c r="Q62" s="356"/>
      <c r="R62" s="356"/>
    </row>
    <row r="63" spans="1:18">
      <c r="A63" s="423"/>
      <c r="B63" s="418"/>
      <c r="C63" s="356"/>
      <c r="D63" s="356"/>
      <c r="E63" s="356"/>
      <c r="F63" s="356"/>
      <c r="G63" s="356"/>
      <c r="H63" s="356"/>
      <c r="I63" s="356"/>
      <c r="J63" s="356"/>
      <c r="K63" s="356"/>
      <c r="L63" s="356"/>
      <c r="M63" s="356"/>
      <c r="N63" s="356"/>
      <c r="O63" s="400"/>
      <c r="P63" s="356"/>
      <c r="Q63" s="356"/>
      <c r="R63" s="356"/>
    </row>
    <row r="64" spans="1:18">
      <c r="A64" s="413"/>
      <c r="B64" s="365"/>
      <c r="C64" s="405"/>
      <c r="D64" s="405"/>
      <c r="E64" s="405"/>
      <c r="F64" s="405"/>
      <c r="G64" s="405"/>
      <c r="H64" s="405"/>
      <c r="I64" s="405"/>
      <c r="J64" s="405"/>
      <c r="K64" s="405"/>
      <c r="L64" s="405"/>
      <c r="M64" s="405"/>
      <c r="N64" s="356"/>
      <c r="O64" s="400"/>
      <c r="P64" s="356"/>
      <c r="Q64" s="356"/>
      <c r="R64" s="356"/>
    </row>
    <row r="65" spans="1:18">
      <c r="A65" s="413"/>
      <c r="B65" s="365"/>
      <c r="C65" s="406"/>
      <c r="D65" s="406"/>
      <c r="E65" s="406"/>
      <c r="F65" s="406"/>
      <c r="G65" s="406"/>
      <c r="H65" s="406"/>
      <c r="I65" s="406"/>
      <c r="J65" s="406"/>
      <c r="K65" s="406"/>
      <c r="L65" s="406"/>
      <c r="M65" s="406"/>
      <c r="N65" s="424"/>
      <c r="O65" s="400"/>
      <c r="P65" s="356"/>
      <c r="Q65" s="356"/>
      <c r="R65" s="356"/>
    </row>
    <row r="66" spans="1:18">
      <c r="A66" s="413"/>
      <c r="B66" s="418"/>
      <c r="C66" s="407"/>
      <c r="D66" s="407"/>
      <c r="E66" s="407"/>
      <c r="F66" s="407"/>
      <c r="G66" s="407"/>
      <c r="H66" s="407"/>
      <c r="I66" s="407"/>
      <c r="J66" s="407"/>
      <c r="K66" s="407"/>
      <c r="L66" s="407"/>
      <c r="M66" s="407"/>
      <c r="N66" s="408"/>
      <c r="O66" s="400"/>
      <c r="P66" s="356"/>
      <c r="Q66" s="356"/>
      <c r="R66" s="356"/>
    </row>
    <row r="67" spans="1:18">
      <c r="A67" s="413"/>
      <c r="B67" s="365"/>
      <c r="C67" s="412"/>
      <c r="D67" s="412"/>
      <c r="E67" s="412"/>
      <c r="F67" s="412"/>
      <c r="G67" s="412"/>
      <c r="H67" s="412"/>
      <c r="I67" s="412"/>
      <c r="J67" s="412"/>
      <c r="K67" s="412"/>
      <c r="L67" s="412"/>
      <c r="M67" s="412"/>
      <c r="N67" s="412"/>
      <c r="O67" s="400"/>
      <c r="P67" s="356"/>
      <c r="Q67" s="356"/>
      <c r="R67" s="356"/>
    </row>
    <row r="68" spans="1:18">
      <c r="A68" s="413"/>
      <c r="B68" s="365"/>
      <c r="C68" s="412"/>
      <c r="D68" s="412"/>
      <c r="E68" s="412"/>
      <c r="F68" s="412"/>
      <c r="G68" s="412"/>
      <c r="H68" s="412"/>
      <c r="I68" s="412"/>
      <c r="J68" s="412"/>
      <c r="K68" s="412"/>
      <c r="L68" s="412"/>
      <c r="M68" s="412"/>
      <c r="N68" s="412"/>
      <c r="O68" s="400"/>
      <c r="P68" s="356"/>
      <c r="Q68" s="356"/>
      <c r="R68" s="356"/>
    </row>
    <row r="69" spans="1:18">
      <c r="A69" s="413"/>
      <c r="B69" s="365"/>
      <c r="C69" s="412"/>
      <c r="D69" s="412"/>
      <c r="E69" s="412"/>
      <c r="F69" s="412"/>
      <c r="G69" s="412"/>
      <c r="H69" s="412"/>
      <c r="I69" s="412"/>
      <c r="J69" s="412"/>
      <c r="K69" s="412"/>
      <c r="L69" s="412"/>
      <c r="M69" s="412"/>
      <c r="N69" s="412"/>
      <c r="O69" s="400"/>
      <c r="P69" s="356"/>
      <c r="Q69" s="356"/>
      <c r="R69" s="356"/>
    </row>
  </sheetData>
  <phoneticPr fontId="19" type="noConversion"/>
  <pageMargins left="0.94999999999999984" right="0.75" top="1" bottom="1" header="0.5" footer="0.5"/>
  <pageSetup scale="48" orientation="portrait" horizontalDpi="300" verticalDpi="300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65">
    <tabColor rgb="FF00B050"/>
    <pageSetUpPr fitToPage="1"/>
  </sheetPr>
  <dimension ref="A1:S49"/>
  <sheetViews>
    <sheetView workbookViewId="0"/>
  </sheetViews>
  <sheetFormatPr defaultColWidth="6.5546875" defaultRowHeight="13.2"/>
  <cols>
    <col min="1" max="1" width="6.5546875" customWidth="1"/>
    <col min="2" max="2" width="34" customWidth="1"/>
    <col min="3" max="8" width="15.44140625" customWidth="1"/>
    <col min="9" max="14" width="15.5546875" customWidth="1"/>
    <col min="15" max="15" width="17" customWidth="1"/>
    <col min="16" max="16" width="12.5546875" customWidth="1"/>
    <col min="17" max="17" width="12" customWidth="1"/>
    <col min="18" max="18" width="13.5546875" customWidth="1"/>
    <col min="19" max="19" width="14.44140625" customWidth="1"/>
    <col min="20" max="20" width="14" customWidth="1"/>
    <col min="21" max="21" width="13.44140625" customWidth="1"/>
    <col min="22" max="22" width="14.44140625" customWidth="1"/>
  </cols>
  <sheetData>
    <row r="1" spans="1:19">
      <c r="A1" s="362" t="str">
        <f>LOGO!B5</f>
        <v>DUKE ENERGY KENTUCKY, INC.</v>
      </c>
      <c r="B1" s="362"/>
      <c r="C1" s="362"/>
      <c r="D1" s="362"/>
      <c r="E1" s="362"/>
      <c r="F1" s="362"/>
      <c r="G1" s="362"/>
      <c r="H1" s="362"/>
      <c r="I1" s="362"/>
      <c r="J1" s="362"/>
      <c r="K1" s="838"/>
      <c r="L1" s="362"/>
      <c r="M1" s="362"/>
      <c r="N1" s="838"/>
      <c r="O1" s="838"/>
      <c r="P1" s="362"/>
      <c r="Q1" s="365"/>
      <c r="R1" s="356"/>
      <c r="S1" s="356"/>
    </row>
    <row r="2" spans="1:19">
      <c r="A2" s="414" t="str">
        <f>LOGO!B6</f>
        <v>CASE NO. 2024-00354</v>
      </c>
      <c r="B2" s="362"/>
      <c r="C2" s="362"/>
      <c r="D2" s="362"/>
      <c r="E2" s="362"/>
      <c r="F2" s="362"/>
      <c r="G2" s="362"/>
      <c r="H2" s="362"/>
      <c r="I2" s="362"/>
      <c r="J2" s="362"/>
      <c r="K2" s="838"/>
      <c r="L2" s="362"/>
      <c r="M2" s="362"/>
      <c r="N2" s="838"/>
      <c r="O2" s="838"/>
      <c r="P2" s="362"/>
      <c r="Q2" s="365"/>
      <c r="R2" s="356"/>
      <c r="S2" s="356"/>
    </row>
    <row r="3" spans="1:19">
      <c r="A3" s="362" t="s">
        <v>2920</v>
      </c>
      <c r="B3" s="362"/>
      <c r="C3" s="362"/>
      <c r="D3" s="362"/>
      <c r="E3" s="362"/>
      <c r="F3" s="362"/>
      <c r="G3" s="362"/>
      <c r="H3" s="362"/>
      <c r="I3" s="362"/>
      <c r="J3" s="362"/>
      <c r="K3" s="838"/>
      <c r="L3" s="362"/>
      <c r="M3" s="362"/>
      <c r="N3" s="838"/>
      <c r="O3" s="838"/>
      <c r="P3" s="362"/>
      <c r="Q3" s="365"/>
      <c r="R3" s="356"/>
      <c r="S3" s="356"/>
    </row>
    <row r="4" spans="1:19">
      <c r="A4" s="839" t="str">
        <f>TESTYR</f>
        <v>12 MONTHS ENDED FEBRUARY 28, 2025</v>
      </c>
      <c r="B4" s="362"/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5"/>
      <c r="R4" s="356"/>
      <c r="S4" s="356"/>
    </row>
    <row r="5" spans="1:19">
      <c r="A5" s="839"/>
      <c r="B5" s="362"/>
      <c r="C5" s="362"/>
      <c r="D5" s="362"/>
      <c r="E5" s="362"/>
      <c r="F5" s="362"/>
      <c r="G5" s="362"/>
      <c r="H5" s="362"/>
      <c r="I5" s="362"/>
      <c r="J5" s="362"/>
      <c r="K5" s="356"/>
      <c r="L5" s="356"/>
      <c r="M5" s="356"/>
      <c r="N5" s="356"/>
      <c r="O5" s="356"/>
      <c r="P5" s="356"/>
      <c r="Q5" s="365"/>
      <c r="R5" s="356"/>
      <c r="S5" s="356"/>
    </row>
    <row r="6" spans="1:19">
      <c r="A6" s="839"/>
      <c r="B6" s="362"/>
      <c r="C6" s="362"/>
      <c r="D6" s="362"/>
      <c r="E6" s="362"/>
      <c r="F6" s="362"/>
      <c r="G6" s="362"/>
      <c r="H6" s="362"/>
      <c r="I6" s="362"/>
      <c r="J6" s="362"/>
      <c r="K6" s="356"/>
      <c r="L6" s="356"/>
      <c r="M6" s="356"/>
      <c r="N6" s="356"/>
      <c r="O6" s="356"/>
      <c r="P6" s="356"/>
      <c r="Q6" s="365"/>
      <c r="R6" s="356"/>
      <c r="S6" s="356"/>
    </row>
    <row r="7" spans="1:19">
      <c r="A7" s="839"/>
      <c r="B7" s="362"/>
      <c r="C7" s="1787"/>
      <c r="D7" s="362"/>
      <c r="E7" s="362"/>
      <c r="F7" s="362"/>
      <c r="G7" s="413"/>
      <c r="H7" s="362"/>
      <c r="I7" s="362"/>
      <c r="J7" s="362"/>
      <c r="K7" s="356"/>
      <c r="L7" s="356"/>
      <c r="M7" s="356"/>
      <c r="N7" s="356"/>
      <c r="O7" s="356"/>
      <c r="P7" s="356"/>
      <c r="Q7" s="365"/>
      <c r="R7" s="356"/>
      <c r="S7" s="356"/>
    </row>
    <row r="8" spans="1:19">
      <c r="A8" s="365"/>
      <c r="B8" s="356"/>
      <c r="C8" s="356"/>
      <c r="D8" s="356"/>
      <c r="E8" s="356"/>
      <c r="F8" s="399"/>
      <c r="G8" s="362"/>
      <c r="H8" s="362"/>
      <c r="I8" s="362"/>
      <c r="J8" s="356"/>
      <c r="K8" s="400"/>
      <c r="L8" s="356"/>
      <c r="M8" s="356"/>
      <c r="N8" s="401"/>
      <c r="O8" s="401"/>
      <c r="P8" s="413"/>
      <c r="Q8" s="365"/>
      <c r="R8" s="413"/>
      <c r="S8" s="413"/>
    </row>
    <row r="9" spans="1:19">
      <c r="A9" s="413">
        <v>1</v>
      </c>
      <c r="B9" s="365" t="s">
        <v>2912</v>
      </c>
      <c r="C9" s="1788">
        <f>LOGO!I7</f>
        <v>45382</v>
      </c>
      <c r="D9" s="1788">
        <f>LOGO!I8</f>
        <v>45412</v>
      </c>
      <c r="E9" s="1788">
        <f>LOGO!I9</f>
        <v>45443</v>
      </c>
      <c r="F9" s="1788">
        <f>LOGO!I10</f>
        <v>45473</v>
      </c>
      <c r="G9" s="1788">
        <f>LOGO!I11</f>
        <v>45504</v>
      </c>
      <c r="H9" s="1788">
        <f>LOGO!I12</f>
        <v>45535</v>
      </c>
      <c r="I9" s="1788">
        <f>LOGO!I13</f>
        <v>45565</v>
      </c>
      <c r="J9" s="1788">
        <f>LOGO!I14</f>
        <v>45596</v>
      </c>
      <c r="K9" s="1788">
        <f>LOGO!I15</f>
        <v>45626</v>
      </c>
      <c r="L9" s="1788">
        <f>LOGO!I16</f>
        <v>45657</v>
      </c>
      <c r="M9" s="1788">
        <f>LOGO!I17</f>
        <v>45688</v>
      </c>
      <c r="N9" s="1788">
        <f>LOGO!I18</f>
        <v>45716</v>
      </c>
      <c r="O9" s="1788" t="s">
        <v>258</v>
      </c>
      <c r="P9" s="423" t="s">
        <v>592</v>
      </c>
      <c r="Q9" s="356"/>
      <c r="R9" s="356"/>
      <c r="S9" s="356"/>
    </row>
    <row r="10" spans="1:19">
      <c r="A10" s="413">
        <v>2</v>
      </c>
      <c r="B10" s="418" t="s">
        <v>2913</v>
      </c>
      <c r="C10" s="1789" t="s">
        <v>2921</v>
      </c>
      <c r="D10" s="1789" t="s">
        <v>2921</v>
      </c>
      <c r="E10" s="1789" t="s">
        <v>2921</v>
      </c>
      <c r="F10" s="1789" t="s">
        <v>2921</v>
      </c>
      <c r="G10" s="1789" t="s">
        <v>2921</v>
      </c>
      <c r="H10" s="1789" t="s">
        <v>2921</v>
      </c>
      <c r="I10" s="1789" t="s">
        <v>2922</v>
      </c>
      <c r="J10" s="1789" t="s">
        <v>2922</v>
      </c>
      <c r="K10" s="1789" t="s">
        <v>2922</v>
      </c>
      <c r="L10" s="1789" t="s">
        <v>2922</v>
      </c>
      <c r="M10" s="1789" t="s">
        <v>2922</v>
      </c>
      <c r="N10" s="1789" t="s">
        <v>2922</v>
      </c>
      <c r="O10" s="402"/>
      <c r="P10" s="404"/>
      <c r="Q10" s="406"/>
      <c r="R10" s="406"/>
      <c r="S10" s="406"/>
    </row>
    <row r="11" spans="1:19">
      <c r="A11" s="413">
        <v>3</v>
      </c>
      <c r="B11" s="365" t="s">
        <v>2905</v>
      </c>
      <c r="C11" s="402"/>
      <c r="D11" s="402"/>
      <c r="E11" s="402"/>
      <c r="F11" s="402"/>
      <c r="G11" s="402"/>
      <c r="H11" s="402"/>
      <c r="I11" s="402"/>
      <c r="J11" s="402"/>
      <c r="K11" s="402"/>
      <c r="L11" s="402"/>
      <c r="M11" s="402"/>
      <c r="N11" s="402"/>
      <c r="O11" s="402"/>
      <c r="P11" s="404"/>
      <c r="Q11" s="356"/>
      <c r="R11" s="356"/>
      <c r="S11" s="356"/>
    </row>
    <row r="12" spans="1:19">
      <c r="A12" s="413">
        <v>4</v>
      </c>
      <c r="B12" s="365" t="s">
        <v>2923</v>
      </c>
      <c r="C12" s="402">
        <v>140298</v>
      </c>
      <c r="D12" s="402">
        <v>140769</v>
      </c>
      <c r="E12" s="402">
        <v>140909</v>
      </c>
      <c r="F12" s="402">
        <v>140789</v>
      </c>
      <c r="G12" s="402">
        <v>141280</v>
      </c>
      <c r="H12" s="402">
        <v>141325</v>
      </c>
      <c r="I12" s="402">
        <v>139450</v>
      </c>
      <c r="J12" s="402">
        <v>139547</v>
      </c>
      <c r="K12" s="402">
        <v>139643</v>
      </c>
      <c r="L12" s="402">
        <v>139739</v>
      </c>
      <c r="M12" s="402">
        <v>139835</v>
      </c>
      <c r="N12" s="402">
        <v>139926</v>
      </c>
      <c r="O12" s="2202">
        <f>SUM(C12:N12)</f>
        <v>1683510</v>
      </c>
      <c r="P12" s="404">
        <f>ROUND(O12/12,0)</f>
        <v>140293</v>
      </c>
      <c r="Q12" s="406"/>
      <c r="R12" s="406"/>
      <c r="S12" s="406"/>
    </row>
    <row r="13" spans="1:19">
      <c r="A13" s="413">
        <v>5</v>
      </c>
      <c r="B13" s="365" t="s">
        <v>2924</v>
      </c>
      <c r="C13" s="402">
        <v>13850</v>
      </c>
      <c r="D13" s="402">
        <v>13592</v>
      </c>
      <c r="E13" s="402">
        <v>14061</v>
      </c>
      <c r="F13" s="402">
        <v>10857</v>
      </c>
      <c r="G13" s="402">
        <v>13791</v>
      </c>
      <c r="H13" s="402">
        <v>14044</v>
      </c>
      <c r="I13" s="402">
        <v>12361</v>
      </c>
      <c r="J13" s="402">
        <v>12352</v>
      </c>
      <c r="K13" s="402">
        <v>12343</v>
      </c>
      <c r="L13" s="402">
        <v>12334</v>
      </c>
      <c r="M13" s="402">
        <v>12323</v>
      </c>
      <c r="N13" s="402">
        <v>12313</v>
      </c>
      <c r="O13" s="2202">
        <f>SUM(C13:N13)</f>
        <v>154221</v>
      </c>
      <c r="P13" s="404">
        <f>ROUND(O13/12,0)</f>
        <v>12852</v>
      </c>
      <c r="Q13" s="406"/>
      <c r="R13" s="406"/>
      <c r="S13" s="406"/>
    </row>
    <row r="14" spans="1:19">
      <c r="A14" s="413">
        <v>6</v>
      </c>
      <c r="B14" s="365" t="s">
        <v>2925</v>
      </c>
      <c r="C14" s="402">
        <v>353</v>
      </c>
      <c r="D14" s="402">
        <v>345</v>
      </c>
      <c r="E14" s="402">
        <v>359</v>
      </c>
      <c r="F14" s="402">
        <v>289</v>
      </c>
      <c r="G14" s="402">
        <v>354</v>
      </c>
      <c r="H14" s="402">
        <v>354</v>
      </c>
      <c r="I14" s="402">
        <v>329</v>
      </c>
      <c r="J14" s="402">
        <v>329</v>
      </c>
      <c r="K14" s="402">
        <v>329</v>
      </c>
      <c r="L14" s="402">
        <v>329</v>
      </c>
      <c r="M14" s="402">
        <v>329</v>
      </c>
      <c r="N14" s="402">
        <v>329</v>
      </c>
      <c r="O14" s="2202">
        <f>SUM(C14:N14)</f>
        <v>4028</v>
      </c>
      <c r="P14" s="404">
        <f>ROUND(O14/12,0)</f>
        <v>336</v>
      </c>
      <c r="Q14" s="356"/>
      <c r="R14" s="356"/>
      <c r="S14" s="356"/>
    </row>
    <row r="15" spans="1:19">
      <c r="A15" s="413">
        <v>7</v>
      </c>
      <c r="B15" s="365" t="s">
        <v>2926</v>
      </c>
      <c r="C15" s="402">
        <v>631</v>
      </c>
      <c r="D15" s="402">
        <v>636</v>
      </c>
      <c r="E15" s="402">
        <v>651</v>
      </c>
      <c r="F15" s="402">
        <v>655</v>
      </c>
      <c r="G15" s="402">
        <v>642</v>
      </c>
      <c r="H15" s="402">
        <v>653</v>
      </c>
      <c r="I15" s="402">
        <v>531</v>
      </c>
      <c r="J15" s="402">
        <v>532</v>
      </c>
      <c r="K15" s="402">
        <v>532</v>
      </c>
      <c r="L15" s="402">
        <v>532</v>
      </c>
      <c r="M15" s="402">
        <v>533</v>
      </c>
      <c r="N15" s="402">
        <v>533</v>
      </c>
      <c r="O15" s="2202">
        <f>SUM(C15:N15)</f>
        <v>7061</v>
      </c>
      <c r="P15" s="404">
        <f>ROUND(O15/12,0)</f>
        <v>588</v>
      </c>
      <c r="Q15" s="356"/>
      <c r="R15" s="356"/>
      <c r="S15" s="356"/>
    </row>
    <row r="16" spans="1:19">
      <c r="A16" s="413">
        <v>8</v>
      </c>
      <c r="B16" s="365" t="s">
        <v>1491</v>
      </c>
      <c r="C16" s="409">
        <v>967</v>
      </c>
      <c r="D16" s="409">
        <v>920</v>
      </c>
      <c r="E16" s="409">
        <v>969</v>
      </c>
      <c r="F16" s="409">
        <v>587</v>
      </c>
      <c r="G16" s="409">
        <v>938</v>
      </c>
      <c r="H16" s="409">
        <v>967</v>
      </c>
      <c r="I16" s="409">
        <v>862</v>
      </c>
      <c r="J16" s="409">
        <v>862</v>
      </c>
      <c r="K16" s="409">
        <v>863</v>
      </c>
      <c r="L16" s="409">
        <v>864</v>
      </c>
      <c r="M16" s="409">
        <v>864</v>
      </c>
      <c r="N16" s="409">
        <v>865</v>
      </c>
      <c r="O16" s="420">
        <f>SUM(C16:N16)</f>
        <v>10528</v>
      </c>
      <c r="P16" s="403">
        <f>ROUND(O16/12,0)</f>
        <v>877</v>
      </c>
      <c r="Q16" s="356"/>
      <c r="R16" s="356"/>
      <c r="S16" s="356"/>
    </row>
    <row r="17" spans="1:19">
      <c r="A17" s="413">
        <v>9</v>
      </c>
      <c r="B17" s="365" t="s">
        <v>2927</v>
      </c>
      <c r="C17" s="403">
        <f t="shared" ref="C17:O17" si="0">SUM(C12:C16)</f>
        <v>156099</v>
      </c>
      <c r="D17" s="403">
        <f t="shared" si="0"/>
        <v>156262</v>
      </c>
      <c r="E17" s="403">
        <f t="shared" si="0"/>
        <v>156949</v>
      </c>
      <c r="F17" s="403">
        <f t="shared" si="0"/>
        <v>153177</v>
      </c>
      <c r="G17" s="403">
        <f t="shared" si="0"/>
        <v>157005</v>
      </c>
      <c r="H17" s="403">
        <f t="shared" si="0"/>
        <v>157343</v>
      </c>
      <c r="I17" s="403">
        <f t="shared" si="0"/>
        <v>153533</v>
      </c>
      <c r="J17" s="403">
        <f t="shared" si="0"/>
        <v>153622</v>
      </c>
      <c r="K17" s="403">
        <f t="shared" si="0"/>
        <v>153710</v>
      </c>
      <c r="L17" s="403">
        <f t="shared" si="0"/>
        <v>153798</v>
      </c>
      <c r="M17" s="403">
        <f t="shared" si="0"/>
        <v>153884</v>
      </c>
      <c r="N17" s="403">
        <f t="shared" si="0"/>
        <v>153966</v>
      </c>
      <c r="O17" s="403">
        <f t="shared" si="0"/>
        <v>1859348</v>
      </c>
      <c r="P17" s="419">
        <f>ROUND(AVERAGE(C17:N17),0)</f>
        <v>154946</v>
      </c>
      <c r="Q17" s="356"/>
      <c r="R17" s="356"/>
      <c r="S17" s="356"/>
    </row>
    <row r="18" spans="1:19">
      <c r="A18" s="413">
        <v>10</v>
      </c>
      <c r="B18" s="365"/>
      <c r="C18" s="404"/>
      <c r="D18" s="404"/>
      <c r="E18" s="404"/>
      <c r="F18" s="404"/>
      <c r="G18" s="404"/>
      <c r="H18" s="404"/>
      <c r="I18" s="404"/>
      <c r="J18" s="400"/>
      <c r="K18" s="356"/>
      <c r="L18" s="356"/>
      <c r="M18" s="356"/>
      <c r="N18" s="356"/>
      <c r="O18" s="356"/>
      <c r="P18" s="356"/>
      <c r="Q18" s="356"/>
      <c r="R18" s="356"/>
      <c r="S18" s="356"/>
    </row>
    <row r="19" spans="1:19">
      <c r="A19" s="413">
        <v>11</v>
      </c>
      <c r="B19" s="365" t="s">
        <v>2928</v>
      </c>
      <c r="C19" s="404"/>
      <c r="D19" s="404"/>
      <c r="E19" s="404"/>
      <c r="F19" s="404"/>
      <c r="G19" s="404"/>
      <c r="H19" s="404"/>
      <c r="I19" s="404"/>
      <c r="J19" s="400"/>
      <c r="K19" s="356"/>
      <c r="L19" s="356"/>
      <c r="M19" s="356"/>
      <c r="N19" s="356"/>
      <c r="O19" s="356"/>
      <c r="P19" s="356"/>
      <c r="Q19" s="356"/>
      <c r="R19" s="356"/>
      <c r="S19" s="356"/>
    </row>
    <row r="20" spans="1:19">
      <c r="A20" s="413">
        <v>12</v>
      </c>
      <c r="B20" s="418" t="s">
        <v>2929</v>
      </c>
      <c r="C20" s="404"/>
      <c r="D20" s="404"/>
      <c r="E20" s="404"/>
      <c r="F20" s="404"/>
      <c r="G20" s="404"/>
      <c r="H20" s="404"/>
      <c r="I20" s="404"/>
      <c r="J20" s="400"/>
      <c r="K20" s="356"/>
      <c r="L20" s="356"/>
      <c r="M20" s="356"/>
      <c r="N20" s="356"/>
      <c r="O20" s="356"/>
      <c r="P20" s="356"/>
      <c r="Q20" s="356"/>
      <c r="R20" s="356"/>
      <c r="S20" s="356"/>
    </row>
    <row r="21" spans="1:19">
      <c r="A21" s="413">
        <v>13</v>
      </c>
      <c r="B21" s="365" t="s">
        <v>2905</v>
      </c>
      <c r="C21" s="404"/>
      <c r="D21" s="404"/>
      <c r="E21" s="404"/>
      <c r="F21" s="404"/>
      <c r="G21" s="404"/>
      <c r="H21" s="404"/>
      <c r="I21" s="404"/>
      <c r="J21" s="400"/>
      <c r="K21" s="356"/>
      <c r="L21" s="356"/>
      <c r="M21" s="356"/>
      <c r="N21" s="356"/>
      <c r="O21" s="356"/>
      <c r="P21" s="356"/>
      <c r="Q21" s="356"/>
      <c r="R21" s="356"/>
      <c r="S21" s="356"/>
    </row>
    <row r="22" spans="1:19">
      <c r="A22" s="413">
        <v>14</v>
      </c>
      <c r="B22" s="365" t="s">
        <v>2923</v>
      </c>
      <c r="C22" s="402">
        <v>105311521</v>
      </c>
      <c r="D22" s="402">
        <v>96012051</v>
      </c>
      <c r="E22" s="402">
        <v>104148511</v>
      </c>
      <c r="F22" s="402">
        <v>122138649</v>
      </c>
      <c r="G22" s="402">
        <v>162194133</v>
      </c>
      <c r="H22" s="402">
        <v>154270419</v>
      </c>
      <c r="I22" s="402">
        <v>139489525</v>
      </c>
      <c r="J22" s="402">
        <v>97468314</v>
      </c>
      <c r="K22" s="402">
        <v>95654473</v>
      </c>
      <c r="L22" s="402">
        <v>136659718</v>
      </c>
      <c r="M22" s="402">
        <v>162985979</v>
      </c>
      <c r="N22" s="402">
        <v>151840374</v>
      </c>
      <c r="O22" s="2202">
        <f>SUM(C22:N22)</f>
        <v>1528173667</v>
      </c>
      <c r="P22" s="356"/>
      <c r="Q22" s="356"/>
      <c r="R22" s="356"/>
      <c r="S22" s="356"/>
    </row>
    <row r="23" spans="1:19">
      <c r="A23" s="413">
        <v>15</v>
      </c>
      <c r="B23" s="365" t="s">
        <v>2924</v>
      </c>
      <c r="C23" s="402">
        <v>117242248</v>
      </c>
      <c r="D23" s="402">
        <v>116628543</v>
      </c>
      <c r="E23" s="402">
        <v>125169843</v>
      </c>
      <c r="F23" s="402">
        <v>108932516</v>
      </c>
      <c r="G23" s="402">
        <v>172589364</v>
      </c>
      <c r="H23" s="402">
        <v>152687155</v>
      </c>
      <c r="I23" s="402">
        <v>130275962</v>
      </c>
      <c r="J23" s="402">
        <v>116209606</v>
      </c>
      <c r="K23" s="402">
        <v>109257321</v>
      </c>
      <c r="L23" s="402">
        <v>121078711</v>
      </c>
      <c r="M23" s="402">
        <v>124133387</v>
      </c>
      <c r="N23" s="402">
        <v>115449974</v>
      </c>
      <c r="O23" s="2202">
        <f>SUM(C23:N23)</f>
        <v>1509654630</v>
      </c>
      <c r="P23" s="356"/>
      <c r="Q23" s="356"/>
      <c r="R23" s="356"/>
      <c r="S23" s="356"/>
    </row>
    <row r="24" spans="1:19">
      <c r="A24" s="413">
        <v>16</v>
      </c>
      <c r="B24" s="365" t="s">
        <v>2925</v>
      </c>
      <c r="C24" s="402">
        <v>57523956</v>
      </c>
      <c r="D24" s="402">
        <v>58430259</v>
      </c>
      <c r="E24" s="402">
        <v>53792163</v>
      </c>
      <c r="F24" s="402">
        <v>68618748</v>
      </c>
      <c r="G24" s="402">
        <v>59347698</v>
      </c>
      <c r="H24" s="402">
        <v>79088267</v>
      </c>
      <c r="I24" s="402">
        <v>68540135</v>
      </c>
      <c r="J24" s="402">
        <v>61249072</v>
      </c>
      <c r="K24" s="402">
        <v>61457642</v>
      </c>
      <c r="L24" s="402">
        <v>62334006</v>
      </c>
      <c r="M24" s="402">
        <v>59698395</v>
      </c>
      <c r="N24" s="402">
        <v>58292871</v>
      </c>
      <c r="O24" s="2202">
        <f>SUM(C24:N24)</f>
        <v>748373212</v>
      </c>
      <c r="P24" s="356"/>
      <c r="Q24" s="356"/>
      <c r="R24" s="356"/>
      <c r="S24" s="356"/>
    </row>
    <row r="25" spans="1:19">
      <c r="A25" s="413">
        <v>17</v>
      </c>
      <c r="B25" s="365" t="s">
        <v>2926</v>
      </c>
      <c r="C25" s="402">
        <v>1375324</v>
      </c>
      <c r="D25" s="402">
        <v>1095281</v>
      </c>
      <c r="E25" s="402">
        <v>1199900</v>
      </c>
      <c r="F25" s="402">
        <v>1138668</v>
      </c>
      <c r="G25" s="402">
        <v>975381</v>
      </c>
      <c r="H25" s="402">
        <v>1022696</v>
      </c>
      <c r="I25" s="402">
        <v>1344729</v>
      </c>
      <c r="J25" s="402">
        <v>1007918</v>
      </c>
      <c r="K25" s="402">
        <v>1121912</v>
      </c>
      <c r="L25" s="402">
        <v>1025840</v>
      </c>
      <c r="M25" s="402">
        <v>1114598</v>
      </c>
      <c r="N25" s="402">
        <v>1049324</v>
      </c>
      <c r="O25" s="2202">
        <f>SUM(C25:N25)</f>
        <v>13471571</v>
      </c>
      <c r="P25" s="356"/>
      <c r="Q25" s="356"/>
      <c r="R25" s="356"/>
      <c r="S25" s="356"/>
    </row>
    <row r="26" spans="1:19">
      <c r="A26" s="413">
        <v>18</v>
      </c>
      <c r="B26" s="365" t="s">
        <v>1491</v>
      </c>
      <c r="C26" s="409">
        <f>17725402+32183</f>
        <v>17757585</v>
      </c>
      <c r="D26" s="409">
        <f>13990766+4674</f>
        <v>13995440</v>
      </c>
      <c r="E26" s="409">
        <f>19980842+4578</f>
        <v>19985420</v>
      </c>
      <c r="F26" s="409">
        <f>16316374+4815</f>
        <v>16321189</v>
      </c>
      <c r="G26" s="409">
        <f>23678705+1211</f>
        <v>23679916</v>
      </c>
      <c r="H26" s="409">
        <f>22204243+7354</f>
        <v>22211597</v>
      </c>
      <c r="I26" s="409">
        <v>24935395</v>
      </c>
      <c r="J26" s="409">
        <v>22225576</v>
      </c>
      <c r="K26" s="409">
        <v>19368886</v>
      </c>
      <c r="L26" s="409">
        <v>22279388</v>
      </c>
      <c r="M26" s="409">
        <v>22190173</v>
      </c>
      <c r="N26" s="409">
        <v>21744914</v>
      </c>
      <c r="O26" s="420">
        <f>SUM(C26:N26)</f>
        <v>246695479</v>
      </c>
      <c r="P26" s="356"/>
      <c r="Q26" s="356"/>
      <c r="R26" s="356"/>
      <c r="S26" s="356"/>
    </row>
    <row r="27" spans="1:19">
      <c r="A27" s="413">
        <v>19</v>
      </c>
      <c r="B27" s="365" t="s">
        <v>2927</v>
      </c>
      <c r="C27" s="403">
        <f t="shared" ref="C27:H27" si="1">SUM(C22:C26)</f>
        <v>299210634</v>
      </c>
      <c r="D27" s="403">
        <f t="shared" si="1"/>
        <v>286161574</v>
      </c>
      <c r="E27" s="403">
        <f t="shared" si="1"/>
        <v>304295837</v>
      </c>
      <c r="F27" s="403">
        <f t="shared" si="1"/>
        <v>317149770</v>
      </c>
      <c r="G27" s="403">
        <f t="shared" si="1"/>
        <v>418786492</v>
      </c>
      <c r="H27" s="403">
        <f t="shared" si="1"/>
        <v>409280134</v>
      </c>
      <c r="I27" s="403">
        <f t="shared" ref="I27:O27" si="2">SUM(I22:I26)</f>
        <v>364585746</v>
      </c>
      <c r="J27" s="403">
        <f t="shared" si="2"/>
        <v>298160486</v>
      </c>
      <c r="K27" s="403">
        <f t="shared" si="2"/>
        <v>286860234</v>
      </c>
      <c r="L27" s="403">
        <f t="shared" si="2"/>
        <v>343377663</v>
      </c>
      <c r="M27" s="403">
        <f t="shared" si="2"/>
        <v>370122532</v>
      </c>
      <c r="N27" s="403">
        <f t="shared" si="2"/>
        <v>348377457</v>
      </c>
      <c r="O27" s="403">
        <f t="shared" si="2"/>
        <v>4046368559</v>
      </c>
      <c r="P27" s="356"/>
      <c r="Q27" s="356"/>
      <c r="R27" s="356"/>
      <c r="S27" s="356"/>
    </row>
    <row r="28" spans="1:19">
      <c r="A28" s="413"/>
      <c r="B28" s="365"/>
      <c r="C28" s="404"/>
      <c r="D28" s="404"/>
      <c r="E28" s="404"/>
      <c r="F28" s="404"/>
      <c r="G28" s="404"/>
      <c r="H28" s="404"/>
      <c r="I28" s="404"/>
      <c r="J28" s="400"/>
      <c r="K28" s="356"/>
      <c r="L28" s="356"/>
      <c r="M28" s="356"/>
      <c r="N28" s="356"/>
      <c r="O28" s="356"/>
      <c r="P28" s="356"/>
      <c r="Q28" s="356"/>
      <c r="R28" s="356"/>
      <c r="S28" s="356"/>
    </row>
    <row r="29" spans="1:19">
      <c r="A29" s="413"/>
      <c r="B29" s="365"/>
      <c r="C29" s="356"/>
      <c r="D29" s="356"/>
      <c r="E29" s="362"/>
      <c r="F29" s="362"/>
      <c r="G29" s="362"/>
      <c r="H29" s="362"/>
      <c r="I29" s="356"/>
      <c r="J29" s="400"/>
      <c r="K29" s="356"/>
      <c r="L29" s="356"/>
      <c r="M29" s="356"/>
      <c r="N29" s="356"/>
      <c r="O29" s="404"/>
      <c r="P29" s="356"/>
      <c r="Q29" s="356"/>
      <c r="R29" s="356"/>
      <c r="S29" s="356"/>
    </row>
    <row r="30" spans="1:19">
      <c r="A30" s="356"/>
      <c r="B30" s="840" t="s">
        <v>2930</v>
      </c>
      <c r="C30" s="356"/>
      <c r="D30" s="356"/>
      <c r="E30" s="362"/>
      <c r="F30" s="362"/>
      <c r="G30" s="362"/>
      <c r="H30" s="362"/>
      <c r="I30" s="356"/>
      <c r="J30" s="400"/>
      <c r="K30" s="356"/>
      <c r="L30" s="356"/>
      <c r="M30" s="356"/>
      <c r="N30" s="356"/>
      <c r="O30" s="356"/>
      <c r="P30" s="356"/>
      <c r="Q30" s="356"/>
      <c r="R30" s="356"/>
      <c r="S30" s="356"/>
    </row>
    <row r="31" spans="1:19">
      <c r="A31" s="356"/>
      <c r="B31" s="356"/>
      <c r="C31" s="356"/>
      <c r="D31" s="356"/>
      <c r="E31" s="362"/>
      <c r="F31" s="362"/>
      <c r="G31" s="362"/>
      <c r="H31" s="362"/>
      <c r="I31" s="404"/>
      <c r="J31" s="404"/>
      <c r="K31" s="404"/>
      <c r="L31" s="356"/>
      <c r="M31" s="356"/>
      <c r="N31" s="356"/>
      <c r="O31" s="356"/>
      <c r="P31" s="356"/>
      <c r="Q31" s="356"/>
      <c r="R31" s="356"/>
      <c r="S31" s="356"/>
    </row>
    <row r="32" spans="1:19">
      <c r="A32" s="356"/>
      <c r="B32" s="365"/>
      <c r="C32" s="356"/>
      <c r="D32" s="356"/>
      <c r="E32" s="362"/>
      <c r="F32" s="362"/>
      <c r="G32" s="362"/>
      <c r="H32" s="362"/>
      <c r="I32" s="404"/>
      <c r="J32" s="404"/>
      <c r="K32" s="404"/>
      <c r="L32" s="356"/>
      <c r="M32" s="356"/>
      <c r="N32" s="356"/>
      <c r="O32" s="356"/>
      <c r="P32" s="356"/>
      <c r="Q32" s="356"/>
      <c r="R32" s="356"/>
      <c r="S32" s="356"/>
    </row>
    <row r="33" spans="1:19">
      <c r="A33" s="356"/>
      <c r="B33" s="356"/>
      <c r="C33" s="356"/>
      <c r="D33" s="356"/>
      <c r="E33" s="362"/>
      <c r="F33" s="362"/>
      <c r="G33" s="362"/>
      <c r="H33" s="362"/>
      <c r="I33" s="404"/>
      <c r="J33" s="404"/>
      <c r="K33" s="404"/>
      <c r="L33" s="356"/>
      <c r="M33" s="356"/>
      <c r="N33" s="356"/>
      <c r="O33" s="356"/>
      <c r="P33" s="356"/>
      <c r="Q33" s="356"/>
      <c r="R33" s="356"/>
      <c r="S33" s="356"/>
    </row>
    <row r="34" spans="1:19">
      <c r="A34" s="356"/>
      <c r="B34" s="356"/>
      <c r="C34" s="356"/>
      <c r="D34" s="356"/>
      <c r="E34" s="362"/>
      <c r="F34" s="362"/>
      <c r="G34" s="362"/>
      <c r="H34" s="362"/>
      <c r="I34" s="404"/>
      <c r="J34" s="404"/>
      <c r="K34" s="404"/>
      <c r="L34" s="356"/>
      <c r="M34" s="356"/>
      <c r="N34" s="356"/>
      <c r="O34" s="356"/>
      <c r="P34" s="356"/>
      <c r="Q34" s="356"/>
      <c r="R34" s="356"/>
      <c r="S34" s="356"/>
    </row>
    <row r="35" spans="1:19">
      <c r="A35" s="356"/>
      <c r="B35" s="356"/>
      <c r="C35" s="356"/>
      <c r="D35" s="356"/>
      <c r="E35" s="362"/>
      <c r="F35" s="362"/>
      <c r="G35" s="362"/>
      <c r="H35" s="362"/>
      <c r="I35" s="404"/>
      <c r="J35" s="404"/>
      <c r="K35" s="404"/>
      <c r="L35" s="356"/>
      <c r="M35" s="356"/>
      <c r="N35" s="356"/>
      <c r="O35" s="356"/>
      <c r="P35" s="356"/>
      <c r="Q35" s="356"/>
      <c r="R35" s="356"/>
      <c r="S35" s="356"/>
    </row>
    <row r="36" spans="1:19">
      <c r="A36" s="413"/>
      <c r="B36" s="356"/>
      <c r="C36" s="356"/>
      <c r="D36" s="356"/>
      <c r="E36" s="356"/>
      <c r="F36" s="356"/>
      <c r="G36" s="356"/>
      <c r="H36" s="356"/>
      <c r="I36" s="356"/>
      <c r="J36" s="356"/>
      <c r="K36" s="356"/>
      <c r="L36" s="356"/>
      <c r="M36" s="356"/>
      <c r="N36" s="356"/>
      <c r="O36" s="356"/>
      <c r="P36" s="356"/>
      <c r="Q36" s="356"/>
      <c r="R36" s="356"/>
      <c r="S36" s="356"/>
    </row>
    <row r="37" spans="1:19">
      <c r="A37" s="423"/>
      <c r="B37" s="418"/>
      <c r="C37" s="356"/>
      <c r="D37" s="356"/>
      <c r="E37" s="356"/>
      <c r="F37" s="356"/>
      <c r="G37" s="356"/>
      <c r="H37" s="356"/>
      <c r="I37" s="356"/>
      <c r="J37" s="400"/>
      <c r="K37" s="356"/>
      <c r="L37" s="356"/>
      <c r="M37" s="356"/>
      <c r="N37" s="356"/>
      <c r="O37" s="356"/>
      <c r="P37" s="356"/>
      <c r="Q37" s="356"/>
      <c r="R37" s="356"/>
      <c r="S37" s="356"/>
    </row>
    <row r="38" spans="1:19">
      <c r="A38" s="413"/>
      <c r="B38" s="365"/>
      <c r="C38" s="405"/>
      <c r="D38" s="405"/>
      <c r="E38" s="405"/>
      <c r="F38" s="405"/>
      <c r="G38" s="356"/>
      <c r="H38" s="405"/>
      <c r="I38" s="405"/>
      <c r="J38" s="400"/>
      <c r="K38" s="356"/>
      <c r="L38" s="356"/>
      <c r="M38" s="356"/>
      <c r="N38" s="356"/>
      <c r="O38" s="356"/>
      <c r="P38" s="356"/>
      <c r="Q38" s="356"/>
      <c r="R38" s="356"/>
      <c r="S38" s="356"/>
    </row>
    <row r="39" spans="1:19">
      <c r="A39" s="413"/>
      <c r="B39" s="365"/>
      <c r="C39" s="406"/>
      <c r="D39" s="406"/>
      <c r="E39" s="406"/>
      <c r="F39" s="406"/>
      <c r="G39" s="424"/>
      <c r="H39" s="406"/>
      <c r="I39" s="406"/>
      <c r="J39" s="400"/>
      <c r="K39" s="356"/>
      <c r="L39" s="356"/>
      <c r="M39" s="356"/>
      <c r="N39" s="356"/>
      <c r="O39" s="356"/>
      <c r="P39" s="356"/>
      <c r="Q39" s="356"/>
      <c r="R39" s="356"/>
      <c r="S39" s="356"/>
    </row>
    <row r="40" spans="1:19">
      <c r="A40" s="413"/>
      <c r="B40" s="418"/>
      <c r="C40" s="407"/>
      <c r="D40" s="407"/>
      <c r="E40" s="407"/>
      <c r="F40" s="407"/>
      <c r="G40" s="408"/>
      <c r="H40" s="407"/>
      <c r="I40" s="407"/>
      <c r="J40" s="400"/>
      <c r="K40" s="356"/>
      <c r="L40" s="356"/>
      <c r="M40" s="356"/>
      <c r="N40" s="356"/>
      <c r="O40" s="356"/>
      <c r="P40" s="356"/>
      <c r="Q40" s="356"/>
      <c r="R40" s="356"/>
      <c r="S40" s="356"/>
    </row>
    <row r="41" spans="1:19">
      <c r="A41" s="413"/>
      <c r="B41" s="365"/>
      <c r="C41" s="402"/>
      <c r="D41" s="402"/>
      <c r="E41" s="402"/>
      <c r="F41" s="402"/>
      <c r="G41" s="402"/>
      <c r="H41" s="402"/>
      <c r="I41" s="402"/>
      <c r="J41" s="400"/>
      <c r="K41" s="356"/>
      <c r="L41" s="356"/>
      <c r="M41" s="356"/>
      <c r="N41" s="356"/>
      <c r="O41" s="356"/>
      <c r="P41" s="356"/>
      <c r="Q41" s="356"/>
      <c r="R41" s="356"/>
      <c r="S41" s="356"/>
    </row>
    <row r="42" spans="1:19">
      <c r="A42" s="413"/>
      <c r="B42" s="365"/>
      <c r="C42" s="402"/>
      <c r="D42" s="402"/>
      <c r="E42" s="402"/>
      <c r="F42" s="402"/>
      <c r="G42" s="402"/>
      <c r="H42" s="402"/>
      <c r="I42" s="402"/>
      <c r="J42" s="400"/>
      <c r="K42" s="356"/>
      <c r="L42" s="356"/>
      <c r="M42" s="356"/>
      <c r="N42" s="356"/>
      <c r="O42" s="356"/>
      <c r="P42" s="356"/>
      <c r="Q42" s="356"/>
      <c r="R42" s="356"/>
      <c r="S42" s="356"/>
    </row>
    <row r="43" spans="1:19">
      <c r="A43" s="413"/>
      <c r="B43" s="365"/>
      <c r="C43" s="402"/>
      <c r="D43" s="402"/>
      <c r="E43" s="402"/>
      <c r="F43" s="402"/>
      <c r="G43" s="402"/>
      <c r="H43" s="402"/>
      <c r="I43" s="402"/>
      <c r="J43" s="400"/>
      <c r="K43" s="356"/>
      <c r="L43" s="356"/>
      <c r="M43" s="356"/>
      <c r="N43" s="356"/>
      <c r="O43" s="356"/>
      <c r="P43" s="356"/>
      <c r="Q43" s="356"/>
      <c r="R43" s="356"/>
      <c r="S43" s="356"/>
    </row>
    <row r="44" spans="1:19">
      <c r="A44" s="413"/>
      <c r="B44" s="365"/>
      <c r="C44" s="409"/>
      <c r="D44" s="409"/>
      <c r="E44" s="409"/>
      <c r="F44" s="409"/>
      <c r="G44" s="409"/>
      <c r="H44" s="409"/>
      <c r="I44" s="409"/>
      <c r="J44" s="400"/>
      <c r="K44" s="356"/>
      <c r="L44" s="356"/>
      <c r="M44" s="356"/>
      <c r="N44" s="356"/>
      <c r="O44" s="356"/>
      <c r="P44" s="356"/>
      <c r="Q44" s="356"/>
      <c r="R44" s="356"/>
      <c r="S44" s="356"/>
    </row>
    <row r="45" spans="1:19">
      <c r="A45" s="413"/>
      <c r="B45" s="365"/>
      <c r="C45" s="410"/>
      <c r="D45" s="410"/>
      <c r="E45" s="410"/>
      <c r="F45" s="410"/>
      <c r="G45" s="410"/>
      <c r="H45" s="410"/>
      <c r="I45" s="410"/>
      <c r="J45" s="400"/>
      <c r="K45" s="356"/>
      <c r="L45" s="356"/>
      <c r="M45" s="356"/>
      <c r="N45" s="356"/>
      <c r="O45" s="356"/>
      <c r="P45" s="356"/>
      <c r="Q45" s="356"/>
      <c r="R45" s="356"/>
      <c r="S45" s="356"/>
    </row>
    <row r="46" spans="1:19">
      <c r="A46" s="413"/>
      <c r="B46" s="356"/>
      <c r="C46" s="411"/>
      <c r="D46" s="411"/>
      <c r="E46" s="411"/>
      <c r="F46" s="411"/>
      <c r="G46" s="411"/>
      <c r="H46" s="411"/>
      <c r="I46" s="411"/>
      <c r="J46" s="400"/>
      <c r="K46" s="356"/>
      <c r="L46" s="356"/>
      <c r="M46" s="356"/>
      <c r="N46" s="356"/>
      <c r="O46" s="356"/>
      <c r="P46" s="356"/>
      <c r="Q46" s="356"/>
      <c r="R46" s="356"/>
      <c r="S46" s="356"/>
    </row>
    <row r="47" spans="1:19">
      <c r="A47" s="413"/>
      <c r="B47" s="365"/>
      <c r="C47" s="356"/>
      <c r="D47" s="356"/>
      <c r="E47" s="356"/>
      <c r="F47" s="356"/>
      <c r="G47" s="356"/>
      <c r="H47" s="356"/>
      <c r="I47" s="356"/>
      <c r="J47" s="400"/>
      <c r="K47" s="356"/>
      <c r="L47" s="356"/>
      <c r="M47" s="356"/>
      <c r="N47" s="356"/>
      <c r="O47" s="356"/>
      <c r="P47" s="356"/>
      <c r="Q47" s="356"/>
      <c r="R47" s="356"/>
      <c r="S47" s="356"/>
    </row>
    <row r="48" spans="1:19">
      <c r="A48" s="413"/>
      <c r="B48" s="418"/>
      <c r="C48" s="356"/>
      <c r="D48" s="356"/>
      <c r="E48" s="356"/>
      <c r="F48" s="356"/>
      <c r="G48" s="356"/>
      <c r="H48" s="356"/>
      <c r="I48" s="356"/>
      <c r="J48" s="400"/>
      <c r="K48" s="356"/>
      <c r="L48" s="356"/>
      <c r="M48" s="356"/>
      <c r="N48" s="356"/>
      <c r="O48" s="356"/>
      <c r="P48" s="356"/>
      <c r="Q48" s="356"/>
      <c r="R48" s="356"/>
      <c r="S48" s="356"/>
    </row>
    <row r="49" spans="1:19">
      <c r="A49" s="413"/>
      <c r="B49" s="365"/>
      <c r="C49" s="412"/>
      <c r="D49" s="412"/>
      <c r="E49" s="412"/>
      <c r="F49" s="412"/>
      <c r="G49" s="412"/>
      <c r="H49" s="412"/>
      <c r="I49" s="412"/>
      <c r="J49" s="400"/>
      <c r="K49" s="356"/>
      <c r="L49" s="356"/>
      <c r="M49" s="356"/>
      <c r="N49" s="356"/>
      <c r="O49" s="356"/>
      <c r="P49" s="356"/>
      <c r="Q49" s="356"/>
      <c r="R49" s="356"/>
      <c r="S49" s="356"/>
    </row>
  </sheetData>
  <phoneticPr fontId="19" type="noConversion"/>
  <pageMargins left="0.25" right="0" top="1" bottom="0" header="0" footer="0"/>
  <pageSetup scale="46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99">
    <tabColor rgb="FF00B050"/>
    <pageSetUpPr fitToPage="1"/>
  </sheetPr>
  <dimension ref="A1:N49"/>
  <sheetViews>
    <sheetView workbookViewId="0"/>
  </sheetViews>
  <sheetFormatPr defaultColWidth="8" defaultRowHeight="13.2"/>
  <cols>
    <col min="1" max="1" width="8" customWidth="1"/>
    <col min="2" max="2" width="13.44140625" customWidth="1"/>
    <col min="3" max="3" width="17.5546875" customWidth="1"/>
    <col min="4" max="4" width="17.44140625" customWidth="1"/>
    <col min="5" max="5" width="16.5546875" customWidth="1"/>
    <col min="6" max="6" width="16" customWidth="1"/>
    <col min="7" max="7" width="16.44140625" customWidth="1"/>
    <col min="8" max="8" width="18.44140625" customWidth="1"/>
    <col min="9" max="9" width="15.5546875" customWidth="1"/>
    <col min="10" max="10" width="17.5546875" customWidth="1"/>
    <col min="13" max="13" width="8" customWidth="1"/>
    <col min="15" max="15" width="8" customWidth="1"/>
  </cols>
  <sheetData>
    <row r="1" spans="1:14">
      <c r="A1" s="252" t="str">
        <f>COMPANY</f>
        <v>DUKE ENERGY KENTUCKY, INC.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</row>
    <row r="2" spans="1:14">
      <c r="A2" s="252" t="s">
        <v>2931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</row>
    <row r="3" spans="1:14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</row>
    <row r="4" spans="1:14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</row>
    <row r="5" spans="1:14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</row>
    <row r="6" spans="1:14">
      <c r="A6" s="834" t="s">
        <v>2932</v>
      </c>
      <c r="B6" s="252"/>
      <c r="D6" s="252"/>
      <c r="E6" s="252"/>
      <c r="F6" s="252"/>
      <c r="G6" s="252"/>
      <c r="H6" s="252"/>
      <c r="I6" s="252"/>
      <c r="J6" s="252"/>
      <c r="K6" s="252"/>
      <c r="L6" s="252"/>
    </row>
    <row r="7" spans="1:14">
      <c r="A7" s="252"/>
      <c r="B7" s="252"/>
      <c r="C7" s="835"/>
      <c r="D7" s="835"/>
      <c r="E7" s="835"/>
      <c r="F7" s="835"/>
      <c r="G7" s="835"/>
      <c r="H7" s="835" t="s">
        <v>258</v>
      </c>
      <c r="I7" s="835"/>
      <c r="J7" s="835" t="s">
        <v>258</v>
      </c>
      <c r="K7" s="252"/>
      <c r="L7" s="252"/>
    </row>
    <row r="8" spans="1:14">
      <c r="A8" s="252"/>
      <c r="B8" s="252"/>
      <c r="C8" s="836" t="s">
        <v>91</v>
      </c>
      <c r="D8" s="836" t="s">
        <v>1488</v>
      </c>
      <c r="E8" s="836" t="s">
        <v>1489</v>
      </c>
      <c r="F8" s="836" t="s">
        <v>2933</v>
      </c>
      <c r="G8" s="836" t="s">
        <v>1491</v>
      </c>
      <c r="H8" s="836" t="s">
        <v>2934</v>
      </c>
      <c r="I8" s="836" t="s">
        <v>1492</v>
      </c>
      <c r="J8" s="836" t="s">
        <v>2935</v>
      </c>
      <c r="K8" s="252"/>
      <c r="L8" s="252"/>
    </row>
    <row r="9" spans="1:14">
      <c r="A9" s="252"/>
      <c r="B9" s="252"/>
      <c r="C9" s="837"/>
      <c r="D9" s="255"/>
      <c r="E9" s="255"/>
      <c r="F9" s="255"/>
      <c r="G9" s="255"/>
      <c r="H9" s="255"/>
      <c r="I9" s="255"/>
      <c r="J9" s="255"/>
      <c r="K9" s="252"/>
      <c r="L9" s="252"/>
    </row>
    <row r="10" spans="1:14">
      <c r="A10" s="776">
        <v>2024</v>
      </c>
      <c r="B10" s="252" t="s">
        <v>999</v>
      </c>
      <c r="C10" s="256">
        <f>'Base Period Cust'!$C$22</f>
        <v>105311521</v>
      </c>
      <c r="D10" s="256">
        <f>'Base Period Cust'!$C$23</f>
        <v>117242248</v>
      </c>
      <c r="E10" s="256">
        <f>'Base Period Cust'!$C$24</f>
        <v>57523956</v>
      </c>
      <c r="F10" s="256">
        <f>'Base Period Cust'!$C$25</f>
        <v>1375324</v>
      </c>
      <c r="G10" s="256">
        <f>'Base Period Cust'!$C$26-I10</f>
        <v>17725402</v>
      </c>
      <c r="H10" s="256">
        <f t="shared" ref="H10:H21" si="0">SUM(C10:G10)</f>
        <v>299178451</v>
      </c>
      <c r="I10" s="2203">
        <v>32183</v>
      </c>
      <c r="J10" s="256">
        <f>H10+I10</f>
        <v>299210634</v>
      </c>
      <c r="K10" s="256" t="s">
        <v>2449</v>
      </c>
      <c r="L10" s="252" t="str">
        <f>IF(J10='Base Period Cust'!C27,"","ERROR")</f>
        <v/>
      </c>
      <c r="M10" s="256"/>
      <c r="N10" s="1427"/>
    </row>
    <row r="11" spans="1:14">
      <c r="A11" s="255"/>
      <c r="B11" s="252" t="s">
        <v>988</v>
      </c>
      <c r="C11" s="256">
        <f>'Base Period Cust'!$D$22</f>
        <v>96012051</v>
      </c>
      <c r="D11" s="256">
        <f>'Base Period Cust'!$D$23</f>
        <v>116628543</v>
      </c>
      <c r="E11" s="256">
        <f>'Base Period Cust'!$D$24</f>
        <v>58430259</v>
      </c>
      <c r="F11" s="256">
        <f>'Base Period Cust'!$D$25</f>
        <v>1095281</v>
      </c>
      <c r="G11" s="256">
        <f>'Base Period Cust'!$D$26-I11</f>
        <v>13990766</v>
      </c>
      <c r="H11" s="256">
        <f t="shared" si="0"/>
        <v>286156900</v>
      </c>
      <c r="I11" s="2203">
        <v>4674</v>
      </c>
      <c r="J11" s="256">
        <f>H11+I11</f>
        <v>286161574</v>
      </c>
      <c r="K11" s="256" t="s">
        <v>2449</v>
      </c>
      <c r="L11" s="252" t="str">
        <f>IF(J11='Base Period Cust'!D27,"","ERROR")</f>
        <v/>
      </c>
      <c r="M11" s="256"/>
      <c r="N11" s="1427"/>
    </row>
    <row r="12" spans="1:14">
      <c r="A12" s="252"/>
      <c r="B12" s="252" t="s">
        <v>989</v>
      </c>
      <c r="C12" s="256">
        <f>'Base Period Cust'!$E$22</f>
        <v>104148511</v>
      </c>
      <c r="D12" s="256">
        <f>'Base Period Cust'!$E$23</f>
        <v>125169843</v>
      </c>
      <c r="E12" s="256">
        <f>'Base Period Cust'!$E$24</f>
        <v>53792163</v>
      </c>
      <c r="F12" s="256">
        <f>'Base Period Cust'!$E$25</f>
        <v>1199900</v>
      </c>
      <c r="G12" s="256">
        <f>'Base Period Cust'!$E$26-I12</f>
        <v>19980842</v>
      </c>
      <c r="H12" s="256">
        <f t="shared" si="0"/>
        <v>304291259</v>
      </c>
      <c r="I12" s="2203">
        <v>4578</v>
      </c>
      <c r="J12" s="256">
        <f>H12+I12</f>
        <v>304295837</v>
      </c>
      <c r="K12" s="256" t="s">
        <v>2449</v>
      </c>
      <c r="L12" s="252" t="str">
        <f>IF(J12='Base Period Cust'!E27,"","ERROR")</f>
        <v/>
      </c>
      <c r="M12" s="256"/>
      <c r="N12" s="1427"/>
    </row>
    <row r="13" spans="1:14">
      <c r="A13" s="252"/>
      <c r="B13" s="252" t="s">
        <v>538</v>
      </c>
      <c r="C13" s="256">
        <f>'Base Period Cust'!$F$22</f>
        <v>122138649</v>
      </c>
      <c r="D13" s="256">
        <f>'Base Period Cust'!$F$23</f>
        <v>108932516</v>
      </c>
      <c r="E13" s="256">
        <f>'Base Period Cust'!$F$24</f>
        <v>68618748</v>
      </c>
      <c r="F13" s="256">
        <f>'Base Period Cust'!$F$25</f>
        <v>1138668</v>
      </c>
      <c r="G13" s="256">
        <f>'Base Period Cust'!$F$26-I13</f>
        <v>16316374</v>
      </c>
      <c r="H13" s="256">
        <f t="shared" si="0"/>
        <v>317144955</v>
      </c>
      <c r="I13" s="2203">
        <v>4815</v>
      </c>
      <c r="J13" s="256">
        <f>H13+I13</f>
        <v>317149770</v>
      </c>
      <c r="K13" s="256" t="s">
        <v>2449</v>
      </c>
      <c r="L13" s="252" t="str">
        <f>IF(J13='Base Period Cust'!F27,"","ERROR")</f>
        <v/>
      </c>
      <c r="M13" s="256"/>
      <c r="N13" s="1427"/>
    </row>
    <row r="14" spans="1:14">
      <c r="A14" s="252"/>
      <c r="B14" s="252" t="s">
        <v>990</v>
      </c>
      <c r="C14" s="256">
        <f>'Base Period Cust'!$G$22</f>
        <v>162194133</v>
      </c>
      <c r="D14" s="256">
        <f>'Base Period Cust'!$G$23</f>
        <v>172589364</v>
      </c>
      <c r="E14" s="256">
        <f>'Base Period Cust'!$G$24</f>
        <v>59347698</v>
      </c>
      <c r="F14" s="256">
        <f>'Base Period Cust'!$G$25</f>
        <v>975381</v>
      </c>
      <c r="G14" s="256">
        <f>'Base Period Cust'!$G$26-I14</f>
        <v>23678705</v>
      </c>
      <c r="H14" s="256">
        <f t="shared" si="0"/>
        <v>418785281</v>
      </c>
      <c r="I14" s="2203">
        <v>1211</v>
      </c>
      <c r="J14" s="256">
        <f>H14+I14</f>
        <v>418786492</v>
      </c>
      <c r="K14" s="256" t="s">
        <v>2449</v>
      </c>
      <c r="L14" s="252" t="str">
        <f>IF(J14='Base Period Cust'!G27,"","ERROR")</f>
        <v/>
      </c>
      <c r="M14" s="256"/>
      <c r="N14" s="1427"/>
    </row>
    <row r="15" spans="1:14">
      <c r="A15" s="252"/>
      <c r="B15" s="252" t="s">
        <v>991</v>
      </c>
      <c r="C15" s="1524">
        <f>'Base Period Cust'!$H$22</f>
        <v>154270419</v>
      </c>
      <c r="D15" s="1524">
        <f>'Base Period Cust'!$H$23</f>
        <v>152687155</v>
      </c>
      <c r="E15" s="1524">
        <f>'Base Period Cust'!$H$24</f>
        <v>79088267</v>
      </c>
      <c r="F15" s="1524">
        <f>'Base Period Cust'!$H$25</f>
        <v>1022696</v>
      </c>
      <c r="G15" s="1524">
        <f>'Base Period Cust'!$H$26-I15</f>
        <v>22204243</v>
      </c>
      <c r="H15" s="1524">
        <f t="shared" si="0"/>
        <v>409272780</v>
      </c>
      <c r="I15" s="2204">
        <v>7354</v>
      </c>
      <c r="J15" s="1524">
        <f t="shared" ref="J15:J21" si="1">H15+I15</f>
        <v>409280134</v>
      </c>
      <c r="K15" s="1524" t="s">
        <v>2449</v>
      </c>
      <c r="L15" s="1523" t="str">
        <f>IF(J15='Base Period Cust'!H27,"","ERROR")</f>
        <v/>
      </c>
      <c r="M15" s="256"/>
      <c r="N15" s="1427"/>
    </row>
    <row r="16" spans="1:14">
      <c r="A16" s="252"/>
      <c r="B16" s="252" t="s">
        <v>992</v>
      </c>
      <c r="C16" s="256">
        <f>'Base Period Cust'!$I$22</f>
        <v>139489525</v>
      </c>
      <c r="D16" s="256">
        <f>'Base Period Cust'!$I$23</f>
        <v>130275962</v>
      </c>
      <c r="E16" s="256">
        <f>'Base Period Cust'!$I$24</f>
        <v>68540135</v>
      </c>
      <c r="F16" s="256">
        <f>'Base Period Cust'!$I$25</f>
        <v>1344729</v>
      </c>
      <c r="G16" s="256">
        <f>'Base Period Cust'!$I$26-I16</f>
        <v>24919760.5</v>
      </c>
      <c r="H16" s="256">
        <f t="shared" si="0"/>
        <v>364570111.5</v>
      </c>
      <c r="I16" s="2203">
        <v>15634.5</v>
      </c>
      <c r="J16" s="256">
        <f t="shared" si="1"/>
        <v>364585746</v>
      </c>
      <c r="K16" s="256" t="s">
        <v>2312</v>
      </c>
      <c r="L16" s="252"/>
      <c r="N16" s="1427"/>
    </row>
    <row r="17" spans="1:12">
      <c r="A17" s="252"/>
      <c r="B17" s="252" t="s">
        <v>993</v>
      </c>
      <c r="C17" s="256">
        <f>'Base Period Cust'!$J$22</f>
        <v>97468314</v>
      </c>
      <c r="D17" s="256">
        <f>'Base Period Cust'!$J$23</f>
        <v>116209606</v>
      </c>
      <c r="E17" s="256">
        <f>'Base Period Cust'!$J$24</f>
        <v>61249072</v>
      </c>
      <c r="F17" s="256">
        <f>'Base Period Cust'!$J$25</f>
        <v>1007918</v>
      </c>
      <c r="G17" s="256">
        <f>'Base Period Cust'!$J$26-I17</f>
        <v>22209940.399999999</v>
      </c>
      <c r="H17" s="256">
        <f t="shared" si="0"/>
        <v>298144850.39999998</v>
      </c>
      <c r="I17" s="2203">
        <v>15635.6</v>
      </c>
      <c r="J17" s="256">
        <f t="shared" si="1"/>
        <v>298160486</v>
      </c>
      <c r="K17" s="256" t="s">
        <v>2312</v>
      </c>
      <c r="L17" s="252" t="str">
        <f>IF(J17='Base Period Cust'!J27,"","ERROR")</f>
        <v/>
      </c>
    </row>
    <row r="18" spans="1:12">
      <c r="A18" s="252"/>
      <c r="B18" s="252" t="s">
        <v>994</v>
      </c>
      <c r="C18" s="256">
        <f>'Base Period Cust'!$K$22</f>
        <v>95654473</v>
      </c>
      <c r="D18" s="256">
        <f>'Base Period Cust'!$K$23</f>
        <v>109257321</v>
      </c>
      <c r="E18" s="256">
        <f>'Base Period Cust'!$K$24</f>
        <v>61457642</v>
      </c>
      <c r="F18" s="256">
        <f>'Base Period Cust'!$K$25</f>
        <v>1121912</v>
      </c>
      <c r="G18" s="256">
        <f>'Base Period Cust'!$K$26-I18</f>
        <v>19353250.100000001</v>
      </c>
      <c r="H18" s="256">
        <f t="shared" si="0"/>
        <v>286844598.10000002</v>
      </c>
      <c r="I18" s="2203">
        <v>15635.9</v>
      </c>
      <c r="J18" s="256">
        <f t="shared" si="1"/>
        <v>286860234</v>
      </c>
      <c r="K18" s="256" t="s">
        <v>2312</v>
      </c>
      <c r="L18" s="252" t="str">
        <f>IF(J18='Base Period Cust'!K27,"","ERROR")</f>
        <v/>
      </c>
    </row>
    <row r="19" spans="1:12">
      <c r="A19" s="252"/>
      <c r="B19" s="252" t="s">
        <v>995</v>
      </c>
      <c r="C19" s="256">
        <f>'Base Period Cust'!$L$22</f>
        <v>136659718</v>
      </c>
      <c r="D19" s="256">
        <f>'Base Period Cust'!$L$23</f>
        <v>121078711</v>
      </c>
      <c r="E19" s="256">
        <f>'Base Period Cust'!$L$24</f>
        <v>62334006</v>
      </c>
      <c r="F19" s="256">
        <f>'Base Period Cust'!$L$25</f>
        <v>1025840</v>
      </c>
      <c r="G19" s="256">
        <f>'Base Period Cust'!$L$26-I19</f>
        <v>22249427.300000001</v>
      </c>
      <c r="H19" s="256">
        <f t="shared" si="0"/>
        <v>343347702.30000001</v>
      </c>
      <c r="I19" s="2203">
        <v>29960.7</v>
      </c>
      <c r="J19" s="256">
        <f t="shared" si="1"/>
        <v>343377663</v>
      </c>
      <c r="K19" s="256" t="s">
        <v>2312</v>
      </c>
      <c r="L19" s="252" t="str">
        <f>IF(J19='Base Period Cust'!L27,"","ERROR")</f>
        <v/>
      </c>
    </row>
    <row r="20" spans="1:12">
      <c r="A20" s="255">
        <f>A10+1</f>
        <v>2025</v>
      </c>
      <c r="B20" s="252" t="s">
        <v>2936</v>
      </c>
      <c r="C20" s="256">
        <f>'Base Period Cust'!$M$22</f>
        <v>162985979</v>
      </c>
      <c r="D20" s="256">
        <f>'Base Period Cust'!$M$23</f>
        <v>124133387</v>
      </c>
      <c r="E20" s="256">
        <f>'Base Period Cust'!$M$24</f>
        <v>59698395</v>
      </c>
      <c r="F20" s="256">
        <f>'Base Period Cust'!$M$25</f>
        <v>1114598</v>
      </c>
      <c r="G20" s="256">
        <f>'Base Period Cust'!$M$26-I20</f>
        <v>22114366.399999999</v>
      </c>
      <c r="H20" s="256">
        <f t="shared" si="0"/>
        <v>370046725.39999998</v>
      </c>
      <c r="I20" s="2203">
        <v>75806.600000000006</v>
      </c>
      <c r="J20" s="256">
        <f t="shared" si="1"/>
        <v>370122532</v>
      </c>
      <c r="K20" s="256" t="s">
        <v>2312</v>
      </c>
      <c r="L20" s="252" t="str">
        <f>IF(J20='Base Period Cust'!M27,"","ERROR")</f>
        <v/>
      </c>
    </row>
    <row r="21" spans="1:12">
      <c r="A21" s="252"/>
      <c r="B21" s="252" t="s">
        <v>536</v>
      </c>
      <c r="C21" s="256">
        <f>'Base Period Cust'!$N$22</f>
        <v>151840374</v>
      </c>
      <c r="D21" s="256">
        <f>'Base Period Cust'!$N$23</f>
        <v>115449974</v>
      </c>
      <c r="E21" s="256">
        <f>'Base Period Cust'!$N$24</f>
        <v>58292871</v>
      </c>
      <c r="F21" s="256">
        <f>'Base Period Cust'!$N$25</f>
        <v>1049324</v>
      </c>
      <c r="G21" s="256">
        <f>'Base Period Cust'!$N$26-I21</f>
        <v>21685545.899999999</v>
      </c>
      <c r="H21" s="256">
        <f t="shared" si="0"/>
        <v>348318088.89999998</v>
      </c>
      <c r="I21" s="2203">
        <v>59368.1</v>
      </c>
      <c r="J21" s="256">
        <f t="shared" si="1"/>
        <v>348377457</v>
      </c>
      <c r="K21" s="256" t="s">
        <v>2312</v>
      </c>
      <c r="L21" s="252" t="str">
        <f>IF(J21='Base Period Cust'!N27,"","ERROR")</f>
        <v/>
      </c>
    </row>
    <row r="22" spans="1:12">
      <c r="A22" s="252"/>
      <c r="B22" s="252"/>
      <c r="C22" s="256"/>
      <c r="D22" s="256"/>
      <c r="E22" s="256"/>
      <c r="F22" s="256"/>
      <c r="G22" s="256"/>
      <c r="H22" s="256"/>
      <c r="I22" s="256"/>
      <c r="J22" s="256"/>
      <c r="K22" s="256"/>
      <c r="L22" s="252"/>
    </row>
    <row r="23" spans="1:12">
      <c r="A23" s="252"/>
      <c r="B23" s="252" t="s">
        <v>258</v>
      </c>
      <c r="C23" s="256">
        <f t="shared" ref="C23:J23" si="2">SUM(C10:C21)</f>
        <v>1528173667</v>
      </c>
      <c r="D23" s="256">
        <f t="shared" si="2"/>
        <v>1509654630</v>
      </c>
      <c r="E23" s="256">
        <f t="shared" si="2"/>
        <v>748373212</v>
      </c>
      <c r="F23" s="256">
        <f t="shared" si="2"/>
        <v>13471571</v>
      </c>
      <c r="G23" s="256">
        <f t="shared" si="2"/>
        <v>246428622.60000002</v>
      </c>
      <c r="H23" s="256">
        <f t="shared" si="2"/>
        <v>4046101702.6000004</v>
      </c>
      <c r="I23" s="256">
        <f t="shared" si="2"/>
        <v>266856.40000000002</v>
      </c>
      <c r="J23" s="256">
        <f t="shared" si="2"/>
        <v>4046368559</v>
      </c>
      <c r="K23" s="256"/>
      <c r="L23" s="252"/>
    </row>
    <row r="24" spans="1:12">
      <c r="A24" s="252"/>
      <c r="B24" s="252"/>
      <c r="C24" s="256"/>
      <c r="D24" s="256"/>
      <c r="E24" s="256"/>
      <c r="F24" s="256"/>
      <c r="G24" s="256"/>
      <c r="H24" s="256"/>
      <c r="I24" s="256"/>
      <c r="J24" s="256"/>
      <c r="K24" s="256"/>
      <c r="L24" s="252"/>
    </row>
    <row r="25" spans="1:12">
      <c r="A25" s="834" t="s">
        <v>2937</v>
      </c>
      <c r="B25" s="252"/>
      <c r="C25" s="256"/>
      <c r="D25" s="256"/>
      <c r="E25" s="256"/>
      <c r="F25" s="256"/>
      <c r="G25" s="256"/>
      <c r="H25" s="256"/>
      <c r="I25" s="256"/>
      <c r="J25" s="256"/>
      <c r="K25" s="256"/>
      <c r="L25" s="252"/>
    </row>
    <row r="26" spans="1:12">
      <c r="A26" s="252"/>
      <c r="B26" s="252"/>
      <c r="C26" s="256"/>
      <c r="D26" s="251"/>
      <c r="E26" s="256"/>
      <c r="F26" s="256"/>
      <c r="G26" s="256"/>
      <c r="H26" s="256"/>
      <c r="I26" s="256"/>
      <c r="J26" s="256"/>
      <c r="K26" s="256"/>
      <c r="L26" s="252"/>
    </row>
    <row r="27" spans="1:12">
      <c r="A27" s="776">
        <v>2025</v>
      </c>
      <c r="B27" s="252" t="s">
        <v>990</v>
      </c>
      <c r="C27" s="2203">
        <v>150756639.09999999</v>
      </c>
      <c r="D27" s="2203">
        <v>135395915.90000001</v>
      </c>
      <c r="E27" s="2203">
        <v>65835747.70000001</v>
      </c>
      <c r="F27" s="2203">
        <v>1074187</v>
      </c>
      <c r="G27" s="2203">
        <v>22249248</v>
      </c>
      <c r="H27" s="256">
        <f t="shared" ref="H27:H38" si="3">SUM(C27:G27)</f>
        <v>375311737.69999999</v>
      </c>
      <c r="I27" s="2203">
        <v>15636</v>
      </c>
      <c r="J27" s="256">
        <f t="shared" ref="J27:J38" si="4">H27+I27</f>
        <v>375327373.69999999</v>
      </c>
      <c r="K27" s="256"/>
      <c r="L27" s="252"/>
    </row>
    <row r="28" spans="1:12">
      <c r="A28" s="255"/>
      <c r="B28" s="252" t="s">
        <v>991</v>
      </c>
      <c r="C28" s="2203">
        <v>154853734.39999998</v>
      </c>
      <c r="D28" s="2203">
        <v>131056432.2</v>
      </c>
      <c r="E28" s="2203">
        <v>67097039.099999994</v>
      </c>
      <c r="F28" s="2203">
        <v>750636.10000000009</v>
      </c>
      <c r="G28" s="2203">
        <v>23317543.5</v>
      </c>
      <c r="H28" s="256">
        <f t="shared" si="3"/>
        <v>377075385.29999995</v>
      </c>
      <c r="I28" s="2203">
        <v>15636</v>
      </c>
      <c r="J28" s="256">
        <f t="shared" si="4"/>
        <v>377091021.29999995</v>
      </c>
      <c r="K28" s="256"/>
      <c r="L28" s="252"/>
    </row>
    <row r="29" spans="1:12">
      <c r="A29" s="255"/>
      <c r="B29" s="252" t="s">
        <v>992</v>
      </c>
      <c r="C29" s="2203">
        <v>139790514.69999999</v>
      </c>
      <c r="D29" s="2203">
        <v>129460802.59999999</v>
      </c>
      <c r="E29" s="2203">
        <v>67288345.599999994</v>
      </c>
      <c r="F29" s="2203">
        <v>1329077.0999999999</v>
      </c>
      <c r="G29" s="2203">
        <v>24251709.699999999</v>
      </c>
      <c r="H29" s="256">
        <f t="shared" si="3"/>
        <v>362120449.69999999</v>
      </c>
      <c r="I29" s="2203">
        <v>15636</v>
      </c>
      <c r="J29" s="256">
        <f t="shared" si="4"/>
        <v>362136085.69999999</v>
      </c>
      <c r="K29" s="256"/>
      <c r="L29" s="252"/>
    </row>
    <row r="30" spans="1:12">
      <c r="A30" s="255"/>
      <c r="B30" s="252" t="s">
        <v>993</v>
      </c>
      <c r="C30" s="2203">
        <v>97676993.200000003</v>
      </c>
      <c r="D30" s="2203">
        <v>115482856.5</v>
      </c>
      <c r="E30" s="2203">
        <v>61020186.899999999</v>
      </c>
      <c r="F30" s="2203">
        <v>992296.2</v>
      </c>
      <c r="G30" s="2203">
        <v>21614744.199999999</v>
      </c>
      <c r="H30" s="256">
        <f t="shared" si="3"/>
        <v>296787076.99999994</v>
      </c>
      <c r="I30" s="2203">
        <v>15636</v>
      </c>
      <c r="J30" s="256">
        <f t="shared" si="4"/>
        <v>296802712.99999994</v>
      </c>
      <c r="K30" s="256"/>
      <c r="L30" s="252"/>
    </row>
    <row r="31" spans="1:12">
      <c r="A31" s="255"/>
      <c r="B31" s="252" t="s">
        <v>994</v>
      </c>
      <c r="C31" s="2203">
        <v>95859164.600000009</v>
      </c>
      <c r="D31" s="2203">
        <v>108574270.3</v>
      </c>
      <c r="E31" s="2203">
        <v>61167441.200000003</v>
      </c>
      <c r="F31" s="2203">
        <v>1106348.8999999999</v>
      </c>
      <c r="G31" s="2203">
        <v>18833757</v>
      </c>
      <c r="H31" s="256">
        <f t="shared" si="3"/>
        <v>285540982</v>
      </c>
      <c r="I31" s="2203">
        <v>15636</v>
      </c>
      <c r="J31" s="256">
        <f t="shared" si="4"/>
        <v>285556618</v>
      </c>
      <c r="K31" s="256"/>
      <c r="L31" s="252"/>
    </row>
    <row r="32" spans="1:12">
      <c r="A32" s="255"/>
      <c r="B32" s="252" t="s">
        <v>995</v>
      </c>
      <c r="C32" s="2203">
        <v>136954491.10000002</v>
      </c>
      <c r="D32" s="2203">
        <v>120321352.10000001</v>
      </c>
      <c r="E32" s="2203">
        <v>62379637.399999999</v>
      </c>
      <c r="F32" s="2203">
        <v>1010325.1</v>
      </c>
      <c r="G32" s="2203">
        <v>21652759.399999999</v>
      </c>
      <c r="H32" s="256">
        <f t="shared" si="3"/>
        <v>342318565.10000002</v>
      </c>
      <c r="I32" s="2203">
        <v>29960.799999999999</v>
      </c>
      <c r="J32" s="256">
        <f t="shared" si="4"/>
        <v>342348525.90000004</v>
      </c>
      <c r="K32" s="256"/>
      <c r="L32" s="252"/>
    </row>
    <row r="33" spans="1:12">
      <c r="A33" s="255">
        <f>A27+1</f>
        <v>2026</v>
      </c>
      <c r="B33" s="252" t="s">
        <v>2936</v>
      </c>
      <c r="C33" s="2203">
        <v>162984980.09999999</v>
      </c>
      <c r="D33" s="2203">
        <v>124685013.2</v>
      </c>
      <c r="E33" s="2203">
        <v>60275879.800000004</v>
      </c>
      <c r="F33" s="2203">
        <v>1099134.3</v>
      </c>
      <c r="G33" s="2203">
        <v>21993056.100000001</v>
      </c>
      <c r="H33" s="256">
        <f t="shared" si="3"/>
        <v>371038063.50000006</v>
      </c>
      <c r="I33" s="2203">
        <v>75806.600000000006</v>
      </c>
      <c r="J33" s="256">
        <f t="shared" si="4"/>
        <v>371113870.10000008</v>
      </c>
      <c r="K33" s="256"/>
      <c r="L33" s="252"/>
    </row>
    <row r="34" spans="1:12">
      <c r="A34" s="255"/>
      <c r="B34" s="252" t="s">
        <v>536</v>
      </c>
      <c r="C34" s="2203">
        <v>141605202.90000001</v>
      </c>
      <c r="D34" s="2203">
        <v>107743943.89999999</v>
      </c>
      <c r="E34" s="2203">
        <v>59103942.600000001</v>
      </c>
      <c r="F34" s="2203">
        <v>1033909.9000000001</v>
      </c>
      <c r="G34" s="2203">
        <v>21577077.399999999</v>
      </c>
      <c r="H34" s="256">
        <f t="shared" si="3"/>
        <v>331064076.69999999</v>
      </c>
      <c r="I34" s="2203">
        <v>59368.1</v>
      </c>
      <c r="J34" s="256">
        <f t="shared" si="4"/>
        <v>331123444.80000001</v>
      </c>
      <c r="K34" s="256"/>
      <c r="L34" s="252"/>
    </row>
    <row r="35" spans="1:12">
      <c r="A35" s="255"/>
      <c r="B35" s="252" t="s">
        <v>999</v>
      </c>
      <c r="C35" s="2203">
        <v>134243582.40000001</v>
      </c>
      <c r="D35" s="2203">
        <v>116796743.8</v>
      </c>
      <c r="E35" s="2203">
        <v>58097274.599999994</v>
      </c>
      <c r="F35" s="2203">
        <v>1035941.3999999999</v>
      </c>
      <c r="G35" s="2203">
        <v>20290754</v>
      </c>
      <c r="H35" s="256">
        <f t="shared" si="3"/>
        <v>330464296.19999993</v>
      </c>
      <c r="I35" s="2203">
        <v>38709.4</v>
      </c>
      <c r="J35" s="256">
        <f t="shared" si="4"/>
        <v>330503005.5999999</v>
      </c>
      <c r="K35" s="256"/>
      <c r="L35" s="252"/>
    </row>
    <row r="36" spans="1:12">
      <c r="A36" s="255"/>
      <c r="B36" s="252" t="s">
        <v>988</v>
      </c>
      <c r="C36" s="2203">
        <v>109790805.30000001</v>
      </c>
      <c r="D36" s="2203">
        <v>115321176.60000001</v>
      </c>
      <c r="E36" s="2203">
        <v>59132343</v>
      </c>
      <c r="F36" s="2203">
        <v>1003467</v>
      </c>
      <c r="G36" s="2203">
        <v>16966589.899999999</v>
      </c>
      <c r="H36" s="256">
        <f t="shared" si="3"/>
        <v>302214381.80000001</v>
      </c>
      <c r="I36" s="2203">
        <v>15636</v>
      </c>
      <c r="J36" s="256">
        <f t="shared" si="4"/>
        <v>302230017.80000001</v>
      </c>
      <c r="K36" s="256"/>
      <c r="L36" s="252"/>
    </row>
    <row r="37" spans="1:12">
      <c r="A37" s="255"/>
      <c r="B37" s="252" t="s">
        <v>989</v>
      </c>
      <c r="C37" s="2203">
        <v>86101543.099999994</v>
      </c>
      <c r="D37" s="2203">
        <v>103814602.40000001</v>
      </c>
      <c r="E37" s="2203">
        <v>58522253.799999997</v>
      </c>
      <c r="F37" s="2203">
        <v>954304.3</v>
      </c>
      <c r="G37" s="2203">
        <v>18179392</v>
      </c>
      <c r="H37" s="256">
        <f t="shared" si="3"/>
        <v>267572095.60000002</v>
      </c>
      <c r="I37" s="2203">
        <v>15636</v>
      </c>
      <c r="J37" s="256">
        <f t="shared" si="4"/>
        <v>267587731.60000002</v>
      </c>
      <c r="K37" s="256"/>
      <c r="L37" s="252"/>
    </row>
    <row r="38" spans="1:12">
      <c r="B38" s="252" t="s">
        <v>538</v>
      </c>
      <c r="C38" s="2203">
        <v>118361008</v>
      </c>
      <c r="D38" s="2203">
        <v>121258156.90000001</v>
      </c>
      <c r="E38" s="2203">
        <v>62489818.899999999</v>
      </c>
      <c r="F38" s="2203">
        <v>1124638.7</v>
      </c>
      <c r="G38" s="2203">
        <v>19715922.699999999</v>
      </c>
      <c r="H38" s="256">
        <f t="shared" si="3"/>
        <v>322949545.19999999</v>
      </c>
      <c r="I38" s="2203">
        <v>15636</v>
      </c>
      <c r="J38" s="256">
        <f t="shared" si="4"/>
        <v>322965181.19999999</v>
      </c>
      <c r="K38" s="256"/>
      <c r="L38" s="252"/>
    </row>
    <row r="39" spans="1:12">
      <c r="A39" s="252"/>
      <c r="B39" s="252"/>
      <c r="C39" s="256"/>
      <c r="D39" s="256"/>
      <c r="E39" s="256"/>
      <c r="F39" s="256"/>
      <c r="G39" s="256"/>
      <c r="H39" s="256"/>
      <c r="I39" s="256"/>
      <c r="J39" s="256"/>
      <c r="K39" s="256"/>
      <c r="L39" s="252"/>
    </row>
    <row r="40" spans="1:12">
      <c r="A40" s="252"/>
      <c r="B40" s="252" t="s">
        <v>258</v>
      </c>
      <c r="C40" s="256">
        <f t="shared" ref="C40:J40" si="5">SUM(C27:C38)</f>
        <v>1528978658.9000001</v>
      </c>
      <c r="D40" s="256">
        <f t="shared" si="5"/>
        <v>1429911266.4000001</v>
      </c>
      <c r="E40" s="256">
        <f t="shared" si="5"/>
        <v>742409910.5999999</v>
      </c>
      <c r="F40" s="256">
        <f t="shared" si="5"/>
        <v>12514266</v>
      </c>
      <c r="G40" s="256">
        <f t="shared" si="5"/>
        <v>250642553.90000001</v>
      </c>
      <c r="H40" s="256">
        <f t="shared" si="5"/>
        <v>3964456655.7999997</v>
      </c>
      <c r="I40" s="256">
        <f t="shared" si="5"/>
        <v>328932.90000000002</v>
      </c>
      <c r="J40" s="256">
        <f t="shared" si="5"/>
        <v>3964785588.7000003</v>
      </c>
      <c r="K40" s="256"/>
      <c r="L40" s="252"/>
    </row>
    <row r="41" spans="1:12">
      <c r="A41" s="252"/>
      <c r="B41" s="252"/>
      <c r="C41" s="256"/>
      <c r="D41" s="256"/>
      <c r="E41" s="256"/>
      <c r="F41" s="256"/>
      <c r="G41" s="256"/>
      <c r="H41" s="256"/>
      <c r="I41" s="256"/>
      <c r="J41" s="256"/>
      <c r="K41" s="256"/>
      <c r="L41" s="252"/>
    </row>
    <row r="42" spans="1:12">
      <c r="A42" s="252"/>
      <c r="B42" s="252"/>
      <c r="C42" s="256"/>
      <c r="D42" s="256"/>
      <c r="E42" s="256"/>
      <c r="F42" s="256"/>
      <c r="G42" s="256"/>
      <c r="H42" s="256"/>
      <c r="I42" s="256"/>
      <c r="J42" s="256"/>
      <c r="K42" s="256"/>
      <c r="L42" s="252"/>
    </row>
    <row r="43" spans="1:12">
      <c r="A43" s="252"/>
      <c r="B43" s="252"/>
      <c r="C43" s="256"/>
      <c r="D43" s="256"/>
      <c r="E43" s="256"/>
      <c r="F43" s="202"/>
      <c r="G43" s="223"/>
      <c r="H43" s="256"/>
      <c r="I43" s="256"/>
      <c r="J43" s="256"/>
      <c r="K43" s="256"/>
      <c r="L43" s="252"/>
    </row>
    <row r="44" spans="1:12">
      <c r="A44" s="252"/>
      <c r="B44" s="202"/>
      <c r="D44" s="202"/>
      <c r="E44" s="256"/>
      <c r="F44" s="202"/>
      <c r="G44" s="215"/>
      <c r="H44" s="256"/>
      <c r="I44" s="256"/>
      <c r="J44" s="256"/>
      <c r="K44" s="256"/>
      <c r="L44" s="252"/>
    </row>
    <row r="45" spans="1:12">
      <c r="A45" s="252"/>
      <c r="B45" s="252"/>
      <c r="C45" s="256"/>
      <c r="D45" s="256"/>
      <c r="E45" s="256"/>
      <c r="F45" s="202"/>
      <c r="G45" s="2402"/>
      <c r="H45" s="256"/>
      <c r="I45" s="256"/>
      <c r="J45" s="256"/>
      <c r="K45" s="256"/>
      <c r="L45" s="252"/>
    </row>
    <row r="46" spans="1:12">
      <c r="A46" s="252"/>
      <c r="B46" s="252"/>
      <c r="C46" s="256"/>
      <c r="D46" s="256"/>
      <c r="E46" s="256"/>
      <c r="F46" s="202"/>
      <c r="G46" s="215"/>
      <c r="H46" s="256"/>
      <c r="I46" s="256"/>
      <c r="J46" s="256"/>
      <c r="K46" s="256"/>
      <c r="L46" s="252"/>
    </row>
    <row r="47" spans="1:12">
      <c r="B47" s="252"/>
      <c r="C47" s="256"/>
      <c r="D47" s="256"/>
      <c r="E47" s="256"/>
      <c r="H47" s="256"/>
      <c r="I47" s="256"/>
      <c r="J47" s="256"/>
      <c r="K47" s="256"/>
      <c r="L47" s="252"/>
    </row>
    <row r="48" spans="1:12">
      <c r="A48" s="252"/>
      <c r="B48" s="252"/>
      <c r="C48" s="256"/>
      <c r="D48" s="256"/>
      <c r="E48" s="256"/>
      <c r="F48" s="256"/>
      <c r="G48" s="256"/>
      <c r="H48" s="256"/>
      <c r="I48" s="256"/>
      <c r="J48" s="256"/>
      <c r="K48" s="256"/>
      <c r="L48" s="252"/>
    </row>
    <row r="49" spans="1:12">
      <c r="A49" s="252" t="s">
        <v>2938</v>
      </c>
      <c r="B49" s="252"/>
      <c r="C49" s="256"/>
      <c r="D49" s="256"/>
      <c r="E49" s="256"/>
      <c r="F49" s="256"/>
      <c r="G49" s="256"/>
      <c r="H49" s="256"/>
      <c r="I49" s="256"/>
      <c r="J49" s="256"/>
      <c r="K49" s="256"/>
      <c r="L49" s="252"/>
    </row>
  </sheetData>
  <phoneticPr fontId="19" type="noConversion"/>
  <pageMargins left="0.75" right="0.75" top="1" bottom="1" header="0.5" footer="0.5"/>
  <pageSetup scale="71" orientation="landscape" verticalDpi="30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54">
    <tabColor rgb="FF00B050"/>
    <pageSetUpPr fitToPage="1"/>
  </sheetPr>
  <dimension ref="A1:R59"/>
  <sheetViews>
    <sheetView workbookViewId="0">
      <selection activeCell="M33" sqref="M33"/>
    </sheetView>
  </sheetViews>
  <sheetFormatPr defaultColWidth="6.5546875" defaultRowHeight="13.2"/>
  <cols>
    <col min="1" max="1" width="6.5546875" customWidth="1"/>
    <col min="2" max="2" width="34.5546875" customWidth="1"/>
    <col min="3" max="5" width="14.44140625" customWidth="1"/>
    <col min="6" max="7" width="14.5546875" customWidth="1"/>
    <col min="8" max="8" width="1.44140625" customWidth="1"/>
    <col min="9" max="9" width="14.5546875" customWidth="1"/>
    <col min="10" max="10" width="1.44140625" customWidth="1"/>
    <col min="11" max="11" width="16.44140625" customWidth="1"/>
    <col min="12" max="12" width="1" customWidth="1"/>
    <col min="13" max="13" width="14.44140625" customWidth="1"/>
    <col min="14" max="14" width="14.5546875" customWidth="1"/>
    <col min="15" max="18" width="6.5546875" customWidth="1"/>
    <col min="19" max="19" width="11.5546875" customWidth="1"/>
    <col min="20" max="20" width="12" customWidth="1"/>
    <col min="21" max="21" width="13.5546875" customWidth="1"/>
    <col min="22" max="22" width="14.44140625" customWidth="1"/>
    <col min="23" max="23" width="14" customWidth="1"/>
    <col min="24" max="24" width="13.44140625" customWidth="1"/>
    <col min="25" max="25" width="14.44140625" customWidth="1"/>
  </cols>
  <sheetData>
    <row r="1" spans="1:18">
      <c r="A1" s="357" t="str">
        <f>COMPANY</f>
        <v>DUKE ENERGY KENTUCKY, INC.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817"/>
      <c r="P1" s="818"/>
      <c r="Q1" s="818"/>
      <c r="R1" s="819"/>
    </row>
    <row r="2" spans="1:18">
      <c r="A2" s="820" t="str">
        <f>CASE</f>
        <v>CASE NO. 2024-00354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817"/>
      <c r="P2" s="818"/>
      <c r="Q2" s="818"/>
      <c r="R2" s="819"/>
    </row>
    <row r="3" spans="1:18">
      <c r="A3" s="357" t="s">
        <v>2939</v>
      </c>
      <c r="B3" s="357"/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817"/>
      <c r="P3" s="818"/>
      <c r="Q3" s="818"/>
      <c r="R3" s="819"/>
    </row>
    <row r="4" spans="1:18">
      <c r="A4" s="351"/>
      <c r="B4" s="357"/>
      <c r="C4" s="357"/>
      <c r="D4" s="357"/>
      <c r="E4" s="357"/>
      <c r="F4" s="357"/>
      <c r="G4" s="357"/>
      <c r="H4" s="357"/>
      <c r="I4" s="357"/>
      <c r="J4" s="357"/>
      <c r="K4" s="357"/>
      <c r="L4" s="357"/>
      <c r="M4" s="357"/>
      <c r="N4" s="357"/>
      <c r="O4" s="818"/>
      <c r="P4" s="818"/>
      <c r="Q4" s="818"/>
      <c r="R4" s="818"/>
    </row>
    <row r="5" spans="1:18">
      <c r="A5" s="351"/>
      <c r="B5" s="357"/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818"/>
      <c r="P5" s="818"/>
      <c r="Q5" s="818"/>
      <c r="R5" s="818"/>
    </row>
    <row r="6" spans="1:18">
      <c r="A6" s="818"/>
      <c r="B6" s="818"/>
      <c r="C6" s="818"/>
      <c r="D6" s="818"/>
      <c r="E6" s="818"/>
      <c r="F6" s="818"/>
      <c r="G6" s="357"/>
      <c r="H6" s="357"/>
      <c r="I6" s="357"/>
      <c r="J6" s="357"/>
      <c r="K6" s="357"/>
      <c r="L6" s="357"/>
      <c r="M6" s="357"/>
      <c r="N6" s="357"/>
      <c r="O6" s="817"/>
      <c r="P6" s="818"/>
      <c r="Q6" s="818"/>
      <c r="R6" s="819"/>
    </row>
    <row r="7" spans="1:18">
      <c r="A7" s="821"/>
      <c r="B7" s="818"/>
      <c r="C7" s="818"/>
      <c r="D7" s="818"/>
      <c r="E7" s="818"/>
      <c r="F7" s="818"/>
      <c r="G7" s="818"/>
      <c r="H7" s="822"/>
      <c r="I7" s="822"/>
      <c r="J7" s="822"/>
      <c r="K7" s="822" t="s">
        <v>2940</v>
      </c>
      <c r="L7" s="822"/>
      <c r="N7" s="357"/>
      <c r="O7" s="817"/>
      <c r="P7" s="818"/>
      <c r="Q7" s="818"/>
      <c r="R7" s="819"/>
    </row>
    <row r="8" spans="1:18">
      <c r="A8" s="821"/>
      <c r="B8" s="818"/>
      <c r="C8" s="818"/>
      <c r="D8" s="818"/>
      <c r="E8" s="818"/>
      <c r="F8" s="818"/>
      <c r="G8" s="818"/>
      <c r="H8" s="822"/>
      <c r="I8" s="822"/>
      <c r="J8" s="822"/>
      <c r="K8" s="822" t="s">
        <v>466</v>
      </c>
      <c r="L8" s="822"/>
      <c r="N8" s="357"/>
      <c r="O8" s="817"/>
      <c r="P8" s="818"/>
      <c r="Q8" s="818"/>
      <c r="R8" s="819"/>
    </row>
    <row r="9" spans="1:18">
      <c r="A9" s="818" t="str">
        <f>DataB</f>
        <v>DATA: "X" BASE PERIOD  "X" FORECASTED PERIOD</v>
      </c>
      <c r="B9" s="818"/>
      <c r="C9" s="818"/>
      <c r="D9" s="818"/>
      <c r="E9" s="818"/>
      <c r="F9" s="823"/>
      <c r="G9" s="818"/>
      <c r="H9" s="824"/>
      <c r="I9" s="824"/>
      <c r="J9" s="824"/>
      <c r="K9" s="824" t="s">
        <v>468</v>
      </c>
      <c r="L9" s="824"/>
      <c r="N9" s="357"/>
      <c r="O9" s="817"/>
      <c r="P9" s="818"/>
      <c r="Q9" s="818"/>
      <c r="R9" s="819"/>
    </row>
    <row r="10" spans="1:18">
      <c r="A10" s="824" t="str">
        <f>LOGO!B15</f>
        <v xml:space="preserve">TYPE OF FILING:  "X" ORIGINAL   UPDATED    REVISED  </v>
      </c>
      <c r="B10" s="818"/>
      <c r="C10" s="818"/>
      <c r="D10" s="818"/>
      <c r="E10" s="818"/>
      <c r="F10" s="823"/>
      <c r="G10" s="818"/>
      <c r="H10" s="356"/>
      <c r="I10" s="356"/>
      <c r="J10" s="356"/>
      <c r="K10" s="356" t="str">
        <f>_WIT6</f>
        <v>G. S. CARPENTER / D. L. WEATHERSTON</v>
      </c>
      <c r="L10" s="356"/>
      <c r="N10" s="357"/>
      <c r="O10" s="817"/>
      <c r="P10" s="818"/>
      <c r="Q10" s="818"/>
      <c r="R10" s="819"/>
    </row>
    <row r="11" spans="1:18">
      <c r="A11" s="822" t="s">
        <v>2763</v>
      </c>
      <c r="B11" s="818"/>
      <c r="C11" s="818"/>
      <c r="D11" s="818"/>
      <c r="E11" s="818"/>
      <c r="F11" s="823"/>
      <c r="G11" s="357"/>
      <c r="H11" s="357"/>
      <c r="I11" s="357"/>
      <c r="J11" s="357"/>
      <c r="K11" s="357"/>
      <c r="L11" s="357"/>
      <c r="M11" s="357"/>
      <c r="N11" s="357"/>
      <c r="O11" s="817"/>
      <c r="P11" s="818"/>
      <c r="Q11" s="818"/>
      <c r="R11" s="819"/>
    </row>
    <row r="12" spans="1:18">
      <c r="A12" s="1601"/>
      <c r="B12" s="1602"/>
      <c r="C12" s="1602"/>
      <c r="D12" s="1602"/>
      <c r="E12" s="1602"/>
      <c r="F12" s="1603"/>
      <c r="G12" s="1604"/>
      <c r="H12" s="1604"/>
      <c r="I12" s="1604"/>
      <c r="J12" s="1604"/>
      <c r="K12" s="1604"/>
      <c r="L12" s="1604"/>
      <c r="M12" s="1604"/>
      <c r="N12" s="1604"/>
      <c r="O12" s="817"/>
      <c r="P12" s="818"/>
      <c r="Q12" s="818"/>
      <c r="R12" s="819"/>
    </row>
    <row r="13" spans="1:18">
      <c r="A13" s="822"/>
      <c r="B13" s="818"/>
      <c r="C13" s="818"/>
      <c r="D13" s="818"/>
      <c r="E13" s="818"/>
      <c r="F13" s="823"/>
      <c r="G13" s="357"/>
      <c r="H13" s="357"/>
      <c r="I13" s="357"/>
      <c r="J13" s="357"/>
      <c r="K13" s="357"/>
      <c r="L13" s="357"/>
      <c r="M13" s="357" t="s">
        <v>2808</v>
      </c>
      <c r="N13" s="358"/>
      <c r="O13" s="818"/>
      <c r="P13" s="818"/>
      <c r="Q13" s="818"/>
      <c r="R13" s="819"/>
    </row>
    <row r="14" spans="1:18">
      <c r="A14" s="360" t="s">
        <v>471</v>
      </c>
      <c r="B14" s="818"/>
      <c r="C14" s="1604" t="s">
        <v>2941</v>
      </c>
      <c r="D14" s="1605"/>
      <c r="E14" s="1605"/>
      <c r="F14" s="1605"/>
      <c r="G14" s="1605"/>
      <c r="H14" s="360"/>
      <c r="I14" s="360" t="s">
        <v>473</v>
      </c>
      <c r="J14" s="357"/>
      <c r="K14" s="360" t="s">
        <v>474</v>
      </c>
      <c r="L14" s="361"/>
      <c r="M14" s="362" t="s">
        <v>2809</v>
      </c>
      <c r="N14" s="358"/>
      <c r="O14" s="818"/>
      <c r="P14" s="818"/>
      <c r="Q14" s="818"/>
      <c r="R14" s="819"/>
    </row>
    <row r="15" spans="1:18">
      <c r="A15" s="1606" t="s">
        <v>533</v>
      </c>
      <c r="B15" s="1601" t="s">
        <v>476</v>
      </c>
      <c r="C15" s="1598">
        <f>$G$15-4</f>
        <v>2019</v>
      </c>
      <c r="D15" s="1598">
        <f>$G$15-3</f>
        <v>2020</v>
      </c>
      <c r="E15" s="1598">
        <f>$G$15-2</f>
        <v>2021</v>
      </c>
      <c r="F15" s="1598">
        <f>$G$15-1</f>
        <v>2022</v>
      </c>
      <c r="G15" s="1598">
        <f>'SCH_I1 - Elec Only'!M14</f>
        <v>2023</v>
      </c>
      <c r="H15" s="1607"/>
      <c r="I15" s="1607" t="s">
        <v>478</v>
      </c>
      <c r="J15" s="1607"/>
      <c r="K15" s="1607" t="s">
        <v>478</v>
      </c>
      <c r="L15" s="1607"/>
      <c r="M15" s="1608">
        <f>SCH_I2.1!M15</f>
        <v>2026</v>
      </c>
      <c r="N15" s="1608">
        <f>SCH_I2.1!N15</f>
        <v>2027</v>
      </c>
      <c r="O15" s="818"/>
      <c r="P15" s="818"/>
      <c r="Q15" s="818"/>
      <c r="R15" s="818"/>
    </row>
    <row r="16" spans="1:18">
      <c r="A16" s="360">
        <v>1</v>
      </c>
      <c r="B16" s="822" t="s">
        <v>2903</v>
      </c>
      <c r="C16" s="825"/>
      <c r="D16" s="825"/>
      <c r="E16" s="825"/>
      <c r="F16" s="825"/>
      <c r="G16" s="825"/>
      <c r="H16" s="825"/>
      <c r="I16" s="825"/>
      <c r="J16" s="825"/>
      <c r="K16" s="825"/>
      <c r="L16" s="825"/>
      <c r="M16" s="825"/>
      <c r="N16" s="818"/>
      <c r="O16" s="817"/>
      <c r="P16" s="818"/>
      <c r="Q16" s="818"/>
      <c r="R16" s="818"/>
    </row>
    <row r="17" spans="1:18">
      <c r="A17" s="360">
        <v>2</v>
      </c>
      <c r="B17" s="826" t="s">
        <v>2904</v>
      </c>
      <c r="C17" s="818"/>
      <c r="D17" s="818"/>
      <c r="E17" s="818"/>
      <c r="F17" s="818"/>
      <c r="G17" s="818"/>
      <c r="H17" s="818"/>
      <c r="I17" s="818"/>
      <c r="J17" s="818"/>
      <c r="K17" s="818"/>
      <c r="L17" s="818"/>
      <c r="M17" s="818"/>
      <c r="N17" s="818"/>
      <c r="O17" s="817"/>
      <c r="P17" s="818"/>
      <c r="Q17" s="818"/>
      <c r="R17" s="818"/>
    </row>
    <row r="18" spans="1:18">
      <c r="A18" s="360">
        <v>3</v>
      </c>
      <c r="B18" s="365" t="s">
        <v>2942</v>
      </c>
      <c r="C18" s="818"/>
      <c r="D18" s="818"/>
      <c r="E18" s="818"/>
      <c r="F18" s="818"/>
      <c r="G18" s="818"/>
      <c r="H18" s="818"/>
      <c r="I18" s="818"/>
      <c r="J18" s="818"/>
      <c r="K18" s="818"/>
      <c r="L18" s="818"/>
      <c r="M18" s="818"/>
      <c r="N18" s="818"/>
      <c r="O18" s="817"/>
      <c r="P18" s="818"/>
      <c r="Q18" s="818"/>
      <c r="R18" s="818"/>
    </row>
    <row r="19" spans="1:18">
      <c r="A19" s="360">
        <v>4</v>
      </c>
      <c r="B19" s="822" t="s">
        <v>2906</v>
      </c>
      <c r="C19" s="827"/>
      <c r="D19" s="827"/>
      <c r="E19" s="827"/>
      <c r="F19" s="827"/>
      <c r="G19" s="827"/>
      <c r="H19" s="827"/>
      <c r="I19" s="827"/>
      <c r="J19" s="827"/>
      <c r="K19" s="827"/>
      <c r="L19" s="827"/>
      <c r="M19" s="827"/>
      <c r="N19" s="827"/>
      <c r="O19" s="817"/>
      <c r="P19" s="818"/>
      <c r="Q19" s="818"/>
      <c r="R19" s="818"/>
    </row>
    <row r="20" spans="1:18">
      <c r="A20" s="360">
        <v>5</v>
      </c>
      <c r="B20" s="822" t="s">
        <v>2907</v>
      </c>
      <c r="C20" s="827"/>
      <c r="D20" s="827"/>
      <c r="E20" s="827"/>
      <c r="F20" s="827"/>
      <c r="G20" s="827"/>
      <c r="H20" s="827"/>
      <c r="I20" s="827"/>
      <c r="J20" s="827"/>
      <c r="K20" s="827"/>
      <c r="L20" s="827"/>
      <c r="M20" s="827"/>
      <c r="N20" s="827"/>
      <c r="O20" s="817"/>
      <c r="P20" s="818"/>
      <c r="Q20" s="818"/>
      <c r="R20" s="818"/>
    </row>
    <row r="21" spans="1:18">
      <c r="A21" s="360">
        <v>6</v>
      </c>
      <c r="B21" s="822" t="s">
        <v>2908</v>
      </c>
      <c r="C21" s="827"/>
      <c r="D21" s="827"/>
      <c r="E21" s="827"/>
      <c r="F21" s="827"/>
      <c r="G21" s="827"/>
      <c r="H21" s="827"/>
      <c r="I21" s="827"/>
      <c r="J21" s="827"/>
      <c r="K21" s="827"/>
      <c r="L21" s="827"/>
      <c r="M21" s="827"/>
      <c r="N21" s="827"/>
      <c r="O21" s="817"/>
      <c r="P21" s="818"/>
      <c r="Q21" s="818"/>
      <c r="R21" s="818"/>
    </row>
    <row r="22" spans="1:18">
      <c r="A22" s="360">
        <v>7</v>
      </c>
      <c r="B22" s="365" t="s">
        <v>2909</v>
      </c>
      <c r="C22" s="827"/>
      <c r="D22" s="827"/>
      <c r="E22" s="827"/>
      <c r="F22" s="827"/>
      <c r="G22" s="827"/>
      <c r="H22" s="827"/>
      <c r="I22" s="827"/>
      <c r="J22" s="827"/>
      <c r="K22" s="827"/>
      <c r="L22" s="827"/>
      <c r="M22" s="827"/>
      <c r="N22" s="827"/>
      <c r="O22" s="817"/>
      <c r="P22" s="818"/>
      <c r="Q22" s="818"/>
      <c r="R22" s="818"/>
    </row>
    <row r="23" spans="1:18">
      <c r="A23" s="360">
        <v>8</v>
      </c>
      <c r="B23" s="822" t="s">
        <v>2910</v>
      </c>
      <c r="C23" s="828"/>
      <c r="D23" s="828"/>
      <c r="E23" s="828"/>
      <c r="F23" s="828"/>
      <c r="G23" s="828"/>
      <c r="H23" s="828"/>
      <c r="I23" s="828"/>
      <c r="J23" s="828"/>
      <c r="K23" s="828"/>
      <c r="L23" s="828"/>
      <c r="M23" s="828"/>
      <c r="N23" s="828"/>
      <c r="O23" s="817"/>
      <c r="P23" s="818"/>
      <c r="Q23" s="818"/>
      <c r="R23" s="818"/>
    </row>
    <row r="24" spans="1:18">
      <c r="A24" s="360">
        <v>9</v>
      </c>
      <c r="B24" s="365" t="s">
        <v>2914</v>
      </c>
      <c r="C24" s="829"/>
      <c r="D24" s="829"/>
      <c r="E24" s="829"/>
      <c r="F24" s="829"/>
      <c r="G24" s="829"/>
      <c r="H24" s="829"/>
      <c r="I24" s="829"/>
      <c r="J24" s="829"/>
      <c r="K24" s="829"/>
      <c r="L24" s="829"/>
      <c r="M24" s="829"/>
      <c r="N24" s="829"/>
      <c r="O24" s="817"/>
      <c r="P24" s="818"/>
      <c r="Q24" s="818"/>
      <c r="R24" s="818"/>
    </row>
    <row r="25" spans="1:18">
      <c r="A25" s="360">
        <v>10</v>
      </c>
      <c r="B25" s="818"/>
      <c r="C25" s="830"/>
      <c r="D25" s="830"/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17"/>
      <c r="P25" s="818"/>
      <c r="Q25" s="818"/>
      <c r="R25" s="818"/>
    </row>
    <row r="26" spans="1:18">
      <c r="A26" s="360">
        <v>11</v>
      </c>
      <c r="B26" s="822" t="s">
        <v>2912</v>
      </c>
      <c r="C26" s="816"/>
      <c r="D26" s="816"/>
      <c r="E26" s="816"/>
      <c r="F26" s="816"/>
      <c r="G26" s="816"/>
      <c r="H26" s="816"/>
      <c r="I26" s="816"/>
      <c r="J26" s="816"/>
      <c r="K26" s="816"/>
      <c r="L26" s="816"/>
      <c r="M26" s="816"/>
      <c r="N26" s="816"/>
      <c r="O26" s="817"/>
      <c r="P26" s="818"/>
      <c r="Q26" s="818"/>
      <c r="R26" s="818"/>
    </row>
    <row r="27" spans="1:18">
      <c r="A27" s="360">
        <v>12</v>
      </c>
      <c r="B27" s="826" t="s">
        <v>2913</v>
      </c>
      <c r="C27" s="816"/>
      <c r="D27" s="816"/>
      <c r="E27" s="816"/>
      <c r="F27" s="816"/>
      <c r="G27" s="816"/>
      <c r="H27" s="816"/>
      <c r="I27" s="816"/>
      <c r="J27" s="816"/>
      <c r="K27" s="816"/>
      <c r="L27" s="816"/>
      <c r="M27" s="816"/>
      <c r="N27" s="816"/>
      <c r="O27" s="817"/>
      <c r="P27" s="818"/>
      <c r="Q27" s="818"/>
      <c r="R27" s="818"/>
    </row>
    <row r="28" spans="1:18">
      <c r="A28" s="360">
        <v>13</v>
      </c>
      <c r="B28" s="365" t="s">
        <v>2942</v>
      </c>
      <c r="C28" s="816"/>
      <c r="D28" s="402" t="s">
        <v>2943</v>
      </c>
      <c r="E28" s="816"/>
      <c r="F28" s="816"/>
      <c r="G28" s="816"/>
      <c r="H28" s="816"/>
      <c r="I28" s="816"/>
      <c r="J28" s="816"/>
      <c r="K28" s="816"/>
      <c r="L28" s="816"/>
      <c r="M28" s="816"/>
      <c r="N28" s="816"/>
      <c r="O28" s="817"/>
      <c r="P28" s="818"/>
      <c r="Q28" s="818"/>
      <c r="R28" s="818"/>
    </row>
    <row r="29" spans="1:18">
      <c r="A29" s="360">
        <v>14</v>
      </c>
      <c r="B29" s="822" t="s">
        <v>2906</v>
      </c>
      <c r="C29" s="827"/>
      <c r="D29" s="827"/>
      <c r="E29" s="827"/>
      <c r="F29" s="827"/>
      <c r="G29" s="827"/>
      <c r="H29" s="827"/>
      <c r="I29" s="827"/>
      <c r="J29" s="827"/>
      <c r="K29" s="827"/>
      <c r="L29" s="827"/>
      <c r="M29" s="827"/>
      <c r="N29" s="827"/>
      <c r="O29" s="817"/>
      <c r="P29" s="818"/>
      <c r="Q29" s="818"/>
      <c r="R29" s="818"/>
    </row>
    <row r="30" spans="1:18">
      <c r="A30" s="360">
        <v>15</v>
      </c>
      <c r="B30" s="822" t="s">
        <v>2907</v>
      </c>
      <c r="C30" s="827"/>
      <c r="D30" s="827"/>
      <c r="E30" s="827"/>
      <c r="F30" s="827"/>
      <c r="G30" s="827"/>
      <c r="H30" s="827"/>
      <c r="I30" s="827"/>
      <c r="J30" s="827"/>
      <c r="K30" s="827"/>
      <c r="L30" s="827"/>
      <c r="M30" s="827"/>
      <c r="N30" s="827"/>
      <c r="O30" s="817"/>
      <c r="P30" s="818"/>
      <c r="Q30" s="818"/>
      <c r="R30" s="818"/>
    </row>
    <row r="31" spans="1:18">
      <c r="A31" s="360">
        <v>16</v>
      </c>
      <c r="B31" s="822" t="s">
        <v>2908</v>
      </c>
      <c r="C31" s="827"/>
      <c r="D31" s="827"/>
      <c r="E31" s="827"/>
      <c r="F31" s="827"/>
      <c r="G31" s="827"/>
      <c r="H31" s="827"/>
      <c r="I31" s="827"/>
      <c r="J31" s="827"/>
      <c r="K31" s="827"/>
      <c r="L31" s="827"/>
      <c r="M31" s="827"/>
      <c r="N31" s="827"/>
      <c r="O31" s="817"/>
      <c r="P31" s="818"/>
      <c r="Q31" s="818"/>
      <c r="R31" s="818"/>
    </row>
    <row r="32" spans="1:18">
      <c r="A32" s="360">
        <v>17</v>
      </c>
      <c r="B32" s="365" t="s">
        <v>2909</v>
      </c>
      <c r="C32" s="827"/>
      <c r="D32" s="827"/>
      <c r="E32" s="827"/>
      <c r="F32" s="827"/>
      <c r="G32" s="827"/>
      <c r="H32" s="827"/>
      <c r="I32" s="827"/>
      <c r="J32" s="827"/>
      <c r="K32" s="827"/>
      <c r="L32" s="827"/>
      <c r="M32" s="827"/>
      <c r="N32" s="827"/>
      <c r="O32" s="817"/>
      <c r="P32" s="818"/>
      <c r="Q32" s="818"/>
      <c r="R32" s="818"/>
    </row>
    <row r="33" spans="1:18">
      <c r="A33" s="360">
        <v>18</v>
      </c>
      <c r="B33" s="822" t="s">
        <v>2910</v>
      </c>
      <c r="C33" s="828"/>
      <c r="D33" s="828"/>
      <c r="E33" s="828"/>
      <c r="F33" s="828"/>
      <c r="G33" s="828"/>
      <c r="H33" s="828"/>
      <c r="I33" s="828"/>
      <c r="J33" s="828"/>
      <c r="K33" s="828"/>
      <c r="L33" s="828"/>
      <c r="M33" s="828"/>
      <c r="N33" s="831"/>
      <c r="O33" s="817"/>
      <c r="P33" s="818"/>
      <c r="Q33" s="818"/>
      <c r="R33" s="818"/>
    </row>
    <row r="34" spans="1:18">
      <c r="A34" s="360">
        <v>19</v>
      </c>
      <c r="B34" s="365" t="s">
        <v>2914</v>
      </c>
      <c r="C34" s="829"/>
      <c r="D34" s="829"/>
      <c r="E34" s="829"/>
      <c r="F34" s="829"/>
      <c r="G34" s="829"/>
      <c r="H34" s="829"/>
      <c r="I34" s="829"/>
      <c r="J34" s="829"/>
      <c r="K34" s="829"/>
      <c r="L34" s="829"/>
      <c r="M34" s="829"/>
      <c r="N34" s="829"/>
      <c r="O34" s="817"/>
      <c r="P34" s="818"/>
      <c r="Q34" s="818"/>
      <c r="R34" s="818"/>
    </row>
    <row r="35" spans="1:18">
      <c r="A35" s="360">
        <v>20</v>
      </c>
      <c r="B35" s="365"/>
      <c r="C35" s="421"/>
      <c r="D35" s="421"/>
      <c r="E35" s="832"/>
      <c r="F35" s="832"/>
      <c r="G35" s="832"/>
      <c r="H35" s="832"/>
      <c r="I35" s="832"/>
      <c r="J35" s="832"/>
      <c r="K35" s="832"/>
      <c r="L35" s="832"/>
      <c r="M35" s="832"/>
      <c r="N35" s="832"/>
      <c r="O35" s="817"/>
      <c r="P35" s="818"/>
      <c r="Q35" s="818"/>
      <c r="R35" s="818"/>
    </row>
    <row r="36" spans="1:18">
      <c r="A36" s="360">
        <v>21</v>
      </c>
      <c r="B36" s="822" t="s">
        <v>2915</v>
      </c>
      <c r="C36" s="816"/>
      <c r="D36" s="816"/>
      <c r="E36" s="816"/>
      <c r="F36" s="816"/>
      <c r="G36" s="816"/>
      <c r="H36" s="816"/>
      <c r="I36" s="816"/>
      <c r="J36" s="816"/>
      <c r="K36" s="816"/>
      <c r="L36" s="816"/>
      <c r="M36" s="816"/>
      <c r="N36" s="816"/>
      <c r="O36" s="817"/>
      <c r="P36" s="818"/>
      <c r="Q36" s="818"/>
      <c r="R36" s="818"/>
    </row>
    <row r="37" spans="1:18">
      <c r="A37" s="360">
        <v>22</v>
      </c>
      <c r="B37" s="826" t="s">
        <v>2916</v>
      </c>
      <c r="C37" s="816"/>
      <c r="D37" s="816"/>
      <c r="E37" s="816"/>
      <c r="F37" s="816"/>
      <c r="G37" s="816"/>
      <c r="H37" s="816"/>
      <c r="I37" s="816"/>
      <c r="J37" s="816"/>
      <c r="K37" s="816"/>
      <c r="L37" s="816"/>
      <c r="M37" s="816"/>
      <c r="N37" s="816"/>
      <c r="O37" s="817"/>
      <c r="P37" s="818"/>
      <c r="Q37" s="818"/>
      <c r="R37" s="818"/>
    </row>
    <row r="38" spans="1:18">
      <c r="A38" s="360">
        <v>23</v>
      </c>
      <c r="B38" s="365" t="s">
        <v>2942</v>
      </c>
      <c r="C38" s="816"/>
      <c r="D38" s="816"/>
      <c r="E38" s="816"/>
      <c r="F38" s="816"/>
      <c r="G38" s="816"/>
      <c r="H38" s="816"/>
      <c r="I38" s="816"/>
      <c r="J38" s="816"/>
      <c r="K38" s="816"/>
      <c r="L38" s="816"/>
      <c r="M38" s="816"/>
      <c r="N38" s="816"/>
      <c r="O38" s="817"/>
      <c r="P38" s="818"/>
      <c r="Q38" s="818"/>
      <c r="R38" s="818"/>
    </row>
    <row r="39" spans="1:18">
      <c r="A39" s="360">
        <v>24</v>
      </c>
      <c r="B39" s="822" t="s">
        <v>2906</v>
      </c>
      <c r="C39" s="827"/>
      <c r="D39" s="827"/>
      <c r="E39" s="827"/>
      <c r="F39" s="827"/>
      <c r="G39" s="827"/>
      <c r="H39" s="827"/>
      <c r="I39" s="827"/>
      <c r="J39" s="827"/>
      <c r="K39" s="827"/>
      <c r="L39" s="827"/>
      <c r="M39" s="827"/>
      <c r="N39" s="827"/>
      <c r="O39" s="817"/>
      <c r="P39" s="818"/>
      <c r="Q39" s="818"/>
      <c r="R39" s="818"/>
    </row>
    <row r="40" spans="1:18">
      <c r="A40" s="360">
        <v>25</v>
      </c>
      <c r="B40" s="822" t="s">
        <v>2907</v>
      </c>
      <c r="C40" s="827"/>
      <c r="D40" s="827"/>
      <c r="E40" s="827"/>
      <c r="F40" s="827"/>
      <c r="G40" s="827"/>
      <c r="H40" s="827"/>
      <c r="I40" s="827"/>
      <c r="J40" s="827"/>
      <c r="K40" s="827"/>
      <c r="L40" s="827"/>
      <c r="M40" s="827"/>
      <c r="N40" s="827"/>
      <c r="O40" s="817"/>
      <c r="P40" s="818"/>
      <c r="Q40" s="818"/>
      <c r="R40" s="818"/>
    </row>
    <row r="41" spans="1:18">
      <c r="A41" s="360">
        <v>26</v>
      </c>
      <c r="B41" s="822" t="s">
        <v>2908</v>
      </c>
      <c r="C41" s="827"/>
      <c r="D41" s="827"/>
      <c r="E41" s="827"/>
      <c r="F41" s="827"/>
      <c r="G41" s="827"/>
      <c r="H41" s="827"/>
      <c r="I41" s="827"/>
      <c r="J41" s="827"/>
      <c r="K41" s="827"/>
      <c r="L41" s="827"/>
      <c r="M41" s="827"/>
      <c r="N41" s="827"/>
      <c r="O41" s="817"/>
      <c r="P41" s="818"/>
      <c r="Q41" s="818"/>
      <c r="R41" s="818"/>
    </row>
    <row r="42" spans="1:18">
      <c r="A42" s="360">
        <v>27</v>
      </c>
      <c r="B42" s="365" t="s">
        <v>2909</v>
      </c>
      <c r="C42" s="827"/>
      <c r="D42" s="827"/>
      <c r="E42" s="827"/>
      <c r="F42" s="827"/>
      <c r="G42" s="827"/>
      <c r="H42" s="827"/>
      <c r="I42" s="827"/>
      <c r="J42" s="827"/>
      <c r="K42" s="827"/>
      <c r="L42" s="827"/>
      <c r="M42" s="827"/>
      <c r="N42" s="827"/>
      <c r="O42" s="817"/>
      <c r="P42" s="818"/>
      <c r="Q42" s="818"/>
      <c r="R42" s="818"/>
    </row>
    <row r="43" spans="1:18">
      <c r="A43" s="360">
        <v>28</v>
      </c>
      <c r="B43" s="822" t="s">
        <v>2910</v>
      </c>
      <c r="C43" s="828"/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31"/>
      <c r="O43" s="817"/>
      <c r="P43" s="818"/>
      <c r="Q43" s="818"/>
      <c r="R43" s="818"/>
    </row>
    <row r="44" spans="1:18">
      <c r="A44" s="360">
        <v>29</v>
      </c>
      <c r="B44" s="365" t="s">
        <v>2944</v>
      </c>
      <c r="C44" s="829"/>
      <c r="D44" s="829"/>
      <c r="E44" s="829"/>
      <c r="F44" s="829"/>
      <c r="G44" s="829"/>
      <c r="H44" s="829"/>
      <c r="I44" s="829"/>
      <c r="J44" s="829"/>
      <c r="K44" s="829"/>
      <c r="L44" s="829"/>
      <c r="M44" s="829"/>
      <c r="N44" s="420"/>
      <c r="O44" s="817"/>
      <c r="P44" s="818"/>
      <c r="Q44" s="818"/>
      <c r="R44" s="818"/>
    </row>
    <row r="45" spans="1:18">
      <c r="A45" s="360">
        <v>30</v>
      </c>
      <c r="B45" s="818"/>
      <c r="C45" s="830"/>
      <c r="D45" s="830"/>
      <c r="E45" s="830"/>
      <c r="F45" s="830"/>
      <c r="G45" s="830"/>
      <c r="H45" s="830"/>
      <c r="I45" s="830"/>
      <c r="J45" s="830"/>
      <c r="K45" s="830"/>
      <c r="L45" s="830"/>
      <c r="M45" s="830"/>
      <c r="N45" s="830"/>
      <c r="O45" s="817"/>
      <c r="P45" s="818"/>
      <c r="Q45" s="818"/>
      <c r="R45" s="818"/>
    </row>
    <row r="46" spans="1:18">
      <c r="A46" s="360">
        <v>31</v>
      </c>
      <c r="B46" s="822" t="s">
        <v>2917</v>
      </c>
      <c r="C46" s="818"/>
      <c r="D46" s="818"/>
      <c r="E46" s="818"/>
      <c r="F46" s="818"/>
      <c r="G46" s="818"/>
      <c r="H46" s="818"/>
      <c r="I46" s="818"/>
      <c r="J46" s="818"/>
      <c r="K46" s="818"/>
      <c r="L46" s="818"/>
      <c r="M46" s="818"/>
      <c r="N46" s="818"/>
      <c r="O46" s="817"/>
      <c r="P46" s="818"/>
      <c r="Q46" s="818"/>
      <c r="R46" s="818"/>
    </row>
    <row r="47" spans="1:18">
      <c r="A47" s="360">
        <v>32</v>
      </c>
      <c r="B47" s="826" t="s">
        <v>2918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8"/>
      <c r="N47" s="818"/>
      <c r="O47" s="817"/>
      <c r="P47" s="818"/>
      <c r="Q47" s="818"/>
      <c r="R47" s="818"/>
    </row>
    <row r="48" spans="1:18">
      <c r="A48" s="360">
        <v>33</v>
      </c>
      <c r="B48" s="365" t="s">
        <v>2905</v>
      </c>
      <c r="C48" s="818"/>
      <c r="D48" s="818"/>
      <c r="E48" s="818"/>
      <c r="F48" s="818"/>
      <c r="G48" s="818"/>
      <c r="H48" s="818"/>
      <c r="I48" s="818"/>
      <c r="J48" s="818"/>
      <c r="K48" s="818"/>
      <c r="L48" s="818"/>
      <c r="M48" s="818"/>
      <c r="N48" s="818"/>
      <c r="O48" s="817"/>
      <c r="P48" s="818"/>
      <c r="Q48" s="818"/>
      <c r="R48" s="818"/>
    </row>
    <row r="49" spans="1:18">
      <c r="A49" s="360">
        <v>34</v>
      </c>
      <c r="B49" s="365" t="s">
        <v>2906</v>
      </c>
      <c r="C49" s="816"/>
      <c r="D49" s="816"/>
      <c r="E49" s="816"/>
      <c r="F49" s="816"/>
      <c r="G49" s="816"/>
      <c r="H49" s="816"/>
      <c r="I49" s="816"/>
      <c r="J49" s="816"/>
      <c r="K49" s="816"/>
      <c r="L49" s="816"/>
      <c r="M49" s="816"/>
      <c r="N49" s="816"/>
      <c r="O49" s="817"/>
      <c r="P49" s="818"/>
      <c r="Q49" s="818"/>
      <c r="R49" s="818"/>
    </row>
    <row r="50" spans="1:18">
      <c r="A50" s="360">
        <v>35</v>
      </c>
      <c r="B50" s="365" t="s">
        <v>2907</v>
      </c>
      <c r="C50" s="816"/>
      <c r="D50" s="816"/>
      <c r="E50" s="816"/>
      <c r="F50" s="816"/>
      <c r="G50" s="816"/>
      <c r="H50" s="816"/>
      <c r="I50" s="816"/>
      <c r="J50" s="816"/>
      <c r="K50" s="816"/>
      <c r="L50" s="816"/>
      <c r="M50" s="816"/>
      <c r="N50" s="816"/>
      <c r="O50" s="817"/>
      <c r="P50" s="818"/>
      <c r="Q50" s="818"/>
      <c r="R50" s="818"/>
    </row>
    <row r="51" spans="1:18">
      <c r="A51" s="360">
        <v>36</v>
      </c>
      <c r="B51" s="365" t="s">
        <v>2908</v>
      </c>
      <c r="C51" s="816"/>
      <c r="D51" s="816"/>
      <c r="E51" s="816"/>
      <c r="F51" s="816"/>
      <c r="G51" s="816"/>
      <c r="H51" s="816"/>
      <c r="I51" s="816"/>
      <c r="J51" s="816"/>
      <c r="K51" s="816"/>
      <c r="L51" s="816"/>
      <c r="M51" s="816"/>
      <c r="N51" s="816"/>
      <c r="O51" s="817"/>
      <c r="P51" s="818"/>
      <c r="Q51" s="818"/>
      <c r="R51" s="818"/>
    </row>
    <row r="52" spans="1:18">
      <c r="A52" s="360">
        <v>37</v>
      </c>
      <c r="B52" s="365" t="s">
        <v>2909</v>
      </c>
      <c r="C52" s="816"/>
      <c r="D52" s="816"/>
      <c r="E52" s="816"/>
      <c r="F52" s="816"/>
      <c r="G52" s="816"/>
      <c r="H52" s="816"/>
      <c r="I52" s="816"/>
      <c r="J52" s="816"/>
      <c r="K52" s="816"/>
      <c r="L52" s="816"/>
      <c r="M52" s="816"/>
      <c r="N52" s="816"/>
      <c r="O52" s="817"/>
      <c r="P52" s="818"/>
      <c r="Q52" s="818"/>
      <c r="R52" s="818"/>
    </row>
    <row r="53" spans="1:18">
      <c r="A53" s="360"/>
      <c r="B53" s="365"/>
      <c r="C53" s="816"/>
      <c r="D53" s="816"/>
      <c r="E53" s="404"/>
      <c r="F53" s="404"/>
      <c r="G53" s="404"/>
      <c r="H53" s="404"/>
      <c r="I53" s="404"/>
      <c r="J53" s="404"/>
      <c r="K53" s="404"/>
      <c r="L53" s="404"/>
      <c r="M53" s="404"/>
      <c r="N53" s="404"/>
      <c r="O53" s="817"/>
      <c r="P53" s="818"/>
      <c r="Q53" s="818"/>
      <c r="R53" s="818"/>
    </row>
    <row r="54" spans="1:18">
      <c r="A54" s="833" t="s">
        <v>2919</v>
      </c>
      <c r="B54" s="818"/>
      <c r="C54" s="818"/>
      <c r="D54" s="818"/>
      <c r="E54" s="818"/>
      <c r="F54" s="818"/>
      <c r="G54" s="818"/>
      <c r="H54" s="818"/>
      <c r="I54" s="818"/>
      <c r="J54" s="818"/>
      <c r="K54" s="818"/>
      <c r="L54" s="818"/>
      <c r="M54" s="818"/>
      <c r="N54" s="818"/>
      <c r="O54" s="817"/>
      <c r="P54" s="818"/>
      <c r="Q54" s="818"/>
      <c r="R54" s="818"/>
    </row>
    <row r="55" spans="1:18">
      <c r="A55" s="818"/>
      <c r="B55" s="818"/>
      <c r="C55" s="818"/>
      <c r="D55" s="818"/>
      <c r="E55" s="818"/>
      <c r="F55" s="357"/>
      <c r="G55" s="357"/>
      <c r="H55" s="357"/>
      <c r="I55" s="357"/>
      <c r="J55" s="357"/>
      <c r="K55" s="357"/>
      <c r="L55" s="357"/>
      <c r="M55" s="357"/>
      <c r="N55" s="357"/>
      <c r="O55" s="817"/>
      <c r="P55" s="818"/>
      <c r="Q55" s="818"/>
      <c r="R55" s="818"/>
    </row>
    <row r="56" spans="1:18">
      <c r="A56" s="818"/>
      <c r="B56" s="818"/>
      <c r="C56" s="818"/>
      <c r="D56" s="818"/>
      <c r="E56" s="818"/>
      <c r="F56" s="357"/>
      <c r="G56" s="357"/>
      <c r="H56" s="357"/>
      <c r="I56" s="357"/>
      <c r="J56" s="357"/>
      <c r="K56" s="357"/>
      <c r="L56" s="357"/>
      <c r="M56" s="357"/>
      <c r="N56" s="357"/>
      <c r="O56" s="817"/>
      <c r="P56" s="818"/>
      <c r="Q56" s="818"/>
      <c r="R56" s="818"/>
    </row>
    <row r="57" spans="1:18">
      <c r="A57" s="818"/>
      <c r="B57" s="822"/>
      <c r="C57" s="818"/>
      <c r="D57" s="818"/>
      <c r="E57" s="818"/>
      <c r="F57" s="357"/>
      <c r="G57" s="357"/>
      <c r="H57" s="357"/>
      <c r="I57" s="357"/>
      <c r="J57" s="357"/>
      <c r="K57" s="357"/>
      <c r="L57" s="357"/>
      <c r="M57" s="357"/>
      <c r="N57" s="357"/>
      <c r="O57" s="817"/>
      <c r="P57" s="818"/>
      <c r="Q57" s="818"/>
      <c r="R57" s="818"/>
    </row>
    <row r="58" spans="1:18">
      <c r="A58" s="818"/>
      <c r="B58" s="818"/>
      <c r="C58" s="818"/>
      <c r="D58" s="818"/>
      <c r="E58" s="818"/>
      <c r="F58" s="357"/>
      <c r="G58" s="357"/>
      <c r="H58" s="357"/>
      <c r="I58" s="357"/>
      <c r="J58" s="357"/>
      <c r="K58" s="357"/>
      <c r="L58" s="357"/>
      <c r="M58" s="357"/>
      <c r="N58" s="357"/>
      <c r="O58" s="817"/>
      <c r="P58" s="818"/>
      <c r="Q58" s="818"/>
      <c r="R58" s="818"/>
    </row>
    <row r="59" spans="1:18">
      <c r="A59" s="818"/>
      <c r="B59" s="818"/>
      <c r="C59" s="818"/>
      <c r="D59" s="818"/>
      <c r="E59" s="818"/>
      <c r="F59" s="357"/>
      <c r="G59" s="357"/>
      <c r="H59" s="357"/>
      <c r="I59" s="357"/>
      <c r="J59" s="357"/>
      <c r="K59" s="357"/>
      <c r="L59" s="357"/>
      <c r="M59" s="357"/>
      <c r="N59" s="357"/>
      <c r="O59" s="817"/>
      <c r="P59" s="818"/>
      <c r="Q59" s="818"/>
      <c r="R59" s="818"/>
    </row>
  </sheetData>
  <phoneticPr fontId="19" type="noConversion"/>
  <pageMargins left="0.94999999999999984" right="0.75" top="1" bottom="1" header="0.5" footer="0.5"/>
  <pageSetup scale="49" orientation="portrait" horizontalDpi="300" verticalDpi="30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82">
    <tabColor rgb="FF00B050"/>
    <pageSetUpPr fitToPage="1"/>
  </sheetPr>
  <dimension ref="A1:S59"/>
  <sheetViews>
    <sheetView workbookViewId="0"/>
  </sheetViews>
  <sheetFormatPr defaultColWidth="6.5546875" defaultRowHeight="13.2"/>
  <cols>
    <col min="1" max="1" width="6.5546875" customWidth="1"/>
    <col min="2" max="2" width="34.5546875" customWidth="1"/>
    <col min="3" max="3" width="17.44140625" customWidth="1"/>
    <col min="4" max="4" width="18.44140625" customWidth="1"/>
    <col min="5" max="5" width="17.5546875" customWidth="1"/>
    <col min="6" max="6" width="18.44140625" customWidth="1"/>
    <col min="7" max="7" width="16.5546875" customWidth="1"/>
    <col min="8" max="8" width="1.5546875" customWidth="1"/>
    <col min="9" max="9" width="17.44140625" customWidth="1"/>
    <col min="10" max="10" width="1" customWidth="1"/>
    <col min="11" max="11" width="17.5546875" customWidth="1"/>
    <col min="12" max="12" width="1.44140625" customWidth="1"/>
    <col min="13" max="13" width="16.5546875" customWidth="1"/>
    <col min="14" max="14" width="17" customWidth="1"/>
    <col min="15" max="18" width="6.5546875" customWidth="1"/>
    <col min="19" max="19" width="11.5546875" customWidth="1"/>
    <col min="20" max="20" width="12" customWidth="1"/>
    <col min="21" max="21" width="13.5546875" customWidth="1"/>
    <col min="22" max="22" width="14.44140625" customWidth="1"/>
    <col min="23" max="23" width="14" customWidth="1"/>
    <col min="24" max="24" width="13.44140625" customWidth="1"/>
    <col min="25" max="25" width="14.44140625" customWidth="1"/>
  </cols>
  <sheetData>
    <row r="1" spans="1:19">
      <c r="A1" s="377" t="str">
        <f>COMPANY</f>
        <v>DUKE ENERGY KENTUCKY, INC.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8"/>
      <c r="P1" s="379"/>
      <c r="Q1" s="379"/>
      <c r="R1" s="380"/>
      <c r="S1" s="379"/>
    </row>
    <row r="2" spans="1:19">
      <c r="A2" s="382" t="str">
        <f>CASE</f>
        <v>CASE NO. 2024-00354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8"/>
      <c r="P2" s="379"/>
      <c r="Q2" s="379"/>
      <c r="R2" s="380"/>
      <c r="S2" s="379"/>
    </row>
    <row r="3" spans="1:19">
      <c r="A3" s="377" t="s">
        <v>2945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8"/>
      <c r="P3" s="379"/>
      <c r="Q3" s="379"/>
      <c r="R3" s="380"/>
      <c r="S3" s="379"/>
    </row>
    <row r="4" spans="1:19">
      <c r="A4" s="351"/>
      <c r="B4" s="377"/>
      <c r="C4" s="377"/>
      <c r="D4" s="377"/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9"/>
      <c r="P4" s="379"/>
      <c r="Q4" s="379"/>
      <c r="R4" s="379"/>
      <c r="S4" s="379"/>
    </row>
    <row r="5" spans="1:19">
      <c r="A5" s="351"/>
      <c r="B5" s="377"/>
      <c r="C5" s="377"/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  <c r="O5" s="379"/>
      <c r="P5" s="379"/>
      <c r="Q5" s="379"/>
      <c r="R5" s="379"/>
      <c r="S5" s="379"/>
    </row>
    <row r="6" spans="1:19">
      <c r="A6" s="383"/>
      <c r="B6" s="383"/>
      <c r="C6" s="383"/>
      <c r="D6" s="383"/>
      <c r="E6" s="383"/>
      <c r="F6" s="383"/>
      <c r="G6" s="377"/>
      <c r="H6" s="377"/>
      <c r="I6" s="377"/>
      <c r="J6" s="377"/>
      <c r="K6" s="377"/>
      <c r="L6" s="377"/>
      <c r="M6" s="377"/>
      <c r="N6" s="377"/>
      <c r="O6" s="378"/>
      <c r="P6" s="379"/>
      <c r="Q6" s="379"/>
      <c r="R6" s="380"/>
      <c r="S6" s="379"/>
    </row>
    <row r="7" spans="1:19">
      <c r="A7" s="384"/>
      <c r="B7" s="383"/>
      <c r="C7" s="383"/>
      <c r="D7" s="383"/>
      <c r="E7" s="383"/>
      <c r="F7" s="383"/>
      <c r="G7" s="379"/>
      <c r="H7" s="385"/>
      <c r="I7" s="385"/>
      <c r="J7" s="385"/>
      <c r="K7" s="385" t="s">
        <v>2946</v>
      </c>
      <c r="L7" s="385"/>
      <c r="N7" s="377"/>
      <c r="O7" s="378"/>
      <c r="P7" s="379"/>
      <c r="Q7" s="379"/>
      <c r="R7" s="380"/>
      <c r="S7" s="386"/>
    </row>
    <row r="8" spans="1:19">
      <c r="A8" s="384"/>
      <c r="B8" s="383"/>
      <c r="C8" s="383"/>
      <c r="D8" s="383"/>
      <c r="E8" s="383"/>
      <c r="F8" s="383"/>
      <c r="G8" s="379"/>
      <c r="H8" s="385"/>
      <c r="I8" s="385"/>
      <c r="J8" s="385"/>
      <c r="K8" s="385" t="s">
        <v>466</v>
      </c>
      <c r="L8" s="385"/>
      <c r="N8" s="377"/>
      <c r="O8" s="378"/>
      <c r="P8" s="379"/>
      <c r="Q8" s="379"/>
      <c r="R8" s="380"/>
      <c r="S8" s="386"/>
    </row>
    <row r="9" spans="1:19">
      <c r="A9" s="383" t="str">
        <f>DataB</f>
        <v>DATA: "X" BASE PERIOD  "X" FORECASTED PERIOD</v>
      </c>
      <c r="B9" s="383"/>
      <c r="C9" s="383"/>
      <c r="D9" s="383"/>
      <c r="E9" s="383"/>
      <c r="F9" s="387"/>
      <c r="G9" s="379"/>
      <c r="H9" s="388"/>
      <c r="I9" s="388"/>
      <c r="J9" s="388"/>
      <c r="K9" s="388" t="s">
        <v>468</v>
      </c>
      <c r="L9" s="388"/>
      <c r="N9" s="377"/>
      <c r="O9" s="378"/>
      <c r="P9" s="379"/>
      <c r="Q9" s="379"/>
      <c r="R9" s="380"/>
      <c r="S9" s="386"/>
    </row>
    <row r="10" spans="1:19">
      <c r="A10" s="388" t="str">
        <f>LOGO!B15</f>
        <v xml:space="preserve">TYPE OF FILING:  "X" ORIGINAL   UPDATED    REVISED  </v>
      </c>
      <c r="B10" s="383"/>
      <c r="C10" s="383"/>
      <c r="D10" s="383"/>
      <c r="E10" s="383"/>
      <c r="F10" s="387"/>
      <c r="G10" s="379"/>
      <c r="H10" s="356"/>
      <c r="I10" s="356"/>
      <c r="J10" s="356"/>
      <c r="K10" s="356" t="str">
        <f>_WIT6</f>
        <v>G. S. CARPENTER / D. L. WEATHERSTON</v>
      </c>
      <c r="L10" s="356"/>
      <c r="N10" s="377"/>
      <c r="O10" s="378"/>
      <c r="P10" s="379"/>
      <c r="Q10" s="379"/>
      <c r="R10" s="380"/>
      <c r="S10" s="386"/>
    </row>
    <row r="11" spans="1:19">
      <c r="A11" s="385" t="s">
        <v>2763</v>
      </c>
      <c r="B11" s="383"/>
      <c r="C11" s="383"/>
      <c r="D11" s="383"/>
      <c r="E11" s="383"/>
      <c r="F11" s="387"/>
      <c r="G11" s="377"/>
      <c r="H11" s="377"/>
      <c r="I11" s="377"/>
      <c r="J11" s="377"/>
      <c r="K11" s="377"/>
      <c r="L11" s="377"/>
      <c r="M11" s="377"/>
      <c r="N11" s="377"/>
      <c r="O11" s="378"/>
      <c r="P11" s="379"/>
      <c r="Q11" s="379"/>
      <c r="R11" s="380"/>
      <c r="S11" s="386"/>
    </row>
    <row r="12" spans="1:19">
      <c r="A12" s="1609"/>
      <c r="B12" s="1610"/>
      <c r="C12" s="1610"/>
      <c r="D12" s="1610"/>
      <c r="E12" s="1610"/>
      <c r="F12" s="1611"/>
      <c r="G12" s="1612"/>
      <c r="H12" s="1612"/>
      <c r="I12" s="1612"/>
      <c r="J12" s="1612"/>
      <c r="K12" s="1612"/>
      <c r="L12" s="1612"/>
      <c r="M12" s="1612"/>
      <c r="N12" s="1612"/>
      <c r="O12" s="378"/>
      <c r="P12" s="379"/>
      <c r="Q12" s="379"/>
      <c r="R12" s="380"/>
      <c r="S12" s="386"/>
    </row>
    <row r="13" spans="1:19">
      <c r="A13" s="385"/>
      <c r="B13" s="383"/>
      <c r="C13" s="383"/>
      <c r="D13" s="383"/>
      <c r="E13" s="383"/>
      <c r="F13" s="387"/>
      <c r="G13" s="377"/>
      <c r="H13" s="377"/>
      <c r="I13" s="357"/>
      <c r="J13" s="357"/>
      <c r="K13" s="357"/>
      <c r="L13" s="357"/>
      <c r="M13" s="357" t="s">
        <v>2808</v>
      </c>
      <c r="N13" s="358"/>
      <c r="O13" s="378"/>
      <c r="P13" s="379"/>
      <c r="Q13" s="379"/>
      <c r="R13" s="380"/>
      <c r="S13" s="386"/>
    </row>
    <row r="14" spans="1:19">
      <c r="A14" s="389" t="s">
        <v>471</v>
      </c>
      <c r="B14" s="383"/>
      <c r="C14" s="1612" t="s">
        <v>2941</v>
      </c>
      <c r="D14" s="1613"/>
      <c r="E14" s="1613"/>
      <c r="F14" s="1613"/>
      <c r="G14" s="1613"/>
      <c r="H14" s="359"/>
      <c r="I14" s="360" t="s">
        <v>473</v>
      </c>
      <c r="J14" s="357"/>
      <c r="K14" s="360" t="s">
        <v>474</v>
      </c>
      <c r="L14" s="361"/>
      <c r="M14" s="362" t="s">
        <v>2809</v>
      </c>
      <c r="N14" s="358"/>
      <c r="O14" s="378"/>
      <c r="P14" s="379"/>
      <c r="Q14" s="379"/>
      <c r="R14" s="380"/>
      <c r="S14" s="390"/>
    </row>
    <row r="15" spans="1:19">
      <c r="A15" s="1614" t="s">
        <v>533</v>
      </c>
      <c r="B15" s="1609" t="s">
        <v>476</v>
      </c>
      <c r="C15" s="1598">
        <f>$G$15-4</f>
        <v>2019</v>
      </c>
      <c r="D15" s="1598">
        <f>$G$15-3</f>
        <v>2020</v>
      </c>
      <c r="E15" s="1598">
        <f>$G$15-2</f>
        <v>2021</v>
      </c>
      <c r="F15" s="1598">
        <f>$G$15-1</f>
        <v>2022</v>
      </c>
      <c r="G15" s="1598">
        <f>'SCH_I1 - Elec Only'!M14</f>
        <v>2023</v>
      </c>
      <c r="H15" s="1598"/>
      <c r="I15" s="1607" t="s">
        <v>478</v>
      </c>
      <c r="J15" s="1607"/>
      <c r="K15" s="1607" t="s">
        <v>478</v>
      </c>
      <c r="L15" s="1607"/>
      <c r="M15" s="1608">
        <f>SCH_I2.1!M15</f>
        <v>2026</v>
      </c>
      <c r="N15" s="1608">
        <f>SCH_I2.1!N15</f>
        <v>2027</v>
      </c>
      <c r="O15" s="378"/>
      <c r="P15" s="379"/>
      <c r="Q15" s="379"/>
      <c r="R15" s="380"/>
      <c r="S15" s="381"/>
    </row>
    <row r="16" spans="1:19">
      <c r="A16" s="389">
        <v>1</v>
      </c>
      <c r="B16" s="385" t="s">
        <v>2947</v>
      </c>
      <c r="C16" s="1790"/>
      <c r="D16" s="1790"/>
      <c r="E16" s="1790"/>
      <c r="F16" s="1790"/>
      <c r="G16" s="1790"/>
      <c r="H16" s="1790"/>
      <c r="I16" s="1790"/>
      <c r="J16" s="1790"/>
      <c r="K16" s="1790"/>
      <c r="L16" s="1790"/>
      <c r="M16" s="1790"/>
      <c r="N16" s="379"/>
      <c r="O16" s="378"/>
      <c r="P16" s="379"/>
      <c r="Q16" s="379"/>
      <c r="R16" s="379"/>
      <c r="S16" s="379"/>
    </row>
    <row r="17" spans="1:19">
      <c r="A17" s="389">
        <v>2</v>
      </c>
      <c r="B17" s="391" t="s">
        <v>2948</v>
      </c>
      <c r="C17" s="1786"/>
      <c r="D17" s="1786"/>
      <c r="E17" s="1786"/>
      <c r="F17" s="1786"/>
      <c r="G17" s="1786"/>
      <c r="H17" s="379"/>
      <c r="I17" s="379"/>
      <c r="J17" s="379"/>
      <c r="K17" s="379"/>
      <c r="L17" s="379"/>
      <c r="M17" s="379"/>
      <c r="N17" s="379"/>
      <c r="O17" s="378"/>
      <c r="P17" s="379"/>
      <c r="Q17" s="379"/>
      <c r="R17" s="379"/>
      <c r="S17" s="379"/>
    </row>
    <row r="18" spans="1:19">
      <c r="A18" s="389">
        <v>3</v>
      </c>
      <c r="B18" s="365" t="s">
        <v>2942</v>
      </c>
      <c r="C18" s="379"/>
      <c r="D18" s="379"/>
      <c r="E18" s="379"/>
      <c r="F18" s="379"/>
      <c r="G18" s="379"/>
      <c r="H18" s="379"/>
      <c r="I18" s="379"/>
      <c r="J18" s="379"/>
      <c r="K18" s="379"/>
      <c r="L18" s="379"/>
      <c r="M18" s="379"/>
      <c r="N18" s="379"/>
      <c r="O18" s="378"/>
      <c r="P18" s="379"/>
      <c r="Q18" s="379"/>
      <c r="R18" s="379"/>
      <c r="S18" s="379"/>
    </row>
    <row r="19" spans="1:19">
      <c r="A19" s="389">
        <v>4</v>
      </c>
      <c r="B19" s="385" t="s">
        <v>2906</v>
      </c>
      <c r="C19" s="1791">
        <v>1512663947</v>
      </c>
      <c r="D19" s="1791">
        <v>1477913730</v>
      </c>
      <c r="E19" s="1791">
        <v>1516485275</v>
      </c>
      <c r="F19" s="1791">
        <v>1489341421</v>
      </c>
      <c r="G19" s="1791">
        <v>1413747456</v>
      </c>
      <c r="H19" s="1791"/>
      <c r="I19" s="2206">
        <f>'Base Period Cust'!O22</f>
        <v>1528173667</v>
      </c>
      <c r="J19" s="1791"/>
      <c r="K19" s="2206">
        <f>'KWH Sales'!C40</f>
        <v>1528978658.9000001</v>
      </c>
      <c r="L19" s="1791"/>
      <c r="M19" s="1791">
        <v>1534849592.1000001</v>
      </c>
      <c r="N19" s="1791">
        <v>1539149351.7999997</v>
      </c>
      <c r="O19" s="378"/>
      <c r="P19" s="379"/>
      <c r="Q19" s="379"/>
      <c r="R19" s="379"/>
      <c r="S19" s="379"/>
    </row>
    <row r="20" spans="1:19">
      <c r="A20" s="389">
        <v>5</v>
      </c>
      <c r="B20" s="385" t="s">
        <v>2907</v>
      </c>
      <c r="C20" s="1791">
        <v>1460449663</v>
      </c>
      <c r="D20" s="1791">
        <v>1416427092</v>
      </c>
      <c r="E20" s="1791">
        <v>1536652599</v>
      </c>
      <c r="F20" s="1791">
        <v>1416937341</v>
      </c>
      <c r="G20" s="1791">
        <v>1473511241</v>
      </c>
      <c r="H20" s="1791"/>
      <c r="I20" s="2206">
        <f>'Base Period Cust'!O23</f>
        <v>1509654630</v>
      </c>
      <c r="J20" s="1791"/>
      <c r="K20" s="2206">
        <f>'KWH Sales'!D40</f>
        <v>1429911266.4000001</v>
      </c>
      <c r="L20" s="1791"/>
      <c r="M20" s="1791">
        <v>1438088462.2999997</v>
      </c>
      <c r="N20" s="1791">
        <v>1432916508.8999999</v>
      </c>
      <c r="O20" s="378"/>
      <c r="P20" s="379"/>
      <c r="Q20" s="379"/>
      <c r="R20" s="379"/>
      <c r="S20" s="379"/>
    </row>
    <row r="21" spans="1:19">
      <c r="A21" s="389">
        <v>6</v>
      </c>
      <c r="B21" s="385" t="s">
        <v>2908</v>
      </c>
      <c r="C21" s="1791">
        <v>847559358</v>
      </c>
      <c r="D21" s="1791">
        <v>746181600</v>
      </c>
      <c r="E21" s="1791">
        <v>751561031</v>
      </c>
      <c r="F21" s="1791">
        <v>736090692</v>
      </c>
      <c r="G21" s="1791">
        <v>743837019</v>
      </c>
      <c r="H21" s="1791"/>
      <c r="I21" s="2206">
        <f>'Base Period Cust'!O24</f>
        <v>748373212</v>
      </c>
      <c r="J21" s="1791"/>
      <c r="K21" s="2206">
        <f>'KWH Sales'!E40</f>
        <v>742409910.5999999</v>
      </c>
      <c r="L21" s="1791"/>
      <c r="M21" s="1791">
        <v>740213782.70000005</v>
      </c>
      <c r="N21" s="1791">
        <v>737072441.29999983</v>
      </c>
      <c r="O21" s="378"/>
      <c r="P21" s="379"/>
      <c r="Q21" s="379"/>
      <c r="R21" s="379"/>
      <c r="S21" s="379"/>
    </row>
    <row r="22" spans="1:19">
      <c r="A22" s="389">
        <v>7</v>
      </c>
      <c r="B22" s="365" t="s">
        <v>2909</v>
      </c>
      <c r="C22" s="1791">
        <v>13759195</v>
      </c>
      <c r="D22" s="1791">
        <v>13826707</v>
      </c>
      <c r="E22" s="1791">
        <v>13143173</v>
      </c>
      <c r="F22" s="1791">
        <v>12831879</v>
      </c>
      <c r="G22" s="1791">
        <v>12162800</v>
      </c>
      <c r="H22" s="1791"/>
      <c r="I22" s="2206">
        <f>'Base Period Cust'!O25</f>
        <v>13471571</v>
      </c>
      <c r="J22" s="1791"/>
      <c r="K22" s="2206">
        <f>'KWH Sales'!F40</f>
        <v>12514266</v>
      </c>
      <c r="L22" s="1791"/>
      <c r="M22" s="1791">
        <v>12423980.699999999</v>
      </c>
      <c r="N22" s="1791">
        <v>12248404.799999999</v>
      </c>
      <c r="O22" s="378"/>
      <c r="P22" s="379"/>
      <c r="Q22" s="379"/>
      <c r="R22" s="379"/>
      <c r="S22" s="379"/>
    </row>
    <row r="23" spans="1:19">
      <c r="A23" s="389">
        <v>8</v>
      </c>
      <c r="B23" s="385" t="s">
        <v>2910</v>
      </c>
      <c r="C23" s="1792">
        <v>276060136</v>
      </c>
      <c r="D23" s="1792">
        <v>187730627</v>
      </c>
      <c r="E23" s="1792">
        <v>151501526</v>
      </c>
      <c r="F23" s="1792">
        <f>231055607+1071360</f>
        <v>232126967</v>
      </c>
      <c r="G23" s="1792">
        <f>226278543+347511</f>
        <v>226626054</v>
      </c>
      <c r="H23" s="1792"/>
      <c r="I23" s="2207">
        <f>'Base Period Cust'!O26</f>
        <v>246695479</v>
      </c>
      <c r="J23" s="1792"/>
      <c r="K23" s="2207">
        <f>'KWH Sales'!G40+'KWH Sales'!I40</f>
        <v>250971486.80000001</v>
      </c>
      <c r="L23" s="1792"/>
      <c r="M23" s="1792">
        <v>249932959.39999998</v>
      </c>
      <c r="N23" s="1792">
        <v>248536015.40000001</v>
      </c>
      <c r="O23" s="378"/>
      <c r="P23" s="379"/>
      <c r="Q23" s="379"/>
      <c r="R23" s="379"/>
      <c r="S23" s="379"/>
    </row>
    <row r="24" spans="1:19">
      <c r="A24" s="389">
        <v>9</v>
      </c>
      <c r="B24" s="365" t="s">
        <v>2914</v>
      </c>
      <c r="C24" s="392">
        <f>SUM(C19:C23)</f>
        <v>4110492299</v>
      </c>
      <c r="D24" s="392">
        <f>SUM(D19:D23)</f>
        <v>3842079756</v>
      </c>
      <c r="E24" s="392">
        <f>SUM(E19:E23)</f>
        <v>3969343604</v>
      </c>
      <c r="F24" s="392">
        <f>SUM(F19:F23)</f>
        <v>3887328300</v>
      </c>
      <c r="G24" s="392">
        <f>SUM(G19:G23)</f>
        <v>3869884570</v>
      </c>
      <c r="H24" s="392"/>
      <c r="I24" s="392">
        <f>SUM(I19:I23)</f>
        <v>4046368559</v>
      </c>
      <c r="J24" s="392"/>
      <c r="K24" s="392">
        <f>SUM(K19:K23)</f>
        <v>3964785588.7000003</v>
      </c>
      <c r="L24" s="392"/>
      <c r="M24" s="392">
        <f>SUM(M19:M23)</f>
        <v>3975508777.1999993</v>
      </c>
      <c r="N24" s="392">
        <f>SUM(N19:N23)</f>
        <v>3969922722.1999998</v>
      </c>
      <c r="O24" s="378"/>
      <c r="P24" s="379"/>
      <c r="Q24" s="379"/>
      <c r="R24" s="379"/>
      <c r="S24" s="379"/>
    </row>
    <row r="25" spans="1:19">
      <c r="A25" s="389">
        <v>10</v>
      </c>
      <c r="B25" s="383"/>
      <c r="C25" s="393"/>
      <c r="D25" s="393"/>
      <c r="E25" s="393"/>
      <c r="F25" s="393"/>
      <c r="G25" s="393"/>
      <c r="H25" s="393"/>
      <c r="I25" s="393"/>
      <c r="J25" s="393"/>
      <c r="K25" s="393"/>
      <c r="L25" s="393"/>
      <c r="M25" s="393"/>
      <c r="N25" s="393"/>
      <c r="O25" s="378"/>
      <c r="P25" s="379"/>
      <c r="Q25" s="379"/>
      <c r="R25" s="379"/>
      <c r="S25" s="379"/>
    </row>
    <row r="26" spans="1:19">
      <c r="A26" s="389">
        <v>11</v>
      </c>
      <c r="B26" s="385" t="s">
        <v>2912</v>
      </c>
      <c r="C26" s="383"/>
      <c r="D26" s="383"/>
      <c r="E26" s="383"/>
      <c r="F26" s="383"/>
      <c r="G26" s="383"/>
      <c r="H26" s="383"/>
      <c r="I26" s="383"/>
      <c r="J26" s="383"/>
      <c r="K26" s="383"/>
      <c r="L26" s="383"/>
      <c r="M26" s="383"/>
      <c r="N26" s="383"/>
      <c r="O26" s="378"/>
      <c r="P26" s="379"/>
      <c r="Q26" s="379"/>
      <c r="R26" s="379"/>
      <c r="S26" s="379"/>
    </row>
    <row r="27" spans="1:19">
      <c r="A27" s="389">
        <v>12</v>
      </c>
      <c r="B27" s="391" t="s">
        <v>2913</v>
      </c>
      <c r="C27" s="383"/>
      <c r="D27" s="383"/>
      <c r="E27" s="383"/>
      <c r="F27" s="383"/>
      <c r="G27" s="383"/>
      <c r="H27" s="383"/>
      <c r="I27" s="383"/>
      <c r="J27" s="383"/>
      <c r="K27" s="383"/>
      <c r="L27" s="383"/>
      <c r="M27" s="383"/>
      <c r="N27" s="383"/>
      <c r="O27" s="378"/>
      <c r="P27" s="379"/>
      <c r="Q27" s="379"/>
      <c r="R27" s="379"/>
      <c r="S27" s="379"/>
    </row>
    <row r="28" spans="1:19">
      <c r="A28" s="389">
        <v>13</v>
      </c>
      <c r="B28" s="365" t="s">
        <v>2942</v>
      </c>
      <c r="C28" s="383"/>
      <c r="D28" s="383"/>
      <c r="E28" s="383"/>
      <c r="F28" s="383"/>
      <c r="G28" s="383"/>
      <c r="H28" s="383"/>
      <c r="I28" s="383"/>
      <c r="J28" s="383"/>
      <c r="K28" s="383"/>
      <c r="L28" s="383"/>
      <c r="M28" s="383"/>
      <c r="N28" s="383"/>
      <c r="O28" s="378"/>
      <c r="P28" s="379"/>
      <c r="Q28" s="379"/>
      <c r="R28" s="379"/>
      <c r="S28" s="379"/>
    </row>
    <row r="29" spans="1:19">
      <c r="A29" s="389">
        <v>14</v>
      </c>
      <c r="B29" s="385" t="s">
        <v>2906</v>
      </c>
      <c r="C29" s="394">
        <f>SCH_I2.1!C29</f>
        <v>129102</v>
      </c>
      <c r="D29" s="394">
        <f>SCH_I2.1!D29</f>
        <v>129812</v>
      </c>
      <c r="E29" s="394">
        <f>SCH_I2.1!E29</f>
        <v>130983</v>
      </c>
      <c r="F29" s="394">
        <f>SCH_I2.1!F29</f>
        <v>136916</v>
      </c>
      <c r="G29" s="394">
        <f>SCH_I2.1!G29</f>
        <v>139630</v>
      </c>
      <c r="H29" s="394"/>
      <c r="I29" s="394">
        <f>SCH_I2.1!I29</f>
        <v>139926</v>
      </c>
      <c r="J29" s="394"/>
      <c r="K29" s="394">
        <f>SCH_I2.1!K29</f>
        <v>141221</v>
      </c>
      <c r="L29" s="394"/>
      <c r="M29" s="394">
        <f>SCH_I2.1!M29</f>
        <v>141627</v>
      </c>
      <c r="N29" s="394">
        <f>SCH_I2.1!N29</f>
        <v>142392</v>
      </c>
      <c r="O29" s="378"/>
      <c r="P29" s="379"/>
      <c r="Q29" s="379"/>
      <c r="R29" s="379"/>
      <c r="S29" s="379"/>
    </row>
    <row r="30" spans="1:19">
      <c r="A30" s="389">
        <v>15</v>
      </c>
      <c r="B30" s="385" t="s">
        <v>2907</v>
      </c>
      <c r="C30" s="394">
        <f>SCH_I2.1!C30</f>
        <v>13739</v>
      </c>
      <c r="D30" s="394">
        <f>SCH_I2.1!D30</f>
        <v>14362</v>
      </c>
      <c r="E30" s="394">
        <f>SCH_I2.1!E30</f>
        <v>14139</v>
      </c>
      <c r="F30" s="394">
        <f>SCH_I2.1!F30</f>
        <v>13462</v>
      </c>
      <c r="G30" s="394">
        <f>SCH_I2.1!G30</f>
        <v>13709</v>
      </c>
      <c r="H30" s="394"/>
      <c r="I30" s="394">
        <f>SCH_I2.1!I30</f>
        <v>12313</v>
      </c>
      <c r="J30" s="394"/>
      <c r="K30" s="394">
        <f>SCH_I2.1!K30</f>
        <v>12150</v>
      </c>
      <c r="L30" s="394"/>
      <c r="M30" s="394">
        <f>SCH_I2.1!M30</f>
        <v>12081</v>
      </c>
      <c r="N30" s="394">
        <f>SCH_I2.1!N30</f>
        <v>11937</v>
      </c>
      <c r="O30" s="378"/>
      <c r="P30" s="379"/>
      <c r="Q30" s="379"/>
      <c r="R30" s="379"/>
      <c r="S30" s="379"/>
    </row>
    <row r="31" spans="1:19">
      <c r="A31" s="389">
        <v>16</v>
      </c>
      <c r="B31" s="385" t="s">
        <v>2908</v>
      </c>
      <c r="C31" s="394">
        <f>SCH_I2.1!C31</f>
        <v>363</v>
      </c>
      <c r="D31" s="394">
        <f>SCH_I2.1!D31</f>
        <v>361</v>
      </c>
      <c r="E31" s="394">
        <f>SCH_I2.1!E31</f>
        <v>351</v>
      </c>
      <c r="F31" s="394">
        <f>SCH_I2.1!F31</f>
        <v>403</v>
      </c>
      <c r="G31" s="394">
        <f>SCH_I2.1!G31</f>
        <v>371</v>
      </c>
      <c r="H31" s="394"/>
      <c r="I31" s="394">
        <f>SCH_I2.1!I31</f>
        <v>329</v>
      </c>
      <c r="J31" s="394"/>
      <c r="K31" s="394">
        <f>SCH_I2.1!K31</f>
        <v>329</v>
      </c>
      <c r="L31" s="394"/>
      <c r="M31" s="394">
        <f>SCH_I2.1!M31</f>
        <v>329</v>
      </c>
      <c r="N31" s="394">
        <f>SCH_I2.1!N31</f>
        <v>330</v>
      </c>
      <c r="O31" s="378"/>
      <c r="P31" s="379"/>
      <c r="Q31" s="379"/>
      <c r="R31" s="379"/>
      <c r="S31" s="379"/>
    </row>
    <row r="32" spans="1:19">
      <c r="A32" s="389">
        <v>17</v>
      </c>
      <c r="B32" s="365" t="s">
        <v>2909</v>
      </c>
      <c r="C32" s="394">
        <f>SCH_I2.1!C32</f>
        <v>466</v>
      </c>
      <c r="D32" s="394">
        <f>SCH_I2.1!D32</f>
        <v>466</v>
      </c>
      <c r="E32" s="394">
        <f>SCH_I2.1!E32</f>
        <v>698</v>
      </c>
      <c r="F32" s="394">
        <f>SCH_I2.1!F32</f>
        <v>693</v>
      </c>
      <c r="G32" s="394">
        <f>SCH_I2.1!G32</f>
        <v>470</v>
      </c>
      <c r="H32" s="394"/>
      <c r="I32" s="394">
        <f>SCH_I2.1!I32</f>
        <v>533</v>
      </c>
      <c r="J32" s="394"/>
      <c r="K32" s="394">
        <f>SCH_I2.1!K32</f>
        <v>538</v>
      </c>
      <c r="L32" s="394"/>
      <c r="M32" s="394">
        <f>SCH_I2.1!M32</f>
        <v>539</v>
      </c>
      <c r="N32" s="394">
        <f>SCH_I2.1!N32</f>
        <v>542</v>
      </c>
      <c r="O32" s="378"/>
      <c r="P32" s="379"/>
      <c r="Q32" s="379"/>
      <c r="R32" s="379"/>
      <c r="S32" s="379"/>
    </row>
    <row r="33" spans="1:19">
      <c r="A33" s="389">
        <v>18</v>
      </c>
      <c r="B33" s="385" t="s">
        <v>2910</v>
      </c>
      <c r="C33" s="392">
        <f>SCH_I2.1!C33</f>
        <v>928</v>
      </c>
      <c r="D33" s="392">
        <f>SCH_I2.1!D33</f>
        <v>453</v>
      </c>
      <c r="E33" s="392">
        <f>SCH_I2.1!E33</f>
        <v>910</v>
      </c>
      <c r="F33" s="392">
        <f>SCH_I2.1!F33</f>
        <v>980</v>
      </c>
      <c r="G33" s="392">
        <f>SCH_I2.1!G33</f>
        <v>950</v>
      </c>
      <c r="H33" s="392"/>
      <c r="I33" s="392">
        <f>SCH_I2.1!I33</f>
        <v>865</v>
      </c>
      <c r="J33" s="392"/>
      <c r="K33" s="392">
        <f>SCH_I2.1!K33</f>
        <v>869</v>
      </c>
      <c r="L33" s="392"/>
      <c r="M33" s="392">
        <f>SCH_I2.1!M33</f>
        <v>871</v>
      </c>
      <c r="N33" s="392">
        <f>SCH_I2.1!N33</f>
        <v>875</v>
      </c>
      <c r="O33" s="378"/>
      <c r="P33" s="379"/>
      <c r="Q33" s="379"/>
      <c r="R33" s="379"/>
      <c r="S33" s="379"/>
    </row>
    <row r="34" spans="1:19">
      <c r="A34" s="389">
        <v>19</v>
      </c>
      <c r="B34" s="365" t="s">
        <v>2914</v>
      </c>
      <c r="C34" s="392">
        <f>SUM(C29:C33)</f>
        <v>144598</v>
      </c>
      <c r="D34" s="392">
        <f>SUM(D29:D33)</f>
        <v>145454</v>
      </c>
      <c r="E34" s="392">
        <f>SUM(E29:E33)</f>
        <v>147081</v>
      </c>
      <c r="F34" s="392">
        <f>SUM(F29:F33)</f>
        <v>152454</v>
      </c>
      <c r="G34" s="392">
        <f>SUM(G29:G33)</f>
        <v>155130</v>
      </c>
      <c r="H34" s="392"/>
      <c r="I34" s="392">
        <f>SUM(I29:I33)</f>
        <v>153966</v>
      </c>
      <c r="J34" s="392"/>
      <c r="K34" s="392">
        <f>SUM(K29:K33)</f>
        <v>155107</v>
      </c>
      <c r="L34" s="392"/>
      <c r="M34" s="392">
        <f>SUM(M29:M33)</f>
        <v>155447</v>
      </c>
      <c r="N34" s="392">
        <f>SUM(N29:N33)</f>
        <v>156076</v>
      </c>
      <c r="O34" s="378"/>
      <c r="P34" s="379"/>
      <c r="Q34" s="379"/>
      <c r="R34" s="379"/>
      <c r="S34" s="379"/>
    </row>
    <row r="35" spans="1:19">
      <c r="A35" s="389">
        <v>20</v>
      </c>
      <c r="B35" s="365"/>
      <c r="C35" s="2205"/>
      <c r="D35" s="2205"/>
      <c r="E35" s="2205"/>
      <c r="F35" s="2205"/>
      <c r="G35" s="2205"/>
      <c r="H35" s="2205"/>
      <c r="I35" s="2205"/>
      <c r="J35" s="2205"/>
      <c r="K35" s="2205"/>
      <c r="L35" s="2205"/>
      <c r="M35" s="2205"/>
      <c r="N35" s="2205"/>
      <c r="O35" s="378"/>
      <c r="P35" s="379"/>
      <c r="Q35" s="379"/>
      <c r="R35" s="379"/>
      <c r="S35" s="379"/>
    </row>
    <row r="36" spans="1:19">
      <c r="A36" s="389">
        <v>21</v>
      </c>
      <c r="B36" s="385" t="s">
        <v>2915</v>
      </c>
      <c r="C36" s="383"/>
      <c r="D36" s="383"/>
      <c r="E36" s="383"/>
      <c r="F36" s="383"/>
      <c r="G36" s="383"/>
      <c r="H36" s="383"/>
      <c r="I36" s="383"/>
      <c r="J36" s="383"/>
      <c r="K36" s="383"/>
      <c r="L36" s="383"/>
      <c r="M36" s="383"/>
      <c r="N36" s="383"/>
      <c r="O36" s="378"/>
      <c r="P36" s="379"/>
      <c r="Q36" s="379"/>
      <c r="R36" s="379"/>
      <c r="S36" s="379"/>
    </row>
    <row r="37" spans="1:19">
      <c r="A37" s="389">
        <v>22</v>
      </c>
      <c r="B37" s="391" t="s">
        <v>2949</v>
      </c>
      <c r="C37" s="383"/>
      <c r="D37" s="383"/>
      <c r="E37" s="383"/>
      <c r="F37" s="383"/>
      <c r="G37" s="383"/>
      <c r="H37" s="383"/>
      <c r="I37" s="383"/>
      <c r="J37" s="383"/>
      <c r="K37" s="383"/>
      <c r="L37" s="383"/>
      <c r="M37" s="383"/>
      <c r="N37" s="383"/>
      <c r="O37" s="378"/>
      <c r="P37" s="379"/>
      <c r="Q37" s="379"/>
      <c r="R37" s="379"/>
      <c r="S37" s="379"/>
    </row>
    <row r="38" spans="1:19">
      <c r="A38" s="389">
        <v>23</v>
      </c>
      <c r="B38" s="365" t="s">
        <v>2942</v>
      </c>
      <c r="C38" s="383"/>
      <c r="D38" s="383"/>
      <c r="E38" s="383"/>
      <c r="F38" s="383"/>
      <c r="G38" s="383"/>
      <c r="H38" s="383"/>
      <c r="I38" s="383"/>
      <c r="J38" s="383"/>
      <c r="K38" s="383"/>
      <c r="L38" s="383"/>
      <c r="M38" s="383"/>
      <c r="N38" s="383"/>
      <c r="O38" s="378"/>
      <c r="P38" s="379"/>
      <c r="Q38" s="379"/>
      <c r="R38" s="379"/>
      <c r="S38" s="379"/>
    </row>
    <row r="39" spans="1:19">
      <c r="A39" s="389">
        <v>24</v>
      </c>
      <c r="B39" s="385" t="s">
        <v>2906</v>
      </c>
      <c r="C39" s="394">
        <f>SCH_I2.1!C39</f>
        <v>128049</v>
      </c>
      <c r="D39" s="394">
        <f>SCH_I2.1!D39</f>
        <v>130434</v>
      </c>
      <c r="E39" s="394">
        <f>SCH_I2.1!E39</f>
        <v>130738</v>
      </c>
      <c r="F39" s="394">
        <f>SCH_I2.1!F39</f>
        <v>133690</v>
      </c>
      <c r="G39" s="394">
        <f>SCH_I2.1!G39</f>
        <v>137125</v>
      </c>
      <c r="H39" s="394"/>
      <c r="I39" s="394">
        <f>SCH_I2.1!I39</f>
        <v>140293</v>
      </c>
      <c r="J39" s="394"/>
      <c r="K39" s="394">
        <f>SCH_I2.1!K39</f>
        <v>140811.83333333334</v>
      </c>
      <c r="L39" s="394"/>
      <c r="M39" s="394">
        <f>SCH_I2.1!M39</f>
        <v>141252.66666666666</v>
      </c>
      <c r="N39" s="394">
        <f>SCH_I2.1!N39</f>
        <v>142036.83333333334</v>
      </c>
      <c r="O39" s="378"/>
      <c r="P39" s="379"/>
      <c r="Q39" s="379"/>
      <c r="R39" s="379"/>
      <c r="S39" s="379"/>
    </row>
    <row r="40" spans="1:19">
      <c r="A40" s="389">
        <v>25</v>
      </c>
      <c r="B40" s="385" t="s">
        <v>2907</v>
      </c>
      <c r="C40" s="394">
        <f>SCH_I2.1!C40</f>
        <v>13627</v>
      </c>
      <c r="D40" s="394">
        <f>SCH_I2.1!D40</f>
        <v>13899</v>
      </c>
      <c r="E40" s="394">
        <f>SCH_I2.1!E40</f>
        <v>14235</v>
      </c>
      <c r="F40" s="394">
        <f>SCH_I2.1!F40</f>
        <v>13249</v>
      </c>
      <c r="G40" s="394">
        <f>SCH_I2.1!G40</f>
        <v>13459</v>
      </c>
      <c r="H40" s="394"/>
      <c r="I40" s="394">
        <f>SCH_I2.1!I40</f>
        <v>12852</v>
      </c>
      <c r="J40" s="394"/>
      <c r="K40" s="394">
        <f>SCH_I2.1!K40</f>
        <v>12208.416666666666</v>
      </c>
      <c r="L40" s="394"/>
      <c r="M40" s="394">
        <f>SCH_I2.1!M40</f>
        <v>12143.166666666666</v>
      </c>
      <c r="N40" s="394">
        <f>SCH_I2.1!N40</f>
        <v>12003.416666666666</v>
      </c>
      <c r="O40" s="378"/>
      <c r="P40" s="379"/>
      <c r="Q40" s="379"/>
      <c r="R40" s="379"/>
      <c r="S40" s="379"/>
    </row>
    <row r="41" spans="1:19">
      <c r="A41" s="389">
        <v>26</v>
      </c>
      <c r="B41" s="385" t="s">
        <v>2908</v>
      </c>
      <c r="C41" s="394">
        <f>SCH_I2.1!C41</f>
        <v>359</v>
      </c>
      <c r="D41" s="394">
        <f>SCH_I2.1!D41</f>
        <v>362</v>
      </c>
      <c r="E41" s="394">
        <f>SCH_I2.1!E41</f>
        <v>356</v>
      </c>
      <c r="F41" s="394">
        <f>SCH_I2.1!F41</f>
        <v>375</v>
      </c>
      <c r="G41" s="394">
        <f>SCH_I2.1!G41</f>
        <v>373</v>
      </c>
      <c r="H41" s="394"/>
      <c r="I41" s="394">
        <f>SCH_I2.1!I41</f>
        <v>336</v>
      </c>
      <c r="J41" s="394"/>
      <c r="K41" s="394">
        <f>SCH_I2.1!K41</f>
        <v>329</v>
      </c>
      <c r="L41" s="394"/>
      <c r="M41" s="394">
        <f>SCH_I2.1!M41</f>
        <v>329</v>
      </c>
      <c r="N41" s="394">
        <f>SCH_I2.1!N41</f>
        <v>329.41666666666669</v>
      </c>
      <c r="O41" s="378"/>
      <c r="P41" s="379"/>
      <c r="Q41" s="379"/>
      <c r="R41" s="379"/>
      <c r="S41" s="379"/>
    </row>
    <row r="42" spans="1:19">
      <c r="A42" s="389">
        <v>27</v>
      </c>
      <c r="B42" s="365" t="s">
        <v>2909</v>
      </c>
      <c r="C42" s="394">
        <f>SCH_I2.1!C42</f>
        <v>461</v>
      </c>
      <c r="D42" s="394">
        <f>SCH_I2.1!D42</f>
        <v>469</v>
      </c>
      <c r="E42" s="394">
        <f>SCH_I2.1!E42</f>
        <v>530</v>
      </c>
      <c r="F42" s="394">
        <f>SCH_I2.1!F42</f>
        <v>638</v>
      </c>
      <c r="G42" s="394">
        <f>SCH_I2.1!G42</f>
        <v>656</v>
      </c>
      <c r="H42" s="394"/>
      <c r="I42" s="394">
        <f>SCH_I2.1!I42</f>
        <v>588</v>
      </c>
      <c r="J42" s="394"/>
      <c r="K42" s="394">
        <f>SCH_I2.1!K42</f>
        <v>536.33333333333337</v>
      </c>
      <c r="L42" s="394"/>
      <c r="M42" s="394">
        <f>SCH_I2.1!M42</f>
        <v>537.91666666666663</v>
      </c>
      <c r="N42" s="394">
        <f>SCH_I2.1!N42</f>
        <v>541</v>
      </c>
      <c r="O42" s="378"/>
      <c r="P42" s="379"/>
      <c r="Q42" s="379"/>
      <c r="R42" s="379"/>
      <c r="S42" s="379"/>
    </row>
    <row r="43" spans="1:19">
      <c r="A43" s="389">
        <v>28</v>
      </c>
      <c r="B43" s="385" t="s">
        <v>2910</v>
      </c>
      <c r="C43" s="392">
        <f>SCH_I2.1!C43</f>
        <v>935</v>
      </c>
      <c r="D43" s="392">
        <f>SCH_I2.1!D43</f>
        <v>793</v>
      </c>
      <c r="E43" s="392">
        <f>SCH_I2.1!E43</f>
        <v>655</v>
      </c>
      <c r="F43" s="392">
        <f>SCH_I2.1!F43</f>
        <v>939</v>
      </c>
      <c r="G43" s="392">
        <f>SCH_I2.1!G43</f>
        <v>966</v>
      </c>
      <c r="H43" s="392"/>
      <c r="I43" s="392">
        <f>SCH_I2.1!I43</f>
        <v>877</v>
      </c>
      <c r="J43" s="392"/>
      <c r="K43" s="392">
        <f>SCH_I2.1!K43</f>
        <v>868</v>
      </c>
      <c r="L43" s="392"/>
      <c r="M43" s="392">
        <f>SCH_I2.1!M43</f>
        <v>869.58333333333337</v>
      </c>
      <c r="N43" s="392">
        <f>SCH_I2.1!N43</f>
        <v>873.16666666666663</v>
      </c>
      <c r="O43" s="378"/>
      <c r="P43" s="379"/>
      <c r="Q43" s="379"/>
      <c r="R43" s="379"/>
      <c r="S43" s="379"/>
    </row>
    <row r="44" spans="1:19">
      <c r="A44" s="389">
        <v>29</v>
      </c>
      <c r="B44" s="365" t="s">
        <v>2914</v>
      </c>
      <c r="C44" s="392">
        <f>SUM(C39:C43)</f>
        <v>143431</v>
      </c>
      <c r="D44" s="392">
        <f>SUM(D39:D43)</f>
        <v>145957</v>
      </c>
      <c r="E44" s="392">
        <f>SUM(E39:E43)</f>
        <v>146514</v>
      </c>
      <c r="F44" s="392">
        <f>SUM(F39:F43)</f>
        <v>148891</v>
      </c>
      <c r="G44" s="392">
        <f>SUM(G39:G43)</f>
        <v>152579</v>
      </c>
      <c r="H44" s="392"/>
      <c r="I44" s="392">
        <f>SUM(I39:I43)</f>
        <v>154946</v>
      </c>
      <c r="J44" s="392"/>
      <c r="K44" s="392">
        <f>SUM(K39:K43)</f>
        <v>154753.58333333334</v>
      </c>
      <c r="L44" s="392"/>
      <c r="M44" s="392">
        <f>SUM(M39:M43)</f>
        <v>155132.33333333331</v>
      </c>
      <c r="N44" s="392">
        <f>SUM(N39:N43)</f>
        <v>155783.83333333331</v>
      </c>
      <c r="O44" s="378"/>
      <c r="P44" s="379"/>
      <c r="Q44" s="379"/>
      <c r="R44" s="379"/>
      <c r="S44" s="379"/>
    </row>
    <row r="45" spans="1:19">
      <c r="A45" s="389">
        <v>30</v>
      </c>
      <c r="B45" s="383"/>
      <c r="C45" s="393"/>
      <c r="D45" s="393"/>
      <c r="E45" s="393"/>
      <c r="F45" s="393"/>
      <c r="G45" s="393"/>
      <c r="H45" s="393"/>
      <c r="I45" s="393"/>
      <c r="J45" s="393"/>
      <c r="K45" s="393"/>
      <c r="L45" s="393"/>
      <c r="M45" s="393"/>
      <c r="N45" s="393"/>
      <c r="O45" s="378"/>
      <c r="P45" s="379"/>
      <c r="Q45" s="379"/>
      <c r="R45" s="379"/>
      <c r="S45" s="379"/>
    </row>
    <row r="46" spans="1:19">
      <c r="A46" s="389">
        <v>31</v>
      </c>
      <c r="B46" s="385" t="s">
        <v>2950</v>
      </c>
      <c r="C46" s="383"/>
      <c r="D46" s="383"/>
      <c r="E46" s="383"/>
      <c r="F46" s="383"/>
      <c r="G46" s="383"/>
      <c r="H46" s="383"/>
      <c r="I46" s="383"/>
      <c r="J46" s="383"/>
      <c r="K46" s="383"/>
      <c r="L46" s="383"/>
      <c r="M46" s="383"/>
      <c r="N46" s="383"/>
      <c r="O46" s="378"/>
      <c r="P46" s="379"/>
      <c r="Q46" s="379"/>
      <c r="R46" s="379"/>
      <c r="S46" s="379"/>
    </row>
    <row r="47" spans="1:19">
      <c r="A47" s="389">
        <v>32</v>
      </c>
      <c r="B47" s="391" t="s">
        <v>2951</v>
      </c>
      <c r="C47" s="383"/>
      <c r="D47" s="383"/>
      <c r="E47" s="383"/>
      <c r="F47" s="383"/>
      <c r="G47" s="383"/>
      <c r="H47" s="383"/>
      <c r="I47" s="383"/>
      <c r="J47" s="383"/>
      <c r="K47" s="383"/>
      <c r="L47" s="383"/>
      <c r="M47" s="383"/>
      <c r="N47" s="383"/>
      <c r="O47" s="378"/>
      <c r="P47" s="379"/>
      <c r="Q47" s="379"/>
      <c r="R47" s="379"/>
      <c r="S47" s="379"/>
    </row>
    <row r="48" spans="1:19">
      <c r="A48" s="389">
        <v>33</v>
      </c>
      <c r="B48" s="365" t="s">
        <v>2905</v>
      </c>
      <c r="C48" s="383"/>
      <c r="D48" s="383"/>
      <c r="E48" s="383"/>
      <c r="F48" s="383"/>
      <c r="G48" s="383"/>
      <c r="H48" s="383"/>
      <c r="I48" s="383"/>
      <c r="J48" s="383"/>
      <c r="K48" s="383"/>
      <c r="L48" s="383"/>
      <c r="M48" s="383"/>
      <c r="N48" s="383"/>
      <c r="O48" s="378"/>
      <c r="P48" s="379"/>
      <c r="Q48" s="379"/>
      <c r="R48" s="379"/>
      <c r="S48" s="379"/>
    </row>
    <row r="49" spans="1:19">
      <c r="A49" s="389">
        <v>34</v>
      </c>
      <c r="B49" s="365" t="s">
        <v>2906</v>
      </c>
      <c r="C49" s="394">
        <f t="shared" ref="C49:G52" si="0">ROUND((C19/C39),0)</f>
        <v>11813</v>
      </c>
      <c r="D49" s="394">
        <f t="shared" si="0"/>
        <v>11331</v>
      </c>
      <c r="E49" s="394">
        <f t="shared" si="0"/>
        <v>11599</v>
      </c>
      <c r="F49" s="394">
        <f t="shared" si="0"/>
        <v>11140</v>
      </c>
      <c r="G49" s="394">
        <f t="shared" si="0"/>
        <v>10310</v>
      </c>
      <c r="H49" s="394"/>
      <c r="I49" s="394">
        <f>ROUND((I19/I39),0)</f>
        <v>10893</v>
      </c>
      <c r="J49" s="394"/>
      <c r="K49" s="394">
        <f>ROUND((K19/K39),0)</f>
        <v>10858</v>
      </c>
      <c r="L49" s="394"/>
      <c r="M49" s="394">
        <f t="shared" ref="M49:N52" si="1">ROUND((M19/M39),0)</f>
        <v>10866</v>
      </c>
      <c r="N49" s="394">
        <f t="shared" si="1"/>
        <v>10836</v>
      </c>
      <c r="O49" s="378"/>
      <c r="P49" s="379"/>
      <c r="Q49" s="379"/>
      <c r="R49" s="379"/>
      <c r="S49" s="379"/>
    </row>
    <row r="50" spans="1:19">
      <c r="A50" s="389">
        <v>35</v>
      </c>
      <c r="B50" s="365" t="s">
        <v>2907</v>
      </c>
      <c r="C50" s="394">
        <f t="shared" si="0"/>
        <v>107173</v>
      </c>
      <c r="D50" s="394">
        <f t="shared" si="0"/>
        <v>101909</v>
      </c>
      <c r="E50" s="394">
        <f t="shared" si="0"/>
        <v>107949</v>
      </c>
      <c r="F50" s="394">
        <f t="shared" si="0"/>
        <v>106947</v>
      </c>
      <c r="G50" s="394">
        <f t="shared" si="0"/>
        <v>109481</v>
      </c>
      <c r="H50" s="394"/>
      <c r="I50" s="394">
        <f>ROUND((I20/I40),0)</f>
        <v>117465</v>
      </c>
      <c r="J50" s="394"/>
      <c r="K50" s="394">
        <f>ROUND((K20/K40),0)</f>
        <v>117125</v>
      </c>
      <c r="L50" s="394"/>
      <c r="M50" s="394">
        <f t="shared" si="1"/>
        <v>118428</v>
      </c>
      <c r="N50" s="394">
        <f t="shared" si="1"/>
        <v>119376</v>
      </c>
      <c r="O50" s="378"/>
      <c r="P50" s="379"/>
      <c r="Q50" s="379"/>
      <c r="R50" s="379"/>
      <c r="S50" s="379"/>
    </row>
    <row r="51" spans="1:19">
      <c r="A51" s="389">
        <v>36</v>
      </c>
      <c r="B51" s="365" t="s">
        <v>2908</v>
      </c>
      <c r="C51" s="394">
        <f t="shared" si="0"/>
        <v>2360890</v>
      </c>
      <c r="D51" s="394">
        <f t="shared" si="0"/>
        <v>2061275</v>
      </c>
      <c r="E51" s="394">
        <f t="shared" si="0"/>
        <v>2111126</v>
      </c>
      <c r="F51" s="394">
        <f t="shared" si="0"/>
        <v>1962909</v>
      </c>
      <c r="G51" s="394">
        <f t="shared" si="0"/>
        <v>1994201</v>
      </c>
      <c r="H51" s="394"/>
      <c r="I51" s="394">
        <f>ROUND((I21/I41),0)</f>
        <v>2227301</v>
      </c>
      <c r="J51" s="394"/>
      <c r="K51" s="394">
        <f>ROUND((K21/K41),0)</f>
        <v>2256565</v>
      </c>
      <c r="L51" s="394"/>
      <c r="M51" s="394">
        <f t="shared" si="1"/>
        <v>2249890</v>
      </c>
      <c r="N51" s="394">
        <f t="shared" si="1"/>
        <v>2237508</v>
      </c>
      <c r="O51" s="378"/>
      <c r="P51" s="379"/>
      <c r="Q51" s="379"/>
      <c r="R51" s="379"/>
      <c r="S51" s="379"/>
    </row>
    <row r="52" spans="1:19">
      <c r="A52" s="389">
        <v>37</v>
      </c>
      <c r="B52" s="365" t="s">
        <v>2909</v>
      </c>
      <c r="C52" s="394">
        <f t="shared" si="0"/>
        <v>29846</v>
      </c>
      <c r="D52" s="394">
        <f t="shared" si="0"/>
        <v>29481</v>
      </c>
      <c r="E52" s="394">
        <f t="shared" si="0"/>
        <v>24798</v>
      </c>
      <c r="F52" s="394">
        <f t="shared" si="0"/>
        <v>20113</v>
      </c>
      <c r="G52" s="394">
        <f t="shared" si="0"/>
        <v>18541</v>
      </c>
      <c r="H52" s="394"/>
      <c r="I52" s="394">
        <f>ROUND((I22/I42),0)</f>
        <v>22911</v>
      </c>
      <c r="J52" s="394"/>
      <c r="K52" s="394">
        <f>ROUND((K22/K42),0)</f>
        <v>23333</v>
      </c>
      <c r="L52" s="394"/>
      <c r="M52" s="394">
        <f t="shared" si="1"/>
        <v>23096</v>
      </c>
      <c r="N52" s="394">
        <f t="shared" si="1"/>
        <v>22640</v>
      </c>
      <c r="O52" s="378"/>
      <c r="P52" s="379"/>
      <c r="Q52" s="379"/>
      <c r="R52" s="379"/>
      <c r="S52" s="379"/>
    </row>
    <row r="53" spans="1:19">
      <c r="A53" s="389"/>
      <c r="B53" s="365"/>
      <c r="C53" s="394"/>
      <c r="D53" s="394"/>
      <c r="E53" s="394"/>
      <c r="F53" s="394"/>
      <c r="G53" s="394"/>
      <c r="H53" s="394"/>
      <c r="I53" s="394"/>
      <c r="J53" s="394"/>
      <c r="K53" s="394"/>
      <c r="L53" s="394"/>
      <c r="M53" s="394"/>
      <c r="N53" s="394"/>
      <c r="O53" s="378"/>
      <c r="P53" s="379"/>
      <c r="Q53" s="379"/>
      <c r="R53" s="379"/>
      <c r="S53" s="379"/>
    </row>
    <row r="54" spans="1:19">
      <c r="A54" s="389"/>
      <c r="B54" s="385"/>
      <c r="C54" s="394"/>
      <c r="D54" s="394"/>
      <c r="E54" s="394"/>
      <c r="F54" s="394"/>
      <c r="G54" s="394"/>
      <c r="H54" s="394"/>
      <c r="I54" s="394"/>
      <c r="J54" s="394"/>
      <c r="K54" s="394"/>
      <c r="L54" s="394"/>
      <c r="M54" s="394"/>
      <c r="N54" s="394"/>
      <c r="O54" s="378"/>
      <c r="P54" s="379"/>
      <c r="Q54" s="379"/>
      <c r="R54" s="379"/>
      <c r="S54" s="379"/>
    </row>
    <row r="55" spans="1:19">
      <c r="A55" s="395" t="s">
        <v>2952</v>
      </c>
      <c r="B55" s="383"/>
      <c r="C55" s="394"/>
      <c r="D55" s="394"/>
      <c r="E55" s="394"/>
      <c r="F55" s="394"/>
      <c r="G55" s="394"/>
      <c r="H55" s="394"/>
      <c r="I55" s="394"/>
      <c r="J55" s="394"/>
      <c r="K55" s="394"/>
      <c r="L55" s="394"/>
      <c r="M55" s="394"/>
      <c r="N55" s="394"/>
      <c r="O55" s="378"/>
      <c r="P55" s="379"/>
      <c r="Q55" s="379"/>
      <c r="R55" s="379"/>
      <c r="S55" s="379"/>
    </row>
    <row r="56" spans="1:19">
      <c r="A56" s="396"/>
      <c r="B56" s="396"/>
      <c r="C56" s="396"/>
      <c r="D56" s="396"/>
      <c r="E56" s="396"/>
      <c r="F56" s="396"/>
      <c r="G56" s="396"/>
      <c r="H56" s="396"/>
      <c r="I56" s="396"/>
      <c r="J56" s="396"/>
      <c r="K56" s="396"/>
      <c r="L56" s="396"/>
      <c r="M56" s="396"/>
      <c r="N56" s="396"/>
      <c r="O56" s="378"/>
      <c r="P56" s="379"/>
      <c r="Q56" s="379"/>
      <c r="R56" s="379"/>
      <c r="S56" s="379"/>
    </row>
    <row r="57" spans="1:19">
      <c r="A57" s="397"/>
      <c r="B57" s="396"/>
      <c r="C57" s="396"/>
      <c r="D57" s="396"/>
      <c r="E57" s="396"/>
      <c r="F57" s="396"/>
      <c r="G57" s="396"/>
      <c r="H57" s="396"/>
      <c r="I57" s="396"/>
      <c r="J57" s="396"/>
      <c r="K57" s="396"/>
      <c r="L57" s="396"/>
      <c r="M57" s="396"/>
      <c r="N57" s="396"/>
      <c r="O57" s="378"/>
      <c r="P57" s="379"/>
      <c r="Q57" s="379"/>
      <c r="R57" s="379"/>
      <c r="S57" s="379"/>
    </row>
    <row r="58" spans="1:19">
      <c r="A58" s="396"/>
      <c r="B58" s="396"/>
      <c r="C58" s="396"/>
      <c r="D58" s="396"/>
      <c r="E58" s="396"/>
      <c r="F58" s="397"/>
      <c r="G58" s="396"/>
      <c r="H58" s="396"/>
      <c r="I58" s="396"/>
      <c r="J58" s="396"/>
      <c r="K58" s="396"/>
      <c r="L58" s="396"/>
      <c r="M58" s="396"/>
      <c r="N58" s="396"/>
      <c r="O58" s="378"/>
      <c r="P58" s="379"/>
      <c r="Q58" s="379"/>
      <c r="R58" s="379"/>
      <c r="S58" s="379"/>
    </row>
    <row r="59" spans="1:19">
      <c r="A59" s="396"/>
      <c r="B59" s="396"/>
      <c r="C59" s="398"/>
      <c r="D59" s="396"/>
      <c r="E59" s="396"/>
      <c r="F59" s="398"/>
      <c r="G59" s="398"/>
      <c r="H59" s="398"/>
      <c r="I59" s="398"/>
      <c r="J59" s="398"/>
      <c r="K59" s="398"/>
      <c r="L59" s="398"/>
      <c r="M59" s="398"/>
      <c r="N59" s="398"/>
      <c r="O59" s="378"/>
      <c r="P59" s="379"/>
      <c r="Q59" s="379"/>
      <c r="R59" s="379"/>
      <c r="S59" s="379"/>
    </row>
  </sheetData>
  <phoneticPr fontId="19" type="noConversion"/>
  <pageMargins left="0.94999999999999984" right="0.75" top="1" bottom="1" header="0.5" footer="0.5"/>
  <pageSetup scale="43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9d26d66c-7442-4f2f-84b5-fd9d62aa5613" xsi:nil="true"/>
    <Witness xmlns="9d26d66c-7442-4f2f-84b5-fd9d62aa5613">
      <UserInfo>
        <DisplayName>i:0#.f|membership|lisa.steinkuhl@duke-energy.com,#i:0#.f|membership|lisa.steinkuhl@duke-energy.com,#Lisa.Steinkuhl@duke-energy.com,#,#Steinkuhl, Lisa D,#,#43547,#Dir Rates&amp;Reg Planning</DisplayName>
        <AccountId>96</AccountId>
        <AccountType/>
      </UserInfo>
    </Witnes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BA58AB4E1B78F4EAC56940670E852C9" ma:contentTypeVersion="7" ma:contentTypeDescription="Create a new document." ma:contentTypeScope="" ma:versionID="600b251c5eb6d0272f50c7e058eb6a26">
  <xsd:schema xmlns:xsd="http://www.w3.org/2001/XMLSchema" xmlns:xs="http://www.w3.org/2001/XMLSchema" xmlns:p="http://schemas.microsoft.com/office/2006/metadata/properties" xmlns:ns2="9d26d66c-7442-4f2f-84b5-fd9d62aa5613" targetNamespace="http://schemas.microsoft.com/office/2006/metadata/properties" ma:root="true" ma:fieldsID="872a615ce27d402cbaaabd509cbed71f" ns2:_="">
    <xsd:import namespace="9d26d66c-7442-4f2f-84b5-fd9d62aa561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Witness" minOccurs="0"/>
                <xsd:element ref="ns2:Com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26d66c-7442-4f2f-84b5-fd9d62aa56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Witness" ma:index="13" nillable="true" ma:displayName="Witness" ma:list="UserInfo" ma:SharePointGroup="0" ma:internalName="Witness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omments" ma:index="14" nillable="true" ma:displayName="Comments" ma:format="Dropdown" ma:internalName="Comments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12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F4DBA0D-F36F-4D51-B84B-0D0207162D7B}">
  <ds:schemaRefs>
    <ds:schemaRef ds:uri="http://purl.org/dc/elements/1.1/"/>
    <ds:schemaRef ds:uri="http://schemas.microsoft.com/office/infopath/2007/PartnerControls"/>
    <ds:schemaRef ds:uri="7ca1ec72-a064-4467-ad5a-d1edcb6f1adb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schemas.microsoft.com/office/2006/metadata/properties"/>
    <ds:schemaRef ds:uri="http://www.w3.org/XML/1998/namespace"/>
    <ds:schemaRef ds:uri="http://purl.org/dc/dcmitype/"/>
    <ds:schemaRef ds:uri="9d26d66c-7442-4f2f-84b5-fd9d62aa5613"/>
  </ds:schemaRefs>
</ds:datastoreItem>
</file>

<file path=customXml/itemProps2.xml><?xml version="1.0" encoding="utf-8"?>
<ds:datastoreItem xmlns:ds="http://schemas.openxmlformats.org/officeDocument/2006/customXml" ds:itemID="{689B6089-E871-48B1-8F05-E698A448D2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26d66c-7442-4f2f-84b5-fd9d62aa56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C5B1028-E14B-491B-93AE-B0FEFD7D16D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108</vt:i4>
      </vt:variant>
      <vt:variant>
        <vt:lpstr>Named Ranges</vt:lpstr>
      </vt:variant>
      <vt:variant>
        <vt:i4>461</vt:i4>
      </vt:variant>
    </vt:vector>
  </HeadingPairs>
  <TitlesOfParts>
    <vt:vector size="569" baseType="lpstr">
      <vt:lpstr>LOGO</vt:lpstr>
      <vt:lpstr>ALLOCTABLE</vt:lpstr>
      <vt:lpstr>GOTO</vt:lpstr>
      <vt:lpstr>PRINT</vt:lpstr>
      <vt:lpstr>BASE PERIOD</vt:lpstr>
      <vt:lpstr>BP Rev by Product</vt:lpstr>
      <vt:lpstr>FORECASTED PERIOD</vt:lpstr>
      <vt:lpstr>FP Rev by Product</vt:lpstr>
      <vt:lpstr>SCH A Rate Base</vt:lpstr>
      <vt:lpstr>SCH_B1</vt:lpstr>
      <vt:lpstr>WPB-1</vt:lpstr>
      <vt:lpstr>SCH B-2</vt:lpstr>
      <vt:lpstr>SCH B-2.1</vt:lpstr>
      <vt:lpstr>SCH B-2.2</vt:lpstr>
      <vt:lpstr>SCH B-2.3</vt:lpstr>
      <vt:lpstr>SCH B-2.4</vt:lpstr>
      <vt:lpstr>SCH B-2.5</vt:lpstr>
      <vt:lpstr>SCH B-2.6</vt:lpstr>
      <vt:lpstr>SCH B-2.7</vt:lpstr>
      <vt:lpstr>SCH B-3</vt:lpstr>
      <vt:lpstr>SCH B-3.1</vt:lpstr>
      <vt:lpstr>SCH B-3.2 - Proposed</vt:lpstr>
      <vt:lpstr>SCH B-4</vt:lpstr>
      <vt:lpstr>SCH_B5s</vt:lpstr>
      <vt:lpstr>WPB-5's</vt:lpstr>
      <vt:lpstr>SCH_B6</vt:lpstr>
      <vt:lpstr>WPB-6's</vt:lpstr>
      <vt:lpstr>SCH_B7s</vt:lpstr>
      <vt:lpstr>SCH_B8</vt:lpstr>
      <vt:lpstr>SCH_C1</vt:lpstr>
      <vt:lpstr>SCH_C2</vt:lpstr>
      <vt:lpstr>WPC_2</vt:lpstr>
      <vt:lpstr>WPC-2e - Adj Summary</vt:lpstr>
      <vt:lpstr>SCH_C2.1 - Base Period</vt:lpstr>
      <vt:lpstr>SCH_C2.1 - Forecasted Period</vt:lpstr>
      <vt:lpstr>SCH_D1</vt:lpstr>
      <vt:lpstr>SCH_D2.1</vt:lpstr>
      <vt:lpstr>SCH_D2.2</vt:lpstr>
      <vt:lpstr>SCH_D2.3</vt:lpstr>
      <vt:lpstr>SCH_D2.4</vt:lpstr>
      <vt:lpstr>SCH_D2.5</vt:lpstr>
      <vt:lpstr>SCH_D2.6</vt:lpstr>
      <vt:lpstr>SCH_D2.7</vt:lpstr>
      <vt:lpstr>SCH_D2.8</vt:lpstr>
      <vt:lpstr>SCH_D2.9</vt:lpstr>
      <vt:lpstr>SCH_D2.10</vt:lpstr>
      <vt:lpstr>SCH_D2.11</vt:lpstr>
      <vt:lpstr>SCH_D2.12</vt:lpstr>
      <vt:lpstr>SCH_D2.13</vt:lpstr>
      <vt:lpstr>SCH_D2.14</vt:lpstr>
      <vt:lpstr>SCH_D2.15</vt:lpstr>
      <vt:lpstr>SCH_D2.16</vt:lpstr>
      <vt:lpstr>SCH_D2.17</vt:lpstr>
      <vt:lpstr>SCH_D2.18</vt:lpstr>
      <vt:lpstr>SCH_D2.19</vt:lpstr>
      <vt:lpstr>SCH_D2.20</vt:lpstr>
      <vt:lpstr>SCH_D2.21</vt:lpstr>
      <vt:lpstr>SCH_D2.22</vt:lpstr>
      <vt:lpstr>SCH_D2.23</vt:lpstr>
      <vt:lpstr>SCH_D2.24</vt:lpstr>
      <vt:lpstr>SCH_D2.25</vt:lpstr>
      <vt:lpstr>SCH_D2.26</vt:lpstr>
      <vt:lpstr>SCH_D2.27</vt:lpstr>
      <vt:lpstr>SCH_D2.28</vt:lpstr>
      <vt:lpstr>SCH_D2.29</vt:lpstr>
      <vt:lpstr>SCH_D2.30</vt:lpstr>
      <vt:lpstr>SCH_D2.31</vt:lpstr>
      <vt:lpstr>SCH_D2.32</vt:lpstr>
      <vt:lpstr>SCH_D2.33</vt:lpstr>
      <vt:lpstr>SCH_D2.34</vt:lpstr>
      <vt:lpstr>SCH_D2.35</vt:lpstr>
      <vt:lpstr>SCH_D2.36</vt:lpstr>
      <vt:lpstr>SCH_D2.37</vt:lpstr>
      <vt:lpstr>SCH_D2.38</vt:lpstr>
      <vt:lpstr>SCH_D3</vt:lpstr>
      <vt:lpstr>SCH_D4</vt:lpstr>
      <vt:lpstr>SCH_D5</vt:lpstr>
      <vt:lpstr>SCH_E1</vt:lpstr>
      <vt:lpstr>SCH_E2</vt:lpstr>
      <vt:lpstr>SCH_F1</vt:lpstr>
      <vt:lpstr>SCH_F2.1</vt:lpstr>
      <vt:lpstr>SCH_F2.2</vt:lpstr>
      <vt:lpstr>SCH_F2.3</vt:lpstr>
      <vt:lpstr>SCH_F3</vt:lpstr>
      <vt:lpstr>SCH_F4</vt:lpstr>
      <vt:lpstr>SCH_F5</vt:lpstr>
      <vt:lpstr>SCH_F6</vt:lpstr>
      <vt:lpstr>SCH_F7</vt:lpstr>
      <vt:lpstr>SCH_G1</vt:lpstr>
      <vt:lpstr>SCH_G2</vt:lpstr>
      <vt:lpstr>SCH_G3</vt:lpstr>
      <vt:lpstr>SCH_H</vt:lpstr>
      <vt:lpstr>SCH_I1 - Total Co</vt:lpstr>
      <vt:lpstr>SCH_I1 - Elec Only</vt:lpstr>
      <vt:lpstr>SCH_I2.1</vt:lpstr>
      <vt:lpstr>Base Period Cust</vt:lpstr>
      <vt:lpstr>KWH Sales</vt:lpstr>
      <vt:lpstr>SCH_I3</vt:lpstr>
      <vt:lpstr>SCH_I4</vt:lpstr>
      <vt:lpstr>SCH_I5</vt:lpstr>
      <vt:lpstr>SCH_J1 - Base</vt:lpstr>
      <vt:lpstr>SCH_J1 - Forecast</vt:lpstr>
      <vt:lpstr>SCH_J2 - Base</vt:lpstr>
      <vt:lpstr>SCH_J2 - Forecast</vt:lpstr>
      <vt:lpstr>SCH_J3 - Base</vt:lpstr>
      <vt:lpstr>SCH_J3 - Forecast</vt:lpstr>
      <vt:lpstr>SCH_J4</vt:lpstr>
      <vt:lpstr>SCH K</vt:lpstr>
      <vt:lpstr>_WIT1</vt:lpstr>
      <vt:lpstr>_WIT10</vt:lpstr>
      <vt:lpstr>_WIT11</vt:lpstr>
      <vt:lpstr>_WIT12</vt:lpstr>
      <vt:lpstr>_WIT2</vt:lpstr>
      <vt:lpstr>_WIT3</vt:lpstr>
      <vt:lpstr>_WIT4</vt:lpstr>
      <vt:lpstr>_WIT5</vt:lpstr>
      <vt:lpstr>_WIT6</vt:lpstr>
      <vt:lpstr>_WIT7</vt:lpstr>
      <vt:lpstr>_WIT8</vt:lpstr>
      <vt:lpstr>_WIT9</vt:lpstr>
      <vt:lpstr>AccountBP</vt:lpstr>
      <vt:lpstr>ACCT</vt:lpstr>
      <vt:lpstr>AcctTab1</vt:lpstr>
      <vt:lpstr>ACCTTABLE</vt:lpstr>
      <vt:lpstr>ALLOCTABLE</vt:lpstr>
      <vt:lpstr>AmountBP</vt:lpstr>
      <vt:lpstr>AmountFP</vt:lpstr>
      <vt:lpstr>APPORT</vt:lpstr>
      <vt:lpstr>Base_Period</vt:lpstr>
      <vt:lpstr>Base1</vt:lpstr>
      <vt:lpstr>Base10</vt:lpstr>
      <vt:lpstr>Base11</vt:lpstr>
      <vt:lpstr>Base12</vt:lpstr>
      <vt:lpstr>Base2</vt:lpstr>
      <vt:lpstr>Base3</vt:lpstr>
      <vt:lpstr>Base4</vt:lpstr>
      <vt:lpstr>Base5</vt:lpstr>
      <vt:lpstr>Base6</vt:lpstr>
      <vt:lpstr>Base7</vt:lpstr>
      <vt:lpstr>Base8</vt:lpstr>
      <vt:lpstr>Base9</vt:lpstr>
      <vt:lpstr>BaseFuelRate</vt:lpstr>
      <vt:lpstr>BasePeriod</vt:lpstr>
      <vt:lpstr>BPrev1</vt:lpstr>
      <vt:lpstr>BPrev10</vt:lpstr>
      <vt:lpstr>BPrev11</vt:lpstr>
      <vt:lpstr>BPrev12</vt:lpstr>
      <vt:lpstr>BPrev2</vt:lpstr>
      <vt:lpstr>BPrev3</vt:lpstr>
      <vt:lpstr>BPrev4</vt:lpstr>
      <vt:lpstr>BPrev5</vt:lpstr>
      <vt:lpstr>BPrev6</vt:lpstr>
      <vt:lpstr>BPrev7</vt:lpstr>
      <vt:lpstr>BPrev8</vt:lpstr>
      <vt:lpstr>BPrev9</vt:lpstr>
      <vt:lpstr>BPrevACCT</vt:lpstr>
      <vt:lpstr>BPREVPROD</vt:lpstr>
      <vt:lpstr>BPrevTotal</vt:lpstr>
      <vt:lpstr>BPTotal</vt:lpstr>
      <vt:lpstr>C_1_PROEXP</vt:lpstr>
      <vt:lpstr>CASE</vt:lpstr>
      <vt:lpstr>CheckTotal</vt:lpstr>
      <vt:lpstr>CODE</vt:lpstr>
      <vt:lpstr>CodeF</vt:lpstr>
      <vt:lpstr>CommonE</vt:lpstr>
      <vt:lpstr>COMPANY</vt:lpstr>
      <vt:lpstr>COMPTAX</vt:lpstr>
      <vt:lpstr>D_1_DEPR</vt:lpstr>
      <vt:lpstr>D_1_INTADJ</vt:lpstr>
      <vt:lpstr>D_1_OMEXP</vt:lpstr>
      <vt:lpstr>D_1_OTHER</vt:lpstr>
      <vt:lpstr>D_1_OTHTX</vt:lpstr>
      <vt:lpstr>D_1_REV</vt:lpstr>
      <vt:lpstr>Data</vt:lpstr>
      <vt:lpstr>DataB</vt:lpstr>
      <vt:lpstr>Database</vt:lpstr>
      <vt:lpstr>DataF</vt:lpstr>
      <vt:lpstr>DateCertain</vt:lpstr>
      <vt:lpstr>DEPT</vt:lpstr>
      <vt:lpstr>'SCH A Rate Base'!DUKE_ENERGY_KENTUCKY</vt:lpstr>
      <vt:lpstr>ExpGRCF</vt:lpstr>
      <vt:lpstr>FACrate</vt:lpstr>
      <vt:lpstr>FERCBP</vt:lpstr>
      <vt:lpstr>FERCFP</vt:lpstr>
      <vt:lpstr>FIT</vt:lpstr>
      <vt:lpstr>Forecast</vt:lpstr>
      <vt:lpstr>Forecast1</vt:lpstr>
      <vt:lpstr>Forecast10</vt:lpstr>
      <vt:lpstr>Forecast11</vt:lpstr>
      <vt:lpstr>Forecast12</vt:lpstr>
      <vt:lpstr>Forecast2</vt:lpstr>
      <vt:lpstr>Forecast3</vt:lpstr>
      <vt:lpstr>forecast4</vt:lpstr>
      <vt:lpstr>Forecast5</vt:lpstr>
      <vt:lpstr>Forecast6</vt:lpstr>
      <vt:lpstr>Forecast7</vt:lpstr>
      <vt:lpstr>Forecast8</vt:lpstr>
      <vt:lpstr>Forecast9</vt:lpstr>
      <vt:lpstr>FPERIOD</vt:lpstr>
      <vt:lpstr>FPrev1</vt:lpstr>
      <vt:lpstr>FPrev10</vt:lpstr>
      <vt:lpstr>FPrev11</vt:lpstr>
      <vt:lpstr>FPrev12</vt:lpstr>
      <vt:lpstr>FPrev2</vt:lpstr>
      <vt:lpstr>FPrev3</vt:lpstr>
      <vt:lpstr>FPrev4</vt:lpstr>
      <vt:lpstr>FPrev5</vt:lpstr>
      <vt:lpstr>FPrev6</vt:lpstr>
      <vt:lpstr>FPrev7</vt:lpstr>
      <vt:lpstr>FPrev8</vt:lpstr>
      <vt:lpstr>FPrev9</vt:lpstr>
      <vt:lpstr>FPrevAcct</vt:lpstr>
      <vt:lpstr>FPrevProd</vt:lpstr>
      <vt:lpstr>FPrevTotal</vt:lpstr>
      <vt:lpstr>FPunbilled</vt:lpstr>
      <vt:lpstr>GRCF</vt:lpstr>
      <vt:lpstr>GROSS_REVENUE_CONVERSION_FACTOR</vt:lpstr>
      <vt:lpstr>KPSC</vt:lpstr>
      <vt:lpstr>KPSCMaint</vt:lpstr>
      <vt:lpstr>MINCR</vt:lpstr>
      <vt:lpstr>PayrollWit</vt:lpstr>
      <vt:lpstr>PERIOD</vt:lpstr>
      <vt:lpstr>PeriodF</vt:lpstr>
      <vt:lpstr>PLANT_IN_SERVICE</vt:lpstr>
      <vt:lpstr>'BASE PERIOD'!Print_Area</vt:lpstr>
      <vt:lpstr>'FORECASTED PERIOD'!Print_Area</vt:lpstr>
      <vt:lpstr>'SCH A Rate Base'!Print_Area</vt:lpstr>
      <vt:lpstr>'SCH B-2'!Print_Area</vt:lpstr>
      <vt:lpstr>'SCH B-2.1'!Print_Area</vt:lpstr>
      <vt:lpstr>'SCH B-2.2'!Print_Area</vt:lpstr>
      <vt:lpstr>'SCH B-2.3'!Print_Area</vt:lpstr>
      <vt:lpstr>'SCH B-2.4'!Print_Area</vt:lpstr>
      <vt:lpstr>'SCH B-2.5'!Print_Area</vt:lpstr>
      <vt:lpstr>'SCH B-2.6'!Print_Area</vt:lpstr>
      <vt:lpstr>'SCH B-2.7'!Print_Area</vt:lpstr>
      <vt:lpstr>'SCH B-3'!Print_Area</vt:lpstr>
      <vt:lpstr>'SCH B-3.1'!Print_Area</vt:lpstr>
      <vt:lpstr>'SCH B-3.2 - Proposed'!Print_Area</vt:lpstr>
      <vt:lpstr>'SCH B-4'!Print_Area</vt:lpstr>
      <vt:lpstr>'SCH K'!Print_Area</vt:lpstr>
      <vt:lpstr>SCH_B1!Print_Area</vt:lpstr>
      <vt:lpstr>SCH_B5s!Print_Area</vt:lpstr>
      <vt:lpstr>SCH_B6!Print_Area</vt:lpstr>
      <vt:lpstr>SCH_B7s!Print_Area</vt:lpstr>
      <vt:lpstr>SCH_B8!Print_Area</vt:lpstr>
      <vt:lpstr>SCH_C1!Print_Area</vt:lpstr>
      <vt:lpstr>SCH_C2!Print_Area</vt:lpstr>
      <vt:lpstr>'SCH_C2.1 - Base Period'!Print_Area</vt:lpstr>
      <vt:lpstr>'SCH_C2.1 - Forecasted Period'!Print_Area</vt:lpstr>
      <vt:lpstr>SCH_D1!Print_Area</vt:lpstr>
      <vt:lpstr>SCH_D2.1!Print_Area</vt:lpstr>
      <vt:lpstr>SCH_D2.10!Print_Area</vt:lpstr>
      <vt:lpstr>SCH_D2.11!Print_Area</vt:lpstr>
      <vt:lpstr>SCH_D2.12!Print_Area</vt:lpstr>
      <vt:lpstr>SCH_D2.13!Print_Area</vt:lpstr>
      <vt:lpstr>SCH_D2.14!Print_Area</vt:lpstr>
      <vt:lpstr>SCH_D2.15!Print_Area</vt:lpstr>
      <vt:lpstr>SCH_D2.16!Print_Area</vt:lpstr>
      <vt:lpstr>SCH_D2.17!Print_Area</vt:lpstr>
      <vt:lpstr>SCH_D2.18!Print_Area</vt:lpstr>
      <vt:lpstr>SCH_D2.19!Print_Area</vt:lpstr>
      <vt:lpstr>SCH_D2.2!Print_Area</vt:lpstr>
      <vt:lpstr>SCH_D2.20!Print_Area</vt:lpstr>
      <vt:lpstr>SCH_D2.21!Print_Area</vt:lpstr>
      <vt:lpstr>SCH_D2.22!Print_Area</vt:lpstr>
      <vt:lpstr>SCH_D2.23!Print_Area</vt:lpstr>
      <vt:lpstr>SCH_D2.24!Print_Area</vt:lpstr>
      <vt:lpstr>SCH_D2.25!Print_Area</vt:lpstr>
      <vt:lpstr>SCH_D2.26!Print_Area</vt:lpstr>
      <vt:lpstr>SCH_D2.27!Print_Area</vt:lpstr>
      <vt:lpstr>SCH_D2.28!Print_Area</vt:lpstr>
      <vt:lpstr>SCH_D2.29!Print_Area</vt:lpstr>
      <vt:lpstr>SCH_D2.3!Print_Area</vt:lpstr>
      <vt:lpstr>SCH_D2.30!Print_Area</vt:lpstr>
      <vt:lpstr>SCH_D2.4!Print_Area</vt:lpstr>
      <vt:lpstr>SCH_D2.5!Print_Area</vt:lpstr>
      <vt:lpstr>SCH_D2.6!Print_Area</vt:lpstr>
      <vt:lpstr>SCH_D2.7!Print_Area</vt:lpstr>
      <vt:lpstr>SCH_D2.8!Print_Area</vt:lpstr>
      <vt:lpstr>SCH_D2.9!Print_Area</vt:lpstr>
      <vt:lpstr>SCH_D3!Print_Area</vt:lpstr>
      <vt:lpstr>SCH_D4!Print_Area</vt:lpstr>
      <vt:lpstr>SCH_D5!Print_Area</vt:lpstr>
      <vt:lpstr>SCH_E1!Print_Area</vt:lpstr>
      <vt:lpstr>SCH_E2!Print_Area</vt:lpstr>
      <vt:lpstr>SCH_F1!Print_Area</vt:lpstr>
      <vt:lpstr>SCH_F2.1!Print_Area</vt:lpstr>
      <vt:lpstr>SCH_F2.2!Print_Area</vt:lpstr>
      <vt:lpstr>SCH_F2.3!Print_Area</vt:lpstr>
      <vt:lpstr>SCH_F3!Print_Area</vt:lpstr>
      <vt:lpstr>SCH_F4!Print_Area</vt:lpstr>
      <vt:lpstr>SCH_F5!Print_Area</vt:lpstr>
      <vt:lpstr>SCH_F6!Print_Area</vt:lpstr>
      <vt:lpstr>SCH_F7!Print_Area</vt:lpstr>
      <vt:lpstr>SCH_G1!Print_Area</vt:lpstr>
      <vt:lpstr>SCH_G2!Print_Area</vt:lpstr>
      <vt:lpstr>SCH_G3!Print_Area</vt:lpstr>
      <vt:lpstr>SCH_H!Print_Area</vt:lpstr>
      <vt:lpstr>'SCH_I1 - Elec Only'!Print_Area</vt:lpstr>
      <vt:lpstr>'SCH_I1 - Total Co'!Print_Area</vt:lpstr>
      <vt:lpstr>SCH_I2.1!Print_Area</vt:lpstr>
      <vt:lpstr>SCH_I3!Print_Area</vt:lpstr>
      <vt:lpstr>SCH_I4!Print_Area</vt:lpstr>
      <vt:lpstr>SCH_I5!Print_Area</vt:lpstr>
      <vt:lpstr>'SCH_J1 - Base'!Print_Area</vt:lpstr>
      <vt:lpstr>'SCH_J1 - Forecast'!Print_Area</vt:lpstr>
      <vt:lpstr>'SCH_J2 - Base'!Print_Area</vt:lpstr>
      <vt:lpstr>'SCH_J2 - Forecast'!Print_Area</vt:lpstr>
      <vt:lpstr>'SCH_J3 - Base'!Print_Area</vt:lpstr>
      <vt:lpstr>'SCH_J3 - Forecast'!Print_Area</vt:lpstr>
      <vt:lpstr>SCH_J4!Print_Area</vt:lpstr>
      <vt:lpstr>'WPB-1'!Print_Area</vt:lpstr>
      <vt:lpstr>'WPB-5''s'!Print_Area</vt:lpstr>
      <vt:lpstr>'WPB-6''s'!Print_Area</vt:lpstr>
      <vt:lpstr>WPC_2!Print_Area</vt:lpstr>
      <vt:lpstr>'WPC-2e - Adj Summary'!Print_Area</vt:lpstr>
      <vt:lpstr>'BASE PERIOD'!Print_Titles</vt:lpstr>
      <vt:lpstr>'FORECASTED PERIOD'!Print_Titles</vt:lpstr>
      <vt:lpstr>RofR</vt:lpstr>
      <vt:lpstr>Sch_A</vt:lpstr>
      <vt:lpstr>SCH_B1</vt:lpstr>
      <vt:lpstr>SCH_B2.1P1</vt:lpstr>
      <vt:lpstr>SCH_B2.1P10</vt:lpstr>
      <vt:lpstr>SCH_B2.1P11</vt:lpstr>
      <vt:lpstr>SCH_B2.1P12</vt:lpstr>
      <vt:lpstr>SCH_B2.1P2</vt:lpstr>
      <vt:lpstr>SCH_B2.1P3</vt:lpstr>
      <vt:lpstr>SCH_B2.1P4</vt:lpstr>
      <vt:lpstr>SCH_B2.1P5</vt:lpstr>
      <vt:lpstr>SCH_B2.1P6</vt:lpstr>
      <vt:lpstr>SCH_B2.1P7</vt:lpstr>
      <vt:lpstr>SCH_B2.1P8</vt:lpstr>
      <vt:lpstr>SCH_B2.1P9</vt:lpstr>
      <vt:lpstr>SCH_B2.2P1</vt:lpstr>
      <vt:lpstr>SCH_B2.2P2</vt:lpstr>
      <vt:lpstr>SCH_B2.3P1</vt:lpstr>
      <vt:lpstr>SCH_B2.3P10</vt:lpstr>
      <vt:lpstr>SCH_B2.3P11</vt:lpstr>
      <vt:lpstr>SCH_B2.3P12</vt:lpstr>
      <vt:lpstr>SCH_B2.3P2</vt:lpstr>
      <vt:lpstr>SCH_B2.3P3</vt:lpstr>
      <vt:lpstr>SCH_B2.3P4</vt:lpstr>
      <vt:lpstr>SCH_B2.3P5</vt:lpstr>
      <vt:lpstr>SCH_B2.3P6</vt:lpstr>
      <vt:lpstr>SCH_B2.3P7</vt:lpstr>
      <vt:lpstr>SCH_B2.3P8</vt:lpstr>
      <vt:lpstr>SCH_B2.3P9</vt:lpstr>
      <vt:lpstr>SCH_B2.4P1</vt:lpstr>
      <vt:lpstr>SCH_B2.4P2</vt:lpstr>
      <vt:lpstr>SCH_B2.5P1</vt:lpstr>
      <vt:lpstr>SCH_B2.5P2</vt:lpstr>
      <vt:lpstr>SCH_B2.6P1</vt:lpstr>
      <vt:lpstr>SCH_B2.6P2</vt:lpstr>
      <vt:lpstr>SCH_B2.7P1</vt:lpstr>
      <vt:lpstr>SCH_B2.7P2</vt:lpstr>
      <vt:lpstr>SCH_B2P1</vt:lpstr>
      <vt:lpstr>SCH_B2P2</vt:lpstr>
      <vt:lpstr>SCH_B3.1P1</vt:lpstr>
      <vt:lpstr>SCH_B3.1P2</vt:lpstr>
      <vt:lpstr>SCH_B3.2P1</vt:lpstr>
      <vt:lpstr>SCH_B3.2P2</vt:lpstr>
      <vt:lpstr>SCH_B3.2P3</vt:lpstr>
      <vt:lpstr>SCH_B3.2P4</vt:lpstr>
      <vt:lpstr>SCH_B3.2P5</vt:lpstr>
      <vt:lpstr>SCH_B3.2P6</vt:lpstr>
      <vt:lpstr>SCH_B3P1</vt:lpstr>
      <vt:lpstr>SCH_B3P10</vt:lpstr>
      <vt:lpstr>SCH_B3P11</vt:lpstr>
      <vt:lpstr>SCH_B3P12</vt:lpstr>
      <vt:lpstr>SCH_B3P2</vt:lpstr>
      <vt:lpstr>SCH_B3P3</vt:lpstr>
      <vt:lpstr>SCH_B3P4</vt:lpstr>
      <vt:lpstr>SCH_B3P5</vt:lpstr>
      <vt:lpstr>SCH_B3P6</vt:lpstr>
      <vt:lpstr>SCH_B3P7</vt:lpstr>
      <vt:lpstr>SCH_B3P8</vt:lpstr>
      <vt:lpstr>SCH_B3P9</vt:lpstr>
      <vt:lpstr>SCH_B4P1</vt:lpstr>
      <vt:lpstr>SCH_B4P2</vt:lpstr>
      <vt:lpstr>SCH_B5</vt:lpstr>
      <vt:lpstr>SCH_B5.1</vt:lpstr>
      <vt:lpstr>SCH_B5.1P2</vt:lpstr>
      <vt:lpstr>SCH_B6P1</vt:lpstr>
      <vt:lpstr>SCH_B6P2</vt:lpstr>
      <vt:lpstr>SCH_B7.1</vt:lpstr>
      <vt:lpstr>SCH_B7.2</vt:lpstr>
      <vt:lpstr>SCH_B7P1</vt:lpstr>
      <vt:lpstr>SCH_B8P1</vt:lpstr>
      <vt:lpstr>SCH_B8P2</vt:lpstr>
      <vt:lpstr>SCH_C1</vt:lpstr>
      <vt:lpstr>SCH_C2</vt:lpstr>
      <vt:lpstr>SCH_C2.1FP1</vt:lpstr>
      <vt:lpstr>SCH_C2.1FP2</vt:lpstr>
      <vt:lpstr>SCH_C2.1FP3</vt:lpstr>
      <vt:lpstr>SCH_C2.1FP4</vt:lpstr>
      <vt:lpstr>SCH_C2.1FP5</vt:lpstr>
      <vt:lpstr>SCH_C2.1FP6</vt:lpstr>
      <vt:lpstr>SCH_C2.1FP7</vt:lpstr>
      <vt:lpstr>SCH_C2.1P1</vt:lpstr>
      <vt:lpstr>SCH_C2.1P2</vt:lpstr>
      <vt:lpstr>SCH_C2.1P3</vt:lpstr>
      <vt:lpstr>SCH_C2.1P4</vt:lpstr>
      <vt:lpstr>SCH_C2.1P5</vt:lpstr>
      <vt:lpstr>SCH_C2.1P6</vt:lpstr>
      <vt:lpstr>SCH_C2.1P7</vt:lpstr>
      <vt:lpstr>SCH_D1_ERROR_CHECK</vt:lpstr>
      <vt:lpstr>SCH_D1P1</vt:lpstr>
      <vt:lpstr>SCH_D1P2</vt:lpstr>
      <vt:lpstr>SCH_D1P3</vt:lpstr>
      <vt:lpstr>SCH_D1P4</vt:lpstr>
      <vt:lpstr>SCH_D1P5</vt:lpstr>
      <vt:lpstr>SCH_D1P6</vt:lpstr>
      <vt:lpstr>SCH_D1P7</vt:lpstr>
      <vt:lpstr>SCH_D1P8</vt:lpstr>
      <vt:lpstr>SCH_D1P9</vt:lpstr>
      <vt:lpstr>SCH_D2.1</vt:lpstr>
      <vt:lpstr>SCH_D2.10</vt:lpstr>
      <vt:lpstr>SCH_D2.11</vt:lpstr>
      <vt:lpstr>SCH_D2.12</vt:lpstr>
      <vt:lpstr>SCH_D2.13</vt:lpstr>
      <vt:lpstr>SCH_D2.14</vt:lpstr>
      <vt:lpstr>SCH_D2.15</vt:lpstr>
      <vt:lpstr>SCH_D2.16</vt:lpstr>
      <vt:lpstr>SCH_D2.17</vt:lpstr>
      <vt:lpstr>SCH_D2.18</vt:lpstr>
      <vt:lpstr>SCH_D2.19</vt:lpstr>
      <vt:lpstr>SCH_D2.19P2</vt:lpstr>
      <vt:lpstr>SCH_D2.2</vt:lpstr>
      <vt:lpstr>SCH_D2.20</vt:lpstr>
      <vt:lpstr>SCH_D2.21</vt:lpstr>
      <vt:lpstr>SCH_D2.22</vt:lpstr>
      <vt:lpstr>SCH_D2.23</vt:lpstr>
      <vt:lpstr>SCH_D2.24P1</vt:lpstr>
      <vt:lpstr>SCH_D2.25</vt:lpstr>
      <vt:lpstr>SCH_D2.26</vt:lpstr>
      <vt:lpstr>SCH_D2.27</vt:lpstr>
      <vt:lpstr>SCH_D2.28</vt:lpstr>
      <vt:lpstr>SCH_D2.29</vt:lpstr>
      <vt:lpstr>SCH_D2.3</vt:lpstr>
      <vt:lpstr>SCH_D2.30</vt:lpstr>
      <vt:lpstr>SCH_D2.31</vt:lpstr>
      <vt:lpstr>SCH_D2.32</vt:lpstr>
      <vt:lpstr>SCH_D2.33</vt:lpstr>
      <vt:lpstr>SCH_D2.34</vt:lpstr>
      <vt:lpstr>SCH_D2.35</vt:lpstr>
      <vt:lpstr>SCH_D2.36</vt:lpstr>
      <vt:lpstr>SCH_D2.37</vt:lpstr>
      <vt:lpstr>SCH_D2.38</vt:lpstr>
      <vt:lpstr>SCH_D2.4</vt:lpstr>
      <vt:lpstr>SCH_D2.5</vt:lpstr>
      <vt:lpstr>SCH_D2.6</vt:lpstr>
      <vt:lpstr>SCH_D2.7</vt:lpstr>
      <vt:lpstr>SCH_D2.8</vt:lpstr>
      <vt:lpstr>SCH_D2.9</vt:lpstr>
      <vt:lpstr>SCH_D3</vt:lpstr>
      <vt:lpstr>SCH_D4</vt:lpstr>
      <vt:lpstr>SCH_D5</vt:lpstr>
      <vt:lpstr>Sch_E1P1</vt:lpstr>
      <vt:lpstr>Sch_E1P2</vt:lpstr>
      <vt:lpstr>Sch_E1P3</vt:lpstr>
      <vt:lpstr>Sch_E2P1</vt:lpstr>
      <vt:lpstr>Sch_F1</vt:lpstr>
      <vt:lpstr>SCH_F2.1</vt:lpstr>
      <vt:lpstr>SCH_F2.2</vt:lpstr>
      <vt:lpstr>SCH_F2.3</vt:lpstr>
      <vt:lpstr>SCH_F3P1</vt:lpstr>
      <vt:lpstr>SCH_F4P1</vt:lpstr>
      <vt:lpstr>SCH_F4P2</vt:lpstr>
      <vt:lpstr>SCH_F5</vt:lpstr>
      <vt:lpstr>SCH_F5P2</vt:lpstr>
      <vt:lpstr>SCH_F6</vt:lpstr>
      <vt:lpstr>SCH_F7</vt:lpstr>
      <vt:lpstr>SCH_G1</vt:lpstr>
      <vt:lpstr>SCH_G2</vt:lpstr>
      <vt:lpstr>SCH_G3</vt:lpstr>
      <vt:lpstr>SCH_H</vt:lpstr>
      <vt:lpstr>SCH_H_FP</vt:lpstr>
      <vt:lpstr>SCH_I1_Elec</vt:lpstr>
      <vt:lpstr>SCH_I1_Total</vt:lpstr>
      <vt:lpstr>SCH_I2.1</vt:lpstr>
      <vt:lpstr>SCH_I3</vt:lpstr>
      <vt:lpstr>SCH_I4</vt:lpstr>
      <vt:lpstr>SCH_I5</vt:lpstr>
      <vt:lpstr>SCH_J1_Base</vt:lpstr>
      <vt:lpstr>SCH_J1_Forecast</vt:lpstr>
      <vt:lpstr>SCH_J2_Base</vt:lpstr>
      <vt:lpstr>SCH_J2_Forecast</vt:lpstr>
      <vt:lpstr>SCH_J3_Base</vt:lpstr>
      <vt:lpstr>SCH_J3_Forecast</vt:lpstr>
      <vt:lpstr>SCH_J4</vt:lpstr>
      <vt:lpstr>SCH_K1P1</vt:lpstr>
      <vt:lpstr>SCH_K1P2</vt:lpstr>
      <vt:lpstr>SCH_K1P3</vt:lpstr>
      <vt:lpstr>SCH_K1P4</vt:lpstr>
      <vt:lpstr>SCH_K1P5</vt:lpstr>
      <vt:lpstr>SIT</vt:lpstr>
      <vt:lpstr>TAXRECONTABLE</vt:lpstr>
      <vt:lpstr>Testyear</vt:lpstr>
      <vt:lpstr>TESTYR</vt:lpstr>
      <vt:lpstr>Type</vt:lpstr>
      <vt:lpstr>UncollExp</vt:lpstr>
      <vt:lpstr>UncollRatio</vt:lpstr>
      <vt:lpstr>WCD</vt:lpstr>
      <vt:lpstr>WORKING_CAPITAL</vt:lpstr>
      <vt:lpstr>WPB_1.1a</vt:lpstr>
      <vt:lpstr>WPB_5.1a</vt:lpstr>
      <vt:lpstr>WPB_5.1b</vt:lpstr>
      <vt:lpstr>WPB_5.1c</vt:lpstr>
      <vt:lpstr>WPB_5.1d</vt:lpstr>
      <vt:lpstr>WPB_5.1e</vt:lpstr>
      <vt:lpstr>WPB_5.1f</vt:lpstr>
      <vt:lpstr>WPB_5.1g</vt:lpstr>
      <vt:lpstr>WPB_5.1h</vt:lpstr>
      <vt:lpstr>WPB_5.1i</vt:lpstr>
      <vt:lpstr>WPB_5.1j</vt:lpstr>
      <vt:lpstr>WPB_6a</vt:lpstr>
      <vt:lpstr>WPB_6b</vt:lpstr>
      <vt:lpstr>WPB_6c</vt:lpstr>
      <vt:lpstr>WPB_6d</vt:lpstr>
      <vt:lpstr>WPC_1a</vt:lpstr>
      <vt:lpstr>WPC_2.1a_BP</vt:lpstr>
      <vt:lpstr>WPC_2.1a_FP</vt:lpstr>
      <vt:lpstr>WPC_2a</vt:lpstr>
      <vt:lpstr>WPC_2b</vt:lpstr>
      <vt:lpstr>WPC_2c</vt:lpstr>
      <vt:lpstr>WPC_2d</vt:lpstr>
      <vt:lpstr>WPC_2e</vt:lpstr>
      <vt:lpstr>WPC_2f</vt:lpstr>
      <vt:lpstr>WPD_2.10a</vt:lpstr>
      <vt:lpstr>WPD_2.11a</vt:lpstr>
      <vt:lpstr>WPD_2.12a</vt:lpstr>
      <vt:lpstr>WPD_2.13a</vt:lpstr>
      <vt:lpstr>WPD_2.14a</vt:lpstr>
      <vt:lpstr>WPD_2.15a</vt:lpstr>
      <vt:lpstr>WPD_2.16a</vt:lpstr>
      <vt:lpstr>WPD_2.17a</vt:lpstr>
      <vt:lpstr>WPD_2.18a</vt:lpstr>
      <vt:lpstr>WPD_2.19a</vt:lpstr>
      <vt:lpstr>WPD_2.1a</vt:lpstr>
      <vt:lpstr>WPD_2.1e</vt:lpstr>
      <vt:lpstr>WPD_2.20a</vt:lpstr>
      <vt:lpstr>WPD_2.21a</vt:lpstr>
      <vt:lpstr>WPD_2.22a</vt:lpstr>
      <vt:lpstr>WPD_2.23a</vt:lpstr>
      <vt:lpstr>WPD_2.24a</vt:lpstr>
      <vt:lpstr>WPD_2.26a</vt:lpstr>
      <vt:lpstr>WPD_2.27a</vt:lpstr>
      <vt:lpstr>WPD_2.28a</vt:lpstr>
      <vt:lpstr>WPD_2.28b</vt:lpstr>
      <vt:lpstr>WPD_2.28c</vt:lpstr>
      <vt:lpstr>WPD_2.28d</vt:lpstr>
      <vt:lpstr>WPD_2.29a</vt:lpstr>
      <vt:lpstr>WPD_2.29b</vt:lpstr>
      <vt:lpstr>WPD_2.2a</vt:lpstr>
      <vt:lpstr>WPD_2.30a</vt:lpstr>
      <vt:lpstr>WPD_2.30b</vt:lpstr>
      <vt:lpstr>WPD_2.3a</vt:lpstr>
      <vt:lpstr>WPD_2.5a</vt:lpstr>
      <vt:lpstr>WPD_2.6a</vt:lpstr>
      <vt:lpstr>WPD_2.7a</vt:lpstr>
      <vt:lpstr>WPD_2.8a</vt:lpstr>
      <vt:lpstr>WPD_2.9a</vt:lpstr>
      <vt:lpstr>WPE_1a</vt:lpstr>
      <vt:lpstr>WPE_1b</vt:lpstr>
      <vt:lpstr>WPF_4a</vt:lpstr>
      <vt:lpstr>WPF_4b</vt:lpstr>
      <vt:lpstr>WPF_5a</vt:lpstr>
      <vt:lpstr>WPF_5b</vt:lpstr>
      <vt:lpstr>WPH_a</vt:lpstr>
    </vt:vector>
  </TitlesOfParts>
  <Manager/>
  <Company>Cinergy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Ted Czupik</dc:creator>
  <cp:keywords/>
  <dc:description/>
  <cp:lastModifiedBy>Sunderman, Minna</cp:lastModifiedBy>
  <cp:revision/>
  <cp:lastPrinted>2024-11-19T13:57:50Z</cp:lastPrinted>
  <dcterms:created xsi:type="dcterms:W3CDTF">2004-07-23T13:25:20Z</dcterms:created>
  <dcterms:modified xsi:type="dcterms:W3CDTF">2024-12-17T03:23:55Z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0x0101005BA58AB4E1B78F4EAC56940670E852C9</vt:lpwstr>
  </property>
  <property fmtid="{D5CDD505-2E9C-101B-9397-08002B2CF9AE}" pid="4" name="SV_HIDDEN_GRID_QUERY_LIST_4F35BF76-6C0D-4D9B-82B2-816C12CF3733">
    <vt:lpwstr>empty_477D106A-C0D6-4607-AEBD-E2C9D60EA279</vt:lpwstr>
  </property>
</Properties>
</file>